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4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5.xml" ContentType="application/vnd.openxmlformats-officedocument.themeOverride+xml"/>
  <Override PartName="/xl/charts/chart12.xml" ContentType="application/vnd.openxmlformats-officedocument.drawingml.chart+xml"/>
  <Override PartName="/xl/theme/themeOverride6.xml" ContentType="application/vnd.openxmlformats-officedocument.themeOverrid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7.xml" ContentType="application/vnd.openxmlformats-officedocument.themeOverrid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8.xml" ContentType="application/vnd.openxmlformats-officedocument.themeOverrid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9.xml" ContentType="application/vnd.openxmlformats-officedocument.themeOverride+xml"/>
  <Override PartName="/xl/charts/chart16.xml" ContentType="application/vnd.openxmlformats-officedocument.drawingml.chart+xml"/>
  <Override PartName="/xl/theme/themeOverride10.xml" ContentType="application/vnd.openxmlformats-officedocument.themeOverride+xml"/>
  <Override PartName="/xl/charts/chart17.xml" ContentType="application/vnd.openxmlformats-officedocument.drawingml.chart+xml"/>
  <Override PartName="/xl/theme/themeOverride11.xml" ContentType="application/vnd.openxmlformats-officedocument.themeOverride+xml"/>
  <Override PartName="/xl/charts/chart18.xml" ContentType="application/vnd.openxmlformats-officedocument.drawingml.chart+xml"/>
  <Override PartName="/xl/theme/themeOverride12.xml" ContentType="application/vnd.openxmlformats-officedocument.themeOverride+xml"/>
  <Override PartName="/xl/charts/chart19.xml" ContentType="application/vnd.openxmlformats-officedocument.drawingml.chart+xml"/>
  <Override PartName="/xl/theme/themeOverride13.xml" ContentType="application/vnd.openxmlformats-officedocument.themeOverride+xml"/>
  <Override PartName="/xl/charts/chart20.xml" ContentType="application/vnd.openxmlformats-officedocument.drawingml.chart+xml"/>
  <Override PartName="/xl/theme/themeOverride14.xml" ContentType="application/vnd.openxmlformats-officedocument.themeOverride+xml"/>
  <Override PartName="/xl/charts/chart2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22.xml" ContentType="application/vnd.openxmlformats-officedocument.drawingml.chart+xml"/>
  <Override PartName="/xl/theme/themeOverride16.xml" ContentType="application/vnd.openxmlformats-officedocument.themeOverride+xml"/>
  <Override PartName="/xl/charts/chart23.xml" ContentType="application/vnd.openxmlformats-officedocument.drawingml.chart+xml"/>
  <Override PartName="/xl/theme/themeOverride17.xml" ContentType="application/vnd.openxmlformats-officedocument.themeOverrid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8.xml" ContentType="application/vnd.openxmlformats-officedocument.themeOverride+xml"/>
  <Override PartName="/xl/charts/chart25.xml" ContentType="application/vnd.openxmlformats-officedocument.drawingml.chart+xml"/>
  <Override PartName="/xl/theme/themeOverride19.xml" ContentType="application/vnd.openxmlformats-officedocument.themeOverride+xml"/>
  <Override PartName="/xl/charts/chart26.xml" ContentType="application/vnd.openxmlformats-officedocument.drawingml.chart+xml"/>
  <Override PartName="/xl/theme/themeOverride20.xml" ContentType="application/vnd.openxmlformats-officedocument.themeOverride+xml"/>
  <Override PartName="/xl/charts/chart27.xml" ContentType="application/vnd.openxmlformats-officedocument.drawingml.chart+xml"/>
  <Override PartName="/xl/theme/themeOverride21.xml" ContentType="application/vnd.openxmlformats-officedocument.themeOverride+xml"/>
  <Override PartName="/xl/charts/chart2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22.xml" ContentType="application/vnd.openxmlformats-officedocument.themeOverride+xml"/>
  <Override PartName="/xl/charts/chart29.xml" ContentType="application/vnd.openxmlformats-officedocument.drawingml.chart+xml"/>
  <Override PartName="/xl/theme/themeOverride23.xml" ContentType="application/vnd.openxmlformats-officedocument.themeOverride+xml"/>
  <Override PartName="/xl/charts/chart30.xml" ContentType="application/vnd.openxmlformats-officedocument.drawingml.chart+xml"/>
  <Override PartName="/xl/theme/themeOverride24.xml" ContentType="application/vnd.openxmlformats-officedocument.themeOverride+xml"/>
  <Override PartName="/xl/charts/chart31.xml" ContentType="application/vnd.openxmlformats-officedocument.drawingml.chart+xml"/>
  <Override PartName="/xl/theme/themeOverride25.xml" ContentType="application/vnd.openxmlformats-officedocument.themeOverride+xml"/>
  <Override PartName="/xl/charts/chart3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26.xml" ContentType="application/vnd.openxmlformats-officedocument.themeOverride+xml"/>
  <Override PartName="/xl/charts/chart33.xml" ContentType="application/vnd.openxmlformats-officedocument.drawingml.chart+xml"/>
  <Override PartName="/xl/theme/themeOverride27.xml" ContentType="application/vnd.openxmlformats-officedocument.themeOverride+xml"/>
  <Override PartName="/xl/charts/chart3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28.xml" ContentType="application/vnd.openxmlformats-officedocument.themeOverride+xml"/>
  <Override PartName="/xl/charts/chart35.xml" ContentType="application/vnd.openxmlformats-officedocument.drawingml.chart+xml"/>
  <Override PartName="/xl/theme/themeOverride29.xml" ContentType="application/vnd.openxmlformats-officedocument.themeOverride+xml"/>
  <Override PartName="/xl/charts/chart3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30.xml" ContentType="application/vnd.openxmlformats-officedocument.themeOverride+xml"/>
  <Override PartName="/xl/charts/chart3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1.xml" ContentType="application/vnd.openxmlformats-officedocument.themeOverride+xml"/>
  <Override PartName="/xl/charts/chart38.xml" ContentType="application/vnd.openxmlformats-officedocument.drawingml.chart+xml"/>
  <Override PartName="/xl/theme/themeOverride32.xml" ContentType="application/vnd.openxmlformats-officedocument.themeOverride+xml"/>
  <Override PartName="/xl/charts/chart39.xml" ContentType="application/vnd.openxmlformats-officedocument.drawingml.chart+xml"/>
  <Override PartName="/xl/theme/themeOverride33.xml" ContentType="application/vnd.openxmlformats-officedocument.themeOverride+xml"/>
  <Override PartName="/xl/charts/chart4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34.xml" ContentType="application/vnd.openxmlformats-officedocument.themeOverride+xml"/>
  <Override PartName="/xl/charts/chart4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5.xml" ContentType="application/vnd.openxmlformats-officedocument.themeOverride+xml"/>
  <Override PartName="/xl/charts/chart4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6.xml" ContentType="application/vnd.openxmlformats-officedocument.themeOverride+xml"/>
  <Override PartName="/xl/charts/chart43.xml" ContentType="application/vnd.openxmlformats-officedocument.drawingml.chart+xml"/>
  <Override PartName="/xl/theme/themeOverride37.xml" ContentType="application/vnd.openxmlformats-officedocument.themeOverride+xml"/>
  <Override PartName="/xl/charts/chart44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8.xml" ContentType="application/vnd.openxmlformats-officedocument.themeOverride+xml"/>
  <Override PartName="/xl/charts/chart45.xml" ContentType="application/vnd.openxmlformats-officedocument.drawingml.chart+xml"/>
  <Override PartName="/xl/theme/themeOverride39.xml" ContentType="application/vnd.openxmlformats-officedocument.themeOverride+xml"/>
  <Override PartName="/xl/charts/chart46.xml" ContentType="application/vnd.openxmlformats-officedocument.drawingml.chart+xml"/>
  <Override PartName="/xl/theme/themeOverride40.xml" ContentType="application/vnd.openxmlformats-officedocument.themeOverride+xml"/>
  <Override PartName="/xl/charts/chart47.xml" ContentType="application/vnd.openxmlformats-officedocument.drawingml.chart+xml"/>
  <Override PartName="/xl/theme/themeOverride41.xml" ContentType="application/vnd.openxmlformats-officedocument.themeOverride+xml"/>
  <Override PartName="/xl/charts/chart4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42.xml" ContentType="application/vnd.openxmlformats-officedocument.themeOverride+xml"/>
  <Override PartName="/xl/charts/chart49.xml" ContentType="application/vnd.openxmlformats-officedocument.drawingml.chart+xml"/>
  <Override PartName="/xl/theme/themeOverride43.xml" ContentType="application/vnd.openxmlformats-officedocument.themeOverride+xml"/>
  <Override PartName="/xl/charts/chart50.xml" ContentType="application/vnd.openxmlformats-officedocument.drawingml.chart+xml"/>
  <Override PartName="/xl/theme/themeOverride44.xml" ContentType="application/vnd.openxmlformats-officedocument.themeOverride+xml"/>
  <Override PartName="/xl/charts/chart5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45.xml" ContentType="application/vnd.openxmlformats-officedocument.themeOverride+xml"/>
  <Override PartName="/xl/charts/chart52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46.xml" ContentType="application/vnd.openxmlformats-officedocument.themeOverride+xml"/>
  <Override PartName="/xl/charts/chart53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47.xml" ContentType="application/vnd.openxmlformats-officedocument.themeOverride+xml"/>
  <Override PartName="/xl/charts/chart54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48.xml" ContentType="application/vnd.openxmlformats-officedocument.themeOverride+xml"/>
  <Override PartName="/xl/charts/chart55.xml" ContentType="application/vnd.openxmlformats-officedocument.drawingml.chart+xml"/>
  <Override PartName="/xl/theme/themeOverride49.xml" ContentType="application/vnd.openxmlformats-officedocument.themeOverride+xml"/>
  <Override PartName="/xl/charts/chart5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50.xml" ContentType="application/vnd.openxmlformats-officedocument.themeOverride+xml"/>
  <Override PartName="/xl/charts/chart5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51.xml" ContentType="application/vnd.openxmlformats-officedocument.themeOverride+xml"/>
  <Override PartName="/xl/charts/chart58.xml" ContentType="application/vnd.openxmlformats-officedocument.drawingml.chart+xml"/>
  <Override PartName="/xl/theme/themeOverride52.xml" ContentType="application/vnd.openxmlformats-officedocument.themeOverride+xml"/>
  <Override PartName="/xl/charts/chart5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53.xml" ContentType="application/vnd.openxmlformats-officedocument.themeOverride+xml"/>
  <Override PartName="/xl/charts/chart6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54.xml" ContentType="application/vnd.openxmlformats-officedocument.themeOverride+xml"/>
  <Override PartName="/xl/charts/chart6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55.xml" ContentType="application/vnd.openxmlformats-officedocument.themeOverride+xml"/>
  <Override PartName="/xl/charts/chart62.xml" ContentType="application/vnd.openxmlformats-officedocument.drawingml.chart+xml"/>
  <Override PartName="/xl/theme/themeOverride56.xml" ContentType="application/vnd.openxmlformats-officedocument.themeOverride+xml"/>
  <Override PartName="/xl/charts/chart6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57.xml" ContentType="application/vnd.openxmlformats-officedocument.themeOverride+xml"/>
  <Override PartName="/xl/charts/chart64.xml" ContentType="application/vnd.openxmlformats-officedocument.drawingml.chart+xml"/>
  <Override PartName="/xl/theme/themeOverride58.xml" ContentType="application/vnd.openxmlformats-officedocument.themeOverride+xml"/>
  <Override PartName="/xl/charts/chart65.xml" ContentType="application/vnd.openxmlformats-officedocument.drawingml.chart+xml"/>
  <Override PartName="/xl/theme/themeOverride59.xml" ContentType="application/vnd.openxmlformats-officedocument.themeOverride+xml"/>
  <Override PartName="/xl/charts/chart66.xml" ContentType="application/vnd.openxmlformats-officedocument.drawingml.chart+xml"/>
  <Override PartName="/xl/theme/themeOverride60.xml" ContentType="application/vnd.openxmlformats-officedocument.themeOverride+xml"/>
  <Override PartName="/xl/charts/chart67.xml" ContentType="application/vnd.openxmlformats-officedocument.drawingml.chart+xml"/>
  <Override PartName="/xl/theme/themeOverride61.xml" ContentType="application/vnd.openxmlformats-officedocument.themeOverride+xml"/>
  <Override PartName="/xl/charts/chart68.xml" ContentType="application/vnd.openxmlformats-officedocument.drawingml.chart+xml"/>
  <Override PartName="/xl/theme/themeOverride62.xml" ContentType="application/vnd.openxmlformats-officedocument.themeOverride+xml"/>
  <Override PartName="/xl/charts/chart69.xml" ContentType="application/vnd.openxmlformats-officedocument.drawingml.chart+xml"/>
  <Override PartName="/xl/theme/themeOverride63.xml" ContentType="application/vnd.openxmlformats-officedocument.themeOverride+xml"/>
  <Override PartName="/xl/charts/chart70.xml" ContentType="application/vnd.openxmlformats-officedocument.drawingml.chart+xml"/>
  <Override PartName="/xl/theme/themeOverride64.xml" ContentType="application/vnd.openxmlformats-officedocument.themeOverride+xml"/>
  <Override PartName="/xl/charts/chart71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65.xml" ContentType="application/vnd.openxmlformats-officedocument.themeOverride+xml"/>
  <Override PartName="/xl/charts/chart72.xml" ContentType="application/vnd.openxmlformats-officedocument.drawingml.chart+xml"/>
  <Override PartName="/xl/theme/themeOverride66.xml" ContentType="application/vnd.openxmlformats-officedocument.themeOverride+xml"/>
  <Override PartName="/xl/charts/chart73.xml" ContentType="application/vnd.openxmlformats-officedocument.drawingml.chart+xml"/>
  <Override PartName="/xl/theme/themeOverride67.xml" ContentType="application/vnd.openxmlformats-officedocument.themeOverride+xml"/>
  <Override PartName="/xl/charts/chart74.xml" ContentType="application/vnd.openxmlformats-officedocument.drawingml.chart+xml"/>
  <Override PartName="/xl/theme/themeOverride68.xml" ContentType="application/vnd.openxmlformats-officedocument.themeOverride+xml"/>
  <Override PartName="/xl/charts/chart7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69.xml" ContentType="application/vnd.openxmlformats-officedocument.themeOverride+xml"/>
  <Override PartName="/xl/charts/chart76.xml" ContentType="application/vnd.openxmlformats-officedocument.drawingml.chart+xml"/>
  <Override PartName="/xl/theme/themeOverride70.xml" ContentType="application/vnd.openxmlformats-officedocument.themeOverride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harts/chart7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71.xml" ContentType="application/vnd.openxmlformats-officedocument.themeOverride+xml"/>
  <Override PartName="/xl/charts/chart78.xml" ContentType="application/vnd.openxmlformats-officedocument.drawingml.chart+xml"/>
  <Override PartName="/xl/theme/themeOverride72.xml" ContentType="application/vnd.openxmlformats-officedocument.themeOverride+xml"/>
  <Override PartName="/xl/charts/chart79.xml" ContentType="application/vnd.openxmlformats-officedocument.drawingml.chart+xml"/>
  <Override PartName="/xl/theme/themeOverride73.xml" ContentType="application/vnd.openxmlformats-officedocument.themeOverride+xml"/>
  <Override PartName="/xl/charts/chart80.xml" ContentType="application/vnd.openxmlformats-officedocument.drawingml.chart+xml"/>
  <Override PartName="/xl/theme/themeOverride74.xml" ContentType="application/vnd.openxmlformats-officedocument.themeOverride+xml"/>
  <Override PartName="/xl/charts/chart81.xml" ContentType="application/vnd.openxmlformats-officedocument.drawingml.chart+xml"/>
  <Override PartName="/xl/theme/themeOverride75.xml" ContentType="application/vnd.openxmlformats-officedocument.themeOverride+xml"/>
  <Override PartName="/xl/charts/chart82.xml" ContentType="application/vnd.openxmlformats-officedocument.drawingml.chart+xml"/>
  <Override PartName="/xl/theme/themeOverride76.xml" ContentType="application/vnd.openxmlformats-officedocument.themeOverride+xml"/>
  <Override PartName="/xl/charts/chart83.xml" ContentType="application/vnd.openxmlformats-officedocument.drawingml.chart+xml"/>
  <Override PartName="/xl/theme/themeOverride77.xml" ContentType="application/vnd.openxmlformats-officedocument.themeOverride+xml"/>
  <Override PartName="/xl/charts/chart84.xml" ContentType="application/vnd.openxmlformats-officedocument.drawingml.chart+xml"/>
  <Override PartName="/xl/theme/themeOverride78.xml" ContentType="application/vnd.openxmlformats-officedocument.themeOverride+xml"/>
  <Override PartName="/xl/charts/chart8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79.xml" ContentType="application/vnd.openxmlformats-officedocument.themeOverride+xml"/>
  <Override PartName="/xl/charts/chart8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80.xml" ContentType="application/vnd.openxmlformats-officedocument.themeOverride+xml"/>
  <Override PartName="/xl/charts/chart8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81.xml" ContentType="application/vnd.openxmlformats-officedocument.themeOverride+xml"/>
  <Override PartName="/xl/charts/chart8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82.xml" ContentType="application/vnd.openxmlformats-officedocument.themeOverride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theme/themeOverride83.xml" ContentType="application/vnd.openxmlformats-officedocument.themeOverride+xml"/>
  <Override PartName="/xl/charts/chart9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84.xml" ContentType="application/vnd.openxmlformats-officedocument.themeOverride+xml"/>
  <Override PartName="/xl/charts/chart92.xml" ContentType="application/vnd.openxmlformats-officedocument.drawingml.chart+xml"/>
  <Override PartName="/xl/theme/themeOverride85.xml" ContentType="application/vnd.openxmlformats-officedocument.themeOverride+xml"/>
  <Override PartName="/xl/charts/chart93.xml" ContentType="application/vnd.openxmlformats-officedocument.drawingml.chart+xml"/>
  <Override PartName="/xl/theme/themeOverride86.xml" ContentType="application/vnd.openxmlformats-officedocument.themeOverride+xml"/>
  <Override PartName="/xl/charts/chart94.xml" ContentType="application/vnd.openxmlformats-officedocument.drawingml.chart+xml"/>
  <Override PartName="/xl/theme/themeOverride87.xml" ContentType="application/vnd.openxmlformats-officedocument.themeOverride+xml"/>
  <Override PartName="/xl/drawings/drawing4.xml" ContentType="application/vnd.openxmlformats-officedocument.drawing+xml"/>
  <Override PartName="/xl/charts/chart9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charts/chart96.xml" ContentType="application/vnd.openxmlformats-officedocument.drawingml.chart+xml"/>
  <Override PartName="/xl/theme/themeOverride88.xml" ContentType="application/vnd.openxmlformats-officedocument.themeOverride+xml"/>
  <Override PartName="/xl/charts/chart97.xml" ContentType="application/vnd.openxmlformats-officedocument.drawingml.chart+xml"/>
  <Override PartName="/xl/theme/themeOverride89.xml" ContentType="application/vnd.openxmlformats-officedocument.themeOverride+xml"/>
  <Override PartName="/xl/drawings/drawing6.xml" ContentType="application/vnd.openxmlformats-officedocument.drawing+xml"/>
  <Override PartName="/xl/comments7.xml" ContentType="application/vnd.openxmlformats-officedocument.spreadsheetml.comments+xml"/>
  <Override PartName="/xl/charts/chart9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90.xml" ContentType="application/vnd.openxmlformats-officedocument.themeOverride+xml"/>
  <Override PartName="/xl/charts/chart99.xml" ContentType="application/vnd.openxmlformats-officedocument.drawingml.chart+xml"/>
  <Override PartName="/xl/theme/themeOverride91.xml" ContentType="application/vnd.openxmlformats-officedocument.themeOverride+xml"/>
  <Override PartName="/xl/comments8.xml" ContentType="application/vnd.openxmlformats-officedocument.spreadsheetml.comments+xml"/>
  <Override PartName="/xl/threadedComments/threadedComment1.xml" ContentType="application/vnd.ms-excel.threaded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7.xml" ContentType="application/vnd.openxmlformats-officedocument.drawing+xml"/>
  <Override PartName="/xl/comments11.xml" ContentType="application/vnd.openxmlformats-officedocument.spreadsheetml.comments+xml"/>
  <Override PartName="/xl/charts/chart10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92.xml" ContentType="application/vnd.openxmlformats-officedocument.themeOverride+xml"/>
  <Override PartName="/xl/comments12.xml" ContentType="application/vnd.openxmlformats-officedocument.spreadsheetml.comments+xml"/>
  <Override PartName="/xl/drawings/drawing8.xml" ContentType="application/vnd.openxmlformats-officedocument.drawing+xml"/>
  <Override PartName="/xl/charts/chart10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omments13.xml" ContentType="application/vnd.openxmlformats-officedocument.spreadsheetml.comments+xml"/>
  <Override PartName="/xl/drawings/drawing9.xml" ContentType="application/vnd.openxmlformats-officedocument.drawing+xml"/>
  <Override PartName="/xl/charts/chart10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10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10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10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0.xml" ContentType="application/vnd.openxmlformats-officedocument.drawing+xml"/>
  <Override PartName="/xl/charts/chart10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10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10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10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11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11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1.xml" ContentType="application/vnd.openxmlformats-officedocument.drawing+xml"/>
  <Override PartName="/xl/charts/chart11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11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11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07 External\Models\Company Models\Fixed\"/>
    </mc:Choice>
  </mc:AlternateContent>
  <xr:revisionPtr revIDLastSave="0" documentId="13_ncr:1_{24BCDDBB-D57C-44C7-BE39-F90A9B4B68D2}" xr6:coauthVersionLast="47" xr6:coauthVersionMax="47" xr10:uidLastSave="{00000000-0000-0000-0000-000000000000}"/>
  <bookViews>
    <workbookView xWindow="28690" yWindow="-110" windowWidth="29020" windowHeight="15700" tabRatio="828" firstSheet="1" activeTab="1" xr2:uid="{2303D7FF-6EB4-41DA-B0DA-065E91EBF697}"/>
  </bookViews>
  <sheets>
    <sheet name="__FDSCACHE__" sheetId="8" state="veryHidden" r:id="rId1"/>
    <sheet name="Cover" sheetId="9" r:id="rId2"/>
    <sheet name="Model Main" sheetId="4" r:id="rId3"/>
    <sheet name="FTTH Model" sheetId="11" state="hidden" r:id="rId4"/>
    <sheet name="Drivers" sheetId="2" r:id="rId5"/>
    <sheet name="Analysis" sheetId="3" state="hidden" r:id="rId6"/>
    <sheet name="Mini-model" sheetId="38" state="hidden" r:id="rId7"/>
    <sheet name="mini-model-charts" sheetId="39" state="hidden" r:id="rId8"/>
    <sheet name="Steady-state" sheetId="37" state="hidden" r:id="rId9"/>
    <sheet name="ABS" sheetId="40" state="hidden" r:id="rId10"/>
    <sheet name="Debt" sheetId="31" state="hidden" r:id="rId11"/>
    <sheet name="Deal_Spread" sheetId="43" state="hidden" r:id="rId12"/>
    <sheet name="Valuation" sheetId="6" r:id="rId13"/>
    <sheet name="Valuation (2)" sheetId="41" state="hidden" r:id="rId14"/>
    <sheet name="Guidance" sheetId="19" state="hidden" r:id="rId15"/>
    <sheet name="Inputs" sheetId="1" r:id="rId16"/>
    <sheet name="Model Main (2)" sheetId="35" state="hidden" r:id="rId17"/>
    <sheet name="Drivers (2)" sheetId="36" state="hidden" r:id="rId18"/>
    <sheet name="Consensus_Comp" sheetId="30" state="hidden" r:id="rId19"/>
    <sheet name="Proxy_DCF" sheetId="42" state="hidden" r:id="rId20"/>
    <sheet name="Output" sheetId="10" r:id="rId21"/>
    <sheet name="HY_data" sheetId="32" state="hidden" r:id="rId22"/>
    <sheet name="Penetration" sheetId="29" state="hidden" r:id="rId23"/>
    <sheet name="Debt-old" sheetId="13" state="hidden" r:id="rId24"/>
    <sheet name="Segment Model" sheetId="18" state="hidden" r:id="rId25"/>
    <sheet name="New_Build_Summary" sheetId="23" state="hidden" r:id="rId26"/>
    <sheet name="New_Build_Base_Case" sheetId="20" state="hidden" r:id="rId27"/>
    <sheet name="New_Build_Optimistic_Case" sheetId="21" state="hidden" r:id="rId28"/>
    <sheet name="New_Build_Conservative_Case" sheetId="22" state="hidden" r:id="rId29"/>
    <sheet name="Exhibits for Analyst Day BF" sheetId="24" state="hidden" r:id="rId30"/>
    <sheet name="NS Exhibits for Analyst Day" sheetId="25" state="hidden" r:id="rId31"/>
    <sheet name="Sheet1" sheetId="27" state="hidden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__1_1000" hidden="1">#NAME?</definedName>
    <definedName name="__1_10635.553" hidden="1">#NAME?</definedName>
    <definedName name="__10_750" hidden="1">#NAME?</definedName>
    <definedName name="__2_150" hidden="1">#NAME?</definedName>
    <definedName name="__2_6030.14" hidden="1">#NAME?</definedName>
    <definedName name="__3_175" hidden="1">#NAME?</definedName>
    <definedName name="__3_8698.021" hidden="1">#NAME?</definedName>
    <definedName name="__4_200" hidden="1">#NAME?</definedName>
    <definedName name="__5_250" hidden="1">#NAME?</definedName>
    <definedName name="__6_300" hidden="1">#NAME?</definedName>
    <definedName name="__7_400" hidden="1">#NAME?</definedName>
    <definedName name="__8_600" hidden="1">#NAME?</definedName>
    <definedName name="__9_700" hidden="1">#NAME?</definedName>
    <definedName name="__APW_RESTORE_DATA0__" hidden="1">[1]Analysis!#REF!</definedName>
    <definedName name="__FDS_HYPERLINK_TOGGLE_STATE__" hidden="1">"ON"</definedName>
    <definedName name="__FDS_UNIQUE_RANGE_ID_GENERATOR_COUNTER" hidden="1">1</definedName>
    <definedName name="_1__FDSAUDITLINK__" hidden="1">{"fdsup://directions/FAT Viewer?action=UPDATE&amp;creator=factset&amp;DYN_ARGS=TRUE&amp;DOC_NAME=FAT:FQL_AUDITING_CLIENT_TEMPLATE.FAT&amp;display_string=Audit&amp;VAR:KEY=NMVEXEFYJE&amp;VAR:QUERY=Q1NGX0VOVFJQUl9WQUwoQU5OLDAp&amp;WINDOW=FIRST_POPUP&amp;HEIGHT=450&amp;WIDTH=450&amp;START_MAXIMIZED=","FALSE&amp;VAR:CALENDAR=US&amp;VAR:SYMBOL=DCT&amp;VAR:INDEX=0"}</definedName>
    <definedName name="_1_1000" hidden="1">#NAME?</definedName>
    <definedName name="_1_10635.553" hidden="1">#NAME?</definedName>
    <definedName name="_10_750" hidden="1">#NAME?</definedName>
    <definedName name="_2_150" hidden="1">#NAME?</definedName>
    <definedName name="_2_6030.14" hidden="1">#NAME?</definedName>
    <definedName name="_3_175" hidden="1">#NAME?</definedName>
    <definedName name="_3_8698.021" hidden="1">#NAME?</definedName>
    <definedName name="_4_200" hidden="1">#NAME?</definedName>
    <definedName name="_5_250" hidden="1">#NAME?</definedName>
    <definedName name="_6_300" hidden="1">#NAME?</definedName>
    <definedName name="_7_400" hidden="1">#NAME?</definedName>
    <definedName name="_8_600" hidden="1">#NAME?</definedName>
    <definedName name="_9_700" hidden="1">#NAME?</definedName>
    <definedName name="_bdm.01ffb21a48a04c948300d98fcbc875e9.edm" hidden="1">#REF!</definedName>
    <definedName name="_bdm.0301f5df77134558990505e3a22464ca.edm" localSheetId="5" hidden="1">Analysis!$A$4650:$N$4683</definedName>
    <definedName name="_bdm.0301f5df77134558990505e3a22464ca.edm" localSheetId="22" hidden="1">Penetration!#REF!</definedName>
    <definedName name="_bdm.06ae3c5aee384f9e9f620fb21da054da.edm" localSheetId="5" hidden="1">Analysis!$A$2573:$B$2610</definedName>
    <definedName name="_bdm.074b21754d794f6a99f43705bb8980f4.edm" localSheetId="25" hidden="1">New_Build_Summary!$W$50:$AA$54</definedName>
    <definedName name="_bdm.082f0d8f593d4b00a55ff138bb56472a.edm" localSheetId="15" hidden="1">Inputs!$EA$240</definedName>
    <definedName name="_bdm.0872f71a41e24738ac9c35f571a78c5c.edm" hidden="1">'Exhibits for Analyst Day BF'!$1:$1048576</definedName>
    <definedName name="_bdm.08a0593be222416587bdb821b7ba7e2b.edm" localSheetId="5" hidden="1">Analysis!$A$1541:$I$1548</definedName>
    <definedName name="_bdm.0a2cd74cd6b24785b781366e478e4d0a.edm" localSheetId="29" hidden="1">'Exhibits for Analyst Day BF'!$A$271:$H$283</definedName>
    <definedName name="_bdm.111ef9dd646a49f5bdc35863d9c9774c.edm" hidden="1">#REF!</definedName>
    <definedName name="_bdm.143f0d7558c040ca969d5ba77d58f3c0.edm" localSheetId="14" hidden="1">Guidance!$A$7:$D$12</definedName>
    <definedName name="_bdm.163179dcaa264ef99ab2403914a2bdc6.edm" localSheetId="29" hidden="1">'Exhibits for Analyst Day BF'!$A$61:$H$75</definedName>
    <definedName name="_bdm.16d63e7ccd244903afb45e5ef0c52d16.edm" localSheetId="5" hidden="1">Analysis!$B$5113</definedName>
    <definedName name="_bdm.16d63e7ccd244903afb45e5ef0c52d16.edm" localSheetId="22" hidden="1">Penetration!#REF!</definedName>
    <definedName name="_bdm.17542f66cc14463cb8d50b5b38b9dd65.edm" hidden="1">#REF!</definedName>
    <definedName name="_bdm.183ee49bb31a4f44aca1abee46386e01.edm" localSheetId="29" hidden="1">'Exhibits for Analyst Day BF'!$A$243:$H$255</definedName>
    <definedName name="_bdm.18dbb7cc05374c22b35c4e86c60c486c.edm" localSheetId="29" hidden="1">'Exhibits for Analyst Day BF'!$A$78:$H$88</definedName>
    <definedName name="_bdm.193d6a89c83a416c80cedc0c2c863071.edm" localSheetId="19" hidden="1">Proxy_DCF!$A$80:$L$122</definedName>
    <definedName name="_bdm.193d6a89c83a416c80cedc0c2c863071.edm" localSheetId="12" hidden="1">Valuation!$A$103:$M$146</definedName>
    <definedName name="_bdm.193d6a89c83a416c80cedc0c2c863071.edm" localSheetId="13" hidden="1">'Valuation (2)'!$A$103:$M$146</definedName>
    <definedName name="_bdm.1955d8d0232d43bc864ee403768811a4.edm" localSheetId="25" hidden="1">New_Build_Summary!$W$43:$AA$47</definedName>
    <definedName name="_bdm.1c3832fc54b74d8d85c298434f3c5eda.edm" hidden="1">Sheet1!$1:$1048576</definedName>
    <definedName name="_bdm.1cc74aae3a74473e9880c3b317697ddc.edm" localSheetId="5" hidden="1">Analysis!$A$1768:$B$1775</definedName>
    <definedName name="_bdm.1fa20e4151b942a788c445f0f3c80f76.edm" hidden="1">New_Build_Summary!$1:$1048576</definedName>
    <definedName name="_bdm.20131c39d95b4d0cbdc42fd128bd24b2.edm" localSheetId="5" hidden="1">Analysis!$A$3810:$B$3817</definedName>
    <definedName name="_bdm.20131c39d95b4d0cbdc42fd128bd24b2.edm" localSheetId="22" hidden="1">Penetration!#REF!</definedName>
    <definedName name="_bdm.23023902e644455baeaf0c8b1c707382.edm" localSheetId="19" hidden="1">Proxy_DCF!$1:$1048576</definedName>
    <definedName name="_bdm.23023902e644455baeaf0c8b1c707382.edm" hidden="1">Valuation!$1:$1048576</definedName>
    <definedName name="_bdm.2592E1523A7342CEB81C7BF2345231E4.edm" hidden="1">'[2]NYC Supply vs Demand'!$1:$1048576</definedName>
    <definedName name="_bdm.2b520075621c4411ae18897ac30e1998.edm" localSheetId="5" hidden="1">Analysis!$A$2830:$B$2860</definedName>
    <definedName name="_bdm.2c78f8c2650f45bfabf382965f7f4d62.edm" localSheetId="5" hidden="1">Analysis!$A$1085:$K$1121</definedName>
    <definedName name="_bdm.2cbc43e654104a08b34467c35ad94ed6.edm" localSheetId="14" hidden="1">Guidance!$A$134:$J$146</definedName>
    <definedName name="_bdm.2d08ed01c41247b4810e6aa1e3be9206.edm" localSheetId="14" hidden="1">Guidance!$A$151:$J$163</definedName>
    <definedName name="_bdm.308cf7619e3b43d3af90430baa001c3b.edm" localSheetId="5" hidden="1">Analysis!$A$576:$B$583</definedName>
    <definedName name="_bdm.31f48c1b48f1455487e92be4f1ef72d0.edm" localSheetId="14" hidden="1">Guidance!$A$22:$J$34</definedName>
    <definedName name="_bdm.3228aa48f03945e39877a01b41430bf7.edm" localSheetId="29" hidden="1">'Exhibits for Analyst Day BF'!$A$92:$G$144</definedName>
    <definedName name="_bdm.32a645552e4241f3934d7f7a8b6c40e3.edm" hidden="1">'NS Exhibits for Analyst Day'!$1:$1048576</definedName>
    <definedName name="_bdm.34c3453be3aa40c6815de1f0907c5440.edm" localSheetId="5" hidden="1">Analysis!$A$644:$H$660</definedName>
    <definedName name="_bdm.353e11e9cfe64aa28f9c0b97390875d1.edm" localSheetId="22" hidden="1">Penetration!$1:$1048576</definedName>
    <definedName name="_bdm.353e11e9cfe64aa28f9c0b97390875d1.edm" hidden="1">Analysis!$1:$1048576</definedName>
    <definedName name="_bdm.3655fe15fb184273a9cb690e6835f025.edm" hidden="1">#REF!</definedName>
    <definedName name="_bdm.378381b8232c4b6795e5060d9cad365f.edm" localSheetId="3" hidden="1">'FTTH Model'!$B$29</definedName>
    <definedName name="_bdm.385253764eff4bb285289f3f86bbb98d.edm" hidden="1">'Valuation (2)'!$1:$1048576</definedName>
    <definedName name="_bdm.3939446e323646e99acb30fcd5539bfd.edm" hidden="1">#REF!</definedName>
    <definedName name="_bdm.39f5bac8ac3d43fcb95762f9a49aeeed.edm" localSheetId="5" hidden="1">Analysis!$A$2547:$B$2559</definedName>
    <definedName name="_bdm.4068cf9f9ec04e21a423b7134fe9da1b.edm" localSheetId="29" hidden="1">'Exhibits for Analyst Day BF'!$A$207:$H$220</definedName>
    <definedName name="_bdm.40ae5d5d87c8484fbb067bd6387e2650.edm" localSheetId="5" hidden="1">Analysis!$A$2560:$B$2566</definedName>
    <definedName name="_bdm.44f838eae5d7464796562e9834c3c6df.edm" localSheetId="29" hidden="1">'Exhibits for Analyst Day BF'!$A$259:$B$267</definedName>
    <definedName name="_bdm.4605330e29da4d719221f055b4a0d988.edm" localSheetId="5" hidden="1">Analysis!$A$1705:$K$1713</definedName>
    <definedName name="_bdm.4662A11354494C74A031CFB6DA03F6E8.edm" hidden="1">#REF!</definedName>
    <definedName name="_bdm.473db64ec2c04f70a723301fce70868a.edm" hidden="1">#REF!</definedName>
    <definedName name="_bdm.47bd97a3ab8947b189f0c29aeed05790.edm" localSheetId="3" hidden="1">'FTTH Model'!$A$5:$B$22</definedName>
    <definedName name="_bdm.47d0caa035834d92a84c3cf086e92be0.edm" localSheetId="5" hidden="1">Analysis!$A$3904:$B$3910</definedName>
    <definedName name="_bdm.47d0caa035834d92a84c3cf086e92be0.edm" localSheetId="22" hidden="1">Penetration!#REF!</definedName>
    <definedName name="_bdm.4c1815efb9f740649113ee77b61f9b9d.edm" localSheetId="29" hidden="1">'Exhibits for Analyst Day BF'!$A$43:$H$58</definedName>
    <definedName name="_bdm.4d479984b104432c982a10dad738025a.edm" localSheetId="5" hidden="1">Analysis!$A$3994:$C$4004</definedName>
    <definedName name="_bdm.4d479984b104432c982a10dad738025a.edm" localSheetId="22" hidden="1">Penetration!#REF!</definedName>
    <definedName name="_bdm.4dcb485e0e174e159d5e680248e07bdb.edm" localSheetId="5" hidden="1">Analysis!$A$3849:$B$3855</definedName>
    <definedName name="_bdm.4dcb485e0e174e159d5e680248e07bdb.edm" localSheetId="22" hidden="1">Penetration!#REF!</definedName>
    <definedName name="_bdm.4e2fd452d17c475a9eae3de074749ee3.edm" localSheetId="23" hidden="1">'Debt-old'!$A$20:$E$27</definedName>
    <definedName name="_bdm.4f3b8e7646224ce689393dfa8d792327.edm" localSheetId="5" hidden="1">Analysis!$A$1715:$D$1722</definedName>
    <definedName name="_bdm.4fcaf46156e742cab8c7c81b308c067f.edm" localSheetId="5" hidden="1">Analysis!$A$5521:$F$5549</definedName>
    <definedName name="_bdm.4fcaf46156e742cab8c7c81b308c067f.edm" localSheetId="22" hidden="1">Penetration!#REF!</definedName>
    <definedName name="_bdm.5132566c3a344d489fa65f283b6ea2c4.edm" localSheetId="23" hidden="1">'Debt-old'!$A$70:$E$114</definedName>
    <definedName name="_bdm.51ce1cbd50ba48f3bfe4f7e5ae5cf7bf.edm" localSheetId="5" hidden="1">Analysis!$A$1132:$K$1142</definedName>
    <definedName name="_bdm.52F7C27466024B2F8366BD985F2F02A7.edm" hidden="1">'[2]Pricing-Value'!$1:$1048576</definedName>
    <definedName name="_bdm.53883b9639d64abcbe73b4988048f273.edm" localSheetId="5" hidden="1">Analysis!$A$1693:$D$1703</definedName>
    <definedName name="_bdm.53a242e0a8ff4fdfb579e53514fc1a81.edm" localSheetId="5" hidden="1">Analysis!$A$1872:$B$1895</definedName>
    <definedName name="_bdm.53b58a8a230f48f1a3eac9c69a0f0f76.edm" hidden="1">'Debt-old'!$1:$1048576</definedName>
    <definedName name="_bdm.568b5e0a1b0a4431ae6728bf6706e64a.edm" localSheetId="5" hidden="1">Analysis!$A$2574:$B$2609</definedName>
    <definedName name="_bdm.573a319c8721454b98aa4037759160cb.edm" localSheetId="5" hidden="1">Analysis!$A$3865:$B$3880</definedName>
    <definedName name="_bdm.573a319c8721454b98aa4037759160cb.edm" localSheetId="22" hidden="1">Penetration!#REF!</definedName>
    <definedName name="_bdm.57adfbc4b956485dad0bcec8ac1df0b4.edm" hidden="1">#REF!</definedName>
    <definedName name="_bdm.57b71aa7ce224a1c9eea2509414ca19f.edm" hidden="1">#REF!</definedName>
    <definedName name="_bdm.58cce923bc3f4ef986c0e248ce448887.edm" localSheetId="5" hidden="1">Analysis!$A$3942:$B$3948</definedName>
    <definedName name="_bdm.58cce923bc3f4ef986c0e248ce448887.edm" localSheetId="22" hidden="1">Penetration!#REF!</definedName>
    <definedName name="_bdm.5bd04b94e7d74bedabf8e553d44404ba.edm" localSheetId="5" hidden="1">Analysis!$A$1553:$E$1561</definedName>
    <definedName name="_bdm.5eebe8160a35401b94263ffdd3dbd55c.edm" localSheetId="5" hidden="1">Analysis!$A$3819:$B$3826</definedName>
    <definedName name="_bdm.5eebe8160a35401b94263ffdd3dbd55c.edm" localSheetId="22" hidden="1">Penetration!#REF!</definedName>
    <definedName name="_bdm.5f2ab8c77cee4d938ea5dba9b8a55a07.edm" localSheetId="5" hidden="1">Analysis!$A$1899:$D$1903</definedName>
    <definedName name="_bdm.6260843cbf174947865da164bdf1a1ed.edm" localSheetId="5" hidden="1">Analysis!$A$3930:$C$3948</definedName>
    <definedName name="_bdm.6260843cbf174947865da164bdf1a1ed.edm" localSheetId="22" hidden="1">Penetration!#REF!</definedName>
    <definedName name="_bdm.646c21ac766f4422a90c232edd6a47d3.edm" hidden="1">#REF!</definedName>
    <definedName name="_bdm.6718c2dea9a24b13880ac499dd45965f.edm" hidden="1">Cover!$1:$1048576</definedName>
    <definedName name="_bdm.6831215d46b849b0a4d1005716d59b49.edm" localSheetId="19" hidden="1">Proxy_DCF!$A$81:$L$103</definedName>
    <definedName name="_bdm.6831215d46b849b0a4d1005716d59b49.edm" localSheetId="12" hidden="1">Valuation!$A$104:$K$127</definedName>
    <definedName name="_bdm.6831215d46b849b0a4d1005716d59b49.edm" localSheetId="13" hidden="1">'Valuation (2)'!$A$104:$L$127</definedName>
    <definedName name="_bdm.6aad48db1d24457380afb2379fb2d8e4.edm" localSheetId="29" hidden="1">'Exhibits for Analyst Day BF'!$A$93:$G$132</definedName>
    <definedName name="_bdm.6da1700fcf654961a0e716ebc115fd14.edm" localSheetId="25" hidden="1">New_Build_Summary!$W$31:$AA$35</definedName>
    <definedName name="_bdm.6f6299255a7f4b25a9ec9c3c28379f9e.edm" localSheetId="19" hidden="1">Proxy_DCF!$A$80:$L$121</definedName>
    <definedName name="_bdm.6f6299255a7f4b25a9ec9c3c28379f9e.edm" localSheetId="12" hidden="1">Valuation!$A$103:$M$145</definedName>
    <definedName name="_bdm.6f6299255a7f4b25a9ec9c3c28379f9e.edm" localSheetId="13" hidden="1">'Valuation (2)'!$A$103:$M$145</definedName>
    <definedName name="_bdm.748d077e72544082a6505d972959b4e1.edm" localSheetId="5" hidden="1">Analysis!$A$3819:$B$3828</definedName>
    <definedName name="_bdm.748d077e72544082a6505d972959b4e1.edm" localSheetId="22" hidden="1">Penetration!#REF!</definedName>
    <definedName name="_bdm.74dcd393aa3f42688c78b19a9e8995ac.edm" localSheetId="5" hidden="1">Analysis!$A$2573:$B$2599</definedName>
    <definedName name="_bdm.7518fc552d5e4664b57c477f5ed2899b.edm" localSheetId="5" hidden="1">Analysis!$A$3850:$B$3855</definedName>
    <definedName name="_bdm.7518fc552d5e4664b57c477f5ed2899b.edm" localSheetId="22" hidden="1">Penetration!#REF!</definedName>
    <definedName name="_bdm.75cb2aff116d423ea721d47604a14527.edm" localSheetId="3" hidden="1">'FTTH Model'!$D$11:$F$16</definedName>
    <definedName name="_bdm.77358592fb0545c49b997753d224f7b1.edm" localSheetId="19" hidden="1">Proxy_DCF!$A$81:$H$122</definedName>
    <definedName name="_bdm.77358592fb0545c49b997753d224f7b1.edm" localSheetId="12" hidden="1">Valuation!$A$104:$I$146</definedName>
    <definedName name="_bdm.77358592fb0545c49b997753d224f7b1.edm" localSheetId="13" hidden="1">'Valuation (2)'!$A$104:$I$146</definedName>
    <definedName name="_bdm.785b930416484e97917d03bcdee76f66.edm" hidden="1">#REF!</definedName>
    <definedName name="_bdm.78cc750d63c14655a1b65e566d7aee34.edm" hidden="1">'FTTH Model'!$1:$1048576</definedName>
    <definedName name="_bdm.7e873b7c00624c3aa3aeb2778003e6b3.edm" localSheetId="14" hidden="1">Guidance!$A$168:$E$180</definedName>
    <definedName name="_bdm.808df2075e9046078cd21f6a934bb44e.edm" localSheetId="5" hidden="1">Analysis!$A$4006:$C$4012</definedName>
    <definedName name="_bdm.808df2075e9046078cd21f6a934bb44e.edm" localSheetId="22" hidden="1">Penetration!#REF!</definedName>
    <definedName name="_bdm.8478f3bb4e134152a57591f6c9525515.edm" hidden="1">#REF!</definedName>
    <definedName name="_bdm.8555e4f0c53e4d98872af56d800db313.edm" localSheetId="19" hidden="1">Proxy_DCF!#REF!</definedName>
    <definedName name="_bdm.8555e4f0c53e4d98872af56d800db313.edm" localSheetId="12" hidden="1">Valuation!$A$243:$C$265</definedName>
    <definedName name="_bdm.8555e4f0c53e4d98872af56d800db313.edm" localSheetId="13" hidden="1">'Valuation (2)'!$A$243:$C$265</definedName>
    <definedName name="_bdm.86ca5a7192ec4db9b8933ee2032c5cbd.edm" localSheetId="5" hidden="1">Analysis!$A$1830:$E$1838</definedName>
    <definedName name="_bdm.87b3ef77ee964363bf0e27c87c2065ef.edm" localSheetId="30" hidden="1">'NS Exhibits for Analyst Day'!$A$4:$E$37</definedName>
    <definedName name="_bdm.886ab0035817423693214ff81ca30605.edm" localSheetId="29" hidden="1">'Exhibits for Analyst Day BF'!$A$3:$H$17</definedName>
    <definedName name="_bdm.8a42ab3944384a72994ca1ef05fac162.edm" localSheetId="5" hidden="1">Analysis!$A$1756:$E$1765</definedName>
    <definedName name="_bdm.8b920009151844a69340a60c5f7059d8.edm" localSheetId="5" hidden="1">Analysis!$A$54:$D$61</definedName>
    <definedName name="_bdm.8bfe14abca6144b58f753a7f2dfc162d.edm" hidden="1">#REF!</definedName>
    <definedName name="_bdm.8e0cef993cfa4a0284beb8d2eed73e3e.edm" localSheetId="5" hidden="1">Analysis!$A$888:$D$894</definedName>
    <definedName name="_bdm.8fd36f93992f49f288c943909f57785e.edm" localSheetId="23" hidden="1">'Debt-old'!$A$135:$C$151</definedName>
    <definedName name="_bdm.8fe167df73f54c679c09fd3160f029bc.edm" localSheetId="3" hidden="1">'FTTH Model'!$D$5:$E$11</definedName>
    <definedName name="_bdm.9014b391d33e490b8ab4f8d3ae959e50.edm" localSheetId="30" hidden="1">'NS Exhibits for Analyst Day'!$A$4:$E$36</definedName>
    <definedName name="_bdm.934ffbe79e864bd19d1c989534b4a9fd.edm" localSheetId="5" hidden="1">Analysis!$A$3943:$B$3948</definedName>
    <definedName name="_bdm.934ffbe79e864bd19d1c989534b4a9fd.edm" localSheetId="22" hidden="1">Penetration!#REF!</definedName>
    <definedName name="_bdm.938F12325396479EB110533CF2FD7226.edm" hidden="1">[2]Capacity_OLD!$1:$1048576</definedName>
    <definedName name="_bdm.94A995A29716481E8B184D618651E1AE.edm" hidden="1">#REF!</definedName>
    <definedName name="_bdm.9650ad1bddb64f45818219fa943258e9.edm" localSheetId="5" hidden="1">Analysis!$A$1725:$B$1741</definedName>
    <definedName name="_bdm.9701e76a2df248749350209d4f152fd6.edm" localSheetId="5" hidden="1">Analysis!$A$4039:$C$4046</definedName>
    <definedName name="_bdm.9701e76a2df248749350209d4f152fd6.edm" localSheetId="22" hidden="1">Penetration!#REF!</definedName>
    <definedName name="_bdm.97868661270647ed9ba7d2537d0465a2.edm" localSheetId="14" hidden="1">Guidance!$A$5:$E$13</definedName>
    <definedName name="_bdm.9829ace9c39640c3af6c98ad21d42048.edm" localSheetId="5" hidden="1">Analysis!$A$1791:$D$1808</definedName>
    <definedName name="_bdm.98719d2211aa494fb69cc7ab7d2172e8.edm" localSheetId="5" hidden="1">Analysis!$A$1680:$D$1688</definedName>
    <definedName name="_bdm.99e287731c8c461983ae59e0a9038ba8.edm" localSheetId="5" hidden="1">Analysis!$A$1778:$E$1788</definedName>
    <definedName name="_bdm.9a0e34132ba24cbebe10094decac4f61.edm" localSheetId="5" hidden="1">Analysis!$A$3895:$B$3900</definedName>
    <definedName name="_bdm.9a0e34132ba24cbebe10094decac4f61.edm" localSheetId="22" hidden="1">Penetration!#REF!</definedName>
    <definedName name="_bdm.9a200c9d608c4867af6897ff33f0a91a.edm" hidden="1">Guidance!$1:$1048576</definedName>
    <definedName name="_bdm.9C24A6A5AABA410C80B37C2194D4951E.edm" hidden="1">'[2]Asset Value'!$1:$1048576</definedName>
    <definedName name="_bdm.9cf8749f3f7f44ee8e5b9d11f3c0380f.edm" localSheetId="14" hidden="1">Guidance!$A$168:$G$180</definedName>
    <definedName name="_bdm.9f8d12e0e3614a78a8babf6fd0e4b7cc.edm" localSheetId="5" hidden="1">Analysis!$A$270:$K$275</definedName>
    <definedName name="_bdm.a449b43b714c4bab9346b6f7fb47fa0c.edm" localSheetId="5" hidden="1">Analysis!$A$1122:$K$1131</definedName>
    <definedName name="_bdm.a4803e0f5fb74b34a31ca37d721ede28.edm" localSheetId="5" hidden="1">Analysis!$A$533:$B$546</definedName>
    <definedName name="_bdm.aabba32523ee4bf38492002c3f396a7f.edm" hidden="1">#REF!</definedName>
    <definedName name="_bdm.ac5734e7bd5e4b4b8a527c9c81f28bf5.edm" localSheetId="25" hidden="1">New_Build_Summary!$W$37:$AA$41</definedName>
    <definedName name="_bdm.ad2106b073f1473697166aa98ef03ae4.edm" localSheetId="5" hidden="1">Analysis!$A$3534:$D$3555</definedName>
    <definedName name="_bdm.ad2106b073f1473697166aa98ef03ae4.edm" localSheetId="22" hidden="1">Penetration!#REF!</definedName>
    <definedName name="_bdm.ae16c96f7f5e471db4f657c331f55b67.edm" localSheetId="5" hidden="1">Analysis!$A$449:$I$469</definedName>
    <definedName name="_bdm.b1719e0081884022b32e830c15d1d6bf.edm" localSheetId="5" hidden="1">Analysis!$A$3973:$C$3992</definedName>
    <definedName name="_bdm.b1719e0081884022b32e830c15d1d6bf.edm" localSheetId="22" hidden="1">Penetration!#REF!</definedName>
    <definedName name="_bdm.bbfd9b4b55ae42de891c3d672a52caa5.edm" localSheetId="3" hidden="1">'FTTH Model'!$D$5:$E$11</definedName>
    <definedName name="_bdm.bcbbc12b52344aa1b798229b295942c9.edm" localSheetId="5" hidden="1">Analysis!$A$3828:$B$3835</definedName>
    <definedName name="_bdm.bcbbc12b52344aa1b798229b295942c9.edm" localSheetId="22" hidden="1">Penetration!#REF!</definedName>
    <definedName name="_bdm.bf0da84946e94835915ed56dd2d60f5c.edm" localSheetId="14" hidden="1">Guidance!$A$7:$E$12</definedName>
    <definedName name="_bdm.c1f8abf7b3534447845b64041f2d4f88.edm" localSheetId="5" hidden="1">Analysis!$A$1221:$B$1265</definedName>
    <definedName name="_bdm.C2120B8DA76E46EF8FE6C0EB0B100DDC.edm" hidden="1">'[2]Wholesale v. Retail'!$1:$1048576</definedName>
    <definedName name="_bdm.c2ba21ec95bb449e9487a89a4397fa34.edm" localSheetId="5" hidden="1">Analysis!$A$555:$B$570</definedName>
    <definedName name="_bdm.c2f844a18a9d44a68d8a8c0af6811c7d.edm" localSheetId="5" hidden="1">Analysis!$A$44:$D$51</definedName>
    <definedName name="_bdm.c337c1dc5f134db9b37a85134420dbdd.edm" localSheetId="5" hidden="1">Analysis!$A$1743:$B$1753</definedName>
    <definedName name="_bdm.c4c1d06331064140b5ae3e09016816c5.edm" localSheetId="5" hidden="1">Analysis!$A$760:$D$771</definedName>
    <definedName name="_bdm.c6b83388c91d44349e49391a989e8dfa.edm" localSheetId="5" hidden="1">Analysis!$A$3950:$C$4012</definedName>
    <definedName name="_bdm.c6b83388c91d44349e49391a989e8dfa.edm" localSheetId="22" hidden="1">Penetration!#REF!</definedName>
    <definedName name="_bdm.c748f5a92133437c9f531293ee6b96fa.edm" localSheetId="5" hidden="1">Analysis!$A$533:$B$545</definedName>
    <definedName name="_bdm.c95c12a21b244dfcb7396f5282535548.edm" hidden="1">#REF!</definedName>
    <definedName name="_bdm.caae144dbf26404e92a053ed6f4a87c7.edm" localSheetId="14" hidden="1">Guidance!$A$168:$E$179</definedName>
    <definedName name="_bdm.CCFC29ABE9BB45778519794B8FF83F58.edm" hidden="1">#REF!</definedName>
    <definedName name="_bdm.cd55a0a4b7404526a8137c68e1a17ea1.edm" localSheetId="29" hidden="1">'Exhibits for Analyst Day BF'!$A$134:$G$163</definedName>
    <definedName name="_bdm.ce23a4a107a8420587c54780941b7cc7.edm" localSheetId="5" hidden="1">Analysis!$A$34:$D$41</definedName>
    <definedName name="_bdm.cf7bd02d1aac49609d0f843d4db46e52.edm" localSheetId="5" hidden="1">Analysis!$A$2510:$B$2537</definedName>
    <definedName name="_bdm.d01b17cfecd140e484be0d6c80bbf937.edm" localSheetId="5" hidden="1">Analysis!$A$2600:$B$2610</definedName>
    <definedName name="_bdm.d0ab8d8c484041a49308cdf04eb13827.edm" localSheetId="14" hidden="1">Guidance!$A$7:$E$13</definedName>
    <definedName name="_bdm.d24b294928f44487bb96210e0e89259d.edm" localSheetId="3" hidden="1">'FTTH Model'!$A$5:$B$23</definedName>
    <definedName name="_bdm.d6318e5445b24e2a965e27de26781994.edm" localSheetId="5" hidden="1">Analysis!$A$3882:$B$3892</definedName>
    <definedName name="_bdm.d6318e5445b24e2a965e27de26781994.edm" localSheetId="22" hidden="1">Penetration!#REF!</definedName>
    <definedName name="_bdm.d666a75367dc4a5297cccd943734eab6.edm" localSheetId="5" hidden="1">Analysis!$A$1489:$K$1496</definedName>
    <definedName name="_bdm.d7f4114edf874e3faaae5b77935f1cf1.edm" localSheetId="5" hidden="1">Analysis!$A$2806:$G$2828</definedName>
    <definedName name="_bdm.d9377a03f8854a7387b3ab02663d52c4.edm" localSheetId="14" hidden="1">Guidance!$A$107:$J$125</definedName>
    <definedName name="_bdm.d958471435da485b9a205adb82a2e03c.edm" localSheetId="5" hidden="1">Analysis!#REF!</definedName>
    <definedName name="_bdm.d958471435da485b9a205adb82a2e03c.edm" localSheetId="22" hidden="1">Penetration!#REF!</definedName>
    <definedName name="_bdm.d9601921713942d48d5c38000e630ace.edm" localSheetId="23" hidden="1">'Debt-old'!$A$135:$C$148</definedName>
    <definedName name="_bdm.d9e49746fdc64c60a5e352665d45f7f7.edm" localSheetId="30" hidden="1">'NS Exhibits for Analyst Day'!$A$4:$E$28</definedName>
    <definedName name="_bdm.da0db532cba5440bb13733b489014fd0.edm" localSheetId="29" hidden="1">'Exhibits for Analyst Day BF'!$A$224:$H$239</definedName>
    <definedName name="_bdm.de963aa6886f49b5a30436392bb0ccd7.edm" localSheetId="14" hidden="1">Guidance!$A$52:$J$76</definedName>
    <definedName name="_bdm.e06b869f56bc4e82bb8f3b573fba3e09.edm" localSheetId="5" hidden="1">Analysis!$A$1499:$E$1505</definedName>
    <definedName name="_bdm.e0c61f7a74a14345a6e7fb2cafd8b171.edm" localSheetId="19" hidden="1">Proxy_DCF!$A$81:$L$122</definedName>
    <definedName name="_bdm.e0c61f7a74a14345a6e7fb2cafd8b171.edm" localSheetId="12" hidden="1">Valuation!$A$104:$K$146</definedName>
    <definedName name="_bdm.e0c61f7a74a14345a6e7fb2cafd8b171.edm" localSheetId="13" hidden="1">'Valuation (2)'!$A$104:$K$146</definedName>
    <definedName name="_bdm.e5fe6957f22e48ee9382ac5b78c50acf.edm" localSheetId="5" hidden="1">Analysis!$A$3894:$B$3900</definedName>
    <definedName name="_bdm.e5fe6957f22e48ee9382ac5b78c50acf.edm" localSheetId="22" hidden="1">Penetration!#REF!</definedName>
    <definedName name="_bdm.e71dccd1efc0421b99c64ca2a726f6f6.edm" localSheetId="19" hidden="1">Proxy_DCF!$A$81:$L$121</definedName>
    <definedName name="_bdm.e71dccd1efc0421b99c64ca2a726f6f6.edm" localSheetId="12" hidden="1">Valuation!$A$104:$M$145</definedName>
    <definedName name="_bdm.e71dccd1efc0421b99c64ca2a726f6f6.edm" localSheetId="13" hidden="1">'Valuation (2)'!$A$104:$M$145</definedName>
    <definedName name="_bdm.e724a26fb8c14a67b133798c1b699487.edm" hidden="1">#REF!</definedName>
    <definedName name="_bdm.ea1ca3e01b2244a0a4f1f4e6d7ff2f9d.edm" localSheetId="5" hidden="1">Analysis!$A$1863:$E$1869</definedName>
    <definedName name="_bdm.ebb137698bf1478db5707599dc5a9c16.edm" localSheetId="5" hidden="1">Analysis!$A$1811:$D$1826</definedName>
    <definedName name="_bdm.edb6b223efd240d0bf6552007bdb9e4c.edm" localSheetId="5" hidden="1">Analysis!$A$3930:$B$3940</definedName>
    <definedName name="_bdm.edb6b223efd240d0bf6552007bdb9e4c.edm" localSheetId="22" hidden="1">Penetration!#REF!</definedName>
    <definedName name="_bdm.ee03cbf08b14415087554cbccd449c08.edm" localSheetId="29" hidden="1">'Exhibits for Analyst Day BF'!$A$20:$H$39</definedName>
    <definedName name="_bdm.ef63968f449341e6b957898a65c6d8d8.edm" hidden="1">#REF!</definedName>
    <definedName name="_bdm.f00b718ee90e44c4927e5deab78216a0.edm" localSheetId="23" hidden="1">'Debt-old'!$A$70:$E$109</definedName>
    <definedName name="_bdm.f251b8fb31eb4fde9e0b218c0d236342.edm" hidden="1">Inputs!$1:$1048576</definedName>
    <definedName name="_bdm.f8a266ef02c74216a12c02f0dfbd4c00.edm" localSheetId="5" hidden="1">Analysis!$A$264:$K$269</definedName>
    <definedName name="_bdm.f94548e2391842c78bde27982b6906ed.edm" hidden="1">#REF!</definedName>
    <definedName name="_bdm.f97f8a4301b14a31827c6db5c7ad26d4.edm" localSheetId="5" hidden="1">Analysis!$A$1745:$B$1753</definedName>
    <definedName name="_bdm.fccccf11e93d464ba73ce454264d9fb4.edm" localSheetId="5" hidden="1">Analysis!$A$3883:$B$3892</definedName>
    <definedName name="_bdm.fccccf11e93d464ba73ce454264d9fb4.edm" localSheetId="22" hidden="1">Penetration!#REF!</definedName>
    <definedName name="_bdm.fe469c7e1fe249d7aa9b6b1fabd004ae.edm" localSheetId="19" hidden="1">Proxy_DCF!$A$81:$L$122</definedName>
    <definedName name="_bdm.fe469c7e1fe249d7aa9b6b1fabd004ae.edm" localSheetId="12" hidden="1">Valuation!$A$104:$L$146</definedName>
    <definedName name="_bdm.fe469c7e1fe249d7aa9b6b1fabd004ae.edm" localSheetId="13" hidden="1">'Valuation (2)'!$A$104:$L$146</definedName>
    <definedName name="_bdm.fea63aa5a2ad464883511fbe7af31b27.edm" localSheetId="5" hidden="1">Analysis!$A$1481:$K$1487</definedName>
    <definedName name="_bdm.ff5722b463da4f23bfcac7aaf4553ca8.edm" localSheetId="5" hidden="1">Analysis!$A$3837:$C$3847</definedName>
    <definedName name="_bdm.ff5722b463da4f23bfcac7aaf4553ca8.edm" localSheetId="22" hidden="1">Penetration!#REF!</definedName>
    <definedName name="_g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_g4" hidden="1">{"Line Efficiency",#N/A,FALSE,"Benchmarking"}</definedName>
    <definedName name="_g5" hidden="1">{"print 1",#N/A,FALSE,"PrimeCo PCS";"print 2",#N/A,FALSE,"PrimeCo PCS";"valuation",#N/A,FALSE,"PrimeCo PCS"}</definedName>
    <definedName name="_g6" hidden="1">{#N/A,#N/A,FALSE,"Spain MKT";#N/A,#N/A,FALSE,"Assumptions";#N/A,#N/A,FALSE,"Adve";#N/A,#N/A,FALSE,"E-Commerce";#N/A,#N/A,FALSE,"Opex";#N/A,#N/A,FALSE,"P&amp;L";#N/A,#N/A,FALSE,"FCF &amp; DCF"}</definedName>
    <definedName name="_g7" hidden="1">{"Tarifica91",#N/A,FALSE,"Tariffs";"Tarifica92",#N/A,FALSE,"Tariffs";"Tarifica93",#N/A,FALSE,"Tariffs";"Tarifica94",#N/A,FALSE,"Tariffs";"Tarifica95",#N/A,FALSE,"Tariffs";"Tarifica96",#N/A,FALSE,"Tariffs"}</definedName>
    <definedName name="_g8" hidden="1">{"Tariff Comparison",#N/A,FALSE,"Benchmarking";"Tariff Comparison 2",#N/A,FALSE,"Benchmarking";"Tariff Comparison 3",#N/A,FALSE,"Benchmarking"}</definedName>
    <definedName name="_Key1" hidden="1">#REF!</definedName>
    <definedName name="_Key1b" hidden="1">#REF!</definedName>
    <definedName name="_Order1" hidden="1">0</definedName>
    <definedName name="_Order2" hidden="1">255</definedName>
    <definedName name="_Sort" hidden="1">[3]Sheet1!$A$84:$I$85</definedName>
    <definedName name="_Sortb" hidden="1">[3]Sheet1!$A$84:$I$85</definedName>
    <definedName name="a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bc" hidden="1">{"Methodology and Sourcing",#N/A,FALSE,"Methodology and Sourcing";"britishtelecom",#N/A,FALSE,"BT out";"CTC",#N/A,FALSE,"CTC out";"DT",#N/A,FALSE,"DT out";"FT",#N/A,FALSE,"FT out";"HKT",#N/A,FALSE,"HKT out";"KPN",#N/A,FALSE,"KPN out";"MATAV",#N/A,FALSE,"MATAV out";"PT Telkom",#N/A,FALSE,"PT Telkom out";"Tel Arg",#N/A,FALSE,"Tel Arg out";"Telef Arg",#N/A,FALSE,"TASA out";"Tel Asia",#N/A,FALSE,"Tel. Asia Out";"T de E",#N/A,FALSE,"T de E out";"Tel Malay",#N/A,FALSE,"Tel Malay out";"TELMEX",#N/A,FALSE,"Telmex out";"TNZ",#N/A,FALSE,"TNZ out";"Telkom SA",#N/A,FALSE,"Telkom SA out";"SPT",#N/A,FALSE,"SPT out";"USA",#N/A,FALSE,"USA out"}</definedName>
    <definedName name="AMTTargetPrice" localSheetId="19">Proxy_DCF!#REF!</definedName>
    <definedName name="AMTTargetPrice" localSheetId="13">'Valuation (2)'!$B$15</definedName>
    <definedName name="AMTTargetPrice">Valuation!$B$15</definedName>
    <definedName name="ard" hidden="1">{"Employee Efficiency",#N/A,FALSE,"Benchmarking"}</definedName>
    <definedName name="bv" hidden="1">{"subs",#N/A,FALSE,"database ";"proportional",#N/A,FALSE,"database "}</definedName>
    <definedName name="cde" hidden="1">{"subs",#N/A,FALSE,"database ";"proportional",#N/A,FALSE,"database "}</definedName>
    <definedName name="CHAMP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CHAMP_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CHTRCurrentPrice">[4]Valuation!$B$6</definedName>
    <definedName name="CHTRRating">'[4]Cover Sheet'!$C$26</definedName>
    <definedName name="CHTRTargetPrice">[4]Valuation!$B$16</definedName>
    <definedName name="CIQWBGuid" hidden="1">"88fe2ef1-126f-46af-b489-6c6f1f81946e"</definedName>
    <definedName name="CMCSACurrentPrice">#REF!</definedName>
    <definedName name="CMCSATargetPrice">#REF!</definedName>
    <definedName name="cx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de" hidden="1">{"Line Efficiency",#N/A,FALSE,"Benchmarking"}</definedName>
    <definedName name="e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_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fg" hidden="1">{"Employee Efficiency",#N/A,FALSE,"Benchmarking"}</definedName>
    <definedName name="er" hidden="1">{"Tarifica91",#N/A,FALSE,"Tariffs";"Tarifica92",#N/A,FALSE,"Tariffs";"Tarifica93",#N/A,FALSE,"Tariffs";"Tarifica94",#N/A,FALSE,"Tariffs";"Tarifica95",#N/A,FALSE,"Tariffs";"Tarifica96",#N/A,FALSE,"Tariffs"}</definedName>
    <definedName name="ff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ff_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fg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FTRTargetPrice" localSheetId="19">Proxy_DCF!#REF!</definedName>
    <definedName name="FTRTargetPrice" localSheetId="13">'Valuation (2)'!$B$15</definedName>
    <definedName name="FTRTargetPrice">Valuation!$B$15</definedName>
    <definedName name="h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hj" hidden="1">{"print 1",#N/A,FALSE,"PrimeCo PCS";"print 2",#N/A,FALSE,"PrimeCo PCS";"valuation",#N/A,FALSE,"PrimeCo PCS"}</definedName>
    <definedName name="intro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intro_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TD" hidden="1">800000</definedName>
    <definedName name="IQ_NAMES_REVISION_DATE_" hidden="1">42124.6167824074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Z_SCORE" hidden="1">"c1339"</definedName>
    <definedName name="j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jk" hidden="1">{#N/A,#N/A,FALSE,"Spain MKT";#N/A,#N/A,FALSE,"Assumptions";#N/A,#N/A,FALSE,"Adve";#N/A,#N/A,FALSE,"E-Commerce";#N/A,#N/A,FALSE,"Opex";#N/A,#N/A,FALSE,"P&amp;L";#N/A,#N/A,FALSE,"FCF &amp; DCF"}</definedName>
    <definedName name="k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kl" hidden="1">{"Tarifica91",#N/A,FALSE,"Tariffs";"Tarifica92",#N/A,FALSE,"Tariffs";"Tarifica93",#N/A,FALSE,"Tariffs";"Tarifica94",#N/A,FALSE,"Tariffs";"Tarifica95",#N/A,FALSE,"Tariffs";"Tarifica96",#N/A,FALSE,"Tariffs"}</definedName>
    <definedName name="MetroPCS_Pricing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MetroPCS_Pricing_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mn" hidden="1">{"Tariff Comparison",#N/A,FALSE,"Benchmarking";"Tariff Comparison 2",#N/A,FALSE,"Benchmarking";"Tariff Comparison 3",#N/A,FALSE,"Benchmarking"}</definedName>
    <definedName name="nb" hidden="1">{"Methodology and Sourcing",#N/A,FALSE,"Methodology and Sourcing";"britishtelecom",#N/A,FALSE,"BT out";"CTC",#N/A,FALSE,"CTC out";"DT",#N/A,FALSE,"DT out";"FT",#N/A,FALSE,"FT out";"HKT",#N/A,FALSE,"HKT out";"KPN",#N/A,FALSE,"KPN out";"MATAV",#N/A,FALSE,"MATAV out";"PT Telkom",#N/A,FALSE,"PT Telkom out";"Tel Arg",#N/A,FALSE,"Tel Arg out";"Telef Arg",#N/A,FALSE,"TASA out";"Tel Asia",#N/A,FALSE,"Tel. Asia Out";"T de E",#N/A,FALSE,"T de E out";"Tel Malay",#N/A,FALSE,"Tel Malay out";"TELMEX",#N/A,FALSE,"Telmex out";"TNZ",#N/A,FALSE,"TNZ out";"Telkom SA",#N/A,FALSE,"Telkom SA out";"SPT",#N/A,FALSE,"SPT out";"USA",#N/A,FALSE,"USA out"}</definedName>
    <definedName name="Output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output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w" hidden="1">{"print 1",#N/A,FALSE,"PrimeCo PCS";"print 2",#N/A,FALSE,"PrimeCo PCS";"valuation",#N/A,FALSE,"PrimeCo PCS"}</definedName>
    <definedName name="rt" hidden="1">{"Tariff Comparison",#N/A,FALSE,"Benchmarking";"Tariff Comparison 2",#N/A,FALSE,"Benchmarking";"Tariff Comparison 3",#N/A,FALSE,"Benchmarking"}</definedName>
    <definedName name="sdas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sdas_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ss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vc" hidden="1">{"Employee Efficiency",#N/A,FALSE,"Benchmarking"}</definedName>
    <definedName name="w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" hidden="1">{#N/A,#N/A,FALSE,"Spain MKT";#N/A,#N/A,FALSE,"Assumptions";#N/A,#N/A,FALSE,"Adve";#N/A,#N/A,FALSE,"E-Commerce";#N/A,#N/A,FALSE,"Opex";#N/A,#N/A,FALSE,"P&amp;L";#N/A,#N/A,FALSE,"FCF &amp; DCF"}</definedName>
    <definedName name="wrn.all." hidden="1">{#N/A,#N/A,FALSE,"Time Warner";#N/A,#N/A,FALSE,"Entertainment Group";#N/A,#N/A,FALSE,"EBITDA";#N/A,#N/A,FALSE,"Notes"}</definedName>
    <definedName name="wrn.All._.Company._.Analyses." hidden="1">{"Methodology and Sourcing",#N/A,FALSE,"Methodology and Sourcing";"britishtelecom",#N/A,FALSE,"BT out";"CTC",#N/A,FALSE,"CTC out";"DT",#N/A,FALSE,"DT out";"FT",#N/A,FALSE,"FT out";"HKT",#N/A,FALSE,"HKT out";"KPN",#N/A,FALSE,"KPN out";"MATAV",#N/A,FALSE,"MATAV out";"PT Telkom",#N/A,FALSE,"PT Telkom out";"Tel Arg",#N/A,FALSE,"Tel Arg out";"Telef Arg",#N/A,FALSE,"TASA out";"Tel Asia",#N/A,FALSE,"Tel. Asia Out";"T de E",#N/A,FALSE,"T de E out";"Tel Malay",#N/A,FALSE,"Tel Malay out";"TELMEX",#N/A,FALSE,"Telmex out";"TNZ",#N/A,FALSE,"TNZ out";"Telkom SA",#N/A,FALSE,"Telkom SA out";"SPT",#N/A,FALSE,"SPT out";"USA",#N/A,FALSE,"USA out"}</definedName>
    <definedName name="wrn.Comcast." hidden="1">{"EPS_one",#N/A,FALSE,"96-02 EPS";"EPS_two",#N/A,FALSE,"96-02 EPS";"Newrev_one",#N/A,FALSE,"New rev 97 - 02";"Newrev_two",#N/A,FALSE,"New rev 97 - 02";"cable_one",#N/A,FALSE,"cable 96-02";"cable_two",#N/A,FALSE,"cable 96-02";"data.page",#N/A,FALSE,"Data_page"}</definedName>
    <definedName name="wrn.database." hidden="1">{"subs",#N/A,FALSE,"database ";"proportional",#N/A,FALSE,"database 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_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awe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awe._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mployee._.Efficiency." hidden="1">{"Employee Efficiency",#N/A,FALSE,"Benchmarking"}</definedName>
    <definedName name="wrn.international.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Line._.Efficiency." hidden="1">{"Line Efficiency",#N/A,FALSE,"Benchmarking"}</definedName>
    <definedName name="wrn.Models." hidden="1">{"cable_one",#N/A,FALSE,"cable 96-02";"cable_two",#N/A,FALSE,"cable 96-02";"Newrev_one",#N/A,FALSE,"New rev 97 - 02";"Newrev_two",#N/A,FALSE,"New rev 97 - 02"}</definedName>
    <definedName name="wrn.PrimeCo." hidden="1">{"print 1",#N/A,FALSE,"PrimeCo PCS";"print 2",#N/A,FALSE,"PrimeCo PCS";"valuation",#N/A,FALSE,"PrimeCo PCS"}</definedName>
    <definedName name="wrn.print._.pages." hidden="1">{#N/A,#N/A,FALSE,"Spain MKT";#N/A,#N/A,FALSE,"Assumptions";#N/A,#N/A,FALSE,"Adve";#N/A,#N/A,FALSE,"E-Commerce";#N/A,#N/A,FALSE,"Opex";#N/A,#N/A,FALSE,"P&amp;L";#N/A,#N/A,FALSE,"FCF &amp; DCF"}</definedName>
    <definedName name="wrn.rEPORT." hidden="1">{#N/A,#N/A,TRUE,"EBITDA Statement";#N/A,#N/A,TRUE,"Sources &amp; Uses";#N/A,#N/A,TRUE,"Balance Sheet";#N/A,#N/A,TRUE,"Domestic Towers";#N/A,#N/A,TRUE,"Domestic Monopole";#N/A,#N/A,TRUE,"Domestic Rooftop";#N/A,#N/A,TRUE,"International Towers";#N/A,#N/A,TRUE,"International Microwave";#N/A,#N/A,TRUE,"International SMR";#N/A,#N/A,TRUE,"Equity Earnings";#N/A,#N/A,TRUE,"Capital Expenditures";#N/A,#N/A,TRUE,"Notes Payable";#N/A,#N/A,TRUE,"Financing";#N/A,#N/A,TRUE,"New Equity"}</definedName>
    <definedName name="wrn.rEPORT._1" hidden="1">{#N/A,#N/A,TRUE,"EBITDA Statement";#N/A,#N/A,TRUE,"Sources &amp; Uses";#N/A,#N/A,TRUE,"Balance Sheet";#N/A,#N/A,TRUE,"Domestic Towers";#N/A,#N/A,TRUE,"Domestic Monopole";#N/A,#N/A,TRUE,"Domestic Rooftop";#N/A,#N/A,TRUE,"International Towers";#N/A,#N/A,TRUE,"International Microwave";#N/A,#N/A,TRUE,"International SMR";#N/A,#N/A,TRUE,"Equity Earnings";#N/A,#N/A,TRUE,"Capital Expenditures";#N/A,#N/A,TRUE,"Notes Payable";#N/A,#N/A,TRUE,"Financing";#N/A,#N/A,TRUE,"New Equity"}</definedName>
    <definedName name="wrn.Tariff._.Analysis." hidden="1">{"Tarifica91",#N/A,FALSE,"Tariffs";"Tarifica92",#N/A,FALSE,"Tariffs";"Tarifica93",#N/A,FALSE,"Tariffs";"Tarifica94",#N/A,FALSE,"Tariffs";"Tarifica95",#N/A,FALSE,"Tariffs";"Tarifica96",#N/A,FALSE,"Tariffs"}</definedName>
    <definedName name="wrn.Tariff._.Comaprison." hidden="1">{"Tariff Comparison",#N/A,FALSE,"Benchmarking";"Tariff Comparison 2",#N/A,FALSE,"Benchmarking";"Tariff Comparison 3",#N/A,FALSE,"Benchmarking"}</definedName>
    <definedName name="xyz" hidden="1">{"Methodology and Sourcing",#N/A,FALSE,"Methodology and Sourcing";"britishtelecom",#N/A,FALSE,"BT out";"CTC",#N/A,FALSE,"CTC out";"DT",#N/A,FALSE,"DT out";"FT",#N/A,FALSE,"FT out";"HKT",#N/A,FALSE,"HKT out";"KPN",#N/A,FALSE,"KPN out";"MATAV",#N/A,FALSE,"MATAV out";"PT Telkom",#N/A,FALSE,"PT Telkom out";"Tel Arg",#N/A,FALSE,"Tel Arg out";"Telef Arg",#N/A,FALSE,"TASA out";"Tel Asia",#N/A,FALSE,"Tel. Asia Out";"T de E",#N/A,FALSE,"T de E out";"Tel Malay",#N/A,FALSE,"Tel Malay out";"TELMEX",#N/A,FALSE,"Telmex out";"TNZ",#N/A,FALSE,"TNZ out";"Telkom SA",#N/A,FALSE,"Telkom SA out";"SPT",#N/A,FALSE,"SPT out";"USA",#N/A,FALSE,"USA out"}</definedName>
    <definedName name="xz" hidden="1">{"Line Efficiency",#N/A,FALSE,"Benchmarking"}</definedName>
  </definedNames>
  <calcPr calcId="191029" calcMode="autoNoTable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43" l="1"/>
  <c r="D6" i="43" s="1"/>
  <c r="D7" i="43" s="1"/>
  <c r="D8" i="43" s="1"/>
  <c r="D9" i="43" s="1"/>
  <c r="D10" i="43" s="1"/>
  <c r="D11" i="43" s="1"/>
  <c r="D12" i="43" s="1"/>
  <c r="D13" i="43" s="1"/>
  <c r="D14" i="43" s="1"/>
  <c r="D15" i="43" s="1"/>
  <c r="D16" i="43" s="1"/>
  <c r="D17" i="43" s="1"/>
  <c r="D18" i="43" s="1"/>
  <c r="D19" i="43" s="1"/>
  <c r="D20" i="43" s="1"/>
  <c r="D21" i="43" s="1"/>
  <c r="D22" i="43" s="1"/>
  <c r="D23" i="43" s="1"/>
  <c r="D24" i="43" s="1"/>
  <c r="D25" i="43" s="1"/>
  <c r="D26" i="43" s="1"/>
  <c r="D27" i="43" s="1"/>
  <c r="D28" i="43" s="1"/>
  <c r="D29" i="43" s="1"/>
  <c r="D30" i="43" s="1"/>
  <c r="D31" i="43" s="1"/>
  <c r="D32" i="43" s="1"/>
  <c r="D33" i="43" s="1"/>
  <c r="D34" i="43" s="1"/>
  <c r="D35" i="43" s="1"/>
  <c r="D36" i="43" s="1"/>
  <c r="D37" i="43" s="1"/>
  <c r="D38" i="43" s="1"/>
  <c r="D39" i="43" s="1"/>
  <c r="D40" i="43" s="1"/>
  <c r="D41" i="43" s="1"/>
  <c r="D42" i="43" s="1"/>
  <c r="D43" i="43" s="1"/>
  <c r="D44" i="43" s="1"/>
  <c r="D45" i="43" s="1"/>
  <c r="D46" i="43" s="1"/>
  <c r="D47" i="43" s="1"/>
  <c r="D48" i="43" s="1"/>
  <c r="D49" i="43" s="1"/>
  <c r="D50" i="43" s="1"/>
  <c r="D51" i="43" s="1"/>
  <c r="D52" i="43" s="1"/>
  <c r="D53" i="43" s="1"/>
  <c r="D54" i="43" s="1"/>
  <c r="D55" i="43" s="1"/>
  <c r="D56" i="43" s="1"/>
  <c r="D57" i="43" s="1"/>
  <c r="D58" i="43" s="1"/>
  <c r="D59" i="43" s="1"/>
  <c r="D60" i="43" s="1"/>
  <c r="D61" i="43" s="1"/>
  <c r="D62" i="43" s="1"/>
  <c r="D63" i="43" s="1"/>
  <c r="D64" i="43" s="1"/>
  <c r="D65" i="43" s="1"/>
  <c r="D66" i="43" s="1"/>
  <c r="D67" i="43" s="1"/>
  <c r="D68" i="43" s="1"/>
  <c r="D69" i="43" s="1"/>
  <c r="D70" i="43" s="1"/>
  <c r="D71" i="43" s="1"/>
  <c r="D72" i="43" s="1"/>
  <c r="D73" i="43" s="1"/>
  <c r="D74" i="43" s="1"/>
  <c r="D75" i="43" s="1"/>
  <c r="D76" i="43" s="1"/>
  <c r="D77" i="43" s="1"/>
  <c r="D78" i="43" s="1"/>
  <c r="D79" i="43" s="1"/>
  <c r="D80" i="43" s="1"/>
  <c r="D81" i="43" s="1"/>
  <c r="D82" i="43" s="1"/>
  <c r="D83" i="43" s="1"/>
  <c r="D84" i="43" s="1"/>
  <c r="D85" i="43" s="1"/>
  <c r="D86" i="43" s="1"/>
  <c r="D87" i="43" s="1"/>
  <c r="D88" i="43" s="1"/>
  <c r="D89" i="43" s="1"/>
  <c r="D90" i="43" s="1"/>
  <c r="D91" i="43" s="1"/>
  <c r="D92" i="43" s="1"/>
  <c r="D93" i="43" s="1"/>
  <c r="D94" i="43" s="1"/>
  <c r="D95" i="43" s="1"/>
  <c r="D96" i="43" s="1"/>
  <c r="D97" i="43" s="1"/>
  <c r="D98" i="43" s="1"/>
  <c r="D99" i="43" s="1"/>
  <c r="D100" i="43" s="1"/>
  <c r="D101" i="43" s="1"/>
  <c r="D102" i="43" s="1"/>
  <c r="D103" i="43" s="1"/>
  <c r="D104" i="43" s="1"/>
  <c r="D105" i="43" s="1"/>
  <c r="D106" i="43" s="1"/>
  <c r="D107" i="43" s="1"/>
  <c r="D108" i="43" s="1"/>
  <c r="D109" i="43" s="1"/>
  <c r="D110" i="43" s="1"/>
  <c r="D111" i="43" s="1"/>
  <c r="D112" i="43" s="1"/>
  <c r="D113" i="43" s="1"/>
  <c r="D114" i="43" s="1"/>
  <c r="D115" i="43" s="1"/>
  <c r="D116" i="43" s="1"/>
  <c r="D117" i="43" s="1"/>
  <c r="D4" i="43"/>
  <c r="A118" i="43"/>
  <c r="D118" i="43" s="1"/>
  <c r="B4" i="43" a="1"/>
  <c r="C18" i="43" l="1"/>
  <c r="C34" i="43"/>
  <c r="C50" i="43"/>
  <c r="C66" i="43"/>
  <c r="C82" i="43"/>
  <c r="C98" i="43"/>
  <c r="C114" i="43"/>
  <c r="C35" i="43"/>
  <c r="C51" i="43"/>
  <c r="C67" i="43"/>
  <c r="C83" i="43"/>
  <c r="C99" i="43"/>
  <c r="C115" i="43"/>
  <c r="C36" i="43"/>
  <c r="C52" i="43"/>
  <c r="C68" i="43"/>
  <c r="C84" i="43"/>
  <c r="C100" i="43"/>
  <c r="C116" i="43"/>
  <c r="C21" i="43"/>
  <c r="C37" i="43"/>
  <c r="C69" i="43"/>
  <c r="C85" i="43"/>
  <c r="C101" i="43"/>
  <c r="C117" i="43"/>
  <c r="C56" i="43"/>
  <c r="C72" i="43"/>
  <c r="C104" i="43"/>
  <c r="C25" i="43"/>
  <c r="C57" i="43"/>
  <c r="C73" i="43"/>
  <c r="C105" i="43"/>
  <c r="C26" i="43"/>
  <c r="C58" i="43"/>
  <c r="C90" i="43"/>
  <c r="C11" i="43"/>
  <c r="C59" i="43"/>
  <c r="C91" i="43"/>
  <c r="C12" i="43"/>
  <c r="C60" i="43"/>
  <c r="C108" i="43"/>
  <c r="C29" i="43"/>
  <c r="C77" i="43"/>
  <c r="C30" i="43"/>
  <c r="C110" i="43"/>
  <c r="C31" i="43"/>
  <c r="C16" i="43"/>
  <c r="C80" i="43"/>
  <c r="C112" i="43"/>
  <c r="C33" i="43"/>
  <c r="C113" i="43"/>
  <c r="C19" i="43"/>
  <c r="C13" i="43"/>
  <c r="C78" i="43"/>
  <c r="C47" i="43"/>
  <c r="C95" i="43"/>
  <c r="C64" i="43"/>
  <c r="C96" i="43"/>
  <c r="C17" i="43"/>
  <c r="C97" i="43"/>
  <c r="C20" i="43"/>
  <c r="C5" i="43"/>
  <c r="C53" i="43"/>
  <c r="C10" i="43"/>
  <c r="C43" i="43"/>
  <c r="C44" i="43"/>
  <c r="C76" i="43"/>
  <c r="C61" i="43"/>
  <c r="C109" i="43"/>
  <c r="C62" i="43"/>
  <c r="C63" i="43"/>
  <c r="C111" i="43"/>
  <c r="C48" i="43"/>
  <c r="C49" i="43"/>
  <c r="C6" i="43"/>
  <c r="C22" i="43"/>
  <c r="C38" i="43"/>
  <c r="C54" i="43"/>
  <c r="C70" i="43"/>
  <c r="C86" i="43"/>
  <c r="C102" i="43"/>
  <c r="C118" i="43"/>
  <c r="C7" i="43"/>
  <c r="C23" i="43"/>
  <c r="C39" i="43"/>
  <c r="C55" i="43"/>
  <c r="C71" i="43"/>
  <c r="C87" i="43"/>
  <c r="C103" i="43"/>
  <c r="C8" i="43"/>
  <c r="C24" i="43"/>
  <c r="C40" i="43"/>
  <c r="C88" i="43"/>
  <c r="C9" i="43"/>
  <c r="C41" i="43"/>
  <c r="C89" i="43"/>
  <c r="C42" i="43"/>
  <c r="C74" i="43"/>
  <c r="C106" i="43"/>
  <c r="C27" i="43"/>
  <c r="C75" i="43"/>
  <c r="C107" i="43"/>
  <c r="C28" i="43"/>
  <c r="C92" i="43"/>
  <c r="C45" i="43"/>
  <c r="C93" i="43"/>
  <c r="C46" i="43"/>
  <c r="C94" i="43"/>
  <c r="C15" i="43"/>
  <c r="C79" i="43"/>
  <c r="C32" i="43"/>
  <c r="C81" i="43"/>
  <c r="C14" i="43"/>
  <c r="C65" i="43"/>
  <c r="B4" i="43"/>
  <c r="C4" i="43" s="1"/>
  <c r="FH582" i="2"/>
  <c r="FI582" i="2" s="1"/>
  <c r="EW213" i="4" l="1"/>
  <c r="EW196" i="4"/>
  <c r="B9" i="6" s="1"/>
  <c r="EW171" i="4"/>
  <c r="EW172" i="4"/>
  <c r="EW173" i="4"/>
  <c r="EW174" i="4"/>
  <c r="EW175" i="4"/>
  <c r="EW178" i="4"/>
  <c r="EW179" i="4"/>
  <c r="EW182" i="4"/>
  <c r="EW183" i="4"/>
  <c r="EW184" i="4"/>
  <c r="EW187" i="4"/>
  <c r="EW188" i="4"/>
  <c r="EW189" i="4"/>
  <c r="EW190" i="4"/>
  <c r="EW166" i="4"/>
  <c r="EW141" i="4"/>
  <c r="EW98" i="4"/>
  <c r="EW100" i="4"/>
  <c r="EW101" i="4"/>
  <c r="EW102" i="4"/>
  <c r="EW108" i="4"/>
  <c r="EW109" i="4"/>
  <c r="EW112" i="4"/>
  <c r="EW113" i="4"/>
  <c r="EW114" i="4"/>
  <c r="EW115" i="4"/>
  <c r="EW116" i="4"/>
  <c r="EW117" i="4"/>
  <c r="EW53" i="4"/>
  <c r="EW65" i="4"/>
  <c r="EW66" i="4"/>
  <c r="EW99" i="4" s="1"/>
  <c r="EW67" i="4"/>
  <c r="EW71" i="4"/>
  <c r="EW72" i="4"/>
  <c r="EW73" i="4"/>
  <c r="EW207" i="4" s="1"/>
  <c r="EW75" i="4"/>
  <c r="EW167" i="4" s="1"/>
  <c r="EW78" i="4"/>
  <c r="EW80" i="4"/>
  <c r="EW22" i="4"/>
  <c r="EW23" i="4"/>
  <c r="EW24" i="4"/>
  <c r="EW25" i="4"/>
  <c r="EW27" i="4"/>
  <c r="EW32" i="4"/>
  <c r="EW36" i="4" s="1"/>
  <c r="EW33" i="4"/>
  <c r="EW34" i="4"/>
  <c r="EW35" i="4"/>
  <c r="EW37" i="4"/>
  <c r="EW39" i="4"/>
  <c r="EW587" i="2"/>
  <c r="EW579" i="2"/>
  <c r="EW581" i="2"/>
  <c r="EW582" i="2"/>
  <c r="EW583" i="2"/>
  <c r="EW572" i="2"/>
  <c r="EW547" i="2"/>
  <c r="EW483" i="2"/>
  <c r="EW490" i="2"/>
  <c r="EW495" i="2"/>
  <c r="EW493" i="2" s="1"/>
  <c r="EW457" i="2"/>
  <c r="EW431" i="2"/>
  <c r="EW433" i="2"/>
  <c r="EW435" i="2"/>
  <c r="EW446" i="2"/>
  <c r="EW388" i="2"/>
  <c r="EW323" i="2"/>
  <c r="EW325" i="2"/>
  <c r="EW329" i="2"/>
  <c r="EW331" i="2"/>
  <c r="EW333" i="2"/>
  <c r="EW260" i="2"/>
  <c r="EW264" i="2"/>
  <c r="FB264" i="2" s="1"/>
  <c r="EW271" i="2"/>
  <c r="EW273" i="2"/>
  <c r="EW305" i="2"/>
  <c r="EW309" i="2"/>
  <c r="FB309" i="2" s="1"/>
  <c r="EW251" i="2"/>
  <c r="EW186" i="2"/>
  <c r="EW188" i="2"/>
  <c r="EW194" i="2"/>
  <c r="EW115" i="2"/>
  <c r="EW119" i="2"/>
  <c r="FB119" i="2" s="1"/>
  <c r="EW126" i="2"/>
  <c r="EW128" i="2"/>
  <c r="EW138" i="2"/>
  <c r="EW142" i="2"/>
  <c r="EW154" i="2"/>
  <c r="EW87" i="2"/>
  <c r="EW96" i="2"/>
  <c r="EW99" i="2"/>
  <c r="EW54" i="2"/>
  <c r="EW536" i="1"/>
  <c r="EW465" i="1"/>
  <c r="EW466" i="1"/>
  <c r="EW468" i="1"/>
  <c r="EW469" i="1"/>
  <c r="EW477" i="1"/>
  <c r="EW479" i="1"/>
  <c r="EW433" i="1"/>
  <c r="EW435" i="1" s="1"/>
  <c r="EW402" i="1"/>
  <c r="EW407" i="1"/>
  <c r="EW412" i="1"/>
  <c r="EW387" i="1"/>
  <c r="EW341" i="1"/>
  <c r="EW357" i="1"/>
  <c r="EW358" i="1"/>
  <c r="EW363" i="1"/>
  <c r="EW367" i="1"/>
  <c r="EW372" i="1"/>
  <c r="EW308" i="1"/>
  <c r="EV308" i="1"/>
  <c r="ER308" i="1"/>
  <c r="ES308" i="1" s="1"/>
  <c r="EW311" i="1"/>
  <c r="EW310" i="1"/>
  <c r="EX305" i="1"/>
  <c r="EX304" i="1"/>
  <c r="EX303" i="1"/>
  <c r="EX301" i="1"/>
  <c r="EW288" i="1"/>
  <c r="EW140" i="4" s="1"/>
  <c r="EX296" i="1"/>
  <c r="EX295" i="1"/>
  <c r="EW290" i="1"/>
  <c r="EX289" i="1"/>
  <c r="EW287" i="1"/>
  <c r="EW139" i="4" s="1"/>
  <c r="EW286" i="1"/>
  <c r="EW138" i="4" s="1"/>
  <c r="EW285" i="1"/>
  <c r="EW137" i="4" s="1"/>
  <c r="EW265" i="1"/>
  <c r="EW266" i="1" s="1"/>
  <c r="EW249" i="1"/>
  <c r="EW103" i="4" s="1"/>
  <c r="EW278" i="1"/>
  <c r="EW279" i="1" s="1"/>
  <c r="EX279" i="1" s="1"/>
  <c r="EX277" i="1"/>
  <c r="EX274" i="1"/>
  <c r="EX273" i="1"/>
  <c r="EX272" i="1"/>
  <c r="EX264" i="1"/>
  <c r="EX263" i="1"/>
  <c r="EX262" i="1"/>
  <c r="EX261" i="1"/>
  <c r="EX260" i="1"/>
  <c r="EX259" i="1"/>
  <c r="EX258" i="1"/>
  <c r="EX254" i="1"/>
  <c r="EW253" i="1"/>
  <c r="EW107" i="4" s="1"/>
  <c r="EX250" i="1"/>
  <c r="EX248" i="1"/>
  <c r="EX247" i="1"/>
  <c r="EX246" i="1"/>
  <c r="EX245" i="1"/>
  <c r="EX243" i="1"/>
  <c r="EX242" i="1"/>
  <c r="EX241" i="1"/>
  <c r="EW240" i="1"/>
  <c r="EX239" i="1"/>
  <c r="EX238" i="1"/>
  <c r="EW237" i="1"/>
  <c r="EX219" i="1"/>
  <c r="EW216" i="1"/>
  <c r="EX216" i="1" s="1"/>
  <c r="EX230" i="1"/>
  <c r="EX229" i="1"/>
  <c r="EX228" i="1"/>
  <c r="EX227" i="1"/>
  <c r="EW225" i="1"/>
  <c r="EW231" i="1" s="1"/>
  <c r="EX224" i="1"/>
  <c r="EX223" i="1"/>
  <c r="EX222" i="1"/>
  <c r="EX218" i="1"/>
  <c r="EX214" i="1"/>
  <c r="EX213" i="1"/>
  <c r="EX212" i="1"/>
  <c r="EX211" i="1"/>
  <c r="EW142" i="1"/>
  <c r="EW126" i="1"/>
  <c r="EW128" i="1"/>
  <c r="EW133" i="1"/>
  <c r="EW136" i="1"/>
  <c r="EW146" i="1"/>
  <c r="EW181" i="1" s="1"/>
  <c r="EW57" i="2" s="1"/>
  <c r="EW148" i="1"/>
  <c r="EW183" i="1" s="1"/>
  <c r="EW69" i="2" s="1"/>
  <c r="EW45" i="4" s="1"/>
  <c r="EW187" i="1"/>
  <c r="EW186" i="1"/>
  <c r="EW178" i="1"/>
  <c r="EW176" i="1"/>
  <c r="EW175" i="1"/>
  <c r="EW170" i="1"/>
  <c r="EW169" i="1"/>
  <c r="EW167" i="1"/>
  <c r="EW166" i="1"/>
  <c r="EW202" i="2" s="1"/>
  <c r="EW160" i="1"/>
  <c r="EW159" i="1"/>
  <c r="EW158" i="1"/>
  <c r="EW157" i="1"/>
  <c r="EX152" i="1"/>
  <c r="EX151" i="1"/>
  <c r="EX143" i="1"/>
  <c r="EX141" i="1"/>
  <c r="EX140" i="1"/>
  <c r="EX135" i="1"/>
  <c r="EX134" i="1"/>
  <c r="EX132" i="1"/>
  <c r="EX131" i="1"/>
  <c r="EX125" i="1"/>
  <c r="EX124" i="1"/>
  <c r="EX123" i="1"/>
  <c r="EX122" i="1"/>
  <c r="EW51" i="1"/>
  <c r="EW98" i="1"/>
  <c r="EW97" i="1"/>
  <c r="EX96" i="1"/>
  <c r="EX95" i="1"/>
  <c r="EX93" i="1"/>
  <c r="EW90" i="1"/>
  <c r="EW88" i="1"/>
  <c r="EW87" i="1"/>
  <c r="EW86" i="1"/>
  <c r="EW85" i="1"/>
  <c r="EW84" i="1"/>
  <c r="EW83" i="1"/>
  <c r="EX78" i="1"/>
  <c r="EX76" i="1"/>
  <c r="EX69" i="1"/>
  <c r="EX67" i="1"/>
  <c r="EX65" i="1"/>
  <c r="EX64" i="1"/>
  <c r="EX63" i="1"/>
  <c r="EX62" i="1"/>
  <c r="EX61" i="1"/>
  <c r="EX56" i="1"/>
  <c r="EX55" i="1"/>
  <c r="EX54" i="1"/>
  <c r="EX53" i="1"/>
  <c r="EX52" i="1"/>
  <c r="EX50" i="1"/>
  <c r="EX47" i="1"/>
  <c r="EW176" i="4" l="1"/>
  <c r="EW185" i="4"/>
  <c r="EW171" i="2"/>
  <c r="EW26" i="4"/>
  <c r="EW28" i="4" s="1"/>
  <c r="EW59" i="2"/>
  <c r="EW442" i="2"/>
  <c r="EW447" i="2" s="1"/>
  <c r="EW300" i="1"/>
  <c r="EW302" i="1" s="1"/>
  <c r="EX136" i="1"/>
  <c r="EW118" i="4"/>
  <c r="EW120" i="4" s="1"/>
  <c r="EW180" i="4"/>
  <c r="EW476" i="1"/>
  <c r="EW478" i="1" s="1"/>
  <c r="EW110" i="4"/>
  <c r="EW130" i="4"/>
  <c r="EW133" i="4"/>
  <c r="EW148" i="4"/>
  <c r="EW38" i="4"/>
  <c r="EW40" i="4" s="1"/>
  <c r="EW144" i="1"/>
  <c r="EW147" i="1"/>
  <c r="EW182" i="1" s="1"/>
  <c r="EW153" i="4"/>
  <c r="EW97" i="4"/>
  <c r="EW142" i="4"/>
  <c r="EW471" i="1"/>
  <c r="EW283" i="2"/>
  <c r="EW343" i="2"/>
  <c r="EW57" i="1"/>
  <c r="EW59" i="1" s="1"/>
  <c r="EW537" i="1"/>
  <c r="EW57" i="4" s="1"/>
  <c r="EW578" i="2"/>
  <c r="EW580" i="2" s="1"/>
  <c r="EW584" i="2" s="1"/>
  <c r="EW588" i="2"/>
  <c r="EW397" i="2"/>
  <c r="EW205" i="2"/>
  <c r="EW168" i="4"/>
  <c r="EW340" i="2"/>
  <c r="EW197" i="4"/>
  <c r="EW474" i="1"/>
  <c r="EW191" i="4"/>
  <c r="EW27" i="2"/>
  <c r="EW28" i="2"/>
  <c r="EW436" i="2"/>
  <c r="EW132" i="2"/>
  <c r="EW306" i="1"/>
  <c r="EW292" i="1"/>
  <c r="EW312" i="1"/>
  <c r="EW256" i="1"/>
  <c r="EX278" i="1"/>
  <c r="EX215" i="1"/>
  <c r="EW220" i="1"/>
  <c r="EX220" i="1" s="1"/>
  <c r="EX231" i="1"/>
  <c r="EX225" i="1"/>
  <c r="EW149" i="1"/>
  <c r="EW168" i="1"/>
  <c r="EW206" i="2" s="1"/>
  <c r="EX133" i="1"/>
  <c r="EW127" i="1"/>
  <c r="EW137" i="1" s="1"/>
  <c r="EW138" i="1" s="1"/>
  <c r="EX126" i="1"/>
  <c r="EW171" i="1"/>
  <c r="EW344" i="2" s="1"/>
  <c r="EW380" i="2" s="1"/>
  <c r="EW161" i="1"/>
  <c r="EW177" i="1"/>
  <c r="EW198" i="4" l="1"/>
  <c r="B10" i="6"/>
  <c r="EW192" i="4"/>
  <c r="EW473" i="1"/>
  <c r="EW154" i="1"/>
  <c r="EW153" i="1" s="1"/>
  <c r="EW294" i="2"/>
  <c r="EW252" i="2"/>
  <c r="EW66" i="1"/>
  <c r="EW68" i="1" s="1"/>
  <c r="EW70" i="1" s="1"/>
  <c r="EW69" i="4"/>
  <c r="EW74" i="4" s="1"/>
  <c r="EW144" i="4"/>
  <c r="EW384" i="2"/>
  <c r="EW243" i="2"/>
  <c r="EW68" i="2"/>
  <c r="EW58" i="2"/>
  <c r="EW60" i="2" s="1"/>
  <c r="EW62" i="2" s="1"/>
  <c r="EW389" i="2"/>
  <c r="EW386" i="2"/>
  <c r="EW179" i="1"/>
  <c r="EW402" i="2"/>
  <c r="EW309" i="1"/>
  <c r="EX309" i="1" s="1"/>
  <c r="EW232" i="1"/>
  <c r="EX232" i="1"/>
  <c r="EW184" i="1"/>
  <c r="EW162" i="1"/>
  <c r="EW172" i="1"/>
  <c r="EW11" i="2" l="1"/>
  <c r="EW48" i="2" s="1"/>
  <c r="EW17" i="4" s="1"/>
  <c r="EW469" i="2"/>
  <c r="EW63" i="2"/>
  <c r="EW236" i="1"/>
  <c r="EW251" i="1" s="1"/>
  <c r="EW71" i="1"/>
  <c r="EW72" i="1"/>
  <c r="EW76" i="4"/>
  <c r="EW79" i="4" s="1"/>
  <c r="EW77" i="4"/>
  <c r="EW165" i="4" s="1"/>
  <c r="EW152" i="4"/>
  <c r="EW154" i="4" s="1"/>
  <c r="EW162" i="4"/>
  <c r="EW249" i="2"/>
  <c r="EW70" i="2"/>
  <c r="EW44" i="4"/>
  <c r="EW163" i="1"/>
  <c r="EW173" i="1"/>
  <c r="EW189" i="1" s="1"/>
  <c r="EW188" i="1"/>
  <c r="EW158" i="4" l="1"/>
  <c r="EW81" i="4"/>
  <c r="EW96" i="4"/>
  <c r="EW164" i="4"/>
  <c r="EW163" i="4"/>
  <c r="EW105" i="4"/>
  <c r="EW268" i="1"/>
  <c r="EW29" i="2"/>
  <c r="EW104" i="4" l="1"/>
  <c r="EW129" i="4"/>
  <c r="EW122" i="4"/>
  <c r="EW81" i="1"/>
  <c r="H26" i="19"/>
  <c r="H25" i="19"/>
  <c r="H24" i="19"/>
  <c r="E45" i="19"/>
  <c r="E41" i="19"/>
  <c r="C33" i="19"/>
  <c r="B33" i="19"/>
  <c r="D32" i="19"/>
  <c r="G32" i="19" s="1"/>
  <c r="D31" i="19"/>
  <c r="D30" i="19"/>
  <c r="D29" i="19"/>
  <c r="D26" i="19"/>
  <c r="D25" i="19"/>
  <c r="D24" i="19"/>
  <c r="E22" i="19"/>
  <c r="H22" i="19" s="1"/>
  <c r="C22" i="19"/>
  <c r="D22" i="19" s="1"/>
  <c r="EW89" i="1" l="1"/>
  <c r="I26" i="19"/>
  <c r="D33" i="19"/>
  <c r="I25" i="19"/>
  <c r="F32" i="19"/>
  <c r="J24" i="19"/>
  <c r="J25" i="19"/>
  <c r="J26" i="19"/>
  <c r="I24" i="19"/>
  <c r="EW91" i="1" l="1"/>
  <c r="EX42" i="1"/>
  <c r="EX40" i="1"/>
  <c r="EX39" i="1"/>
  <c r="EX35" i="1"/>
  <c r="EX33" i="1"/>
  <c r="EX32" i="1"/>
  <c r="EX30" i="1"/>
  <c r="EX29" i="1"/>
  <c r="EX25" i="1"/>
  <c r="EX24" i="1"/>
  <c r="EX23" i="1"/>
  <c r="EX14" i="1"/>
  <c r="EX13" i="1"/>
  <c r="EX10" i="1"/>
  <c r="EX9" i="1"/>
  <c r="EW11" i="1"/>
  <c r="EW15" i="1"/>
  <c r="EW26" i="1"/>
  <c r="EW31" i="1"/>
  <c r="EW34" i="1"/>
  <c r="EW99" i="1" l="1"/>
  <c r="EX31" i="1"/>
  <c r="EX15" i="1"/>
  <c r="EX34" i="1"/>
  <c r="EX11" i="1"/>
  <c r="EW36" i="1"/>
  <c r="EX26" i="1"/>
  <c r="EW539" i="1" l="1"/>
  <c r="EW540" i="1" s="1"/>
  <c r="EW538" i="1" s="1"/>
  <c r="EW58" i="4" s="1"/>
  <c r="EW59" i="4" s="1"/>
  <c r="EW61" i="4" s="1"/>
  <c r="EW284" i="1"/>
  <c r="EX36" i="1"/>
  <c r="EW291" i="1" l="1"/>
  <c r="EW293" i="1" s="1"/>
  <c r="EW136" i="4"/>
  <c r="EW143" i="4" s="1"/>
  <c r="EW145" i="4" s="1"/>
  <c r="EW62" i="4"/>
  <c r="EW68" i="4"/>
  <c r="EW294" i="1" l="1"/>
  <c r="EW132" i="4"/>
  <c r="EW134" i="4" l="1"/>
  <c r="EW131" i="4"/>
  <c r="EW147" i="4"/>
  <c r="EW146" i="4" l="1"/>
  <c r="EW149" i="4"/>
  <c r="FB1035" i="10" l="1"/>
  <c r="FA1035" i="10"/>
  <c r="EZ1035" i="10"/>
  <c r="EY1035" i="10"/>
  <c r="FB416" i="10"/>
  <c r="FA416" i="10"/>
  <c r="EZ416" i="10"/>
  <c r="EY416" i="10"/>
  <c r="FB368" i="10"/>
  <c r="FA368" i="10"/>
  <c r="EZ368" i="10"/>
  <c r="EY368" i="10"/>
  <c r="FB161" i="10"/>
  <c r="FA161" i="10"/>
  <c r="EZ161" i="10"/>
  <c r="EY161" i="10"/>
  <c r="FB135" i="10"/>
  <c r="FA135" i="10"/>
  <c r="EZ135" i="10"/>
  <c r="EY135" i="10"/>
  <c r="FB108" i="10"/>
  <c r="FA108" i="10"/>
  <c r="EZ108" i="10"/>
  <c r="EY108" i="10"/>
  <c r="FB5" i="10"/>
  <c r="FA5" i="10"/>
  <c r="EZ5" i="10"/>
  <c r="EY5" i="10"/>
  <c r="FC188" i="4"/>
  <c r="FC146" i="4"/>
  <c r="FC142" i="4"/>
  <c r="FC141" i="4"/>
  <c r="FC131" i="4"/>
  <c r="FC119" i="4"/>
  <c r="FC118" i="4"/>
  <c r="FC116" i="4"/>
  <c r="FC115" i="4"/>
  <c r="FC114" i="4"/>
  <c r="FC113" i="4"/>
  <c r="FC112" i="4"/>
  <c r="FC109" i="4"/>
  <c r="FC108" i="4"/>
  <c r="FC102" i="4"/>
  <c r="FC101" i="4"/>
  <c r="FC86" i="4"/>
  <c r="FC78" i="4"/>
  <c r="FC72" i="4"/>
  <c r="FC71" i="4"/>
  <c r="FC68" i="4"/>
  <c r="EX86" i="4"/>
  <c r="FB220" i="4"/>
  <c r="FA220" i="4"/>
  <c r="EZ220" i="4"/>
  <c r="EY220" i="4"/>
  <c r="FB165" i="4"/>
  <c r="FA165" i="4"/>
  <c r="EZ165" i="4"/>
  <c r="EY165" i="4"/>
  <c r="FB98" i="4"/>
  <c r="FA98" i="4"/>
  <c r="EZ98" i="4"/>
  <c r="EY98" i="4"/>
  <c r="FB39" i="4"/>
  <c r="FA39" i="4"/>
  <c r="EZ39" i="4"/>
  <c r="EY39" i="4"/>
  <c r="FC39" i="4" s="1"/>
  <c r="FB37" i="4"/>
  <c r="FA37" i="4"/>
  <c r="EZ37" i="4"/>
  <c r="EY37" i="4"/>
  <c r="FC37" i="4" s="1"/>
  <c r="FB35" i="4"/>
  <c r="FA35" i="4"/>
  <c r="EZ35" i="4"/>
  <c r="EY35" i="4"/>
  <c r="FC35" i="4" s="1"/>
  <c r="FB34" i="4"/>
  <c r="FA34" i="4"/>
  <c r="EZ34" i="4"/>
  <c r="EY34" i="4"/>
  <c r="FC34" i="4" s="1"/>
  <c r="FB33" i="4"/>
  <c r="FA33" i="4"/>
  <c r="EZ33" i="4"/>
  <c r="EY33" i="4"/>
  <c r="FC33" i="4" s="1"/>
  <c r="FB32" i="4"/>
  <c r="FB36" i="4" s="1"/>
  <c r="FA32" i="4"/>
  <c r="FA36" i="4" s="1"/>
  <c r="EZ32" i="4"/>
  <c r="EZ36" i="4" s="1"/>
  <c r="EY32" i="4"/>
  <c r="EY36" i="4" s="1"/>
  <c r="FB27" i="4"/>
  <c r="FA27" i="4"/>
  <c r="EZ27" i="4"/>
  <c r="EY27" i="4"/>
  <c r="FC27" i="4" s="1"/>
  <c r="FB24" i="4"/>
  <c r="FA24" i="4"/>
  <c r="EZ24" i="4"/>
  <c r="EY24" i="4"/>
  <c r="FB23" i="4"/>
  <c r="FA23" i="4"/>
  <c r="EZ23" i="4"/>
  <c r="EY23" i="4"/>
  <c r="FB22" i="4"/>
  <c r="FA22" i="4"/>
  <c r="EZ22" i="4"/>
  <c r="EY22" i="4"/>
  <c r="FB5" i="4"/>
  <c r="FA5" i="4"/>
  <c r="EZ5" i="4"/>
  <c r="EY5" i="4"/>
  <c r="FC20" i="2"/>
  <c r="FC583" i="2"/>
  <c r="FC582" i="2"/>
  <c r="FC581" i="2"/>
  <c r="FC549" i="2"/>
  <c r="FC531" i="2"/>
  <c r="EZ101" i="2"/>
  <c r="FA101" i="2" s="1"/>
  <c r="FB579" i="2"/>
  <c r="FA579" i="2"/>
  <c r="EZ579" i="2"/>
  <c r="EY579" i="2"/>
  <c r="FB495" i="2"/>
  <c r="FB493" i="2" s="1"/>
  <c r="FA495" i="2"/>
  <c r="FA493" i="2" s="1"/>
  <c r="EZ495" i="2"/>
  <c r="EZ493" i="2" s="1"/>
  <c r="EY495" i="2"/>
  <c r="EY493" i="2" s="1"/>
  <c r="FB490" i="2"/>
  <c r="FA490" i="2"/>
  <c r="EZ490" i="2"/>
  <c r="EY490" i="2"/>
  <c r="FB457" i="2"/>
  <c r="FA457" i="2"/>
  <c r="EZ457" i="2"/>
  <c r="EY457" i="2"/>
  <c r="FB5" i="2"/>
  <c r="FA5" i="2"/>
  <c r="EZ5" i="2"/>
  <c r="EY5" i="2"/>
  <c r="FA38" i="4" l="1"/>
  <c r="FB38" i="4"/>
  <c r="FB40" i="4" s="1"/>
  <c r="FC22" i="4"/>
  <c r="EZ26" i="4"/>
  <c r="EZ28" i="4" s="1"/>
  <c r="FC165" i="4"/>
  <c r="EY38" i="4"/>
  <c r="FC38" i="4" s="1"/>
  <c r="EY26" i="4"/>
  <c r="EY28" i="4" s="1"/>
  <c r="FC579" i="2"/>
  <c r="FC98" i="4"/>
  <c r="FC493" i="2"/>
  <c r="FA26" i="4"/>
  <c r="FA28" i="4" s="1"/>
  <c r="FC23" i="4"/>
  <c r="FA40" i="4"/>
  <c r="FC24" i="4"/>
  <c r="FB26" i="4"/>
  <c r="FB28" i="4" s="1"/>
  <c r="FC32" i="4"/>
  <c r="FC36" i="4"/>
  <c r="EZ38" i="4"/>
  <c r="EZ40" i="4" s="1"/>
  <c r="EY40" i="4" l="1"/>
  <c r="FC40" i="4" s="1"/>
  <c r="FC26" i="4"/>
  <c r="FC28" i="4" s="1"/>
  <c r="B242" i="3" l="1"/>
  <c r="B237" i="3"/>
  <c r="B233" i="3"/>
  <c r="B239" i="3" l="1"/>
  <c r="EV119" i="2"/>
  <c r="FA119" i="2" s="1"/>
  <c r="C212" i="3"/>
  <c r="B212" i="3"/>
  <c r="EV213" i="4"/>
  <c r="EV196" i="4"/>
  <c r="EV171" i="4"/>
  <c r="EV172" i="4"/>
  <c r="EV173" i="4"/>
  <c r="EV174" i="4"/>
  <c r="EV175" i="4"/>
  <c r="EV178" i="4"/>
  <c r="EV179" i="4"/>
  <c r="EV182" i="4"/>
  <c r="EV183" i="4"/>
  <c r="EV184" i="4"/>
  <c r="EV187" i="4"/>
  <c r="EV188" i="4"/>
  <c r="EV189" i="4"/>
  <c r="EV190" i="4"/>
  <c r="EV166" i="4"/>
  <c r="EV141" i="4"/>
  <c r="EV98" i="4"/>
  <c r="EV100" i="4"/>
  <c r="EV101" i="4"/>
  <c r="EV102" i="4"/>
  <c r="EV108" i="4"/>
  <c r="EV109" i="4"/>
  <c r="EV112" i="4"/>
  <c r="EV113" i="4"/>
  <c r="EV114" i="4"/>
  <c r="EV115" i="4"/>
  <c r="EV116" i="4"/>
  <c r="EV117" i="4"/>
  <c r="FA117" i="4" s="1"/>
  <c r="FA120" i="4" s="1"/>
  <c r="EV118" i="4"/>
  <c r="EV53" i="4"/>
  <c r="EV65" i="4"/>
  <c r="EV97" i="4" s="1"/>
  <c r="EV66" i="4"/>
  <c r="EV99" i="4" s="1"/>
  <c r="EV67" i="4"/>
  <c r="FA67" i="4" s="1"/>
  <c r="EV71" i="4"/>
  <c r="EV72" i="4"/>
  <c r="EV73" i="4"/>
  <c r="EV207" i="4" s="1"/>
  <c r="EV75" i="4"/>
  <c r="EV167" i="4" s="1"/>
  <c r="EV78" i="4"/>
  <c r="EV80" i="4"/>
  <c r="EV148" i="4" s="1"/>
  <c r="EV22" i="4"/>
  <c r="EV23" i="4"/>
  <c r="EV24" i="4"/>
  <c r="EV25" i="4"/>
  <c r="EV27" i="4"/>
  <c r="EV32" i="4"/>
  <c r="EV36" i="4" s="1"/>
  <c r="EV33" i="4"/>
  <c r="EV34" i="4"/>
  <c r="EV35" i="4"/>
  <c r="EV37" i="4"/>
  <c r="EV39" i="4"/>
  <c r="EV587" i="2"/>
  <c r="EW590" i="2" s="1"/>
  <c r="EW591" i="2" s="1"/>
  <c r="EV579" i="2"/>
  <c r="EV581" i="2"/>
  <c r="EV582" i="2"/>
  <c r="EV583" i="2"/>
  <c r="EV572" i="2"/>
  <c r="EV547" i="2"/>
  <c r="EV483" i="2"/>
  <c r="EV490" i="2"/>
  <c r="EV495" i="2"/>
  <c r="EV493" i="2" s="1"/>
  <c r="FA494" i="2" s="1"/>
  <c r="EV457" i="2"/>
  <c r="FA458" i="2" s="1"/>
  <c r="EV431" i="2"/>
  <c r="EV433" i="2"/>
  <c r="EV435" i="2"/>
  <c r="EV446" i="2"/>
  <c r="EV388" i="2"/>
  <c r="EV323" i="2"/>
  <c r="EV325" i="2"/>
  <c r="FA325" i="2" s="1"/>
  <c r="FA410" i="10" s="1"/>
  <c r="EV329" i="2"/>
  <c r="EV331" i="2"/>
  <c r="EV333" i="2"/>
  <c r="EV260" i="2"/>
  <c r="EV264" i="2"/>
  <c r="FA264" i="2" s="1"/>
  <c r="EV271" i="2"/>
  <c r="EW268" i="2" s="1"/>
  <c r="EV273" i="2"/>
  <c r="EV305" i="2"/>
  <c r="EV309" i="2"/>
  <c r="FA309" i="2" s="1"/>
  <c r="EV251" i="2"/>
  <c r="EV186" i="2"/>
  <c r="EV188" i="2"/>
  <c r="EV194" i="2"/>
  <c r="FA194" i="2" s="1"/>
  <c r="FA366" i="10" s="1"/>
  <c r="EV138" i="2"/>
  <c r="EV142" i="2"/>
  <c r="FA142" i="2" s="1"/>
  <c r="EV154" i="2"/>
  <c r="EV115" i="2"/>
  <c r="EV126" i="2"/>
  <c r="EW123" i="2" s="1"/>
  <c r="EV128" i="2"/>
  <c r="EV87" i="2"/>
  <c r="EV99" i="2"/>
  <c r="EV54" i="2"/>
  <c r="EV310" i="1"/>
  <c r="EV311" i="1"/>
  <c r="EV536" i="1"/>
  <c r="EV465" i="1"/>
  <c r="EV466" i="1"/>
  <c r="EV468" i="1"/>
  <c r="EV469" i="1"/>
  <c r="EV477" i="1"/>
  <c r="EV479" i="1"/>
  <c r="EV433" i="1"/>
  <c r="EV435" i="1" s="1"/>
  <c r="EV402" i="1"/>
  <c r="EV407" i="1"/>
  <c r="EV412" i="1"/>
  <c r="EV387" i="1"/>
  <c r="EV372" i="1"/>
  <c r="EV363" i="1"/>
  <c r="EW364" i="1" s="1"/>
  <c r="EV367" i="1"/>
  <c r="EV357" i="1"/>
  <c r="EV358" i="1"/>
  <c r="EV341" i="1"/>
  <c r="EV287" i="1"/>
  <c r="EV139" i="4" s="1"/>
  <c r="EU287" i="1"/>
  <c r="ET287" i="1"/>
  <c r="EV288" i="1"/>
  <c r="EV140" i="4" s="1"/>
  <c r="EV285" i="1"/>
  <c r="EV137" i="4" s="1"/>
  <c r="EV286" i="1"/>
  <c r="EV138" i="4" s="1"/>
  <c r="EV290" i="1"/>
  <c r="EV142" i="4" s="1"/>
  <c r="EV249" i="1"/>
  <c r="EV103" i="4" s="1"/>
  <c r="EV278" i="1"/>
  <c r="EV279" i="1" s="1"/>
  <c r="EV266" i="1"/>
  <c r="EV253" i="1"/>
  <c r="EV256" i="1" s="1"/>
  <c r="EV240" i="1"/>
  <c r="EV237" i="1"/>
  <c r="EV225" i="1"/>
  <c r="EV231" i="1" s="1"/>
  <c r="EV216" i="1"/>
  <c r="EV220" i="1" s="1"/>
  <c r="EV157" i="1"/>
  <c r="EV158" i="1"/>
  <c r="EV159" i="1"/>
  <c r="EV160" i="1"/>
  <c r="EV166" i="1"/>
  <c r="EV167" i="1"/>
  <c r="EV205" i="2" s="1"/>
  <c r="EV169" i="1"/>
  <c r="EV340" i="2" s="1"/>
  <c r="EV170" i="1"/>
  <c r="EV343" i="2" s="1"/>
  <c r="EV175" i="1"/>
  <c r="EV176" i="1"/>
  <c r="EV178" i="1"/>
  <c r="EV186" i="1"/>
  <c r="EV27" i="2" s="1"/>
  <c r="EV187" i="1"/>
  <c r="EV28" i="2" s="1"/>
  <c r="EV142" i="1"/>
  <c r="EV144" i="1" s="1"/>
  <c r="EV126" i="1"/>
  <c r="EV128" i="1"/>
  <c r="EV133" i="1"/>
  <c r="EV136" i="1"/>
  <c r="EV146" i="1"/>
  <c r="EV181" i="1" s="1"/>
  <c r="EV57" i="2" s="1"/>
  <c r="EV148" i="1"/>
  <c r="EV183" i="1" s="1"/>
  <c r="EV97" i="1"/>
  <c r="EV98" i="1"/>
  <c r="EX287" i="1" l="1"/>
  <c r="EW315" i="2"/>
  <c r="EW338" i="2" s="1"/>
  <c r="FA99" i="2"/>
  <c r="FA184" i="10" s="1"/>
  <c r="EW100" i="2"/>
  <c r="EW574" i="2"/>
  <c r="EW262" i="2"/>
  <c r="EW257" i="2"/>
  <c r="EW112" i="2"/>
  <c r="EW117" i="2"/>
  <c r="B10" i="3" s="1"/>
  <c r="EW135" i="2"/>
  <c r="EW140" i="2"/>
  <c r="EW428" i="2"/>
  <c r="EW430" i="2" s="1"/>
  <c r="EW181" i="2"/>
  <c r="EW200" i="2" s="1"/>
  <c r="EW405" i="2"/>
  <c r="EW202" i="4"/>
  <c r="EW211" i="4" s="1"/>
  <c r="EW212" i="4" s="1"/>
  <c r="EW302" i="2"/>
  <c r="EW307" i="2"/>
  <c r="FA405" i="10"/>
  <c r="FA186" i="2"/>
  <c r="FA360" i="10" s="1"/>
  <c r="FA357" i="10"/>
  <c r="EV96" i="2"/>
  <c r="EV168" i="4"/>
  <c r="D212" i="3"/>
  <c r="EV168" i="1"/>
  <c r="EV206" i="2" s="1"/>
  <c r="EV252" i="2" s="1"/>
  <c r="EV283" i="2"/>
  <c r="EV471" i="1"/>
  <c r="EV133" i="4"/>
  <c r="EV300" i="1"/>
  <c r="EV302" i="1" s="1"/>
  <c r="EV306" i="1" s="1"/>
  <c r="EV26" i="4"/>
  <c r="EV28" i="4" s="1"/>
  <c r="FA29" i="4" s="1"/>
  <c r="EV171" i="2"/>
  <c r="EW173" i="2" s="1"/>
  <c r="EV476" i="1"/>
  <c r="EV478" i="1" s="1"/>
  <c r="EV171" i="1"/>
  <c r="EV344" i="2" s="1"/>
  <c r="EV177" i="1"/>
  <c r="EV179" i="1" s="1"/>
  <c r="EV147" i="1"/>
  <c r="EV149" i="1" s="1"/>
  <c r="EV397" i="2"/>
  <c r="EV474" i="1"/>
  <c r="EV197" i="4"/>
  <c r="EV185" i="4"/>
  <c r="EV191" i="4" s="1"/>
  <c r="EV59" i="2"/>
  <c r="EV69" i="2"/>
  <c r="EV578" i="2"/>
  <c r="EV580" i="2" s="1"/>
  <c r="EV120" i="4"/>
  <c r="EV588" i="2"/>
  <c r="EV161" i="1"/>
  <c r="EV442" i="2"/>
  <c r="EW444" i="2" s="1"/>
  <c r="EV107" i="4"/>
  <c r="EV176" i="4"/>
  <c r="EV180" i="4" s="1"/>
  <c r="EV436" i="2"/>
  <c r="EV202" i="2"/>
  <c r="EV38" i="4"/>
  <c r="EV40" i="4" s="1"/>
  <c r="FA41" i="4" s="1"/>
  <c r="EV132" i="2"/>
  <c r="EV232" i="1"/>
  <c r="EV127" i="1"/>
  <c r="EV51" i="1"/>
  <c r="EV90" i="1"/>
  <c r="EV88" i="1"/>
  <c r="EV87" i="1"/>
  <c r="EV86" i="1"/>
  <c r="EV85" i="1"/>
  <c r="EV84" i="1"/>
  <c r="EV83" i="1"/>
  <c r="EW318" i="2" l="1"/>
  <c r="EW341" i="2" s="1"/>
  <c r="EW304" i="2"/>
  <c r="EW303" i="2" s="1"/>
  <c r="EW439" i="2"/>
  <c r="EW454" i="2" s="1"/>
  <c r="EW182" i="2"/>
  <c r="EW203" i="2" s="1"/>
  <c r="EW137" i="2"/>
  <c r="EW168" i="2"/>
  <c r="EW180" i="2"/>
  <c r="EW114" i="2"/>
  <c r="EV402" i="2"/>
  <c r="EW394" i="2"/>
  <c r="EW451" i="2" s="1"/>
  <c r="EW399" i="2"/>
  <c r="EW314" i="2"/>
  <c r="EW259" i="2"/>
  <c r="EV294" i="2"/>
  <c r="EW296" i="2" s="1"/>
  <c r="EW280" i="2"/>
  <c r="EW316" i="2" s="1"/>
  <c r="EW453" i="2" s="1"/>
  <c r="EW285" i="2"/>
  <c r="EW462" i="2"/>
  <c r="EW429" i="2"/>
  <c r="EW434" i="2" s="1"/>
  <c r="EV584" i="2"/>
  <c r="EV380" i="2"/>
  <c r="EV384" i="2" s="1"/>
  <c r="EV243" i="2"/>
  <c r="EV249" i="2" s="1"/>
  <c r="EV473" i="1"/>
  <c r="EV192" i="4"/>
  <c r="EV389" i="2"/>
  <c r="EV292" i="1"/>
  <c r="EV144" i="4" s="1"/>
  <c r="EV198" i="4"/>
  <c r="EV312" i="1"/>
  <c r="EV182" i="1"/>
  <c r="EV184" i="1" s="1"/>
  <c r="EV57" i="1"/>
  <c r="EV59" i="1" s="1"/>
  <c r="EV537" i="1"/>
  <c r="EV57" i="4" s="1"/>
  <c r="EV137" i="1"/>
  <c r="EV162" i="1"/>
  <c r="EV163" i="1" s="1"/>
  <c r="EV45" i="4"/>
  <c r="EV130" i="4"/>
  <c r="EV110" i="4"/>
  <c r="EV153" i="4"/>
  <c r="EV447" i="2"/>
  <c r="EW396" i="2" l="1"/>
  <c r="EW258" i="2"/>
  <c r="EW291" i="2"/>
  <c r="EW317" i="2" s="1"/>
  <c r="EW183" i="2"/>
  <c r="EW247" i="2" s="1"/>
  <c r="EW192" i="2"/>
  <c r="EW199" i="2"/>
  <c r="EW488" i="2"/>
  <c r="EW441" i="2"/>
  <c r="EW136" i="2"/>
  <c r="EW113" i="2"/>
  <c r="EW170" i="2"/>
  <c r="EW175" i="2" s="1"/>
  <c r="EW153" i="2" s="1"/>
  <c r="EW164" i="2" s="1"/>
  <c r="EW465" i="2"/>
  <c r="EW204" i="2"/>
  <c r="EW455" i="2"/>
  <c r="EW573" i="2"/>
  <c r="EW319" i="2"/>
  <c r="EW337" i="2"/>
  <c r="EW342" i="2"/>
  <c r="EV386" i="2"/>
  <c r="EV68" i="2"/>
  <c r="EV44" i="4" s="1"/>
  <c r="EV58" i="2"/>
  <c r="EV60" i="2" s="1"/>
  <c r="EV62" i="2" s="1"/>
  <c r="EV63" i="2" s="1"/>
  <c r="EV66" i="1"/>
  <c r="EV68" i="1" s="1"/>
  <c r="EV70" i="1" s="1"/>
  <c r="EV69" i="4"/>
  <c r="EV74" i="4" s="1"/>
  <c r="EV138" i="1"/>
  <c r="EV154" i="1" s="1"/>
  <c r="EV153" i="1" s="1"/>
  <c r="EV188" i="1" s="1"/>
  <c r="EV29" i="2" s="1"/>
  <c r="EV172" i="1"/>
  <c r="EW440" i="2" l="1"/>
  <c r="EW445" i="2" s="1"/>
  <c r="EW169" i="2"/>
  <c r="EW461" i="2"/>
  <c r="EW201" i="2"/>
  <c r="EW339" i="2"/>
  <c r="EW395" i="2"/>
  <c r="EW400" i="2" s="1"/>
  <c r="EW466" i="2"/>
  <c r="EW467" i="2" s="1"/>
  <c r="EW45" i="2"/>
  <c r="EW14" i="4" s="1"/>
  <c r="EV70" i="2"/>
  <c r="EV236" i="1"/>
  <c r="EV251" i="1" s="1"/>
  <c r="EV81" i="1"/>
  <c r="EV89" i="1" s="1"/>
  <c r="EV91" i="1" s="1"/>
  <c r="EV99" i="1" s="1"/>
  <c r="EV71" i="1"/>
  <c r="EV72" i="1"/>
  <c r="EV469" i="2"/>
  <c r="EV11" i="2"/>
  <c r="EV173" i="1"/>
  <c r="EV189" i="1" s="1"/>
  <c r="EV76" i="4"/>
  <c r="EV79" i="4" s="1"/>
  <c r="EV152" i="4"/>
  <c r="EV154" i="4" s="1"/>
  <c r="EV162" i="4"/>
  <c r="EV77" i="4"/>
  <c r="EV165" i="4" s="1"/>
  <c r="EV34" i="1"/>
  <c r="EV31" i="1"/>
  <c r="EV26" i="1"/>
  <c r="EV15" i="1"/>
  <c r="EV11" i="1"/>
  <c r="EW327" i="2" l="1"/>
  <c r="EW463" i="2"/>
  <c r="EW464" i="2" s="1"/>
  <c r="EW190" i="2"/>
  <c r="EV48" i="2"/>
  <c r="FA11" i="2"/>
  <c r="EV158" i="4"/>
  <c r="EV81" i="4"/>
  <c r="EV96" i="4"/>
  <c r="EV163" i="4"/>
  <c r="EV164" i="4"/>
  <c r="EV284" i="1"/>
  <c r="EV539" i="1"/>
  <c r="EV540" i="1" s="1"/>
  <c r="EV538" i="1" s="1"/>
  <c r="EV58" i="4" s="1"/>
  <c r="EV59" i="4" s="1"/>
  <c r="EV61" i="4" s="1"/>
  <c r="EV105" i="4"/>
  <c r="EV268" i="1"/>
  <c r="EV36" i="1"/>
  <c r="EW468" i="2" l="1"/>
  <c r="EV17" i="4"/>
  <c r="FA29" i="2"/>
  <c r="FA469" i="2"/>
  <c r="FA479" i="2" s="1"/>
  <c r="FA48" i="2"/>
  <c r="EV62" i="4"/>
  <c r="EV68" i="4"/>
  <c r="EV104" i="4"/>
  <c r="EV129" i="4"/>
  <c r="EV122" i="4"/>
  <c r="EV136" i="4"/>
  <c r="EV143" i="4" s="1"/>
  <c r="EV145" i="4" s="1"/>
  <c r="EV291" i="1"/>
  <c r="EV293" i="1" s="1"/>
  <c r="EW470" i="2" l="1"/>
  <c r="FA17" i="4"/>
  <c r="FA129" i="10"/>
  <c r="EV294" i="1"/>
  <c r="EV147" i="4" s="1"/>
  <c r="EV132" i="4"/>
  <c r="EW526" i="2" l="1"/>
  <c r="EV131" i="4"/>
  <c r="EV134" i="4"/>
  <c r="EV146" i="4"/>
  <c r="EV149" i="4"/>
  <c r="EU281" i="1" l="1"/>
  <c r="EU208" i="4" l="1"/>
  <c r="EV281" i="1"/>
  <c r="EV208" i="4" s="1"/>
  <c r="C268" i="3"/>
  <c r="D268" i="3"/>
  <c r="E268" i="3"/>
  <c r="F268" i="3"/>
  <c r="G268" i="3"/>
  <c r="H268" i="3"/>
  <c r="I268" i="3"/>
  <c r="J268" i="3"/>
  <c r="K268" i="3"/>
  <c r="B268" i="3"/>
  <c r="EW281" i="1" l="1"/>
  <c r="EW208" i="4" s="1"/>
  <c r="EV209" i="4"/>
  <c r="EV204" i="4" s="1"/>
  <c r="E293" i="42"/>
  <c r="E292" i="42"/>
  <c r="E291" i="42"/>
  <c r="E290" i="42"/>
  <c r="E289" i="42"/>
  <c r="E288" i="42"/>
  <c r="E287" i="42"/>
  <c r="E286" i="42"/>
  <c r="EW209" i="4" l="1"/>
  <c r="EW204" i="4" s="1"/>
  <c r="EW203" i="4" s="1"/>
  <c r="D270" i="42"/>
  <c r="D269" i="42"/>
  <c r="D264" i="42"/>
  <c r="D266" i="42" s="1"/>
  <c r="B234" i="42"/>
  <c r="B238" i="42"/>
  <c r="C232" i="42"/>
  <c r="C234" i="42" s="1"/>
  <c r="K222" i="42"/>
  <c r="J222" i="42"/>
  <c r="I222" i="42"/>
  <c r="H222" i="42"/>
  <c r="G222" i="42"/>
  <c r="F222" i="42"/>
  <c r="E222" i="42"/>
  <c r="D222" i="42"/>
  <c r="C222" i="42"/>
  <c r="B222" i="42"/>
  <c r="C213" i="42"/>
  <c r="D213" i="42" s="1"/>
  <c r="E213" i="42" s="1"/>
  <c r="F213" i="42" s="1"/>
  <c r="G213" i="42" s="1"/>
  <c r="H213" i="42" s="1"/>
  <c r="I213" i="42" s="1"/>
  <c r="J213" i="42" s="1"/>
  <c r="K213" i="42" s="1"/>
  <c r="B190" i="42"/>
  <c r="B194" i="42"/>
  <c r="C188" i="42"/>
  <c r="C190" i="42" s="1"/>
  <c r="K178" i="42"/>
  <c r="J178" i="42"/>
  <c r="I178" i="42"/>
  <c r="H178" i="42"/>
  <c r="G178" i="42"/>
  <c r="F178" i="42"/>
  <c r="E178" i="42"/>
  <c r="D178" i="42"/>
  <c r="C178" i="42"/>
  <c r="B178" i="42"/>
  <c r="C169" i="42"/>
  <c r="D169" i="42" s="1"/>
  <c r="E169" i="42" s="1"/>
  <c r="F169" i="42" s="1"/>
  <c r="G169" i="42" s="1"/>
  <c r="H169" i="42" s="1"/>
  <c r="I169" i="42" s="1"/>
  <c r="J169" i="42" s="1"/>
  <c r="K169" i="42" s="1"/>
  <c r="B158" i="42"/>
  <c r="B202" i="42" s="1"/>
  <c r="B246" i="42" s="1"/>
  <c r="B157" i="42"/>
  <c r="B201" i="42" s="1"/>
  <c r="B245" i="42" s="1"/>
  <c r="B146" i="42"/>
  <c r="C135" i="42"/>
  <c r="C145" i="42" s="1"/>
  <c r="D135" i="42"/>
  <c r="D145" i="42" s="1"/>
  <c r="E135" i="42"/>
  <c r="E145" i="42" s="1"/>
  <c r="F135" i="42"/>
  <c r="F145" i="42" s="1"/>
  <c r="G135" i="42"/>
  <c r="G145" i="42" s="1"/>
  <c r="H135" i="42"/>
  <c r="H179" i="42" s="1"/>
  <c r="I135" i="42"/>
  <c r="I145" i="42" s="1"/>
  <c r="J135" i="42"/>
  <c r="J179" i="42" s="1"/>
  <c r="K135" i="42"/>
  <c r="K179" i="42" s="1"/>
  <c r="K189" i="42" s="1"/>
  <c r="B135" i="42"/>
  <c r="B145" i="42" s="1"/>
  <c r="C144" i="42"/>
  <c r="D144" i="42" s="1"/>
  <c r="D146" i="42" s="1"/>
  <c r="K134" i="42"/>
  <c r="J134" i="42"/>
  <c r="I134" i="42"/>
  <c r="H134" i="42"/>
  <c r="G134" i="42"/>
  <c r="F134" i="42"/>
  <c r="E134" i="42"/>
  <c r="D134" i="42"/>
  <c r="C134" i="42"/>
  <c r="B134" i="42"/>
  <c r="C125" i="42"/>
  <c r="D125" i="42" s="1"/>
  <c r="E125" i="42" s="1"/>
  <c r="F125" i="42" s="1"/>
  <c r="G125" i="42" s="1"/>
  <c r="H125" i="42" s="1"/>
  <c r="I125" i="42" s="1"/>
  <c r="J125" i="42" s="1"/>
  <c r="K125" i="42" s="1"/>
  <c r="B117" i="42"/>
  <c r="B161" i="42" s="1"/>
  <c r="B205" i="42" s="1"/>
  <c r="B249" i="42" s="1"/>
  <c r="C89" i="42"/>
  <c r="C133" i="42" s="1"/>
  <c r="D89" i="42"/>
  <c r="D133" i="42" s="1"/>
  <c r="D177" i="42" s="1"/>
  <c r="E89" i="42"/>
  <c r="E133" i="42" s="1"/>
  <c r="E177" i="42" s="1"/>
  <c r="F89" i="42"/>
  <c r="F133" i="42" s="1"/>
  <c r="F177" i="42" s="1"/>
  <c r="G89" i="42"/>
  <c r="G98" i="42" s="1"/>
  <c r="H89" i="42"/>
  <c r="H133" i="42" s="1"/>
  <c r="H142" i="42" s="1"/>
  <c r="I89" i="42"/>
  <c r="I133" i="42" s="1"/>
  <c r="I142" i="42" s="1"/>
  <c r="J89" i="42"/>
  <c r="J98" i="42" s="1"/>
  <c r="K89" i="42"/>
  <c r="K98" i="42" s="1"/>
  <c r="B89" i="42"/>
  <c r="B133" i="42" s="1"/>
  <c r="B177" i="42" s="1"/>
  <c r="B221" i="42" s="1"/>
  <c r="B230" i="42" s="1"/>
  <c r="C82" i="42"/>
  <c r="C126" i="42" s="1"/>
  <c r="C170" i="42" s="1"/>
  <c r="D82" i="42"/>
  <c r="D126" i="42" s="1"/>
  <c r="D170" i="42" s="1"/>
  <c r="D214" i="42" s="1"/>
  <c r="E82" i="42"/>
  <c r="F82" i="42"/>
  <c r="F126" i="42" s="1"/>
  <c r="F170" i="42" s="1"/>
  <c r="F214" i="42" s="1"/>
  <c r="G82" i="42"/>
  <c r="G126" i="42" s="1"/>
  <c r="G170" i="42" s="1"/>
  <c r="H82" i="42"/>
  <c r="H126" i="42" s="1"/>
  <c r="H170" i="42" s="1"/>
  <c r="I82" i="42"/>
  <c r="I126" i="42" s="1"/>
  <c r="J82" i="42"/>
  <c r="K82" i="42"/>
  <c r="K126" i="42" s="1"/>
  <c r="K170" i="42" s="1"/>
  <c r="C84" i="42"/>
  <c r="C128" i="42" s="1"/>
  <c r="C172" i="42" s="1"/>
  <c r="C174" i="42" s="1"/>
  <c r="D84" i="42"/>
  <c r="D128" i="42" s="1"/>
  <c r="D172" i="42" s="1"/>
  <c r="E84" i="42"/>
  <c r="E128" i="42" s="1"/>
  <c r="E172" i="42" s="1"/>
  <c r="F84" i="42"/>
  <c r="F128" i="42" s="1"/>
  <c r="F172" i="42" s="1"/>
  <c r="G84" i="42"/>
  <c r="H84" i="42"/>
  <c r="H128" i="42" s="1"/>
  <c r="H172" i="42" s="1"/>
  <c r="H174" i="42" s="1"/>
  <c r="I84" i="42"/>
  <c r="I128" i="42" s="1"/>
  <c r="I172" i="42" s="1"/>
  <c r="J84" i="42"/>
  <c r="J86" i="42" s="1"/>
  <c r="J87" i="42" s="1"/>
  <c r="J88" i="42" s="1"/>
  <c r="K84" i="42"/>
  <c r="K128" i="42" s="1"/>
  <c r="K172" i="42" s="1"/>
  <c r="B84" i="42"/>
  <c r="B128" i="42" s="1"/>
  <c r="B82" i="42"/>
  <c r="B126" i="42" s="1"/>
  <c r="B170" i="42" s="1"/>
  <c r="B214" i="42" s="1"/>
  <c r="J66" i="42"/>
  <c r="K66" i="42"/>
  <c r="J77" i="42"/>
  <c r="K77" i="42"/>
  <c r="C100" i="42"/>
  <c r="D100" i="42" s="1"/>
  <c r="E100" i="42" s="1"/>
  <c r="F100" i="42" s="1"/>
  <c r="G100" i="42" s="1"/>
  <c r="H100" i="42" s="1"/>
  <c r="I100" i="42" s="1"/>
  <c r="I90" i="42"/>
  <c r="H90" i="42"/>
  <c r="G90" i="42"/>
  <c r="F90" i="42"/>
  <c r="E90" i="42"/>
  <c r="D90" i="42"/>
  <c r="C90" i="42"/>
  <c r="C81" i="42"/>
  <c r="D81" i="42" s="1"/>
  <c r="E81" i="42" s="1"/>
  <c r="F81" i="42" s="1"/>
  <c r="G81" i="42" s="1"/>
  <c r="H81" i="42" s="1"/>
  <c r="I81" i="42" s="1"/>
  <c r="J81" i="42" s="1"/>
  <c r="K81" i="42" s="1"/>
  <c r="L77" i="42"/>
  <c r="I77" i="42"/>
  <c r="H77" i="42"/>
  <c r="G77" i="42"/>
  <c r="F77" i="42"/>
  <c r="E77" i="42"/>
  <c r="D77" i="42"/>
  <c r="C77" i="42"/>
  <c r="B77" i="42"/>
  <c r="B67" i="42"/>
  <c r="C67" i="42" s="1"/>
  <c r="D67" i="42" s="1"/>
  <c r="E67" i="42" s="1"/>
  <c r="F67" i="42" s="1"/>
  <c r="G67" i="42" s="1"/>
  <c r="H67" i="42" s="1"/>
  <c r="I67" i="42" s="1"/>
  <c r="L67" i="42" s="1"/>
  <c r="I66" i="42"/>
  <c r="H66" i="42"/>
  <c r="G66" i="42"/>
  <c r="F66" i="42"/>
  <c r="E66" i="42"/>
  <c r="D66" i="42"/>
  <c r="B66" i="42"/>
  <c r="B64" i="42"/>
  <c r="C64" i="42" s="1"/>
  <c r="D64" i="42" s="1"/>
  <c r="E64" i="42" s="1"/>
  <c r="F64" i="42" s="1"/>
  <c r="G64" i="42" s="1"/>
  <c r="H64" i="42" s="1"/>
  <c r="I64" i="42" s="1"/>
  <c r="L64" i="42" s="1"/>
  <c r="B57" i="42"/>
  <c r="C57" i="42" s="1"/>
  <c r="B53" i="42"/>
  <c r="C53" i="42" s="1"/>
  <c r="B51" i="42"/>
  <c r="C51" i="42" s="1"/>
  <c r="D51" i="42" s="1"/>
  <c r="E51" i="42" s="1"/>
  <c r="F51" i="42" s="1"/>
  <c r="G51" i="42" s="1"/>
  <c r="H51" i="42" s="1"/>
  <c r="I51" i="42" s="1"/>
  <c r="L51" i="42" s="1"/>
  <c r="C27" i="42"/>
  <c r="E27" i="42" s="1"/>
  <c r="F27" i="42" s="1"/>
  <c r="C23" i="42"/>
  <c r="C22" i="42"/>
  <c r="E22" i="42" s="1"/>
  <c r="F22" i="42" s="1"/>
  <c r="C19" i="42"/>
  <c r="F14" i="42"/>
  <c r="F13" i="42"/>
  <c r="E13" i="42"/>
  <c r="E15" i="42" s="1"/>
  <c r="E19" i="42" s="1"/>
  <c r="E10" i="42"/>
  <c r="E18" i="42" s="1"/>
  <c r="C10" i="42"/>
  <c r="C18" i="42" s="1"/>
  <c r="F9" i="42"/>
  <c r="F10" i="42" s="1"/>
  <c r="F18" i="42" s="1"/>
  <c r="B253" i="3"/>
  <c r="B254" i="3" s="1"/>
  <c r="C352" i="3"/>
  <c r="D352" i="3"/>
  <c r="E352" i="3"/>
  <c r="F352" i="3"/>
  <c r="G352" i="3"/>
  <c r="H352" i="3"/>
  <c r="I352" i="3"/>
  <c r="J352" i="3"/>
  <c r="K352" i="3"/>
  <c r="E353" i="3"/>
  <c r="B352" i="3"/>
  <c r="C353" i="3"/>
  <c r="D353" i="3"/>
  <c r="F353" i="3"/>
  <c r="G353" i="3"/>
  <c r="H353" i="3"/>
  <c r="I353" i="3"/>
  <c r="J353" i="3"/>
  <c r="K353" i="3"/>
  <c r="B353" i="3"/>
  <c r="L272" i="3"/>
  <c r="L271" i="3"/>
  <c r="L266" i="3"/>
  <c r="L265" i="3"/>
  <c r="J94" i="42" l="1"/>
  <c r="K145" i="42"/>
  <c r="G83" i="42"/>
  <c r="C179" i="42"/>
  <c r="C189" i="42" s="1"/>
  <c r="C191" i="42" s="1"/>
  <c r="F179" i="42"/>
  <c r="F223" i="42" s="1"/>
  <c r="F233" i="42" s="1"/>
  <c r="C141" i="42"/>
  <c r="H177" i="42"/>
  <c r="H221" i="42" s="1"/>
  <c r="H230" i="42" s="1"/>
  <c r="F184" i="42"/>
  <c r="F216" i="42"/>
  <c r="F215" i="42" s="1"/>
  <c r="F174" i="42"/>
  <c r="F175" i="42" s="1"/>
  <c r="F185" i="42"/>
  <c r="F186" i="42"/>
  <c r="F221" i="42"/>
  <c r="F229" i="42" s="1"/>
  <c r="E216" i="42"/>
  <c r="E174" i="42"/>
  <c r="E175" i="42" s="1"/>
  <c r="D186" i="42"/>
  <c r="D221" i="42"/>
  <c r="D230" i="42" s="1"/>
  <c r="E186" i="42"/>
  <c r="E221" i="42"/>
  <c r="H223" i="42"/>
  <c r="H233" i="42" s="1"/>
  <c r="H189" i="42"/>
  <c r="D183" i="42"/>
  <c r="D216" i="42"/>
  <c r="D174" i="42"/>
  <c r="D175" i="42" s="1"/>
  <c r="D176" i="42" s="1"/>
  <c r="H175" i="42"/>
  <c r="H176" i="42" s="1"/>
  <c r="J223" i="42"/>
  <c r="J233" i="42" s="1"/>
  <c r="J189" i="42"/>
  <c r="K174" i="42"/>
  <c r="K216" i="42"/>
  <c r="K183" i="42"/>
  <c r="K171" i="42"/>
  <c r="K214" i="42"/>
  <c r="L214" i="42" s="1"/>
  <c r="H171" i="42"/>
  <c r="H214" i="42"/>
  <c r="B130" i="42"/>
  <c r="B131" i="42" s="1"/>
  <c r="B132" i="42" s="1"/>
  <c r="B172" i="42"/>
  <c r="B184" i="42" s="1"/>
  <c r="C182" i="42"/>
  <c r="C214" i="42"/>
  <c r="D226" i="42" s="1"/>
  <c r="I138" i="42"/>
  <c r="H216" i="42"/>
  <c r="H183" i="42"/>
  <c r="I216" i="42"/>
  <c r="I218" i="42" s="1"/>
  <c r="G138" i="42"/>
  <c r="I170" i="42"/>
  <c r="C177" i="42"/>
  <c r="C221" i="42" s="1"/>
  <c r="C230" i="42" s="1"/>
  <c r="G214" i="42"/>
  <c r="G226" i="42" s="1"/>
  <c r="B179" i="42"/>
  <c r="H145" i="42"/>
  <c r="J145" i="42"/>
  <c r="D179" i="42"/>
  <c r="H139" i="42"/>
  <c r="I177" i="42"/>
  <c r="E179" i="42"/>
  <c r="G179" i="42"/>
  <c r="K223" i="42"/>
  <c r="K233" i="42" s="1"/>
  <c r="C183" i="42"/>
  <c r="C216" i="42"/>
  <c r="I179" i="42"/>
  <c r="I174" i="42"/>
  <c r="D271" i="42"/>
  <c r="D272" i="42" s="1"/>
  <c r="B229" i="42"/>
  <c r="D232" i="42"/>
  <c r="D234" i="42" s="1"/>
  <c r="F171" i="42"/>
  <c r="B186" i="42"/>
  <c r="B185" i="42"/>
  <c r="F183" i="42"/>
  <c r="C175" i="42"/>
  <c r="C176" i="42" s="1"/>
  <c r="D171" i="42"/>
  <c r="D182" i="42"/>
  <c r="L170" i="42"/>
  <c r="D184" i="42"/>
  <c r="D188" i="42"/>
  <c r="D190" i="42" s="1"/>
  <c r="C171" i="42"/>
  <c r="D185" i="42"/>
  <c r="G182" i="42"/>
  <c r="H182" i="42"/>
  <c r="C146" i="42"/>
  <c r="C147" i="42" s="1"/>
  <c r="F140" i="42"/>
  <c r="F139" i="42"/>
  <c r="F130" i="42"/>
  <c r="F131" i="42" s="1"/>
  <c r="E130" i="42"/>
  <c r="E131" i="42" s="1"/>
  <c r="E132" i="42" s="1"/>
  <c r="D130" i="42"/>
  <c r="D131" i="42" s="1"/>
  <c r="D140" i="42"/>
  <c r="D139" i="42"/>
  <c r="C130" i="42"/>
  <c r="C131" i="42" s="1"/>
  <c r="C140" i="42"/>
  <c r="C139" i="42"/>
  <c r="F142" i="42"/>
  <c r="F141" i="42"/>
  <c r="E142" i="42"/>
  <c r="D142" i="42"/>
  <c r="D141" i="42"/>
  <c r="H138" i="42"/>
  <c r="H127" i="42"/>
  <c r="F127" i="42"/>
  <c r="D138" i="42"/>
  <c r="D127" i="42"/>
  <c r="J128" i="42"/>
  <c r="J130" i="42" s="1"/>
  <c r="J126" i="42"/>
  <c r="K133" i="42"/>
  <c r="E83" i="42"/>
  <c r="E126" i="42"/>
  <c r="K139" i="42"/>
  <c r="G128" i="42"/>
  <c r="G172" i="42" s="1"/>
  <c r="J133" i="42"/>
  <c r="G133" i="42"/>
  <c r="G177" i="42" s="1"/>
  <c r="B147" i="42"/>
  <c r="K130" i="42"/>
  <c r="K131" i="42" s="1"/>
  <c r="K132" i="42" s="1"/>
  <c r="B140" i="42"/>
  <c r="I141" i="42"/>
  <c r="I139" i="42"/>
  <c r="H141" i="42"/>
  <c r="L126" i="42"/>
  <c r="L138" i="42" s="1"/>
  <c r="B141" i="42"/>
  <c r="B127" i="42"/>
  <c r="C138" i="42"/>
  <c r="B150" i="42"/>
  <c r="D147" i="42"/>
  <c r="E144" i="42"/>
  <c r="E146" i="42" s="1"/>
  <c r="C127" i="42"/>
  <c r="K127" i="42"/>
  <c r="H140" i="42"/>
  <c r="B142" i="42"/>
  <c r="I140" i="42"/>
  <c r="C142" i="42"/>
  <c r="H130" i="42"/>
  <c r="I130" i="42"/>
  <c r="I127" i="42"/>
  <c r="B139" i="42"/>
  <c r="J83" i="42"/>
  <c r="D83" i="42"/>
  <c r="I83" i="42"/>
  <c r="H83" i="42"/>
  <c r="D97" i="42"/>
  <c r="F83" i="42"/>
  <c r="K95" i="42"/>
  <c r="C83" i="42"/>
  <c r="J95" i="42"/>
  <c r="K83" i="42"/>
  <c r="J51" i="42"/>
  <c r="K51" i="42" s="1"/>
  <c r="J67" i="42"/>
  <c r="K67" i="42" s="1"/>
  <c r="G96" i="42"/>
  <c r="J64" i="42"/>
  <c r="K64" i="42" s="1"/>
  <c r="J97" i="42"/>
  <c r="L82" i="42"/>
  <c r="L84" i="42" s="1"/>
  <c r="J100" i="42"/>
  <c r="C97" i="42"/>
  <c r="K96" i="42"/>
  <c r="J96" i="42"/>
  <c r="K86" i="42"/>
  <c r="K97" i="42"/>
  <c r="L97" i="42" s="1"/>
  <c r="K94" i="42"/>
  <c r="K90" i="42"/>
  <c r="J90" i="42"/>
  <c r="I96" i="42"/>
  <c r="B83" i="42"/>
  <c r="H96" i="42"/>
  <c r="F94" i="42"/>
  <c r="F15" i="42"/>
  <c r="F19" i="42" s="1"/>
  <c r="F20" i="42" s="1"/>
  <c r="F97" i="42"/>
  <c r="E95" i="42"/>
  <c r="E94" i="42"/>
  <c r="E86" i="42"/>
  <c r="E87" i="42" s="1"/>
  <c r="E88" i="42" s="1"/>
  <c r="B97" i="42"/>
  <c r="E20" i="42"/>
  <c r="C98" i="42"/>
  <c r="B96" i="42"/>
  <c r="I97" i="42"/>
  <c r="B98" i="42"/>
  <c r="C94" i="42"/>
  <c r="D98" i="42"/>
  <c r="H98" i="42"/>
  <c r="C96" i="42"/>
  <c r="I98" i="42"/>
  <c r="D94" i="42"/>
  <c r="D96" i="42"/>
  <c r="C86" i="42"/>
  <c r="C87" i="42" s="1"/>
  <c r="C20" i="42"/>
  <c r="C25" i="42" s="1"/>
  <c r="C28" i="42" s="1"/>
  <c r="C95" i="42"/>
  <c r="D53" i="42"/>
  <c r="E53" i="42" s="1"/>
  <c r="F53" i="42" s="1"/>
  <c r="G53" i="42" s="1"/>
  <c r="H53" i="42" s="1"/>
  <c r="I53" i="42" s="1"/>
  <c r="E97" i="42"/>
  <c r="E98" i="42"/>
  <c r="G97" i="42"/>
  <c r="B95" i="42"/>
  <c r="D57" i="42"/>
  <c r="E57" i="42" s="1"/>
  <c r="F98" i="42"/>
  <c r="C66" i="42"/>
  <c r="L66" i="42"/>
  <c r="F95" i="42"/>
  <c r="F86" i="42"/>
  <c r="G94" i="42"/>
  <c r="G95" i="42"/>
  <c r="G86" i="42"/>
  <c r="B86" i="42"/>
  <c r="E96" i="42"/>
  <c r="D95" i="42"/>
  <c r="H94" i="42"/>
  <c r="H97" i="42"/>
  <c r="H95" i="42"/>
  <c r="H86" i="42"/>
  <c r="I94" i="42"/>
  <c r="I95" i="42"/>
  <c r="I86" i="42"/>
  <c r="D86" i="42"/>
  <c r="F96" i="42"/>
  <c r="B90" i="42"/>
  <c r="B423" i="3"/>
  <c r="B424" i="3" s="1"/>
  <c r="B425" i="3" s="1"/>
  <c r="B426" i="3" s="1"/>
  <c r="B427" i="3" s="1"/>
  <c r="B420" i="3"/>
  <c r="C420" i="3" s="1"/>
  <c r="D410" i="3"/>
  <c r="E410" i="3" s="1"/>
  <c r="F410" i="3" s="1"/>
  <c r="F420" i="3" s="1"/>
  <c r="F431" i="3" s="1"/>
  <c r="C377" i="3"/>
  <c r="D377" i="3"/>
  <c r="E377" i="3"/>
  <c r="F377" i="3"/>
  <c r="G377" i="3"/>
  <c r="H377" i="3"/>
  <c r="I377" i="3"/>
  <c r="J377" i="3"/>
  <c r="K377" i="3"/>
  <c r="B377" i="3"/>
  <c r="C361" i="3"/>
  <c r="D361" i="3"/>
  <c r="E361" i="3"/>
  <c r="F361" i="3"/>
  <c r="G361" i="3"/>
  <c r="H361" i="3"/>
  <c r="I361" i="3"/>
  <c r="J361" i="3"/>
  <c r="K361" i="3"/>
  <c r="B361" i="3"/>
  <c r="C349" i="3"/>
  <c r="D349" i="3"/>
  <c r="E349" i="3"/>
  <c r="F349" i="3"/>
  <c r="G349" i="3"/>
  <c r="H349" i="3"/>
  <c r="I349" i="3"/>
  <c r="J349" i="3"/>
  <c r="K349" i="3"/>
  <c r="B349" i="3"/>
  <c r="C348" i="3"/>
  <c r="D348" i="3"/>
  <c r="E348" i="3"/>
  <c r="F348" i="3"/>
  <c r="G348" i="3"/>
  <c r="H348" i="3"/>
  <c r="I348" i="3"/>
  <c r="J348" i="3"/>
  <c r="K348" i="3"/>
  <c r="B348" i="3"/>
  <c r="C340" i="3"/>
  <c r="D340" i="3"/>
  <c r="E340" i="3"/>
  <c r="F340" i="3"/>
  <c r="G340" i="3"/>
  <c r="H340" i="3"/>
  <c r="I340" i="3"/>
  <c r="J340" i="3"/>
  <c r="K340" i="3"/>
  <c r="B340" i="3"/>
  <c r="C339" i="3"/>
  <c r="D339" i="3"/>
  <c r="E339" i="3"/>
  <c r="F339" i="3"/>
  <c r="G339" i="3"/>
  <c r="H339" i="3"/>
  <c r="I339" i="3"/>
  <c r="J339" i="3"/>
  <c r="K339" i="3"/>
  <c r="B339" i="3"/>
  <c r="C335" i="3"/>
  <c r="D335" i="3"/>
  <c r="E335" i="3"/>
  <c r="F335" i="3"/>
  <c r="G335" i="3"/>
  <c r="H335" i="3"/>
  <c r="I335" i="3"/>
  <c r="J335" i="3"/>
  <c r="K335" i="3"/>
  <c r="C336" i="3"/>
  <c r="D336" i="3"/>
  <c r="E336" i="3"/>
  <c r="F336" i="3"/>
  <c r="G336" i="3"/>
  <c r="H336" i="3"/>
  <c r="I336" i="3"/>
  <c r="J336" i="3"/>
  <c r="K336" i="3"/>
  <c r="B336" i="3"/>
  <c r="B335" i="3"/>
  <c r="F189" i="42" l="1"/>
  <c r="H184" i="42"/>
  <c r="H186" i="42"/>
  <c r="J127" i="42"/>
  <c r="B171" i="42"/>
  <c r="C223" i="42"/>
  <c r="C233" i="42" s="1"/>
  <c r="C235" i="42" s="1"/>
  <c r="C185" i="42"/>
  <c r="K138" i="42"/>
  <c r="F132" i="42"/>
  <c r="E176" i="42"/>
  <c r="H185" i="42"/>
  <c r="F176" i="42"/>
  <c r="H215" i="42"/>
  <c r="D229" i="42"/>
  <c r="C229" i="42"/>
  <c r="D228" i="42"/>
  <c r="D132" i="42"/>
  <c r="K215" i="42"/>
  <c r="G184" i="42"/>
  <c r="G216" i="42"/>
  <c r="G174" i="42"/>
  <c r="G183" i="42"/>
  <c r="I185" i="42"/>
  <c r="I186" i="42"/>
  <c r="I221" i="42"/>
  <c r="G185" i="42"/>
  <c r="G186" i="42"/>
  <c r="G221" i="42"/>
  <c r="E223" i="42"/>
  <c r="E233" i="42" s="1"/>
  <c r="E189" i="42"/>
  <c r="H227" i="42"/>
  <c r="H218" i="42"/>
  <c r="K218" i="42"/>
  <c r="K219" i="42" s="1"/>
  <c r="K220" i="42" s="1"/>
  <c r="K227" i="42"/>
  <c r="C186" i="42"/>
  <c r="D223" i="42"/>
  <c r="D233" i="42" s="1"/>
  <c r="D235" i="42" s="1"/>
  <c r="D189" i="42"/>
  <c r="D191" i="42" s="1"/>
  <c r="G171" i="42"/>
  <c r="K175" i="42"/>
  <c r="K176" i="42" s="1"/>
  <c r="E218" i="42"/>
  <c r="K142" i="42"/>
  <c r="K177" i="42"/>
  <c r="H226" i="42"/>
  <c r="I175" i="42"/>
  <c r="I176" i="42" s="1"/>
  <c r="C215" i="42"/>
  <c r="C226" i="42"/>
  <c r="F228" i="42"/>
  <c r="F230" i="42"/>
  <c r="E127" i="42"/>
  <c r="E170" i="42"/>
  <c r="J138" i="42"/>
  <c r="J170" i="42"/>
  <c r="I223" i="42"/>
  <c r="I233" i="42" s="1"/>
  <c r="I189" i="42"/>
  <c r="D215" i="42"/>
  <c r="G189" i="42"/>
  <c r="G223" i="42"/>
  <c r="G233" i="42" s="1"/>
  <c r="I182" i="42"/>
  <c r="I171" i="42"/>
  <c r="I214" i="42"/>
  <c r="E230" i="42"/>
  <c r="J142" i="42"/>
  <c r="J177" i="42"/>
  <c r="J140" i="42"/>
  <c r="J172" i="42"/>
  <c r="C184" i="42"/>
  <c r="H228" i="42"/>
  <c r="C227" i="42"/>
  <c r="C218" i="42"/>
  <c r="B189" i="42"/>
  <c r="B191" i="42" s="1"/>
  <c r="B223" i="42"/>
  <c r="B233" i="42" s="1"/>
  <c r="B235" i="42" s="1"/>
  <c r="B183" i="42"/>
  <c r="B216" i="42"/>
  <c r="B174" i="42"/>
  <c r="H229" i="42"/>
  <c r="D227" i="42"/>
  <c r="D218" i="42"/>
  <c r="F227" i="42"/>
  <c r="F218" i="42"/>
  <c r="J139" i="42"/>
  <c r="C228" i="42"/>
  <c r="I184" i="42"/>
  <c r="I183" i="42"/>
  <c r="L216" i="42"/>
  <c r="L215" i="42" s="1"/>
  <c r="I219" i="42"/>
  <c r="I220" i="42" s="1"/>
  <c r="E232" i="42"/>
  <c r="E234" i="42" s="1"/>
  <c r="L172" i="42"/>
  <c r="L182" i="42"/>
  <c r="E188" i="42"/>
  <c r="E190" i="42" s="1"/>
  <c r="L128" i="42"/>
  <c r="L139" i="42" s="1"/>
  <c r="G139" i="42"/>
  <c r="G130" i="42"/>
  <c r="G140" i="42"/>
  <c r="C132" i="42"/>
  <c r="K141" i="42"/>
  <c r="L141" i="42" s="1"/>
  <c r="L133" i="42" s="1"/>
  <c r="E140" i="42"/>
  <c r="K140" i="42"/>
  <c r="J141" i="42"/>
  <c r="E138" i="42"/>
  <c r="G127" i="42"/>
  <c r="E139" i="42"/>
  <c r="G142" i="42"/>
  <c r="G141" i="42"/>
  <c r="F138" i="42"/>
  <c r="E141" i="42"/>
  <c r="J131" i="42"/>
  <c r="J132" i="42" s="1"/>
  <c r="I131" i="42"/>
  <c r="I132" i="42" s="1"/>
  <c r="H131" i="42"/>
  <c r="H132" i="42" s="1"/>
  <c r="E147" i="42"/>
  <c r="F144" i="42"/>
  <c r="F146" i="42" s="1"/>
  <c r="J102" i="42"/>
  <c r="L89" i="42"/>
  <c r="L85" i="42" s="1"/>
  <c r="L98" i="42" s="1"/>
  <c r="L53" i="42"/>
  <c r="J53" i="42"/>
  <c r="B102" i="42"/>
  <c r="H102" i="42"/>
  <c r="D102" i="42"/>
  <c r="C102" i="42"/>
  <c r="B106" i="42"/>
  <c r="F102" i="42"/>
  <c r="G102" i="42"/>
  <c r="J101" i="42"/>
  <c r="E101" i="42"/>
  <c r="K100" i="42"/>
  <c r="L100" i="42" s="1"/>
  <c r="L102" i="42" s="1"/>
  <c r="B108" i="42" s="1"/>
  <c r="K87" i="42"/>
  <c r="K88" i="42" s="1"/>
  <c r="K101" i="42"/>
  <c r="I102" i="42"/>
  <c r="C88" i="42"/>
  <c r="L83" i="42"/>
  <c r="L94" i="42"/>
  <c r="B87" i="42"/>
  <c r="B88" i="42" s="1"/>
  <c r="D87" i="42"/>
  <c r="D88" i="42" s="1"/>
  <c r="I87" i="42"/>
  <c r="I88" i="42" s="1"/>
  <c r="F87" i="42"/>
  <c r="F88" i="42" s="1"/>
  <c r="H87" i="42"/>
  <c r="H88" i="42" s="1"/>
  <c r="G87" i="42"/>
  <c r="G88" i="42" s="1"/>
  <c r="F57" i="42"/>
  <c r="D420" i="3"/>
  <c r="D431" i="3" s="1"/>
  <c r="E420" i="3"/>
  <c r="E431" i="3" s="1"/>
  <c r="B428" i="3"/>
  <c r="B343" i="3"/>
  <c r="D343" i="3"/>
  <c r="F344" i="3"/>
  <c r="J343" i="3"/>
  <c r="E344" i="3"/>
  <c r="B344" i="3"/>
  <c r="D344" i="3"/>
  <c r="I343" i="3"/>
  <c r="K344" i="3"/>
  <c r="C344" i="3"/>
  <c r="H343" i="3"/>
  <c r="J344" i="3"/>
  <c r="G343" i="3"/>
  <c r="I344" i="3"/>
  <c r="F343" i="3"/>
  <c r="H344" i="3"/>
  <c r="E343" i="3"/>
  <c r="G344" i="3"/>
  <c r="K343" i="3"/>
  <c r="C343" i="3"/>
  <c r="D986" i="3"/>
  <c r="D996" i="3" s="1"/>
  <c r="I228" i="42" l="1"/>
  <c r="B164" i="42"/>
  <c r="L226" i="42"/>
  <c r="I227" i="42"/>
  <c r="I229" i="42"/>
  <c r="I230" i="42"/>
  <c r="H219" i="42"/>
  <c r="H220" i="42" s="1"/>
  <c r="G227" i="42"/>
  <c r="G218" i="42"/>
  <c r="G175" i="42"/>
  <c r="G176" i="42" s="1"/>
  <c r="J185" i="42"/>
  <c r="J186" i="42"/>
  <c r="J221" i="42"/>
  <c r="E214" i="42"/>
  <c r="E171" i="42"/>
  <c r="F182" i="42"/>
  <c r="E182" i="42"/>
  <c r="E183" i="42"/>
  <c r="E185" i="42"/>
  <c r="E184" i="42"/>
  <c r="B175" i="42"/>
  <c r="B176" i="42" s="1"/>
  <c r="C219" i="42"/>
  <c r="C220" i="42" s="1"/>
  <c r="G215" i="42"/>
  <c r="G228" i="42"/>
  <c r="G230" i="42"/>
  <c r="G229" i="42"/>
  <c r="D219" i="42"/>
  <c r="D220" i="42" s="1"/>
  <c r="I226" i="42"/>
  <c r="I215" i="42"/>
  <c r="E219" i="42"/>
  <c r="E220" i="42" s="1"/>
  <c r="B227" i="42"/>
  <c r="B218" i="42"/>
  <c r="B215" i="42"/>
  <c r="B228" i="42"/>
  <c r="J182" i="42"/>
  <c r="J171" i="42"/>
  <c r="J214" i="42"/>
  <c r="K182" i="42"/>
  <c r="K185" i="42"/>
  <c r="L185" i="42" s="1"/>
  <c r="L177" i="42" s="1"/>
  <c r="L178" i="42" s="1"/>
  <c r="K186" i="42"/>
  <c r="K221" i="42"/>
  <c r="K184" i="42"/>
  <c r="F219" i="42"/>
  <c r="F220" i="42" s="1"/>
  <c r="J184" i="42"/>
  <c r="J183" i="42"/>
  <c r="J174" i="42"/>
  <c r="J216" i="42"/>
  <c r="E235" i="42"/>
  <c r="F232" i="42"/>
  <c r="F234" i="42" s="1"/>
  <c r="B252" i="42"/>
  <c r="L227" i="42"/>
  <c r="B208" i="42"/>
  <c r="L183" i="42"/>
  <c r="E191" i="42"/>
  <c r="F188" i="42"/>
  <c r="F190" i="42" s="1"/>
  <c r="L171" i="42"/>
  <c r="L127" i="42"/>
  <c r="G131" i="42"/>
  <c r="G132" i="42" s="1"/>
  <c r="L129" i="42"/>
  <c r="L134" i="42"/>
  <c r="L140" i="42"/>
  <c r="F147" i="42"/>
  <c r="G144" i="42"/>
  <c r="G146" i="42" s="1"/>
  <c r="E102" i="42"/>
  <c r="E103" i="42" s="1"/>
  <c r="K102" i="42"/>
  <c r="K103" i="42" s="1"/>
  <c r="L90" i="42"/>
  <c r="J103" i="42"/>
  <c r="K53" i="42"/>
  <c r="D101" i="42"/>
  <c r="D103" i="42" s="1"/>
  <c r="G101" i="42"/>
  <c r="G103" i="42" s="1"/>
  <c r="H101" i="42"/>
  <c r="H103" i="42" s="1"/>
  <c r="I101" i="42"/>
  <c r="I103" i="42" s="1"/>
  <c r="C101" i="42"/>
  <c r="C103" i="42" s="1"/>
  <c r="B101" i="42"/>
  <c r="B103" i="42" s="1"/>
  <c r="F101" i="42"/>
  <c r="F103" i="42" s="1"/>
  <c r="L96" i="42"/>
  <c r="L95" i="42"/>
  <c r="B120" i="42"/>
  <c r="G57" i="42"/>
  <c r="L86" i="42"/>
  <c r="F433" i="3"/>
  <c r="K438" i="3"/>
  <c r="E432" i="3"/>
  <c r="G434" i="3"/>
  <c r="H435" i="3"/>
  <c r="I436" i="3"/>
  <c r="J437" i="3"/>
  <c r="K437" i="3"/>
  <c r="D439" i="3"/>
  <c r="D413" i="3" s="1"/>
  <c r="B960" i="3"/>
  <c r="D976" i="3" s="1"/>
  <c r="L173" i="42" l="1"/>
  <c r="L186" i="42" s="1"/>
  <c r="E227" i="42"/>
  <c r="F226" i="42"/>
  <c r="E215" i="42"/>
  <c r="E226" i="42"/>
  <c r="E228" i="42"/>
  <c r="E229" i="42"/>
  <c r="J175" i="42"/>
  <c r="J176" i="42" s="1"/>
  <c r="J218" i="42"/>
  <c r="J219" i="42" s="1"/>
  <c r="J220" i="42" s="1"/>
  <c r="J227" i="42"/>
  <c r="B219" i="42"/>
  <c r="B220" i="42" s="1"/>
  <c r="L184" i="42"/>
  <c r="J228" i="42"/>
  <c r="J215" i="42"/>
  <c r="J226" i="42"/>
  <c r="K226" i="42"/>
  <c r="G219" i="42"/>
  <c r="G220" i="42" s="1"/>
  <c r="J229" i="42"/>
  <c r="J230" i="42"/>
  <c r="K230" i="42"/>
  <c r="K229" i="42"/>
  <c r="L229" i="42" s="1"/>
  <c r="L221" i="42" s="1"/>
  <c r="K228" i="42"/>
  <c r="G232" i="42"/>
  <c r="G234" i="42" s="1"/>
  <c r="F235" i="42"/>
  <c r="G188" i="42"/>
  <c r="G190" i="42" s="1"/>
  <c r="F191" i="42"/>
  <c r="L174" i="42"/>
  <c r="L142" i="42"/>
  <c r="L130" i="42"/>
  <c r="L131" i="42" s="1"/>
  <c r="L132" i="42" s="1"/>
  <c r="L135" i="42" s="1"/>
  <c r="B149" i="42" s="1"/>
  <c r="B151" i="42" s="1"/>
  <c r="B165" i="42" s="1"/>
  <c r="G147" i="42"/>
  <c r="H144" i="42"/>
  <c r="H146" i="42" s="1"/>
  <c r="B110" i="42"/>
  <c r="H57" i="42"/>
  <c r="L87" i="42"/>
  <c r="L88" i="42" s="1"/>
  <c r="L91" i="42" s="1"/>
  <c r="B105" i="42" s="1"/>
  <c r="B107" i="42" s="1"/>
  <c r="D416" i="3"/>
  <c r="H434" i="3"/>
  <c r="E439" i="3"/>
  <c r="E413" i="3" s="1"/>
  <c r="F432" i="3"/>
  <c r="I435" i="3"/>
  <c r="G433" i="3"/>
  <c r="J436" i="3"/>
  <c r="L217" i="42" l="1"/>
  <c r="L222" i="42"/>
  <c r="L228" i="42"/>
  <c r="G235" i="42"/>
  <c r="H232" i="42"/>
  <c r="H234" i="42" s="1"/>
  <c r="L175" i="42"/>
  <c r="L176" i="42" s="1"/>
  <c r="L179" i="42" s="1"/>
  <c r="B193" i="42" s="1"/>
  <c r="B195" i="42" s="1"/>
  <c r="H188" i="42"/>
  <c r="H190" i="42" s="1"/>
  <c r="G191" i="42"/>
  <c r="H147" i="42"/>
  <c r="I144" i="42"/>
  <c r="I146" i="42" s="1"/>
  <c r="B121" i="42"/>
  <c r="B109" i="42"/>
  <c r="I57" i="42"/>
  <c r="J57" i="42" s="1"/>
  <c r="E416" i="3"/>
  <c r="K436" i="3"/>
  <c r="G432" i="3"/>
  <c r="I434" i="3"/>
  <c r="F439" i="3"/>
  <c r="F413" i="3" s="1"/>
  <c r="J435" i="3"/>
  <c r="H433" i="3"/>
  <c r="L230" i="42" l="1"/>
  <c r="L218" i="42"/>
  <c r="L219" i="42" s="1"/>
  <c r="L220" i="42" s="1"/>
  <c r="L223" i="42" s="1"/>
  <c r="B237" i="42" s="1"/>
  <c r="B239" i="42" s="1"/>
  <c r="B253" i="42" s="1"/>
  <c r="H235" i="42"/>
  <c r="I232" i="42"/>
  <c r="I234" i="42" s="1"/>
  <c r="B209" i="42"/>
  <c r="I188" i="42"/>
  <c r="I190" i="42" s="1"/>
  <c r="H191" i="42"/>
  <c r="I147" i="42"/>
  <c r="J144" i="42"/>
  <c r="J146" i="42" s="1"/>
  <c r="K57" i="42"/>
  <c r="L57" i="42"/>
  <c r="F416" i="3"/>
  <c r="J232" i="42" l="1"/>
  <c r="J234" i="42" s="1"/>
  <c r="I235" i="42"/>
  <c r="J188" i="42"/>
  <c r="J190" i="42" s="1"/>
  <c r="I191" i="42"/>
  <c r="K144" i="42"/>
  <c r="K146" i="42" s="1"/>
  <c r="J147" i="42"/>
  <c r="J235" i="42" l="1"/>
  <c r="K232" i="42"/>
  <c r="K234" i="42" s="1"/>
  <c r="J191" i="42"/>
  <c r="K188" i="42"/>
  <c r="K190" i="42" s="1"/>
  <c r="L144" i="42"/>
  <c r="K147" i="42"/>
  <c r="B154" i="42" s="1"/>
  <c r="K235" i="42" l="1"/>
  <c r="B242" i="42" s="1"/>
  <c r="L232" i="42"/>
  <c r="K191" i="42"/>
  <c r="B198" i="42" s="1"/>
  <c r="L188" i="42"/>
  <c r="L146" i="42"/>
  <c r="B152" i="42" s="1"/>
  <c r="B153" i="42" s="1"/>
  <c r="B156" i="42" s="1"/>
  <c r="B160" i="42" s="1"/>
  <c r="B162" i="42" s="1"/>
  <c r="B163" i="42" s="1"/>
  <c r="L234" i="42" l="1"/>
  <c r="B240" i="42" s="1"/>
  <c r="B241" i="42" s="1"/>
  <c r="B244" i="42" s="1"/>
  <c r="B248" i="42" s="1"/>
  <c r="B250" i="42" s="1"/>
  <c r="B251" i="42" s="1"/>
  <c r="L190" i="42"/>
  <c r="B196" i="42" s="1"/>
  <c r="B197" i="42" s="1"/>
  <c r="B200" i="42" s="1"/>
  <c r="B204" i="42" s="1"/>
  <c r="B206" i="42" s="1"/>
  <c r="B207" i="42" s="1"/>
  <c r="B112" i="42" l="1"/>
  <c r="B116" i="42" s="1"/>
  <c r="B118" i="42" s="1"/>
  <c r="B119" i="42" s="1"/>
  <c r="B785" i="3" l="1"/>
  <c r="N276" i="3" l="1"/>
  <c r="B310" i="3" l="1"/>
  <c r="I323" i="3" s="1"/>
  <c r="B308" i="3"/>
  <c r="G323" i="3" l="1"/>
  <c r="D323" i="3"/>
  <c r="F323" i="3"/>
  <c r="E323" i="3"/>
  <c r="K323" i="3"/>
  <c r="J323" i="3"/>
  <c r="E328" i="3" l="1"/>
  <c r="F328" i="3"/>
  <c r="G328" i="3"/>
  <c r="H328" i="3"/>
  <c r="I328" i="3"/>
  <c r="J328" i="3"/>
  <c r="K328" i="3"/>
  <c r="D328" i="3"/>
  <c r="G316" i="3"/>
  <c r="G410" i="3" s="1"/>
  <c r="G420" i="3" l="1"/>
  <c r="G431" i="3" s="1"/>
  <c r="H410" i="3"/>
  <c r="E322" i="3"/>
  <c r="F322" i="3"/>
  <c r="G322" i="3"/>
  <c r="H322" i="3"/>
  <c r="I322" i="3"/>
  <c r="J322" i="3"/>
  <c r="K322" i="3"/>
  <c r="D322" i="3"/>
  <c r="B304" i="3"/>
  <c r="E297" i="3"/>
  <c r="E298" i="3" s="1"/>
  <c r="F297" i="3"/>
  <c r="F298" i="3" s="1"/>
  <c r="G297" i="3"/>
  <c r="G298" i="3" s="1"/>
  <c r="H297" i="3"/>
  <c r="H298" i="3" s="1"/>
  <c r="I297" i="3"/>
  <c r="I298" i="3" s="1"/>
  <c r="J297" i="3"/>
  <c r="J298" i="3" s="1"/>
  <c r="K297" i="3"/>
  <c r="K298" i="3" s="1"/>
  <c r="D297" i="3"/>
  <c r="D298" i="3" s="1"/>
  <c r="B278" i="3"/>
  <c r="B281" i="3" s="1"/>
  <c r="C278" i="3"/>
  <c r="C281" i="3" s="1"/>
  <c r="D278" i="3"/>
  <c r="D281" i="3" s="1"/>
  <c r="E278" i="3"/>
  <c r="E281" i="3" s="1"/>
  <c r="F278" i="3"/>
  <c r="G278" i="3"/>
  <c r="H278" i="3"/>
  <c r="I278" i="3"/>
  <c r="J278" i="3"/>
  <c r="K278" i="3"/>
  <c r="B279" i="3"/>
  <c r="C279" i="3"/>
  <c r="D279" i="3"/>
  <c r="E279" i="3"/>
  <c r="F279" i="3"/>
  <c r="G279" i="3"/>
  <c r="H279" i="3"/>
  <c r="I279" i="3"/>
  <c r="J279" i="3"/>
  <c r="K279" i="3"/>
  <c r="C277" i="3"/>
  <c r="D277" i="3"/>
  <c r="D292" i="3" s="1"/>
  <c r="E277" i="3"/>
  <c r="E292" i="3" s="1"/>
  <c r="F277" i="3"/>
  <c r="F292" i="3" s="1"/>
  <c r="G277" i="3"/>
  <c r="G292" i="3" s="1"/>
  <c r="G332" i="3" s="1"/>
  <c r="H277" i="3"/>
  <c r="H292" i="3" s="1"/>
  <c r="I277" i="3"/>
  <c r="I292" i="3" s="1"/>
  <c r="J277" i="3"/>
  <c r="J292" i="3" s="1"/>
  <c r="K277" i="3"/>
  <c r="K292" i="3" s="1"/>
  <c r="B277" i="3"/>
  <c r="I410" i="3" l="1"/>
  <c r="H420" i="3"/>
  <c r="H431" i="3" s="1"/>
  <c r="I433" i="3"/>
  <c r="J434" i="3"/>
  <c r="G439" i="3"/>
  <c r="G413" i="3" s="1"/>
  <c r="H432" i="3"/>
  <c r="K435" i="3"/>
  <c r="F300" i="3"/>
  <c r="F325" i="3" s="1"/>
  <c r="F324" i="3" s="1"/>
  <c r="F318" i="3" s="1"/>
  <c r="F319" i="3" s="1"/>
  <c r="H281" i="3"/>
  <c r="G281" i="3"/>
  <c r="F281" i="3"/>
  <c r="K281" i="3"/>
  <c r="J281" i="3"/>
  <c r="G280" i="3"/>
  <c r="I281" i="3"/>
  <c r="D300" i="3"/>
  <c r="H280" i="3"/>
  <c r="I300" i="3"/>
  <c r="J300" i="3"/>
  <c r="E280" i="3"/>
  <c r="K300" i="3"/>
  <c r="H300" i="3"/>
  <c r="G300" i="3"/>
  <c r="G325" i="3" s="1"/>
  <c r="G324" i="3" s="1"/>
  <c r="E300" i="3"/>
  <c r="J280" i="3"/>
  <c r="B280" i="3"/>
  <c r="K280" i="3"/>
  <c r="C280" i="3"/>
  <c r="I280" i="3"/>
  <c r="F280" i="3"/>
  <c r="D280" i="3"/>
  <c r="C519" i="3"/>
  <c r="D519" i="3"/>
  <c r="E519" i="3"/>
  <c r="F519" i="3"/>
  <c r="G519" i="3"/>
  <c r="H519" i="3"/>
  <c r="I519" i="3"/>
  <c r="C520" i="3"/>
  <c r="D520" i="3"/>
  <c r="E520" i="3"/>
  <c r="F520" i="3"/>
  <c r="G520" i="3"/>
  <c r="H520" i="3"/>
  <c r="I520" i="3"/>
  <c r="C521" i="3"/>
  <c r="D521" i="3"/>
  <c r="E521" i="3"/>
  <c r="F521" i="3"/>
  <c r="G521" i="3"/>
  <c r="H521" i="3"/>
  <c r="I521" i="3"/>
  <c r="B521" i="3"/>
  <c r="B520" i="3"/>
  <c r="B519" i="3"/>
  <c r="C516" i="3"/>
  <c r="D516" i="3"/>
  <c r="E516" i="3"/>
  <c r="F516" i="3"/>
  <c r="G516" i="3"/>
  <c r="H516" i="3"/>
  <c r="I516" i="3"/>
  <c r="B516" i="3"/>
  <c r="J410" i="3" l="1"/>
  <c r="I420" i="3"/>
  <c r="I431" i="3" s="1"/>
  <c r="G416" i="3"/>
  <c r="J433" i="3"/>
  <c r="K434" i="3"/>
  <c r="H439" i="3"/>
  <c r="H413" i="3" s="1"/>
  <c r="I432" i="3"/>
  <c r="D325" i="3"/>
  <c r="D324" i="3" s="1"/>
  <c r="D318" i="3" s="1"/>
  <c r="D319" i="3" s="1"/>
  <c r="D329" i="3" s="1"/>
  <c r="D330" i="3" s="1"/>
  <c r="B309" i="3"/>
  <c r="B311" i="3" s="1"/>
  <c r="H317" i="3" s="1"/>
  <c r="H323" i="3" s="1"/>
  <c r="G318" i="3"/>
  <c r="G319" i="3" s="1"/>
  <c r="G326" i="3"/>
  <c r="K325" i="3"/>
  <c r="K324" i="3" s="1"/>
  <c r="K318" i="3" s="1"/>
  <c r="B305" i="3"/>
  <c r="E325" i="3"/>
  <c r="E324" i="3" s="1"/>
  <c r="H325" i="3"/>
  <c r="I325" i="3"/>
  <c r="I324" i="3" s="1"/>
  <c r="I318" i="3" s="1"/>
  <c r="F326" i="3"/>
  <c r="J325" i="3"/>
  <c r="J324" i="3" s="1"/>
  <c r="J318" i="3" s="1"/>
  <c r="B522" i="3"/>
  <c r="I522" i="3"/>
  <c r="H522" i="3"/>
  <c r="G522" i="3"/>
  <c r="F522" i="3"/>
  <c r="E522" i="3"/>
  <c r="D522" i="3"/>
  <c r="C522" i="3"/>
  <c r="C501" i="3"/>
  <c r="D501" i="3"/>
  <c r="E501" i="3"/>
  <c r="F501" i="3"/>
  <c r="G501" i="3"/>
  <c r="H501" i="3"/>
  <c r="I501" i="3"/>
  <c r="B501" i="3"/>
  <c r="C937" i="3"/>
  <c r="F475" i="3"/>
  <c r="I473" i="3"/>
  <c r="C474" i="3"/>
  <c r="G473" i="3"/>
  <c r="D473" i="3"/>
  <c r="F473" i="3"/>
  <c r="I475" i="3"/>
  <c r="I474" i="3"/>
  <c r="D474" i="3"/>
  <c r="D475" i="3"/>
  <c r="B475" i="3"/>
  <c r="E473" i="3"/>
  <c r="C475" i="3"/>
  <c r="H473" i="3"/>
  <c r="G474" i="3"/>
  <c r="B473" i="3"/>
  <c r="B474" i="3"/>
  <c r="H474" i="3"/>
  <c r="C473" i="3"/>
  <c r="F474" i="3"/>
  <c r="H475" i="3"/>
  <c r="E474" i="3"/>
  <c r="G475" i="3"/>
  <c r="E475" i="3"/>
  <c r="K410" i="3" l="1"/>
  <c r="J420" i="3"/>
  <c r="J431" i="3" s="1"/>
  <c r="H416" i="3"/>
  <c r="J432" i="3"/>
  <c r="K433" i="3"/>
  <c r="I439" i="3"/>
  <c r="I413" i="3" s="1"/>
  <c r="D326" i="3"/>
  <c r="H324" i="3"/>
  <c r="H318" i="3" s="1"/>
  <c r="H319" i="3" s="1"/>
  <c r="J319" i="3"/>
  <c r="J326" i="3"/>
  <c r="K319" i="3"/>
  <c r="K326" i="3"/>
  <c r="I326" i="3"/>
  <c r="I319" i="3"/>
  <c r="E318" i="3"/>
  <c r="E319" i="3" s="1"/>
  <c r="E329" i="3" s="1"/>
  <c r="C484" i="3"/>
  <c r="D484" i="3"/>
  <c r="E484" i="3"/>
  <c r="F484" i="3"/>
  <c r="G484" i="3"/>
  <c r="H484" i="3"/>
  <c r="I484" i="3"/>
  <c r="B484" i="3"/>
  <c r="B485" i="3"/>
  <c r="C485" i="3"/>
  <c r="D485" i="3"/>
  <c r="E485" i="3"/>
  <c r="B486" i="3"/>
  <c r="C486" i="3"/>
  <c r="D486" i="3"/>
  <c r="E486" i="3"/>
  <c r="F485" i="3"/>
  <c r="G485" i="3"/>
  <c r="H485" i="3"/>
  <c r="I485" i="3"/>
  <c r="F486" i="3"/>
  <c r="G486" i="3"/>
  <c r="H486" i="3"/>
  <c r="I486" i="3"/>
  <c r="B937" i="3"/>
  <c r="D937" i="3" s="1"/>
  <c r="D920" i="3"/>
  <c r="K420" i="3" l="1"/>
  <c r="K431" i="3" s="1"/>
  <c r="I416" i="3"/>
  <c r="J439" i="3"/>
  <c r="J413" i="3" s="1"/>
  <c r="K432" i="3"/>
  <c r="H326" i="3"/>
  <c r="E326" i="3"/>
  <c r="F329" i="3"/>
  <c r="E330" i="3"/>
  <c r="E487" i="3"/>
  <c r="D487" i="3"/>
  <c r="C487" i="3"/>
  <c r="B487" i="3"/>
  <c r="I487" i="3"/>
  <c r="H487" i="3"/>
  <c r="G487" i="3"/>
  <c r="F487" i="3"/>
  <c r="D941" i="3"/>
  <c r="E920" i="3"/>
  <c r="B840" i="3"/>
  <c r="B839" i="3"/>
  <c r="B837" i="3"/>
  <c r="B891" i="3"/>
  <c r="B893" i="3" s="1"/>
  <c r="C889" i="3"/>
  <c r="C891" i="3" s="1"/>
  <c r="B768" i="3"/>
  <c r="C768" i="3"/>
  <c r="C764" i="3"/>
  <c r="D764" i="3"/>
  <c r="B764" i="3"/>
  <c r="C760" i="3"/>
  <c r="D760" i="3" s="1"/>
  <c r="B822" i="3"/>
  <c r="B823" i="3" s="1"/>
  <c r="B825" i="3" s="1"/>
  <c r="B826" i="3" s="1"/>
  <c r="B838" i="3"/>
  <c r="B790" i="3"/>
  <c r="B799" i="3" s="1"/>
  <c r="B808" i="3" s="1"/>
  <c r="C851" i="3" s="1"/>
  <c r="C860" i="3" s="1"/>
  <c r="B794" i="3"/>
  <c r="K439" i="3" l="1"/>
  <c r="K413" i="3" s="1"/>
  <c r="K416" i="3" s="1"/>
  <c r="J416" i="3"/>
  <c r="G329" i="3"/>
  <c r="F330" i="3"/>
  <c r="D891" i="3"/>
  <c r="D893" i="3" s="1"/>
  <c r="C893" i="3"/>
  <c r="B786" i="3"/>
  <c r="B787" i="3" s="1"/>
  <c r="D889" i="3"/>
  <c r="B824" i="3"/>
  <c r="B841" i="3"/>
  <c r="B803" i="3"/>
  <c r="B804" i="3" s="1"/>
  <c r="B805" i="3" s="1"/>
  <c r="B795" i="3"/>
  <c r="B796" i="3" s="1"/>
  <c r="C263" i="41"/>
  <c r="B263" i="41"/>
  <c r="C250" i="41"/>
  <c r="C245" i="41"/>
  <c r="C246" i="41" s="1"/>
  <c r="C254" i="41" s="1"/>
  <c r="C235" i="41"/>
  <c r="D235" i="41" s="1"/>
  <c r="F212" i="41"/>
  <c r="E212" i="41"/>
  <c r="D212" i="41"/>
  <c r="C212" i="41"/>
  <c r="B212" i="41"/>
  <c r="F207" i="41"/>
  <c r="E207" i="41"/>
  <c r="D207" i="41"/>
  <c r="C207" i="41"/>
  <c r="B207" i="41"/>
  <c r="B204" i="41"/>
  <c r="C189" i="41"/>
  <c r="D189" i="41" s="1"/>
  <c r="E189" i="41" s="1"/>
  <c r="F189" i="41" s="1"/>
  <c r="G189" i="41" s="1"/>
  <c r="H189" i="41" s="1"/>
  <c r="I189" i="41" s="1"/>
  <c r="J189" i="41" s="1"/>
  <c r="K189" i="41" s="1"/>
  <c r="C188" i="41"/>
  <c r="D188" i="41" s="1"/>
  <c r="E188" i="41" s="1"/>
  <c r="F188" i="41" s="1"/>
  <c r="G188" i="41" s="1"/>
  <c r="H188" i="41" s="1"/>
  <c r="I188" i="41" s="1"/>
  <c r="J188" i="41" s="1"/>
  <c r="K188" i="41" s="1"/>
  <c r="C187" i="41"/>
  <c r="D187" i="41" s="1"/>
  <c r="E187" i="41" s="1"/>
  <c r="F187" i="41" s="1"/>
  <c r="G187" i="41" s="1"/>
  <c r="H187" i="41" s="1"/>
  <c r="I187" i="41" s="1"/>
  <c r="J187" i="41" s="1"/>
  <c r="K187" i="41" s="1"/>
  <c r="C179" i="41"/>
  <c r="C178" i="41"/>
  <c r="D178" i="41" s="1"/>
  <c r="E178" i="41" s="1"/>
  <c r="F178" i="41" s="1"/>
  <c r="C168" i="41"/>
  <c r="D168" i="41" s="1"/>
  <c r="E168" i="41" s="1"/>
  <c r="F168" i="41" s="1"/>
  <c r="G168" i="41" s="1"/>
  <c r="H168" i="41" s="1"/>
  <c r="I168" i="41" s="1"/>
  <c r="J168" i="41" s="1"/>
  <c r="K168" i="41" s="1"/>
  <c r="B157" i="41"/>
  <c r="C151" i="41"/>
  <c r="D151" i="41" s="1"/>
  <c r="C140" i="41"/>
  <c r="H139" i="41"/>
  <c r="H138" i="41"/>
  <c r="C135" i="41"/>
  <c r="H133" i="41"/>
  <c r="H135" i="41" s="1"/>
  <c r="D124" i="41"/>
  <c r="E124" i="41" s="1"/>
  <c r="C104" i="41"/>
  <c r="D104" i="41" s="1"/>
  <c r="E104" i="41" s="1"/>
  <c r="F104" i="41" s="1"/>
  <c r="G104" i="41" s="1"/>
  <c r="H104" i="41" s="1"/>
  <c r="I104" i="41" s="1"/>
  <c r="J104" i="41" s="1"/>
  <c r="K100" i="41"/>
  <c r="J100" i="41"/>
  <c r="I100" i="41"/>
  <c r="H100" i="41"/>
  <c r="G100" i="41"/>
  <c r="F100" i="41"/>
  <c r="E100" i="41"/>
  <c r="D100" i="41"/>
  <c r="C100" i="41"/>
  <c r="B100" i="41"/>
  <c r="C80" i="41"/>
  <c r="C76" i="41"/>
  <c r="D76" i="41" s="1"/>
  <c r="E76" i="41" s="1"/>
  <c r="F76" i="41" s="1"/>
  <c r="G76" i="41" s="1"/>
  <c r="H76" i="41" s="1"/>
  <c r="I76" i="41" s="1"/>
  <c r="J76" i="41" s="1"/>
  <c r="K76" i="41" s="1"/>
  <c r="C74" i="41"/>
  <c r="D74" i="41" s="1"/>
  <c r="E74" i="41" s="1"/>
  <c r="F74" i="41" s="1"/>
  <c r="G74" i="41" s="1"/>
  <c r="H74" i="41" s="1"/>
  <c r="I74" i="41" s="1"/>
  <c r="J74" i="41" s="1"/>
  <c r="K74" i="41" s="1"/>
  <c r="B69" i="41"/>
  <c r="B50" i="41"/>
  <c r="D50" i="41" s="1"/>
  <c r="F50" i="41" s="1"/>
  <c r="G50" i="41" s="1"/>
  <c r="D42" i="41"/>
  <c r="G37" i="41"/>
  <c r="G36" i="41"/>
  <c r="F36" i="41"/>
  <c r="F38" i="41" s="1"/>
  <c r="F42" i="41" s="1"/>
  <c r="F33" i="41"/>
  <c r="F41" i="41" s="1"/>
  <c r="D33" i="41"/>
  <c r="D41" i="41" s="1"/>
  <c r="G32" i="41"/>
  <c r="G33" i="41" s="1"/>
  <c r="G41" i="41" s="1"/>
  <c r="C19" i="41"/>
  <c r="C204" i="41" s="1"/>
  <c r="B14" i="41"/>
  <c r="B8" i="41"/>
  <c r="C6" i="41" a="1"/>
  <c r="Q132" i="41" a="1"/>
  <c r="Q137" i="41" a="1"/>
  <c r="B238" i="41" a="1"/>
  <c r="Q130" i="41" a="1"/>
  <c r="B237" i="41" a="1"/>
  <c r="B236" i="41" a="1"/>
  <c r="H329" i="3" l="1"/>
  <c r="G330" i="3"/>
  <c r="F43" i="41"/>
  <c r="D890" i="3"/>
  <c r="G38" i="41"/>
  <c r="G42" i="41" s="1"/>
  <c r="G43" i="41" s="1"/>
  <c r="F124" i="41"/>
  <c r="G124" i="41" s="1"/>
  <c r="H140" i="41"/>
  <c r="H141" i="41" s="1"/>
  <c r="D155" i="41" s="1"/>
  <c r="Q130" i="41"/>
  <c r="Q132" i="41"/>
  <c r="B237" i="41"/>
  <c r="B236" i="41"/>
  <c r="C6" i="41"/>
  <c r="Q137" i="41"/>
  <c r="B238" i="41"/>
  <c r="B219" i="41" s="1"/>
  <c r="B224" i="41" s="1"/>
  <c r="G178" i="41"/>
  <c r="H178" i="41" s="1"/>
  <c r="I178" i="41" s="1"/>
  <c r="J178" i="41" s="1"/>
  <c r="K178" i="41" s="1"/>
  <c r="E235" i="41"/>
  <c r="D80" i="41"/>
  <c r="E151" i="41"/>
  <c r="F151" i="41" s="1"/>
  <c r="D179" i="41"/>
  <c r="E179" i="41" s="1"/>
  <c r="B278" i="41"/>
  <c r="B279" i="41" s="1"/>
  <c r="D43" i="41"/>
  <c r="D19" i="41"/>
  <c r="C236" i="41" a="1"/>
  <c r="C238" i="41" a="1"/>
  <c r="D237" i="41" a="1"/>
  <c r="D238" i="41" a="1"/>
  <c r="C237" i="41" a="1"/>
  <c r="D236" i="41" a="1"/>
  <c r="D126" i="41" l="1"/>
  <c r="C155" i="41"/>
  <c r="B126" i="41"/>
  <c r="I329" i="3"/>
  <c r="H330" i="3"/>
  <c r="E155" i="41"/>
  <c r="C236" i="41"/>
  <c r="C238" i="41"/>
  <c r="C219" i="41" s="1"/>
  <c r="C227" i="41" s="1"/>
  <c r="B227" i="41"/>
  <c r="F126" i="41"/>
  <c r="C130" i="41"/>
  <c r="C126" i="41"/>
  <c r="E126" i="41"/>
  <c r="B155" i="41"/>
  <c r="D238" i="41"/>
  <c r="D219" i="41" s="1"/>
  <c r="D237" i="41"/>
  <c r="D236" i="41"/>
  <c r="C237" i="41"/>
  <c r="F235" i="41"/>
  <c r="F155" i="41"/>
  <c r="G151" i="41"/>
  <c r="D204" i="41"/>
  <c r="E19" i="41"/>
  <c r="F179" i="41"/>
  <c r="G126" i="41"/>
  <c r="H124" i="41"/>
  <c r="E80" i="41"/>
  <c r="E236" i="41" a="1"/>
  <c r="E237" i="41" a="1"/>
  <c r="E238" i="41" a="1"/>
  <c r="J329" i="3" l="1"/>
  <c r="I330" i="3"/>
  <c r="C224" i="41"/>
  <c r="E238" i="41"/>
  <c r="E219" i="41" s="1"/>
  <c r="E236" i="41"/>
  <c r="E237" i="41"/>
  <c r="E204" i="41"/>
  <c r="F19" i="41"/>
  <c r="F204" i="41" s="1"/>
  <c r="G179" i="41"/>
  <c r="H126" i="41"/>
  <c r="I124" i="41"/>
  <c r="F80" i="41"/>
  <c r="G155" i="41"/>
  <c r="H151" i="41"/>
  <c r="D227" i="41"/>
  <c r="D224" i="41"/>
  <c r="F238" i="41" a="1"/>
  <c r="F236" i="41" a="1"/>
  <c r="F237" i="41" a="1"/>
  <c r="K329" i="3" l="1"/>
  <c r="K330" i="3" s="1"/>
  <c r="J330" i="3"/>
  <c r="F236" i="41"/>
  <c r="F237" i="41"/>
  <c r="F238" i="41"/>
  <c r="F219" i="41" s="1"/>
  <c r="J124" i="41"/>
  <c r="I126" i="41"/>
  <c r="G80" i="41"/>
  <c r="H179" i="41"/>
  <c r="I151" i="41"/>
  <c r="H155" i="41"/>
  <c r="E224" i="41"/>
  <c r="E227" i="41"/>
  <c r="I179" i="41" l="1"/>
  <c r="K124" i="41"/>
  <c r="K126" i="41" s="1"/>
  <c r="C132" i="41" s="1"/>
  <c r="J126" i="41"/>
  <c r="J151" i="41"/>
  <c r="I155" i="41"/>
  <c r="F224" i="41"/>
  <c r="F227" i="41"/>
  <c r="H80" i="41"/>
  <c r="I80" i="41" l="1"/>
  <c r="K151" i="41"/>
  <c r="J155" i="41"/>
  <c r="J179" i="41"/>
  <c r="K179" i="41" l="1"/>
  <c r="L151" i="41"/>
  <c r="L155" i="41" s="1"/>
  <c r="K155" i="41"/>
  <c r="J80" i="41"/>
  <c r="K80" i="41" l="1"/>
  <c r="B160" i="41"/>
  <c r="B685" i="3" l="1"/>
  <c r="D668" i="3"/>
  <c r="E668" i="3"/>
  <c r="C668" i="3"/>
  <c r="C672" i="3"/>
  <c r="D672" i="3" s="1"/>
  <c r="E672" i="3" s="1"/>
  <c r="C601" i="3"/>
  <c r="E734" i="3"/>
  <c r="D743" i="3"/>
  <c r="D745" i="3"/>
  <c r="D744" i="3"/>
  <c r="D742" i="3"/>
  <c r="D741" i="3"/>
  <c r="D740" i="3"/>
  <c r="D739" i="3"/>
  <c r="D738" i="3"/>
  <c r="B467" i="3"/>
  <c r="C467" i="3"/>
  <c r="D467" i="3"/>
  <c r="E467" i="3"/>
  <c r="F467" i="3"/>
  <c r="G467" i="3"/>
  <c r="H467" i="3"/>
  <c r="I467" i="3"/>
  <c r="E703" i="3"/>
  <c r="E699" i="3"/>
  <c r="D701" i="3"/>
  <c r="F701" i="3" s="1"/>
  <c r="D702" i="3"/>
  <c r="F702" i="3" s="1"/>
  <c r="D697" i="3"/>
  <c r="F697" i="3" s="1"/>
  <c r="D698" i="3"/>
  <c r="F698" i="3" s="1"/>
  <c r="C703" i="3"/>
  <c r="C699" i="3"/>
  <c r="B703" i="3"/>
  <c r="B699" i="3"/>
  <c r="F699" i="3" l="1"/>
  <c r="F703" i="3"/>
  <c r="D699" i="3"/>
  <c r="D703" i="3"/>
  <c r="B609" i="3"/>
  <c r="C560" i="3" l="1"/>
  <c r="C556" i="3"/>
  <c r="B577" i="3" a="1"/>
  <c r="B577" i="3" s="1"/>
  <c r="C534" i="3" l="1"/>
  <c r="C651" i="3" l="1"/>
  <c r="D651" i="3" s="1"/>
  <c r="E651" i="3" s="1"/>
  <c r="F651" i="3" s="1"/>
  <c r="G651" i="3" s="1"/>
  <c r="H651" i="3" s="1"/>
  <c r="B647" i="3"/>
  <c r="C645" i="3"/>
  <c r="D645" i="3" s="1"/>
  <c r="E645" i="3" s="1"/>
  <c r="F645" i="3" s="1"/>
  <c r="G645" i="3" s="1"/>
  <c r="H645" i="3" s="1"/>
  <c r="H647" i="3" s="1"/>
  <c r="B619" i="3"/>
  <c r="B618" i="3"/>
  <c r="C618" i="3" s="1"/>
  <c r="C617" i="3"/>
  <c r="C619" i="3" s="1"/>
  <c r="B530" i="3"/>
  <c r="B621" i="3" s="1"/>
  <c r="C621" i="3" s="1"/>
  <c r="D621" i="3" s="1"/>
  <c r="E621" i="3" s="1"/>
  <c r="F621" i="3" s="1"/>
  <c r="G621" i="3" s="1"/>
  <c r="H621" i="3" s="1"/>
  <c r="I621" i="3" s="1"/>
  <c r="J621" i="3" s="1"/>
  <c r="K621" i="3" s="1"/>
  <c r="C1080" i="3"/>
  <c r="D1080" i="3" s="1"/>
  <c r="E1080" i="3" s="1"/>
  <c r="F1080" i="3" s="1"/>
  <c r="F1074" i="3"/>
  <c r="E1074" i="3"/>
  <c r="D1074" i="3"/>
  <c r="C1074" i="3"/>
  <c r="B1074" i="3"/>
  <c r="J1073" i="3"/>
  <c r="F1068" i="3"/>
  <c r="E1068" i="3"/>
  <c r="D1068" i="3"/>
  <c r="C1068" i="3"/>
  <c r="B1068" i="3"/>
  <c r="G1055" i="3"/>
  <c r="F1055" i="3"/>
  <c r="E1055" i="3"/>
  <c r="D1055" i="3"/>
  <c r="C1055" i="3"/>
  <c r="B1055" i="3"/>
  <c r="G1052" i="3"/>
  <c r="F1052" i="3"/>
  <c r="E1052" i="3"/>
  <c r="D1052" i="3"/>
  <c r="C1052" i="3"/>
  <c r="B1052" i="3"/>
  <c r="G1048" i="3"/>
  <c r="G1053" i="3" s="1"/>
  <c r="F1048" i="3"/>
  <c r="F1053" i="3" s="1"/>
  <c r="E1048" i="3"/>
  <c r="E1053" i="3" s="1"/>
  <c r="D1048" i="3"/>
  <c r="D1053" i="3" s="1"/>
  <c r="C1048" i="3"/>
  <c r="C1053" i="3" s="1"/>
  <c r="B1048" i="3"/>
  <c r="B1053" i="3" s="1"/>
  <c r="G1030" i="3"/>
  <c r="F1030" i="3"/>
  <c r="E1030" i="3"/>
  <c r="D1030" i="3"/>
  <c r="C1030" i="3"/>
  <c r="B1030" i="3"/>
  <c r="G1029" i="3"/>
  <c r="G1043" i="3" s="1"/>
  <c r="F1029" i="3"/>
  <c r="F1043" i="3" s="1"/>
  <c r="E1029" i="3"/>
  <c r="E1043" i="3" s="1"/>
  <c r="D1029" i="3"/>
  <c r="D1043" i="3" s="1"/>
  <c r="C1029" i="3"/>
  <c r="C1043" i="3" s="1"/>
  <c r="B1029" i="3"/>
  <c r="C1034" i="3" s="1"/>
  <c r="C1038" i="3" s="1"/>
  <c r="G1026" i="3"/>
  <c r="F1026" i="3"/>
  <c r="E1026" i="3"/>
  <c r="D1026" i="3"/>
  <c r="C1026" i="3"/>
  <c r="B1026" i="3"/>
  <c r="G1025" i="3"/>
  <c r="G1037" i="3" s="1"/>
  <c r="G1042" i="3" s="1"/>
  <c r="F1025" i="3"/>
  <c r="G1033" i="3" s="1"/>
  <c r="E1025" i="3"/>
  <c r="F1033" i="3" s="1"/>
  <c r="D1025" i="3"/>
  <c r="E1033" i="3" s="1"/>
  <c r="C1025" i="3"/>
  <c r="D1033" i="3" s="1"/>
  <c r="B1025" i="3"/>
  <c r="C1033" i="3" s="1"/>
  <c r="C1140" i="3"/>
  <c r="B1134" i="3"/>
  <c r="C1134" i="3"/>
  <c r="D1134" i="3"/>
  <c r="E1134" i="3"/>
  <c r="F1134" i="3"/>
  <c r="G1134" i="3"/>
  <c r="H1134" i="3"/>
  <c r="I1134" i="3"/>
  <c r="J1134" i="3"/>
  <c r="C1128" i="3"/>
  <c r="D1128" i="3"/>
  <c r="E1128" i="3"/>
  <c r="F1128" i="3"/>
  <c r="G1128" i="3"/>
  <c r="H1128" i="3"/>
  <c r="I1128" i="3"/>
  <c r="J1128" i="3"/>
  <c r="B1128" i="3"/>
  <c r="B533" i="3" l="1"/>
  <c r="B867" i="3" s="1"/>
  <c r="F647" i="3"/>
  <c r="E647" i="3"/>
  <c r="D647" i="3"/>
  <c r="G647" i="3"/>
  <c r="C647" i="3"/>
  <c r="B657" i="3"/>
  <c r="D617" i="3"/>
  <c r="E617" i="3" s="1"/>
  <c r="F617" i="3" s="1"/>
  <c r="G617" i="3" s="1"/>
  <c r="H617" i="3" s="1"/>
  <c r="I617" i="3" s="1"/>
  <c r="J617" i="3" s="1"/>
  <c r="K617" i="3" s="1"/>
  <c r="K619" i="3" s="1"/>
  <c r="B620" i="3"/>
  <c r="B622" i="3" s="1"/>
  <c r="D618" i="3"/>
  <c r="C620" i="3"/>
  <c r="C622" i="3" s="1"/>
  <c r="E1054" i="3"/>
  <c r="E1056" i="3" s="1"/>
  <c r="E1058" i="3" s="1"/>
  <c r="E1063" i="3" s="1"/>
  <c r="F1054" i="3"/>
  <c r="F1056" i="3" s="1"/>
  <c r="F1058" i="3" s="1"/>
  <c r="F1063" i="3" s="1"/>
  <c r="D1034" i="3"/>
  <c r="D1038" i="3" s="1"/>
  <c r="G1054" i="3"/>
  <c r="G1056" i="3" s="1"/>
  <c r="B1027" i="3"/>
  <c r="C1027" i="3"/>
  <c r="D1027" i="3"/>
  <c r="E1034" i="3"/>
  <c r="E1038" i="3" s="1"/>
  <c r="E1031" i="3"/>
  <c r="F1031" i="3"/>
  <c r="G1031" i="3"/>
  <c r="E1027" i="3"/>
  <c r="F1027" i="3"/>
  <c r="F1034" i="3"/>
  <c r="F1038" i="3" s="1"/>
  <c r="G1034" i="3"/>
  <c r="G1038" i="3" s="1"/>
  <c r="G1039" i="3" s="1"/>
  <c r="F1037" i="3"/>
  <c r="F1042" i="3" s="1"/>
  <c r="F1044" i="3" s="1"/>
  <c r="F1047" i="3" s="1"/>
  <c r="F1049" i="3" s="1"/>
  <c r="G1027" i="3"/>
  <c r="C1054" i="3"/>
  <c r="C1056" i="3" s="1"/>
  <c r="C1058" i="3" s="1"/>
  <c r="C1063" i="3" s="1"/>
  <c r="D1054" i="3"/>
  <c r="D1056" i="3" s="1"/>
  <c r="D1058" i="3" s="1"/>
  <c r="D1063" i="3" s="1"/>
  <c r="C1035" i="3"/>
  <c r="B1047" i="3"/>
  <c r="B1049" i="3" s="1"/>
  <c r="B1050" i="3" s="1"/>
  <c r="B1059" i="3" s="1"/>
  <c r="B1067" i="3" s="1"/>
  <c r="B1069" i="3" s="1"/>
  <c r="B1031" i="3"/>
  <c r="B1054" i="3"/>
  <c r="B1056" i="3" s="1"/>
  <c r="B1058" i="3" s="1"/>
  <c r="C1031" i="3"/>
  <c r="D1031" i="3"/>
  <c r="G1044" i="3"/>
  <c r="G1047" i="3" s="1"/>
  <c r="G1049" i="3" s="1"/>
  <c r="C1037" i="3"/>
  <c r="D1037" i="3"/>
  <c r="E1037" i="3"/>
  <c r="D1140" i="3"/>
  <c r="C657" i="3" l="1"/>
  <c r="D657" i="3" s="1"/>
  <c r="E657" i="3" s="1"/>
  <c r="F657" i="3" s="1"/>
  <c r="G657" i="3" s="1"/>
  <c r="H657" i="3" s="1"/>
  <c r="B678" i="3"/>
  <c r="E619" i="3"/>
  <c r="F619" i="3"/>
  <c r="H619" i="3"/>
  <c r="G619" i="3"/>
  <c r="B555" i="3"/>
  <c r="B557" i="3" s="1"/>
  <c r="F542" i="3"/>
  <c r="B535" i="3"/>
  <c r="C533" i="3"/>
  <c r="C535" i="3" s="1"/>
  <c r="D549" i="3" s="1"/>
  <c r="D550" i="3" s="1"/>
  <c r="D619" i="3"/>
  <c r="D620" i="3" s="1"/>
  <c r="D622" i="3" s="1"/>
  <c r="I619" i="3"/>
  <c r="J619" i="3"/>
  <c r="B1060" i="3"/>
  <c r="D1035" i="3"/>
  <c r="E618" i="3"/>
  <c r="G1064" i="3"/>
  <c r="G1074" i="3" s="1"/>
  <c r="G1058" i="3"/>
  <c r="G1063" i="3" s="1"/>
  <c r="B1077" i="3"/>
  <c r="B1078" i="3" s="1"/>
  <c r="B1079" i="3" s="1"/>
  <c r="E1035" i="3"/>
  <c r="F1035" i="3"/>
  <c r="F1039" i="3"/>
  <c r="G1035" i="3"/>
  <c r="G1040" i="3" s="1"/>
  <c r="B1063" i="3"/>
  <c r="B1073" i="3" s="1"/>
  <c r="B1075" i="3" s="1"/>
  <c r="G1045" i="3"/>
  <c r="G1050" i="3" s="1"/>
  <c r="G1059" i="3" s="1"/>
  <c r="D1065" i="3"/>
  <c r="D1073" i="3"/>
  <c r="D1075" i="3" s="1"/>
  <c r="C1073" i="3"/>
  <c r="C1075" i="3" s="1"/>
  <c r="C1065" i="3"/>
  <c r="E1042" i="3"/>
  <c r="E1044" i="3" s="1"/>
  <c r="E1039" i="3"/>
  <c r="D1042" i="3"/>
  <c r="D1044" i="3" s="1"/>
  <c r="D1039" i="3"/>
  <c r="C1042" i="3"/>
  <c r="C1044" i="3" s="1"/>
  <c r="C1039" i="3"/>
  <c r="C1040" i="3" s="1"/>
  <c r="E1073" i="3"/>
  <c r="E1075" i="3" s="1"/>
  <c r="E1065" i="3"/>
  <c r="F1065" i="3"/>
  <c r="F1073" i="3"/>
  <c r="F1075" i="3" s="1"/>
  <c r="E1140" i="3"/>
  <c r="B677" i="3" l="1"/>
  <c r="C678" i="3"/>
  <c r="D678" i="3" s="1"/>
  <c r="E678" i="3" s="1"/>
  <c r="C555" i="3"/>
  <c r="C557" i="3" s="1"/>
  <c r="F1040" i="3"/>
  <c r="B549" i="3"/>
  <c r="B550" i="3" s="1"/>
  <c r="D1040" i="3"/>
  <c r="G1068" i="3"/>
  <c r="F1045" i="3"/>
  <c r="F1050" i="3" s="1"/>
  <c r="F1059" i="3" s="1"/>
  <c r="F1067" i="3" s="1"/>
  <c r="F1069" i="3" s="1"/>
  <c r="E620" i="3"/>
  <c r="E622" i="3" s="1"/>
  <c r="F618" i="3"/>
  <c r="E1040" i="3"/>
  <c r="B1065" i="3"/>
  <c r="B1070" i="3" s="1"/>
  <c r="G1067" i="3"/>
  <c r="G1060" i="3"/>
  <c r="B1081" i="3"/>
  <c r="D1045" i="3"/>
  <c r="D1047" i="3"/>
  <c r="D1049" i="3" s="1"/>
  <c r="E1045" i="3"/>
  <c r="E1047" i="3"/>
  <c r="E1049" i="3" s="1"/>
  <c r="G1073" i="3"/>
  <c r="G1065" i="3"/>
  <c r="G1070" i="3" s="1"/>
  <c r="C1045" i="3"/>
  <c r="C1047" i="3"/>
  <c r="C1049" i="3" s="1"/>
  <c r="F1140" i="3"/>
  <c r="F1070" i="3" l="1"/>
  <c r="F1060" i="3"/>
  <c r="F1077" i="3"/>
  <c r="F1078" i="3" s="1"/>
  <c r="F1079" i="3" s="1"/>
  <c r="F1081" i="3" s="1"/>
  <c r="G618" i="3"/>
  <c r="F620" i="3"/>
  <c r="F622" i="3" s="1"/>
  <c r="E1050" i="3"/>
  <c r="E1059" i="3" s="1"/>
  <c r="E1070" i="3" s="1"/>
  <c r="D1050" i="3"/>
  <c r="D1059" i="3" s="1"/>
  <c r="D1070" i="3" s="1"/>
  <c r="C1050" i="3"/>
  <c r="C1059" i="3" s="1"/>
  <c r="C1070" i="3" s="1"/>
  <c r="G1077" i="3"/>
  <c r="G1069" i="3"/>
  <c r="H1073" i="3"/>
  <c r="G1075" i="3"/>
  <c r="I1073" i="3"/>
  <c r="G1140" i="3"/>
  <c r="E1060" i="3" l="1"/>
  <c r="E1067" i="3"/>
  <c r="E1069" i="3" s="1"/>
  <c r="C1060" i="3"/>
  <c r="C1067" i="3"/>
  <c r="C1069" i="3" s="1"/>
  <c r="D1060" i="3"/>
  <c r="D1067" i="3"/>
  <c r="D1069" i="3" s="1"/>
  <c r="H618" i="3"/>
  <c r="G620" i="3"/>
  <c r="G622" i="3" s="1"/>
  <c r="G1078" i="3"/>
  <c r="I1078" i="3" s="1"/>
  <c r="H1140" i="3"/>
  <c r="E1077" i="3" l="1"/>
  <c r="E1078" i="3" s="1"/>
  <c r="E1079" i="3" s="1"/>
  <c r="E1081" i="3" s="1"/>
  <c r="C1077" i="3"/>
  <c r="D1077" i="3"/>
  <c r="D1078" i="3" s="1"/>
  <c r="D1079" i="3" s="1"/>
  <c r="D1081" i="3" s="1"/>
  <c r="H620" i="3"/>
  <c r="H622" i="3" s="1"/>
  <c r="I618" i="3"/>
  <c r="G1079" i="3"/>
  <c r="G1081" i="3" s="1"/>
  <c r="I1140" i="3"/>
  <c r="C1078" i="3" l="1"/>
  <c r="C1079" i="3" s="1"/>
  <c r="C1081" i="3" s="1"/>
  <c r="J618" i="3"/>
  <c r="I620" i="3"/>
  <c r="I622" i="3" s="1"/>
  <c r="J1140" i="3"/>
  <c r="K618" i="3" l="1"/>
  <c r="K620" i="3" s="1"/>
  <c r="K622" i="3" s="1"/>
  <c r="J620" i="3"/>
  <c r="J622" i="3" s="1"/>
  <c r="C1165" i="3"/>
  <c r="C1087" i="3"/>
  <c r="D1087" i="3"/>
  <c r="E1087" i="3"/>
  <c r="F1087" i="3"/>
  <c r="G1087" i="3"/>
  <c r="H1087" i="3"/>
  <c r="I1087" i="3"/>
  <c r="J1087" i="3"/>
  <c r="K1087" i="3"/>
  <c r="B1087" i="3"/>
  <c r="D1165" i="3" l="1"/>
  <c r="E1165" i="3" l="1"/>
  <c r="F1165" i="3" l="1"/>
  <c r="G1165" i="3" l="1"/>
  <c r="H1165" i="3" l="1"/>
  <c r="I1165" i="3" l="1"/>
  <c r="J1165" i="3" l="1"/>
  <c r="K1165" i="3" l="1"/>
  <c r="J1154" i="3" l="1"/>
  <c r="I1154" i="3"/>
  <c r="H1154" i="3"/>
  <c r="G1154" i="3"/>
  <c r="F1154" i="3"/>
  <c r="E1154" i="3"/>
  <c r="D1154" i="3"/>
  <c r="C1154" i="3"/>
  <c r="B1154" i="3"/>
  <c r="J1167" i="3" l="1"/>
  <c r="I1167" i="3"/>
  <c r="H1167" i="3"/>
  <c r="G1167" i="3"/>
  <c r="F1167" i="3"/>
  <c r="E1167" i="3"/>
  <c r="D1167" i="3"/>
  <c r="C1167" i="3"/>
  <c r="B1167" i="3"/>
  <c r="K1146" i="3"/>
  <c r="K1147" i="3"/>
  <c r="K1105" i="3"/>
  <c r="J1105" i="3"/>
  <c r="G1105" i="3"/>
  <c r="H1105" i="3"/>
  <c r="I1105" i="3"/>
  <c r="F1105" i="3"/>
  <c r="C1105" i="3"/>
  <c r="D1105" i="3"/>
  <c r="E1105" i="3"/>
  <c r="B1105" i="3"/>
  <c r="B2396" i="3" l="1"/>
  <c r="B2402" i="3"/>
  <c r="C2402" i="3" s="1"/>
  <c r="C1559" i="3" l="1"/>
  <c r="B1211" i="3"/>
  <c r="B1248" i="3"/>
  <c r="B1253" i="3"/>
  <c r="B1249" i="3"/>
  <c r="C1206" i="3"/>
  <c r="B1210" i="3" s="1"/>
  <c r="B1212" i="3" l="1"/>
  <c r="C1276" i="3" s="1"/>
  <c r="B1276" i="3" s="1"/>
  <c r="B1239" i="3" l="1"/>
  <c r="B1261" i="3" l="1"/>
  <c r="EU213" i="4" l="1"/>
  <c r="ET208" i="4"/>
  <c r="EU196" i="4"/>
  <c r="EU171" i="4"/>
  <c r="EU172" i="4"/>
  <c r="EU173" i="4"/>
  <c r="EU174" i="4"/>
  <c r="EU175" i="4"/>
  <c r="EU178" i="4"/>
  <c r="EU179" i="4"/>
  <c r="EU182" i="4"/>
  <c r="EU183" i="4"/>
  <c r="EU184" i="4"/>
  <c r="EU187" i="4"/>
  <c r="EU188" i="4"/>
  <c r="EU189" i="4"/>
  <c r="EU190" i="4"/>
  <c r="EU166" i="4"/>
  <c r="EU141" i="4"/>
  <c r="EU98" i="4"/>
  <c r="EU100" i="4"/>
  <c r="EU101" i="4"/>
  <c r="EU102" i="4"/>
  <c r="EU108" i="4"/>
  <c r="EU112" i="4"/>
  <c r="EU113" i="4"/>
  <c r="EU114" i="4"/>
  <c r="EU115" i="4"/>
  <c r="EU116" i="4"/>
  <c r="EU117" i="4"/>
  <c r="EZ117" i="4" s="1"/>
  <c r="EZ120" i="4" s="1"/>
  <c r="EU118" i="4"/>
  <c r="EU53" i="4"/>
  <c r="EU65" i="4"/>
  <c r="EU97" i="4" s="1"/>
  <c r="EU66" i="4"/>
  <c r="EU99" i="4" s="1"/>
  <c r="EU67" i="4"/>
  <c r="EZ67" i="4" s="1"/>
  <c r="EU71" i="4"/>
  <c r="EU72" i="4"/>
  <c r="EU73" i="4"/>
  <c r="EU207" i="4" s="1"/>
  <c r="EU209" i="4" s="1"/>
  <c r="EU204" i="4" s="1"/>
  <c r="EU75" i="4"/>
  <c r="EU167" i="4" s="1"/>
  <c r="EU78" i="4"/>
  <c r="EU80" i="4"/>
  <c r="EU133" i="4" s="1"/>
  <c r="EU22" i="4"/>
  <c r="EU23" i="4"/>
  <c r="EU24" i="4"/>
  <c r="EU25" i="4"/>
  <c r="EU27" i="4"/>
  <c r="EU32" i="4"/>
  <c r="EU36" i="4" s="1"/>
  <c r="EU33" i="4"/>
  <c r="EU34" i="4"/>
  <c r="EU35" i="4"/>
  <c r="EU37" i="4"/>
  <c r="EU39" i="4"/>
  <c r="EU587" i="2"/>
  <c r="EV590" i="2" s="1"/>
  <c r="EV591" i="2" s="1"/>
  <c r="EU579" i="2"/>
  <c r="EU581" i="2"/>
  <c r="EU582" i="2"/>
  <c r="EU583" i="2"/>
  <c r="EU572" i="2"/>
  <c r="EU588" i="2" s="1"/>
  <c r="EU547" i="2"/>
  <c r="EU483" i="2"/>
  <c r="EU490" i="2"/>
  <c r="EU495" i="2"/>
  <c r="EU493" i="2" s="1"/>
  <c r="EZ494" i="2" s="1"/>
  <c r="EU457" i="2"/>
  <c r="EZ458" i="2" s="1"/>
  <c r="EU431" i="2"/>
  <c r="EU433" i="2"/>
  <c r="EU435" i="2"/>
  <c r="EU446" i="2"/>
  <c r="EU388" i="2"/>
  <c r="EU323" i="2"/>
  <c r="EU325" i="2"/>
  <c r="EZ325" i="2" s="1"/>
  <c r="EZ410" i="10" s="1"/>
  <c r="EU329" i="2"/>
  <c r="EU331" i="2"/>
  <c r="EU333" i="2"/>
  <c r="EU260" i="2"/>
  <c r="EU264" i="2"/>
  <c r="EZ264" i="2" s="1"/>
  <c r="EU271" i="2"/>
  <c r="EV268" i="2" s="1"/>
  <c r="EU273" i="2"/>
  <c r="EU305" i="2"/>
  <c r="EU309" i="2"/>
  <c r="EZ309" i="2" s="1"/>
  <c r="EU251" i="2"/>
  <c r="EU186" i="2"/>
  <c r="EU188" i="2"/>
  <c r="EU194" i="2"/>
  <c r="EZ194" i="2" s="1"/>
  <c r="EZ366" i="10" s="1"/>
  <c r="EU138" i="2"/>
  <c r="EU142" i="2"/>
  <c r="EZ142" i="2" s="1"/>
  <c r="EU154" i="2"/>
  <c r="EU126" i="2"/>
  <c r="EV123" i="2" s="1"/>
  <c r="EU128" i="2"/>
  <c r="EU115" i="2"/>
  <c r="EU119" i="2"/>
  <c r="EU87" i="2"/>
  <c r="EU99" i="2"/>
  <c r="EZ99" i="2" s="1"/>
  <c r="EZ184" i="10" s="1"/>
  <c r="EU54" i="2"/>
  <c r="B1195" i="3"/>
  <c r="C1194" i="3"/>
  <c r="C1195" i="3" s="1"/>
  <c r="EU536" i="1"/>
  <c r="EU465" i="1"/>
  <c r="EU466" i="1"/>
  <c r="EU468" i="1"/>
  <c r="EU469" i="1"/>
  <c r="EU477" i="1"/>
  <c r="EU479" i="1"/>
  <c r="EU341" i="1"/>
  <c r="EU357" i="1"/>
  <c r="EU358" i="1"/>
  <c r="EU363" i="1"/>
  <c r="EV364" i="1" s="1"/>
  <c r="EU367" i="1"/>
  <c r="EU372" i="1"/>
  <c r="EU387" i="1"/>
  <c r="EU402" i="1"/>
  <c r="EU407" i="1"/>
  <c r="EU412" i="1"/>
  <c r="EU433" i="1"/>
  <c r="EU435" i="1" s="1"/>
  <c r="EU310" i="1"/>
  <c r="EU311" i="1"/>
  <c r="EU288" i="1"/>
  <c r="EU140" i="4" s="1"/>
  <c r="EU285" i="1"/>
  <c r="EU137" i="4" s="1"/>
  <c r="EU286" i="1"/>
  <c r="EU138" i="4" s="1"/>
  <c r="EU139" i="4"/>
  <c r="EU290" i="1"/>
  <c r="EU142" i="4" s="1"/>
  <c r="EU278" i="1"/>
  <c r="EU279" i="1" s="1"/>
  <c r="EU255" i="1"/>
  <c r="EU244" i="1"/>
  <c r="EU249" i="1"/>
  <c r="EU103" i="4" s="1"/>
  <c r="EU266" i="1"/>
  <c r="EU253" i="1"/>
  <c r="EU240" i="1"/>
  <c r="EU237" i="1"/>
  <c r="EU225" i="1"/>
  <c r="EU231" i="1" s="1"/>
  <c r="EU216" i="1"/>
  <c r="EU220" i="1" s="1"/>
  <c r="EU126" i="1"/>
  <c r="EU128" i="1"/>
  <c r="EU133" i="1"/>
  <c r="EU136" i="1"/>
  <c r="EU142" i="1"/>
  <c r="EU144" i="1" s="1"/>
  <c r="EU146" i="1"/>
  <c r="EU181" i="1" s="1"/>
  <c r="EU57" i="2" s="1"/>
  <c r="EU148" i="1"/>
  <c r="EU183" i="1" s="1"/>
  <c r="EU59" i="2" s="1"/>
  <c r="EU157" i="1"/>
  <c r="EU158" i="1"/>
  <c r="EU159" i="1"/>
  <c r="EU160" i="1"/>
  <c r="EU166" i="1"/>
  <c r="EU474" i="1" s="1"/>
  <c r="EU167" i="1"/>
  <c r="EU205" i="2" s="1"/>
  <c r="EU169" i="1"/>
  <c r="EU340" i="2" s="1"/>
  <c r="EU170" i="1"/>
  <c r="EU343" i="2" s="1"/>
  <c r="EU175" i="1"/>
  <c r="EU176" i="1"/>
  <c r="EU178" i="1"/>
  <c r="EU186" i="1"/>
  <c r="EU27" i="2" s="1"/>
  <c r="EU187" i="1"/>
  <c r="EU28" i="2" s="1"/>
  <c r="EU94" i="1"/>
  <c r="EX94" i="1" s="1"/>
  <c r="EU97" i="1"/>
  <c r="EU98" i="1"/>
  <c r="EU83" i="1"/>
  <c r="EU84" i="1"/>
  <c r="EU85" i="1"/>
  <c r="EU86" i="1"/>
  <c r="EU87" i="1"/>
  <c r="EU88" i="1"/>
  <c r="EU90" i="1"/>
  <c r="EU51" i="1"/>
  <c r="EU57" i="1" s="1"/>
  <c r="EU59" i="1" s="1"/>
  <c r="EU66" i="1" s="1"/>
  <c r="EU68" i="1" s="1"/>
  <c r="EU70" i="1" s="1"/>
  <c r="EU81" i="1" s="1"/>
  <c r="EZ119" i="2" l="1"/>
  <c r="EZ357" i="10" s="1"/>
  <c r="EU109" i="4"/>
  <c r="EX255" i="1"/>
  <c r="FA100" i="2"/>
  <c r="EZ405" i="10"/>
  <c r="EZ186" i="2"/>
  <c r="EZ360" i="10" s="1"/>
  <c r="EV428" i="2"/>
  <c r="EV430" i="2" s="1"/>
  <c r="EV302" i="2"/>
  <c r="EV307" i="2"/>
  <c r="EV100" i="2"/>
  <c r="EV574" i="2"/>
  <c r="EV315" i="2"/>
  <c r="EV338" i="2" s="1"/>
  <c r="EV257" i="2"/>
  <c r="EV262" i="2"/>
  <c r="EV112" i="2"/>
  <c r="EV117" i="2"/>
  <c r="EV181" i="2"/>
  <c r="EV200" i="2" s="1"/>
  <c r="EV405" i="2"/>
  <c r="EV135" i="2"/>
  <c r="EV140" i="2"/>
  <c r="B9" i="41"/>
  <c r="C137" i="41" s="1"/>
  <c r="EV202" i="4"/>
  <c r="K1097" i="3"/>
  <c r="K1101" i="3" s="1"/>
  <c r="B629" i="3"/>
  <c r="B538" i="3" s="1"/>
  <c r="B562" i="3" s="1"/>
  <c r="C562" i="3" s="1"/>
  <c r="D981" i="3"/>
  <c r="EU38" i="4"/>
  <c r="EU40" i="4" s="1"/>
  <c r="EZ41" i="4" s="1"/>
  <c r="K1173" i="3"/>
  <c r="EU197" i="4"/>
  <c r="EU283" i="2"/>
  <c r="EU476" i="1"/>
  <c r="EU478" i="1" s="1"/>
  <c r="EU256" i="1"/>
  <c r="EU168" i="4"/>
  <c r="EU26" i="4"/>
  <c r="EU28" i="4" s="1"/>
  <c r="EZ29" i="4" s="1"/>
  <c r="EU236" i="1"/>
  <c r="EU251" i="1" s="1"/>
  <c r="EU89" i="1"/>
  <c r="EU91" i="1" s="1"/>
  <c r="EU99" i="1" s="1"/>
  <c r="EU171" i="2"/>
  <c r="EV173" i="2" s="1"/>
  <c r="EU148" i="4"/>
  <c r="EU471" i="1"/>
  <c r="EU473" i="1" s="1"/>
  <c r="EU202" i="2"/>
  <c r="EU69" i="2"/>
  <c r="EU132" i="2"/>
  <c r="EU176" i="4"/>
  <c r="EU180" i="4" s="1"/>
  <c r="EU442" i="2"/>
  <c r="EV444" i="2" s="1"/>
  <c r="EU120" i="4"/>
  <c r="EU537" i="1"/>
  <c r="EU57" i="4" s="1"/>
  <c r="EU185" i="4"/>
  <c r="EU191" i="4" s="1"/>
  <c r="EU300" i="1"/>
  <c r="EU302" i="1" s="1"/>
  <c r="EU397" i="2"/>
  <c r="EU578" i="2"/>
  <c r="EU580" i="2" s="1"/>
  <c r="EU69" i="4"/>
  <c r="EU74" i="4" s="1"/>
  <c r="C1200" i="3"/>
  <c r="G1291" i="3"/>
  <c r="EU107" i="4"/>
  <c r="D1195" i="3"/>
  <c r="EU436" i="2"/>
  <c r="EU96" i="2"/>
  <c r="EU232" i="1"/>
  <c r="EU171" i="1"/>
  <c r="EU344" i="2" s="1"/>
  <c r="EU168" i="1"/>
  <c r="EU206" i="2" s="1"/>
  <c r="EU243" i="2" s="1"/>
  <c r="EU161" i="1"/>
  <c r="EU127" i="1"/>
  <c r="EU162" i="1" s="1"/>
  <c r="EU147" i="1"/>
  <c r="EU177" i="1"/>
  <c r="EU179" i="1" s="1"/>
  <c r="EU72" i="1"/>
  <c r="EU71" i="1"/>
  <c r="D1190" i="3"/>
  <c r="D1188" i="3"/>
  <c r="C1189" i="3"/>
  <c r="B1189" i="3"/>
  <c r="D1560" i="3" l="1"/>
  <c r="D1557" i="3" s="1"/>
  <c r="EV462" i="2"/>
  <c r="EV168" i="2"/>
  <c r="EV114" i="2"/>
  <c r="EV180" i="2"/>
  <c r="EV314" i="2"/>
  <c r="EV259" i="2"/>
  <c r="EV203" i="4"/>
  <c r="EV211" i="4"/>
  <c r="EV212" i="4" s="1"/>
  <c r="EV439" i="2"/>
  <c r="EV454" i="2" s="1"/>
  <c r="EV182" i="2"/>
  <c r="EV203" i="2" s="1"/>
  <c r="EV137" i="2"/>
  <c r="EV318" i="2"/>
  <c r="EV341" i="2" s="1"/>
  <c r="EV304" i="2"/>
  <c r="EV303" i="2" s="1"/>
  <c r="EV394" i="2"/>
  <c r="EV399" i="2"/>
  <c r="EU294" i="2"/>
  <c r="EV296" i="2" s="1"/>
  <c r="EV280" i="2"/>
  <c r="EV316" i="2" s="1"/>
  <c r="EV453" i="2" s="1"/>
  <c r="EV285" i="2"/>
  <c r="EV429" i="2"/>
  <c r="EV434" i="2" s="1"/>
  <c r="EU389" i="2"/>
  <c r="B635" i="3"/>
  <c r="C538" i="3"/>
  <c r="C629" i="3"/>
  <c r="D629" i="3" s="1"/>
  <c r="E629" i="3" s="1"/>
  <c r="F629" i="3" s="1"/>
  <c r="G629" i="3" s="1"/>
  <c r="H629" i="3" s="1"/>
  <c r="I629" i="3" s="1"/>
  <c r="J629" i="3" s="1"/>
  <c r="K629" i="3" s="1"/>
  <c r="D991" i="3"/>
  <c r="B623" i="3"/>
  <c r="B10" i="41"/>
  <c r="EU198" i="4"/>
  <c r="EU192" i="4"/>
  <c r="EU152" i="4"/>
  <c r="EU162" i="4"/>
  <c r="EU77" i="4"/>
  <c r="EU165" i="4" s="1"/>
  <c r="EU76" i="4"/>
  <c r="EU79" i="4" s="1"/>
  <c r="EU539" i="1"/>
  <c r="EU540" i="1" s="1"/>
  <c r="EU538" i="1" s="1"/>
  <c r="EU58" i="4" s="1"/>
  <c r="EU59" i="4" s="1"/>
  <c r="EU61" i="4" s="1"/>
  <c r="EU68" i="4" s="1"/>
  <c r="EU284" i="1"/>
  <c r="EU110" i="4"/>
  <c r="EU130" i="4"/>
  <c r="EU252" i="2"/>
  <c r="EU45" i="4"/>
  <c r="EU163" i="1"/>
  <c r="EU112" i="10"/>
  <c r="EU584" i="2"/>
  <c r="EU312" i="1"/>
  <c r="EU308" i="1" s="1"/>
  <c r="EU306" i="1"/>
  <c r="EU292" i="1"/>
  <c r="EU144" i="4" s="1"/>
  <c r="EU380" i="2"/>
  <c r="C1202" i="3"/>
  <c r="EU153" i="4"/>
  <c r="EU447" i="2"/>
  <c r="EU268" i="1"/>
  <c r="EU105" i="4"/>
  <c r="EU402" i="2"/>
  <c r="D1189" i="3"/>
  <c r="EU249" i="2"/>
  <c r="EU137" i="1"/>
  <c r="EU172" i="1" s="1"/>
  <c r="EU149" i="1"/>
  <c r="EU182" i="1"/>
  <c r="B1185" i="3"/>
  <c r="EV451" i="2" l="1"/>
  <c r="EW401" i="2"/>
  <c r="EV291" i="2"/>
  <c r="EV317" i="2" s="1"/>
  <c r="EV465" i="2"/>
  <c r="EV204" i="2"/>
  <c r="FA204" i="2" s="1"/>
  <c r="FA377" i="10" s="1"/>
  <c r="EV396" i="2"/>
  <c r="EV258" i="2"/>
  <c r="EV319" i="2"/>
  <c r="EV337" i="2"/>
  <c r="EV183" i="2"/>
  <c r="EV247" i="2" s="1"/>
  <c r="EV488" i="2"/>
  <c r="EV199" i="2"/>
  <c r="EV192" i="2"/>
  <c r="EV170" i="2"/>
  <c r="EV175" i="2" s="1"/>
  <c r="EV153" i="2" s="1"/>
  <c r="EV113" i="2"/>
  <c r="EV455" i="2"/>
  <c r="EV573" i="2"/>
  <c r="EV342" i="2"/>
  <c r="FA342" i="2" s="1"/>
  <c r="FA425" i="10" s="1"/>
  <c r="EV441" i="2"/>
  <c r="EV136" i="2"/>
  <c r="C138" i="41"/>
  <c r="C89" i="41"/>
  <c r="H89" i="41"/>
  <c r="B258" i="41"/>
  <c r="B89" i="41"/>
  <c r="E10" i="41"/>
  <c r="E89" i="41"/>
  <c r="B45" i="41"/>
  <c r="D45" i="41" s="1"/>
  <c r="F45" i="41" s="1"/>
  <c r="G45" i="41" s="1"/>
  <c r="J89" i="41"/>
  <c r="F89" i="41"/>
  <c r="K89" i="41"/>
  <c r="D89" i="41"/>
  <c r="G89" i="41"/>
  <c r="B11" i="41"/>
  <c r="B13" i="41" s="1"/>
  <c r="I89" i="41"/>
  <c r="C623" i="3"/>
  <c r="B624" i="3"/>
  <c r="EU138" i="1"/>
  <c r="EU154" i="1" s="1"/>
  <c r="EU153" i="1" s="1"/>
  <c r="EU188" i="1" s="1"/>
  <c r="EU29" i="2" s="1"/>
  <c r="EU122" i="4"/>
  <c r="EU62" i="4"/>
  <c r="EU384" i="2"/>
  <c r="EU386" i="2"/>
  <c r="EU291" i="1"/>
  <c r="EU293" i="1" s="1"/>
  <c r="EU136" i="4"/>
  <c r="EU143" i="4" s="1"/>
  <c r="EU145" i="4" s="1"/>
  <c r="EU173" i="1"/>
  <c r="EU189" i="1" s="1"/>
  <c r="EU469" i="2"/>
  <c r="EU11" i="2"/>
  <c r="EZ11" i="2" s="1"/>
  <c r="EU129" i="4"/>
  <c r="EU81" i="4"/>
  <c r="EU96" i="4"/>
  <c r="EU104" i="4" s="1"/>
  <c r="EU184" i="1"/>
  <c r="EU68" i="2"/>
  <c r="EU58" i="2"/>
  <c r="EU60" i="2" s="1"/>
  <c r="EU62" i="2" s="1"/>
  <c r="EU163" i="4"/>
  <c r="EU164" i="4"/>
  <c r="EU154" i="4"/>
  <c r="EZ469" i="2" l="1"/>
  <c r="EZ479" i="2" s="1"/>
  <c r="EZ48" i="2"/>
  <c r="EZ29" i="2"/>
  <c r="FA466" i="2"/>
  <c r="FA45" i="2"/>
  <c r="FA14" i="4" s="1"/>
  <c r="EV561" i="2"/>
  <c r="EV169" i="2"/>
  <c r="EV164" i="2"/>
  <c r="EV461" i="2"/>
  <c r="EV201" i="2"/>
  <c r="EV339" i="2"/>
  <c r="EV466" i="2"/>
  <c r="EV467" i="2" s="1"/>
  <c r="EV45" i="2"/>
  <c r="EV14" i="4" s="1"/>
  <c r="EV440" i="2"/>
  <c r="EV445" i="2" s="1"/>
  <c r="EV395" i="2"/>
  <c r="EV400" i="2" s="1"/>
  <c r="C273" i="41"/>
  <c r="C258" i="41"/>
  <c r="C281" i="41" s="1"/>
  <c r="B628" i="3"/>
  <c r="D623" i="3"/>
  <c r="C624" i="3"/>
  <c r="EU158" i="4"/>
  <c r="EU294" i="1"/>
  <c r="EU147" i="4" s="1"/>
  <c r="EU132" i="4"/>
  <c r="FB11" i="2"/>
  <c r="EU63" i="2"/>
  <c r="EU70" i="2"/>
  <c r="EU44" i="4"/>
  <c r="EU34" i="1"/>
  <c r="EU31" i="1"/>
  <c r="EU26" i="1"/>
  <c r="EU15" i="1"/>
  <c r="EU11" i="1"/>
  <c r="EZ17" i="4" l="1"/>
  <c r="EZ129" i="10"/>
  <c r="FA476" i="2"/>
  <c r="FB48" i="2"/>
  <c r="FB29" i="2"/>
  <c r="FB469" i="2"/>
  <c r="EV463" i="2"/>
  <c r="EV190" i="2"/>
  <c r="EV327" i="2"/>
  <c r="FA327" i="2" s="1"/>
  <c r="FA412" i="10" s="1"/>
  <c r="EV464" i="2"/>
  <c r="E623" i="3"/>
  <c r="D624" i="3"/>
  <c r="B630" i="3"/>
  <c r="B637" i="3"/>
  <c r="C628" i="3"/>
  <c r="EU134" i="4"/>
  <c r="EU131" i="4"/>
  <c r="EU149" i="4"/>
  <c r="EU146" i="4"/>
  <c r="EU36" i="1"/>
  <c r="B1570" i="3"/>
  <c r="FB17" i="4" l="1"/>
  <c r="FB129" i="10"/>
  <c r="EV468" i="2"/>
  <c r="C630" i="3"/>
  <c r="C637" i="3"/>
  <c r="D628" i="3"/>
  <c r="F623" i="3"/>
  <c r="E624" i="3"/>
  <c r="G54" i="31"/>
  <c r="H54" i="31"/>
  <c r="I54" i="31"/>
  <c r="F54" i="31"/>
  <c r="EV470" i="2" l="1"/>
  <c r="E628" i="3"/>
  <c r="G623" i="3"/>
  <c r="F624" i="3"/>
  <c r="D630" i="3"/>
  <c r="D637" i="3"/>
  <c r="EV526" i="2" l="1"/>
  <c r="H623" i="3"/>
  <c r="G624" i="3"/>
  <c r="E630" i="3"/>
  <c r="E637" i="3"/>
  <c r="F628" i="3"/>
  <c r="FA14" i="32"/>
  <c r="EW14" i="32"/>
  <c r="EV14" i="32"/>
  <c r="EU14" i="32"/>
  <c r="EX5" i="32"/>
  <c r="EW5" i="32"/>
  <c r="EV5" i="32"/>
  <c r="EU5" i="32"/>
  <c r="ET5" i="32"/>
  <c r="E26" i="40"/>
  <c r="E28" i="40" s="1"/>
  <c r="E29" i="40" s="1"/>
  <c r="D163" i="40"/>
  <c r="D164" i="40"/>
  <c r="D165" i="40"/>
  <c r="D166" i="40"/>
  <c r="D167" i="40"/>
  <c r="D168" i="40"/>
  <c r="D169" i="40"/>
  <c r="C170" i="40"/>
  <c r="C171" i="40" s="1"/>
  <c r="B170" i="40"/>
  <c r="B171" i="40" s="1"/>
  <c r="B150" i="40"/>
  <c r="B149" i="40"/>
  <c r="B141" i="40"/>
  <c r="B140" i="40"/>
  <c r="B132" i="40"/>
  <c r="D5" i="40" s="1"/>
  <c r="B131" i="40"/>
  <c r="D4" i="40" s="1"/>
  <c r="B128" i="40"/>
  <c r="B123" i="40"/>
  <c r="H116" i="40"/>
  <c r="I116" i="40"/>
  <c r="J116" i="40"/>
  <c r="K116" i="40"/>
  <c r="L116" i="40"/>
  <c r="M116" i="40"/>
  <c r="N116" i="40"/>
  <c r="O116" i="40"/>
  <c r="P116" i="40"/>
  <c r="G116" i="40"/>
  <c r="F116" i="40"/>
  <c r="E116" i="40"/>
  <c r="D116" i="40"/>
  <c r="C116" i="40"/>
  <c r="B116" i="40"/>
  <c r="D109" i="40"/>
  <c r="E109" i="40"/>
  <c r="F109" i="40"/>
  <c r="G109" i="40"/>
  <c r="H109" i="40"/>
  <c r="I109" i="40"/>
  <c r="J109" i="40"/>
  <c r="K109" i="40"/>
  <c r="L109" i="40"/>
  <c r="M109" i="40"/>
  <c r="N109" i="40"/>
  <c r="O109" i="40"/>
  <c r="P109" i="40"/>
  <c r="C109" i="40"/>
  <c r="C104" i="40"/>
  <c r="D104" i="40"/>
  <c r="E104" i="40"/>
  <c r="F104" i="40"/>
  <c r="G104" i="40"/>
  <c r="H104" i="40"/>
  <c r="I104" i="40"/>
  <c r="J104" i="40"/>
  <c r="K104" i="40"/>
  <c r="L104" i="40"/>
  <c r="M104" i="40"/>
  <c r="N104" i="40"/>
  <c r="O104" i="40"/>
  <c r="P104" i="40"/>
  <c r="C105" i="40"/>
  <c r="D105" i="40"/>
  <c r="E105" i="40"/>
  <c r="F105" i="40"/>
  <c r="G105" i="40"/>
  <c r="H105" i="40"/>
  <c r="I105" i="40"/>
  <c r="J105" i="40"/>
  <c r="K105" i="40"/>
  <c r="L105" i="40"/>
  <c r="M105" i="40"/>
  <c r="N105" i="40"/>
  <c r="O105" i="40"/>
  <c r="P105" i="40"/>
  <c r="B105" i="40"/>
  <c r="B104" i="40"/>
  <c r="P102" i="40"/>
  <c r="O102" i="40"/>
  <c r="N102" i="40"/>
  <c r="M102" i="40"/>
  <c r="L102" i="40"/>
  <c r="K102" i="40"/>
  <c r="J102" i="40"/>
  <c r="I102" i="40"/>
  <c r="H102" i="40"/>
  <c r="G102" i="40"/>
  <c r="F102" i="40"/>
  <c r="E102" i="40"/>
  <c r="D102" i="40"/>
  <c r="C102" i="40"/>
  <c r="B102" i="40"/>
  <c r="C98" i="40"/>
  <c r="D98" i="40"/>
  <c r="E98" i="40"/>
  <c r="F98" i="40"/>
  <c r="G98" i="40"/>
  <c r="H98" i="40"/>
  <c r="I98" i="40"/>
  <c r="J98" i="40"/>
  <c r="K98" i="40"/>
  <c r="L98" i="40"/>
  <c r="M98" i="40"/>
  <c r="N98" i="40"/>
  <c r="O98" i="40"/>
  <c r="P98" i="40"/>
  <c r="B98" i="40"/>
  <c r="G90" i="40"/>
  <c r="F90" i="40"/>
  <c r="E90" i="40"/>
  <c r="D90" i="40"/>
  <c r="C90" i="40"/>
  <c r="B90" i="40"/>
  <c r="B83" i="40"/>
  <c r="C83" i="40"/>
  <c r="D83" i="40"/>
  <c r="E83" i="40"/>
  <c r="F83" i="40"/>
  <c r="G83" i="40"/>
  <c r="G68" i="40"/>
  <c r="C68" i="40"/>
  <c r="D68" i="40"/>
  <c r="E68" i="40"/>
  <c r="F68" i="40"/>
  <c r="C69" i="40"/>
  <c r="D69" i="40"/>
  <c r="E69" i="40"/>
  <c r="F69" i="40"/>
  <c r="G69" i="40"/>
  <c r="B69" i="40"/>
  <c r="B68" i="40"/>
  <c r="G66" i="40"/>
  <c r="F66" i="40"/>
  <c r="E66" i="40"/>
  <c r="D66" i="40"/>
  <c r="C66" i="40"/>
  <c r="B66" i="40"/>
  <c r="B62" i="40"/>
  <c r="C62" i="40"/>
  <c r="D62" i="40"/>
  <c r="E62" i="40"/>
  <c r="F62" i="40"/>
  <c r="G62" i="40"/>
  <c r="F630" i="3" l="1"/>
  <c r="F637" i="3"/>
  <c r="G628" i="3"/>
  <c r="I623" i="3"/>
  <c r="H624" i="3"/>
  <c r="B70" i="40"/>
  <c r="K106" i="40"/>
  <c r="L117" i="40"/>
  <c r="E117" i="40"/>
  <c r="F117" i="40"/>
  <c r="I117" i="40"/>
  <c r="D117" i="40"/>
  <c r="P117" i="40"/>
  <c r="C106" i="40"/>
  <c r="E70" i="40"/>
  <c r="B106" i="40"/>
  <c r="H106" i="40"/>
  <c r="G106" i="40"/>
  <c r="G117" i="40"/>
  <c r="L106" i="40"/>
  <c r="D106" i="40"/>
  <c r="H117" i="40"/>
  <c r="C70" i="40"/>
  <c r="D70" i="40"/>
  <c r="J106" i="40"/>
  <c r="O106" i="40"/>
  <c r="I106" i="40"/>
  <c r="M117" i="40"/>
  <c r="F70" i="40"/>
  <c r="P106" i="40"/>
  <c r="D170" i="40"/>
  <c r="D171" i="40" s="1"/>
  <c r="G70" i="40"/>
  <c r="O117" i="40"/>
  <c r="C117" i="40"/>
  <c r="N106" i="40"/>
  <c r="F106" i="40"/>
  <c r="B154" i="40"/>
  <c r="D8" i="40" s="1"/>
  <c r="D12" i="40" s="1"/>
  <c r="M106" i="40"/>
  <c r="E106" i="40"/>
  <c r="K117" i="40"/>
  <c r="B155" i="40"/>
  <c r="D9" i="40" s="1"/>
  <c r="C9" i="40" s="1"/>
  <c r="J117" i="40"/>
  <c r="N117" i="40"/>
  <c r="B142" i="40"/>
  <c r="B151" i="40"/>
  <c r="B133" i="40"/>
  <c r="Q11" i="31"/>
  <c r="Q10" i="31"/>
  <c r="Q9" i="31"/>
  <c r="E42" i="40"/>
  <c r="B35" i="40"/>
  <c r="B42" i="40"/>
  <c r="E35" i="40"/>
  <c r="E37" i="40" s="1"/>
  <c r="E22" i="40"/>
  <c r="B28" i="40"/>
  <c r="B26" i="40" s="1"/>
  <c r="E13" i="40"/>
  <c r="E12" i="40"/>
  <c r="B13" i="40"/>
  <c r="B12" i="40"/>
  <c r="E10" i="40"/>
  <c r="B10" i="40"/>
  <c r="D6" i="40"/>
  <c r="C5" i="40"/>
  <c r="C4" i="40"/>
  <c r="E6" i="40"/>
  <c r="B6" i="40"/>
  <c r="L46" i="31"/>
  <c r="L53" i="31" s="1"/>
  <c r="K46" i="31"/>
  <c r="K53" i="31" s="1"/>
  <c r="L51" i="31" s="1"/>
  <c r="J46" i="31"/>
  <c r="J53" i="31" s="1"/>
  <c r="K51" i="31" s="1"/>
  <c r="J52" i="31"/>
  <c r="I46" i="31"/>
  <c r="I53" i="31" s="1"/>
  <c r="J51" i="31" s="1"/>
  <c r="H46" i="31"/>
  <c r="H53" i="31" s="1"/>
  <c r="I51" i="31" s="1"/>
  <c r="I52" i="31"/>
  <c r="H52" i="31"/>
  <c r="G52" i="31"/>
  <c r="J623" i="3" l="1"/>
  <c r="I624" i="3"/>
  <c r="H628" i="3"/>
  <c r="G630" i="3"/>
  <c r="G637" i="3"/>
  <c r="D13" i="40"/>
  <c r="B156" i="40"/>
  <c r="D10" i="40"/>
  <c r="D14" i="40" s="1"/>
  <c r="B14" i="40"/>
  <c r="C6" i="40"/>
  <c r="C8" i="40"/>
  <c r="C10" i="40" s="1"/>
  <c r="E14" i="40"/>
  <c r="C13" i="40"/>
  <c r="B1427" i="3"/>
  <c r="B1428" i="3" s="1"/>
  <c r="B1418" i="3"/>
  <c r="B1419" i="3" s="1"/>
  <c r="C1412" i="3"/>
  <c r="D1412" i="3" s="1"/>
  <c r="E1412" i="3" s="1"/>
  <c r="F1412" i="3" s="1"/>
  <c r="G1412" i="3" s="1"/>
  <c r="H1412" i="3" s="1"/>
  <c r="I1412" i="3" s="1"/>
  <c r="J1412" i="3" s="1"/>
  <c r="K1412" i="3" s="1"/>
  <c r="L1412" i="3" s="1"/>
  <c r="M1412" i="3" s="1"/>
  <c r="N1412" i="3" s="1"/>
  <c r="O1412" i="3" s="1"/>
  <c r="P1412" i="3" s="1"/>
  <c r="Q1412" i="3" s="1"/>
  <c r="R1412" i="3" s="1"/>
  <c r="S1412" i="3" s="1"/>
  <c r="T1412" i="3" s="1"/>
  <c r="U1412" i="3" s="1"/>
  <c r="C1428" i="3"/>
  <c r="C1398" i="3"/>
  <c r="D1398" i="3" s="1"/>
  <c r="E1398" i="3" s="1"/>
  <c r="F1398" i="3" s="1"/>
  <c r="G1398" i="3" s="1"/>
  <c r="H1398" i="3" s="1"/>
  <c r="I1398" i="3" s="1"/>
  <c r="J1398" i="3" s="1"/>
  <c r="K1398" i="3" s="1"/>
  <c r="L1398" i="3" s="1"/>
  <c r="M1398" i="3" s="1"/>
  <c r="N1398" i="3" s="1"/>
  <c r="O1398" i="3" s="1"/>
  <c r="P1398" i="3" s="1"/>
  <c r="Q1398" i="3" s="1"/>
  <c r="R1398" i="3" s="1"/>
  <c r="S1398" i="3" s="1"/>
  <c r="T1398" i="3" s="1"/>
  <c r="U1398" i="3" s="1"/>
  <c r="B1394" i="3"/>
  <c r="C1395" i="3"/>
  <c r="D1395" i="3" s="1"/>
  <c r="E1395" i="3" s="1"/>
  <c r="F1395" i="3" s="1"/>
  <c r="G1395" i="3" s="1"/>
  <c r="H1395" i="3" s="1"/>
  <c r="I1395" i="3" s="1"/>
  <c r="J1395" i="3" s="1"/>
  <c r="K1395" i="3" s="1"/>
  <c r="L1395" i="3" s="1"/>
  <c r="M1395" i="3" s="1"/>
  <c r="N1395" i="3" s="1"/>
  <c r="O1395" i="3" s="1"/>
  <c r="P1395" i="3" s="1"/>
  <c r="Q1395" i="3" s="1"/>
  <c r="R1395" i="3" s="1"/>
  <c r="S1395" i="3" s="1"/>
  <c r="T1395" i="3" s="1"/>
  <c r="U1395" i="3" s="1"/>
  <c r="C1389" i="3"/>
  <c r="D1389" i="3" s="1"/>
  <c r="E1389" i="3" s="1"/>
  <c r="F1389" i="3" s="1"/>
  <c r="G1389" i="3" s="1"/>
  <c r="H1389" i="3" s="1"/>
  <c r="I1389" i="3" s="1"/>
  <c r="J1389" i="3" s="1"/>
  <c r="K1389" i="3" s="1"/>
  <c r="L1389" i="3" s="1"/>
  <c r="M1389" i="3" s="1"/>
  <c r="N1389" i="3" s="1"/>
  <c r="O1389" i="3" s="1"/>
  <c r="P1389" i="3" s="1"/>
  <c r="Q1389" i="3" s="1"/>
  <c r="R1389" i="3" s="1"/>
  <c r="S1389" i="3" s="1"/>
  <c r="T1389" i="3" s="1"/>
  <c r="U1389" i="3" s="1"/>
  <c r="M1360" i="3"/>
  <c r="N1361" i="3" s="1"/>
  <c r="O1362" i="3" s="1"/>
  <c r="P1363" i="3" s="1"/>
  <c r="Q1364" i="3" s="1"/>
  <c r="R1365" i="3" s="1"/>
  <c r="S1366" i="3" s="1"/>
  <c r="T1367" i="3" s="1"/>
  <c r="U1367" i="3" s="1"/>
  <c r="M1359" i="3"/>
  <c r="N1359" i="3" s="1"/>
  <c r="O1359" i="3" s="1"/>
  <c r="P1359" i="3" s="1"/>
  <c r="Q1359" i="3" s="1"/>
  <c r="R1359" i="3" s="1"/>
  <c r="S1359" i="3" s="1"/>
  <c r="T1359" i="3" s="1"/>
  <c r="U1359" i="3" s="1"/>
  <c r="C1329" i="3"/>
  <c r="C1347" i="3" s="1"/>
  <c r="D1329" i="3"/>
  <c r="D1347" i="3" s="1"/>
  <c r="B1550" i="3"/>
  <c r="F1550" i="3" s="1"/>
  <c r="G1550" i="3" s="1"/>
  <c r="C1531" i="3"/>
  <c r="D1531" i="3" s="1"/>
  <c r="C1525" i="3"/>
  <c r="D1525" i="3" s="1"/>
  <c r="I628" i="3" l="1"/>
  <c r="H630" i="3"/>
  <c r="H637" i="3"/>
  <c r="K623" i="3"/>
  <c r="K624" i="3" s="1"/>
  <c r="J624" i="3"/>
  <c r="C14" i="40"/>
  <c r="C12" i="40"/>
  <c r="B1429" i="3"/>
  <c r="J1394" i="3"/>
  <c r="C1394" i="3"/>
  <c r="H1394" i="3"/>
  <c r="K1394" i="3"/>
  <c r="I1394" i="3"/>
  <c r="G1394" i="3"/>
  <c r="F1394" i="3"/>
  <c r="E1394" i="3"/>
  <c r="D1394" i="3"/>
  <c r="P1362" i="3"/>
  <c r="Q1363" i="3"/>
  <c r="R1364" i="3"/>
  <c r="U1368" i="3"/>
  <c r="S1365" i="3"/>
  <c r="N1360" i="3"/>
  <c r="T1366" i="3"/>
  <c r="O1361" i="3"/>
  <c r="E1500" i="3"/>
  <c r="D1500" i="3"/>
  <c r="ES186" i="2"/>
  <c r="F1483" i="3"/>
  <c r="F1492" i="3" s="1"/>
  <c r="J628" i="3" l="1"/>
  <c r="K628" i="3"/>
  <c r="I630" i="3"/>
  <c r="I637" i="3"/>
  <c r="P1361" i="3"/>
  <c r="T1365" i="3"/>
  <c r="S1364" i="3"/>
  <c r="U1366" i="3"/>
  <c r="O1360" i="3"/>
  <c r="R1363" i="3"/>
  <c r="Q1362" i="3"/>
  <c r="B1544" i="3"/>
  <c r="C1543" i="3"/>
  <c r="K630" i="3" l="1"/>
  <c r="K637" i="3"/>
  <c r="J630" i="3"/>
  <c r="J637" i="3"/>
  <c r="R1362" i="3"/>
  <c r="T1364" i="3"/>
  <c r="S1363" i="3"/>
  <c r="U1365" i="3"/>
  <c r="P1360" i="3"/>
  <c r="Q1361" i="3"/>
  <c r="D1543" i="3"/>
  <c r="C1544" i="3"/>
  <c r="U1364" i="3" l="1"/>
  <c r="Q1360" i="3"/>
  <c r="R1361" i="3"/>
  <c r="T1363" i="3"/>
  <c r="S1362" i="3"/>
  <c r="E1543" i="3"/>
  <c r="D1544" i="3"/>
  <c r="S1361" i="3" l="1"/>
  <c r="R1360" i="3"/>
  <c r="T1362" i="3"/>
  <c r="U1363" i="3"/>
  <c r="E1544" i="3"/>
  <c r="U1362" i="3" l="1"/>
  <c r="S1360" i="3"/>
  <c r="T1361" i="3"/>
  <c r="F1544" i="3"/>
  <c r="G1544" i="3" s="1"/>
  <c r="H1544" i="3" s="1"/>
  <c r="I1544" i="3" s="1"/>
  <c r="T1360" i="3" l="1"/>
  <c r="U1361" i="3"/>
  <c r="F1543" i="3"/>
  <c r="G1543" i="3"/>
  <c r="U1360" i="3" l="1"/>
  <c r="H1543" i="3"/>
  <c r="I1543" i="3" l="1"/>
  <c r="B1474" i="3" l="1"/>
  <c r="C1474" i="3"/>
  <c r="D1474" i="3"/>
  <c r="E1474" i="3"/>
  <c r="F1474" i="3"/>
  <c r="G1474" i="3"/>
  <c r="H1474" i="3"/>
  <c r="I1474" i="3"/>
  <c r="J1474" i="3"/>
  <c r="B1483" i="3" s="1"/>
  <c r="B1492" i="3" s="1"/>
  <c r="K1474" i="3"/>
  <c r="C1483" i="3" s="1"/>
  <c r="C1492" i="3" s="1"/>
  <c r="L1474" i="3"/>
  <c r="D1483" i="3" s="1"/>
  <c r="D1492" i="3" s="1"/>
  <c r="M1474" i="3"/>
  <c r="E1483" i="3" s="1"/>
  <c r="E1492" i="3" s="1"/>
  <c r="N1474" i="3"/>
  <c r="O1474" i="3" s="1"/>
  <c r="EI433" i="1"/>
  <c r="EI435" i="1" s="1"/>
  <c r="ES433" i="1"/>
  <c r="F1482" i="3" s="1"/>
  <c r="EN433" i="1"/>
  <c r="EN435" i="1" s="1"/>
  <c r="ET433" i="1"/>
  <c r="N1473" i="3" s="1"/>
  <c r="G1482" i="3" s="1"/>
  <c r="G1491" i="3" s="1"/>
  <c r="ER433" i="1"/>
  <c r="ER435" i="1" s="1"/>
  <c r="EQ433" i="1"/>
  <c r="EQ435" i="1" s="1"/>
  <c r="EP433" i="1"/>
  <c r="EP435" i="1" s="1"/>
  <c r="EO433" i="1"/>
  <c r="J1473" i="3" s="1"/>
  <c r="B1482" i="3" s="1"/>
  <c r="EM433" i="1"/>
  <c r="EM435" i="1" s="1"/>
  <c r="EL433" i="1"/>
  <c r="EL435" i="1" s="1"/>
  <c r="EK433" i="1"/>
  <c r="EK435" i="1" s="1"/>
  <c r="EJ433" i="1"/>
  <c r="F1473" i="3" s="1"/>
  <c r="EF433" i="1"/>
  <c r="EF435" i="1" s="1"/>
  <c r="EG433" i="1"/>
  <c r="EG435" i="1" s="1"/>
  <c r="EH433" i="1"/>
  <c r="EH435" i="1" s="1"/>
  <c r="EE433" i="1"/>
  <c r="B1473" i="3" s="1"/>
  <c r="ET213" i="4"/>
  <c r="ET196" i="4"/>
  <c r="EU202" i="4" s="1"/>
  <c r="EU203" i="4" s="1"/>
  <c r="ET190" i="4"/>
  <c r="ET189" i="4"/>
  <c r="ET188" i="4"/>
  <c r="ET187" i="4"/>
  <c r="ET184" i="4"/>
  <c r="ET183" i="4"/>
  <c r="ET182" i="4"/>
  <c r="ET179" i="4"/>
  <c r="ET178" i="4"/>
  <c r="ET175" i="4"/>
  <c r="ET174" i="4"/>
  <c r="ET173" i="4"/>
  <c r="ET172" i="4"/>
  <c r="ET171" i="4"/>
  <c r="ET166" i="4"/>
  <c r="EX166" i="4" s="1"/>
  <c r="ET141" i="4"/>
  <c r="ET117" i="4"/>
  <c r="EY117" i="4" s="1"/>
  <c r="ET116" i="4"/>
  <c r="ET115" i="4"/>
  <c r="ET114" i="4"/>
  <c r="ET113" i="4"/>
  <c r="ET112" i="4"/>
  <c r="ET109" i="4"/>
  <c r="ET108" i="4"/>
  <c r="ET102" i="4"/>
  <c r="ET101" i="4"/>
  <c r="ET100" i="4"/>
  <c r="ET98" i="4"/>
  <c r="ET80" i="4"/>
  <c r="ET148" i="4" s="1"/>
  <c r="ET78" i="4"/>
  <c r="ET75" i="4"/>
  <c r="ET167" i="4" s="1"/>
  <c r="ET73" i="4"/>
  <c r="ET207" i="4" s="1"/>
  <c r="ET209" i="4" s="1"/>
  <c r="ET72" i="4"/>
  <c r="ET71" i="4"/>
  <c r="ET67" i="4"/>
  <c r="EY67" i="4" s="1"/>
  <c r="ET66" i="4"/>
  <c r="ET99" i="4" s="1"/>
  <c r="ET65" i="4"/>
  <c r="ET53" i="4"/>
  <c r="ET39" i="4"/>
  <c r="ET37" i="4"/>
  <c r="ET35" i="4"/>
  <c r="ET34" i="4"/>
  <c r="ET33" i="4"/>
  <c r="ET32" i="4"/>
  <c r="ET36" i="4" s="1"/>
  <c r="ET27" i="4"/>
  <c r="ET25" i="4"/>
  <c r="ET24" i="4"/>
  <c r="ET23" i="4"/>
  <c r="ET22" i="4"/>
  <c r="ET587" i="2"/>
  <c r="EU590" i="2" s="1"/>
  <c r="EU591" i="2" s="1"/>
  <c r="ET583" i="2"/>
  <c r="ET582" i="2"/>
  <c r="ET581" i="2"/>
  <c r="ET579" i="2"/>
  <c r="ET572" i="2"/>
  <c r="ET547" i="2"/>
  <c r="ET495" i="2"/>
  <c r="ET490" i="2"/>
  <c r="ET483" i="2"/>
  <c r="ET457" i="2"/>
  <c r="EY458" i="2" s="1"/>
  <c r="ET446" i="2"/>
  <c r="ET435" i="2"/>
  <c r="ET433" i="2"/>
  <c r="ET431" i="2"/>
  <c r="ET388" i="2"/>
  <c r="ET333" i="2"/>
  <c r="ET331" i="2"/>
  <c r="ET329" i="2"/>
  <c r="ET325" i="2"/>
  <c r="EY325" i="2" s="1"/>
  <c r="EY410" i="10" s="1"/>
  <c r="ET323" i="2"/>
  <c r="ET309" i="2"/>
  <c r="EY309" i="2" s="1"/>
  <c r="ET305" i="2"/>
  <c r="ET273" i="2"/>
  <c r="ET271" i="2"/>
  <c r="EU268" i="2" s="1"/>
  <c r="ET264" i="2"/>
  <c r="EY264" i="2" s="1"/>
  <c r="ET260" i="2"/>
  <c r="ET251" i="2"/>
  <c r="ET194" i="2"/>
  <c r="EY194" i="2" s="1"/>
  <c r="EY366" i="10" s="1"/>
  <c r="ET188" i="2"/>
  <c r="ET186" i="2"/>
  <c r="ET154" i="2"/>
  <c r="ET142" i="2"/>
  <c r="EY142" i="2" s="1"/>
  <c r="ET138" i="2"/>
  <c r="ET128" i="2"/>
  <c r="ET126" i="2"/>
  <c r="EU123" i="2" s="1"/>
  <c r="ET119" i="2"/>
  <c r="EY119" i="2" s="1"/>
  <c r="EY357" i="10" s="1"/>
  <c r="ET115" i="2"/>
  <c r="ET99" i="2"/>
  <c r="EY99" i="2" s="1"/>
  <c r="EY184" i="10" s="1"/>
  <c r="ET87" i="2"/>
  <c r="ET54" i="2"/>
  <c r="F1291" i="3" l="1"/>
  <c r="EY186" i="2"/>
  <c r="EY360" i="10" s="1"/>
  <c r="EX87" i="2"/>
  <c r="EY405" i="10"/>
  <c r="EZ100" i="2"/>
  <c r="EY120" i="4"/>
  <c r="F1509" i="3"/>
  <c r="J1173" i="3"/>
  <c r="J1097" i="3"/>
  <c r="J1101" i="3" s="1"/>
  <c r="ET168" i="4"/>
  <c r="EU302" i="2"/>
  <c r="EU307" i="2"/>
  <c r="EU428" i="2"/>
  <c r="EU430" i="2" s="1"/>
  <c r="EU112" i="2"/>
  <c r="EU117" i="2"/>
  <c r="ET13" i="32"/>
  <c r="EU405" i="2"/>
  <c r="EU181" i="2"/>
  <c r="EU200" i="2" s="1"/>
  <c r="EU257" i="2"/>
  <c r="EU262" i="2"/>
  <c r="EU135" i="2"/>
  <c r="EU140" i="2"/>
  <c r="EU574" i="2"/>
  <c r="EU100" i="2"/>
  <c r="EU315" i="2"/>
  <c r="EU338" i="2" s="1"/>
  <c r="B1475" i="3"/>
  <c r="B1332" i="3"/>
  <c r="B1352" i="3" s="1"/>
  <c r="B1383" i="3"/>
  <c r="ET578" i="2"/>
  <c r="ET580" i="2" s="1"/>
  <c r="ET112" i="10" s="1"/>
  <c r="ET10" i="32"/>
  <c r="ET96" i="2"/>
  <c r="B1329" i="3"/>
  <c r="B1347" i="3" s="1"/>
  <c r="B1349" i="3" s="1"/>
  <c r="C1349" i="3" s="1"/>
  <c r="D1349" i="3" s="1"/>
  <c r="M1473" i="3"/>
  <c r="M1475" i="3" s="1"/>
  <c r="EJ435" i="1"/>
  <c r="ET197" i="4"/>
  <c r="E1473" i="3"/>
  <c r="E1475" i="3" s="1"/>
  <c r="ET397" i="2"/>
  <c r="ES435" i="1"/>
  <c r="ET435" i="1"/>
  <c r="ET38" i="4"/>
  <c r="ET40" i="4" s="1"/>
  <c r="EY41" i="4" s="1"/>
  <c r="F1491" i="3"/>
  <c r="F1484" i="3"/>
  <c r="B1484" i="3"/>
  <c r="B1491" i="3"/>
  <c r="B1493" i="3" s="1"/>
  <c r="G1483" i="3"/>
  <c r="N1476" i="3"/>
  <c r="G1485" i="3" s="1"/>
  <c r="G1494" i="3" s="1"/>
  <c r="N1475" i="3"/>
  <c r="F1476" i="3"/>
  <c r="F1475" i="3"/>
  <c r="J1475" i="3"/>
  <c r="J1476" i="3"/>
  <c r="B1485" i="3" s="1"/>
  <c r="B1494" i="3" s="1"/>
  <c r="D1473" i="3"/>
  <c r="D1475" i="3" s="1"/>
  <c r="L1473" i="3"/>
  <c r="D1482" i="3" s="1"/>
  <c r="EE435" i="1"/>
  <c r="C1473" i="3"/>
  <c r="C1475" i="3" s="1"/>
  <c r="K1473" i="3"/>
  <c r="C1482" i="3" s="1"/>
  <c r="ET26" i="4"/>
  <c r="ET28" i="4" s="1"/>
  <c r="EY29" i="4" s="1"/>
  <c r="EO435" i="1"/>
  <c r="ET133" i="4"/>
  <c r="I1473" i="3"/>
  <c r="H1473" i="3"/>
  <c r="ET185" i="4"/>
  <c r="ET191" i="4" s="1"/>
  <c r="G1473" i="3"/>
  <c r="ET588" i="2"/>
  <c r="ET176" i="4"/>
  <c r="ET180" i="4" s="1"/>
  <c r="ET97" i="4"/>
  <c r="ET442" i="2"/>
  <c r="ET493" i="2"/>
  <c r="EY494" i="2" s="1"/>
  <c r="ET436" i="2"/>
  <c r="ET171" i="2"/>
  <c r="EU173" i="2" s="1"/>
  <c r="ET132" i="2"/>
  <c r="ET477" i="1"/>
  <c r="ET479" i="1"/>
  <c r="ET469" i="1"/>
  <c r="ET468" i="1"/>
  <c r="ET466" i="1"/>
  <c r="ET465" i="1"/>
  <c r="ET536" i="1"/>
  <c r="ET412" i="1"/>
  <c r="ET407" i="1"/>
  <c r="ET402" i="1"/>
  <c r="ET387" i="1"/>
  <c r="ET372" i="1"/>
  <c r="ET367" i="1"/>
  <c r="ET363" i="1"/>
  <c r="ET358" i="1"/>
  <c r="ET357" i="1"/>
  <c r="ET283" i="2" s="1"/>
  <c r="ET349" i="1"/>
  <c r="EU349" i="1" s="1"/>
  <c r="EV349" i="1" s="1"/>
  <c r="EW349" i="1" s="1"/>
  <c r="ET341" i="1"/>
  <c r="ET311" i="1"/>
  <c r="EX311" i="1" s="1"/>
  <c r="EQ310" i="1"/>
  <c r="ET310" i="1"/>
  <c r="EX310" i="1" s="1"/>
  <c r="ET139" i="4"/>
  <c r="ET288" i="1"/>
  <c r="ET290" i="1"/>
  <c r="ET286" i="1"/>
  <c r="ET285" i="1"/>
  <c r="ET278" i="1"/>
  <c r="ET279" i="1" s="1"/>
  <c r="ES277" i="1"/>
  <c r="ET265" i="1"/>
  <c r="EX265" i="1" s="1"/>
  <c r="EX266" i="1" s="1"/>
  <c r="ET253" i="1"/>
  <c r="EX253" i="1" s="1"/>
  <c r="EX256" i="1" s="1"/>
  <c r="ET249" i="1"/>
  <c r="ET244" i="1"/>
  <c r="EX244" i="1" s="1"/>
  <c r="ET240" i="1"/>
  <c r="EX240" i="1" s="1"/>
  <c r="ET237" i="1"/>
  <c r="EX237" i="1" s="1"/>
  <c r="ET225" i="1"/>
  <c r="ET231" i="1" s="1"/>
  <c r="ET216" i="1"/>
  <c r="ET220" i="1" s="1"/>
  <c r="ET187" i="1"/>
  <c r="ET186" i="1"/>
  <c r="ET178" i="1"/>
  <c r="EX178" i="1" s="1"/>
  <c r="ET176" i="1"/>
  <c r="EX176" i="1" s="1"/>
  <c r="ET175" i="1"/>
  <c r="EX175" i="1" s="1"/>
  <c r="ET170" i="1"/>
  <c r="ET169" i="1"/>
  <c r="EX169" i="1" s="1"/>
  <c r="ET167" i="1"/>
  <c r="ET166" i="1"/>
  <c r="EX166" i="1" s="1"/>
  <c r="ET160" i="1"/>
  <c r="EX160" i="1" s="1"/>
  <c r="ET159" i="1"/>
  <c r="EX159" i="1" s="1"/>
  <c r="ET158" i="1"/>
  <c r="EX158" i="1" s="1"/>
  <c r="ET157" i="1"/>
  <c r="EX157" i="1" s="1"/>
  <c r="ET148" i="1"/>
  <c r="ET146" i="1"/>
  <c r="EX146" i="1" s="1"/>
  <c r="ET142" i="1"/>
  <c r="ET136" i="1"/>
  <c r="ET133" i="1"/>
  <c r="ET128" i="1"/>
  <c r="ET126" i="1"/>
  <c r="ET98" i="1"/>
  <c r="EX98" i="1" s="1"/>
  <c r="ET97" i="1"/>
  <c r="EX97" i="1" s="1"/>
  <c r="ET90" i="1"/>
  <c r="EX90" i="1" s="1"/>
  <c r="ET88" i="1"/>
  <c r="EX88" i="1" s="1"/>
  <c r="ET87" i="1"/>
  <c r="EX87" i="1" s="1"/>
  <c r="ET86" i="1"/>
  <c r="EX86" i="1" s="1"/>
  <c r="ET85" i="1"/>
  <c r="EX85" i="1" s="1"/>
  <c r="ET84" i="1"/>
  <c r="EX84" i="1" s="1"/>
  <c r="ET83" i="1"/>
  <c r="EX83" i="1" s="1"/>
  <c r="ET51" i="1"/>
  <c r="B1468" i="3"/>
  <c r="B1455" i="3"/>
  <c r="ES42" i="1"/>
  <c r="EN42" i="1"/>
  <c r="ES40" i="1"/>
  <c r="EN40" i="1"/>
  <c r="ES39" i="1"/>
  <c r="EN39" i="1"/>
  <c r="ET34" i="1"/>
  <c r="ET31" i="1"/>
  <c r="ES35" i="1"/>
  <c r="EN35" i="1"/>
  <c r="ER34" i="1"/>
  <c r="EQ34" i="1"/>
  <c r="EP34" i="1"/>
  <c r="EO34" i="1"/>
  <c r="EM34" i="1"/>
  <c r="EL34" i="1"/>
  <c r="EK34" i="1"/>
  <c r="EJ34" i="1"/>
  <c r="ES33" i="1"/>
  <c r="EN33" i="1"/>
  <c r="ES32" i="1"/>
  <c r="EN32" i="1"/>
  <c r="ER31" i="1"/>
  <c r="EQ31" i="1"/>
  <c r="EP31" i="1"/>
  <c r="EO31" i="1"/>
  <c r="EM31" i="1"/>
  <c r="EL31" i="1"/>
  <c r="EK31" i="1"/>
  <c r="EJ31" i="1"/>
  <c r="ES30" i="1"/>
  <c r="EN30" i="1"/>
  <c r="ES29" i="1"/>
  <c r="EN29" i="1"/>
  <c r="B1463" i="3"/>
  <c r="B1450" i="3"/>
  <c r="ET26" i="1"/>
  <c r="ES25" i="1"/>
  <c r="ES24" i="1"/>
  <c r="ES23" i="1"/>
  <c r="EN23" i="1"/>
  <c r="EN24" i="1"/>
  <c r="EN25" i="1"/>
  <c r="ER26" i="1"/>
  <c r="EQ26" i="1"/>
  <c r="EP26" i="1"/>
  <c r="EO26" i="1"/>
  <c r="EK26" i="1"/>
  <c r="EL26" i="1"/>
  <c r="EM26" i="1"/>
  <c r="EJ26" i="1"/>
  <c r="B1466" i="3"/>
  <c r="B1453" i="3"/>
  <c r="ET15" i="1"/>
  <c r="ES14" i="1"/>
  <c r="ES13" i="1"/>
  <c r="EN14" i="1"/>
  <c r="EN13" i="1"/>
  <c r="ER15" i="1"/>
  <c r="EQ15" i="1"/>
  <c r="EP15" i="1"/>
  <c r="EO15" i="1"/>
  <c r="EM15" i="1"/>
  <c r="EL15" i="1"/>
  <c r="EK15" i="1"/>
  <c r="EJ15" i="1"/>
  <c r="ET11" i="1"/>
  <c r="ES10" i="1"/>
  <c r="ES9" i="1"/>
  <c r="EN9" i="1"/>
  <c r="EN10" i="1"/>
  <c r="ER11" i="1"/>
  <c r="EQ11" i="1"/>
  <c r="EP11" i="1"/>
  <c r="EO11" i="1"/>
  <c r="EM11" i="1"/>
  <c r="EL11" i="1"/>
  <c r="EK11" i="1"/>
  <c r="EJ11" i="1"/>
  <c r="EX161" i="1" l="1"/>
  <c r="ET343" i="2"/>
  <c r="EX170" i="1"/>
  <c r="ET137" i="4"/>
  <c r="EX285" i="1"/>
  <c r="ET103" i="4"/>
  <c r="ET14" i="32" s="1"/>
  <c r="EX249" i="1"/>
  <c r="ET140" i="4"/>
  <c r="EX288" i="1"/>
  <c r="ET28" i="2"/>
  <c r="C224" i="3" s="1"/>
  <c r="EX187" i="1"/>
  <c r="EY87" i="2"/>
  <c r="EY96" i="2" s="1"/>
  <c r="EZ87" i="2"/>
  <c r="ET57" i="1"/>
  <c r="EX51" i="1"/>
  <c r="ET183" i="1"/>
  <c r="EX183" i="1" s="1"/>
  <c r="EX148" i="1"/>
  <c r="ET205" i="2"/>
  <c r="EX167" i="1"/>
  <c r="EX168" i="1" s="1"/>
  <c r="ET142" i="4"/>
  <c r="EX290" i="1"/>
  <c r="ET27" i="2"/>
  <c r="B224" i="3" s="1"/>
  <c r="EX186" i="1"/>
  <c r="ET144" i="1"/>
  <c r="EX142" i="1"/>
  <c r="EX144" i="1" s="1"/>
  <c r="EX171" i="1"/>
  <c r="ET138" i="4"/>
  <c r="EX286" i="1"/>
  <c r="FB87" i="2"/>
  <c r="FA87" i="2"/>
  <c r="FA96" i="2" s="1"/>
  <c r="K1109" i="3"/>
  <c r="K1100" i="3"/>
  <c r="K1102" i="3" s="1"/>
  <c r="K1110" i="3" s="1"/>
  <c r="C1560" i="3"/>
  <c r="C1557" i="3" s="1"/>
  <c r="EU439" i="2"/>
  <c r="EU454" i="2" s="1"/>
  <c r="EU182" i="2"/>
  <c r="EU203" i="2" s="1"/>
  <c r="EU137" i="2"/>
  <c r="ET294" i="2"/>
  <c r="EU296" i="2" s="1"/>
  <c r="EU280" i="2"/>
  <c r="EU316" i="2" s="1"/>
  <c r="EU453" i="2" s="1"/>
  <c r="EU285" i="2"/>
  <c r="EU314" i="2"/>
  <c r="EU259" i="2"/>
  <c r="B1221" i="3"/>
  <c r="EU168" i="2"/>
  <c r="EU180" i="2"/>
  <c r="EU114" i="2"/>
  <c r="ET364" i="1"/>
  <c r="EU364" i="1"/>
  <c r="EU394" i="2"/>
  <c r="EU399" i="2"/>
  <c r="EU429" i="2"/>
  <c r="EU434" i="2" s="1"/>
  <c r="ET447" i="2"/>
  <c r="EU444" i="2"/>
  <c r="EU462" i="2"/>
  <c r="EU318" i="2"/>
  <c r="EU341" i="2" s="1"/>
  <c r="EU304" i="2"/>
  <c r="EU303" i="2" s="1"/>
  <c r="F1477" i="3"/>
  <c r="B1339" i="3"/>
  <c r="ET198" i="4"/>
  <c r="ET16" i="32" s="1"/>
  <c r="E1482" i="3"/>
  <c r="E1491" i="3" s="1"/>
  <c r="E1493" i="3" s="1"/>
  <c r="J1493" i="3" s="1"/>
  <c r="EN31" i="1"/>
  <c r="ET402" i="2"/>
  <c r="ET584" i="2"/>
  <c r="J1477" i="3"/>
  <c r="B1486" i="3" s="1"/>
  <c r="B1495" i="3" s="1"/>
  <c r="F1493" i="3"/>
  <c r="FM115" i="2"/>
  <c r="ET476" i="1"/>
  <c r="ET478" i="1" s="1"/>
  <c r="K1484" i="3"/>
  <c r="F1486" i="3"/>
  <c r="D1484" i="3"/>
  <c r="I1484" i="3" s="1"/>
  <c r="D1491" i="3"/>
  <c r="D1493" i="3" s="1"/>
  <c r="I1493" i="3" s="1"/>
  <c r="G1484" i="3"/>
  <c r="G1492" i="3"/>
  <c r="C1484" i="3"/>
  <c r="H1484" i="3" s="1"/>
  <c r="C1491" i="3"/>
  <c r="C1493" i="3" s="1"/>
  <c r="H1493" i="3" s="1"/>
  <c r="P1474" i="3"/>
  <c r="H1483" i="3"/>
  <c r="I1475" i="3"/>
  <c r="I1476" i="3"/>
  <c r="ET471" i="1"/>
  <c r="M1476" i="3"/>
  <c r="E1485" i="3" s="1"/>
  <c r="E1494" i="3" s="1"/>
  <c r="G1476" i="3"/>
  <c r="G1475" i="3"/>
  <c r="G1477" i="3" s="1"/>
  <c r="L1475" i="3"/>
  <c r="L1476" i="3"/>
  <c r="D1485" i="3" s="1"/>
  <c r="D1494" i="3" s="1"/>
  <c r="ES34" i="1"/>
  <c r="N1477" i="3"/>
  <c r="G1486" i="3" s="1"/>
  <c r="G1495" i="3" s="1"/>
  <c r="H1475" i="3"/>
  <c r="H1477" i="3" s="1"/>
  <c r="H1476" i="3"/>
  <c r="K1475" i="3"/>
  <c r="K1476" i="3"/>
  <c r="C1485" i="3" s="1"/>
  <c r="C1494" i="3" s="1"/>
  <c r="EN34" i="1"/>
  <c r="ET171" i="1"/>
  <c r="ET344" i="2" s="1"/>
  <c r="ET340" i="2"/>
  <c r="ER36" i="1"/>
  <c r="ET192" i="4"/>
  <c r="ES31" i="1"/>
  <c r="ET256" i="1"/>
  <c r="ET107" i="4"/>
  <c r="ET168" i="1"/>
  <c r="ET206" i="2" s="1"/>
  <c r="ET202" i="2"/>
  <c r="ET266" i="1"/>
  <c r="ET118" i="4"/>
  <c r="ET120" i="4" s="1"/>
  <c r="ET300" i="1"/>
  <c r="ET474" i="1"/>
  <c r="EN26" i="1"/>
  <c r="ET147" i="1"/>
  <c r="ET177" i="1"/>
  <c r="ET537" i="1"/>
  <c r="ET57" i="4" s="1"/>
  <c r="ES26" i="1"/>
  <c r="ET127" i="1"/>
  <c r="EN11" i="1"/>
  <c r="ET161" i="1"/>
  <c r="EN15" i="1"/>
  <c r="ES15" i="1"/>
  <c r="EL36" i="1"/>
  <c r="ET181" i="1"/>
  <c r="EO36" i="1"/>
  <c r="EQ36" i="1"/>
  <c r="ET232" i="1"/>
  <c r="EJ36" i="1"/>
  <c r="ES11" i="1"/>
  <c r="EK36" i="1"/>
  <c r="EM36" i="1"/>
  <c r="ET36" i="1"/>
  <c r="EP36" i="1"/>
  <c r="FB96" i="2" l="1"/>
  <c r="EZ96" i="2"/>
  <c r="ET69" i="2"/>
  <c r="ET45" i="4" s="1"/>
  <c r="ET59" i="2"/>
  <c r="ET57" i="2"/>
  <c r="EX181" i="1"/>
  <c r="ET162" i="1"/>
  <c r="EX162" i="1" s="1"/>
  <c r="EX163" i="1" s="1"/>
  <c r="EX127" i="1"/>
  <c r="EX128" i="1" s="1"/>
  <c r="ET179" i="1"/>
  <c r="EX177" i="1"/>
  <c r="EX179" i="1" s="1"/>
  <c r="ET182" i="1"/>
  <c r="EX182" i="1" s="1"/>
  <c r="EX147" i="1"/>
  <c r="EX149" i="1" s="1"/>
  <c r="ET302" i="1"/>
  <c r="EX300" i="1"/>
  <c r="ET59" i="1"/>
  <c r="EX57" i="1"/>
  <c r="B1461" i="3"/>
  <c r="B1462" i="3" s="1"/>
  <c r="B1448" i="3"/>
  <c r="B1449" i="3" s="1"/>
  <c r="FC96" i="2"/>
  <c r="FC87" i="2"/>
  <c r="E26" i="19" s="1"/>
  <c r="K1111" i="3"/>
  <c r="K1117" i="3" s="1"/>
  <c r="K1123" i="3" s="1"/>
  <c r="K1133" i="3" s="1"/>
  <c r="EU451" i="2"/>
  <c r="EU573" i="2" s="1"/>
  <c r="EV401" i="2"/>
  <c r="EN36" i="1"/>
  <c r="EU291" i="2"/>
  <c r="EU317" i="2" s="1"/>
  <c r="B1222" i="3"/>
  <c r="B1223" i="3" s="1"/>
  <c r="B1228" i="3" s="1"/>
  <c r="EU170" i="2"/>
  <c r="EU175" i="2" s="1"/>
  <c r="EU113" i="2"/>
  <c r="EU342" i="2"/>
  <c r="EZ342" i="2" s="1"/>
  <c r="EZ425" i="10" s="1"/>
  <c r="EU183" i="2"/>
  <c r="EU247" i="2" s="1"/>
  <c r="G1290" i="3"/>
  <c r="G1292" i="3" s="1"/>
  <c r="B1283" i="3"/>
  <c r="C1283" i="3"/>
  <c r="EU199" i="2"/>
  <c r="EU488" i="2"/>
  <c r="EU192" i="2"/>
  <c r="EU441" i="2"/>
  <c r="EU136" i="2"/>
  <c r="EU396" i="2"/>
  <c r="EU258" i="2"/>
  <c r="EU465" i="2"/>
  <c r="EU204" i="2"/>
  <c r="EZ204" i="2" s="1"/>
  <c r="EZ377" i="10" s="1"/>
  <c r="EU319" i="2"/>
  <c r="EU337" i="2"/>
  <c r="E1484" i="3"/>
  <c r="J1484" i="3" s="1"/>
  <c r="ET473" i="1"/>
  <c r="ES36" i="1"/>
  <c r="F1495" i="3"/>
  <c r="K1493" i="3"/>
  <c r="H1492" i="3"/>
  <c r="I1492" i="3" s="1"/>
  <c r="J1492" i="3" s="1"/>
  <c r="J1491" i="3" s="1"/>
  <c r="J1494" i="3" s="1"/>
  <c r="G1493" i="3"/>
  <c r="Q1474" i="3"/>
  <c r="I1483" i="3"/>
  <c r="R1477" i="3"/>
  <c r="Q1475" i="3"/>
  <c r="ET137" i="1"/>
  <c r="K1477" i="3"/>
  <c r="C1486" i="3" s="1"/>
  <c r="C1495" i="3" s="1"/>
  <c r="O1475" i="3"/>
  <c r="P1475" i="3"/>
  <c r="L1477" i="3"/>
  <c r="D1486" i="3" s="1"/>
  <c r="D1495" i="3" s="1"/>
  <c r="I1477" i="3"/>
  <c r="M1477" i="3"/>
  <c r="E1486" i="3" s="1"/>
  <c r="E1495" i="3" s="1"/>
  <c r="ET380" i="2"/>
  <c r="ET389" i="2"/>
  <c r="ET130" i="4"/>
  <c r="ET153" i="4"/>
  <c r="ET110" i="4"/>
  <c r="ET243" i="2"/>
  <c r="ET252" i="2"/>
  <c r="ET149" i="1"/>
  <c r="Q1659" i="3"/>
  <c r="P1658" i="3"/>
  <c r="Q1658" i="3" s="1"/>
  <c r="R1658" i="3" s="1"/>
  <c r="S1658" i="3" s="1"/>
  <c r="O1657" i="3"/>
  <c r="P1657" i="3" s="1"/>
  <c r="Q1657" i="3" s="1"/>
  <c r="R1657" i="3" s="1"/>
  <c r="S1657" i="3" s="1"/>
  <c r="N1656" i="3"/>
  <c r="O1656" i="3" s="1"/>
  <c r="P1656" i="3" s="1"/>
  <c r="Q1656" i="3" s="1"/>
  <c r="R1656" i="3" s="1"/>
  <c r="S1656" i="3" s="1"/>
  <c r="Q1663" i="3"/>
  <c r="R1663" i="3" s="1"/>
  <c r="S1663" i="3" s="1"/>
  <c r="P1662" i="3"/>
  <c r="O1661" i="3"/>
  <c r="P1661" i="3" s="1"/>
  <c r="Q1661" i="3" s="1"/>
  <c r="R1661" i="3" s="1"/>
  <c r="S1661" i="3" s="1"/>
  <c r="N1660" i="3"/>
  <c r="O1660" i="3" s="1"/>
  <c r="M1655" i="3"/>
  <c r="N1655" i="3" s="1"/>
  <c r="O1655" i="3" s="1"/>
  <c r="P1655" i="3" s="1"/>
  <c r="Q1655" i="3" s="1"/>
  <c r="R1655" i="3" s="1"/>
  <c r="S1655" i="3" s="1"/>
  <c r="Q1664" i="3"/>
  <c r="R1665" i="3" s="1"/>
  <c r="S1666" i="3" s="1"/>
  <c r="K1653" i="3"/>
  <c r="J1652" i="3"/>
  <c r="L1654" i="3"/>
  <c r="M1654" i="3" s="1"/>
  <c r="N1654" i="3" s="1"/>
  <c r="O1654" i="3" s="1"/>
  <c r="P1654" i="3" s="1"/>
  <c r="Q1654" i="3" s="1"/>
  <c r="R1654" i="3" s="1"/>
  <c r="S1654" i="3" s="1"/>
  <c r="E61" i="19"/>
  <c r="D61" i="19"/>
  <c r="M1659" i="3"/>
  <c r="N1659" i="3" s="1"/>
  <c r="O1659" i="3" s="1"/>
  <c r="L1658" i="3"/>
  <c r="M1658" i="3" s="1"/>
  <c r="N1658" i="3" s="1"/>
  <c r="K1657" i="3"/>
  <c r="L1657" i="3" s="1"/>
  <c r="M1657" i="3" s="1"/>
  <c r="J1656" i="3"/>
  <c r="K1656" i="3" s="1"/>
  <c r="L1656" i="3" s="1"/>
  <c r="I1655" i="3"/>
  <c r="J1655" i="3" s="1"/>
  <c r="K1655" i="3" s="1"/>
  <c r="H1654" i="3"/>
  <c r="I1654" i="3" s="1"/>
  <c r="J1654" i="3" s="1"/>
  <c r="G1653" i="3"/>
  <c r="H1653" i="3" s="1"/>
  <c r="I1653" i="3" s="1"/>
  <c r="F1652" i="3"/>
  <c r="G1652" i="3" s="1"/>
  <c r="H1652" i="3" s="1"/>
  <c r="C6" i="6" a="1"/>
  <c r="ET58" i="2" l="1"/>
  <c r="ET60" i="2" s="1"/>
  <c r="ET62" i="2" s="1"/>
  <c r="ET63" i="2" s="1"/>
  <c r="ET68" i="2"/>
  <c r="ET70" i="2" s="1"/>
  <c r="ET184" i="1"/>
  <c r="ET163" i="1"/>
  <c r="EX59" i="1"/>
  <c r="ET66" i="1"/>
  <c r="ET69" i="4"/>
  <c r="ET74" i="4" s="1"/>
  <c r="EX184" i="1"/>
  <c r="ET306" i="1"/>
  <c r="EX306" i="1" s="1"/>
  <c r="EX302" i="1"/>
  <c r="ET292" i="1"/>
  <c r="ET312" i="1"/>
  <c r="ET172" i="1"/>
  <c r="ET469" i="2" s="1"/>
  <c r="EX137" i="1"/>
  <c r="EX138" i="1" s="1"/>
  <c r="EX154" i="1" s="1"/>
  <c r="F26" i="19"/>
  <c r="G26" i="19"/>
  <c r="EU455" i="2"/>
  <c r="EZ45" i="2"/>
  <c r="EZ14" i="4" s="1"/>
  <c r="EZ466" i="2"/>
  <c r="K1158" i="3"/>
  <c r="K1124" i="3"/>
  <c r="EU440" i="2"/>
  <c r="EU445" i="2" s="1"/>
  <c r="EU395" i="2"/>
  <c r="EU400" i="2" s="1"/>
  <c r="EU339" i="2"/>
  <c r="B1216" i="3"/>
  <c r="EU561" i="2"/>
  <c r="EU169" i="2"/>
  <c r="B1232" i="3"/>
  <c r="B1282" i="3" s="1"/>
  <c r="EU461" i="2"/>
  <c r="EU201" i="2"/>
  <c r="EU466" i="2"/>
  <c r="EU467" i="2" s="1"/>
  <c r="H1491" i="3"/>
  <c r="H1494" i="3" s="1"/>
  <c r="I1491" i="3"/>
  <c r="I1494" i="3" s="1"/>
  <c r="ET138" i="1"/>
  <c r="ET154" i="1" s="1"/>
  <c r="ET153" i="1" s="1"/>
  <c r="K1492" i="3"/>
  <c r="K1491" i="3" s="1"/>
  <c r="K1494" i="3" s="1"/>
  <c r="R1474" i="3"/>
  <c r="S1474" i="3" s="1"/>
  <c r="T1474" i="3" s="1"/>
  <c r="U1474" i="3" s="1"/>
  <c r="J1483" i="3"/>
  <c r="K1483" i="3" s="1"/>
  <c r="K1482" i="3" s="1"/>
  <c r="K1485" i="3" s="1"/>
  <c r="P1473" i="3"/>
  <c r="P1476" i="3" s="1"/>
  <c r="O1473" i="3"/>
  <c r="O1476" i="3" s="1"/>
  <c r="Q1473" i="3"/>
  <c r="Q1476" i="3" s="1"/>
  <c r="S1477" i="3"/>
  <c r="T1477" i="3" s="1"/>
  <c r="U1477" i="3" s="1"/>
  <c r="U1475" i="3" s="1"/>
  <c r="R1475" i="3"/>
  <c r="ET249" i="2"/>
  <c r="ET384" i="2"/>
  <c r="ET386" i="2"/>
  <c r="C6" i="6"/>
  <c r="F61" i="19"/>
  <c r="K1652" i="3"/>
  <c r="L1652" i="3" s="1"/>
  <c r="G61" i="19"/>
  <c r="R1659" i="3"/>
  <c r="S1659" i="3" s="1"/>
  <c r="R1664" i="3"/>
  <c r="Q1662" i="3"/>
  <c r="P1660" i="3"/>
  <c r="Q1660" i="3" s="1"/>
  <c r="R1660" i="3" s="1"/>
  <c r="S1660" i="3" s="1"/>
  <c r="L1653" i="3"/>
  <c r="C1466" i="3"/>
  <c r="C1453" i="3"/>
  <c r="C1463" i="3"/>
  <c r="C1450" i="3"/>
  <c r="C1461" i="3"/>
  <c r="C1448" i="3"/>
  <c r="ET44" i="4" l="1"/>
  <c r="ET11" i="2"/>
  <c r="ET48" i="2"/>
  <c r="ET17" i="4" s="1"/>
  <c r="ET308" i="1"/>
  <c r="EX308" i="1" s="1"/>
  <c r="EX312" i="1"/>
  <c r="ET76" i="4"/>
  <c r="ET79" i="4" s="1"/>
  <c r="ET152" i="4"/>
  <c r="ET154" i="4" s="1"/>
  <c r="ET77" i="4"/>
  <c r="ET165" i="4" s="1"/>
  <c r="ET162" i="4"/>
  <c r="ET144" i="4"/>
  <c r="EX292" i="1"/>
  <c r="ET68" i="1"/>
  <c r="EX66" i="1"/>
  <c r="ET188" i="1"/>
  <c r="EX153" i="1"/>
  <c r="ET173" i="1"/>
  <c r="ET189" i="1" s="1"/>
  <c r="EX172" i="1"/>
  <c r="EX173" i="1" s="1"/>
  <c r="EX189" i="1" s="1"/>
  <c r="EZ476" i="2"/>
  <c r="EY11" i="2"/>
  <c r="K1128" i="3"/>
  <c r="K1134" i="3"/>
  <c r="K1135" i="3" s="1"/>
  <c r="K1125" i="3"/>
  <c r="K1167" i="3"/>
  <c r="K1168" i="3" s="1"/>
  <c r="B1235" i="3"/>
  <c r="C1269" i="3"/>
  <c r="B1258" i="3"/>
  <c r="B1218" i="3"/>
  <c r="EU463" i="2"/>
  <c r="EU190" i="2"/>
  <c r="EU327" i="2"/>
  <c r="EZ327" i="2" s="1"/>
  <c r="EZ412" i="10" s="1"/>
  <c r="B1284" i="3"/>
  <c r="R1473" i="3"/>
  <c r="R1476" i="3" s="1"/>
  <c r="U1473" i="3"/>
  <c r="U1476" i="3" s="1"/>
  <c r="J1485" i="3"/>
  <c r="H1485" i="3"/>
  <c r="I1485" i="3"/>
  <c r="S1475" i="3"/>
  <c r="S1473" i="3" s="1"/>
  <c r="S1476" i="3" s="1"/>
  <c r="T1475" i="3"/>
  <c r="T1473" i="3" s="1"/>
  <c r="T1476" i="3" s="1"/>
  <c r="ET158" i="4"/>
  <c r="D1461" i="3"/>
  <c r="E1461" i="3"/>
  <c r="C1462" i="3"/>
  <c r="D1450" i="3"/>
  <c r="E1450" i="3"/>
  <c r="D1466" i="3"/>
  <c r="B1469" i="3" s="1"/>
  <c r="B1470" i="3" s="1"/>
  <c r="E1466" i="3"/>
  <c r="D1463" i="3"/>
  <c r="E1463" i="3"/>
  <c r="C1449" i="3"/>
  <c r="E1448" i="3"/>
  <c r="D1448" i="3"/>
  <c r="D1453" i="3"/>
  <c r="B1456" i="3" s="1"/>
  <c r="B1457" i="3" s="1"/>
  <c r="E1453" i="3"/>
  <c r="R1662" i="3"/>
  <c r="S1665" i="3"/>
  <c r="M1653" i="3"/>
  <c r="M1652" i="3"/>
  <c r="ET70" i="1" l="1"/>
  <c r="EX68" i="1"/>
  <c r="ET81" i="4"/>
  <c r="ET96" i="4"/>
  <c r="ET29" i="2"/>
  <c r="EX188" i="1"/>
  <c r="FC11" i="2"/>
  <c r="EY469" i="2"/>
  <c r="EY29" i="2"/>
  <c r="FC29" i="2" s="1"/>
  <c r="EY48" i="2"/>
  <c r="EY129" i="10" s="1"/>
  <c r="B1269" i="3"/>
  <c r="B1270" i="3" s="1"/>
  <c r="B1238" i="3"/>
  <c r="C1280" i="3"/>
  <c r="C1271" i="3"/>
  <c r="C1273" i="3" s="1"/>
  <c r="C1274" i="3" s="1"/>
  <c r="EU464" i="2"/>
  <c r="B1219" i="3"/>
  <c r="E1462" i="3"/>
  <c r="D1462" i="3"/>
  <c r="D1449" i="3"/>
  <c r="E1449" i="3"/>
  <c r="S1664" i="3"/>
  <c r="S1662" i="3"/>
  <c r="N1653" i="3"/>
  <c r="N1652" i="3"/>
  <c r="C335" i="39"/>
  <c r="C323" i="39"/>
  <c r="C313" i="39"/>
  <c r="F278" i="39"/>
  <c r="D263" i="39"/>
  <c r="D262" i="39"/>
  <c r="D261" i="39"/>
  <c r="D260" i="39"/>
  <c r="D259" i="39"/>
  <c r="D258" i="39"/>
  <c r="D257" i="39"/>
  <c r="B257" i="39"/>
  <c r="B258" i="39" s="1"/>
  <c r="B259" i="39" s="1"/>
  <c r="B260" i="39" s="1"/>
  <c r="B261" i="39" s="1"/>
  <c r="B262" i="39" s="1"/>
  <c r="B263" i="39" s="1"/>
  <c r="B264" i="39" s="1"/>
  <c r="B265" i="39" s="1"/>
  <c r="D256" i="39"/>
  <c r="D255" i="39"/>
  <c r="B233" i="39"/>
  <c r="C231" i="39"/>
  <c r="B231" i="39"/>
  <c r="C229" i="39"/>
  <c r="B229" i="39"/>
  <c r="C228" i="39"/>
  <c r="B228" i="39"/>
  <c r="C222" i="39"/>
  <c r="D222" i="39" s="1"/>
  <c r="E222" i="39" s="1"/>
  <c r="F222" i="39" s="1"/>
  <c r="F218" i="39"/>
  <c r="C208" i="39"/>
  <c r="D208" i="39" s="1"/>
  <c r="E208" i="39" s="1"/>
  <c r="F208" i="39" s="1"/>
  <c r="F209" i="39" s="1"/>
  <c r="F214" i="39" s="1"/>
  <c r="B182" i="39"/>
  <c r="C182" i="39" s="1"/>
  <c r="E169" i="39"/>
  <c r="C169" i="39"/>
  <c r="D168" i="39"/>
  <c r="B168" i="39"/>
  <c r="E161" i="39"/>
  <c r="D160" i="39"/>
  <c r="H539" i="38"/>
  <c r="ET236" i="1" l="1"/>
  <c r="EX70" i="1"/>
  <c r="ET72" i="1"/>
  <c r="EX72" i="1" s="1"/>
  <c r="ET81" i="1"/>
  <c r="ET71" i="1"/>
  <c r="EX71" i="1" s="1"/>
  <c r="EY479" i="2"/>
  <c r="FC469" i="2"/>
  <c r="EY17" i="4"/>
  <c r="FC17" i="4" s="1"/>
  <c r="FC48" i="2"/>
  <c r="B1245" i="3"/>
  <c r="B1260" i="3"/>
  <c r="B1262" i="3" s="1"/>
  <c r="B1263" i="3" s="1"/>
  <c r="B1240" i="3"/>
  <c r="B1243" i="3" s="1"/>
  <c r="EU468" i="2"/>
  <c r="B1280" i="3"/>
  <c r="B1271" i="3"/>
  <c r="B1273" i="3" s="1"/>
  <c r="B1274" i="3" s="1"/>
  <c r="B169" i="39"/>
  <c r="B170" i="39" s="1"/>
  <c r="O1653" i="3"/>
  <c r="O1652" i="3"/>
  <c r="D161" i="39"/>
  <c r="D162" i="39" s="1"/>
  <c r="D169" i="39"/>
  <c r="D170" i="39" s="1"/>
  <c r="B284" i="39"/>
  <c r="D182" i="39"/>
  <c r="C284" i="39"/>
  <c r="B136" i="39"/>
  <c r="B51" i="38"/>
  <c r="EX74" i="1" l="1"/>
  <c r="EX73" i="1"/>
  <c r="ET251" i="1"/>
  <c r="EX236" i="1"/>
  <c r="EX251" i="1" s="1"/>
  <c r="EX268" i="1" s="1"/>
  <c r="ET89" i="1"/>
  <c r="EX81" i="1"/>
  <c r="EU470" i="2"/>
  <c r="D1263" i="3"/>
  <c r="B1264" i="3"/>
  <c r="P1653" i="3"/>
  <c r="P1652" i="3"/>
  <c r="E182" i="39"/>
  <c r="D284" i="39"/>
  <c r="B453" i="38"/>
  <c r="C453" i="38" s="1"/>
  <c r="C83" i="38"/>
  <c r="C87" i="38" s="1"/>
  <c r="C88" i="38" s="1"/>
  <c r="C75" i="38"/>
  <c r="C79" i="38" s="1"/>
  <c r="C80" i="38" s="1"/>
  <c r="C107" i="38"/>
  <c r="B347" i="38"/>
  <c r="C347" i="38" s="1"/>
  <c r="D347" i="38" s="1"/>
  <c r="G347" i="38" s="1"/>
  <c r="B240" i="38"/>
  <c r="C240" i="38" s="1"/>
  <c r="D240" i="38" s="1"/>
  <c r="F240" i="38" s="1"/>
  <c r="B211" i="38"/>
  <c r="C184" i="38"/>
  <c r="D184" i="38" s="1"/>
  <c r="B182" i="38"/>
  <c r="B181" i="38" s="1"/>
  <c r="B189" i="38" s="1"/>
  <c r="B219" i="38"/>
  <c r="B60" i="38"/>
  <c r="B61" i="38" s="1"/>
  <c r="B368" i="38"/>
  <c r="C368" i="38" s="1"/>
  <c r="B269" i="38"/>
  <c r="C269" i="38" s="1"/>
  <c r="F269" i="38" s="1"/>
  <c r="B160" i="38"/>
  <c r="C160" i="38" s="1"/>
  <c r="E160" i="38" s="1"/>
  <c r="C256" i="38"/>
  <c r="B248" i="38"/>
  <c r="B251" i="38" s="1"/>
  <c r="ET91" i="1" l="1"/>
  <c r="EX89" i="1"/>
  <c r="ET105" i="4"/>
  <c r="ET268" i="1"/>
  <c r="EU526" i="2"/>
  <c r="Q1653" i="3"/>
  <c r="Q1652" i="3"/>
  <c r="E284" i="39"/>
  <c r="F182" i="39"/>
  <c r="F284" i="39" s="1"/>
  <c r="D453" i="38"/>
  <c r="G368" i="38"/>
  <c r="D368" i="38"/>
  <c r="D269" i="38"/>
  <c r="B252" i="38"/>
  <c r="ET122" i="4" l="1"/>
  <c r="ET129" i="4"/>
  <c r="ET104" i="4"/>
  <c r="ET99" i="1"/>
  <c r="EX91" i="1"/>
  <c r="R1653" i="3"/>
  <c r="R1652" i="3"/>
  <c r="E453" i="38"/>
  <c r="H525" i="38"/>
  <c r="D493" i="38"/>
  <c r="E493" i="38" s="1"/>
  <c r="F493" i="38" s="1"/>
  <c r="G493" i="38" s="1"/>
  <c r="H493" i="38" s="1"/>
  <c r="I493" i="38" s="1"/>
  <c r="J493" i="38" s="1"/>
  <c r="D491" i="38"/>
  <c r="H532" i="38"/>
  <c r="H529" i="38"/>
  <c r="H534" i="38" s="1"/>
  <c r="H526" i="38"/>
  <c r="H527" i="38"/>
  <c r="B513" i="38"/>
  <c r="C499" i="38"/>
  <c r="D499" i="38" s="1"/>
  <c r="E499" i="38" s="1"/>
  <c r="F499" i="38" s="1"/>
  <c r="G499" i="38" s="1"/>
  <c r="H499" i="38" s="1"/>
  <c r="I499" i="38" s="1"/>
  <c r="J396" i="38"/>
  <c r="J398" i="38"/>
  <c r="F398" i="38" s="1"/>
  <c r="E398" i="38" s="1"/>
  <c r="B470" i="38"/>
  <c r="B469" i="38"/>
  <c r="B465" i="38"/>
  <c r="C389" i="38"/>
  <c r="D389" i="38" s="1"/>
  <c r="E389" i="38" s="1"/>
  <c r="F389" i="38" s="1"/>
  <c r="G389" i="38" s="1"/>
  <c r="H389" i="38" s="1"/>
  <c r="I389" i="38" s="1"/>
  <c r="J389" i="38" s="1"/>
  <c r="ET284" i="1" l="1"/>
  <c r="EX99" i="1"/>
  <c r="ET539" i="1"/>
  <c r="ET540" i="1" s="1"/>
  <c r="ET538" i="1" s="1"/>
  <c r="ET58" i="4" s="1"/>
  <c r="ET59" i="4" s="1"/>
  <c r="ET61" i="4" s="1"/>
  <c r="S1653" i="3"/>
  <c r="S1652" i="3"/>
  <c r="D210" i="39"/>
  <c r="C210" i="39"/>
  <c r="B210" i="39"/>
  <c r="F210" i="39"/>
  <c r="F211" i="39" s="1"/>
  <c r="F220" i="39" s="1"/>
  <c r="E210" i="39"/>
  <c r="F453" i="38"/>
  <c r="H533" i="38"/>
  <c r="H535" i="38" s="1"/>
  <c r="E491" i="38"/>
  <c r="F491" i="38" s="1"/>
  <c r="G491" i="38" s="1"/>
  <c r="H528" i="38"/>
  <c r="H530" i="38" s="1"/>
  <c r="D519" i="38"/>
  <c r="E519" i="38" s="1"/>
  <c r="G398" i="38"/>
  <c r="ET62" i="4" l="1"/>
  <c r="ET68" i="4"/>
  <c r="EX284" i="1"/>
  <c r="EX291" i="1" s="1"/>
  <c r="EX293" i="1" s="1"/>
  <c r="ET136" i="4"/>
  <c r="ET143" i="4" s="1"/>
  <c r="ET145" i="4" s="1"/>
  <c r="ET291" i="1"/>
  <c r="ET293" i="1" s="1"/>
  <c r="F221" i="39"/>
  <c r="F224" i="39" s="1"/>
  <c r="G453" i="38"/>
  <c r="H491" i="38"/>
  <c r="F519" i="38"/>
  <c r="G519" i="38" s="1"/>
  <c r="H536" i="38"/>
  <c r="H398" i="38"/>
  <c r="ET294" i="1" l="1"/>
  <c r="ET132" i="4"/>
  <c r="H453" i="38"/>
  <c r="B521" i="38"/>
  <c r="D521" i="38"/>
  <c r="C521" i="38"/>
  <c r="E521" i="38"/>
  <c r="F521" i="38"/>
  <c r="G521" i="38"/>
  <c r="I491" i="38"/>
  <c r="H519" i="38"/>
  <c r="H521" i="38" s="1"/>
  <c r="I398" i="38"/>
  <c r="ET131" i="4" l="1"/>
  <c r="ET134" i="4"/>
  <c r="ET147" i="4"/>
  <c r="EX294" i="1"/>
  <c r="I453" i="38"/>
  <c r="J491" i="38"/>
  <c r="I519" i="38"/>
  <c r="I521" i="38" s="1"/>
  <c r="ET149" i="4" l="1"/>
  <c r="ET146" i="4"/>
  <c r="J453" i="38"/>
  <c r="J519" i="38"/>
  <c r="G334" i="38"/>
  <c r="G300" i="38"/>
  <c r="G299" i="38"/>
  <c r="E88" i="38"/>
  <c r="E87" i="38"/>
  <c r="J404" i="38"/>
  <c r="E82" i="38"/>
  <c r="F82" i="38" s="1"/>
  <c r="E80" i="38"/>
  <c r="E79" i="38"/>
  <c r="J395" i="38"/>
  <c r="B183" i="38"/>
  <c r="C183" i="38" s="1"/>
  <c r="D183" i="38" s="1"/>
  <c r="D364" i="38"/>
  <c r="G364" i="38" s="1"/>
  <c r="C364" i="38"/>
  <c r="B364" i="38"/>
  <c r="C156" i="38"/>
  <c r="D265" i="38"/>
  <c r="F265" i="38" s="1"/>
  <c r="B158" i="38"/>
  <c r="J521" i="38" l="1"/>
  <c r="C527" i="38" s="1"/>
  <c r="B550" i="38" s="1"/>
  <c r="B557" i="38" s="1"/>
  <c r="B476" i="38"/>
  <c r="E156" i="38"/>
  <c r="J474" i="38"/>
  <c r="C85" i="38"/>
  <c r="J403" i="38"/>
  <c r="E85" i="38"/>
  <c r="B112" i="39"/>
  <c r="B558" i="38" l="1"/>
  <c r="B564" i="38"/>
  <c r="B565" i="38" s="1"/>
  <c r="B551" i="38"/>
  <c r="C550" i="38"/>
  <c r="J401" i="38"/>
  <c r="D186" i="38"/>
  <c r="C551" i="38" l="1"/>
  <c r="C557" i="38"/>
  <c r="D294" i="38"/>
  <c r="F186" i="38"/>
  <c r="B34" i="39"/>
  <c r="B33" i="39"/>
  <c r="B32" i="39"/>
  <c r="D121" i="38"/>
  <c r="B134" i="38"/>
  <c r="B259" i="38"/>
  <c r="B196" i="38"/>
  <c r="E188" i="38" s="1"/>
  <c r="B187" i="38"/>
  <c r="B194" i="38"/>
  <c r="D113" i="38"/>
  <c r="E217" i="38" s="1"/>
  <c r="D109" i="38"/>
  <c r="E213" i="38" s="1"/>
  <c r="D99" i="38"/>
  <c r="E203" i="38" s="1"/>
  <c r="D98" i="38"/>
  <c r="D90" i="38"/>
  <c r="B33" i="38"/>
  <c r="F285" i="38" s="1"/>
  <c r="J422" i="38"/>
  <c r="B1744" i="3"/>
  <c r="C564" i="38" l="1"/>
  <c r="C565" i="38" s="1"/>
  <c r="C558" i="38"/>
  <c r="B37" i="39"/>
  <c r="G294" i="38"/>
  <c r="G297" i="38" s="1"/>
  <c r="B449" i="38"/>
  <c r="C449" i="38" s="1"/>
  <c r="D449" i="38" s="1"/>
  <c r="E449" i="38" s="1"/>
  <c r="F449" i="38" s="1"/>
  <c r="G449" i="38" s="1"/>
  <c r="H449" i="38" s="1"/>
  <c r="I449" i="38" s="1"/>
  <c r="J449" i="38" s="1"/>
  <c r="C134" i="38"/>
  <c r="E134" i="38" s="1"/>
  <c r="E186" i="38"/>
  <c r="B249" i="38"/>
  <c r="C249" i="38" s="1"/>
  <c r="D249" i="38" s="1"/>
  <c r="B254" i="38"/>
  <c r="B245" i="38"/>
  <c r="B253" i="38"/>
  <c r="E75" i="38"/>
  <c r="J391" i="38"/>
  <c r="E83" i="38"/>
  <c r="E84" i="38" s="1"/>
  <c r="J399" i="38"/>
  <c r="C115" i="39"/>
  <c r="E115" i="39" s="1"/>
  <c r="F115" i="39" s="1"/>
  <c r="E225" i="38"/>
  <c r="E107" i="38"/>
  <c r="C187" i="38"/>
  <c r="D187" i="38" s="1"/>
  <c r="E202" i="38"/>
  <c r="C114" i="39"/>
  <c r="E114" i="39" s="1"/>
  <c r="F114" i="39" s="1"/>
  <c r="B114" i="39" s="1"/>
  <c r="D295" i="38"/>
  <c r="G295" i="38" s="1"/>
  <c r="B246" i="38"/>
  <c r="B264" i="38"/>
  <c r="B230" i="38"/>
  <c r="B231" i="38"/>
  <c r="B195" i="38"/>
  <c r="C211" i="38"/>
  <c r="D211" i="38" s="1"/>
  <c r="B179" i="38"/>
  <c r="L192" i="37"/>
  <c r="K192" i="37"/>
  <c r="J192" i="37"/>
  <c r="I192" i="37"/>
  <c r="H192" i="37"/>
  <c r="G192" i="37"/>
  <c r="F192" i="37"/>
  <c r="E192" i="37"/>
  <c r="D192" i="37"/>
  <c r="C192" i="37"/>
  <c r="B192" i="37"/>
  <c r="B190" i="37"/>
  <c r="C188" i="37"/>
  <c r="D188" i="37" s="1"/>
  <c r="D161" i="37"/>
  <c r="E161" i="37"/>
  <c r="F161" i="37"/>
  <c r="G161" i="37"/>
  <c r="H161" i="37"/>
  <c r="I161" i="37"/>
  <c r="J161" i="37"/>
  <c r="K161" i="37"/>
  <c r="L161" i="37"/>
  <c r="C161" i="37"/>
  <c r="B159" i="37"/>
  <c r="C157" i="37"/>
  <c r="D157" i="37" s="1"/>
  <c r="E157" i="37" s="1"/>
  <c r="F157" i="37" s="1"/>
  <c r="G157" i="37" s="1"/>
  <c r="H157" i="37" s="1"/>
  <c r="I157" i="37" s="1"/>
  <c r="J157" i="37" s="1"/>
  <c r="K157" i="37" s="1"/>
  <c r="L157" i="37" s="1"/>
  <c r="L159" i="37" s="1"/>
  <c r="B161" i="37"/>
  <c r="B146" i="37"/>
  <c r="B147" i="37" s="1"/>
  <c r="B150" i="37" s="1"/>
  <c r="B142" i="37"/>
  <c r="B141" i="37"/>
  <c r="B140" i="37"/>
  <c r="B135" i="37"/>
  <c r="J112" i="37"/>
  <c r="B122" i="37"/>
  <c r="C122" i="37" s="1"/>
  <c r="D122" i="37" s="1"/>
  <c r="E122" i="37" s="1"/>
  <c r="F122" i="37" s="1"/>
  <c r="G122" i="37" s="1"/>
  <c r="B118" i="37"/>
  <c r="C116" i="37"/>
  <c r="C118" i="37" s="1"/>
  <c r="I112" i="37"/>
  <c r="H112" i="37"/>
  <c r="G112" i="37"/>
  <c r="F112" i="37"/>
  <c r="E113" i="37"/>
  <c r="F113" i="37" s="1"/>
  <c r="G113" i="37" s="1"/>
  <c r="H113" i="37" s="1"/>
  <c r="I113" i="37" s="1"/>
  <c r="J113" i="37" s="1"/>
  <c r="D110" i="37"/>
  <c r="E110" i="37"/>
  <c r="J96" i="37"/>
  <c r="C99" i="37"/>
  <c r="B99" i="37"/>
  <c r="E86" i="38" l="1"/>
  <c r="G296" i="38"/>
  <c r="G298" i="38" s="1"/>
  <c r="F249" i="38"/>
  <c r="D188" i="38"/>
  <c r="F187" i="38"/>
  <c r="F188" i="38" s="1"/>
  <c r="C179" i="38"/>
  <c r="D179" i="38" s="1"/>
  <c r="F179" i="38" s="1"/>
  <c r="D299" i="38"/>
  <c r="D297" i="38" s="1"/>
  <c r="D296" i="38"/>
  <c r="D159" i="37"/>
  <c r="E159" i="37"/>
  <c r="C159" i="37"/>
  <c r="K159" i="37"/>
  <c r="C190" i="37"/>
  <c r="H159" i="37"/>
  <c r="G159" i="37"/>
  <c r="F159" i="37"/>
  <c r="J159" i="37"/>
  <c r="I159" i="37"/>
  <c r="D190" i="37"/>
  <c r="E188" i="37"/>
  <c r="B143" i="37"/>
  <c r="D116" i="37"/>
  <c r="E116" i="37" s="1"/>
  <c r="E118" i="37" s="1"/>
  <c r="F211" i="38" l="1"/>
  <c r="D298" i="38"/>
  <c r="D300" i="38" s="1"/>
  <c r="B237" i="38"/>
  <c r="B244" i="38"/>
  <c r="F116" i="37"/>
  <c r="F118" i="37" s="1"/>
  <c r="D118" i="37"/>
  <c r="F188" i="37"/>
  <c r="E190" i="37"/>
  <c r="G116" i="37" l="1"/>
  <c r="G118" i="37" s="1"/>
  <c r="F190" i="37"/>
  <c r="G188" i="37"/>
  <c r="G30" i="37"/>
  <c r="H30" i="37" s="1"/>
  <c r="I30" i="37" s="1"/>
  <c r="J30" i="37" s="1"/>
  <c r="J9" i="37"/>
  <c r="J10" i="37" s="1"/>
  <c r="ER138" i="2"/>
  <c r="EW139" i="2" s="1"/>
  <c r="ER142" i="2"/>
  <c r="C1868" i="3"/>
  <c r="B1874" i="3"/>
  <c r="B1876" i="3" s="1"/>
  <c r="B1884" i="3" s="1"/>
  <c r="C1907" i="3"/>
  <c r="D1834" i="3"/>
  <c r="E1834" i="3" s="1"/>
  <c r="B1683" i="3"/>
  <c r="B1687" i="3" s="1"/>
  <c r="FH20" i="36"/>
  <c r="FI20" i="36" s="1"/>
  <c r="FJ20" i="36" s="1"/>
  <c r="FK20" i="36" s="1"/>
  <c r="FL20" i="36" s="1"/>
  <c r="FM20" i="36" s="1"/>
  <c r="FH11" i="36"/>
  <c r="FC20" i="36"/>
  <c r="FC11" i="36"/>
  <c r="FK363" i="36"/>
  <c r="FL363" i="36" s="1"/>
  <c r="FM363" i="36" s="1"/>
  <c r="FH188" i="35"/>
  <c r="FC188" i="35"/>
  <c r="FB165" i="35"/>
  <c r="FH146" i="35"/>
  <c r="FH142" i="35"/>
  <c r="FH141" i="35"/>
  <c r="FH131" i="35"/>
  <c r="FC146" i="35"/>
  <c r="FC142" i="35"/>
  <c r="FC141" i="35"/>
  <c r="FC131" i="35"/>
  <c r="FH109" i="35"/>
  <c r="FH108" i="35"/>
  <c r="FC109" i="35"/>
  <c r="FC108" i="35"/>
  <c r="FH119" i="35"/>
  <c r="FH118" i="35"/>
  <c r="FH116" i="35"/>
  <c r="FH115" i="35"/>
  <c r="FH114" i="35"/>
  <c r="FH113" i="35"/>
  <c r="FC119" i="35"/>
  <c r="FC118" i="35"/>
  <c r="FC116" i="35"/>
  <c r="FC115" i="35"/>
  <c r="FC114" i="35"/>
  <c r="FC113" i="35"/>
  <c r="FH102" i="35"/>
  <c r="FH101" i="35"/>
  <c r="FC102" i="35"/>
  <c r="FC101" i="35"/>
  <c r="FB103" i="35"/>
  <c r="FG103" i="35" s="1"/>
  <c r="FA103" i="35"/>
  <c r="FF103" i="35" s="1"/>
  <c r="EZ103" i="35"/>
  <c r="FE103" i="35" s="1"/>
  <c r="EY103" i="35"/>
  <c r="EX86" i="35"/>
  <c r="FH78" i="35"/>
  <c r="FH72" i="35"/>
  <c r="FH71" i="35"/>
  <c r="FH68" i="35"/>
  <c r="FC78" i="35"/>
  <c r="FC72" i="35"/>
  <c r="FC71" i="35"/>
  <c r="FC68" i="35"/>
  <c r="FG5" i="35"/>
  <c r="FF5" i="35"/>
  <c r="FE5" i="35"/>
  <c r="FD5" i="35"/>
  <c r="EZ5" i="35"/>
  <c r="FA5" i="35"/>
  <c r="FB5" i="35"/>
  <c r="EY5" i="35"/>
  <c r="FG220" i="35"/>
  <c r="FF220" i="35"/>
  <c r="FE220" i="35"/>
  <c r="FD220" i="35"/>
  <c r="FG165" i="35"/>
  <c r="FF165" i="35"/>
  <c r="FE165" i="35"/>
  <c r="FD165" i="35"/>
  <c r="FG98" i="35"/>
  <c r="FF98" i="35"/>
  <c r="FE98" i="35"/>
  <c r="FD98" i="35"/>
  <c r="FG39" i="35"/>
  <c r="FF39" i="35"/>
  <c r="FE39" i="35"/>
  <c r="FD39" i="35"/>
  <c r="FH39" i="35" s="1"/>
  <c r="FG37" i="35"/>
  <c r="FF37" i="35"/>
  <c r="FE37" i="35"/>
  <c r="FD37" i="35"/>
  <c r="FH37" i="35" s="1"/>
  <c r="FG35" i="35"/>
  <c r="FF35" i="35"/>
  <c r="FE35" i="35"/>
  <c r="FD35" i="35"/>
  <c r="FH35" i="35" s="1"/>
  <c r="FG34" i="35"/>
  <c r="FF34" i="35"/>
  <c r="FE34" i="35"/>
  <c r="FD34" i="35"/>
  <c r="FH34" i="35" s="1"/>
  <c r="FG33" i="35"/>
  <c r="FF33" i="35"/>
  <c r="FE33" i="35"/>
  <c r="FD33" i="35"/>
  <c r="FH33" i="35" s="1"/>
  <c r="FG32" i="35"/>
  <c r="FG36" i="35" s="1"/>
  <c r="FG38" i="35" s="1"/>
  <c r="FF32" i="35"/>
  <c r="FF36" i="35" s="1"/>
  <c r="FE32" i="35"/>
  <c r="FE36" i="35" s="1"/>
  <c r="FD32" i="35"/>
  <c r="FD36" i="35" s="1"/>
  <c r="FG27" i="35"/>
  <c r="FF27" i="35"/>
  <c r="FE27" i="35"/>
  <c r="FD27" i="35"/>
  <c r="FH27" i="35" s="1"/>
  <c r="FG24" i="35"/>
  <c r="FF24" i="35"/>
  <c r="FE24" i="35"/>
  <c r="FD24" i="35"/>
  <c r="FG23" i="35"/>
  <c r="FF23" i="35"/>
  <c r="FE23" i="35"/>
  <c r="FD23" i="35"/>
  <c r="FG22" i="35"/>
  <c r="FF22" i="35"/>
  <c r="FE22" i="35"/>
  <c r="FD22" i="35"/>
  <c r="FB220" i="35"/>
  <c r="FA220" i="35"/>
  <c r="EZ220" i="35"/>
  <c r="EY220" i="35"/>
  <c r="FA165" i="35"/>
  <c r="EZ165" i="35"/>
  <c r="EY165" i="35"/>
  <c r="FB98" i="35"/>
  <c r="FA98" i="35"/>
  <c r="EZ98" i="35"/>
  <c r="EY98" i="35"/>
  <c r="FB39" i="35"/>
  <c r="FA39" i="35"/>
  <c r="EZ39" i="35"/>
  <c r="EY39" i="35"/>
  <c r="FC39" i="35" s="1"/>
  <c r="FB37" i="35"/>
  <c r="FA37" i="35"/>
  <c r="EZ37" i="35"/>
  <c r="EY37" i="35"/>
  <c r="FC37" i="35" s="1"/>
  <c r="FB35" i="35"/>
  <c r="FA35" i="35"/>
  <c r="EZ35" i="35"/>
  <c r="EY35" i="35"/>
  <c r="FC35" i="35" s="1"/>
  <c r="FB34" i="35"/>
  <c r="FA34" i="35"/>
  <c r="EZ34" i="35"/>
  <c r="EY34" i="35"/>
  <c r="FC34" i="35" s="1"/>
  <c r="FB33" i="35"/>
  <c r="FA33" i="35"/>
  <c r="EZ33" i="35"/>
  <c r="EY33" i="35"/>
  <c r="FC33" i="35" s="1"/>
  <c r="FB32" i="35"/>
  <c r="FB36" i="35" s="1"/>
  <c r="FA32" i="35"/>
  <c r="FA36" i="35" s="1"/>
  <c r="EZ32" i="35"/>
  <c r="EZ36" i="35" s="1"/>
  <c r="EY32" i="35"/>
  <c r="FB27" i="35"/>
  <c r="FA27" i="35"/>
  <c r="EZ27" i="35"/>
  <c r="EY27" i="35"/>
  <c r="FC27" i="35" s="1"/>
  <c r="FB24" i="35"/>
  <c r="FA24" i="35"/>
  <c r="EZ24" i="35"/>
  <c r="EY24" i="35"/>
  <c r="FB23" i="35"/>
  <c r="FA23" i="35"/>
  <c r="EZ23" i="35"/>
  <c r="EY23" i="35"/>
  <c r="FB22" i="35"/>
  <c r="FA22" i="35"/>
  <c r="EZ22" i="35"/>
  <c r="EY22" i="35"/>
  <c r="FH584" i="36"/>
  <c r="FH583" i="36"/>
  <c r="FH582" i="36"/>
  <c r="FC584" i="36"/>
  <c r="FC583" i="36"/>
  <c r="FC582" i="36"/>
  <c r="FH531" i="36"/>
  <c r="FC531" i="36"/>
  <c r="FB370" i="36"/>
  <c r="FG370" i="36" s="1"/>
  <c r="FA370" i="36"/>
  <c r="FF370" i="36" s="1"/>
  <c r="EZ370" i="36"/>
  <c r="FE370" i="36" s="1"/>
  <c r="EY370" i="36"/>
  <c r="FD370" i="36" s="1"/>
  <c r="FB330" i="36"/>
  <c r="FG330" i="36" s="1"/>
  <c r="FA330" i="36"/>
  <c r="FF330" i="36" s="1"/>
  <c r="EZ330" i="36"/>
  <c r="EY330" i="36"/>
  <c r="FD330" i="36" s="1"/>
  <c r="FB326" i="36"/>
  <c r="FG326" i="36" s="1"/>
  <c r="FA326" i="36"/>
  <c r="EZ326" i="36"/>
  <c r="FE326" i="36" s="1"/>
  <c r="EY326" i="36"/>
  <c r="FG328" i="36"/>
  <c r="FF328" i="36"/>
  <c r="FE328" i="36"/>
  <c r="FD328" i="36"/>
  <c r="EY308" i="36"/>
  <c r="FD308" i="36" s="1"/>
  <c r="FB274" i="36"/>
  <c r="FG274" i="36" s="1"/>
  <c r="FA274" i="36"/>
  <c r="FF274" i="36" s="1"/>
  <c r="EZ274" i="36"/>
  <c r="FE274" i="36" s="1"/>
  <c r="EY274" i="36"/>
  <c r="FD274" i="36" s="1"/>
  <c r="FB263" i="36"/>
  <c r="FG263" i="36" s="1"/>
  <c r="FA263" i="36"/>
  <c r="FF263" i="36" s="1"/>
  <c r="EZ263" i="36"/>
  <c r="FE263" i="36" s="1"/>
  <c r="EY263" i="36"/>
  <c r="FD263" i="36" s="1"/>
  <c r="FB233" i="36"/>
  <c r="FG233" i="36" s="1"/>
  <c r="FA233" i="36"/>
  <c r="FF233" i="36" s="1"/>
  <c r="EZ233" i="36"/>
  <c r="FE233" i="36" s="1"/>
  <c r="EY233" i="36"/>
  <c r="FD233" i="36" s="1"/>
  <c r="FB209" i="36"/>
  <c r="FG209" i="36" s="1"/>
  <c r="FA209" i="36"/>
  <c r="FF209" i="36" s="1"/>
  <c r="EZ209" i="36"/>
  <c r="FE209" i="36" s="1"/>
  <c r="EY209" i="36"/>
  <c r="FD209" i="36" s="1"/>
  <c r="FB189" i="36"/>
  <c r="FG189" i="36" s="1"/>
  <c r="FA189" i="36"/>
  <c r="FF189" i="36" s="1"/>
  <c r="EZ189" i="36"/>
  <c r="FE189" i="36" s="1"/>
  <c r="EY189" i="36"/>
  <c r="FD189" i="36" s="1"/>
  <c r="FG187" i="36"/>
  <c r="FF187" i="36"/>
  <c r="FE187" i="36"/>
  <c r="FD187" i="36"/>
  <c r="FF101" i="36"/>
  <c r="FE101" i="36" s="1"/>
  <c r="FD101" i="36" s="1"/>
  <c r="FA101" i="36"/>
  <c r="EZ101" i="36" s="1"/>
  <c r="EY101" i="36" s="1"/>
  <c r="FG580" i="36"/>
  <c r="FF580" i="36"/>
  <c r="FE580" i="36"/>
  <c r="FD580" i="36"/>
  <c r="FG495" i="36"/>
  <c r="FG493" i="36" s="1"/>
  <c r="FF495" i="36"/>
  <c r="FF493" i="36" s="1"/>
  <c r="FE495" i="36"/>
  <c r="FE493" i="36" s="1"/>
  <c r="FD495" i="36"/>
  <c r="FD493" i="36" s="1"/>
  <c r="FH493" i="36" s="1"/>
  <c r="FG490" i="36"/>
  <c r="FF490" i="36"/>
  <c r="FE490" i="36"/>
  <c r="FD490" i="36"/>
  <c r="FG469" i="36"/>
  <c r="FF469" i="36"/>
  <c r="FE469" i="36"/>
  <c r="FD469" i="36"/>
  <c r="FG457" i="36"/>
  <c r="FF457" i="36"/>
  <c r="FE457" i="36"/>
  <c r="FD457" i="36"/>
  <c r="FG48" i="36"/>
  <c r="FG17" i="35" s="1"/>
  <c r="FF48" i="36"/>
  <c r="FF17" i="35" s="1"/>
  <c r="FE48" i="36"/>
  <c r="FE17" i="35" s="1"/>
  <c r="FD48" i="36"/>
  <c r="FD17" i="35" s="1"/>
  <c r="FG29" i="36"/>
  <c r="FF29" i="36"/>
  <c r="FE29" i="36"/>
  <c r="FD29" i="36"/>
  <c r="FB580" i="36"/>
  <c r="FA580" i="36"/>
  <c r="EZ580" i="36"/>
  <c r="EY580" i="36"/>
  <c r="FB495" i="36"/>
  <c r="FB493" i="36" s="1"/>
  <c r="FA495" i="36"/>
  <c r="FA493" i="36" s="1"/>
  <c r="EZ495" i="36"/>
  <c r="EZ493" i="36" s="1"/>
  <c r="EY495" i="36"/>
  <c r="EY493" i="36" s="1"/>
  <c r="FC493" i="36" s="1"/>
  <c r="FB490" i="36"/>
  <c r="FA490" i="36"/>
  <c r="EZ490" i="36"/>
  <c r="EY490" i="36"/>
  <c r="FB469" i="36"/>
  <c r="FA469" i="36"/>
  <c r="EZ469" i="36"/>
  <c r="EY469" i="36"/>
  <c r="FB457" i="36"/>
  <c r="FA457" i="36"/>
  <c r="EZ457" i="36"/>
  <c r="EY457" i="36"/>
  <c r="FB48" i="36"/>
  <c r="FB17" i="35" s="1"/>
  <c r="FA48" i="36"/>
  <c r="FA17" i="35" s="1"/>
  <c r="EZ48" i="36"/>
  <c r="EZ17" i="35" s="1"/>
  <c r="EY48" i="36"/>
  <c r="EY17" i="35" s="1"/>
  <c r="FB29" i="36"/>
  <c r="FA29" i="36"/>
  <c r="EZ29" i="36"/>
  <c r="EY29" i="36"/>
  <c r="EG662" i="36"/>
  <c r="EG25" i="35" s="1"/>
  <c r="EF662" i="36"/>
  <c r="EE662" i="36"/>
  <c r="EC662" i="36"/>
  <c r="EB662" i="36"/>
  <c r="EA662" i="36"/>
  <c r="DZ662" i="36"/>
  <c r="DX662" i="36"/>
  <c r="DW662" i="36"/>
  <c r="DV662" i="36"/>
  <c r="DU662" i="36"/>
  <c r="EG661" i="36"/>
  <c r="EF661" i="36"/>
  <c r="EE661" i="36"/>
  <c r="EC661" i="36"/>
  <c r="EB661" i="36"/>
  <c r="EA661" i="36"/>
  <c r="DZ661" i="36"/>
  <c r="DX661" i="36"/>
  <c r="DW661" i="36"/>
  <c r="DV661" i="36"/>
  <c r="DU661" i="36"/>
  <c r="EG660" i="36"/>
  <c r="EG23" i="35" s="1"/>
  <c r="EF660" i="36"/>
  <c r="EE660" i="36"/>
  <c r="EC660" i="36"/>
  <c r="EB660" i="36"/>
  <c r="EA660" i="36"/>
  <c r="DZ660" i="36"/>
  <c r="DX660" i="36"/>
  <c r="DW660" i="36"/>
  <c r="DV660" i="36"/>
  <c r="DU660" i="36"/>
  <c r="EG659" i="36"/>
  <c r="EG22" i="35" s="1"/>
  <c r="EF659" i="36"/>
  <c r="EE659" i="36"/>
  <c r="EC659" i="36"/>
  <c r="EB659" i="36"/>
  <c r="EA659" i="36"/>
  <c r="DZ659" i="36"/>
  <c r="DX659" i="36"/>
  <c r="DW659" i="36"/>
  <c r="DV659" i="36"/>
  <c r="DU659" i="36"/>
  <c r="EJ636" i="36"/>
  <c r="EK636" i="36" s="1"/>
  <c r="EL636" i="36" s="1"/>
  <c r="EG636" i="36"/>
  <c r="EH636" i="36" s="1"/>
  <c r="EF636" i="36"/>
  <c r="EE636" i="36"/>
  <c r="EC636" i="36"/>
  <c r="EB636" i="36"/>
  <c r="EA636" i="36"/>
  <c r="DZ636" i="36"/>
  <c r="DX636" i="36"/>
  <c r="DW636" i="36"/>
  <c r="DV636" i="36"/>
  <c r="DU636" i="36"/>
  <c r="EG634" i="36"/>
  <c r="EF634" i="36"/>
  <c r="EE634" i="36"/>
  <c r="EC634" i="36"/>
  <c r="EB634" i="36"/>
  <c r="EA634" i="36"/>
  <c r="DZ634" i="36"/>
  <c r="DX634" i="36"/>
  <c r="DW634" i="36"/>
  <c r="DV634" i="36"/>
  <c r="DU634" i="36"/>
  <c r="DY634" i="36" s="1"/>
  <c r="EG633" i="36"/>
  <c r="EF633" i="36"/>
  <c r="EE633" i="36"/>
  <c r="EC633" i="36"/>
  <c r="EB633" i="36"/>
  <c r="EA633" i="36"/>
  <c r="DZ633" i="36"/>
  <c r="DX633" i="36"/>
  <c r="DW633" i="36"/>
  <c r="DV633" i="36"/>
  <c r="DU633" i="36"/>
  <c r="FM632" i="36"/>
  <c r="FL632" i="36"/>
  <c r="FK632" i="36"/>
  <c r="FJ632" i="36"/>
  <c r="FI632" i="36"/>
  <c r="FH632" i="36"/>
  <c r="FC632" i="36"/>
  <c r="EX632" i="36"/>
  <c r="ES632" i="36"/>
  <c r="EM632" i="36"/>
  <c r="EL632" i="36"/>
  <c r="EK632" i="36"/>
  <c r="EJ632" i="36"/>
  <c r="EN632" i="36" s="1"/>
  <c r="EH632" i="36"/>
  <c r="EF630" i="36"/>
  <c r="EE630" i="36"/>
  <c r="EC630" i="36"/>
  <c r="EB630" i="36"/>
  <c r="EA630" i="36"/>
  <c r="DZ630" i="36"/>
  <c r="ED630" i="36" s="1"/>
  <c r="DX630" i="36"/>
  <c r="DW630" i="36"/>
  <c r="DV630" i="36"/>
  <c r="DU630" i="36"/>
  <c r="EX608" i="36"/>
  <c r="FC608" i="36" s="1"/>
  <c r="FH608" i="36" s="1"/>
  <c r="FI608" i="36" s="1"/>
  <c r="FJ608" i="36" s="1"/>
  <c r="FK608" i="36" s="1"/>
  <c r="FL608" i="36" s="1"/>
  <c r="FM608" i="36" s="1"/>
  <c r="ER588" i="36"/>
  <c r="EQ588" i="36"/>
  <c r="EP588" i="36"/>
  <c r="EO588" i="36"/>
  <c r="EM588" i="36"/>
  <c r="EL588" i="36"/>
  <c r="EK588" i="36"/>
  <c r="EJ588" i="36"/>
  <c r="EH588" i="36"/>
  <c r="EG588" i="36"/>
  <c r="EF588" i="36"/>
  <c r="EE588" i="36"/>
  <c r="EC588" i="36"/>
  <c r="EB588" i="36"/>
  <c r="EA588" i="36"/>
  <c r="DZ588" i="36"/>
  <c r="DX588" i="36"/>
  <c r="DW588" i="36"/>
  <c r="DV588" i="36"/>
  <c r="DU588" i="36"/>
  <c r="DS588" i="36"/>
  <c r="EX584" i="36"/>
  <c r="ER584" i="36"/>
  <c r="EM584" i="36"/>
  <c r="EL584" i="36"/>
  <c r="EK584" i="36"/>
  <c r="EJ584" i="36"/>
  <c r="EH584" i="36"/>
  <c r="EG584" i="36"/>
  <c r="EF584" i="36"/>
  <c r="EE584" i="36"/>
  <c r="EX583" i="36"/>
  <c r="ER583" i="36"/>
  <c r="EQ583" i="36"/>
  <c r="EP583" i="36"/>
  <c r="EO583" i="36"/>
  <c r="EM583" i="36"/>
  <c r="EL583" i="36"/>
  <c r="EK583" i="36"/>
  <c r="EJ583" i="36"/>
  <c r="EH583" i="36"/>
  <c r="EG583" i="36"/>
  <c r="EF583" i="36"/>
  <c r="EE583" i="36"/>
  <c r="EX582" i="36"/>
  <c r="ER582" i="36"/>
  <c r="EQ582" i="36"/>
  <c r="EM582" i="36"/>
  <c r="EL582" i="36"/>
  <c r="EK582" i="36"/>
  <c r="EJ582" i="36"/>
  <c r="EH582" i="36"/>
  <c r="EG582" i="36"/>
  <c r="EF582" i="36"/>
  <c r="EE582" i="36"/>
  <c r="EW580" i="36"/>
  <c r="EV580" i="36"/>
  <c r="EU580" i="36"/>
  <c r="ET580" i="36"/>
  <c r="ER580" i="36"/>
  <c r="EQ580" i="36"/>
  <c r="EP580" i="36"/>
  <c r="EO580" i="36"/>
  <c r="EM580" i="36"/>
  <c r="EL580" i="36"/>
  <c r="EK580" i="36"/>
  <c r="EJ580" i="36"/>
  <c r="EH580" i="36"/>
  <c r="EG580" i="36"/>
  <c r="EF580" i="36"/>
  <c r="EE580" i="36"/>
  <c r="ER573" i="36"/>
  <c r="EQ573" i="36"/>
  <c r="EP573" i="36"/>
  <c r="EO573" i="36"/>
  <c r="EO589" i="36" s="1"/>
  <c r="EM573" i="36"/>
  <c r="EL573" i="36"/>
  <c r="EL579" i="36" s="1"/>
  <c r="EK573" i="36"/>
  <c r="EJ573" i="36"/>
  <c r="EH573" i="36"/>
  <c r="EG573" i="36"/>
  <c r="EG589" i="36" s="1"/>
  <c r="EF573" i="36"/>
  <c r="EF579" i="36" s="1"/>
  <c r="EE573" i="36"/>
  <c r="EC573" i="36"/>
  <c r="EB573" i="36"/>
  <c r="EA573" i="36"/>
  <c r="DZ573" i="36"/>
  <c r="DX573" i="36"/>
  <c r="DW573" i="36"/>
  <c r="DV573" i="36"/>
  <c r="DU573" i="36"/>
  <c r="EF562" i="36"/>
  <c r="EG562" i="36" s="1"/>
  <c r="EH562" i="36" s="1"/>
  <c r="DV562" i="36"/>
  <c r="DW562" i="36" s="1"/>
  <c r="DX562" i="36" s="1"/>
  <c r="DZ562" i="36" s="1"/>
  <c r="EA562" i="36" s="1"/>
  <c r="EB562" i="36" s="1"/>
  <c r="EC562" i="36" s="1"/>
  <c r="ER547" i="36"/>
  <c r="EQ547" i="36"/>
  <c r="EP547" i="36"/>
  <c r="EO547" i="36"/>
  <c r="EM547" i="36"/>
  <c r="EL547" i="36"/>
  <c r="EK547" i="36"/>
  <c r="EJ547" i="36"/>
  <c r="EH547" i="36"/>
  <c r="EG547" i="36"/>
  <c r="EF547" i="36"/>
  <c r="EE547" i="36"/>
  <c r="EF543" i="36"/>
  <c r="EG543" i="36" s="1"/>
  <c r="EH543" i="36" s="1"/>
  <c r="EA543" i="36"/>
  <c r="EB543" i="36" s="1"/>
  <c r="EC543" i="36" s="1"/>
  <c r="DV543" i="36"/>
  <c r="DW543" i="36" s="1"/>
  <c r="DX543" i="36" s="1"/>
  <c r="DU540" i="36"/>
  <c r="EX531" i="36"/>
  <c r="FM495" i="36"/>
  <c r="FL495" i="36"/>
  <c r="FK495" i="36"/>
  <c r="FJ495" i="36"/>
  <c r="FI495" i="36"/>
  <c r="EW495" i="36"/>
  <c r="EW493" i="36" s="1"/>
  <c r="EV495" i="36"/>
  <c r="EV493" i="36" s="1"/>
  <c r="EU495" i="36"/>
  <c r="EU493" i="36" s="1"/>
  <c r="ET495" i="36"/>
  <c r="ET493" i="36" s="1"/>
  <c r="EX493" i="36" s="1"/>
  <c r="ER495" i="36"/>
  <c r="ER493" i="36" s="1"/>
  <c r="EQ495" i="36"/>
  <c r="EQ493" i="36" s="1"/>
  <c r="EP495" i="36"/>
  <c r="EP493" i="36" s="1"/>
  <c r="EO495" i="36"/>
  <c r="EM495" i="36"/>
  <c r="EL495" i="36"/>
  <c r="EK495" i="36"/>
  <c r="EJ495" i="36"/>
  <c r="EH495" i="36"/>
  <c r="EG495" i="36"/>
  <c r="EF495" i="36"/>
  <c r="EE495" i="36"/>
  <c r="EC495" i="36"/>
  <c r="EB495" i="36"/>
  <c r="EA495" i="36"/>
  <c r="DZ495" i="36"/>
  <c r="FM490" i="36"/>
  <c r="FL490" i="36"/>
  <c r="FK490" i="36"/>
  <c r="FJ490" i="36"/>
  <c r="FI490" i="36"/>
  <c r="EW490" i="36"/>
  <c r="EV490" i="36"/>
  <c r="EU490" i="36"/>
  <c r="ET490" i="36"/>
  <c r="ER490" i="36"/>
  <c r="EQ490" i="36"/>
  <c r="EP490" i="36"/>
  <c r="EO490" i="36"/>
  <c r="EM490" i="36"/>
  <c r="EL490" i="36"/>
  <c r="EK490" i="36"/>
  <c r="EJ490" i="36"/>
  <c r="EH490" i="36"/>
  <c r="EG490" i="36"/>
  <c r="EF490" i="36"/>
  <c r="EE490" i="36"/>
  <c r="EC490" i="36"/>
  <c r="EB490" i="36"/>
  <c r="EA490" i="36"/>
  <c r="DZ490" i="36"/>
  <c r="ER483" i="36"/>
  <c r="ER67" i="36" s="1"/>
  <c r="ER43" i="35" s="1"/>
  <c r="EQ483" i="36"/>
  <c r="EQ67" i="36" s="1"/>
  <c r="EQ43" i="35" s="1"/>
  <c r="EP483" i="36"/>
  <c r="EP67" i="36" s="1"/>
  <c r="EP43" i="35" s="1"/>
  <c r="EO483" i="36"/>
  <c r="EO67" i="36" s="1"/>
  <c r="EO43" i="35" s="1"/>
  <c r="EM483" i="36"/>
  <c r="EM67" i="36" s="1"/>
  <c r="EM43" i="35" s="1"/>
  <c r="EL483" i="36"/>
  <c r="EL67" i="36" s="1"/>
  <c r="EL43" i="35" s="1"/>
  <c r="EK483" i="36"/>
  <c r="EK67" i="36" s="1"/>
  <c r="EK43" i="35" s="1"/>
  <c r="EJ483" i="36"/>
  <c r="EH483" i="36"/>
  <c r="EH67" i="36" s="1"/>
  <c r="EH43" i="35" s="1"/>
  <c r="EG483" i="36"/>
  <c r="EG67" i="36" s="1"/>
  <c r="EG43" i="35" s="1"/>
  <c r="EF483" i="36"/>
  <c r="EF67" i="36" s="1"/>
  <c r="EF43" i="35" s="1"/>
  <c r="EE483" i="36"/>
  <c r="EE67" i="36" s="1"/>
  <c r="EE43" i="35" s="1"/>
  <c r="EC483" i="36"/>
  <c r="EC67" i="36" s="1"/>
  <c r="EC43" i="35" s="1"/>
  <c r="EB483" i="36"/>
  <c r="EB67" i="36" s="1"/>
  <c r="EB43" i="35" s="1"/>
  <c r="EA483" i="36"/>
  <c r="EA67" i="36" s="1"/>
  <c r="EA43" i="35" s="1"/>
  <c r="DZ483" i="36"/>
  <c r="EW469" i="36"/>
  <c r="EV469" i="36"/>
  <c r="EU469" i="36"/>
  <c r="ET469" i="36"/>
  <c r="EH469" i="36"/>
  <c r="EG469" i="36"/>
  <c r="EF469" i="36"/>
  <c r="EE469" i="36"/>
  <c r="EC469" i="36"/>
  <c r="EB469" i="36"/>
  <c r="EA469" i="36"/>
  <c r="DZ469" i="36"/>
  <c r="DX469" i="36"/>
  <c r="DX470" i="36" s="1"/>
  <c r="DW469" i="36"/>
  <c r="DW470" i="36" s="1"/>
  <c r="DV469" i="36"/>
  <c r="DV470" i="36" s="1"/>
  <c r="DU469" i="36"/>
  <c r="EW457" i="36"/>
  <c r="EV457" i="36"/>
  <c r="EU457" i="36"/>
  <c r="ET457" i="36"/>
  <c r="ER457" i="36"/>
  <c r="EQ457" i="36"/>
  <c r="EP457" i="36"/>
  <c r="EO457" i="36"/>
  <c r="ER446" i="36"/>
  <c r="EQ446" i="36"/>
  <c r="EP446" i="36"/>
  <c r="EO446" i="36"/>
  <c r="EM446" i="36"/>
  <c r="EL446" i="36"/>
  <c r="EK446" i="36"/>
  <c r="EJ446" i="36"/>
  <c r="EH446" i="36"/>
  <c r="EG446" i="36"/>
  <c r="EF446" i="36"/>
  <c r="EE446" i="36"/>
  <c r="EC446" i="36"/>
  <c r="EB446" i="36"/>
  <c r="EA446" i="36"/>
  <c r="DZ446" i="36"/>
  <c r="DX446" i="36"/>
  <c r="DW446" i="36"/>
  <c r="DV446" i="36"/>
  <c r="DU446" i="36"/>
  <c r="ER435" i="36"/>
  <c r="EQ435" i="36"/>
  <c r="EP435" i="36"/>
  <c r="EO435" i="36"/>
  <c r="EM435" i="36"/>
  <c r="EL435" i="36"/>
  <c r="EK435" i="36"/>
  <c r="EJ435" i="36"/>
  <c r="EH435" i="36"/>
  <c r="EG435" i="36"/>
  <c r="EF435" i="36"/>
  <c r="EE435" i="36"/>
  <c r="EC435" i="36"/>
  <c r="EB435" i="36"/>
  <c r="EA435" i="36"/>
  <c r="DZ435" i="36"/>
  <c r="DX435" i="36"/>
  <c r="DW435" i="36"/>
  <c r="DV435" i="36"/>
  <c r="DU435" i="36"/>
  <c r="ER433" i="36"/>
  <c r="EQ433" i="36"/>
  <c r="EP433" i="36"/>
  <c r="EO433" i="36"/>
  <c r="EM433" i="36"/>
  <c r="EL433" i="36"/>
  <c r="EK433" i="36"/>
  <c r="EJ433" i="36"/>
  <c r="EH433" i="36"/>
  <c r="EG433" i="36"/>
  <c r="EF433" i="36"/>
  <c r="EE433" i="36"/>
  <c r="EB433" i="36"/>
  <c r="EA433" i="36"/>
  <c r="DX433" i="36"/>
  <c r="DV433" i="36"/>
  <c r="ER431" i="36"/>
  <c r="ES431" i="36" s="1"/>
  <c r="EQ431" i="36"/>
  <c r="ER428" i="36" s="1"/>
  <c r="EP431" i="36"/>
  <c r="EQ428" i="36" s="1"/>
  <c r="EO431" i="36"/>
  <c r="EM431" i="36"/>
  <c r="EN431" i="36" s="1"/>
  <c r="EO428" i="36" s="1"/>
  <c r="ES428" i="36" s="1"/>
  <c r="EL431" i="36"/>
  <c r="EM428" i="36" s="1"/>
  <c r="EK431" i="36"/>
  <c r="EJ431" i="36"/>
  <c r="EK428" i="36" s="1"/>
  <c r="EH431" i="36"/>
  <c r="EG431" i="36"/>
  <c r="EF431" i="36"/>
  <c r="EG428" i="36" s="1"/>
  <c r="EE431" i="36"/>
  <c r="EF428" i="36" s="1"/>
  <c r="EB431" i="36"/>
  <c r="EC428" i="36" s="1"/>
  <c r="EA431" i="36"/>
  <c r="ER388" i="36"/>
  <c r="EQ388" i="36"/>
  <c r="EP388" i="36"/>
  <c r="EO388" i="36"/>
  <c r="EM388" i="36"/>
  <c r="EL388" i="36"/>
  <c r="EK388" i="36"/>
  <c r="EJ388" i="36"/>
  <c r="EH388" i="36"/>
  <c r="EG388" i="36"/>
  <c r="EF388" i="36"/>
  <c r="EE388" i="36"/>
  <c r="EC388" i="36"/>
  <c r="EB388" i="36"/>
  <c r="EA388" i="36"/>
  <c r="DZ388" i="36"/>
  <c r="EE370" i="36"/>
  <c r="EF369" i="36"/>
  <c r="EG369" i="36" s="1"/>
  <c r="EA369" i="36"/>
  <c r="EB369" i="36" s="1"/>
  <c r="FN357" i="36"/>
  <c r="EH343" i="36"/>
  <c r="EG343" i="36"/>
  <c r="EF343" i="36"/>
  <c r="EE343" i="36"/>
  <c r="EC343" i="36"/>
  <c r="EB343" i="36"/>
  <c r="EA343" i="36"/>
  <c r="DZ343" i="36"/>
  <c r="EH340" i="36"/>
  <c r="EG340" i="36"/>
  <c r="EF340" i="36"/>
  <c r="EE340" i="36"/>
  <c r="EC340" i="36"/>
  <c r="EB340" i="36"/>
  <c r="EA340" i="36"/>
  <c r="DZ340" i="36"/>
  <c r="ER333" i="36"/>
  <c r="EQ333" i="36"/>
  <c r="EP333" i="36"/>
  <c r="EO333" i="36"/>
  <c r="DZ333" i="36"/>
  <c r="DU333" i="36" s="1"/>
  <c r="DX333" i="36"/>
  <c r="DW333" i="36"/>
  <c r="DV333" i="36"/>
  <c r="ER331" i="36"/>
  <c r="EQ331" i="36"/>
  <c r="EP331" i="36"/>
  <c r="EO331" i="36"/>
  <c r="ER329" i="36"/>
  <c r="EQ329" i="36"/>
  <c r="EP329" i="36"/>
  <c r="EO329" i="36"/>
  <c r="EM329" i="36"/>
  <c r="EL329" i="36"/>
  <c r="EK329" i="36"/>
  <c r="EJ329" i="36"/>
  <c r="EH329" i="36"/>
  <c r="EG329" i="36"/>
  <c r="EF329" i="36"/>
  <c r="EE329" i="36"/>
  <c r="EC329" i="36"/>
  <c r="EB329" i="36"/>
  <c r="EA329" i="36"/>
  <c r="DZ329" i="36"/>
  <c r="ER325" i="36"/>
  <c r="EQ325" i="36"/>
  <c r="EV325" i="36" s="1"/>
  <c r="EP325" i="36"/>
  <c r="EO325" i="36"/>
  <c r="EM325" i="36"/>
  <c r="EL325" i="36"/>
  <c r="EK325" i="36"/>
  <c r="EJ325" i="36"/>
  <c r="EH325" i="36"/>
  <c r="EG325" i="36"/>
  <c r="EF325" i="36"/>
  <c r="EE325" i="36"/>
  <c r="EC325" i="36"/>
  <c r="EB325" i="36"/>
  <c r="EA325" i="36"/>
  <c r="DZ325" i="36"/>
  <c r="ER323" i="36"/>
  <c r="EQ323" i="36"/>
  <c r="EP323" i="36"/>
  <c r="EO323" i="36"/>
  <c r="EM323" i="36"/>
  <c r="EL323" i="36"/>
  <c r="EK323" i="36"/>
  <c r="EJ323" i="36"/>
  <c r="EH323" i="36"/>
  <c r="EG323" i="36"/>
  <c r="EF323" i="36"/>
  <c r="EE323" i="36"/>
  <c r="EC323" i="36"/>
  <c r="EB323" i="36"/>
  <c r="EA323" i="36"/>
  <c r="DZ323" i="36"/>
  <c r="DX323" i="36"/>
  <c r="DW323" i="36"/>
  <c r="DV323" i="36"/>
  <c r="DU323" i="36"/>
  <c r="ER309" i="36"/>
  <c r="EW309" i="36" s="1"/>
  <c r="FB309" i="36" s="1"/>
  <c r="FG309" i="36" s="1"/>
  <c r="EQ309" i="36"/>
  <c r="EV309" i="36" s="1"/>
  <c r="FA309" i="36" s="1"/>
  <c r="FF309" i="36" s="1"/>
  <c r="EP309" i="36"/>
  <c r="EU309" i="36" s="1"/>
  <c r="EZ309" i="36" s="1"/>
  <c r="FE309" i="36" s="1"/>
  <c r="EO309" i="36"/>
  <c r="ET309" i="36" s="1"/>
  <c r="EY309" i="36" s="1"/>
  <c r="FD309" i="36" s="1"/>
  <c r="EM309" i="36"/>
  <c r="EL309" i="36"/>
  <c r="EK309" i="36"/>
  <c r="EJ309" i="36"/>
  <c r="EH309" i="36"/>
  <c r="EG309" i="36"/>
  <c r="EF309" i="36"/>
  <c r="EE309" i="36"/>
  <c r="EC309" i="36"/>
  <c r="EB309" i="36"/>
  <c r="EA309" i="36"/>
  <c r="DZ309" i="36"/>
  <c r="DX309" i="36"/>
  <c r="DW309" i="36"/>
  <c r="DV309" i="36"/>
  <c r="DU309" i="36"/>
  <c r="DU307" i="36"/>
  <c r="ER305" i="36"/>
  <c r="EQ305" i="36"/>
  <c r="ER302" i="36" s="1"/>
  <c r="EP305" i="36"/>
  <c r="EO305" i="36"/>
  <c r="EP302" i="36" s="1"/>
  <c r="EM305" i="36"/>
  <c r="EL305" i="36"/>
  <c r="EM302" i="36" s="1"/>
  <c r="EK305" i="36"/>
  <c r="EL302" i="36" s="1"/>
  <c r="EJ305" i="36"/>
  <c r="EK302" i="36" s="1"/>
  <c r="EH305" i="36"/>
  <c r="EG305" i="36"/>
  <c r="EH302" i="36" s="1"/>
  <c r="EF305" i="36"/>
  <c r="EG302" i="36" s="1"/>
  <c r="EE305" i="36"/>
  <c r="EF302" i="36" s="1"/>
  <c r="EA275" i="36"/>
  <c r="EB275" i="36" s="1"/>
  <c r="EC275" i="36" s="1"/>
  <c r="DV275" i="36"/>
  <c r="DW275" i="36" s="1"/>
  <c r="DX275" i="36" s="1"/>
  <c r="ER273" i="36"/>
  <c r="EQ273" i="36"/>
  <c r="EP273" i="36"/>
  <c r="EO273" i="36"/>
  <c r="EM273" i="36"/>
  <c r="EL273" i="36"/>
  <c r="EK273" i="36"/>
  <c r="EJ273" i="36"/>
  <c r="EH273" i="36"/>
  <c r="EG273" i="36"/>
  <c r="EF273" i="36"/>
  <c r="EE273" i="36"/>
  <c r="EC273" i="36"/>
  <c r="EB273" i="36"/>
  <c r="EA273" i="36"/>
  <c r="DZ273" i="36"/>
  <c r="ER271" i="36"/>
  <c r="EQ271" i="36"/>
  <c r="ER268" i="36" s="1"/>
  <c r="EP271" i="36"/>
  <c r="EQ268" i="36" s="1"/>
  <c r="EO271" i="36"/>
  <c r="EM271" i="36"/>
  <c r="EL271" i="36"/>
  <c r="EK271" i="36"/>
  <c r="EL268" i="36" s="1"/>
  <c r="EJ271" i="36"/>
  <c r="EK268" i="36" s="1"/>
  <c r="EH271" i="36"/>
  <c r="EG271" i="36"/>
  <c r="EF271" i="36"/>
  <c r="EE271" i="36"/>
  <c r="EC271" i="36"/>
  <c r="EB271" i="36"/>
  <c r="EC268" i="36" s="1"/>
  <c r="EA271" i="36"/>
  <c r="EB268" i="36" s="1"/>
  <c r="DZ271" i="36"/>
  <c r="DU270" i="36"/>
  <c r="DY268" i="36"/>
  <c r="ER264" i="36"/>
  <c r="EQ264" i="36"/>
  <c r="EV264" i="36" s="1"/>
  <c r="FA264" i="36" s="1"/>
  <c r="FF264" i="36" s="1"/>
  <c r="EP264" i="36"/>
  <c r="EO264" i="36"/>
  <c r="ET264" i="36" s="1"/>
  <c r="EY264" i="36" s="1"/>
  <c r="FD264" i="36" s="1"/>
  <c r="EM264" i="36"/>
  <c r="EL264" i="36"/>
  <c r="EK264" i="36"/>
  <c r="EJ264" i="36"/>
  <c r="EH264" i="36"/>
  <c r="EG264" i="36"/>
  <c r="EF264" i="36"/>
  <c r="EE264" i="36"/>
  <c r="EC264" i="36"/>
  <c r="EB264" i="36"/>
  <c r="EA264" i="36"/>
  <c r="DZ264" i="36"/>
  <c r="DX264" i="36"/>
  <c r="DW264" i="36"/>
  <c r="DV264" i="36"/>
  <c r="DU264" i="36"/>
  <c r="DU262" i="36"/>
  <c r="ER260" i="36"/>
  <c r="ES260" i="36" s="1"/>
  <c r="EQ260" i="36"/>
  <c r="ER257" i="36" s="1"/>
  <c r="EP260" i="36"/>
  <c r="EQ257" i="36" s="1"/>
  <c r="EO260" i="36"/>
  <c r="EP257" i="36" s="1"/>
  <c r="EM260" i="36"/>
  <c r="EL260" i="36"/>
  <c r="EK260" i="36"/>
  <c r="EJ260" i="36"/>
  <c r="EK257" i="36" s="1"/>
  <c r="EH260" i="36"/>
  <c r="EG260" i="36"/>
  <c r="EH257" i="36" s="1"/>
  <c r="EF260" i="36"/>
  <c r="EE260" i="36"/>
  <c r="EC260" i="36"/>
  <c r="EB260" i="36"/>
  <c r="EC257" i="36" s="1"/>
  <c r="EA260" i="36"/>
  <c r="EB257" i="36" s="1"/>
  <c r="DZ260" i="36"/>
  <c r="EA257" i="36" s="1"/>
  <c r="DX260" i="36"/>
  <c r="DW260" i="36"/>
  <c r="DV260" i="36"/>
  <c r="DW257" i="36" s="1"/>
  <c r="DU260" i="36"/>
  <c r="ER251" i="36"/>
  <c r="EQ251" i="36"/>
  <c r="EP251" i="36"/>
  <c r="EO251" i="36"/>
  <c r="EM251" i="36"/>
  <c r="EL251" i="36"/>
  <c r="EK251" i="36"/>
  <c r="EJ251" i="36"/>
  <c r="EH251" i="36"/>
  <c r="EG251" i="36"/>
  <c r="EF251" i="36"/>
  <c r="EE251" i="36"/>
  <c r="EC251" i="36"/>
  <c r="EB251" i="36"/>
  <c r="EA251" i="36"/>
  <c r="DZ251" i="36"/>
  <c r="EE233" i="36"/>
  <c r="EF232" i="36"/>
  <c r="EA232" i="36"/>
  <c r="EB232" i="36" s="1"/>
  <c r="EC232" i="36" s="1"/>
  <c r="FK226" i="36"/>
  <c r="FL226" i="36" s="1"/>
  <c r="FM226" i="36" s="1"/>
  <c r="EH205" i="36"/>
  <c r="EG205" i="36"/>
  <c r="EF205" i="36"/>
  <c r="EE205" i="36"/>
  <c r="EC205" i="36"/>
  <c r="EB205" i="36"/>
  <c r="EA205" i="36"/>
  <c r="DZ205" i="36"/>
  <c r="EH202" i="36"/>
  <c r="EG202" i="36"/>
  <c r="EF202" i="36"/>
  <c r="EE202" i="36"/>
  <c r="EC202" i="36"/>
  <c r="EB202" i="36"/>
  <c r="EA202" i="36"/>
  <c r="DZ202" i="36"/>
  <c r="ER194" i="36"/>
  <c r="EQ194" i="36"/>
  <c r="EP194" i="36"/>
  <c r="EO194" i="36"/>
  <c r="EM194" i="36"/>
  <c r="EL194" i="36"/>
  <c r="EK194" i="36"/>
  <c r="EJ194" i="36"/>
  <c r="EH194" i="36"/>
  <c r="EG194" i="36"/>
  <c r="EF194" i="36"/>
  <c r="EE194" i="36"/>
  <c r="EC194" i="36"/>
  <c r="EB194" i="36"/>
  <c r="EA194" i="36"/>
  <c r="DZ194" i="36"/>
  <c r="ER188" i="36"/>
  <c r="EQ188" i="36"/>
  <c r="EP188" i="36"/>
  <c r="EO188" i="36"/>
  <c r="EM188" i="36"/>
  <c r="EL188" i="36"/>
  <c r="EK188" i="36"/>
  <c r="EJ188" i="36"/>
  <c r="EH188" i="36"/>
  <c r="EG188" i="36"/>
  <c r="EF188" i="36"/>
  <c r="EE188" i="36"/>
  <c r="EC188" i="36"/>
  <c r="EB188" i="36"/>
  <c r="EA188" i="36"/>
  <c r="DZ188" i="36"/>
  <c r="ER186" i="36"/>
  <c r="EW186" i="36" s="1"/>
  <c r="FB186" i="36" s="1"/>
  <c r="EQ186" i="36"/>
  <c r="EV186" i="36" s="1"/>
  <c r="FA186" i="36" s="1"/>
  <c r="EP186" i="36"/>
  <c r="EU186" i="36" s="1"/>
  <c r="EZ186" i="36" s="1"/>
  <c r="EO186" i="36"/>
  <c r="EM186" i="36"/>
  <c r="EL186" i="36"/>
  <c r="EK186" i="36"/>
  <c r="EJ186" i="36"/>
  <c r="EH186" i="36"/>
  <c r="EG186" i="36"/>
  <c r="EF186" i="36"/>
  <c r="EE186" i="36"/>
  <c r="EC186" i="36"/>
  <c r="EB186" i="36"/>
  <c r="EA186" i="36"/>
  <c r="DZ186" i="36"/>
  <c r="DX186" i="36"/>
  <c r="DW186" i="36"/>
  <c r="DV186" i="36"/>
  <c r="DU186" i="36"/>
  <c r="ER154" i="36"/>
  <c r="EQ154" i="36"/>
  <c r="EP154" i="36"/>
  <c r="EO154" i="36"/>
  <c r="EM154" i="36"/>
  <c r="EN154" i="36" s="1"/>
  <c r="EL154" i="36"/>
  <c r="EK154" i="36"/>
  <c r="EJ154" i="36"/>
  <c r="EH154" i="36"/>
  <c r="EI154" i="36" s="1"/>
  <c r="EG154" i="36"/>
  <c r="EF154" i="36"/>
  <c r="EE154" i="36"/>
  <c r="EC154" i="36"/>
  <c r="ED154" i="36" s="1"/>
  <c r="EB154" i="36"/>
  <c r="EA154" i="36"/>
  <c r="DZ154" i="36"/>
  <c r="EQ142" i="36"/>
  <c r="EV142" i="36" s="1"/>
  <c r="FA142" i="36" s="1"/>
  <c r="FF142" i="36" s="1"/>
  <c r="EP142" i="36"/>
  <c r="EU142" i="36" s="1"/>
  <c r="EZ142" i="36" s="1"/>
  <c r="FE142" i="36" s="1"/>
  <c r="EO142" i="36"/>
  <c r="ET142" i="36" s="1"/>
  <c r="EY142" i="36" s="1"/>
  <c r="FD142" i="36" s="1"/>
  <c r="EM142" i="36"/>
  <c r="ER142" i="36" s="1"/>
  <c r="EL142" i="36"/>
  <c r="EK142" i="36"/>
  <c r="EJ142" i="36"/>
  <c r="EH142" i="36"/>
  <c r="EG142" i="36"/>
  <c r="EF142" i="36"/>
  <c r="EE142" i="36"/>
  <c r="EC142" i="36"/>
  <c r="EB142" i="36"/>
  <c r="EA142" i="36"/>
  <c r="DZ142" i="36"/>
  <c r="DX142" i="36"/>
  <c r="DW142" i="36"/>
  <c r="DV142" i="36"/>
  <c r="DU142" i="36"/>
  <c r="DU140" i="36"/>
  <c r="EQ138" i="36"/>
  <c r="EP138" i="36"/>
  <c r="EO138" i="36"/>
  <c r="EM138" i="36"/>
  <c r="EL138" i="36"/>
  <c r="EM135" i="36" s="1"/>
  <c r="EK138" i="36"/>
  <c r="EJ138" i="36"/>
  <c r="EH138" i="36"/>
  <c r="EG138" i="36"/>
  <c r="EF138" i="36"/>
  <c r="EG135" i="36" s="1"/>
  <c r="EE138" i="36"/>
  <c r="EF135" i="36" s="1"/>
  <c r="EA130" i="36"/>
  <c r="EB130" i="36" s="1"/>
  <c r="DV130" i="36"/>
  <c r="DW130" i="36" s="1"/>
  <c r="DX130" i="36" s="1"/>
  <c r="EW129" i="36"/>
  <c r="FB129" i="36" s="1"/>
  <c r="FG129" i="36" s="1"/>
  <c r="EV129" i="36"/>
  <c r="FA129" i="36" s="1"/>
  <c r="FF129" i="36" s="1"/>
  <c r="EU129" i="36"/>
  <c r="EZ129" i="36" s="1"/>
  <c r="FE129" i="36" s="1"/>
  <c r="ET129" i="36"/>
  <c r="EY129" i="36" s="1"/>
  <c r="FD129" i="36" s="1"/>
  <c r="ER128" i="36"/>
  <c r="EQ128" i="36"/>
  <c r="EP128" i="36"/>
  <c r="EO128" i="36"/>
  <c r="EM128" i="36"/>
  <c r="EL128" i="36"/>
  <c r="EK128" i="36"/>
  <c r="EJ128" i="36"/>
  <c r="EH128" i="36"/>
  <c r="EG128" i="36"/>
  <c r="EF128" i="36"/>
  <c r="EE128" i="36"/>
  <c r="EC128" i="36"/>
  <c r="EB128" i="36"/>
  <c r="EA128" i="36"/>
  <c r="DZ128" i="36"/>
  <c r="ER126" i="36"/>
  <c r="EQ126" i="36"/>
  <c r="ER123" i="36" s="1"/>
  <c r="EP126" i="36"/>
  <c r="EQ123" i="36" s="1"/>
  <c r="EO126" i="36"/>
  <c r="EP123" i="36" s="1"/>
  <c r="EM126" i="36"/>
  <c r="EL126" i="36"/>
  <c r="EK126" i="36"/>
  <c r="EL123" i="36" s="1"/>
  <c r="EJ126" i="36"/>
  <c r="EH126" i="36"/>
  <c r="EG126" i="36"/>
  <c r="EH123" i="36" s="1"/>
  <c r="EF126" i="36"/>
  <c r="EG123" i="36" s="1"/>
  <c r="EE126" i="36"/>
  <c r="EF123" i="36" s="1"/>
  <c r="EC126" i="36"/>
  <c r="ED126" i="36" s="1"/>
  <c r="EB126" i="36"/>
  <c r="EA126" i="36"/>
  <c r="EB123" i="36" s="1"/>
  <c r="DZ126" i="36"/>
  <c r="DU125" i="36"/>
  <c r="DY123" i="36"/>
  <c r="ER119" i="36"/>
  <c r="EW119" i="36" s="1"/>
  <c r="FB119" i="36" s="1"/>
  <c r="FG119" i="36" s="1"/>
  <c r="EQ119" i="36"/>
  <c r="EV119" i="36" s="1"/>
  <c r="FA119" i="36" s="1"/>
  <c r="FF119" i="36" s="1"/>
  <c r="EP119" i="36"/>
  <c r="EU119" i="36" s="1"/>
  <c r="EZ119" i="36" s="1"/>
  <c r="FE119" i="36" s="1"/>
  <c r="EO119" i="36"/>
  <c r="EM119" i="36"/>
  <c r="EL119" i="36"/>
  <c r="EK119" i="36"/>
  <c r="EJ119" i="36"/>
  <c r="EH119" i="36"/>
  <c r="EG119" i="36"/>
  <c r="EF119" i="36"/>
  <c r="EE119" i="36"/>
  <c r="EC119" i="36"/>
  <c r="EB119" i="36"/>
  <c r="EA119" i="36"/>
  <c r="DZ119" i="36"/>
  <c r="DX119" i="36"/>
  <c r="DW119" i="36"/>
  <c r="DV119" i="36"/>
  <c r="DU119" i="36"/>
  <c r="DU117" i="36"/>
  <c r="ER115" i="36"/>
  <c r="EQ115" i="36"/>
  <c r="EP115" i="36"/>
  <c r="EQ112" i="36" s="1"/>
  <c r="EO115" i="36"/>
  <c r="EP112" i="36" s="1"/>
  <c r="EM115" i="36"/>
  <c r="EN115" i="36" s="1"/>
  <c r="EL115" i="36"/>
  <c r="EK115" i="36"/>
  <c r="EL112" i="36" s="1"/>
  <c r="EJ115" i="36"/>
  <c r="EH115" i="36"/>
  <c r="EG115" i="36"/>
  <c r="EF115" i="36"/>
  <c r="EG112" i="36" s="1"/>
  <c r="EE115" i="36"/>
  <c r="EC115" i="36"/>
  <c r="EB115" i="36"/>
  <c r="EA115" i="36"/>
  <c r="EB112" i="36" s="1"/>
  <c r="DZ115" i="36"/>
  <c r="EA112" i="36" s="1"/>
  <c r="DX115" i="36"/>
  <c r="DY115" i="36" s="1"/>
  <c r="DW115" i="36"/>
  <c r="DV115" i="36"/>
  <c r="DU115" i="36"/>
  <c r="DX105" i="36"/>
  <c r="DW105" i="36"/>
  <c r="DV105" i="36"/>
  <c r="DU105" i="36"/>
  <c r="EV101" i="36"/>
  <c r="EU101" i="36" s="1"/>
  <c r="ET101" i="36" s="1"/>
  <c r="ER99" i="36"/>
  <c r="EQ99" i="36"/>
  <c r="EP99" i="36"/>
  <c r="EO99" i="36"/>
  <c r="EM99" i="36"/>
  <c r="EN99" i="36" s="1"/>
  <c r="EL99" i="36"/>
  <c r="EK99" i="36"/>
  <c r="EJ99" i="36"/>
  <c r="EH99" i="36"/>
  <c r="EG99" i="36"/>
  <c r="EF99" i="36"/>
  <c r="EE99" i="36"/>
  <c r="DU96" i="36"/>
  <c r="DU91" i="36"/>
  <c r="EF90" i="36"/>
  <c r="ER87" i="36"/>
  <c r="ER96" i="36" s="1"/>
  <c r="EQ87" i="36"/>
  <c r="EV87" i="36" s="1"/>
  <c r="EP87" i="36"/>
  <c r="EO87" i="36"/>
  <c r="EO96" i="36" s="1"/>
  <c r="EM87" i="36"/>
  <c r="EM96" i="36" s="1"/>
  <c r="EL87" i="36"/>
  <c r="EL96" i="36" s="1"/>
  <c r="EK87" i="36"/>
  <c r="EK96" i="36" s="1"/>
  <c r="EJ87" i="36"/>
  <c r="EH87" i="36"/>
  <c r="EH96" i="36" s="1"/>
  <c r="EG87" i="36"/>
  <c r="EG96" i="36" s="1"/>
  <c r="EF87" i="36"/>
  <c r="EE87" i="36"/>
  <c r="EE96" i="36" s="1"/>
  <c r="EC87" i="36"/>
  <c r="EC96" i="36" s="1"/>
  <c r="EB87" i="36"/>
  <c r="EB91" i="36" s="1"/>
  <c r="EA87" i="36"/>
  <c r="EA91" i="36" s="1"/>
  <c r="DZ87" i="36"/>
  <c r="DX87" i="36"/>
  <c r="DX96" i="36" s="1"/>
  <c r="DW87" i="36"/>
  <c r="DW96" i="36" s="1"/>
  <c r="DV87" i="36"/>
  <c r="DV96" i="36" s="1"/>
  <c r="DY86" i="36"/>
  <c r="EH69" i="36"/>
  <c r="EH45" i="35" s="1"/>
  <c r="EG69" i="36"/>
  <c r="EF69" i="36"/>
  <c r="EF45" i="35" s="1"/>
  <c r="EE69" i="36"/>
  <c r="EE45" i="35" s="1"/>
  <c r="EC69" i="36"/>
  <c r="EC45" i="35" s="1"/>
  <c r="EB69" i="36"/>
  <c r="EA69" i="36"/>
  <c r="DZ69" i="36"/>
  <c r="EF68" i="36"/>
  <c r="EF44" i="35" s="1"/>
  <c r="EE68" i="36"/>
  <c r="EC68" i="36"/>
  <c r="EC44" i="35" s="1"/>
  <c r="EB68" i="36"/>
  <c r="EA68" i="36"/>
  <c r="DZ68" i="36"/>
  <c r="EH59" i="36"/>
  <c r="EG59" i="36"/>
  <c r="EF59" i="36"/>
  <c r="EE59" i="36"/>
  <c r="EC59" i="36"/>
  <c r="EB59" i="36"/>
  <c r="EA59" i="36"/>
  <c r="DZ59" i="36"/>
  <c r="EF58" i="36"/>
  <c r="EE58" i="36"/>
  <c r="EC58" i="36"/>
  <c r="EB58" i="36"/>
  <c r="EA58" i="36"/>
  <c r="DZ58" i="36"/>
  <c r="EH57" i="36"/>
  <c r="EG57" i="36"/>
  <c r="EF57" i="36"/>
  <c r="EE57" i="36"/>
  <c r="EC57" i="36"/>
  <c r="EB57" i="36"/>
  <c r="EA57" i="36"/>
  <c r="DZ57" i="36"/>
  <c r="ER54" i="36"/>
  <c r="EQ54" i="36"/>
  <c r="EP54" i="36"/>
  <c r="EO54" i="36"/>
  <c r="EM54" i="36"/>
  <c r="EL54" i="36"/>
  <c r="EK54" i="36"/>
  <c r="EJ54" i="36"/>
  <c r="EH54" i="36"/>
  <c r="EG54" i="36"/>
  <c r="EF54" i="36"/>
  <c r="EE54" i="36"/>
  <c r="DX54" i="36"/>
  <c r="DW54" i="36"/>
  <c r="DV54" i="36"/>
  <c r="DU54" i="36"/>
  <c r="EW48" i="36"/>
  <c r="EW17" i="35" s="1"/>
  <c r="EV48" i="36"/>
  <c r="EV17" i="35" s="1"/>
  <c r="EU48" i="36"/>
  <c r="EU17" i="35" s="1"/>
  <c r="ET48" i="36"/>
  <c r="ET17" i="35" s="1"/>
  <c r="EH48" i="36"/>
  <c r="EH17" i="35" s="1"/>
  <c r="EG48" i="36"/>
  <c r="EG17" i="35" s="1"/>
  <c r="EF48" i="36"/>
  <c r="EF17" i="35" s="1"/>
  <c r="EE48" i="36"/>
  <c r="EE17" i="35" s="1"/>
  <c r="EC48" i="36"/>
  <c r="EC17" i="35" s="1"/>
  <c r="EB48" i="36"/>
  <c r="EB17" i="35" s="1"/>
  <c r="EA48" i="36"/>
  <c r="EA17" i="35" s="1"/>
  <c r="DZ48" i="36"/>
  <c r="EW29" i="36"/>
  <c r="EV29" i="36"/>
  <c r="EU29" i="36"/>
  <c r="ET29" i="36"/>
  <c r="EH28" i="36"/>
  <c r="EG28" i="36"/>
  <c r="EF28" i="36"/>
  <c r="EE28" i="36"/>
  <c r="EC28" i="36"/>
  <c r="EB28" i="36"/>
  <c r="EA28" i="36"/>
  <c r="DZ28" i="36"/>
  <c r="EH27" i="36"/>
  <c r="EG27" i="36"/>
  <c r="EF27" i="36"/>
  <c r="EE27" i="36"/>
  <c r="EC27" i="36"/>
  <c r="EB27" i="36"/>
  <c r="EA27" i="36"/>
  <c r="DZ27" i="36"/>
  <c r="EX20" i="36"/>
  <c r="EX11" i="36"/>
  <c r="EH11" i="36"/>
  <c r="EG11" i="36"/>
  <c r="EF11" i="36"/>
  <c r="EE11" i="36"/>
  <c r="EC11" i="36"/>
  <c r="EB11" i="36"/>
  <c r="EA11" i="36"/>
  <c r="DZ11" i="36"/>
  <c r="FM5" i="36"/>
  <c r="FL5" i="36"/>
  <c r="FK5" i="36"/>
  <c r="FJ5" i="36"/>
  <c r="FI5" i="36"/>
  <c r="FH5" i="36"/>
  <c r="FC5" i="36"/>
  <c r="EX5" i="36"/>
  <c r="EW5" i="36"/>
  <c r="EV5" i="36"/>
  <c r="EU5" i="36"/>
  <c r="ET5" i="36"/>
  <c r="ES5" i="36"/>
  <c r="ER5" i="36"/>
  <c r="EQ5" i="36"/>
  <c r="EP5" i="36"/>
  <c r="EO5" i="36"/>
  <c r="EN5" i="36"/>
  <c r="EM5" i="36"/>
  <c r="EL5" i="36"/>
  <c r="EK5" i="36"/>
  <c r="EJ5" i="36"/>
  <c r="EH5" i="36"/>
  <c r="EG5" i="36"/>
  <c r="EF5" i="36"/>
  <c r="EE5" i="36"/>
  <c r="EC5" i="36"/>
  <c r="EB5" i="36"/>
  <c r="EA5" i="36"/>
  <c r="DZ5" i="36"/>
  <c r="DX5" i="36"/>
  <c r="DW5" i="36"/>
  <c r="DV5" i="36"/>
  <c r="DU5" i="36"/>
  <c r="DS5" i="36"/>
  <c r="DR5" i="36"/>
  <c r="DQ5" i="36"/>
  <c r="DP5" i="36"/>
  <c r="DN5" i="36"/>
  <c r="DM5" i="36"/>
  <c r="DL5" i="36"/>
  <c r="DK5" i="36"/>
  <c r="DI5" i="36"/>
  <c r="DH5" i="36"/>
  <c r="DG5" i="36"/>
  <c r="DF5" i="36"/>
  <c r="DE5" i="36"/>
  <c r="DD5" i="36"/>
  <c r="DC5" i="36"/>
  <c r="DB5" i="36"/>
  <c r="DA5" i="36"/>
  <c r="CZ5" i="36"/>
  <c r="CY5" i="36"/>
  <c r="CX5" i="36"/>
  <c r="CW5" i="36"/>
  <c r="CV5" i="36"/>
  <c r="CU5" i="36"/>
  <c r="CT5" i="36"/>
  <c r="CS5" i="36"/>
  <c r="CR5" i="36"/>
  <c r="CQ5" i="36"/>
  <c r="CP5" i="36"/>
  <c r="CO5" i="36"/>
  <c r="CN5" i="36"/>
  <c r="CM5" i="36"/>
  <c r="CL5" i="36"/>
  <c r="CJ5" i="36"/>
  <c r="CI5" i="36"/>
  <c r="CH5" i="36"/>
  <c r="CG5" i="36"/>
  <c r="CE5" i="36"/>
  <c r="CD5" i="36"/>
  <c r="CC5" i="36"/>
  <c r="CB5" i="36"/>
  <c r="BZ5" i="36"/>
  <c r="BY5" i="36"/>
  <c r="BX5" i="36"/>
  <c r="BW5" i="36"/>
  <c r="BU5" i="36"/>
  <c r="BT5" i="36"/>
  <c r="BS5" i="36"/>
  <c r="BR5" i="36"/>
  <c r="BP5" i="36"/>
  <c r="BO5" i="36"/>
  <c r="BN5" i="36"/>
  <c r="BM5" i="36"/>
  <c r="BK5" i="36"/>
  <c r="BJ5" i="36"/>
  <c r="BI5" i="36"/>
  <c r="BH5" i="36"/>
  <c r="BG5" i="36"/>
  <c r="BF5" i="36"/>
  <c r="BE5" i="36"/>
  <c r="BD5" i="36"/>
  <c r="BC5" i="36"/>
  <c r="EX220" i="35"/>
  <c r="EW220" i="35"/>
  <c r="EV220" i="35"/>
  <c r="EU220" i="35"/>
  <c r="ET220" i="35"/>
  <c r="ER220" i="35"/>
  <c r="EQ220" i="35"/>
  <c r="FC219" i="35"/>
  <c r="FH219" i="35" s="1"/>
  <c r="FI219" i="35" s="1"/>
  <c r="FJ219" i="35" s="1"/>
  <c r="FK219" i="35" s="1"/>
  <c r="FL219" i="35" s="1"/>
  <c r="FM219" i="35" s="1"/>
  <c r="ER213" i="35"/>
  <c r="EP213" i="35"/>
  <c r="EO213" i="35"/>
  <c r="EM213" i="35"/>
  <c r="EL213" i="35"/>
  <c r="EK213" i="35"/>
  <c r="EJ213" i="35"/>
  <c r="EH213" i="35"/>
  <c r="EG213" i="35"/>
  <c r="EF213" i="35"/>
  <c r="EE213" i="35"/>
  <c r="EO208" i="35"/>
  <c r="EN208" i="35"/>
  <c r="EL208" i="35"/>
  <c r="EK208" i="35"/>
  <c r="EJ208" i="35"/>
  <c r="EH208" i="35"/>
  <c r="EG208" i="35"/>
  <c r="EF208" i="35"/>
  <c r="EE208" i="35"/>
  <c r="EC208" i="35"/>
  <c r="EB208" i="35"/>
  <c r="EA208" i="35"/>
  <c r="DZ208" i="35"/>
  <c r="DX208" i="35"/>
  <c r="DW208" i="35"/>
  <c r="DV208" i="35"/>
  <c r="DU208" i="35"/>
  <c r="ER196" i="35"/>
  <c r="EQ196" i="35"/>
  <c r="EP196" i="35"/>
  <c r="EO196" i="35"/>
  <c r="EM196" i="35"/>
  <c r="EL196" i="35"/>
  <c r="EK196" i="35"/>
  <c r="EH196" i="35"/>
  <c r="EI196" i="35" s="1"/>
  <c r="EG196" i="35"/>
  <c r="EF196" i="35"/>
  <c r="EA196" i="35"/>
  <c r="DZ196" i="35"/>
  <c r="ER190" i="35"/>
  <c r="ES190" i="35" s="1"/>
  <c r="EQ190" i="35"/>
  <c r="EP190" i="35"/>
  <c r="EO190" i="35"/>
  <c r="EM190" i="35"/>
  <c r="EN190" i="35" s="1"/>
  <c r="EL190" i="35"/>
  <c r="EK190" i="35"/>
  <c r="EJ190" i="35"/>
  <c r="ER189" i="35"/>
  <c r="ES189" i="35" s="1"/>
  <c r="ET189" i="35" s="1"/>
  <c r="EU189" i="35" s="1"/>
  <c r="EV189" i="35" s="1"/>
  <c r="EW189" i="35" s="1"/>
  <c r="EX189" i="35" s="1"/>
  <c r="EY189" i="35" s="1"/>
  <c r="EZ189" i="35" s="1"/>
  <c r="FA189" i="35" s="1"/>
  <c r="FB189" i="35" s="1"/>
  <c r="FC189" i="35" s="1"/>
  <c r="EQ189" i="35"/>
  <c r="EP189" i="35"/>
  <c r="EO189" i="35"/>
  <c r="EM189" i="35"/>
  <c r="EN189" i="35" s="1"/>
  <c r="EL189" i="35"/>
  <c r="EK189" i="35"/>
  <c r="EJ189" i="35"/>
  <c r="EH189" i="35"/>
  <c r="EI189" i="35" s="1"/>
  <c r="EG189" i="35"/>
  <c r="EF189" i="35"/>
  <c r="EE189" i="35"/>
  <c r="EC189" i="35"/>
  <c r="ED189" i="35" s="1"/>
  <c r="EB189" i="35"/>
  <c r="EA189" i="35"/>
  <c r="DZ189" i="35"/>
  <c r="DX189" i="35"/>
  <c r="DW189" i="35"/>
  <c r="DV189" i="35"/>
  <c r="DU189" i="35"/>
  <c r="EX188" i="35"/>
  <c r="ER188" i="35"/>
  <c r="ES188" i="35" s="1"/>
  <c r="EQ188" i="35"/>
  <c r="EP188" i="35"/>
  <c r="EO188" i="35"/>
  <c r="EM188" i="35"/>
  <c r="EN188" i="35" s="1"/>
  <c r="EL188" i="35"/>
  <c r="EK188" i="35"/>
  <c r="EJ188" i="35"/>
  <c r="EH188" i="35"/>
  <c r="EI188" i="35" s="1"/>
  <c r="EG188" i="35"/>
  <c r="EF188" i="35"/>
  <c r="EE188" i="35"/>
  <c r="EC188" i="35"/>
  <c r="ED188" i="35" s="1"/>
  <c r="EB188" i="35"/>
  <c r="EA188" i="35"/>
  <c r="DZ188" i="35"/>
  <c r="DX188" i="35"/>
  <c r="DY188" i="35" s="1"/>
  <c r="DW188" i="35"/>
  <c r="DV188" i="35"/>
  <c r="DU188" i="35"/>
  <c r="ER187" i="35"/>
  <c r="EQ187" i="35"/>
  <c r="EP187" i="35"/>
  <c r="EO187" i="35"/>
  <c r="EM187" i="35"/>
  <c r="EL187" i="35"/>
  <c r="EK187" i="35"/>
  <c r="EJ187" i="35"/>
  <c r="EH187" i="35"/>
  <c r="EI187" i="35" s="1"/>
  <c r="EG187" i="35"/>
  <c r="EF187" i="35"/>
  <c r="EE187" i="35"/>
  <c r="EC187" i="35"/>
  <c r="ED187" i="35" s="1"/>
  <c r="EB187" i="35"/>
  <c r="EA187" i="35"/>
  <c r="DZ187" i="35"/>
  <c r="DX187" i="35"/>
  <c r="DY187" i="35" s="1"/>
  <c r="DW187" i="35"/>
  <c r="DV187" i="35"/>
  <c r="DU187" i="35"/>
  <c r="ER184" i="35"/>
  <c r="ES184" i="35" s="1"/>
  <c r="ET184" i="35" s="1"/>
  <c r="EU184" i="35" s="1"/>
  <c r="EV184" i="35" s="1"/>
  <c r="EW184" i="35" s="1"/>
  <c r="EX184" i="35" s="1"/>
  <c r="EQ184" i="35"/>
  <c r="EP184" i="35"/>
  <c r="EO184" i="35"/>
  <c r="EM184" i="35"/>
  <c r="EN184" i="35" s="1"/>
  <c r="EL184" i="35"/>
  <c r="EK184" i="35"/>
  <c r="EJ184" i="35"/>
  <c r="EH184" i="35"/>
  <c r="EI184" i="35" s="1"/>
  <c r="EG184" i="35"/>
  <c r="EF184" i="35"/>
  <c r="EE184" i="35"/>
  <c r="EC184" i="35"/>
  <c r="ED184" i="35" s="1"/>
  <c r="EB184" i="35"/>
  <c r="EA184" i="35"/>
  <c r="DZ184" i="35"/>
  <c r="DX184" i="35"/>
  <c r="DY184" i="35" s="1"/>
  <c r="DW184" i="35"/>
  <c r="DV184" i="35"/>
  <c r="DU184" i="35"/>
  <c r="ER183" i="35"/>
  <c r="ES183" i="35" s="1"/>
  <c r="ET183" i="35" s="1"/>
  <c r="EQ183" i="35"/>
  <c r="EP183" i="35"/>
  <c r="EO183" i="35"/>
  <c r="EM183" i="35"/>
  <c r="EN183" i="35" s="1"/>
  <c r="EL183" i="35"/>
  <c r="EK183" i="35"/>
  <c r="EJ183" i="35"/>
  <c r="EH183" i="35"/>
  <c r="EI183" i="35" s="1"/>
  <c r="EG183" i="35"/>
  <c r="EF183" i="35"/>
  <c r="EE183" i="35"/>
  <c r="EC183" i="35"/>
  <c r="ED183" i="35" s="1"/>
  <c r="EB183" i="35"/>
  <c r="EA183" i="35"/>
  <c r="DZ183" i="35"/>
  <c r="DX183" i="35"/>
  <c r="DY183" i="35" s="1"/>
  <c r="DW183" i="35"/>
  <c r="DV183" i="35"/>
  <c r="DU183" i="35"/>
  <c r="ER182" i="35"/>
  <c r="ES182" i="35" s="1"/>
  <c r="ET182" i="35" s="1"/>
  <c r="EU182" i="35" s="1"/>
  <c r="EQ182" i="35"/>
  <c r="EP182" i="35"/>
  <c r="EO182" i="35"/>
  <c r="EM182" i="35"/>
  <c r="EN182" i="35" s="1"/>
  <c r="EL182" i="35"/>
  <c r="EK182" i="35"/>
  <c r="EJ182" i="35"/>
  <c r="EH182" i="35"/>
  <c r="EG182" i="35"/>
  <c r="EF182" i="35"/>
  <c r="EE182" i="35"/>
  <c r="EC182" i="35"/>
  <c r="EB182" i="35"/>
  <c r="EA182" i="35"/>
  <c r="DZ182" i="35"/>
  <c r="DX182" i="35"/>
  <c r="DY182" i="35" s="1"/>
  <c r="DW182" i="35"/>
  <c r="DV182" i="35"/>
  <c r="DU182" i="35"/>
  <c r="ER179" i="35"/>
  <c r="ES179" i="35" s="1"/>
  <c r="ET179" i="35" s="1"/>
  <c r="EU179" i="35" s="1"/>
  <c r="EV179" i="35" s="1"/>
  <c r="EW179" i="35" s="1"/>
  <c r="EX179" i="35" s="1"/>
  <c r="EQ179" i="35"/>
  <c r="EP179" i="35"/>
  <c r="EO179" i="35"/>
  <c r="EM179" i="35"/>
  <c r="EN179" i="35" s="1"/>
  <c r="EL179" i="35"/>
  <c r="EK179" i="35"/>
  <c r="EJ179" i="35"/>
  <c r="EH179" i="35"/>
  <c r="EI179" i="35" s="1"/>
  <c r="EG179" i="35"/>
  <c r="EF179" i="35"/>
  <c r="EE179" i="35"/>
  <c r="EC179" i="35"/>
  <c r="ED179" i="35" s="1"/>
  <c r="EB179" i="35"/>
  <c r="EA179" i="35"/>
  <c r="DZ179" i="35"/>
  <c r="DX179" i="35"/>
  <c r="DY179" i="35" s="1"/>
  <c r="DW179" i="35"/>
  <c r="DV179" i="35"/>
  <c r="DU179" i="35"/>
  <c r="ER178" i="35"/>
  <c r="EQ178" i="35"/>
  <c r="EP178" i="35"/>
  <c r="EO178" i="35"/>
  <c r="EM178" i="35"/>
  <c r="EL178" i="35"/>
  <c r="EK178" i="35"/>
  <c r="EJ178" i="35"/>
  <c r="EH178" i="35"/>
  <c r="EI178" i="35" s="1"/>
  <c r="EG178" i="35"/>
  <c r="EF178" i="35"/>
  <c r="EE178" i="35"/>
  <c r="EC178" i="35"/>
  <c r="ED178" i="35" s="1"/>
  <c r="EB178" i="35"/>
  <c r="EA178" i="35"/>
  <c r="DZ178" i="35"/>
  <c r="DX178" i="35"/>
  <c r="DY178" i="35" s="1"/>
  <c r="DW178" i="35"/>
  <c r="DV178" i="35"/>
  <c r="DU178" i="35"/>
  <c r="ER175" i="35"/>
  <c r="ES175" i="35" s="1"/>
  <c r="ET175" i="35" s="1"/>
  <c r="EU175" i="35" s="1"/>
  <c r="EV175" i="35" s="1"/>
  <c r="EW175" i="35" s="1"/>
  <c r="EX175" i="35" s="1"/>
  <c r="EY175" i="35" s="1"/>
  <c r="EZ175" i="35" s="1"/>
  <c r="FA175" i="35" s="1"/>
  <c r="FB175" i="35" s="1"/>
  <c r="FC175" i="35" s="1"/>
  <c r="FD175" i="35" s="1"/>
  <c r="FE175" i="35" s="1"/>
  <c r="FF175" i="35" s="1"/>
  <c r="FG175" i="35" s="1"/>
  <c r="FH175" i="35" s="1"/>
  <c r="EQ175" i="35"/>
  <c r="EP175" i="35"/>
  <c r="EO175" i="35"/>
  <c r="EM175" i="35"/>
  <c r="EN175" i="35" s="1"/>
  <c r="EL175" i="35"/>
  <c r="EK175" i="35"/>
  <c r="EJ175" i="35"/>
  <c r="EH175" i="35"/>
  <c r="EI175" i="35" s="1"/>
  <c r="EG175" i="35"/>
  <c r="EF175" i="35"/>
  <c r="EE175" i="35"/>
  <c r="EC175" i="35"/>
  <c r="ED175" i="35" s="1"/>
  <c r="EB175" i="35"/>
  <c r="EA175" i="35"/>
  <c r="DZ175" i="35"/>
  <c r="DX175" i="35"/>
  <c r="DY175" i="35" s="1"/>
  <c r="DW175" i="35"/>
  <c r="DV175" i="35"/>
  <c r="DU175" i="35"/>
  <c r="ER174" i="35"/>
  <c r="ES174" i="35" s="1"/>
  <c r="ET174" i="35" s="1"/>
  <c r="EU174" i="35" s="1"/>
  <c r="EV174" i="35" s="1"/>
  <c r="EW174" i="35" s="1"/>
  <c r="EX174" i="35" s="1"/>
  <c r="EY174" i="35" s="1"/>
  <c r="EZ174" i="35" s="1"/>
  <c r="FA174" i="35" s="1"/>
  <c r="FB174" i="35" s="1"/>
  <c r="FC174" i="35" s="1"/>
  <c r="FD174" i="35" s="1"/>
  <c r="FE174" i="35" s="1"/>
  <c r="FF174" i="35" s="1"/>
  <c r="FG174" i="35" s="1"/>
  <c r="FH174" i="35" s="1"/>
  <c r="EQ174" i="35"/>
  <c r="EP174" i="35"/>
  <c r="EO174" i="35"/>
  <c r="EM174" i="35"/>
  <c r="EN174" i="35" s="1"/>
  <c r="EL174" i="35"/>
  <c r="EK174" i="35"/>
  <c r="EJ174" i="35"/>
  <c r="EH174" i="35"/>
  <c r="EI174" i="35" s="1"/>
  <c r="EG174" i="35"/>
  <c r="EF174" i="35"/>
  <c r="EE174" i="35"/>
  <c r="EC174" i="35"/>
  <c r="ED174" i="35" s="1"/>
  <c r="EB174" i="35"/>
  <c r="EA174" i="35"/>
  <c r="DZ174" i="35"/>
  <c r="DX174" i="35"/>
  <c r="DY174" i="35" s="1"/>
  <c r="DW174" i="35"/>
  <c r="DV174" i="35"/>
  <c r="DU174" i="35"/>
  <c r="ER173" i="35"/>
  <c r="ES173" i="35" s="1"/>
  <c r="ET173" i="35" s="1"/>
  <c r="EU173" i="35" s="1"/>
  <c r="EV173" i="35" s="1"/>
  <c r="EW173" i="35" s="1"/>
  <c r="EX173" i="35" s="1"/>
  <c r="EY173" i="35" s="1"/>
  <c r="EZ173" i="35" s="1"/>
  <c r="FA173" i="35" s="1"/>
  <c r="FB173" i="35" s="1"/>
  <c r="FC173" i="35" s="1"/>
  <c r="FD173" i="35" s="1"/>
  <c r="FE173" i="35" s="1"/>
  <c r="FF173" i="35" s="1"/>
  <c r="FG173" i="35" s="1"/>
  <c r="FH173" i="35" s="1"/>
  <c r="EQ173" i="35"/>
  <c r="EP173" i="35"/>
  <c r="EO173" i="35"/>
  <c r="EM173" i="35"/>
  <c r="EN173" i="35" s="1"/>
  <c r="EL173" i="35"/>
  <c r="EK173" i="35"/>
  <c r="EJ173" i="35"/>
  <c r="EH173" i="35"/>
  <c r="EI173" i="35" s="1"/>
  <c r="EG173" i="35"/>
  <c r="EF173" i="35"/>
  <c r="EE173" i="35"/>
  <c r="EC173" i="35"/>
  <c r="ED173" i="35" s="1"/>
  <c r="EB173" i="35"/>
  <c r="EA173" i="35"/>
  <c r="DZ173" i="35"/>
  <c r="DX173" i="35"/>
  <c r="DY173" i="35" s="1"/>
  <c r="DW173" i="35"/>
  <c r="DV173" i="35"/>
  <c r="DU173" i="35"/>
  <c r="ER172" i="35"/>
  <c r="ES172" i="35" s="1"/>
  <c r="ET172" i="35" s="1"/>
  <c r="EU172" i="35" s="1"/>
  <c r="EV172" i="35" s="1"/>
  <c r="EW172" i="35" s="1"/>
  <c r="EX172" i="35" s="1"/>
  <c r="EY172" i="35" s="1"/>
  <c r="EZ172" i="35" s="1"/>
  <c r="FA172" i="35" s="1"/>
  <c r="FB172" i="35" s="1"/>
  <c r="FC172" i="35" s="1"/>
  <c r="EQ172" i="35"/>
  <c r="EP172" i="35"/>
  <c r="EO172" i="35"/>
  <c r="EM172" i="35"/>
  <c r="EN172" i="35" s="1"/>
  <c r="EL172" i="35"/>
  <c r="EK172" i="35"/>
  <c r="EJ172" i="35"/>
  <c r="ER171" i="35"/>
  <c r="EH171" i="35"/>
  <c r="EG171" i="35"/>
  <c r="EG197" i="35" s="1"/>
  <c r="EF171" i="35"/>
  <c r="EF197" i="35" s="1"/>
  <c r="EE171" i="35"/>
  <c r="EE197" i="35" s="1"/>
  <c r="EC171" i="35"/>
  <c r="EC197" i="35" s="1"/>
  <c r="ED197" i="35" s="1"/>
  <c r="EB171" i="35"/>
  <c r="EB197" i="35" s="1"/>
  <c r="EA171" i="35"/>
  <c r="DZ171" i="35"/>
  <c r="DX171" i="35"/>
  <c r="DX197" i="35" s="1"/>
  <c r="DY197" i="35" s="1"/>
  <c r="DW171" i="35"/>
  <c r="DW197" i="35" s="1"/>
  <c r="DV171" i="35"/>
  <c r="DV197" i="35" s="1"/>
  <c r="DU171" i="35"/>
  <c r="DU197" i="35" s="1"/>
  <c r="ER166" i="35"/>
  <c r="EP166" i="35"/>
  <c r="EO166" i="35"/>
  <c r="EM166" i="35"/>
  <c r="EL166" i="35"/>
  <c r="EK166" i="35"/>
  <c r="EJ166" i="35"/>
  <c r="EH166" i="35"/>
  <c r="EG166" i="35"/>
  <c r="EF166" i="35"/>
  <c r="EE166" i="35"/>
  <c r="DZ166" i="35"/>
  <c r="DW166" i="35"/>
  <c r="DV166" i="35"/>
  <c r="DU166" i="35"/>
  <c r="EW165" i="35"/>
  <c r="EV165" i="35"/>
  <c r="EU165" i="35"/>
  <c r="ET165" i="35"/>
  <c r="EN160" i="35"/>
  <c r="EO157" i="35" s="1"/>
  <c r="ES157" i="35" s="1"/>
  <c r="EI160" i="35"/>
  <c r="EJ157" i="35" s="1"/>
  <c r="EH160" i="35"/>
  <c r="EC160" i="35"/>
  <c r="DY160" i="35"/>
  <c r="DZ157" i="35" s="1"/>
  <c r="ED157" i="35" s="1"/>
  <c r="ED159" i="35"/>
  <c r="DY159" i="35"/>
  <c r="EF157" i="35"/>
  <c r="EE148" i="35"/>
  <c r="EC148" i="35"/>
  <c r="EB148" i="35"/>
  <c r="EA148" i="35"/>
  <c r="DZ148" i="35"/>
  <c r="EH147" i="35"/>
  <c r="EG147" i="35"/>
  <c r="EF147" i="35"/>
  <c r="EE147" i="35"/>
  <c r="EC147" i="35"/>
  <c r="EB147" i="35"/>
  <c r="EA147" i="35"/>
  <c r="DZ147" i="35"/>
  <c r="EX146" i="35"/>
  <c r="EL144" i="35"/>
  <c r="EK144" i="35"/>
  <c r="EJ144" i="35"/>
  <c r="EH144" i="35"/>
  <c r="EG144" i="35"/>
  <c r="EF144" i="35"/>
  <c r="EE144" i="35"/>
  <c r="EC144" i="35"/>
  <c r="EB144" i="35"/>
  <c r="EA144" i="35"/>
  <c r="DZ144" i="35"/>
  <c r="EX142" i="35"/>
  <c r="EM142" i="35"/>
  <c r="EL142" i="35"/>
  <c r="EK142" i="35"/>
  <c r="EJ142" i="35"/>
  <c r="EH142" i="35"/>
  <c r="EG142" i="35"/>
  <c r="EF142" i="35"/>
  <c r="EE142" i="35"/>
  <c r="EC142" i="35"/>
  <c r="EB142" i="35"/>
  <c r="EA142" i="35"/>
  <c r="DZ142" i="35"/>
  <c r="EX141" i="35"/>
  <c r="ER141" i="35"/>
  <c r="EQ141" i="35"/>
  <c r="EP141" i="35"/>
  <c r="EO141" i="35"/>
  <c r="EM141" i="35"/>
  <c r="EL141" i="35"/>
  <c r="EK141" i="35"/>
  <c r="EJ141" i="35"/>
  <c r="EH141" i="35"/>
  <c r="EG141" i="35"/>
  <c r="EF141" i="35"/>
  <c r="EE141" i="35"/>
  <c r="EC141" i="35"/>
  <c r="EB141" i="35"/>
  <c r="EA141" i="35"/>
  <c r="DZ141" i="35"/>
  <c r="EG140" i="35"/>
  <c r="EF140" i="35"/>
  <c r="EE140" i="35"/>
  <c r="EC140" i="35"/>
  <c r="EB140" i="35"/>
  <c r="EA140" i="35"/>
  <c r="DZ140" i="35"/>
  <c r="EL139" i="35"/>
  <c r="EK139" i="35"/>
  <c r="EJ139" i="35"/>
  <c r="EH139" i="35"/>
  <c r="EG139" i="35"/>
  <c r="EF139" i="35"/>
  <c r="EE139" i="35"/>
  <c r="EC139" i="35"/>
  <c r="EB139" i="35"/>
  <c r="EA139" i="35"/>
  <c r="DZ139" i="35"/>
  <c r="EL138" i="35"/>
  <c r="EK138" i="35"/>
  <c r="EJ138" i="35"/>
  <c r="EH138" i="35"/>
  <c r="EG138" i="35"/>
  <c r="EF138" i="35"/>
  <c r="EE138" i="35"/>
  <c r="EC138" i="35"/>
  <c r="EB138" i="35"/>
  <c r="EA138" i="35"/>
  <c r="DZ138" i="35"/>
  <c r="EH137" i="35"/>
  <c r="EG137" i="35"/>
  <c r="EF137" i="35"/>
  <c r="EE137" i="35"/>
  <c r="EC137" i="35"/>
  <c r="EB137" i="35"/>
  <c r="EA137" i="35"/>
  <c r="DZ137" i="35"/>
  <c r="EJ136" i="35"/>
  <c r="EH136" i="35"/>
  <c r="EG136" i="35"/>
  <c r="EF136" i="35"/>
  <c r="EE136" i="35"/>
  <c r="EC136" i="35"/>
  <c r="EB136" i="35"/>
  <c r="EA136" i="35"/>
  <c r="DZ136" i="35"/>
  <c r="EE133" i="35"/>
  <c r="EC133" i="35"/>
  <c r="EB133" i="35"/>
  <c r="EA133" i="35"/>
  <c r="DZ133" i="35"/>
  <c r="DX133" i="35"/>
  <c r="DW133" i="35"/>
  <c r="DV133" i="35"/>
  <c r="DU133" i="35"/>
  <c r="EX131" i="35"/>
  <c r="ES131" i="35"/>
  <c r="EN131" i="35"/>
  <c r="EF131" i="35"/>
  <c r="EE131" i="35"/>
  <c r="EB131" i="35"/>
  <c r="EA131" i="35"/>
  <c r="DY131" i="35"/>
  <c r="FM126" i="35"/>
  <c r="FL126" i="35"/>
  <c r="FK126" i="35"/>
  <c r="DU123" i="35"/>
  <c r="DY123" i="35" s="1"/>
  <c r="EX119" i="35"/>
  <c r="ES119" i="35"/>
  <c r="EN119" i="35"/>
  <c r="EI119" i="35"/>
  <c r="ED119" i="35"/>
  <c r="DY119" i="35"/>
  <c r="EX118" i="35"/>
  <c r="EP118" i="35"/>
  <c r="EO118" i="35"/>
  <c r="EM118" i="35"/>
  <c r="EL118" i="35"/>
  <c r="EJ118" i="35"/>
  <c r="EH118" i="35"/>
  <c r="EG118" i="35"/>
  <c r="EF118" i="35"/>
  <c r="EE118" i="35"/>
  <c r="EB118" i="35"/>
  <c r="EA118" i="35"/>
  <c r="DZ118" i="35"/>
  <c r="DW118" i="35"/>
  <c r="DU118" i="35"/>
  <c r="ER117" i="35"/>
  <c r="EW117" i="35" s="1"/>
  <c r="EW120" i="35" s="1"/>
  <c r="EP117" i="35"/>
  <c r="EU117" i="35" s="1"/>
  <c r="EU120" i="35" s="1"/>
  <c r="EO117" i="35"/>
  <c r="EM117" i="35"/>
  <c r="EL117" i="35"/>
  <c r="EK117" i="35"/>
  <c r="EJ117" i="35"/>
  <c r="EH117" i="35"/>
  <c r="EG117" i="35"/>
  <c r="EF117" i="35"/>
  <c r="EE117" i="35"/>
  <c r="DZ117" i="35"/>
  <c r="DW117" i="35"/>
  <c r="DU117" i="35"/>
  <c r="EX116" i="35"/>
  <c r="ER116" i="35"/>
  <c r="EP116" i="35"/>
  <c r="EO116" i="35"/>
  <c r="EM116" i="35"/>
  <c r="EL116" i="35"/>
  <c r="EK116" i="35"/>
  <c r="EJ116" i="35"/>
  <c r="EH116" i="35"/>
  <c r="EG116" i="35"/>
  <c r="EF116" i="35"/>
  <c r="EE116" i="35"/>
  <c r="DZ116" i="35"/>
  <c r="DU116" i="35"/>
  <c r="EX115" i="35"/>
  <c r="ER115" i="35"/>
  <c r="EQ115" i="35"/>
  <c r="EP115" i="35"/>
  <c r="EO115" i="35"/>
  <c r="EM115" i="35"/>
  <c r="EL115" i="35"/>
  <c r="EK115" i="35"/>
  <c r="EJ115" i="35"/>
  <c r="EH115" i="35"/>
  <c r="EG115" i="35"/>
  <c r="EF115" i="35"/>
  <c r="EE115" i="35"/>
  <c r="EA115" i="35"/>
  <c r="DZ115" i="35"/>
  <c r="DU115" i="35"/>
  <c r="EX114" i="35"/>
  <c r="ER114" i="35"/>
  <c r="EQ114" i="35"/>
  <c r="EP114" i="35"/>
  <c r="EO114" i="35"/>
  <c r="EM114" i="35"/>
  <c r="EL114" i="35"/>
  <c r="EK114" i="35"/>
  <c r="EJ114" i="35"/>
  <c r="EH114" i="35"/>
  <c r="EG114" i="35"/>
  <c r="EF114" i="35"/>
  <c r="EE114" i="35"/>
  <c r="EB114" i="35"/>
  <c r="EA114" i="35"/>
  <c r="DZ114" i="35"/>
  <c r="DU114" i="35"/>
  <c r="EX113" i="35"/>
  <c r="ER113" i="35"/>
  <c r="EP113" i="35"/>
  <c r="EO113" i="35"/>
  <c r="EM113" i="35"/>
  <c r="EL113" i="35"/>
  <c r="EK113" i="35"/>
  <c r="EJ113" i="35"/>
  <c r="EH113" i="35"/>
  <c r="EG113" i="35"/>
  <c r="EF113" i="35"/>
  <c r="EE113" i="35"/>
  <c r="EB113" i="35"/>
  <c r="EA113" i="35"/>
  <c r="DZ113" i="35"/>
  <c r="DW113" i="35"/>
  <c r="DU113" i="35"/>
  <c r="FL112" i="35"/>
  <c r="FK112" i="35"/>
  <c r="FJ112" i="35"/>
  <c r="FI112" i="35"/>
  <c r="FC112" i="35"/>
  <c r="EX112" i="35"/>
  <c r="ER112" i="35"/>
  <c r="EP112" i="35"/>
  <c r="EO112" i="35"/>
  <c r="EM112" i="35"/>
  <c r="EL112" i="35"/>
  <c r="EK112" i="35"/>
  <c r="EJ112" i="35"/>
  <c r="EH112" i="35"/>
  <c r="EG112" i="35"/>
  <c r="EF112" i="35"/>
  <c r="EE112" i="35"/>
  <c r="EB112" i="35"/>
  <c r="EA112" i="35"/>
  <c r="DZ112" i="35"/>
  <c r="DU112" i="35"/>
  <c r="EX109" i="35"/>
  <c r="EH109" i="35"/>
  <c r="EG109" i="35"/>
  <c r="EE109" i="35"/>
  <c r="DZ109" i="35"/>
  <c r="DW109" i="35"/>
  <c r="DV109" i="35"/>
  <c r="DU109" i="35"/>
  <c r="EX108" i="35"/>
  <c r="ER108" i="35"/>
  <c r="EQ108" i="35"/>
  <c r="EP108" i="35"/>
  <c r="EO108" i="35"/>
  <c r="EM108" i="35"/>
  <c r="EL108" i="35"/>
  <c r="EK108" i="35"/>
  <c r="EJ108" i="35"/>
  <c r="EH108" i="35"/>
  <c r="EG108" i="35"/>
  <c r="EF108" i="35"/>
  <c r="EE108" i="35"/>
  <c r="DZ108" i="35"/>
  <c r="DW108" i="35"/>
  <c r="DV108" i="35"/>
  <c r="DU108" i="35"/>
  <c r="FJ103" i="35"/>
  <c r="FK103" i="35" s="1"/>
  <c r="FL103" i="35" s="1"/>
  <c r="FM103" i="35" s="1"/>
  <c r="EX103" i="35"/>
  <c r="EJ103" i="35"/>
  <c r="EH103" i="35"/>
  <c r="EF103" i="35"/>
  <c r="EE103" i="35"/>
  <c r="DZ103" i="35"/>
  <c r="DU103" i="35"/>
  <c r="EX102" i="35"/>
  <c r="ER102" i="35"/>
  <c r="EQ102" i="35"/>
  <c r="EP102" i="35"/>
  <c r="EO102" i="35"/>
  <c r="EM102" i="35"/>
  <c r="EL102" i="35"/>
  <c r="EK102" i="35"/>
  <c r="EJ102" i="35"/>
  <c r="EH102" i="35"/>
  <c r="EG102" i="35"/>
  <c r="EF102" i="35"/>
  <c r="EE102" i="35"/>
  <c r="DZ102" i="35"/>
  <c r="DU102" i="35"/>
  <c r="EX101" i="35"/>
  <c r="ER101" i="35"/>
  <c r="EQ101" i="35"/>
  <c r="EP101" i="35"/>
  <c r="EO101" i="35"/>
  <c r="EM101" i="35"/>
  <c r="EL101" i="35"/>
  <c r="EK101" i="35"/>
  <c r="EJ101" i="35"/>
  <c r="EH101" i="35"/>
  <c r="EG101" i="35"/>
  <c r="EF101" i="35"/>
  <c r="EE101" i="35"/>
  <c r="DZ101" i="35"/>
  <c r="DV101" i="35"/>
  <c r="DU101" i="35"/>
  <c r="ER100" i="35"/>
  <c r="EP100" i="35"/>
  <c r="EO100" i="35"/>
  <c r="EM100" i="35"/>
  <c r="EL100" i="35"/>
  <c r="EK100" i="35"/>
  <c r="EJ100" i="35"/>
  <c r="EH100" i="35"/>
  <c r="EG100" i="35"/>
  <c r="EF100" i="35"/>
  <c r="EE100" i="35"/>
  <c r="DZ100" i="35"/>
  <c r="DU100" i="35"/>
  <c r="EW98" i="35"/>
  <c r="EV98" i="35"/>
  <c r="EU98" i="35"/>
  <c r="ET98" i="35"/>
  <c r="ER98" i="35"/>
  <c r="EQ98" i="35"/>
  <c r="EP98" i="35"/>
  <c r="EO98" i="35"/>
  <c r="EM98" i="35"/>
  <c r="EL98" i="35"/>
  <c r="EK98" i="35"/>
  <c r="EJ98" i="35"/>
  <c r="EH98" i="35"/>
  <c r="EG98" i="35"/>
  <c r="EF98" i="35"/>
  <c r="EE98" i="35"/>
  <c r="DZ98" i="35"/>
  <c r="DW98" i="35"/>
  <c r="DV98" i="35"/>
  <c r="DU98" i="35"/>
  <c r="EC93" i="35"/>
  <c r="ED93" i="35" s="1"/>
  <c r="EB93" i="35"/>
  <c r="EA93" i="35"/>
  <c r="DZ93" i="35"/>
  <c r="DX93" i="35"/>
  <c r="DW93" i="35"/>
  <c r="DV93" i="35"/>
  <c r="DU93" i="35"/>
  <c r="FI89" i="35"/>
  <c r="EC89" i="35"/>
  <c r="EM88" i="35"/>
  <c r="EL88" i="35"/>
  <c r="EK88" i="35"/>
  <c r="EJ88" i="35"/>
  <c r="EK85" i="35" s="1"/>
  <c r="EH88" i="35"/>
  <c r="EG88" i="35"/>
  <c r="EH85" i="35" s="1"/>
  <c r="EF88" i="35"/>
  <c r="EG85" i="35" s="1"/>
  <c r="ED88" i="35"/>
  <c r="EE85" i="35" s="1"/>
  <c r="ES86" i="35"/>
  <c r="EF85" i="35"/>
  <c r="ED85" i="35"/>
  <c r="EC85" i="35"/>
  <c r="EC87" i="35" s="1"/>
  <c r="EB85" i="35"/>
  <c r="EB87" i="35" s="1"/>
  <c r="EA85" i="35"/>
  <c r="EA91" i="35" s="1"/>
  <c r="ER80" i="35"/>
  <c r="EQ80" i="35"/>
  <c r="EQ148" i="35" s="1"/>
  <c r="EP80" i="35"/>
  <c r="EO80" i="35"/>
  <c r="EM80" i="35"/>
  <c r="EM148" i="35" s="1"/>
  <c r="EL80" i="35"/>
  <c r="EK80" i="35"/>
  <c r="EJ80" i="35"/>
  <c r="EJ148" i="35" s="1"/>
  <c r="EH80" i="35"/>
  <c r="EI80" i="35" s="1"/>
  <c r="EG80" i="35"/>
  <c r="EF80" i="35"/>
  <c r="EX78" i="35"/>
  <c r="ER78" i="35"/>
  <c r="EQ78" i="35"/>
  <c r="EP78" i="35"/>
  <c r="EO78" i="35"/>
  <c r="EM78" i="35"/>
  <c r="EL78" i="35"/>
  <c r="EK78" i="35"/>
  <c r="EJ78" i="35"/>
  <c r="EH78" i="35"/>
  <c r="EG78" i="35"/>
  <c r="EF78" i="35"/>
  <c r="EE78" i="35"/>
  <c r="EC78" i="35"/>
  <c r="EB78" i="35"/>
  <c r="EA78" i="35"/>
  <c r="DZ78" i="35"/>
  <c r="DX78" i="35"/>
  <c r="DW78" i="35"/>
  <c r="DV78" i="35"/>
  <c r="DU78" i="35"/>
  <c r="ER75" i="35"/>
  <c r="ER167" i="35" s="1"/>
  <c r="EQ75" i="35"/>
  <c r="EQ167" i="35" s="1"/>
  <c r="EP75" i="35"/>
  <c r="EP167" i="35" s="1"/>
  <c r="EO75" i="35"/>
  <c r="EO167" i="35" s="1"/>
  <c r="EM75" i="35"/>
  <c r="EL75" i="35"/>
  <c r="EK75" i="35"/>
  <c r="EK167" i="35" s="1"/>
  <c r="EJ75" i="35"/>
  <c r="EJ167" i="35" s="1"/>
  <c r="EH75" i="35"/>
  <c r="EH167" i="35" s="1"/>
  <c r="EG75" i="35"/>
  <c r="EG167" i="35" s="1"/>
  <c r="EF75" i="35"/>
  <c r="EF167" i="35" s="1"/>
  <c r="EE75" i="35"/>
  <c r="EC75" i="35"/>
  <c r="EC167" i="35" s="1"/>
  <c r="EB75" i="35"/>
  <c r="EB167" i="35" s="1"/>
  <c r="EA75" i="35"/>
  <c r="EA167" i="35" s="1"/>
  <c r="DZ75" i="35"/>
  <c r="DZ167" i="35" s="1"/>
  <c r="DX75" i="35"/>
  <c r="DX167" i="35" s="1"/>
  <c r="DW75" i="35"/>
  <c r="DV75" i="35"/>
  <c r="DU75" i="35"/>
  <c r="ER73" i="35"/>
  <c r="ER207" i="35" s="1"/>
  <c r="EQ73" i="35"/>
  <c r="EQ207" i="35" s="1"/>
  <c r="EP73" i="35"/>
  <c r="EP207" i="35" s="1"/>
  <c r="EO73" i="35"/>
  <c r="EM73" i="35"/>
  <c r="EM207" i="35" s="1"/>
  <c r="EL73" i="35"/>
  <c r="EL207" i="35" s="1"/>
  <c r="EK73" i="35"/>
  <c r="EK207" i="35" s="1"/>
  <c r="EJ73" i="35"/>
  <c r="EJ207" i="35" s="1"/>
  <c r="EH73" i="35"/>
  <c r="EH207" i="35" s="1"/>
  <c r="EG73" i="35"/>
  <c r="EG207" i="35" s="1"/>
  <c r="EF73" i="35"/>
  <c r="EF207" i="35" s="1"/>
  <c r="EE73" i="35"/>
  <c r="EC73" i="35"/>
  <c r="EC207" i="35" s="1"/>
  <c r="EB73" i="35"/>
  <c r="EB207" i="35" s="1"/>
  <c r="EA73" i="35"/>
  <c r="EA207" i="35" s="1"/>
  <c r="DZ73" i="35"/>
  <c r="DZ207" i="35" s="1"/>
  <c r="DX73" i="35"/>
  <c r="DX207" i="35" s="1"/>
  <c r="DW73" i="35"/>
  <c r="DW207" i="35" s="1"/>
  <c r="DV73" i="35"/>
  <c r="DV207" i="35" s="1"/>
  <c r="DU73" i="35"/>
  <c r="DU207" i="35" s="1"/>
  <c r="EX72" i="35"/>
  <c r="ER72" i="35"/>
  <c r="EQ72" i="35"/>
  <c r="EP72" i="35"/>
  <c r="EO72" i="35"/>
  <c r="EM72" i="35"/>
  <c r="EL72" i="35"/>
  <c r="EK72" i="35"/>
  <c r="EJ72" i="35"/>
  <c r="EH72" i="35"/>
  <c r="EG72" i="35"/>
  <c r="EF72" i="35"/>
  <c r="EE72" i="35"/>
  <c r="EC72" i="35"/>
  <c r="EB72" i="35"/>
  <c r="EA72" i="35"/>
  <c r="DZ72" i="35"/>
  <c r="DX72" i="35"/>
  <c r="DW72" i="35"/>
  <c r="DV72" i="35"/>
  <c r="DU72" i="35"/>
  <c r="EX71" i="35"/>
  <c r="ER71" i="35"/>
  <c r="EQ71" i="35"/>
  <c r="EP71" i="35"/>
  <c r="EO71" i="35"/>
  <c r="EM71" i="35"/>
  <c r="EL71" i="35"/>
  <c r="EK71" i="35"/>
  <c r="EJ71" i="35"/>
  <c r="EH71" i="35"/>
  <c r="EG71" i="35"/>
  <c r="EF71" i="35"/>
  <c r="EE71" i="35"/>
  <c r="EC71" i="35"/>
  <c r="EB71" i="35"/>
  <c r="EA71" i="35"/>
  <c r="DZ71" i="35"/>
  <c r="DX71" i="35"/>
  <c r="DW71" i="35"/>
  <c r="DV71" i="35"/>
  <c r="DU71" i="35"/>
  <c r="EX68" i="35"/>
  <c r="ER67" i="35"/>
  <c r="EQ67" i="35"/>
  <c r="EV67" i="35" s="1"/>
  <c r="FA67" i="35" s="1"/>
  <c r="FF67" i="35" s="1"/>
  <c r="EP67" i="35"/>
  <c r="EU67" i="35" s="1"/>
  <c r="EZ67" i="35" s="1"/>
  <c r="FE67" i="35" s="1"/>
  <c r="EO67" i="35"/>
  <c r="ET67" i="35" s="1"/>
  <c r="EY67" i="35" s="1"/>
  <c r="FD67" i="35" s="1"/>
  <c r="EM67" i="35"/>
  <c r="EL67" i="35"/>
  <c r="EK67" i="35"/>
  <c r="EJ67" i="35"/>
  <c r="EH67" i="35"/>
  <c r="EG67" i="35"/>
  <c r="EF67" i="35"/>
  <c r="EE67" i="35"/>
  <c r="EC67" i="35"/>
  <c r="EB67" i="35"/>
  <c r="EA67" i="35"/>
  <c r="DZ67" i="35"/>
  <c r="DX67" i="35"/>
  <c r="DW67" i="35"/>
  <c r="DV67" i="35"/>
  <c r="DU67" i="35"/>
  <c r="ER66" i="35"/>
  <c r="ET66" i="35" s="1"/>
  <c r="EQ66" i="35"/>
  <c r="EQ99" i="35" s="1"/>
  <c r="EP66" i="35"/>
  <c r="EO66" i="35"/>
  <c r="EO99" i="35" s="1"/>
  <c r="EM66" i="35"/>
  <c r="EM99" i="35" s="1"/>
  <c r="EL66" i="35"/>
  <c r="EL99" i="35" s="1"/>
  <c r="EK66" i="35"/>
  <c r="EK99" i="35" s="1"/>
  <c r="EJ66" i="35"/>
  <c r="EH66" i="35"/>
  <c r="EH99" i="35" s="1"/>
  <c r="EG66" i="35"/>
  <c r="EG99" i="35" s="1"/>
  <c r="EF66" i="35"/>
  <c r="EF99" i="35" s="1"/>
  <c r="EE66" i="35"/>
  <c r="EE99" i="35" s="1"/>
  <c r="EC66" i="35"/>
  <c r="EC99" i="35" s="1"/>
  <c r="EB66" i="35"/>
  <c r="EB99" i="35" s="1"/>
  <c r="EA66" i="35"/>
  <c r="EA99" i="35" s="1"/>
  <c r="DZ66" i="35"/>
  <c r="DX66" i="35"/>
  <c r="DX99" i="35" s="1"/>
  <c r="DW66" i="35"/>
  <c r="DW99" i="35" s="1"/>
  <c r="DV66" i="35"/>
  <c r="DV99" i="35" s="1"/>
  <c r="DU66" i="35"/>
  <c r="DU99" i="35" s="1"/>
  <c r="ER65" i="35"/>
  <c r="EQ65" i="35"/>
  <c r="EP65" i="35"/>
  <c r="EO65" i="35"/>
  <c r="EM65" i="35"/>
  <c r="EL65" i="35"/>
  <c r="EK65" i="35"/>
  <c r="EK97" i="35" s="1"/>
  <c r="EJ65" i="35"/>
  <c r="EH65" i="35"/>
  <c r="EG65" i="35"/>
  <c r="EF65" i="35"/>
  <c r="EE65" i="35"/>
  <c r="EC65" i="35"/>
  <c r="EC97" i="35" s="1"/>
  <c r="EB65" i="35"/>
  <c r="EB97" i="35" s="1"/>
  <c r="EA65" i="35"/>
  <c r="EA97" i="35" s="1"/>
  <c r="DZ65" i="35"/>
  <c r="DX65" i="35"/>
  <c r="DX97" i="35" s="1"/>
  <c r="DW65" i="35"/>
  <c r="DW97" i="35" s="1"/>
  <c r="DV65" i="35"/>
  <c r="DV97" i="35" s="1"/>
  <c r="DU65" i="35"/>
  <c r="DU97" i="35" s="1"/>
  <c r="ER53" i="35"/>
  <c r="EQ53" i="35"/>
  <c r="EP53" i="35"/>
  <c r="EO53" i="35"/>
  <c r="EM53" i="35"/>
  <c r="EL53" i="35"/>
  <c r="EK53" i="35"/>
  <c r="EJ53" i="35"/>
  <c r="EH53" i="35"/>
  <c r="EG53" i="35"/>
  <c r="EF53" i="35"/>
  <c r="EE53" i="35"/>
  <c r="EC53" i="35"/>
  <c r="EB53" i="35"/>
  <c r="EA53" i="35"/>
  <c r="DZ53" i="35"/>
  <c r="DX53" i="35"/>
  <c r="DW53" i="35"/>
  <c r="DV53" i="35"/>
  <c r="DV54" i="35" s="1"/>
  <c r="DU53" i="35"/>
  <c r="DU54" i="35" s="1"/>
  <c r="FM39" i="35"/>
  <c r="FL39" i="35"/>
  <c r="FK39" i="35"/>
  <c r="FJ39" i="35"/>
  <c r="FI39" i="35"/>
  <c r="EW39" i="35"/>
  <c r="EV39" i="35"/>
  <c r="EU39" i="35"/>
  <c r="ET39" i="35"/>
  <c r="EX39" i="35" s="1"/>
  <c r="ER39" i="35"/>
  <c r="EQ39" i="35"/>
  <c r="EP39" i="35"/>
  <c r="EO39" i="35"/>
  <c r="ES39" i="35" s="1"/>
  <c r="EM39" i="35"/>
  <c r="EL39" i="35"/>
  <c r="EK39" i="35"/>
  <c r="EJ39" i="35"/>
  <c r="EN39" i="35" s="1"/>
  <c r="EH39" i="35"/>
  <c r="EG39" i="35"/>
  <c r="EF39" i="35"/>
  <c r="EE39" i="35"/>
  <c r="EI39" i="35" s="1"/>
  <c r="EC39" i="35"/>
  <c r="EB39" i="35"/>
  <c r="EA39" i="35"/>
  <c r="DZ39" i="35"/>
  <c r="DX39" i="35"/>
  <c r="DW39" i="35"/>
  <c r="DV39" i="35"/>
  <c r="DU39" i="35"/>
  <c r="FM37" i="35"/>
  <c r="FL37" i="35"/>
  <c r="FK37" i="35"/>
  <c r="FJ37" i="35"/>
  <c r="FI37" i="35"/>
  <c r="EW37" i="35"/>
  <c r="EV37" i="35"/>
  <c r="EU37" i="35"/>
  <c r="ET37" i="35"/>
  <c r="EX37" i="35" s="1"/>
  <c r="ER37" i="35"/>
  <c r="EQ37" i="35"/>
  <c r="EP37" i="35"/>
  <c r="EO37" i="35"/>
  <c r="ES37" i="35" s="1"/>
  <c r="EM37" i="35"/>
  <c r="EL37" i="35"/>
  <c r="EK37" i="35"/>
  <c r="EJ37" i="35"/>
  <c r="EN37" i="35" s="1"/>
  <c r="EH37" i="35"/>
  <c r="EG37" i="35"/>
  <c r="EF37" i="35"/>
  <c r="EE37" i="35"/>
  <c r="EI37" i="35" s="1"/>
  <c r="EC37" i="35"/>
  <c r="EB37" i="35"/>
  <c r="EA37" i="35"/>
  <c r="DZ37" i="35"/>
  <c r="ED37" i="35" s="1"/>
  <c r="DX37" i="35"/>
  <c r="DW37" i="35"/>
  <c r="DV37" i="35"/>
  <c r="DU37" i="35"/>
  <c r="DY37" i="35" s="1"/>
  <c r="FM35" i="35"/>
  <c r="FL35" i="35"/>
  <c r="FK35" i="35"/>
  <c r="FJ35" i="35"/>
  <c r="FI35" i="35"/>
  <c r="EW35" i="35"/>
  <c r="EV35" i="35"/>
  <c r="EU35" i="35"/>
  <c r="ET35" i="35"/>
  <c r="EX35" i="35" s="1"/>
  <c r="ER35" i="35"/>
  <c r="EQ35" i="35"/>
  <c r="EP35" i="35"/>
  <c r="EO35" i="35"/>
  <c r="ES35" i="35" s="1"/>
  <c r="EM35" i="35"/>
  <c r="EL35" i="35"/>
  <c r="EK35" i="35"/>
  <c r="EJ35" i="35"/>
  <c r="EN35" i="35" s="1"/>
  <c r="EH35" i="35"/>
  <c r="EG35" i="35"/>
  <c r="EF35" i="35"/>
  <c r="EE35" i="35"/>
  <c r="EI35" i="35" s="1"/>
  <c r="EC35" i="35"/>
  <c r="EB35" i="35"/>
  <c r="EA35" i="35"/>
  <c r="DZ35" i="35"/>
  <c r="ED35" i="35" s="1"/>
  <c r="DX35" i="35"/>
  <c r="DW35" i="35"/>
  <c r="DV35" i="35"/>
  <c r="DU35" i="35"/>
  <c r="DY35" i="35" s="1"/>
  <c r="FM34" i="35"/>
  <c r="FL34" i="35"/>
  <c r="FK34" i="35"/>
  <c r="FJ34" i="35"/>
  <c r="FI34" i="35"/>
  <c r="EW34" i="35"/>
  <c r="EV34" i="35"/>
  <c r="EU34" i="35"/>
  <c r="ET34" i="35"/>
  <c r="EX34" i="35" s="1"/>
  <c r="ER34" i="35"/>
  <c r="EQ34" i="35"/>
  <c r="EP34" i="35"/>
  <c r="EO34" i="35"/>
  <c r="ES34" i="35" s="1"/>
  <c r="EM34" i="35"/>
  <c r="EL34" i="35"/>
  <c r="EK34" i="35"/>
  <c r="EJ34" i="35"/>
  <c r="EN34" i="35" s="1"/>
  <c r="EH34" i="35"/>
  <c r="EG34" i="35"/>
  <c r="EF34" i="35"/>
  <c r="EE34" i="35"/>
  <c r="EI34" i="35" s="1"/>
  <c r="EC34" i="35"/>
  <c r="EB34" i="35"/>
  <c r="EA34" i="35"/>
  <c r="DZ34" i="35"/>
  <c r="ED34" i="35" s="1"/>
  <c r="DX34" i="35"/>
  <c r="DW34" i="35"/>
  <c r="DV34" i="35"/>
  <c r="DU34" i="35"/>
  <c r="DY34" i="35" s="1"/>
  <c r="FM33" i="35"/>
  <c r="FL33" i="35"/>
  <c r="FK33" i="35"/>
  <c r="FJ33" i="35"/>
  <c r="FI33" i="35"/>
  <c r="EW33" i="35"/>
  <c r="EV33" i="35"/>
  <c r="EU33" i="35"/>
  <c r="ET33" i="35"/>
  <c r="EX33" i="35" s="1"/>
  <c r="ER33" i="35"/>
  <c r="EQ33" i="35"/>
  <c r="EP33" i="35"/>
  <c r="EO33" i="35"/>
  <c r="ES33" i="35" s="1"/>
  <c r="EM33" i="35"/>
  <c r="EL33" i="35"/>
  <c r="EK33" i="35"/>
  <c r="EJ33" i="35"/>
  <c r="EN33" i="35" s="1"/>
  <c r="EH33" i="35"/>
  <c r="EG33" i="35"/>
  <c r="EF33" i="35"/>
  <c r="EE33" i="35"/>
  <c r="EI33" i="35" s="1"/>
  <c r="EC33" i="35"/>
  <c r="EB33" i="35"/>
  <c r="EA33" i="35"/>
  <c r="DZ33" i="35"/>
  <c r="ED33" i="35" s="1"/>
  <c r="DX33" i="35"/>
  <c r="DW33" i="35"/>
  <c r="DV33" i="35"/>
  <c r="DU33" i="35"/>
  <c r="DY33" i="35" s="1"/>
  <c r="FM32" i="35"/>
  <c r="FM36" i="35" s="1"/>
  <c r="FL32" i="35"/>
  <c r="FL36" i="35" s="1"/>
  <c r="FK32" i="35"/>
  <c r="FK36" i="35" s="1"/>
  <c r="FJ32" i="35"/>
  <c r="FJ36" i="35" s="1"/>
  <c r="FI32" i="35"/>
  <c r="FI36" i="35" s="1"/>
  <c r="EW32" i="35"/>
  <c r="EW36" i="35" s="1"/>
  <c r="EV32" i="35"/>
  <c r="EV36" i="35" s="1"/>
  <c r="EU32" i="35"/>
  <c r="EU36" i="35" s="1"/>
  <c r="ET32" i="35"/>
  <c r="ET36" i="35" s="1"/>
  <c r="EX36" i="35" s="1"/>
  <c r="ER32" i="35"/>
  <c r="ER36" i="35" s="1"/>
  <c r="EQ32" i="35"/>
  <c r="EQ36" i="35" s="1"/>
  <c r="EP32" i="35"/>
  <c r="EP36" i="35" s="1"/>
  <c r="EO32" i="35"/>
  <c r="EO36" i="35" s="1"/>
  <c r="EM32" i="35"/>
  <c r="EM36" i="35" s="1"/>
  <c r="EL32" i="35"/>
  <c r="EL36" i="35" s="1"/>
  <c r="EK32" i="35"/>
  <c r="EK36" i="35" s="1"/>
  <c r="EJ32" i="35"/>
  <c r="EN32" i="35" s="1"/>
  <c r="EH32" i="35"/>
  <c r="EH36" i="35" s="1"/>
  <c r="EG32" i="35"/>
  <c r="EG36" i="35" s="1"/>
  <c r="EF32" i="35"/>
  <c r="EF36" i="35" s="1"/>
  <c r="EE32" i="35"/>
  <c r="EE36" i="35" s="1"/>
  <c r="EI36" i="35" s="1"/>
  <c r="EC32" i="35"/>
  <c r="EC36" i="35" s="1"/>
  <c r="EB32" i="35"/>
  <c r="EB36" i="35" s="1"/>
  <c r="EA32" i="35"/>
  <c r="EA36" i="35" s="1"/>
  <c r="DZ32" i="35"/>
  <c r="ED32" i="35" s="1"/>
  <c r="DX32" i="35"/>
  <c r="DX36" i="35" s="1"/>
  <c r="DW32" i="35"/>
  <c r="DW36" i="35" s="1"/>
  <c r="DV32" i="35"/>
  <c r="DV36" i="35" s="1"/>
  <c r="DU32" i="35"/>
  <c r="DY32" i="35" s="1"/>
  <c r="FM27" i="35"/>
  <c r="FL27" i="35"/>
  <c r="FK27" i="35"/>
  <c r="FJ27" i="35"/>
  <c r="FI27" i="35"/>
  <c r="EW27" i="35"/>
  <c r="EV27" i="35"/>
  <c r="EU27" i="35"/>
  <c r="ET27" i="35"/>
  <c r="EX27" i="35" s="1"/>
  <c r="ER27" i="35"/>
  <c r="EQ27" i="35"/>
  <c r="EP27" i="35"/>
  <c r="EO27" i="35"/>
  <c r="ES27" i="35" s="1"/>
  <c r="EM27" i="35"/>
  <c r="EL27" i="35"/>
  <c r="EK27" i="35"/>
  <c r="EJ27" i="35"/>
  <c r="EN27" i="35" s="1"/>
  <c r="EH27" i="35"/>
  <c r="EG27" i="35"/>
  <c r="EF27" i="35"/>
  <c r="EE27" i="35"/>
  <c r="EI27" i="35" s="1"/>
  <c r="EC27" i="35"/>
  <c r="EB27" i="35"/>
  <c r="EA27" i="35"/>
  <c r="DZ27" i="35"/>
  <c r="ED27" i="35" s="1"/>
  <c r="DX27" i="35"/>
  <c r="DW27" i="35"/>
  <c r="DV27" i="35"/>
  <c r="DU27" i="35"/>
  <c r="DY27" i="35" s="1"/>
  <c r="FN25" i="35"/>
  <c r="ER25" i="35"/>
  <c r="EQ25" i="35"/>
  <c r="EP25" i="35"/>
  <c r="EO25" i="35"/>
  <c r="EF25" i="35"/>
  <c r="EE25" i="35"/>
  <c r="EC25" i="35"/>
  <c r="EB25" i="35"/>
  <c r="EA25" i="35"/>
  <c r="DZ25" i="35"/>
  <c r="DX25" i="35"/>
  <c r="DW25" i="35"/>
  <c r="DV25" i="35"/>
  <c r="DU25" i="35"/>
  <c r="EW24" i="35"/>
  <c r="EV24" i="35"/>
  <c r="EU24" i="35"/>
  <c r="ET24" i="35"/>
  <c r="ER24" i="35"/>
  <c r="EQ24" i="35"/>
  <c r="EP24" i="35"/>
  <c r="EO24" i="35"/>
  <c r="EG24" i="35"/>
  <c r="EF24" i="35"/>
  <c r="EE24" i="35"/>
  <c r="EC24" i="35"/>
  <c r="EB24" i="35"/>
  <c r="EA24" i="35"/>
  <c r="DZ24" i="35"/>
  <c r="DX24" i="35"/>
  <c r="DW24" i="35"/>
  <c r="DV24" i="35"/>
  <c r="DU24" i="35"/>
  <c r="EW23" i="35"/>
  <c r="EV23" i="35"/>
  <c r="EU23" i="35"/>
  <c r="ET23" i="35"/>
  <c r="ER23" i="35"/>
  <c r="EQ23" i="35"/>
  <c r="EP23" i="35"/>
  <c r="EO23" i="35"/>
  <c r="EF23" i="35"/>
  <c r="EE23" i="35"/>
  <c r="EC23" i="35"/>
  <c r="EB23" i="35"/>
  <c r="EA23" i="35"/>
  <c r="DZ23" i="35"/>
  <c r="DX23" i="35"/>
  <c r="DW23" i="35"/>
  <c r="DV23" i="35"/>
  <c r="DU23" i="35"/>
  <c r="EW22" i="35"/>
  <c r="EV22" i="35"/>
  <c r="EU22" i="35"/>
  <c r="ET22" i="35"/>
  <c r="ER22" i="35"/>
  <c r="EQ22" i="35"/>
  <c r="EP22" i="35"/>
  <c r="EO22" i="35"/>
  <c r="EF22" i="35"/>
  <c r="EE22" i="35"/>
  <c r="EC22" i="35"/>
  <c r="EB22" i="35"/>
  <c r="EA22" i="35"/>
  <c r="DZ22" i="35"/>
  <c r="DX22" i="35"/>
  <c r="DW22" i="35"/>
  <c r="DV22" i="35"/>
  <c r="DU22" i="35"/>
  <c r="DX15" i="35"/>
  <c r="DW15" i="35"/>
  <c r="DV15" i="35"/>
  <c r="DU15" i="35"/>
  <c r="DX12" i="35"/>
  <c r="DW12" i="35"/>
  <c r="DV12" i="35"/>
  <c r="DU12" i="35"/>
  <c r="FM5" i="35"/>
  <c r="FL5" i="35"/>
  <c r="FK5" i="35"/>
  <c r="FJ5" i="35"/>
  <c r="FI5" i="35"/>
  <c r="FH5" i="35"/>
  <c r="FC5" i="35"/>
  <c r="EX5" i="35"/>
  <c r="EW5" i="35"/>
  <c r="EV5" i="35"/>
  <c r="EU5" i="35"/>
  <c r="ET5" i="35"/>
  <c r="ES5" i="35"/>
  <c r="ER5" i="35"/>
  <c r="EQ5" i="35"/>
  <c r="EP5" i="35"/>
  <c r="EO5" i="35"/>
  <c r="EN5" i="35"/>
  <c r="EM5" i="35"/>
  <c r="EL5" i="35"/>
  <c r="EK5" i="35"/>
  <c r="EJ5" i="35"/>
  <c r="EH5" i="35"/>
  <c r="EG5" i="35"/>
  <c r="EF5" i="35"/>
  <c r="EE5" i="35"/>
  <c r="EC5" i="35"/>
  <c r="EB5" i="35"/>
  <c r="EA5" i="35"/>
  <c r="DZ5" i="35"/>
  <c r="DX5" i="35"/>
  <c r="DW5" i="35"/>
  <c r="DV5" i="35"/>
  <c r="DU5" i="35"/>
  <c r="DS5" i="35"/>
  <c r="DR5" i="35"/>
  <c r="DQ5" i="35"/>
  <c r="DP5" i="35"/>
  <c r="DN5" i="35"/>
  <c r="DM5" i="35"/>
  <c r="DL5" i="35"/>
  <c r="DK5" i="35"/>
  <c r="DI5" i="35"/>
  <c r="DH5" i="35"/>
  <c r="DG5" i="35"/>
  <c r="DF5" i="35"/>
  <c r="DE5" i="35"/>
  <c r="DD5" i="35"/>
  <c r="DC5" i="35"/>
  <c r="DB5" i="35"/>
  <c r="DA5" i="35"/>
  <c r="CZ5" i="35"/>
  <c r="CY5" i="35"/>
  <c r="CX5" i="35"/>
  <c r="CW5" i="35"/>
  <c r="CV5" i="35"/>
  <c r="CU5" i="35"/>
  <c r="CT5" i="35"/>
  <c r="CS5" i="35"/>
  <c r="CR5" i="35"/>
  <c r="CQ5" i="35"/>
  <c r="CP5" i="35"/>
  <c r="CO5" i="35"/>
  <c r="CN5" i="35"/>
  <c r="CM5" i="35"/>
  <c r="CL5" i="35"/>
  <c r="CJ5" i="35"/>
  <c r="CI5" i="35"/>
  <c r="CH5" i="35"/>
  <c r="CG5" i="35"/>
  <c r="CE5" i="35"/>
  <c r="CD5" i="35"/>
  <c r="CC5" i="35"/>
  <c r="CB5" i="35"/>
  <c r="BZ5" i="35"/>
  <c r="BY5" i="35"/>
  <c r="BX5" i="35"/>
  <c r="BW5" i="35"/>
  <c r="BU5" i="35"/>
  <c r="BT5" i="35"/>
  <c r="BS5" i="35"/>
  <c r="BR5" i="35"/>
  <c r="BP5" i="35"/>
  <c r="BO5" i="35"/>
  <c r="BN5" i="35"/>
  <c r="BM5" i="35"/>
  <c r="BK5" i="35"/>
  <c r="BJ5" i="35"/>
  <c r="BI5" i="35"/>
  <c r="BH5" i="35"/>
  <c r="BG5" i="35"/>
  <c r="BF5" i="35"/>
  <c r="BE5" i="35"/>
  <c r="BD5" i="35"/>
  <c r="BC5" i="35"/>
  <c r="C1762" i="3"/>
  <c r="D1762" i="3" s="1"/>
  <c r="C1819" i="3"/>
  <c r="D1819" i="3" s="1"/>
  <c r="C1803" i="3"/>
  <c r="D1803" i="3" s="1"/>
  <c r="EY184" i="35" l="1"/>
  <c r="FB38" i="35"/>
  <c r="FA38" i="35"/>
  <c r="FA40" i="35" s="1"/>
  <c r="ER197" i="35"/>
  <c r="ES197" i="35" s="1"/>
  <c r="EZ38" i="35"/>
  <c r="EZ40" i="35" s="1"/>
  <c r="EC283" i="36"/>
  <c r="ED283" i="36" s="1"/>
  <c r="EE280" i="36" s="1"/>
  <c r="EE149" i="35"/>
  <c r="EC149" i="35"/>
  <c r="FF38" i="35"/>
  <c r="FF40" i="35" s="1"/>
  <c r="FD38" i="35"/>
  <c r="FH38" i="35" s="1"/>
  <c r="FE38" i="35"/>
  <c r="FE40" i="35" s="1"/>
  <c r="DZ123" i="36"/>
  <c r="DZ125" i="36" s="1"/>
  <c r="DZ124" i="36" s="1"/>
  <c r="DZ149" i="35"/>
  <c r="EB209" i="35"/>
  <c r="EB204" i="35" s="1"/>
  <c r="EL209" i="35"/>
  <c r="EL204" i="35" s="1"/>
  <c r="EQ202" i="35"/>
  <c r="EQ211" i="35" s="1"/>
  <c r="EJ168" i="35"/>
  <c r="EM253" i="36"/>
  <c r="EP54" i="35"/>
  <c r="DW262" i="36"/>
  <c r="EH189" i="36"/>
  <c r="EK168" i="35"/>
  <c r="EB70" i="36"/>
  <c r="EB71" i="36" s="1"/>
  <c r="EA185" i="35"/>
  <c r="EH262" i="36"/>
  <c r="EG168" i="35"/>
  <c r="EO168" i="35"/>
  <c r="EG54" i="35"/>
  <c r="ER168" i="35"/>
  <c r="EH348" i="36"/>
  <c r="EA92" i="35"/>
  <c r="EK430" i="36"/>
  <c r="EK429" i="36" s="1"/>
  <c r="EK434" i="36" s="1"/>
  <c r="DZ185" i="35"/>
  <c r="EJ185" i="35"/>
  <c r="EJ191" i="35" s="1"/>
  <c r="DY71" i="35"/>
  <c r="DW26" i="35"/>
  <c r="DW28" i="35" s="1"/>
  <c r="DW209" i="35"/>
  <c r="DW204" i="35" s="1"/>
  <c r="EG209" i="35"/>
  <c r="EG204" i="35" s="1"/>
  <c r="EL38" i="35"/>
  <c r="EL40" i="35" s="1"/>
  <c r="EV38" i="35"/>
  <c r="EV40" i="35" s="1"/>
  <c r="DU16" i="35"/>
  <c r="DZ410" i="36"/>
  <c r="G190" i="37"/>
  <c r="H188" i="37"/>
  <c r="EH634" i="36"/>
  <c r="EH652" i="36" s="1"/>
  <c r="EB143" i="35"/>
  <c r="EB145" i="35" s="1"/>
  <c r="EB146" i="35" s="1"/>
  <c r="DV16" i="35"/>
  <c r="EZ184" i="35"/>
  <c r="FA184" i="35" s="1"/>
  <c r="FB184" i="35" s="1"/>
  <c r="FC184" i="35" s="1"/>
  <c r="EE484" i="36"/>
  <c r="EN72" i="35"/>
  <c r="EA38" i="35"/>
  <c r="EA40" i="35" s="1"/>
  <c r="ED148" i="35"/>
  <c r="FN632" i="36"/>
  <c r="DY72" i="35"/>
  <c r="EA209" i="35"/>
  <c r="EA204" i="35" s="1"/>
  <c r="EP168" i="35"/>
  <c r="EK209" i="35"/>
  <c r="EK204" i="35" s="1"/>
  <c r="EF168" i="35"/>
  <c r="EA202" i="35"/>
  <c r="EM208" i="35"/>
  <c r="EM209" i="35" s="1"/>
  <c r="EM204" i="35" s="1"/>
  <c r="EK259" i="36"/>
  <c r="EK258" i="36" s="1"/>
  <c r="FH98" i="35"/>
  <c r="DZ168" i="35"/>
  <c r="EK185" i="35"/>
  <c r="EK191" i="35" s="1"/>
  <c r="ER202" i="35"/>
  <c r="ER211" i="35" s="1"/>
  <c r="ER212" i="35" s="1"/>
  <c r="EQ314" i="36"/>
  <c r="EQ337" i="36" s="1"/>
  <c r="EM318" i="36"/>
  <c r="EM341" i="36" s="1"/>
  <c r="FF26" i="35"/>
  <c r="FF28" i="35" s="1"/>
  <c r="EE70" i="36"/>
  <c r="EE71" i="36" s="1"/>
  <c r="EG78" i="36"/>
  <c r="DY24" i="35"/>
  <c r="FC98" i="35"/>
  <c r="FH165" i="35"/>
  <c r="EC54" i="35"/>
  <c r="EH209" i="35"/>
  <c r="EH204" i="35" s="1"/>
  <c r="FC103" i="35"/>
  <c r="ER430" i="36"/>
  <c r="ER429" i="36" s="1"/>
  <c r="ER434" i="36" s="1"/>
  <c r="EY179" i="35"/>
  <c r="EZ179" i="35" s="1"/>
  <c r="FA179" i="35" s="1"/>
  <c r="FB179" i="35" s="1"/>
  <c r="FC179" i="35" s="1"/>
  <c r="FD179" i="35" s="1"/>
  <c r="FE179" i="35" s="1"/>
  <c r="FF179" i="35" s="1"/>
  <c r="FG179" i="35" s="1"/>
  <c r="FH179" i="35" s="1"/>
  <c r="FI179" i="35" s="1"/>
  <c r="FJ179" i="35" s="1"/>
  <c r="FK179" i="35" s="1"/>
  <c r="FL179" i="35" s="1"/>
  <c r="FM179" i="35" s="1"/>
  <c r="ED67" i="35"/>
  <c r="DY78" i="35"/>
  <c r="ES78" i="35"/>
  <c r="EA143" i="35"/>
  <c r="EA145" i="35" s="1"/>
  <c r="EA146" i="35" s="1"/>
  <c r="EB26" i="35"/>
  <c r="EB28" i="35" s="1"/>
  <c r="ED23" i="35"/>
  <c r="DW38" i="35"/>
  <c r="DW40" i="35" s="1"/>
  <c r="EG38" i="35"/>
  <c r="EG40" i="35" s="1"/>
  <c r="EQ38" i="35"/>
  <c r="EQ40" i="35" s="1"/>
  <c r="FK38" i="35"/>
  <c r="FK40" i="35" s="1"/>
  <c r="EN66" i="35"/>
  <c r="DY67" i="35"/>
  <c r="ES72" i="35"/>
  <c r="EK91" i="35"/>
  <c r="FC165" i="35"/>
  <c r="EN98" i="35"/>
  <c r="ED141" i="35"/>
  <c r="EB114" i="36"/>
  <c r="EB113" i="36" s="1"/>
  <c r="EZ117" i="35"/>
  <c r="FD103" i="35"/>
  <c r="FH103" i="35" s="1"/>
  <c r="EK55" i="36"/>
  <c r="EL114" i="36"/>
  <c r="EL113" i="36" s="1"/>
  <c r="EJ127" i="36"/>
  <c r="EL187" i="36"/>
  <c r="EL253" i="36"/>
  <c r="ER314" i="36"/>
  <c r="ER337" i="36" s="1"/>
  <c r="FB26" i="35"/>
  <c r="FB28" i="35" s="1"/>
  <c r="FB40" i="35"/>
  <c r="FB117" i="35"/>
  <c r="FG186" i="36"/>
  <c r="EI115" i="35"/>
  <c r="ED136" i="35"/>
  <c r="ED137" i="35"/>
  <c r="FI173" i="35"/>
  <c r="FJ173" i="35" s="1"/>
  <c r="FK173" i="35" s="1"/>
  <c r="FL173" i="35" s="1"/>
  <c r="FM173" i="35" s="1"/>
  <c r="EB185" i="35"/>
  <c r="EA123" i="36"/>
  <c r="EA125" i="36" s="1"/>
  <c r="EA124" i="36" s="1"/>
  <c r="DW112" i="36"/>
  <c r="DW114" i="36" s="1"/>
  <c r="DW113" i="36" s="1"/>
  <c r="DX38" i="35"/>
  <c r="DX40" i="35" s="1"/>
  <c r="ED48" i="36"/>
  <c r="EM137" i="36"/>
  <c r="EM136" i="36" s="1"/>
  <c r="EZ26" i="35"/>
  <c r="EZ28" i="35" s="1"/>
  <c r="FD26" i="35"/>
  <c r="FD28" i="35" s="1"/>
  <c r="EQ117" i="36"/>
  <c r="FM38" i="35"/>
  <c r="FM40" i="35" s="1"/>
  <c r="EO187" i="36"/>
  <c r="EE189" i="36"/>
  <c r="EA314" i="36"/>
  <c r="EA337" i="36" s="1"/>
  <c r="EK496" i="36"/>
  <c r="EL496" i="36" s="1"/>
  <c r="EM496" i="36" s="1"/>
  <c r="EU494" i="36"/>
  <c r="FC17" i="35"/>
  <c r="FD479" i="36"/>
  <c r="FH580" i="36"/>
  <c r="DX635" i="36"/>
  <c r="DX640" i="36" s="1"/>
  <c r="ED39" i="35"/>
  <c r="EF644" i="36"/>
  <c r="EL318" i="36"/>
  <c r="EL341" i="36" s="1"/>
  <c r="EY26" i="35"/>
  <c r="EY28" i="35" s="1"/>
  <c r="EC270" i="36"/>
  <c r="EC269" i="36" s="1"/>
  <c r="EW458" i="36"/>
  <c r="FE26" i="35"/>
  <c r="FE28" i="35" s="1"/>
  <c r="EN483" i="36"/>
  <c r="ER484" i="36"/>
  <c r="EH491" i="36"/>
  <c r="EP307" i="36"/>
  <c r="ED11" i="36"/>
  <c r="FE186" i="36"/>
  <c r="FH23" i="35"/>
  <c r="EM261" i="36"/>
  <c r="EO272" i="36"/>
  <c r="EF581" i="36"/>
  <c r="EF585" i="36" s="1"/>
  <c r="FC580" i="36"/>
  <c r="FC23" i="35"/>
  <c r="EF330" i="36"/>
  <c r="EJ491" i="36"/>
  <c r="EO491" i="36"/>
  <c r="EP491" i="36" s="1"/>
  <c r="EQ491" i="36" s="1"/>
  <c r="ER491" i="36" s="1"/>
  <c r="EJ496" i="36"/>
  <c r="FH469" i="36"/>
  <c r="EF100" i="36"/>
  <c r="DW650" i="36"/>
  <c r="EF635" i="36"/>
  <c r="EF640" i="36" s="1"/>
  <c r="ED660" i="36"/>
  <c r="EF34" i="36"/>
  <c r="EF35" i="36"/>
  <c r="EF60" i="36"/>
  <c r="EF62" i="36" s="1"/>
  <c r="EF63" i="36" s="1"/>
  <c r="FC24" i="35"/>
  <c r="EF233" i="36"/>
  <c r="EM55" i="36"/>
  <c r="FH24" i="35"/>
  <c r="FH36" i="35"/>
  <c r="EG432" i="36"/>
  <c r="EY36" i="35"/>
  <c r="FC32" i="35"/>
  <c r="ET87" i="36"/>
  <c r="ET96" i="36" s="1"/>
  <c r="EP117" i="36"/>
  <c r="EF137" i="36"/>
  <c r="EF136" i="36" s="1"/>
  <c r="ED202" i="36"/>
  <c r="ED205" i="36"/>
  <c r="EH307" i="36"/>
  <c r="ER307" i="36"/>
  <c r="EF324" i="36"/>
  <c r="DY588" i="36"/>
  <c r="DX593" i="36" s="1"/>
  <c r="EF181" i="36"/>
  <c r="EF200" i="36" s="1"/>
  <c r="EM139" i="36"/>
  <c r="ER330" i="36"/>
  <c r="FH29" i="36"/>
  <c r="FC22" i="35"/>
  <c r="EC38" i="35"/>
  <c r="EC40" i="35" s="1"/>
  <c r="EG45" i="35"/>
  <c r="EI45" i="35" s="1"/>
  <c r="EE91" i="36"/>
  <c r="EA114" i="36"/>
  <c r="EA113" i="36" s="1"/>
  <c r="EO139" i="36"/>
  <c r="EJ326" i="36"/>
  <c r="EJ67" i="36"/>
  <c r="EJ43" i="35" s="1"/>
  <c r="EN43" i="35" s="1"/>
  <c r="ER112" i="36"/>
  <c r="ER114" i="36" s="1"/>
  <c r="ER113" i="36" s="1"/>
  <c r="EE195" i="36"/>
  <c r="EH428" i="36"/>
  <c r="EH430" i="36" s="1"/>
  <c r="EH429" i="36" s="1"/>
  <c r="EH434" i="36" s="1"/>
  <c r="ES583" i="36"/>
  <c r="EX29" i="36"/>
  <c r="DY54" i="36"/>
  <c r="DZ67" i="36"/>
  <c r="DZ43" i="35" s="1"/>
  <c r="EO100" i="36"/>
  <c r="EQ139" i="36"/>
  <c r="EL330" i="36"/>
  <c r="EA643" i="36"/>
  <c r="EB644" i="36"/>
  <c r="EW26" i="35"/>
  <c r="EW28" i="35" s="1"/>
  <c r="DV112" i="36"/>
  <c r="DV114" i="36" s="1"/>
  <c r="DV113" i="36" s="1"/>
  <c r="FF186" i="36"/>
  <c r="EG318" i="36"/>
  <c r="EG341" i="36" s="1"/>
  <c r="EE642" i="36"/>
  <c r="EB635" i="36"/>
  <c r="EB640" i="36" s="1"/>
  <c r="FC29" i="36"/>
  <c r="FH17" i="35"/>
  <c r="FA325" i="36"/>
  <c r="FC469" i="36"/>
  <c r="FH22" i="35"/>
  <c r="FA26" i="35"/>
  <c r="FA28" i="35" s="1"/>
  <c r="FG26" i="35"/>
  <c r="FG28" i="35" s="1"/>
  <c r="FG40" i="35"/>
  <c r="FH32" i="35"/>
  <c r="FI175" i="35"/>
  <c r="FJ175" i="35" s="1"/>
  <c r="FK175" i="35" s="1"/>
  <c r="FL175" i="35" s="1"/>
  <c r="FM175" i="35" s="1"/>
  <c r="FI174" i="35"/>
  <c r="FJ174" i="35" s="1"/>
  <c r="FK174" i="35" s="1"/>
  <c r="FL174" i="35" s="1"/>
  <c r="FM174" i="35" s="1"/>
  <c r="FD172" i="35"/>
  <c r="FE172" i="35" s="1"/>
  <c r="FF172" i="35" s="1"/>
  <c r="FG172" i="35" s="1"/>
  <c r="FH172" i="35" s="1"/>
  <c r="FI172" i="35" s="1"/>
  <c r="FJ172" i="35" s="1"/>
  <c r="FK172" i="35" s="1"/>
  <c r="FL172" i="35" s="1"/>
  <c r="FM172" i="35" s="1"/>
  <c r="FB67" i="35"/>
  <c r="EL85" i="35"/>
  <c r="EL91" i="35" s="1"/>
  <c r="ES108" i="35"/>
  <c r="EU26" i="35"/>
  <c r="EU28" i="35" s="1"/>
  <c r="EI78" i="35"/>
  <c r="EN116" i="35"/>
  <c r="ED140" i="35"/>
  <c r="DY171" i="35"/>
  <c r="ER185" i="35"/>
  <c r="ES185" i="35" s="1"/>
  <c r="DV26" i="35"/>
  <c r="DV28" i="35" s="1"/>
  <c r="EF26" i="35"/>
  <c r="EF28" i="35" s="1"/>
  <c r="EM38" i="35"/>
  <c r="EM40" i="35" s="1"/>
  <c r="EW38" i="35"/>
  <c r="EW40" i="35" s="1"/>
  <c r="DY53" i="35"/>
  <c r="DY54" i="35" s="1"/>
  <c r="EQ54" i="35"/>
  <c r="ES67" i="35"/>
  <c r="ES115" i="35"/>
  <c r="EN102" i="35"/>
  <c r="DW16" i="35"/>
  <c r="EH54" i="35"/>
  <c r="DX209" i="35"/>
  <c r="DX204" i="35" s="1"/>
  <c r="ES114" i="35"/>
  <c r="EI131" i="35"/>
  <c r="ED208" i="35"/>
  <c r="DX16" i="35"/>
  <c r="DY23" i="35"/>
  <c r="DV38" i="35"/>
  <c r="DV40" i="35" s="1"/>
  <c r="EN53" i="35"/>
  <c r="DY75" i="35"/>
  <c r="DY167" i="35" s="1"/>
  <c r="EB91" i="35"/>
  <c r="EB92" i="35" s="1"/>
  <c r="EN115" i="35"/>
  <c r="EI147" i="35"/>
  <c r="DV185" i="35"/>
  <c r="EG176" i="35"/>
  <c r="EG180" i="35" s="1"/>
  <c r="DY15" i="35"/>
  <c r="EA54" i="35"/>
  <c r="EI141" i="35"/>
  <c r="ES141" i="35"/>
  <c r="EN166" i="35"/>
  <c r="EQ185" i="35"/>
  <c r="EQ191" i="35" s="1"/>
  <c r="EL54" i="35"/>
  <c r="EF143" i="35"/>
  <c r="EF145" i="35" s="1"/>
  <c r="EF146" i="35" s="1"/>
  <c r="EH185" i="35"/>
  <c r="EI185" i="35" s="1"/>
  <c r="EI67" i="35"/>
  <c r="EC91" i="35"/>
  <c r="ED91" i="35" s="1"/>
  <c r="ES98" i="35"/>
  <c r="EN112" i="35"/>
  <c r="ED131" i="35"/>
  <c r="EI137" i="35"/>
  <c r="EI138" i="35"/>
  <c r="EI144" i="35"/>
  <c r="DX176" i="35"/>
  <c r="DX180" i="35" s="1"/>
  <c r="DY180" i="35" s="1"/>
  <c r="EI208" i="35"/>
  <c r="DU185" i="35"/>
  <c r="ES22" i="35"/>
  <c r="DY25" i="35"/>
  <c r="EK38" i="35"/>
  <c r="EK40" i="35" s="1"/>
  <c r="EU38" i="35"/>
  <c r="EU40" i="35" s="1"/>
  <c r="FL38" i="35"/>
  <c r="FL40" i="35" s="1"/>
  <c r="ED53" i="35"/>
  <c r="ED65" i="35"/>
  <c r="ED72" i="35"/>
  <c r="EA86" i="35"/>
  <c r="EN100" i="35"/>
  <c r="EC143" i="35"/>
  <c r="EC145" i="35" s="1"/>
  <c r="EC146" i="35" s="1"/>
  <c r="DW176" i="35"/>
  <c r="DW180" i="35" s="1"/>
  <c r="EF176" i="35"/>
  <c r="EF180" i="35" s="1"/>
  <c r="EF198" i="35"/>
  <c r="ED75" i="35"/>
  <c r="ED167" i="35" s="1"/>
  <c r="EE176" i="35"/>
  <c r="EE180" i="35" s="1"/>
  <c r="EE185" i="35"/>
  <c r="EB38" i="35"/>
  <c r="EB40" i="35" s="1"/>
  <c r="FN35" i="35"/>
  <c r="FN39" i="35"/>
  <c r="EK54" i="35"/>
  <c r="DZ54" i="35"/>
  <c r="DY66" i="35"/>
  <c r="EI99" i="35"/>
  <c r="EI101" i="35"/>
  <c r="EN114" i="35"/>
  <c r="DW185" i="35"/>
  <c r="EG185" i="35"/>
  <c r="EP185" i="35"/>
  <c r="EP191" i="35" s="1"/>
  <c r="EG198" i="35"/>
  <c r="DY65" i="35"/>
  <c r="EB54" i="35"/>
  <c r="EN71" i="35"/>
  <c r="EC209" i="35"/>
  <c r="EC204" i="35" s="1"/>
  <c r="EE89" i="35"/>
  <c r="EE87" i="35" s="1"/>
  <c r="EF89" i="35" s="1"/>
  <c r="EI100" i="35"/>
  <c r="EN117" i="35"/>
  <c r="ED138" i="35"/>
  <c r="ED139" i="35"/>
  <c r="ER198" i="35"/>
  <c r="EH168" i="35"/>
  <c r="EN78" i="35"/>
  <c r="EN101" i="35"/>
  <c r="EI108" i="35"/>
  <c r="EN113" i="35"/>
  <c r="EI116" i="35"/>
  <c r="EI142" i="35"/>
  <c r="EI166" i="35"/>
  <c r="EI182" i="35"/>
  <c r="ED22" i="35"/>
  <c r="ED25" i="35"/>
  <c r="EP38" i="35"/>
  <c r="EP40" i="35" s="1"/>
  <c r="EN65" i="35"/>
  <c r="DV209" i="35"/>
  <c r="DV204" i="35" s="1"/>
  <c r="EF209" i="35"/>
  <c r="EF204" i="35" s="1"/>
  <c r="ES75" i="35"/>
  <c r="ES167" i="35" s="1"/>
  <c r="EL97" i="35"/>
  <c r="EX98" i="35"/>
  <c r="EI102" i="35"/>
  <c r="ES102" i="35"/>
  <c r="EI114" i="35"/>
  <c r="EI118" i="35"/>
  <c r="EL185" i="35"/>
  <c r="EL191" i="35" s="1"/>
  <c r="FH494" i="36"/>
  <c r="FC494" i="36"/>
  <c r="FE330" i="36"/>
  <c r="FD326" i="36"/>
  <c r="FF326" i="36"/>
  <c r="EH38" i="35"/>
  <c r="EH40" i="35" s="1"/>
  <c r="EX48" i="36"/>
  <c r="EC46" i="35"/>
  <c r="EE44" i="35"/>
  <c r="EE46" i="35" s="1"/>
  <c r="EB283" i="36"/>
  <c r="EB420" i="36" s="1"/>
  <c r="EC112" i="36"/>
  <c r="EC114" i="36" s="1"/>
  <c r="EC113" i="36" s="1"/>
  <c r="EI11" i="36"/>
  <c r="EQ26" i="35"/>
  <c r="EQ28" i="35" s="1"/>
  <c r="EO189" i="36"/>
  <c r="ET188" i="36"/>
  <c r="EY188" i="36" s="1"/>
  <c r="FD188" i="36" s="1"/>
  <c r="ET194" i="36"/>
  <c r="EY194" i="36" s="1"/>
  <c r="FD194" i="36" s="1"/>
  <c r="EO195" i="36"/>
  <c r="EO432" i="36"/>
  <c r="EP428" i="36"/>
  <c r="EP430" i="36" s="1"/>
  <c r="EP429" i="36" s="1"/>
  <c r="EP434" i="36" s="1"/>
  <c r="EJ484" i="36"/>
  <c r="DZ17" i="35"/>
  <c r="ED17" i="35" s="1"/>
  <c r="ER26" i="35"/>
  <c r="ER28" i="35" s="1"/>
  <c r="EN87" i="36"/>
  <c r="EJ96" i="36"/>
  <c r="EN96" i="36" s="1"/>
  <c r="EG100" i="36"/>
  <c r="ET26" i="35"/>
  <c r="ET28" i="35" s="1"/>
  <c r="EX24" i="35"/>
  <c r="EA60" i="36"/>
  <c r="ED69" i="36"/>
  <c r="EH100" i="36"/>
  <c r="EI99" i="36"/>
  <c r="EN101" i="36" s="1"/>
  <c r="EL272" i="36"/>
  <c r="EM268" i="36"/>
  <c r="EM315" i="36" s="1"/>
  <c r="EM338" i="36" s="1"/>
  <c r="EI580" i="36"/>
  <c r="EL261" i="36"/>
  <c r="EM257" i="36"/>
  <c r="EM599" i="36" s="1"/>
  <c r="EM493" i="36" s="1"/>
  <c r="EF38" i="35"/>
  <c r="EF40" i="35" s="1"/>
  <c r="DY39" i="35"/>
  <c r="EP100" i="36"/>
  <c r="EL140" i="36"/>
  <c r="EE187" i="36"/>
  <c r="EM195" i="36"/>
  <c r="ER253" i="36"/>
  <c r="EO390" i="36"/>
  <c r="EV494" i="36"/>
  <c r="DY573" i="36"/>
  <c r="DU577" i="36" s="1"/>
  <c r="EI636" i="36"/>
  <c r="DU663" i="36"/>
  <c r="EE663" i="36"/>
  <c r="FD458" i="36"/>
  <c r="EG114" i="36"/>
  <c r="EG113" i="36" s="1"/>
  <c r="EM132" i="36"/>
  <c r="EB314" i="36"/>
  <c r="EB337" i="36" s="1"/>
  <c r="EQ259" i="36"/>
  <c r="ER318" i="36"/>
  <c r="ER341" i="36" s="1"/>
  <c r="EG390" i="36"/>
  <c r="ET99" i="36"/>
  <c r="EY99" i="36" s="1"/>
  <c r="FD99" i="36" s="1"/>
  <c r="EF143" i="36"/>
  <c r="EG272" i="36"/>
  <c r="ER304" i="36"/>
  <c r="ER303" i="36" s="1"/>
  <c r="DZ324" i="36"/>
  <c r="ER326" i="36"/>
  <c r="EL484" i="36"/>
  <c r="FD494" i="36"/>
  <c r="EF116" i="36"/>
  <c r="EF132" i="36"/>
  <c r="EC430" i="36"/>
  <c r="EM430" i="36"/>
  <c r="EM429" i="36" s="1"/>
  <c r="EM434" i="36" s="1"/>
  <c r="EM432" i="36"/>
  <c r="ES433" i="36"/>
  <c r="EI583" i="36"/>
  <c r="DW635" i="36"/>
  <c r="DW637" i="36" s="1"/>
  <c r="EG635" i="36"/>
  <c r="EG640" i="36" s="1"/>
  <c r="EQ127" i="36"/>
  <c r="EF187" i="36"/>
  <c r="EG210" i="36"/>
  <c r="EG213" i="36"/>
  <c r="EJ272" i="36"/>
  <c r="EJ330" i="36"/>
  <c r="EW329" i="36"/>
  <c r="FB329" i="36" s="1"/>
  <c r="FG329" i="36" s="1"/>
  <c r="EE351" i="36"/>
  <c r="EB642" i="36"/>
  <c r="EF575" i="36"/>
  <c r="EM189" i="36"/>
  <c r="EH318" i="36"/>
  <c r="EH341" i="36" s="1"/>
  <c r="EK304" i="36"/>
  <c r="EK303" i="36" s="1"/>
  <c r="EL326" i="36"/>
  <c r="FF479" i="36"/>
  <c r="FF494" i="36"/>
  <c r="FG479" i="36"/>
  <c r="FG494" i="36"/>
  <c r="FE458" i="36"/>
  <c r="FF458" i="36"/>
  <c r="FG458" i="36"/>
  <c r="FE479" i="36"/>
  <c r="FE494" i="36"/>
  <c r="EI43" i="35"/>
  <c r="EA96" i="36"/>
  <c r="EM101" i="36"/>
  <c r="EK112" i="36"/>
  <c r="EK114" i="36" s="1"/>
  <c r="EK113" i="36" s="1"/>
  <c r="EK561" i="36" s="1"/>
  <c r="EK559" i="36" s="1"/>
  <c r="EH135" i="36"/>
  <c r="EH439" i="36" s="1"/>
  <c r="EN138" i="36"/>
  <c r="EO135" i="36" s="1"/>
  <c r="EO137" i="36" s="1"/>
  <c r="EO136" i="36" s="1"/>
  <c r="EH210" i="36"/>
  <c r="EF213" i="36"/>
  <c r="EW325" i="36"/>
  <c r="FB325" i="36" s="1"/>
  <c r="EI59" i="36"/>
  <c r="EL132" i="36"/>
  <c r="EO430" i="36"/>
  <c r="EO429" i="36" s="1"/>
  <c r="EA132" i="36"/>
  <c r="ES24" i="35"/>
  <c r="EX32" i="35"/>
  <c r="EH78" i="36"/>
  <c r="DY105" i="36"/>
  <c r="EM112" i="36"/>
  <c r="EM180" i="36" s="1"/>
  <c r="ED115" i="36"/>
  <c r="EE112" i="36" s="1"/>
  <c r="EI112" i="36" s="1"/>
  <c r="EA117" i="36"/>
  <c r="EP26" i="35"/>
  <c r="EP28" i="35" s="1"/>
  <c r="EB117" i="36"/>
  <c r="EP135" i="36"/>
  <c r="EP182" i="36" s="1"/>
  <c r="EP203" i="36" s="1"/>
  <c r="EF140" i="36"/>
  <c r="EL180" i="36"/>
  <c r="EL199" i="36" s="1"/>
  <c r="EL601" i="36"/>
  <c r="EL623" i="36" s="1"/>
  <c r="EL315" i="36"/>
  <c r="EL338" i="36" s="1"/>
  <c r="EP318" i="36"/>
  <c r="EP341" i="36" s="1"/>
  <c r="EG307" i="36"/>
  <c r="EJ432" i="36"/>
  <c r="EQ430" i="36"/>
  <c r="EQ429" i="36" s="1"/>
  <c r="EQ434" i="36" s="1"/>
  <c r="FN27" i="35"/>
  <c r="EI32" i="35"/>
  <c r="ER38" i="35"/>
  <c r="ER40" i="35" s="1"/>
  <c r="EE38" i="35"/>
  <c r="EE40" i="35" s="1"/>
  <c r="EC91" i="36"/>
  <c r="ED99" i="36"/>
  <c r="EC99" i="36" s="1"/>
  <c r="EH101" i="36" s="1"/>
  <c r="EF131" i="36"/>
  <c r="EN128" i="36"/>
  <c r="EG181" i="36"/>
  <c r="EG200" i="36" s="1"/>
  <c r="EM262" i="36"/>
  <c r="EN260" i="36"/>
  <c r="EO257" i="36" s="1"/>
  <c r="EG268" i="36"/>
  <c r="EG601" i="36" s="1"/>
  <c r="EG623" i="36" s="1"/>
  <c r="EF272" i="36"/>
  <c r="ES32" i="35"/>
  <c r="FN32" i="35" s="1"/>
  <c r="EB60" i="36"/>
  <c r="DY87" i="36"/>
  <c r="EN436" i="36"/>
  <c r="EM100" i="36"/>
  <c r="EQ132" i="36"/>
  <c r="ED128" i="36"/>
  <c r="EM140" i="36"/>
  <c r="EF195" i="36"/>
  <c r="DZ431" i="36"/>
  <c r="EE432" i="36" s="1"/>
  <c r="EB428" i="36"/>
  <c r="EB430" i="36" s="1"/>
  <c r="EB429" i="36" s="1"/>
  <c r="FI583" i="36"/>
  <c r="EV96" i="36"/>
  <c r="FA87" i="36"/>
  <c r="EQ307" i="36"/>
  <c r="EQ302" i="36"/>
  <c r="EQ318" i="36" s="1"/>
  <c r="EQ341" i="36" s="1"/>
  <c r="ES23" i="35"/>
  <c r="EF46" i="35"/>
  <c r="ED58" i="36"/>
  <c r="DU112" i="36"/>
  <c r="DY112" i="36" s="1"/>
  <c r="EG168" i="36"/>
  <c r="ER117" i="36"/>
  <c r="EM123" i="36"/>
  <c r="ER132" i="36"/>
  <c r="EI128" i="36"/>
  <c r="ES128" i="36"/>
  <c r="EL195" i="36"/>
  <c r="EF210" i="36"/>
  <c r="EP262" i="36"/>
  <c r="EE330" i="36"/>
  <c r="ER261" i="36"/>
  <c r="EN273" i="36"/>
  <c r="EF307" i="36"/>
  <c r="EH351" i="36"/>
  <c r="EF370" i="36"/>
  <c r="EF430" i="36"/>
  <c r="EF429" i="36" s="1"/>
  <c r="EF434" i="36" s="1"/>
  <c r="EG491" i="36"/>
  <c r="EF496" i="36"/>
  <c r="EX580" i="36"/>
  <c r="EN583" i="36"/>
  <c r="EN584" i="36"/>
  <c r="EC642" i="36"/>
  <c r="EC644" i="36"/>
  <c r="EB663" i="36"/>
  <c r="DY661" i="36"/>
  <c r="EQ272" i="36"/>
  <c r="EF318" i="36"/>
  <c r="EF341" i="36" s="1"/>
  <c r="EF342" i="36" s="1"/>
  <c r="EF479" i="36"/>
  <c r="EN582" i="36"/>
  <c r="DV650" i="36"/>
  <c r="EF253" i="36"/>
  <c r="EP253" i="36"/>
  <c r="ER272" i="36"/>
  <c r="EF304" i="36"/>
  <c r="EF303" i="36" s="1"/>
  <c r="EF390" i="36"/>
  <c r="EG430" i="36"/>
  <c r="EG429" i="36" s="1"/>
  <c r="EG434" i="36" s="1"/>
  <c r="ER432" i="36"/>
  <c r="EG479" i="36"/>
  <c r="EI584" i="36"/>
  <c r="EG644" i="36"/>
  <c r="DY659" i="36"/>
  <c r="EF663" i="36"/>
  <c r="EG253" i="36"/>
  <c r="EQ253" i="36"/>
  <c r="EB259" i="36"/>
  <c r="ES273" i="36"/>
  <c r="ES305" i="36"/>
  <c r="ET302" i="36" s="1"/>
  <c r="EX302" i="36" s="1"/>
  <c r="EQ432" i="36"/>
  <c r="ET458" i="36"/>
  <c r="EH479" i="36"/>
  <c r="EI630" i="36"/>
  <c r="EI642" i="36" s="1"/>
  <c r="DW663" i="36"/>
  <c r="EG663" i="36"/>
  <c r="ED661" i="36"/>
  <c r="EH253" i="36"/>
  <c r="EA259" i="36"/>
  <c r="EA258" i="36" s="1"/>
  <c r="EC259" i="36"/>
  <c r="EK272" i="36"/>
  <c r="EH304" i="36"/>
  <c r="EH303" i="36" s="1"/>
  <c r="ER324" i="36"/>
  <c r="EG330" i="36"/>
  <c r="EF348" i="36"/>
  <c r="EI343" i="36"/>
  <c r="EI582" i="36"/>
  <c r="EE643" i="36"/>
  <c r="DZ644" i="36"/>
  <c r="DX663" i="36"/>
  <c r="ED251" i="36"/>
  <c r="EI273" i="36"/>
  <c r="EM304" i="36"/>
  <c r="EF351" i="36"/>
  <c r="ES388" i="36"/>
  <c r="EV458" i="36"/>
  <c r="EX469" i="36"/>
  <c r="EY479" i="36"/>
  <c r="ES580" i="36"/>
  <c r="ED588" i="36"/>
  <c r="DZ593" i="36" s="1"/>
  <c r="EA642" i="36"/>
  <c r="DV635" i="36"/>
  <c r="DV637" i="36" s="1"/>
  <c r="EA644" i="36"/>
  <c r="DV663" i="36"/>
  <c r="EY494" i="36"/>
  <c r="EY458" i="36"/>
  <c r="FA479" i="36"/>
  <c r="FA458" i="36"/>
  <c r="FA494" i="36"/>
  <c r="FB479" i="36"/>
  <c r="FB494" i="36"/>
  <c r="EZ458" i="36"/>
  <c r="FB458" i="36"/>
  <c r="EZ479" i="36"/>
  <c r="EZ494" i="36"/>
  <c r="EO120" i="35"/>
  <c r="DX26" i="35"/>
  <c r="DX28" i="35" s="1"/>
  <c r="EG26" i="35"/>
  <c r="EG28" i="35" s="1"/>
  <c r="EJ54" i="35"/>
  <c r="ER54" i="35"/>
  <c r="EM97" i="35"/>
  <c r="DZ99" i="35"/>
  <c r="ED99" i="35" s="1"/>
  <c r="ED66" i="35"/>
  <c r="EI66" i="35"/>
  <c r="EU66" i="35"/>
  <c r="ET99" i="35"/>
  <c r="ES71" i="35"/>
  <c r="EE207" i="35"/>
  <c r="EI73" i="35"/>
  <c r="EN73" i="35"/>
  <c r="DV167" i="35"/>
  <c r="DV168" i="35" s="1"/>
  <c r="EE167" i="35"/>
  <c r="EE168" i="35" s="1"/>
  <c r="EI75" i="35"/>
  <c r="EK148" i="35"/>
  <c r="EK133" i="35"/>
  <c r="DY99" i="35"/>
  <c r="ER99" i="35"/>
  <c r="EP120" i="35"/>
  <c r="EN187" i="35"/>
  <c r="DY12" i="35"/>
  <c r="EI17" i="35"/>
  <c r="EX22" i="35"/>
  <c r="EC26" i="35"/>
  <c r="EC28" i="35" s="1"/>
  <c r="FN33" i="35"/>
  <c r="DZ36" i="35"/>
  <c r="ET38" i="35"/>
  <c r="ES43" i="35"/>
  <c r="EE97" i="35"/>
  <c r="EI65" i="35"/>
  <c r="EO207" i="35"/>
  <c r="ES73" i="35"/>
  <c r="DW167" i="35"/>
  <c r="DW168" i="35" s="1"/>
  <c r="EL148" i="35"/>
  <c r="EL133" i="35"/>
  <c r="EM85" i="35"/>
  <c r="EM91" i="35" s="1"/>
  <c r="EI112" i="35"/>
  <c r="EG120" i="35"/>
  <c r="DU120" i="35"/>
  <c r="EJ133" i="35"/>
  <c r="EM202" i="35"/>
  <c r="EM211" i="35" s="1"/>
  <c r="EM212" i="35" s="1"/>
  <c r="EL202" i="35"/>
  <c r="EA26" i="35"/>
  <c r="EA28" i="35" s="1"/>
  <c r="EX23" i="35"/>
  <c r="EO38" i="35"/>
  <c r="ES36" i="35"/>
  <c r="FN36" i="35" s="1"/>
  <c r="FN34" i="35"/>
  <c r="EF97" i="35"/>
  <c r="ES65" i="35"/>
  <c r="EO97" i="35"/>
  <c r="EN67" i="35"/>
  <c r="EW67" i="35"/>
  <c r="ED78" i="35"/>
  <c r="DY97" i="35"/>
  <c r="EH120" i="35"/>
  <c r="EU183" i="35"/>
  <c r="EV183" i="35" s="1"/>
  <c r="EW183" i="35" s="1"/>
  <c r="EX183" i="35" s="1"/>
  <c r="ET185" i="35"/>
  <c r="EV26" i="35"/>
  <c r="EV28" i="35" s="1"/>
  <c r="EM54" i="35"/>
  <c r="EG97" i="35"/>
  <c r="ED71" i="35"/>
  <c r="EI71" i="35"/>
  <c r="DY73" i="35"/>
  <c r="EE91" i="35"/>
  <c r="EI85" i="35"/>
  <c r="EN88" i="35"/>
  <c r="EO85" i="35" s="1"/>
  <c r="DZ120" i="35"/>
  <c r="EO26" i="35"/>
  <c r="FN37" i="35"/>
  <c r="FJ38" i="35"/>
  <c r="FJ40" i="35" s="1"/>
  <c r="EE54" i="35"/>
  <c r="EI53" i="35"/>
  <c r="EF91" i="35"/>
  <c r="EF120" i="35"/>
  <c r="EM120" i="35"/>
  <c r="EJ55" i="36"/>
  <c r="EN54" i="36"/>
  <c r="DY22" i="35"/>
  <c r="DW54" i="35"/>
  <c r="EF54" i="35"/>
  <c r="ES53" i="35"/>
  <c r="EO54" i="35"/>
  <c r="FI72" i="35"/>
  <c r="EG91" i="35"/>
  <c r="EJ99" i="35"/>
  <c r="EN99" i="35" s="1"/>
  <c r="ES101" i="35"/>
  <c r="EL120" i="35"/>
  <c r="EN141" i="35"/>
  <c r="EH197" i="35"/>
  <c r="EH176" i="35"/>
  <c r="EI171" i="35"/>
  <c r="EM167" i="35"/>
  <c r="EM168" i="35" s="1"/>
  <c r="EX17" i="35"/>
  <c r="EE26" i="35"/>
  <c r="DZ26" i="35"/>
  <c r="ED24" i="35"/>
  <c r="DU26" i="35"/>
  <c r="FI38" i="35"/>
  <c r="FI40" i="35" s="1"/>
  <c r="EJ36" i="35"/>
  <c r="DX54" i="35"/>
  <c r="EP99" i="35"/>
  <c r="ES66" i="35"/>
  <c r="EI72" i="35"/>
  <c r="EL167" i="35"/>
  <c r="EL168" i="35" s="1"/>
  <c r="ER133" i="35"/>
  <c r="ER148" i="35"/>
  <c r="EH91" i="35"/>
  <c r="EI98" i="35"/>
  <c r="EN108" i="35"/>
  <c r="EI113" i="35"/>
  <c r="ET117" i="35"/>
  <c r="EY117" i="35" s="1"/>
  <c r="DU167" i="35"/>
  <c r="DU168" i="35" s="1"/>
  <c r="EE120" i="35"/>
  <c r="DU36" i="35"/>
  <c r="ED207" i="35"/>
  <c r="DZ209" i="35"/>
  <c r="DZ204" i="35" s="1"/>
  <c r="EN75" i="35"/>
  <c r="EM133" i="35"/>
  <c r="DZ112" i="36"/>
  <c r="DZ114" i="36" s="1"/>
  <c r="DZ113" i="36" s="1"/>
  <c r="DZ117" i="36"/>
  <c r="EG283" i="36"/>
  <c r="EG180" i="36"/>
  <c r="EG618" i="36" s="1"/>
  <c r="EG171" i="36"/>
  <c r="EG132" i="36"/>
  <c r="EG116" i="36"/>
  <c r="EL116" i="36"/>
  <c r="EH117" i="36"/>
  <c r="EG117" i="36"/>
  <c r="EH112" i="36"/>
  <c r="EF148" i="35"/>
  <c r="EF133" i="35"/>
  <c r="FI87" i="35"/>
  <c r="EQ133" i="35"/>
  <c r="EI136" i="35"/>
  <c r="EE143" i="35"/>
  <c r="FC48" i="36"/>
  <c r="EB149" i="35"/>
  <c r="EN207" i="35"/>
  <c r="EN209" i="35" s="1"/>
  <c r="EJ209" i="35"/>
  <c r="EJ204" i="35" s="1"/>
  <c r="EG148" i="35"/>
  <c r="EG149" i="35" s="1"/>
  <c r="EG133" i="35"/>
  <c r="EO148" i="35"/>
  <c r="EO133" i="35"/>
  <c r="EI88" i="35"/>
  <c r="EJ85" i="35" s="1"/>
  <c r="DZ97" i="35"/>
  <c r="ED97" i="35" s="1"/>
  <c r="EH97" i="35"/>
  <c r="EP97" i="35"/>
  <c r="EJ120" i="35"/>
  <c r="EA149" i="35"/>
  <c r="EN213" i="35"/>
  <c r="FG67" i="35"/>
  <c r="DY207" i="35"/>
  <c r="DU209" i="35"/>
  <c r="DU204" i="35" s="1"/>
  <c r="EH148" i="35"/>
  <c r="EH149" i="35" s="1"/>
  <c r="EH133" i="35"/>
  <c r="EP148" i="35"/>
  <c r="EP133" i="35"/>
  <c r="EQ97" i="35"/>
  <c r="EG143" i="35"/>
  <c r="EG145" i="35" s="1"/>
  <c r="EG146" i="35" s="1"/>
  <c r="EI139" i="35"/>
  <c r="ED73" i="35"/>
  <c r="EJ97" i="35"/>
  <c r="ER97" i="35"/>
  <c r="EI117" i="35"/>
  <c r="DZ143" i="35"/>
  <c r="ED142" i="35"/>
  <c r="EN142" i="35"/>
  <c r="ED144" i="35"/>
  <c r="DZ197" i="35"/>
  <c r="DZ198" i="35" s="1"/>
  <c r="DZ176" i="35"/>
  <c r="DZ180" i="35" s="1"/>
  <c r="DY208" i="35"/>
  <c r="EI213" i="35"/>
  <c r="ED57" i="36"/>
  <c r="EC60" i="36"/>
  <c r="EN157" i="35"/>
  <c r="EA197" i="35"/>
  <c r="EA198" i="35" s="1"/>
  <c r="EA176" i="35"/>
  <c r="EA180" i="35" s="1"/>
  <c r="EV182" i="35"/>
  <c r="ED182" i="35"/>
  <c r="EC185" i="35"/>
  <c r="ED185" i="35" s="1"/>
  <c r="EK189" i="36"/>
  <c r="EP189" i="36"/>
  <c r="DX160" i="35"/>
  <c r="DX196" i="35"/>
  <c r="DY189" i="35"/>
  <c r="EX165" i="35"/>
  <c r="ES178" i="35"/>
  <c r="EF185" i="35"/>
  <c r="EO185" i="35"/>
  <c r="EO191" i="35" s="1"/>
  <c r="EF78" i="36"/>
  <c r="EF70" i="36"/>
  <c r="EF71" i="36" s="1"/>
  <c r="EI69" i="36"/>
  <c r="EI202" i="36"/>
  <c r="EE210" i="36"/>
  <c r="EE34" i="36"/>
  <c r="EI27" i="36"/>
  <c r="EI28" i="36"/>
  <c r="EC70" i="36"/>
  <c r="EC71" i="36" s="1"/>
  <c r="EF96" i="36"/>
  <c r="EI96" i="36" s="1"/>
  <c r="EF91" i="36"/>
  <c r="EE90" i="36" s="1"/>
  <c r="EQ114" i="36"/>
  <c r="EP114" i="36"/>
  <c r="EE123" i="36"/>
  <c r="ED147" i="35"/>
  <c r="EM185" i="35"/>
  <c r="EN185" i="35" s="1"/>
  <c r="EG202" i="35"/>
  <c r="EG211" i="35" s="1"/>
  <c r="EG212" i="35" s="1"/>
  <c r="EG34" i="36"/>
  <c r="EE35" i="36"/>
  <c r="EI57" i="36"/>
  <c r="EE60" i="36"/>
  <c r="EP96" i="36"/>
  <c r="EU87" i="36"/>
  <c r="EZ87" i="36" s="1"/>
  <c r="ES87" i="36"/>
  <c r="EQ436" i="36"/>
  <c r="EV99" i="36"/>
  <c r="FA99" i="36" s="1"/>
  <c r="FF99" i="36" s="1"/>
  <c r="EQ101" i="36"/>
  <c r="EQ100" i="36"/>
  <c r="EC130" i="36"/>
  <c r="EB125" i="36"/>
  <c r="EB124" i="36" s="1"/>
  <c r="ES171" i="35"/>
  <c r="DX185" i="35"/>
  <c r="EN196" i="35"/>
  <c r="DZ202" i="35"/>
  <c r="EH202" i="35"/>
  <c r="EH211" i="35" s="1"/>
  <c r="EH212" i="35" s="1"/>
  <c r="EP202" i="35"/>
  <c r="EP211" i="35" s="1"/>
  <c r="EP212" i="35" s="1"/>
  <c r="EO55" i="36"/>
  <c r="ES54" i="36"/>
  <c r="DZ96" i="36"/>
  <c r="ED87" i="36"/>
  <c r="DZ86" i="36"/>
  <c r="DZ91" i="36"/>
  <c r="EI87" i="36"/>
  <c r="EW99" i="36"/>
  <c r="FB99" i="36" s="1"/>
  <c r="ER101" i="36"/>
  <c r="ER100" i="36"/>
  <c r="ES99" i="36"/>
  <c r="ES101" i="36" s="1"/>
  <c r="EP140" i="36"/>
  <c r="EP139" i="36"/>
  <c r="EQ135" i="36"/>
  <c r="EQ168" i="36" s="1"/>
  <c r="ED171" i="35"/>
  <c r="EB176" i="35"/>
  <c r="EB180" i="35" s="1"/>
  <c r="ER176" i="35"/>
  <c r="ES176" i="35" s="1"/>
  <c r="ED27" i="36"/>
  <c r="ED28" i="36"/>
  <c r="EG35" i="36"/>
  <c r="EL55" i="36"/>
  <c r="EI67" i="36"/>
  <c r="EQ96" i="36"/>
  <c r="EG439" i="36"/>
  <c r="EG182" i="36"/>
  <c r="EG203" i="36" s="1"/>
  <c r="EG137" i="36"/>
  <c r="EH140" i="36"/>
  <c r="EI138" i="36"/>
  <c r="EJ140" i="36" s="1"/>
  <c r="DU176" i="35"/>
  <c r="DU180" i="35" s="1"/>
  <c r="EC176" i="35"/>
  <c r="ED176" i="35" s="1"/>
  <c r="EN178" i="35"/>
  <c r="ES187" i="35"/>
  <c r="EH35" i="36"/>
  <c r="EI48" i="36"/>
  <c r="EQ55" i="36"/>
  <c r="ED59" i="36"/>
  <c r="DZ70" i="36"/>
  <c r="ED68" i="36"/>
  <c r="DX112" i="36"/>
  <c r="DX180" i="36" s="1"/>
  <c r="DW117" i="36"/>
  <c r="EE283" i="36"/>
  <c r="EF112" i="36"/>
  <c r="EF168" i="36" s="1"/>
  <c r="EE132" i="36"/>
  <c r="EE171" i="36"/>
  <c r="EE116" i="36"/>
  <c r="EO117" i="36"/>
  <c r="EO112" i="36"/>
  <c r="EO180" i="36" s="1"/>
  <c r="EO199" i="36" s="1"/>
  <c r="DV176" i="35"/>
  <c r="DV180" i="35" s="1"/>
  <c r="EH34" i="36"/>
  <c r="EI54" i="36"/>
  <c r="ER55" i="36"/>
  <c r="DZ60" i="36"/>
  <c r="EE78" i="36"/>
  <c r="EL405" i="36"/>
  <c r="EL181" i="36"/>
  <c r="EL200" i="36" s="1"/>
  <c r="ES67" i="36"/>
  <c r="EW87" i="36"/>
  <c r="DY96" i="36"/>
  <c r="EU99" i="36"/>
  <c r="EZ99" i="36" s="1"/>
  <c r="FE99" i="36" s="1"/>
  <c r="DX117" i="36"/>
  <c r="EF283" i="36"/>
  <c r="EF294" i="36" s="1"/>
  <c r="EF171" i="36"/>
  <c r="EF117" i="36"/>
  <c r="EF120" i="36"/>
  <c r="EO171" i="36"/>
  <c r="EO132" i="36"/>
  <c r="EO116" i="36"/>
  <c r="ER127" i="36"/>
  <c r="EL189" i="36"/>
  <c r="EH314" i="36"/>
  <c r="EH337" i="36" s="1"/>
  <c r="EH272" i="36"/>
  <c r="EI271" i="36"/>
  <c r="EB96" i="36"/>
  <c r="EJ101" i="36"/>
  <c r="EO101" i="36"/>
  <c r="EQ140" i="36"/>
  <c r="ER135" i="36"/>
  <c r="ER137" i="36" s="1"/>
  <c r="DZ187" i="36"/>
  <c r="DZ268" i="36"/>
  <c r="EA268" i="36"/>
  <c r="EP55" i="36"/>
  <c r="EA70" i="36"/>
  <c r="EL575" i="36"/>
  <c r="EK101" i="36"/>
  <c r="EK100" i="36"/>
  <c r="EP101" i="36"/>
  <c r="EK123" i="36"/>
  <c r="EJ132" i="36"/>
  <c r="ES126" i="36"/>
  <c r="EK135" i="36"/>
  <c r="EK137" i="36" s="1"/>
  <c r="EK140" i="36"/>
  <c r="EK195" i="36"/>
  <c r="EP195" i="36"/>
  <c r="DW259" i="36"/>
  <c r="DW314" i="36"/>
  <c r="DW337" i="36" s="1"/>
  <c r="EM575" i="36"/>
  <c r="EL101" i="36"/>
  <c r="EL100" i="36"/>
  <c r="EC123" i="36"/>
  <c r="EB132" i="36"/>
  <c r="EK132" i="36"/>
  <c r="EJ139" i="36"/>
  <c r="ES154" i="36"/>
  <c r="ET154" i="36" s="1"/>
  <c r="EG195" i="36"/>
  <c r="EI205" i="36"/>
  <c r="EE213" i="36"/>
  <c r="EF94" i="36"/>
  <c r="EF265" i="36" s="1"/>
  <c r="EM171" i="36"/>
  <c r="EM117" i="36"/>
  <c r="EM116" i="36"/>
  <c r="ET119" i="36"/>
  <c r="EY119" i="36" s="1"/>
  <c r="FD119" i="36" s="1"/>
  <c r="EC132" i="36"/>
  <c r="EL127" i="36"/>
  <c r="EK127" i="36"/>
  <c r="EW142" i="36"/>
  <c r="FB142" i="36" s="1"/>
  <c r="FG142" i="36" s="1"/>
  <c r="EH195" i="36"/>
  <c r="DZ283" i="36"/>
  <c r="DZ294" i="36" s="1"/>
  <c r="EH171" i="36"/>
  <c r="EP180" i="36"/>
  <c r="EP199" i="36" s="1"/>
  <c r="EP171" i="36"/>
  <c r="EK139" i="36"/>
  <c r="EJ171" i="36"/>
  <c r="EB180" i="36"/>
  <c r="EB618" i="36" s="1"/>
  <c r="ER187" i="36"/>
  <c r="EA283" i="36"/>
  <c r="EA180" i="36"/>
  <c r="EA618" i="36" s="1"/>
  <c r="EI115" i="36"/>
  <c r="EQ180" i="36"/>
  <c r="EQ199" i="36" s="1"/>
  <c r="EQ171" i="36"/>
  <c r="DZ116" i="36"/>
  <c r="EH116" i="36"/>
  <c r="EP116" i="36"/>
  <c r="DU173" i="36"/>
  <c r="EC117" i="36"/>
  <c r="EK117" i="36"/>
  <c r="EH181" i="36"/>
  <c r="EH622" i="36" s="1"/>
  <c r="EP181" i="36"/>
  <c r="EP200" i="36" s="1"/>
  <c r="EN126" i="36"/>
  <c r="EE127" i="36"/>
  <c r="EM127" i="36"/>
  <c r="DZ132" i="36"/>
  <c r="EH132" i="36"/>
  <c r="EP132" i="36"/>
  <c r="EL139" i="36"/>
  <c r="EG140" i="36"/>
  <c r="EK171" i="36"/>
  <c r="EJ187" i="36"/>
  <c r="EG187" i="36"/>
  <c r="DU397" i="36"/>
  <c r="DV257" i="36"/>
  <c r="DV599" i="36" s="1"/>
  <c r="DV619" i="36" s="1"/>
  <c r="EE397" i="36"/>
  <c r="EF257" i="36"/>
  <c r="EF599" i="36" s="1"/>
  <c r="EJ261" i="36"/>
  <c r="EE261" i="36"/>
  <c r="EA116" i="36"/>
  <c r="EQ116" i="36"/>
  <c r="DV117" i="36"/>
  <c r="EL117" i="36"/>
  <c r="EQ405" i="36"/>
  <c r="EQ181" i="36"/>
  <c r="EQ200" i="36" s="1"/>
  <c r="EF127" i="36"/>
  <c r="EL135" i="36"/>
  <c r="EL137" i="36" s="1"/>
  <c r="EL171" i="36"/>
  <c r="EB187" i="36"/>
  <c r="ET186" i="36"/>
  <c r="EY186" i="36" s="1"/>
  <c r="FD186" i="36" s="1"/>
  <c r="EV188" i="36"/>
  <c r="FA188" i="36" s="1"/>
  <c r="FF188" i="36" s="1"/>
  <c r="EQ189" i="36"/>
  <c r="EV194" i="36"/>
  <c r="FA194" i="36" s="1"/>
  <c r="FF194" i="36" s="1"/>
  <c r="EQ195" i="36"/>
  <c r="EI251" i="36"/>
  <c r="EJ253" i="36"/>
  <c r="EE253" i="36"/>
  <c r="ES251" i="36"/>
  <c r="EO253" i="36"/>
  <c r="EF397" i="36"/>
  <c r="EF261" i="36"/>
  <c r="EF262" i="36"/>
  <c r="EG257" i="36"/>
  <c r="EG599" i="36" s="1"/>
  <c r="EG493" i="36" s="1"/>
  <c r="EG262" i="36"/>
  <c r="ET329" i="36"/>
  <c r="EY329" i="36" s="1"/>
  <c r="FD329" i="36" s="1"/>
  <c r="EO330" i="36"/>
  <c r="ES115" i="36"/>
  <c r="EB116" i="36"/>
  <c r="EJ116" i="36"/>
  <c r="ER116" i="36"/>
  <c r="EB405" i="36"/>
  <c r="EB181" i="36"/>
  <c r="EB622" i="36" s="1"/>
  <c r="ER405" i="36"/>
  <c r="ER181" i="36"/>
  <c r="ER200" i="36" s="1"/>
  <c r="EG127" i="36"/>
  <c r="EO127" i="36"/>
  <c r="EM439" i="36"/>
  <c r="EM182" i="36"/>
  <c r="EM203" i="36" s="1"/>
  <c r="EP187" i="36"/>
  <c r="EM187" i="36"/>
  <c r="EW188" i="36"/>
  <c r="FB188" i="36" s="1"/>
  <c r="FG188" i="36" s="1"/>
  <c r="ER189" i="36"/>
  <c r="EF189" i="36"/>
  <c r="EW194" i="36"/>
  <c r="FB194" i="36" s="1"/>
  <c r="FG194" i="36" s="1"/>
  <c r="ER195" i="36"/>
  <c r="DW599" i="36"/>
  <c r="DW619" i="36" s="1"/>
  <c r="DW397" i="36"/>
  <c r="DX257" i="36"/>
  <c r="DX599" i="36" s="1"/>
  <c r="DX619" i="36" s="1"/>
  <c r="EB261" i="36"/>
  <c r="EQ315" i="36"/>
  <c r="EQ338" i="36" s="1"/>
  <c r="EC116" i="36"/>
  <c r="EK116" i="36"/>
  <c r="EI126" i="36"/>
  <c r="EH127" i="36"/>
  <c r="EP127" i="36"/>
  <c r="EF439" i="36"/>
  <c r="EF182" i="36"/>
  <c r="EF203" i="36" s="1"/>
  <c r="EH187" i="36"/>
  <c r="EJ189" i="36"/>
  <c r="EG189" i="36"/>
  <c r="EJ195" i="36"/>
  <c r="EC369" i="36"/>
  <c r="DX397" i="36"/>
  <c r="DY260" i="36"/>
  <c r="DX262" i="36"/>
  <c r="EP259" i="36"/>
  <c r="EU264" i="36"/>
  <c r="EZ264" i="36" s="1"/>
  <c r="FE264" i="36" s="1"/>
  <c r="EB601" i="36"/>
  <c r="EB623" i="36" s="1"/>
  <c r="EB315" i="36"/>
  <c r="EB338" i="36" s="1"/>
  <c r="EB270" i="36"/>
  <c r="EB269" i="36" s="1"/>
  <c r="EU188" i="36"/>
  <c r="EZ188" i="36" s="1"/>
  <c r="FE188" i="36" s="1"/>
  <c r="EU194" i="36"/>
  <c r="EZ194" i="36" s="1"/>
  <c r="FE194" i="36" s="1"/>
  <c r="EP314" i="36"/>
  <c r="EM272" i="36"/>
  <c r="EN271" i="36"/>
  <c r="ED273" i="36"/>
  <c r="EL304" i="36"/>
  <c r="EL303" i="36" s="1"/>
  <c r="EV329" i="36"/>
  <c r="FA329" i="36" s="1"/>
  <c r="FF329" i="36" s="1"/>
  <c r="EQ330" i="36"/>
  <c r="EL390" i="36"/>
  <c r="EQ390" i="36"/>
  <c r="EA187" i="36"/>
  <c r="EQ187" i="36"/>
  <c r="EH213" i="36"/>
  <c r="EG232" i="36"/>
  <c r="EK599" i="36"/>
  <c r="EK493" i="36" s="1"/>
  <c r="EK397" i="36"/>
  <c r="EL257" i="36"/>
  <c r="EK262" i="36"/>
  <c r="EK261" i="36"/>
  <c r="ET257" i="36"/>
  <c r="EH259" i="36"/>
  <c r="EW264" i="36"/>
  <c r="FB264" i="36" s="1"/>
  <c r="FG264" i="36" s="1"/>
  <c r="ER259" i="36"/>
  <c r="ER315" i="36"/>
  <c r="ER338" i="36" s="1"/>
  <c r="EF268" i="36"/>
  <c r="EE272" i="36"/>
  <c r="EP268" i="36"/>
  <c r="EP315" i="36" s="1"/>
  <c r="EP338" i="36" s="1"/>
  <c r="EH330" i="36"/>
  <c r="EM330" i="36"/>
  <c r="ED340" i="36"/>
  <c r="EP272" i="36"/>
  <c r="EK442" i="36"/>
  <c r="EK307" i="36"/>
  <c r="EK306" i="36"/>
  <c r="EO324" i="36"/>
  <c r="EC187" i="36"/>
  <c r="EK187" i="36"/>
  <c r="EC599" i="36"/>
  <c r="EC493" i="36" s="1"/>
  <c r="EC397" i="36"/>
  <c r="EC262" i="36"/>
  <c r="EC261" i="36"/>
  <c r="ED260" i="36"/>
  <c r="EM397" i="36"/>
  <c r="EH268" i="36"/>
  <c r="EN251" i="36"/>
  <c r="EK253" i="36"/>
  <c r="DV397" i="36"/>
  <c r="EL397" i="36"/>
  <c r="EP324" i="36"/>
  <c r="EU329" i="36"/>
  <c r="EZ329" i="36" s="1"/>
  <c r="EP330" i="36"/>
  <c r="EK390" i="36"/>
  <c r="EN388" i="36"/>
  <c r="EP390" i="36"/>
  <c r="EL442" i="36"/>
  <c r="EL307" i="36"/>
  <c r="ED388" i="36"/>
  <c r="EG397" i="36"/>
  <c r="EO397" i="36"/>
  <c r="EA262" i="36"/>
  <c r="EQ262" i="36"/>
  <c r="EC601" i="36"/>
  <c r="EC623" i="36" s="1"/>
  <c r="EC315" i="36"/>
  <c r="EC338" i="36" s="1"/>
  <c r="EK601" i="36"/>
  <c r="EK623" i="36" s="1"/>
  <c r="EK315" i="36"/>
  <c r="EK338" i="36" s="1"/>
  <c r="EM442" i="36"/>
  <c r="EM307" i="36"/>
  <c r="EQ324" i="36"/>
  <c r="EF326" i="36"/>
  <c r="ET325" i="36"/>
  <c r="EY325" i="36" s="1"/>
  <c r="EO326" i="36"/>
  <c r="DZ397" i="36"/>
  <c r="EH599" i="36"/>
  <c r="EH619" i="36" s="1"/>
  <c r="EH397" i="36"/>
  <c r="EP397" i="36"/>
  <c r="EG261" i="36"/>
  <c r="EO261" i="36"/>
  <c r="EB262" i="36"/>
  <c r="ER262" i="36"/>
  <c r="EG304" i="36"/>
  <c r="EG303" i="36" s="1"/>
  <c r="EN305" i="36"/>
  <c r="EL306" i="36"/>
  <c r="EG324" i="36"/>
  <c r="EG326" i="36"/>
  <c r="EU325" i="36"/>
  <c r="EP326" i="36"/>
  <c r="EH390" i="36"/>
  <c r="EC314" i="36"/>
  <c r="EC337" i="36" s="1"/>
  <c r="EK314" i="36"/>
  <c r="EK337" i="36" s="1"/>
  <c r="EA599" i="36"/>
  <c r="EA493" i="36" s="1"/>
  <c r="EA397" i="36"/>
  <c r="EI260" i="36"/>
  <c r="EQ397" i="36"/>
  <c r="DZ261" i="36"/>
  <c r="EH261" i="36"/>
  <c r="EP261" i="36"/>
  <c r="DU399" i="36"/>
  <c r="ES271" i="36"/>
  <c r="EP304" i="36"/>
  <c r="EP303" i="36" s="1"/>
  <c r="EF442" i="36"/>
  <c r="EM306" i="36"/>
  <c r="EA324" i="36"/>
  <c r="EH324" i="36"/>
  <c r="EH326" i="36"/>
  <c r="EM326" i="36"/>
  <c r="EB599" i="36"/>
  <c r="EB493" i="36" s="1"/>
  <c r="EB397" i="36"/>
  <c r="EJ397" i="36"/>
  <c r="ER397" i="36"/>
  <c r="EA261" i="36"/>
  <c r="EQ261" i="36"/>
  <c r="DV262" i="36"/>
  <c r="EL262" i="36"/>
  <c r="ED271" i="36"/>
  <c r="EK318" i="36"/>
  <c r="EK341" i="36" s="1"/>
  <c r="EE326" i="36"/>
  <c r="EK326" i="36"/>
  <c r="EE442" i="36"/>
  <c r="EM390" i="36"/>
  <c r="ER390" i="36"/>
  <c r="EG442" i="36"/>
  <c r="EO442" i="36"/>
  <c r="EO306" i="36"/>
  <c r="EB324" i="36"/>
  <c r="EJ324" i="36"/>
  <c r="EE348" i="36"/>
  <c r="EH442" i="36"/>
  <c r="EP442" i="36"/>
  <c r="EP306" i="36"/>
  <c r="EC324" i="36"/>
  <c r="EK324" i="36"/>
  <c r="EG351" i="36"/>
  <c r="EF491" i="36"/>
  <c r="EK491" i="36"/>
  <c r="EL491" i="36" s="1"/>
  <c r="EM491" i="36" s="1"/>
  <c r="EI305" i="36"/>
  <c r="EJ307" i="36" s="1"/>
  <c r="EQ442" i="36"/>
  <c r="EQ306" i="36"/>
  <c r="EL324" i="36"/>
  <c r="EG348" i="36"/>
  <c r="EF484" i="36"/>
  <c r="EI483" i="36"/>
  <c r="EJ442" i="36"/>
  <c r="EJ306" i="36"/>
  <c r="ER306" i="36"/>
  <c r="EE324" i="36"/>
  <c r="EM324" i="36"/>
  <c r="EQ326" i="36"/>
  <c r="EK330" i="36"/>
  <c r="ED343" i="36"/>
  <c r="EI340" i="36"/>
  <c r="EI388" i="36"/>
  <c r="EE390" i="36"/>
  <c r="EJ390" i="36"/>
  <c r="EG370" i="36"/>
  <c r="EH369" i="36"/>
  <c r="EK603" i="36"/>
  <c r="EK432" i="36"/>
  <c r="EK436" i="36"/>
  <c r="EL428" i="36"/>
  <c r="EL430" i="36" s="1"/>
  <c r="ES603" i="36"/>
  <c r="ES432" i="36"/>
  <c r="ET428" i="36"/>
  <c r="EX428" i="36" s="1"/>
  <c r="EI433" i="36"/>
  <c r="EC431" i="36"/>
  <c r="EH432" i="36" s="1"/>
  <c r="EL436" i="36"/>
  <c r="EF603" i="36"/>
  <c r="EF432" i="36"/>
  <c r="EF436" i="36"/>
  <c r="EO436" i="36"/>
  <c r="EM436" i="36"/>
  <c r="EE436" i="36"/>
  <c r="EP436" i="36"/>
  <c r="EP432" i="36"/>
  <c r="EN433" i="36"/>
  <c r="EH436" i="36"/>
  <c r="EI431" i="36"/>
  <c r="EJ436" i="36"/>
  <c r="ER436" i="36"/>
  <c r="EU458" i="36"/>
  <c r="EH496" i="36"/>
  <c r="EG603" i="36"/>
  <c r="ED469" i="36"/>
  <c r="EG496" i="36"/>
  <c r="EH484" i="36"/>
  <c r="EP484" i="36"/>
  <c r="DU470" i="36"/>
  <c r="DY470" i="36" s="1"/>
  <c r="DY469" i="36"/>
  <c r="EI469" i="36"/>
  <c r="EE479" i="36"/>
  <c r="ED483" i="36"/>
  <c r="EQ484" i="36"/>
  <c r="EG436" i="36"/>
  <c r="EI547" i="36"/>
  <c r="ES547" i="36"/>
  <c r="EM603" i="36"/>
  <c r="EL432" i="36"/>
  <c r="EM484" i="36"/>
  <c r="EE491" i="36"/>
  <c r="EW494" i="36"/>
  <c r="EO493" i="36"/>
  <c r="EO496" i="36"/>
  <c r="EP496" i="36" s="1"/>
  <c r="EQ496" i="36" s="1"/>
  <c r="ER496" i="36" s="1"/>
  <c r="EE496" i="36"/>
  <c r="EK484" i="36"/>
  <c r="ES483" i="36"/>
  <c r="EG484" i="36"/>
  <c r="EO484" i="36"/>
  <c r="EQ579" i="36"/>
  <c r="EQ581" i="36" s="1"/>
  <c r="EQ575" i="36"/>
  <c r="EQ589" i="36"/>
  <c r="EQ591" i="36" s="1"/>
  <c r="EQ592" i="36" s="1"/>
  <c r="EN547" i="36"/>
  <c r="EH579" i="36"/>
  <c r="EH581" i="36" s="1"/>
  <c r="EH585" i="36" s="1"/>
  <c r="EH589" i="36"/>
  <c r="EH591" i="36" s="1"/>
  <c r="EH592" i="36" s="1"/>
  <c r="EH575" i="36"/>
  <c r="EI573" i="36"/>
  <c r="EC643" i="36"/>
  <c r="EC635" i="36"/>
  <c r="EC637" i="36" s="1"/>
  <c r="EA589" i="36"/>
  <c r="EA591" i="36" s="1"/>
  <c r="EA592" i="36" s="1"/>
  <c r="EG591" i="36"/>
  <c r="EG592" i="36" s="1"/>
  <c r="DZ589" i="36"/>
  <c r="DZ591" i="36" s="1"/>
  <c r="ED573" i="36"/>
  <c r="EJ577" i="36" s="1"/>
  <c r="EL581" i="36"/>
  <c r="EL585" i="36" s="1"/>
  <c r="ES573" i="36"/>
  <c r="EO575" i="36"/>
  <c r="EG579" i="36"/>
  <c r="EG581" i="36" s="1"/>
  <c r="EG585" i="36" s="1"/>
  <c r="EG575" i="36"/>
  <c r="EP579" i="36"/>
  <c r="EP581" i="36" s="1"/>
  <c r="EP589" i="36"/>
  <c r="EP591" i="36" s="1"/>
  <c r="EP592" i="36" s="1"/>
  <c r="EP575" i="36"/>
  <c r="EO579" i="36"/>
  <c r="EB589" i="36"/>
  <c r="EB591" i="36" s="1"/>
  <c r="EB592" i="36" s="1"/>
  <c r="EJ579" i="36"/>
  <c r="EJ589" i="36"/>
  <c r="EJ591" i="36" s="1"/>
  <c r="ER579" i="36"/>
  <c r="ER581" i="36" s="1"/>
  <c r="ER585" i="36" s="1"/>
  <c r="ER589" i="36"/>
  <c r="ER591" i="36" s="1"/>
  <c r="ER592" i="36" s="1"/>
  <c r="EM636" i="36"/>
  <c r="EN636" i="36" s="1"/>
  <c r="DU589" i="36"/>
  <c r="DU591" i="36" s="1"/>
  <c r="EC589" i="36"/>
  <c r="EC591" i="36" s="1"/>
  <c r="EC592" i="36" s="1"/>
  <c r="EK579" i="36"/>
  <c r="EK581" i="36" s="1"/>
  <c r="EK585" i="36" s="1"/>
  <c r="EK589" i="36"/>
  <c r="EK591" i="36" s="1"/>
  <c r="EK592" i="36" s="1"/>
  <c r="DV589" i="36"/>
  <c r="DV591" i="36" s="1"/>
  <c r="DV592" i="36" s="1"/>
  <c r="EL589" i="36"/>
  <c r="EL591" i="36" s="1"/>
  <c r="EL592" i="36" s="1"/>
  <c r="EO591" i="36"/>
  <c r="DW589" i="36"/>
  <c r="DW591" i="36" s="1"/>
  <c r="DW592" i="36" s="1"/>
  <c r="EE589" i="36"/>
  <c r="EE579" i="36"/>
  <c r="EM589" i="36"/>
  <c r="EM591" i="36" s="1"/>
  <c r="EM592" i="36" s="1"/>
  <c r="EM579" i="36"/>
  <c r="EM581" i="36" s="1"/>
  <c r="EM585" i="36" s="1"/>
  <c r="ER575" i="36"/>
  <c r="EN580" i="36"/>
  <c r="EI588" i="36"/>
  <c r="EI593" i="36" s="1"/>
  <c r="ES588" i="36"/>
  <c r="EO593" i="36" s="1"/>
  <c r="DX589" i="36"/>
  <c r="DX591" i="36" s="1"/>
  <c r="DX592" i="36" s="1"/>
  <c r="EF589" i="36"/>
  <c r="EF591" i="36" s="1"/>
  <c r="EF592" i="36" s="1"/>
  <c r="EN573" i="36"/>
  <c r="EK575" i="36"/>
  <c r="EN588" i="36"/>
  <c r="EM593" i="36" s="1"/>
  <c r="DU650" i="36"/>
  <c r="DY630" i="36"/>
  <c r="ED642" i="36" s="1"/>
  <c r="ED636" i="36"/>
  <c r="DU635" i="36"/>
  <c r="DY633" i="36"/>
  <c r="EF650" i="36"/>
  <c r="ED662" i="36"/>
  <c r="EF643" i="36"/>
  <c r="DY636" i="36"/>
  <c r="DZ663" i="36"/>
  <c r="ED659" i="36"/>
  <c r="EA663" i="36"/>
  <c r="EF642" i="36"/>
  <c r="EG643" i="36"/>
  <c r="ED634" i="36"/>
  <c r="DY660" i="36"/>
  <c r="DX650" i="36"/>
  <c r="EE644" i="36"/>
  <c r="EI634" i="36"/>
  <c r="EB643" i="36"/>
  <c r="DZ642" i="36"/>
  <c r="DZ643" i="36"/>
  <c r="EC663" i="36"/>
  <c r="ED633" i="36"/>
  <c r="DZ635" i="36"/>
  <c r="DY662" i="36"/>
  <c r="EA635" i="36"/>
  <c r="EA637" i="36" s="1"/>
  <c r="EI633" i="36"/>
  <c r="EE635" i="36"/>
  <c r="ES76" i="1"/>
  <c r="B1747" i="3"/>
  <c r="B1746" i="3"/>
  <c r="B1745" i="3"/>
  <c r="B1761" i="3"/>
  <c r="C1761" i="3"/>
  <c r="D1761" i="3"/>
  <c r="E1758" i="3"/>
  <c r="E1759" i="3"/>
  <c r="E1760" i="3"/>
  <c r="C1720" i="3"/>
  <c r="D1720" i="3" s="1"/>
  <c r="EC294" i="36" l="1"/>
  <c r="EC420" i="36"/>
  <c r="FD40" i="35"/>
  <c r="FH40" i="35" s="1"/>
  <c r="FI41" i="35" s="1"/>
  <c r="ED123" i="36"/>
  <c r="DZ181" i="36"/>
  <c r="DZ200" i="36" s="1"/>
  <c r="EL203" i="35"/>
  <c r="DZ405" i="36"/>
  <c r="ED405" i="36" s="1"/>
  <c r="EB396" i="36"/>
  <c r="DV640" i="36"/>
  <c r="DY593" i="36"/>
  <c r="EH182" i="36"/>
  <c r="EH203" i="36" s="1"/>
  <c r="EM211" i="36" s="1"/>
  <c r="EH137" i="36"/>
  <c r="EH441" i="36" s="1"/>
  <c r="DU593" i="36"/>
  <c r="DW593" i="36"/>
  <c r="DV593" i="36"/>
  <c r="EB294" i="36"/>
  <c r="EC296" i="36" s="1"/>
  <c r="EC285" i="36"/>
  <c r="EH168" i="36"/>
  <c r="DV180" i="36"/>
  <c r="DV199" i="36" s="1"/>
  <c r="EB285" i="36"/>
  <c r="EC280" i="36"/>
  <c r="EC291" i="36" s="1"/>
  <c r="EC317" i="36" s="1"/>
  <c r="FD29" i="35"/>
  <c r="EH603" i="36"/>
  <c r="EO262" i="36"/>
  <c r="ES262" i="36" s="1"/>
  <c r="DX637" i="36"/>
  <c r="EC645" i="36" s="1"/>
  <c r="EH200" i="36"/>
  <c r="EI213" i="36"/>
  <c r="DW180" i="36"/>
  <c r="DW199" i="36" s="1"/>
  <c r="EB593" i="36"/>
  <c r="ED593" i="36"/>
  <c r="EH644" i="36"/>
  <c r="EC593" i="36"/>
  <c r="EA593" i="36"/>
  <c r="EH41" i="35"/>
  <c r="EU29" i="35"/>
  <c r="EL488" i="36"/>
  <c r="DY176" i="35"/>
  <c r="EE180" i="36"/>
  <c r="EE192" i="36" s="1"/>
  <c r="EG199" i="36"/>
  <c r="EG201" i="36" s="1"/>
  <c r="ED209" i="35"/>
  <c r="FG29" i="35"/>
  <c r="ER441" i="36"/>
  <c r="ET304" i="36"/>
  <c r="EF310" i="36"/>
  <c r="B1748" i="3"/>
  <c r="B1750" i="3" s="1"/>
  <c r="DW396" i="36"/>
  <c r="EC396" i="36"/>
  <c r="DY262" i="36"/>
  <c r="EZ29" i="35"/>
  <c r="FB29" i="35"/>
  <c r="DW258" i="36"/>
  <c r="DW395" i="36" s="1"/>
  <c r="EC180" i="36"/>
  <c r="EC199" i="36" s="1"/>
  <c r="EC461" i="36" s="1"/>
  <c r="EC41" i="35"/>
  <c r="EB603" i="36"/>
  <c r="EB631" i="36" s="1"/>
  <c r="ED54" i="35"/>
  <c r="EB637" i="36"/>
  <c r="EB645" i="36" s="1"/>
  <c r="EM601" i="36"/>
  <c r="EM623" i="36" s="1"/>
  <c r="EF114" i="36"/>
  <c r="EF170" i="36" s="1"/>
  <c r="EF175" i="36" s="1"/>
  <c r="EF153" i="36" s="1"/>
  <c r="EF164" i="36" s="1"/>
  <c r="EM405" i="36"/>
  <c r="EB99" i="36"/>
  <c r="EC575" i="36" s="1"/>
  <c r="ER191" i="35"/>
  <c r="ES191" i="35" s="1"/>
  <c r="ED91" i="36"/>
  <c r="EN97" i="35"/>
  <c r="DW640" i="36"/>
  <c r="H190" i="37"/>
  <c r="I188" i="37"/>
  <c r="EV29" i="35"/>
  <c r="EM41" i="35"/>
  <c r="FB41" i="35"/>
  <c r="EF637" i="36"/>
  <c r="EF645" i="36" s="1"/>
  <c r="ED149" i="35"/>
  <c r="EA41" i="35"/>
  <c r="EF41" i="35"/>
  <c r="FG41" i="35"/>
  <c r="EQ41" i="35"/>
  <c r="DZ180" i="36"/>
  <c r="DZ618" i="36" s="1"/>
  <c r="EA181" i="36"/>
  <c r="EA622" i="36" s="1"/>
  <c r="EV41" i="35"/>
  <c r="EM441" i="36"/>
  <c r="EA645" i="36"/>
  <c r="ER349" i="36"/>
  <c r="ES261" i="36"/>
  <c r="FE29" i="35"/>
  <c r="EP137" i="36"/>
  <c r="EP441" i="36" s="1"/>
  <c r="FF325" i="36"/>
  <c r="EP439" i="36"/>
  <c r="EP454" i="36" s="1"/>
  <c r="EZ41" i="35"/>
  <c r="FE41" i="35"/>
  <c r="EA203" i="35"/>
  <c r="EI348" i="36"/>
  <c r="EK170" i="36"/>
  <c r="ES100" i="36"/>
  <c r="ES99" i="35"/>
  <c r="FK41" i="35"/>
  <c r="EF180" i="36"/>
  <c r="EF488" i="36" s="1"/>
  <c r="EC640" i="36"/>
  <c r="EY183" i="35"/>
  <c r="EZ183" i="35" s="1"/>
  <c r="FA183" i="35" s="1"/>
  <c r="FB183" i="35" s="1"/>
  <c r="FC183" i="35" s="1"/>
  <c r="FD183" i="35" s="1"/>
  <c r="FE183" i="35" s="1"/>
  <c r="FF183" i="35" s="1"/>
  <c r="FG183" i="35" s="1"/>
  <c r="FH183" i="35" s="1"/>
  <c r="FI183" i="35" s="1"/>
  <c r="FJ183" i="35" s="1"/>
  <c r="FK183" i="35" s="1"/>
  <c r="FL183" i="35" s="1"/>
  <c r="FM183" i="35" s="1"/>
  <c r="EQ396" i="36"/>
  <c r="FB120" i="35"/>
  <c r="FG117" i="35"/>
  <c r="FG120" i="35" s="1"/>
  <c r="EM203" i="35"/>
  <c r="ER561" i="36"/>
  <c r="EY120" i="35"/>
  <c r="FD117" i="35"/>
  <c r="EC29" i="35"/>
  <c r="DY663" i="36"/>
  <c r="EZ120" i="35"/>
  <c r="FE117" i="35"/>
  <c r="FE120" i="35" s="1"/>
  <c r="ED116" i="36"/>
  <c r="EF276" i="36"/>
  <c r="EE575" i="36"/>
  <c r="EE117" i="36"/>
  <c r="EI117" i="36" s="1"/>
  <c r="FL41" i="35"/>
  <c r="EQ258" i="36"/>
  <c r="EN67" i="36"/>
  <c r="EK41" i="35"/>
  <c r="ED132" i="36"/>
  <c r="EI78" i="36"/>
  <c r="EE100" i="36"/>
  <c r="EI100" i="36" s="1"/>
  <c r="ES117" i="36"/>
  <c r="ES430" i="36"/>
  <c r="ES435" i="36" s="1"/>
  <c r="ET435" i="36" s="1"/>
  <c r="EY435" i="36" s="1"/>
  <c r="FD435" i="36" s="1"/>
  <c r="EK396" i="36"/>
  <c r="EB29" i="35"/>
  <c r="DW577" i="36"/>
  <c r="EL603" i="36"/>
  <c r="EB41" i="35"/>
  <c r="EM488" i="36"/>
  <c r="ES436" i="36"/>
  <c r="ES390" i="36"/>
  <c r="EA199" i="36"/>
  <c r="EA461" i="36" s="1"/>
  <c r="DY117" i="36"/>
  <c r="EB258" i="36"/>
  <c r="EB395" i="36" s="1"/>
  <c r="DX577" i="36"/>
  <c r="DY577" i="36"/>
  <c r="EF622" i="36"/>
  <c r="EG170" i="36"/>
  <c r="EG175" i="36" s="1"/>
  <c r="EG153" i="36" s="1"/>
  <c r="EG164" i="36" s="1"/>
  <c r="EG637" i="36"/>
  <c r="EF593" i="36"/>
  <c r="DV577" i="36"/>
  <c r="EG622" i="36"/>
  <c r="EG624" i="36" s="1"/>
  <c r="ER180" i="36"/>
  <c r="EL622" i="36"/>
  <c r="EL624" i="36" s="1"/>
  <c r="EY87" i="36"/>
  <c r="EY96" i="36" s="1"/>
  <c r="EP41" i="35"/>
  <c r="FC479" i="36"/>
  <c r="EA395" i="36"/>
  <c r="ET100" i="36"/>
  <c r="EB339" i="36"/>
  <c r="FA41" i="35"/>
  <c r="EG41" i="35"/>
  <c r="FG99" i="36"/>
  <c r="FH99" i="36" s="1"/>
  <c r="FC99" i="36"/>
  <c r="EJ575" i="36"/>
  <c r="EC258" i="36"/>
  <c r="EC395" i="36" s="1"/>
  <c r="EA294" i="36"/>
  <c r="EA296" i="36" s="1"/>
  <c r="DZ71" i="36"/>
  <c r="EE79" i="36" s="1"/>
  <c r="EA561" i="36"/>
  <c r="EA559" i="36" s="1"/>
  <c r="EA560" i="36" s="1"/>
  <c r="ED67" i="36"/>
  <c r="EW29" i="35"/>
  <c r="EH114" i="36"/>
  <c r="EH113" i="36" s="1"/>
  <c r="EH561" i="36" s="1"/>
  <c r="EH559" i="36" s="1"/>
  <c r="EI479" i="36"/>
  <c r="EB200" i="36"/>
  <c r="EG208" i="36" s="1"/>
  <c r="EJ100" i="36"/>
  <c r="EN100" i="36" s="1"/>
  <c r="ED43" i="35"/>
  <c r="ER41" i="35"/>
  <c r="EL41" i="35"/>
  <c r="FA29" i="35"/>
  <c r="EN307" i="36"/>
  <c r="FD325" i="36"/>
  <c r="FE329" i="36"/>
  <c r="EY38" i="35"/>
  <c r="FC36" i="35"/>
  <c r="EC282" i="36"/>
  <c r="EH180" i="36"/>
  <c r="EH618" i="36" s="1"/>
  <c r="EH620" i="36" s="1"/>
  <c r="EU41" i="35"/>
  <c r="FF41" i="35"/>
  <c r="FC26" i="35"/>
  <c r="FC28" i="35" s="1"/>
  <c r="EI351" i="36"/>
  <c r="EZ325" i="36"/>
  <c r="FE325" i="36" s="1"/>
  <c r="FF29" i="35"/>
  <c r="EY29" i="35"/>
  <c r="EA396" i="36"/>
  <c r="FG325" i="36"/>
  <c r="FH26" i="35"/>
  <c r="FH28" i="35" s="1"/>
  <c r="FH479" i="36"/>
  <c r="FD189" i="35"/>
  <c r="FD184" i="35"/>
  <c r="DY16" i="35"/>
  <c r="ES54" i="35"/>
  <c r="EC92" i="35"/>
  <c r="ED92" i="35" s="1"/>
  <c r="EE92" i="35" s="1"/>
  <c r="EF92" i="35" s="1"/>
  <c r="EG92" i="35" s="1"/>
  <c r="EH92" i="35" s="1"/>
  <c r="EH93" i="35" s="1"/>
  <c r="EA29" i="35"/>
  <c r="EU185" i="35"/>
  <c r="EI38" i="35"/>
  <c r="EN148" i="35"/>
  <c r="EH203" i="35"/>
  <c r="EI148" i="35"/>
  <c r="EI149" i="35" s="1"/>
  <c r="EG29" i="35"/>
  <c r="EI54" i="35"/>
  <c r="FM41" i="35"/>
  <c r="EF493" i="36"/>
  <c r="EK494" i="36" s="1"/>
  <c r="EF619" i="36"/>
  <c r="EM314" i="36"/>
  <c r="EM337" i="36" s="1"/>
  <c r="EM345" i="36" s="1"/>
  <c r="ED60" i="36"/>
  <c r="FF100" i="36"/>
  <c r="EK180" i="36"/>
  <c r="EK560" i="36" s="1"/>
  <c r="EO114" i="36"/>
  <c r="EO113" i="36" s="1"/>
  <c r="EO169" i="36" s="1"/>
  <c r="EM259" i="36"/>
  <c r="EM258" i="36" s="1"/>
  <c r="FE100" i="36"/>
  <c r="EL618" i="36"/>
  <c r="EM181" i="36"/>
  <c r="EZ96" i="36"/>
  <c r="FE87" i="36"/>
  <c r="FE96" i="36" s="1"/>
  <c r="EX26" i="35"/>
  <c r="EX28" i="35" s="1"/>
  <c r="EP168" i="36"/>
  <c r="EM303" i="36"/>
  <c r="EM440" i="36" s="1"/>
  <c r="EM445" i="36" s="1"/>
  <c r="EG494" i="36"/>
  <c r="EM618" i="36"/>
  <c r="FA96" i="36"/>
  <c r="EM199" i="36"/>
  <c r="EI589" i="36"/>
  <c r="EI590" i="36" s="1"/>
  <c r="EN55" i="36"/>
  <c r="EA428" i="36"/>
  <c r="EG405" i="36"/>
  <c r="ES589" i="36"/>
  <c r="ES590" i="36" s="1"/>
  <c r="EQ346" i="36"/>
  <c r="EE294" i="36"/>
  <c r="EE295" i="36" s="1"/>
  <c r="EA640" i="36"/>
  <c r="EG315" i="36"/>
  <c r="EG338" i="36" s="1"/>
  <c r="EL346" i="36" s="1"/>
  <c r="FA100" i="36"/>
  <c r="EW41" i="35"/>
  <c r="EE114" i="36"/>
  <c r="EE113" i="36" s="1"/>
  <c r="EE561" i="36" s="1"/>
  <c r="EW96" i="36"/>
  <c r="FB87" i="36"/>
  <c r="EP494" i="36"/>
  <c r="EM168" i="36"/>
  <c r="EM114" i="36"/>
  <c r="DU180" i="36"/>
  <c r="DU114" i="36"/>
  <c r="DU113" i="36" s="1"/>
  <c r="EQ304" i="36"/>
  <c r="EQ303" i="36" s="1"/>
  <c r="EA619" i="36"/>
  <c r="EA620" i="36" s="1"/>
  <c r="EA648" i="36" s="1"/>
  <c r="EO140" i="36"/>
  <c r="ES135" i="36"/>
  <c r="EN139" i="36"/>
  <c r="EZ100" i="36"/>
  <c r="FB100" i="36"/>
  <c r="EI101" i="36"/>
  <c r="EQ593" i="36"/>
  <c r="EK619" i="36"/>
  <c r="EO182" i="36"/>
  <c r="EO203" i="36" s="1"/>
  <c r="ES96" i="36"/>
  <c r="EF441" i="36"/>
  <c r="ER494" i="36"/>
  <c r="EL441" i="36"/>
  <c r="EL136" i="36"/>
  <c r="EL170" i="36"/>
  <c r="EQ461" i="36"/>
  <c r="EQ207" i="36"/>
  <c r="EQ40" i="36"/>
  <c r="EH345" i="36"/>
  <c r="EC90" i="36"/>
  <c r="EE143" i="36"/>
  <c r="EE94" i="36"/>
  <c r="EF95" i="36" s="1"/>
  <c r="EE131" i="36"/>
  <c r="EE120" i="36"/>
  <c r="EF542" i="36"/>
  <c r="EP462" i="36"/>
  <c r="EP41" i="36"/>
  <c r="EP10" i="35" s="1"/>
  <c r="EM399" i="36"/>
  <c r="EM398" i="36"/>
  <c r="EN397" i="36"/>
  <c r="EO399" i="36" s="1"/>
  <c r="EM402" i="36"/>
  <c r="EE176" i="36"/>
  <c r="EO28" i="35"/>
  <c r="ET29" i="35" s="1"/>
  <c r="ES26" i="35"/>
  <c r="ES28" i="35" s="1"/>
  <c r="DZ592" i="36"/>
  <c r="ED591" i="36"/>
  <c r="ED592" i="36" s="1"/>
  <c r="EP447" i="36"/>
  <c r="EP443" i="36"/>
  <c r="EP444" i="36"/>
  <c r="EF613" i="36"/>
  <c r="ES55" i="36"/>
  <c r="EN204" i="35"/>
  <c r="EE637" i="36"/>
  <c r="EI635" i="36"/>
  <c r="EI640" i="36" s="1"/>
  <c r="EI644" i="36"/>
  <c r="ED644" i="36"/>
  <c r="ED663" i="36"/>
  <c r="EE581" i="36"/>
  <c r="EI579" i="36"/>
  <c r="FJ583" i="36"/>
  <c r="FI580" i="36"/>
  <c r="ES579" i="36"/>
  <c r="EO581" i="36"/>
  <c r="EG609" i="36"/>
  <c r="EJ428" i="36"/>
  <c r="EI436" i="36"/>
  <c r="EL429" i="36"/>
  <c r="EL434" i="36" s="1"/>
  <c r="EJ443" i="36"/>
  <c r="EJ447" i="36"/>
  <c r="EH604" i="36"/>
  <c r="EH611" i="36" s="1"/>
  <c r="EH447" i="36"/>
  <c r="EI442" i="36"/>
  <c r="EJ444" i="36" s="1"/>
  <c r="EH444" i="36"/>
  <c r="EC619" i="36"/>
  <c r="EI261" i="36"/>
  <c r="EJ257" i="36"/>
  <c r="EN306" i="36"/>
  <c r="EO307" i="36"/>
  <c r="ES307" i="36" s="1"/>
  <c r="EO302" i="36"/>
  <c r="EJ262" i="36"/>
  <c r="EN262" i="36" s="1"/>
  <c r="EN390" i="36"/>
  <c r="EE257" i="36"/>
  <c r="ED261" i="36"/>
  <c r="ES306" i="36"/>
  <c r="EF601" i="36"/>
  <c r="EF623" i="36" s="1"/>
  <c r="EF315" i="36"/>
  <c r="EF338" i="36" s="1"/>
  <c r="EK346" i="36" s="1"/>
  <c r="EK399" i="36"/>
  <c r="EK398" i="36"/>
  <c r="EL394" i="36"/>
  <c r="EL451" i="36" s="1"/>
  <c r="EK402" i="36"/>
  <c r="EB624" i="36"/>
  <c r="EF465" i="36"/>
  <c r="EF204" i="36"/>
  <c r="EF44" i="36"/>
  <c r="EP113" i="36"/>
  <c r="EN261" i="36"/>
  <c r="EE402" i="36"/>
  <c r="EE398" i="36"/>
  <c r="EF394" i="36"/>
  <c r="EF451" i="36" s="1"/>
  <c r="EJ172" i="36"/>
  <c r="EI171" i="36"/>
  <c r="EJ173" i="36" s="1"/>
  <c r="EH173" i="36"/>
  <c r="EU154" i="36"/>
  <c r="EH454" i="36"/>
  <c r="EU100" i="36"/>
  <c r="EB407" i="36"/>
  <c r="EB412" i="36" s="1"/>
  <c r="EQ113" i="36"/>
  <c r="EN85" i="35"/>
  <c r="EJ91" i="35"/>
  <c r="EE145" i="35"/>
  <c r="EG173" i="36"/>
  <c r="DU28" i="35"/>
  <c r="DY26" i="35"/>
  <c r="DY28" i="35" s="1"/>
  <c r="EI197" i="35"/>
  <c r="EH198" i="35"/>
  <c r="EM191" i="35"/>
  <c r="DU637" i="36"/>
  <c r="DY637" i="36" s="1"/>
  <c r="DY635" i="36"/>
  <c r="DY640" i="36" s="1"/>
  <c r="EK405" i="36"/>
  <c r="EK181" i="36"/>
  <c r="ED577" i="36"/>
  <c r="ER577" i="36"/>
  <c r="EA577" i="36"/>
  <c r="EK349" i="36"/>
  <c r="EQ349" i="36"/>
  <c r="EN127" i="36"/>
  <c r="EO123" i="36"/>
  <c r="EN132" i="36"/>
  <c r="EA86" i="36"/>
  <c r="EA105" i="36" s="1"/>
  <c r="ET120" i="35"/>
  <c r="EI643" i="36"/>
  <c r="EE640" i="36"/>
  <c r="EE577" i="36"/>
  <c r="EL577" i="36"/>
  <c r="EK577" i="36"/>
  <c r="DY589" i="36"/>
  <c r="DY590" i="36" s="1"/>
  <c r="EH593" i="36"/>
  <c r="DZ577" i="36"/>
  <c r="EG593" i="36"/>
  <c r="EH577" i="36"/>
  <c r="ES484" i="36"/>
  <c r="ES493" i="36"/>
  <c r="EH493" i="36"/>
  <c r="EH494" i="36" s="1"/>
  <c r="EI390" i="36"/>
  <c r="EL349" i="36"/>
  <c r="EB394" i="36"/>
  <c r="EB451" i="36" s="1"/>
  <c r="EA399" i="36"/>
  <c r="EA398" i="36"/>
  <c r="EN253" i="36"/>
  <c r="EH601" i="36"/>
  <c r="EH623" i="36" s="1"/>
  <c r="EH624" i="36" s="1"/>
  <c r="EH315" i="36"/>
  <c r="EH338" i="36" s="1"/>
  <c r="EH346" i="36" s="1"/>
  <c r="EX257" i="36"/>
  <c r="EF454" i="36"/>
  <c r="ES116" i="36"/>
  <c r="ET112" i="36"/>
  <c r="ET114" i="36" s="1"/>
  <c r="EE262" i="36"/>
  <c r="EI262" i="36" s="1"/>
  <c r="EP465" i="36"/>
  <c r="EP44" i="36"/>
  <c r="EP405" i="36"/>
  <c r="EI116" i="36"/>
  <c r="EJ117" i="36"/>
  <c r="EN117" i="36" s="1"/>
  <c r="EJ112" i="36"/>
  <c r="EF405" i="36"/>
  <c r="DZ601" i="36"/>
  <c r="DZ315" i="36"/>
  <c r="DZ270" i="36"/>
  <c r="ED268" i="36"/>
  <c r="EL462" i="36"/>
  <c r="EL208" i="36"/>
  <c r="EL41" i="36"/>
  <c r="EL10" i="35" s="1"/>
  <c r="EO172" i="36"/>
  <c r="EF288" i="36"/>
  <c r="EF285" i="36"/>
  <c r="EG280" i="36"/>
  <c r="EG316" i="36" s="1"/>
  <c r="EG453" i="36" s="1"/>
  <c r="EF284" i="36"/>
  <c r="EJ135" i="36"/>
  <c r="ED96" i="36"/>
  <c r="EV100" i="36"/>
  <c r="EI35" i="36"/>
  <c r="EF80" i="36"/>
  <c r="EG488" i="36"/>
  <c r="EG183" i="36"/>
  <c r="EG230" i="36" s="1"/>
  <c r="EG192" i="36"/>
  <c r="ES85" i="35"/>
  <c r="EG203" i="35"/>
  <c r="ES97" i="35"/>
  <c r="EE209" i="35"/>
  <c r="EE204" i="35" s="1"/>
  <c r="EI207" i="35"/>
  <c r="EI209" i="35" s="1"/>
  <c r="EF29" i="35"/>
  <c r="EO434" i="36"/>
  <c r="ES429" i="36"/>
  <c r="ES434" i="36" s="1"/>
  <c r="EM604" i="36"/>
  <c r="EM447" i="36"/>
  <c r="EN442" i="36"/>
  <c r="EM443" i="36"/>
  <c r="EM444" i="36"/>
  <c r="EG314" i="36"/>
  <c r="EG259" i="36"/>
  <c r="EP488" i="36"/>
  <c r="EP183" i="36"/>
  <c r="EB577" i="36"/>
  <c r="ES631" i="36"/>
  <c r="EQ402" i="36"/>
  <c r="ER394" i="36"/>
  <c r="ER451" i="36" s="1"/>
  <c r="EQ398" i="36"/>
  <c r="EQ399" i="36"/>
  <c r="EA394" i="36"/>
  <c r="EA451" i="36" s="1"/>
  <c r="DZ398" i="36"/>
  <c r="EG619" i="36"/>
  <c r="EG620" i="36" s="1"/>
  <c r="DY650" i="36"/>
  <c r="ES593" i="36"/>
  <c r="ER593" i="36"/>
  <c r="EG577" i="36"/>
  <c r="ED589" i="36"/>
  <c r="ED590" i="36" s="1"/>
  <c r="EC603" i="36"/>
  <c r="ED431" i="36"/>
  <c r="EI432" i="36" s="1"/>
  <c r="EC429" i="36"/>
  <c r="EC436" i="36"/>
  <c r="EI484" i="36"/>
  <c r="EN484" i="36"/>
  <c r="EB619" i="36"/>
  <c r="EB620" i="36" s="1"/>
  <c r="EP346" i="36"/>
  <c r="EK443" i="36"/>
  <c r="EK444" i="36"/>
  <c r="EK447" i="36"/>
  <c r="ER346" i="36"/>
  <c r="DZ262" i="36"/>
  <c r="ED262" i="36" s="1"/>
  <c r="DZ257" i="36"/>
  <c r="DZ561" i="36"/>
  <c r="ED113" i="36"/>
  <c r="EC422" i="36"/>
  <c r="ED420" i="36"/>
  <c r="EB282" i="36"/>
  <c r="EE316" i="36"/>
  <c r="EI280" i="36"/>
  <c r="EO488" i="36"/>
  <c r="EO168" i="36"/>
  <c r="ES168" i="36" s="1"/>
  <c r="ES112" i="36"/>
  <c r="EG441" i="36"/>
  <c r="EG136" i="36"/>
  <c r="EG169" i="36" s="1"/>
  <c r="ED114" i="36"/>
  <c r="ED119" i="36" s="1"/>
  <c r="EA71" i="36"/>
  <c r="EI34" i="36"/>
  <c r="DX198" i="35"/>
  <c r="DY196" i="35"/>
  <c r="EW182" i="35"/>
  <c r="EV185" i="35"/>
  <c r="ES148" i="35"/>
  <c r="EG294" i="36"/>
  <c r="EG284" i="36"/>
  <c r="EH280" i="36"/>
  <c r="EG285" i="36"/>
  <c r="ED26" i="35"/>
  <c r="ED28" i="35" s="1"/>
  <c r="DZ28" i="35"/>
  <c r="FJ41" i="35"/>
  <c r="EE80" i="36"/>
  <c r="ES38" i="35"/>
  <c r="EO40" i="35"/>
  <c r="EI97" i="35"/>
  <c r="EI167" i="35"/>
  <c r="EI168" i="35" s="1"/>
  <c r="EH370" i="36"/>
  <c r="EP396" i="36"/>
  <c r="EP258" i="36"/>
  <c r="EO314" i="36"/>
  <c r="EO259" i="36"/>
  <c r="ES257" i="36"/>
  <c r="ES599" i="36" s="1"/>
  <c r="EQ172" i="36"/>
  <c r="EQ173" i="36"/>
  <c r="DY185" i="35"/>
  <c r="EC339" i="36"/>
  <c r="EG233" i="36"/>
  <c r="EH232" i="36"/>
  <c r="DX199" i="36"/>
  <c r="DW399" i="36"/>
  <c r="DX394" i="36"/>
  <c r="DX451" i="36" s="1"/>
  <c r="DX574" i="36" s="1"/>
  <c r="ES253" i="36"/>
  <c r="EL439" i="36"/>
  <c r="EL454" i="36" s="1"/>
  <c r="EL182" i="36"/>
  <c r="EB488" i="36"/>
  <c r="EB199" i="36"/>
  <c r="EA601" i="36"/>
  <c r="EA623" i="36" s="1"/>
  <c r="EA315" i="36"/>
  <c r="EA338" i="36" s="1"/>
  <c r="EA339" i="36" s="1"/>
  <c r="EA270" i="36"/>
  <c r="EK441" i="36"/>
  <c r="EK136" i="36"/>
  <c r="FH48" i="36"/>
  <c r="FI11" i="36"/>
  <c r="EI176" i="35"/>
  <c r="EH180" i="35"/>
  <c r="EI180" i="35" s="1"/>
  <c r="EB561" i="36"/>
  <c r="EB559" i="36" s="1"/>
  <c r="DU640" i="36"/>
  <c r="ES636" i="36"/>
  <c r="EE591" i="36"/>
  <c r="EN577" i="36"/>
  <c r="EN575" i="36"/>
  <c r="EE593" i="36"/>
  <c r="EN589" i="36"/>
  <c r="EN590" i="36" s="1"/>
  <c r="ES577" i="36"/>
  <c r="ES575" i="36"/>
  <c r="EM619" i="36"/>
  <c r="EE447" i="36"/>
  <c r="EE268" i="36"/>
  <c r="EE405" i="36" s="1"/>
  <c r="ER402" i="36"/>
  <c r="ER399" i="36"/>
  <c r="ES397" i="36"/>
  <c r="ER398" i="36"/>
  <c r="EL443" i="36"/>
  <c r="EL444" i="36"/>
  <c r="EL447" i="36"/>
  <c r="EL398" i="36"/>
  <c r="EL402" i="36"/>
  <c r="EL399" i="36"/>
  <c r="EM394" i="36"/>
  <c r="EM451" i="36" s="1"/>
  <c r="EP337" i="36"/>
  <c r="EP461" i="36" s="1"/>
  <c r="EN272" i="36"/>
  <c r="EO268" i="36"/>
  <c r="EB192" i="36"/>
  <c r="ER462" i="36"/>
  <c r="ER41" i="36"/>
  <c r="ER10" i="35" s="1"/>
  <c r="DX618" i="36"/>
  <c r="DX620" i="36" s="1"/>
  <c r="EF399" i="36"/>
  <c r="EF398" i="36"/>
  <c r="EG394" i="36"/>
  <c r="EG451" i="36" s="1"/>
  <c r="EF402" i="36"/>
  <c r="EI253" i="36"/>
  <c r="DV314" i="36"/>
  <c r="DV337" i="36" s="1"/>
  <c r="DV259" i="36"/>
  <c r="EH405" i="36"/>
  <c r="EA488" i="36"/>
  <c r="EA192" i="36"/>
  <c r="EN171" i="36"/>
  <c r="EO173" i="36" s="1"/>
  <c r="EM173" i="36"/>
  <c r="EM172" i="36"/>
  <c r="EL168" i="36"/>
  <c r="EB406" i="36"/>
  <c r="EL561" i="36"/>
  <c r="EL559" i="36" s="1"/>
  <c r="EK439" i="36"/>
  <c r="EK454" i="36" s="1"/>
  <c r="EK182" i="36"/>
  <c r="EK168" i="36"/>
  <c r="EN116" i="36"/>
  <c r="EG465" i="36"/>
  <c r="EG204" i="36"/>
  <c r="EG44" i="36"/>
  <c r="DX114" i="36"/>
  <c r="EI123" i="36"/>
  <c r="EE181" i="36"/>
  <c r="EI210" i="36"/>
  <c r="ER180" i="35"/>
  <c r="DY204" i="35"/>
  <c r="DU38" i="35"/>
  <c r="DY36" i="35"/>
  <c r="EN54" i="35"/>
  <c r="EI40" i="35"/>
  <c r="EI91" i="35"/>
  <c r="EF87" i="35"/>
  <c r="DZ637" i="36"/>
  <c r="ED635" i="36"/>
  <c r="ED640" i="36" s="1"/>
  <c r="EF604" i="36"/>
  <c r="EF611" i="36" s="1"/>
  <c r="EF444" i="36"/>
  <c r="EF447" i="36"/>
  <c r="EL314" i="36"/>
  <c r="EL259" i="36"/>
  <c r="EI272" i="36"/>
  <c r="EJ268" i="36"/>
  <c r="EG561" i="36"/>
  <c r="EG559" i="36" s="1"/>
  <c r="ED643" i="36"/>
  <c r="EG342" i="36"/>
  <c r="EJ123" i="36"/>
  <c r="EI132" i="36"/>
  <c r="EI127" i="36"/>
  <c r="EL211" i="35"/>
  <c r="DZ640" i="36"/>
  <c r="EN593" i="36"/>
  <c r="EL593" i="36"/>
  <c r="EJ593" i="36"/>
  <c r="EF577" i="36"/>
  <c r="EK593" i="36"/>
  <c r="EP577" i="36"/>
  <c r="EK565" i="36"/>
  <c r="EN432" i="36"/>
  <c r="EQ447" i="36"/>
  <c r="EQ443" i="36"/>
  <c r="EQ444" i="36"/>
  <c r="EJ402" i="36"/>
  <c r="EJ398" i="36"/>
  <c r="EK394" i="36"/>
  <c r="EK451" i="36" s="1"/>
  <c r="EP402" i="36"/>
  <c r="EQ394" i="36"/>
  <c r="EQ451" i="36" s="1"/>
  <c r="EP399" i="36"/>
  <c r="EP398" i="36"/>
  <c r="EO398" i="36"/>
  <c r="EO402" i="36"/>
  <c r="EP394" i="36"/>
  <c r="EP451" i="36" s="1"/>
  <c r="EP349" i="36"/>
  <c r="EL599" i="36"/>
  <c r="ED294" i="36"/>
  <c r="EK395" i="36"/>
  <c r="EK400" i="36" s="1"/>
  <c r="DX399" i="36"/>
  <c r="DY397" i="36"/>
  <c r="EM465" i="36"/>
  <c r="EM44" i="36"/>
  <c r="DV394" i="36"/>
  <c r="DV451" i="36" s="1"/>
  <c r="DV574" i="36" s="1"/>
  <c r="DU394" i="36"/>
  <c r="EF440" i="36"/>
  <c r="EF445" i="36" s="1"/>
  <c r="EA420" i="36"/>
  <c r="EB422" i="36" s="1"/>
  <c r="EB280" i="36"/>
  <c r="EA285" i="36"/>
  <c r="EM183" i="36"/>
  <c r="ES132" i="36"/>
  <c r="ET123" i="36"/>
  <c r="ES127" i="36"/>
  <c r="EG454" i="36"/>
  <c r="EQ439" i="36"/>
  <c r="EQ454" i="36" s="1"/>
  <c r="EQ137" i="36"/>
  <c r="EQ182" i="36"/>
  <c r="EQ203" i="36" s="1"/>
  <c r="EX99" i="36"/>
  <c r="EY100" i="36" s="1"/>
  <c r="EW100" i="36"/>
  <c r="EC561" i="36"/>
  <c r="EC559" i="36" s="1"/>
  <c r="EF149" i="35"/>
  <c r="DZ145" i="35"/>
  <c r="ED143" i="35"/>
  <c r="DY209" i="35"/>
  <c r="ED117" i="36"/>
  <c r="EN167" i="35"/>
  <c r="EN168" i="35" s="1"/>
  <c r="EI120" i="35"/>
  <c r="EE28" i="35"/>
  <c r="FI98" i="35"/>
  <c r="FJ72" i="35"/>
  <c r="EX38" i="35"/>
  <c r="ET40" i="35"/>
  <c r="EV66" i="35"/>
  <c r="EU99" i="35"/>
  <c r="DU592" i="36"/>
  <c r="DY591" i="36"/>
  <c r="EG604" i="36"/>
  <c r="EG611" i="36" s="1"/>
  <c r="EG444" i="36"/>
  <c r="EG447" i="36"/>
  <c r="EB398" i="36"/>
  <c r="EC394" i="36"/>
  <c r="EC451" i="36" s="1"/>
  <c r="EB399" i="36"/>
  <c r="ES272" i="36"/>
  <c r="ET268" i="36"/>
  <c r="EH258" i="36"/>
  <c r="EK173" i="36"/>
  <c r="EK172" i="36"/>
  <c r="EQ488" i="36"/>
  <c r="EF176" i="36"/>
  <c r="EF173" i="36"/>
  <c r="ED70" i="36"/>
  <c r="EJ592" i="36"/>
  <c r="EN591" i="36"/>
  <c r="EN592" i="36" s="1"/>
  <c r="EP593" i="36"/>
  <c r="EM577" i="36"/>
  <c r="ES591" i="36"/>
  <c r="ES592" i="36" s="1"/>
  <c r="ET592" i="36" s="1"/>
  <c r="EO592" i="36"/>
  <c r="EC577" i="36"/>
  <c r="EJ581" i="36"/>
  <c r="EN579" i="36"/>
  <c r="EO577" i="36"/>
  <c r="EI577" i="36"/>
  <c r="EI575" i="36"/>
  <c r="EQ577" i="36"/>
  <c r="ET494" i="36"/>
  <c r="EF609" i="36"/>
  <c r="EM349" i="36"/>
  <c r="EJ302" i="36"/>
  <c r="EO447" i="36"/>
  <c r="EO443" i="36"/>
  <c r="EH402" i="36"/>
  <c r="EH399" i="36"/>
  <c r="EH398" i="36"/>
  <c r="EI397" i="36"/>
  <c r="EJ399" i="36" s="1"/>
  <c r="EG399" i="36"/>
  <c r="EG398" i="36"/>
  <c r="EH394" i="36"/>
  <c r="EH451" i="36" s="1"/>
  <c r="EG402" i="36"/>
  <c r="DV399" i="36"/>
  <c r="DU433" i="36" s="1"/>
  <c r="DW394" i="36"/>
  <c r="DW451" i="36" s="1"/>
  <c r="DW574" i="36" s="1"/>
  <c r="EC402" i="36"/>
  <c r="EC398" i="36"/>
  <c r="ED397" i="36"/>
  <c r="EC399" i="36"/>
  <c r="EH342" i="36"/>
  <c r="ER396" i="36"/>
  <c r="ER258" i="36"/>
  <c r="ET259" i="36"/>
  <c r="DX259" i="36"/>
  <c r="DX314" i="36"/>
  <c r="DX337" i="36" s="1"/>
  <c r="EM454" i="36"/>
  <c r="EQ462" i="36"/>
  <c r="EQ208" i="36"/>
  <c r="EQ41" i="36"/>
  <c r="EQ10" i="35" s="1"/>
  <c r="EL173" i="36"/>
  <c r="EL172" i="36"/>
  <c r="EA405" i="36"/>
  <c r="EF314" i="36"/>
  <c r="EF259" i="36"/>
  <c r="EP172" i="36"/>
  <c r="EP173" i="36"/>
  <c r="DZ420" i="36"/>
  <c r="EA280" i="36"/>
  <c r="DZ280" i="36"/>
  <c r="EF568" i="36"/>
  <c r="EC181" i="36"/>
  <c r="EC405" i="36"/>
  <c r="EC125" i="36"/>
  <c r="EN140" i="36"/>
  <c r="DZ105" i="36"/>
  <c r="ER439" i="36"/>
  <c r="ER168" i="36"/>
  <c r="ER170" i="36"/>
  <c r="EE284" i="36"/>
  <c r="EE285" i="36"/>
  <c r="EF280" i="36"/>
  <c r="EF316" i="36" s="1"/>
  <c r="EF453" i="36" s="1"/>
  <c r="EO202" i="35"/>
  <c r="ES196" i="35"/>
  <c r="EU96" i="36"/>
  <c r="EX87" i="36"/>
  <c r="EE62" i="36"/>
  <c r="FI67" i="35"/>
  <c r="ED112" i="36"/>
  <c r="DZ203" i="35"/>
  <c r="ED204" i="35"/>
  <c r="EJ38" i="35"/>
  <c r="EN36" i="35"/>
  <c r="EC180" i="35"/>
  <c r="ED180" i="35" s="1"/>
  <c r="ES207" i="35"/>
  <c r="EO209" i="35"/>
  <c r="EO204" i="35" s="1"/>
  <c r="DZ38" i="35"/>
  <c r="ED36" i="35"/>
  <c r="D1763" i="3"/>
  <c r="D1764" i="3" s="1"/>
  <c r="C1763" i="3"/>
  <c r="C1764" i="3" s="1"/>
  <c r="B1763" i="3"/>
  <c r="E1761" i="3"/>
  <c r="B1707" i="3"/>
  <c r="C1707" i="3"/>
  <c r="D1707" i="3"/>
  <c r="E1707" i="3"/>
  <c r="G1707" i="3"/>
  <c r="H1707" i="3"/>
  <c r="I1707" i="3"/>
  <c r="J1707" i="3"/>
  <c r="B1709" i="3"/>
  <c r="C1709" i="3"/>
  <c r="D1709" i="3"/>
  <c r="E1709" i="3"/>
  <c r="I1709" i="3"/>
  <c r="J1709" i="3"/>
  <c r="B1710" i="3"/>
  <c r="C1710" i="3"/>
  <c r="D1710" i="3"/>
  <c r="E1710" i="3"/>
  <c r="G1710" i="3"/>
  <c r="H1710" i="3"/>
  <c r="I1710" i="3"/>
  <c r="J1710" i="3"/>
  <c r="B1711" i="3"/>
  <c r="C1711" i="3"/>
  <c r="D1711" i="3"/>
  <c r="E1711" i="3"/>
  <c r="J1711" i="3"/>
  <c r="C1696" i="3"/>
  <c r="C1716" i="3" s="1"/>
  <c r="B1696" i="3"/>
  <c r="B1716" i="3" s="1"/>
  <c r="EX583" i="2"/>
  <c r="EX581" i="2"/>
  <c r="EX582" i="2"/>
  <c r="EH583" i="2"/>
  <c r="EG583" i="2"/>
  <c r="EF583" i="2"/>
  <c r="EE583" i="2"/>
  <c r="EH582" i="2"/>
  <c r="EG582" i="2"/>
  <c r="EF582" i="2"/>
  <c r="EE582" i="2"/>
  <c r="EH581" i="2"/>
  <c r="EG581" i="2"/>
  <c r="EF581" i="2"/>
  <c r="EE581" i="2"/>
  <c r="EH579" i="2"/>
  <c r="EG579" i="2"/>
  <c r="EF579" i="2"/>
  <c r="EE579" i="2"/>
  <c r="EM583" i="2"/>
  <c r="EL583" i="2"/>
  <c r="EK583" i="2"/>
  <c r="EJ583" i="2"/>
  <c r="EM582" i="2"/>
  <c r="EL582" i="2"/>
  <c r="EK582" i="2"/>
  <c r="EJ582" i="2"/>
  <c r="EM581" i="2"/>
  <c r="EL581" i="2"/>
  <c r="EK581" i="2"/>
  <c r="EJ581" i="2"/>
  <c r="EM579" i="2"/>
  <c r="EL579" i="2"/>
  <c r="EK579" i="2"/>
  <c r="EJ579" i="2"/>
  <c r="EN305" i="1"/>
  <c r="F1711" i="3" s="1"/>
  <c r="C1686" i="3" s="1"/>
  <c r="EI305" i="1"/>
  <c r="EN304" i="1"/>
  <c r="F1710" i="3" s="1"/>
  <c r="C1685" i="3" s="1"/>
  <c r="EI304" i="1"/>
  <c r="EN303" i="1"/>
  <c r="F1709" i="3" s="1"/>
  <c r="C1684" i="3" s="1"/>
  <c r="EI303" i="1"/>
  <c r="EI301" i="1"/>
  <c r="EN301" i="1"/>
  <c r="F1707" i="3" s="1"/>
  <c r="C1682" i="3" s="1"/>
  <c r="DZ622" i="36" l="1"/>
  <c r="EH136" i="36"/>
  <c r="EH440" i="36" s="1"/>
  <c r="EH445" i="36" s="1"/>
  <c r="DZ488" i="36"/>
  <c r="ED488" i="36" s="1"/>
  <c r="EF618" i="36"/>
  <c r="EF620" i="36" s="1"/>
  <c r="EF641" i="36" s="1"/>
  <c r="EC316" i="36"/>
  <c r="EC453" i="36" s="1"/>
  <c r="EC574" i="36" s="1"/>
  <c r="EE199" i="36"/>
  <c r="EH44" i="36"/>
  <c r="EH13" i="35" s="1"/>
  <c r="EH204" i="36"/>
  <c r="EH45" i="36" s="1"/>
  <c r="EH14" i="35" s="1"/>
  <c r="EH465" i="36"/>
  <c r="EM475" i="36" s="1"/>
  <c r="EF489" i="36"/>
  <c r="EE93" i="35"/>
  <c r="ES114" i="36"/>
  <c r="ES119" i="36" s="1"/>
  <c r="EF183" i="36"/>
  <c r="EF230" i="36" s="1"/>
  <c r="DV618" i="36"/>
  <c r="DV620" i="36" s="1"/>
  <c r="EA641" i="36" s="1"/>
  <c r="ED285" i="36"/>
  <c r="EL207" i="36"/>
  <c r="EC417" i="36"/>
  <c r="ER345" i="36"/>
  <c r="EC281" i="36"/>
  <c r="EC418" i="36" s="1"/>
  <c r="DW618" i="36"/>
  <c r="DW620" i="36" s="1"/>
  <c r="EB641" i="36" s="1"/>
  <c r="DY180" i="36"/>
  <c r="EC293" i="36"/>
  <c r="EC298" i="36" s="1"/>
  <c r="EC424" i="36" s="1"/>
  <c r="EC419" i="36"/>
  <c r="EC287" i="36"/>
  <c r="FD87" i="36"/>
  <c r="EO170" i="36"/>
  <c r="EO175" i="36" s="1"/>
  <c r="EO153" i="36" s="1"/>
  <c r="EO164" i="36" s="1"/>
  <c r="EF113" i="36"/>
  <c r="EF169" i="36" s="1"/>
  <c r="EC618" i="36"/>
  <c r="EC620" i="36" s="1"/>
  <c r="EH641" i="36" s="1"/>
  <c r="EL489" i="36"/>
  <c r="EC488" i="36"/>
  <c r="EQ489" i="36"/>
  <c r="EC40" i="36"/>
  <c r="EC9" i="35" s="1"/>
  <c r="ED180" i="36"/>
  <c r="ED192" i="36" s="1"/>
  <c r="FG100" i="36"/>
  <c r="EF600" i="36"/>
  <c r="EC192" i="36"/>
  <c r="EE488" i="36"/>
  <c r="EI488" i="36" s="1"/>
  <c r="EE618" i="36"/>
  <c r="EB609" i="36"/>
  <c r="EG610" i="36" s="1"/>
  <c r="EC100" i="36"/>
  <c r="EB402" i="36"/>
  <c r="ED181" i="36"/>
  <c r="EA624" i="36"/>
  <c r="EA650" i="36" s="1"/>
  <c r="EG101" i="36"/>
  <c r="DZ192" i="36"/>
  <c r="EE193" i="36" s="1"/>
  <c r="EA200" i="36"/>
  <c r="EF208" i="36" s="1"/>
  <c r="EX96" i="36"/>
  <c r="DZ199" i="36"/>
  <c r="EC400" i="36"/>
  <c r="EB436" i="36"/>
  <c r="EF296" i="36"/>
  <c r="EC434" i="36"/>
  <c r="EA99" i="36"/>
  <c r="DZ99" i="36" s="1"/>
  <c r="EA100" i="36" s="1"/>
  <c r="EG645" i="36"/>
  <c r="EF295" i="36"/>
  <c r="FC87" i="36"/>
  <c r="EK175" i="36"/>
  <c r="EK153" i="36" s="1"/>
  <c r="EK164" i="36" s="1"/>
  <c r="EL600" i="36"/>
  <c r="FC100" i="36"/>
  <c r="EA40" i="36"/>
  <c r="EA9" i="35" s="1"/>
  <c r="EF192" i="36"/>
  <c r="EF193" i="36" s="1"/>
  <c r="EH169" i="36"/>
  <c r="EH396" i="36"/>
  <c r="EH401" i="36" s="1"/>
  <c r="EF199" i="36"/>
  <c r="EF207" i="36" s="1"/>
  <c r="EH170" i="36"/>
  <c r="EH175" i="36" s="1"/>
  <c r="EH153" i="36" s="1"/>
  <c r="EH164" i="36" s="1"/>
  <c r="EH605" i="36"/>
  <c r="J188" i="37"/>
  <c r="I190" i="37"/>
  <c r="ET430" i="36"/>
  <c r="EU435" i="36"/>
  <c r="EZ435" i="36" s="1"/>
  <c r="FE435" i="36" s="1"/>
  <c r="EP170" i="36"/>
  <c r="EP175" i="36" s="1"/>
  <c r="EP153" i="36" s="1"/>
  <c r="EP164" i="36" s="1"/>
  <c r="EM620" i="36"/>
  <c r="EM641" i="36" s="1"/>
  <c r="EP136" i="36"/>
  <c r="EP169" i="36" s="1"/>
  <c r="EB600" i="36"/>
  <c r="EB457" i="36" s="1"/>
  <c r="EG41" i="36"/>
  <c r="EG10" i="35" s="1"/>
  <c r="EH41" i="36"/>
  <c r="EH10" i="35" s="1"/>
  <c r="EB41" i="36"/>
  <c r="EB10" i="35" s="1"/>
  <c r="EF93" i="35"/>
  <c r="EH462" i="36"/>
  <c r="EB462" i="36"/>
  <c r="EO183" i="36"/>
  <c r="FD120" i="35"/>
  <c r="EP561" i="36"/>
  <c r="EQ395" i="36"/>
  <c r="EQ400" i="36" s="1"/>
  <c r="EQ561" i="36"/>
  <c r="EO561" i="36"/>
  <c r="EI114" i="36"/>
  <c r="EI119" i="36" s="1"/>
  <c r="ER199" i="36"/>
  <c r="ER40" i="36" s="1"/>
  <c r="EB296" i="36"/>
  <c r="ED296" i="36" s="1"/>
  <c r="EQ183" i="36"/>
  <c r="ER488" i="36"/>
  <c r="ER489" i="36" s="1"/>
  <c r="EG462" i="36"/>
  <c r="EL472" i="36" s="1"/>
  <c r="EM461" i="36"/>
  <c r="ES180" i="36"/>
  <c r="EF624" i="36"/>
  <c r="EY40" i="35"/>
  <c r="FC38" i="35"/>
  <c r="EI180" i="36"/>
  <c r="EI192" i="36" s="1"/>
  <c r="DZ29" i="35"/>
  <c r="EM396" i="36"/>
  <c r="EM401" i="36" s="1"/>
  <c r="EM605" i="36"/>
  <c r="EM346" i="36"/>
  <c r="ER401" i="36"/>
  <c r="EN399" i="36"/>
  <c r="EX100" i="36"/>
  <c r="EH199" i="36"/>
  <c r="EH461" i="36" s="1"/>
  <c r="EH471" i="36" s="1"/>
  <c r="FC101" i="36"/>
  <c r="EF494" i="36"/>
  <c r="EH192" i="36"/>
  <c r="FC29" i="35"/>
  <c r="FH101" i="36"/>
  <c r="EH183" i="36"/>
  <c r="EH230" i="36" s="1"/>
  <c r="FH29" i="35"/>
  <c r="EH488" i="36"/>
  <c r="EI579" i="2"/>
  <c r="E1763" i="3"/>
  <c r="B1784" i="3" s="1"/>
  <c r="C1784" i="3" s="1"/>
  <c r="FE189" i="35"/>
  <c r="FF189" i="35" s="1"/>
  <c r="FG189" i="35" s="1"/>
  <c r="FH189" i="35" s="1"/>
  <c r="FE184" i="35"/>
  <c r="EG93" i="35"/>
  <c r="EX29" i="35"/>
  <c r="EM40" i="36"/>
  <c r="EM9" i="35" s="1"/>
  <c r="EK488" i="36"/>
  <c r="EK489" i="36" s="1"/>
  <c r="EK199" i="36"/>
  <c r="EK618" i="36"/>
  <c r="EK620" i="36" s="1"/>
  <c r="EE288" i="36"/>
  <c r="EB401" i="36"/>
  <c r="EG600" i="36"/>
  <c r="EG457" i="36" s="1"/>
  <c r="EA600" i="36"/>
  <c r="EA457" i="36" s="1"/>
  <c r="EG346" i="36"/>
  <c r="ES113" i="36"/>
  <c r="EG291" i="36"/>
  <c r="EG317" i="36" s="1"/>
  <c r="FB96" i="36"/>
  <c r="FC96" i="36" s="1"/>
  <c r="FG96" i="36"/>
  <c r="EM200" i="36"/>
  <c r="EM622" i="36"/>
  <c r="EM624" i="36" s="1"/>
  <c r="ER175" i="36"/>
  <c r="ER153" i="36" s="1"/>
  <c r="ER164" i="36" s="1"/>
  <c r="EL175" i="36"/>
  <c r="EL153" i="36" s="1"/>
  <c r="EL164" i="36" s="1"/>
  <c r="EA430" i="36"/>
  <c r="EA429" i="36" s="1"/>
  <c r="EA603" i="36"/>
  <c r="EC327" i="36"/>
  <c r="EC627" i="36" s="1"/>
  <c r="EP40" i="36"/>
  <c r="EP9" i="35" s="1"/>
  <c r="EF605" i="36"/>
  <c r="EK604" i="36"/>
  <c r="DU618" i="36"/>
  <c r="DU541" i="36"/>
  <c r="DU199" i="36"/>
  <c r="DY199" i="36" s="1"/>
  <c r="EM600" i="36"/>
  <c r="EH339" i="36"/>
  <c r="EH347" i="36" s="1"/>
  <c r="EM170" i="36"/>
  <c r="EM175" i="36" s="1"/>
  <c r="EM153" i="36" s="1"/>
  <c r="EM164" i="36" s="1"/>
  <c r="EM113" i="36"/>
  <c r="ED71" i="36"/>
  <c r="EG193" i="36"/>
  <c r="EE29" i="35"/>
  <c r="EL604" i="36"/>
  <c r="ED29" i="35"/>
  <c r="EB648" i="36"/>
  <c r="EX40" i="35"/>
  <c r="ET41" i="35"/>
  <c r="EO405" i="36"/>
  <c r="ES123" i="36"/>
  <c r="EO181" i="36"/>
  <c r="EF346" i="36"/>
  <c r="EF41" i="36"/>
  <c r="EF10" i="35" s="1"/>
  <c r="EF462" i="36"/>
  <c r="EJ585" i="36"/>
  <c r="EN585" i="36" s="1"/>
  <c r="EN581" i="36"/>
  <c r="DU451" i="36"/>
  <c r="DY394" i="36"/>
  <c r="DU257" i="36"/>
  <c r="ED270" i="36"/>
  <c r="ED275" i="36" s="1"/>
  <c r="EE275" i="36" s="1"/>
  <c r="EF275" i="36" s="1"/>
  <c r="EF270" i="36" s="1"/>
  <c r="EF269" i="36" s="1"/>
  <c r="DZ269" i="36"/>
  <c r="DZ407" i="36"/>
  <c r="EC631" i="36"/>
  <c r="EC609" i="36"/>
  <c r="EO203" i="35"/>
  <c r="EG641" i="36"/>
  <c r="EG648" i="36"/>
  <c r="EX112" i="36"/>
  <c r="EI198" i="35"/>
  <c r="EG605" i="36"/>
  <c r="EC560" i="36"/>
  <c r="ES180" i="35"/>
  <c r="ES192" i="35" s="1"/>
  <c r="ER192" i="35"/>
  <c r="EO315" i="36"/>
  <c r="ES268" i="36"/>
  <c r="ES601" i="36" s="1"/>
  <c r="EH560" i="36"/>
  <c r="EH565" i="36"/>
  <c r="ES202" i="35"/>
  <c r="EO211" i="35"/>
  <c r="EF396" i="36"/>
  <c r="EF258" i="36"/>
  <c r="EB417" i="36"/>
  <c r="EB316" i="36"/>
  <c r="EB291" i="36"/>
  <c r="EB317" i="36" s="1"/>
  <c r="EB327" i="36" s="1"/>
  <c r="EB627" i="36" s="1"/>
  <c r="EK183" i="36"/>
  <c r="EK203" i="36"/>
  <c r="EG455" i="36"/>
  <c r="EG574" i="36"/>
  <c r="DW600" i="36"/>
  <c r="EH291" i="36"/>
  <c r="EG396" i="36"/>
  <c r="EG401" i="36" s="1"/>
  <c r="EG258" i="36"/>
  <c r="ED601" i="36"/>
  <c r="DZ623" i="36"/>
  <c r="ES495" i="36"/>
  <c r="EX494" i="36"/>
  <c r="EN191" i="35"/>
  <c r="EE559" i="36"/>
  <c r="EF574" i="36"/>
  <c r="EF455" i="36"/>
  <c r="EE645" i="36"/>
  <c r="EI637" i="36"/>
  <c r="EE568" i="36"/>
  <c r="EE276" i="36"/>
  <c r="EF107" i="36"/>
  <c r="EE265" i="36"/>
  <c r="EE310" i="36"/>
  <c r="DZ394" i="36"/>
  <c r="FK583" i="36"/>
  <c r="FJ580" i="36"/>
  <c r="FJ67" i="35"/>
  <c r="EA417" i="36"/>
  <c r="EA316" i="36"/>
  <c r="EA291" i="36"/>
  <c r="EA317" i="36" s="1"/>
  <c r="EA327" i="36" s="1"/>
  <c r="EA627" i="36" s="1"/>
  <c r="EF319" i="36"/>
  <c r="EF367" i="36" s="1"/>
  <c r="EF337" i="36"/>
  <c r="DX396" i="36"/>
  <c r="DX401" i="36" s="1"/>
  <c r="DX258" i="36"/>
  <c r="ER395" i="36"/>
  <c r="ER400" i="36" s="1"/>
  <c r="EU592" i="36"/>
  <c r="EV592" i="36" s="1"/>
  <c r="EW592" i="36" s="1"/>
  <c r="ET591" i="36"/>
  <c r="DZ146" i="35"/>
  <c r="ED146" i="35" s="1"/>
  <c r="ED145" i="35"/>
  <c r="DU600" i="36"/>
  <c r="ES399" i="36"/>
  <c r="EG613" i="36"/>
  <c r="EG13" i="35"/>
  <c r="DV396" i="36"/>
  <c r="DV401" i="36" s="1"/>
  <c r="DV258" i="36"/>
  <c r="FI469" i="36"/>
  <c r="FI479" i="36" s="1"/>
  <c r="FI48" i="36"/>
  <c r="FI17" i="35" s="1"/>
  <c r="FI29" i="36"/>
  <c r="FJ11" i="36"/>
  <c r="EK440" i="36"/>
  <c r="EK445" i="36" s="1"/>
  <c r="EK169" i="36"/>
  <c r="EL203" i="36"/>
  <c r="EQ211" i="36" s="1"/>
  <c r="EL183" i="36"/>
  <c r="EO396" i="36"/>
  <c r="ES259" i="36"/>
  <c r="ES264" i="36" s="1"/>
  <c r="EO258" i="36"/>
  <c r="EG319" i="36"/>
  <c r="EG367" i="36" s="1"/>
  <c r="EG337" i="36"/>
  <c r="EG489" i="36"/>
  <c r="EQ401" i="36"/>
  <c r="EG190" i="36"/>
  <c r="EV154" i="36"/>
  <c r="EI447" i="36"/>
  <c r="EE585" i="36"/>
  <c r="EI585" i="36" s="1"/>
  <c r="EI581" i="36"/>
  <c r="EQ9" i="35"/>
  <c r="EM494" i="36"/>
  <c r="DZ40" i="35"/>
  <c r="ED38" i="35"/>
  <c r="EL212" i="35"/>
  <c r="DZ645" i="36"/>
  <c r="ED637" i="36"/>
  <c r="ED645" i="36" s="1"/>
  <c r="EF540" i="36"/>
  <c r="EF548" i="36"/>
  <c r="EI402" i="36"/>
  <c r="EJ394" i="36"/>
  <c r="EI398" i="36"/>
  <c r="EO318" i="36"/>
  <c r="ES302" i="36"/>
  <c r="EO439" i="36"/>
  <c r="EO304" i="36"/>
  <c r="ES198" i="35"/>
  <c r="ET196" i="35"/>
  <c r="DZ417" i="36"/>
  <c r="DZ316" i="36"/>
  <c r="ED280" i="36"/>
  <c r="ED402" i="36"/>
  <c r="ED398" i="36"/>
  <c r="EE394" i="36"/>
  <c r="EH395" i="36"/>
  <c r="EH400" i="36" s="1"/>
  <c r="DX648" i="36"/>
  <c r="DX632" i="36"/>
  <c r="DX651" i="36" s="1"/>
  <c r="EP345" i="36"/>
  <c r="EB461" i="36"/>
  <c r="EB201" i="36"/>
  <c r="EG209" i="36" s="1"/>
  <c r="EB40" i="36"/>
  <c r="ES40" i="35"/>
  <c r="DY198" i="35"/>
  <c r="EC407" i="36"/>
  <c r="EC412" i="36" s="1"/>
  <c r="ED125" i="36"/>
  <c r="ED130" i="36" s="1"/>
  <c r="EE130" i="36" s="1"/>
  <c r="EC124" i="36"/>
  <c r="EF291" i="36"/>
  <c r="EF317" i="36" s="1"/>
  <c r="EQ472" i="36"/>
  <c r="EC600" i="36"/>
  <c r="EH600" i="36"/>
  <c r="EH457" i="36" s="1"/>
  <c r="FD100" i="36"/>
  <c r="EX101" i="36"/>
  <c r="EA422" i="36"/>
  <c r="EM13" i="35"/>
  <c r="EK567" i="36"/>
  <c r="EG89" i="35"/>
  <c r="EI181" i="36"/>
  <c r="EE200" i="36"/>
  <c r="EE622" i="36"/>
  <c r="EG607" i="36"/>
  <c r="EG466" i="36"/>
  <c r="EG467" i="36" s="1"/>
  <c r="EG45" i="36"/>
  <c r="EG14" i="35" s="1"/>
  <c r="EE601" i="36"/>
  <c r="EE315" i="36"/>
  <c r="EI268" i="36"/>
  <c r="EH233" i="36"/>
  <c r="DW401" i="36"/>
  <c r="ES314" i="36"/>
  <c r="EO337" i="36"/>
  <c r="EG295" i="36"/>
  <c r="EG296" i="36"/>
  <c r="EB419" i="36"/>
  <c r="EB287" i="36"/>
  <c r="EB281" i="36"/>
  <c r="EB293" i="36"/>
  <c r="EJ439" i="36"/>
  <c r="EN135" i="36"/>
  <c r="EJ182" i="36"/>
  <c r="EJ137" i="36"/>
  <c r="EG207" i="36"/>
  <c r="EK622" i="36"/>
  <c r="EK624" i="36" s="1"/>
  <c r="EK200" i="36"/>
  <c r="EE146" i="35"/>
  <c r="EJ314" i="36"/>
  <c r="EN257" i="36"/>
  <c r="EJ599" i="36"/>
  <c r="EJ259" i="36"/>
  <c r="EC120" i="36"/>
  <c r="ED90" i="36"/>
  <c r="EC94" i="36"/>
  <c r="EB90" i="36"/>
  <c r="EC542" i="36" s="1"/>
  <c r="EC540" i="36" s="1"/>
  <c r="EC565" i="36" s="1"/>
  <c r="EC131" i="36"/>
  <c r="EQ441" i="36"/>
  <c r="EQ136" i="36"/>
  <c r="EQ169" i="36" s="1"/>
  <c r="EL337" i="36"/>
  <c r="EI405" i="36"/>
  <c r="EX636" i="36"/>
  <c r="DZ314" i="36"/>
  <c r="ED257" i="36"/>
  <c r="DZ291" i="36"/>
  <c r="DZ259" i="36"/>
  <c r="DZ599" i="36"/>
  <c r="EB86" i="36"/>
  <c r="EB105" i="36" s="1"/>
  <c r="EQ170" i="36"/>
  <c r="EQ175" i="36" s="1"/>
  <c r="EQ153" i="36" s="1"/>
  <c r="EQ164" i="36" s="1"/>
  <c r="ES402" i="36"/>
  <c r="ES398" i="36"/>
  <c r="ET394" i="36"/>
  <c r="EP395" i="36"/>
  <c r="EP400" i="36" s="1"/>
  <c r="EN447" i="36"/>
  <c r="EN443" i="36"/>
  <c r="EN173" i="36"/>
  <c r="EN444" i="36"/>
  <c r="EK613" i="36"/>
  <c r="EL440" i="36"/>
  <c r="EL445" i="36" s="1"/>
  <c r="EO444" i="36"/>
  <c r="FJ98" i="35"/>
  <c r="FK72" i="35"/>
  <c r="DX600" i="36"/>
  <c r="DX457" i="36" s="1"/>
  <c r="DX113" i="36"/>
  <c r="DY114" i="36"/>
  <c r="DY119" i="36" s="1"/>
  <c r="ED315" i="36"/>
  <c r="DZ338" i="36"/>
  <c r="EP13" i="35"/>
  <c r="EE296" i="36"/>
  <c r="EB650" i="36"/>
  <c r="EB408" i="36"/>
  <c r="DV600" i="36"/>
  <c r="EX268" i="36"/>
  <c r="EW66" i="35"/>
  <c r="EY66" i="35" s="1"/>
  <c r="EV99" i="35"/>
  <c r="ET405" i="36"/>
  <c r="EX123" i="36"/>
  <c r="EJ601" i="36"/>
  <c r="EJ315" i="36"/>
  <c r="EN268" i="36"/>
  <c r="EL396" i="36"/>
  <c r="EL401" i="36" s="1"/>
  <c r="EL258" i="36"/>
  <c r="DY38" i="35"/>
  <c r="DU40" i="35"/>
  <c r="DY40" i="35" s="1"/>
  <c r="EL169" i="36"/>
  <c r="EN172" i="36"/>
  <c r="DY399" i="36"/>
  <c r="EA269" i="36"/>
  <c r="EA407" i="36"/>
  <c r="EA412" i="36" s="1"/>
  <c r="EX182" i="35"/>
  <c r="EW185" i="35"/>
  <c r="EX185" i="35" s="1"/>
  <c r="EE453" i="36"/>
  <c r="EE417" i="36"/>
  <c r="ED436" i="36"/>
  <c r="EE428" i="36"/>
  <c r="DZ399" i="36"/>
  <c r="ED399" i="36" s="1"/>
  <c r="EJ114" i="36"/>
  <c r="EN112" i="36"/>
  <c r="EJ168" i="36"/>
  <c r="EN168" i="36" s="1"/>
  <c r="EJ180" i="36"/>
  <c r="EE399" i="36"/>
  <c r="EI399" i="36" s="1"/>
  <c r="EF13" i="35"/>
  <c r="EE291" i="36"/>
  <c r="EE314" i="36"/>
  <c r="EE259" i="36"/>
  <c r="EI257" i="36"/>
  <c r="EE599" i="36"/>
  <c r="EN398" i="36"/>
  <c r="EN402" i="36"/>
  <c r="EO394" i="36"/>
  <c r="EP401" i="36" s="1"/>
  <c r="ES137" i="36"/>
  <c r="ES142" i="36" s="1"/>
  <c r="EJ40" i="35"/>
  <c r="EN38" i="35"/>
  <c r="EE63" i="36"/>
  <c r="EC622" i="36"/>
  <c r="EC200" i="36"/>
  <c r="EJ318" i="36"/>
  <c r="EN302" i="36"/>
  <c r="EJ304" i="36"/>
  <c r="EQ465" i="36"/>
  <c r="EQ44" i="36"/>
  <c r="EL493" i="36"/>
  <c r="EL619" i="36"/>
  <c r="EL620" i="36" s="1"/>
  <c r="EJ405" i="36"/>
  <c r="EJ181" i="36"/>
  <c r="EN123" i="36"/>
  <c r="EG560" i="36"/>
  <c r="EG565" i="36"/>
  <c r="EF79" i="36"/>
  <c r="EL560" i="36"/>
  <c r="EL565" i="36"/>
  <c r="EE592" i="36"/>
  <c r="EI591" i="36"/>
  <c r="EI592" i="36" s="1"/>
  <c r="EB560" i="36"/>
  <c r="EG440" i="36"/>
  <c r="EG445" i="36" s="1"/>
  <c r="ES488" i="36"/>
  <c r="ED561" i="36"/>
  <c r="DZ559" i="36"/>
  <c r="EI204" i="35"/>
  <c r="EC401" i="36"/>
  <c r="EN91" i="35"/>
  <c r="EF607" i="36"/>
  <c r="EF466" i="36"/>
  <c r="EF45" i="36"/>
  <c r="EF14" i="35" s="1"/>
  <c r="EK600" i="36"/>
  <c r="EJ430" i="36"/>
  <c r="EN428" i="36"/>
  <c r="EJ603" i="36"/>
  <c r="ES581" i="36"/>
  <c r="B1764" i="3"/>
  <c r="E1764" i="3" s="1"/>
  <c r="B1822" i="3" s="1"/>
  <c r="EN579" i="2"/>
  <c r="EN583" i="2"/>
  <c r="EI581" i="2"/>
  <c r="EI583" i="2"/>
  <c r="EX579" i="2"/>
  <c r="EN581" i="2"/>
  <c r="EI582" i="2"/>
  <c r="EN582" i="2"/>
  <c r="EI489" i="36" l="1"/>
  <c r="EH466" i="36"/>
  <c r="EH467" i="36" s="1"/>
  <c r="EI618" i="36"/>
  <c r="EE201" i="36"/>
  <c r="EE190" i="36" s="1"/>
  <c r="EE207" i="36"/>
  <c r="EF505" i="36"/>
  <c r="EF507" i="36" s="1"/>
  <c r="EF561" i="36"/>
  <c r="EF559" i="36" s="1"/>
  <c r="EF560" i="36" s="1"/>
  <c r="EI113" i="36"/>
  <c r="DZ201" i="36"/>
  <c r="ED199" i="36"/>
  <c r="ED186" i="36" s="1"/>
  <c r="DV648" i="36"/>
  <c r="DV457" i="36"/>
  <c r="EA458" i="36" s="1"/>
  <c r="DV632" i="36"/>
  <c r="DV651" i="36" s="1"/>
  <c r="EA436" i="36"/>
  <c r="DY186" i="36"/>
  <c r="DY618" i="36"/>
  <c r="EB411" i="36"/>
  <c r="EB434" i="36"/>
  <c r="EB400" i="36"/>
  <c r="DW457" i="36"/>
  <c r="EB458" i="36" s="1"/>
  <c r="DW632" i="36"/>
  <c r="DW651" i="36" s="1"/>
  <c r="EF101" i="36"/>
  <c r="EB100" i="36"/>
  <c r="EC292" i="36"/>
  <c r="FD96" i="36"/>
  <c r="DW648" i="36"/>
  <c r="EV435" i="36"/>
  <c r="FA435" i="36" s="1"/>
  <c r="FF435" i="36" s="1"/>
  <c r="ES199" i="36"/>
  <c r="ES186" i="36" s="1"/>
  <c r="FF87" i="36"/>
  <c r="FH87" i="36" s="1"/>
  <c r="EF201" i="36"/>
  <c r="EF190" i="36" s="1"/>
  <c r="ED490" i="36"/>
  <c r="EF648" i="36"/>
  <c r="ED618" i="36"/>
  <c r="EH193" i="36"/>
  <c r="EI193" i="36"/>
  <c r="ER207" i="36"/>
  <c r="EP440" i="36"/>
  <c r="EP445" i="36" s="1"/>
  <c r="EK641" i="36"/>
  <c r="ER461" i="36"/>
  <c r="ER471" i="36" s="1"/>
  <c r="EI490" i="36"/>
  <c r="EI93" i="35"/>
  <c r="EI92" i="35" s="1"/>
  <c r="EJ92" i="35" s="1"/>
  <c r="EJ93" i="35" s="1"/>
  <c r="EF457" i="36"/>
  <c r="EF458" i="36" s="1"/>
  <c r="EE489" i="36"/>
  <c r="FH100" i="36"/>
  <c r="EA201" i="36"/>
  <c r="EB575" i="36"/>
  <c r="EM457" i="36"/>
  <c r="ER458" i="36" s="1"/>
  <c r="EA402" i="36"/>
  <c r="EF461" i="36"/>
  <c r="EF471" i="36" s="1"/>
  <c r="EA462" i="36"/>
  <c r="EF472" i="36" s="1"/>
  <c r="EA41" i="36"/>
  <c r="EA10" i="35" s="1"/>
  <c r="EM471" i="36"/>
  <c r="K188" i="37"/>
  <c r="J190" i="37"/>
  <c r="EK457" i="36"/>
  <c r="EG472" i="36"/>
  <c r="EH207" i="36"/>
  <c r="ES561" i="36"/>
  <c r="EI199" i="36"/>
  <c r="EY182" i="35"/>
  <c r="EZ66" i="35"/>
  <c r="EY99" i="35"/>
  <c r="B1771" i="3"/>
  <c r="EA282" i="36"/>
  <c r="EA419" i="36" s="1"/>
  <c r="EH201" i="36"/>
  <c r="EH42" i="36" s="1"/>
  <c r="EH11" i="35" s="1"/>
  <c r="EM207" i="36"/>
  <c r="EP489" i="36"/>
  <c r="EH40" i="36"/>
  <c r="EH9" i="35" s="1"/>
  <c r="EH489" i="36"/>
  <c r="EM489" i="36"/>
  <c r="EY41" i="35"/>
  <c r="FC40" i="35"/>
  <c r="FD41" i="35"/>
  <c r="E1762" i="3"/>
  <c r="FI189" i="35"/>
  <c r="FJ189" i="35" s="1"/>
  <c r="FF184" i="35"/>
  <c r="EH15" i="35"/>
  <c r="EK461" i="36"/>
  <c r="EP471" i="36" s="1"/>
  <c r="EK207" i="36"/>
  <c r="EP207" i="36"/>
  <c r="EK40" i="36"/>
  <c r="EK9" i="35" s="1"/>
  <c r="ES170" i="36"/>
  <c r="ES175" i="36" s="1"/>
  <c r="ES153" i="36" s="1"/>
  <c r="ES164" i="36" s="1"/>
  <c r="ER208" i="36"/>
  <c r="EM208" i="36"/>
  <c r="EM462" i="36"/>
  <c r="EM41" i="36"/>
  <c r="EM10" i="35" s="1"/>
  <c r="EB298" i="36"/>
  <c r="EB424" i="36" s="1"/>
  <c r="EA631" i="36"/>
  <c r="EA609" i="36"/>
  <c r="EF610" i="36" s="1"/>
  <c r="EG15" i="35"/>
  <c r="EH46" i="36"/>
  <c r="EL605" i="36"/>
  <c r="EM395" i="36"/>
  <c r="EM400" i="36" s="1"/>
  <c r="EM561" i="36"/>
  <c r="EM559" i="36" s="1"/>
  <c r="EM169" i="36"/>
  <c r="EF15" i="35"/>
  <c r="EF46" i="36"/>
  <c r="EE270" i="36"/>
  <c r="EE269" i="36" s="1"/>
  <c r="EK605" i="36"/>
  <c r="EF401" i="36"/>
  <c r="EC566" i="36"/>
  <c r="EC567" i="36"/>
  <c r="EN40" i="35"/>
  <c r="EN41" i="35" s="1"/>
  <c r="EJ41" i="35"/>
  <c r="EE430" i="36"/>
  <c r="EI428" i="36"/>
  <c r="EE603" i="36"/>
  <c r="EN405" i="36"/>
  <c r="EQ13" i="35"/>
  <c r="EN114" i="36"/>
  <c r="EN119" i="36" s="1"/>
  <c r="EJ170" i="36"/>
  <c r="EJ113" i="36"/>
  <c r="EA406" i="36"/>
  <c r="EN601" i="36"/>
  <c r="EJ623" i="36"/>
  <c r="EN623" i="36" s="1"/>
  <c r="FC636" i="36"/>
  <c r="EN182" i="36"/>
  <c r="EJ203" i="36"/>
  <c r="EG626" i="36"/>
  <c r="ES211" i="35"/>
  <c r="EO212" i="35"/>
  <c r="EH567" i="36"/>
  <c r="ES405" i="36"/>
  <c r="EN181" i="36"/>
  <c r="EJ200" i="36"/>
  <c r="EJ622" i="36"/>
  <c r="EJ441" i="36"/>
  <c r="EN441" i="36" s="1"/>
  <c r="EN446" i="36" s="1"/>
  <c r="EN137" i="36"/>
  <c r="EN142" i="36" s="1"/>
  <c r="EJ136" i="36"/>
  <c r="ED559" i="36"/>
  <c r="DZ560" i="36"/>
  <c r="EN318" i="36"/>
  <c r="EJ341" i="36"/>
  <c r="EE396" i="36"/>
  <c r="EI259" i="36"/>
  <c r="EI264" i="36" s="1"/>
  <c r="EE258" i="36"/>
  <c r="FK98" i="35"/>
  <c r="FL72" i="35"/>
  <c r="DY99" i="36"/>
  <c r="DZ100" i="36" s="1"/>
  <c r="EE101" i="36"/>
  <c r="DZ436" i="36"/>
  <c r="EA575" i="36"/>
  <c r="EA434" i="36"/>
  <c r="DZ402" i="36"/>
  <c r="EA400" i="36"/>
  <c r="ED575" i="36"/>
  <c r="ED599" i="36"/>
  <c r="DZ619" i="36"/>
  <c r="DZ493" i="36"/>
  <c r="ED493" i="36" s="1"/>
  <c r="EA90" i="36"/>
  <c r="EB542" i="36" s="1"/>
  <c r="EB540" i="36" s="1"/>
  <c r="EB120" i="36"/>
  <c r="EB131" i="36"/>
  <c r="EB94" i="36"/>
  <c r="EC95" i="36" s="1"/>
  <c r="EK462" i="36"/>
  <c r="EK208" i="36"/>
  <c r="EK41" i="36"/>
  <c r="EP208" i="36"/>
  <c r="EC406" i="36"/>
  <c r="ED124" i="36"/>
  <c r="FN40" i="35"/>
  <c r="ES318" i="36"/>
  <c r="EO341" i="36"/>
  <c r="EL465" i="36"/>
  <c r="EQ475" i="36" s="1"/>
  <c r="EL211" i="36"/>
  <c r="EL44" i="36"/>
  <c r="DV395" i="36"/>
  <c r="EE560" i="36"/>
  <c r="EE565" i="36"/>
  <c r="EG395" i="36"/>
  <c r="EG400" i="36" s="1"/>
  <c r="EF395" i="36"/>
  <c r="EF400" i="36" s="1"/>
  <c r="EF263" i="36"/>
  <c r="EI417" i="36"/>
  <c r="EN315" i="36"/>
  <c r="EJ338" i="36"/>
  <c r="EB602" i="36"/>
  <c r="EB331" i="36" s="1"/>
  <c r="EB414" i="36"/>
  <c r="EB413" i="36"/>
  <c r="EB452" i="36"/>
  <c r="DY113" i="36"/>
  <c r="EE208" i="36"/>
  <c r="EI200" i="36"/>
  <c r="ED40" i="35"/>
  <c r="DZ41" i="35"/>
  <c r="EE41" i="35"/>
  <c r="ES396" i="36"/>
  <c r="ES401" i="36" s="1"/>
  <c r="EK465" i="36"/>
  <c r="EK211" i="36"/>
  <c r="EK44" i="36"/>
  <c r="EP211" i="36"/>
  <c r="EN603" i="36"/>
  <c r="EI314" i="36"/>
  <c r="EE337" i="36"/>
  <c r="EL395" i="36"/>
  <c r="EL400" i="36" s="1"/>
  <c r="EX394" i="36"/>
  <c r="DZ396" i="36"/>
  <c r="DZ258" i="36"/>
  <c r="ED259" i="36"/>
  <c r="ED264" i="36" s="1"/>
  <c r="EQ440" i="36"/>
  <c r="EQ445" i="36" s="1"/>
  <c r="EC568" i="36"/>
  <c r="ED568" i="36" s="1"/>
  <c r="ED94" i="36"/>
  <c r="EC265" i="36"/>
  <c r="EC288" i="36"/>
  <c r="EC276" i="36"/>
  <c r="EN314" i="36"/>
  <c r="EJ337" i="36"/>
  <c r="EJ454" i="36"/>
  <c r="EN454" i="36" s="1"/>
  <c r="EN439" i="36"/>
  <c r="EJ604" i="36"/>
  <c r="EJ605" i="36" s="1"/>
  <c r="EG87" i="35"/>
  <c r="EH89" i="35" s="1"/>
  <c r="EF130" i="36"/>
  <c r="EF125" i="36" s="1"/>
  <c r="EE125" i="36"/>
  <c r="EO41" i="35"/>
  <c r="EU196" i="35"/>
  <c r="EU202" i="35" s="1"/>
  <c r="EU211" i="35" s="1"/>
  <c r="EC641" i="36"/>
  <c r="EC648" i="36"/>
  <c r="EC457" i="36"/>
  <c r="EC458" i="36" s="1"/>
  <c r="EL613" i="36"/>
  <c r="EA453" i="36"/>
  <c r="FL583" i="36"/>
  <c r="FK580" i="36"/>
  <c r="EI645" i="36"/>
  <c r="ED623" i="36"/>
  <c r="DZ624" i="36"/>
  <c r="EF282" i="36"/>
  <c r="DZ412" i="36"/>
  <c r="ED407" i="36"/>
  <c r="ED412" i="36" s="1"/>
  <c r="EI599" i="36"/>
  <c r="EE619" i="36"/>
  <c r="EE493" i="36"/>
  <c r="EN599" i="36"/>
  <c r="EJ493" i="36"/>
  <c r="EJ619" i="36"/>
  <c r="EN619" i="36" s="1"/>
  <c r="ES439" i="36"/>
  <c r="EO454" i="36"/>
  <c r="EF345" i="36"/>
  <c r="EF339" i="36"/>
  <c r="EK345" i="36"/>
  <c r="EG567" i="36"/>
  <c r="EG566" i="36"/>
  <c r="EK607" i="36"/>
  <c r="EL567" i="36"/>
  <c r="EC462" i="36"/>
  <c r="EC41" i="36"/>
  <c r="EH208" i="36"/>
  <c r="EC201" i="36"/>
  <c r="ED200" i="36"/>
  <c r="ED188" i="36" s="1"/>
  <c r="EO451" i="36"/>
  <c r="ES394" i="36"/>
  <c r="ES600" i="36" s="1"/>
  <c r="EE317" i="36"/>
  <c r="EI291" i="36"/>
  <c r="EC86" i="36"/>
  <c r="ED86" i="36" s="1"/>
  <c r="DZ317" i="36"/>
  <c r="ED317" i="36" s="1"/>
  <c r="ED291" i="36"/>
  <c r="ED120" i="36"/>
  <c r="ED131" i="36"/>
  <c r="EE542" i="36"/>
  <c r="EB9" i="35"/>
  <c r="DZ453" i="36"/>
  <c r="ED316" i="36"/>
  <c r="ET202" i="35"/>
  <c r="EF467" i="36"/>
  <c r="ES258" i="36"/>
  <c r="EO395" i="36"/>
  <c r="ED269" i="36"/>
  <c r="DZ406" i="36"/>
  <c r="ES490" i="36"/>
  <c r="EC624" i="36"/>
  <c r="ED622" i="36"/>
  <c r="EB418" i="36"/>
  <c r="EB292" i="36"/>
  <c r="ES337" i="36"/>
  <c r="EO461" i="36"/>
  <c r="EO40" i="36"/>
  <c r="EB463" i="36"/>
  <c r="EB464" i="36" s="1"/>
  <c r="EB42" i="36"/>
  <c r="EB11" i="35" s="1"/>
  <c r="EB190" i="36"/>
  <c r="EB626" i="36" s="1"/>
  <c r="EB628" i="36" s="1"/>
  <c r="EF40" i="36"/>
  <c r="EJ451" i="36"/>
  <c r="EN394" i="36"/>
  <c r="EO401" i="36" s="1"/>
  <c r="EK401" i="36"/>
  <c r="EJ600" i="36"/>
  <c r="EN600" i="36" s="1"/>
  <c r="EF549" i="36"/>
  <c r="EF541" i="36"/>
  <c r="EW154" i="36"/>
  <c r="DZ451" i="36"/>
  <c r="ED394" i="36"/>
  <c r="EA401" i="36"/>
  <c r="DZ600" i="36"/>
  <c r="ED600" i="36" s="1"/>
  <c r="EF308" i="36"/>
  <c r="EF299" i="36"/>
  <c r="EF425" i="36" s="1"/>
  <c r="EB453" i="36"/>
  <c r="EG458" i="36"/>
  <c r="EF274" i="36"/>
  <c r="DU314" i="36"/>
  <c r="DU259" i="36"/>
  <c r="DY257" i="36"/>
  <c r="DU599" i="36"/>
  <c r="EX41" i="35"/>
  <c r="EN304" i="36"/>
  <c r="EN309" i="36" s="1"/>
  <c r="EJ303" i="36"/>
  <c r="EN430" i="36"/>
  <c r="EN435" i="36" s="1"/>
  <c r="EJ429" i="36"/>
  <c r="EL641" i="36"/>
  <c r="EL457" i="36"/>
  <c r="EJ488" i="36"/>
  <c r="EJ199" i="36"/>
  <c r="EN180" i="36"/>
  <c r="EJ183" i="36"/>
  <c r="EJ618" i="36"/>
  <c r="EG505" i="36"/>
  <c r="EW99" i="35"/>
  <c r="EX99" i="35" s="1"/>
  <c r="EX66" i="35"/>
  <c r="ED314" i="36"/>
  <c r="DZ337" i="36"/>
  <c r="EL345" i="36"/>
  <c r="EQ345" i="36"/>
  <c r="EL461" i="36"/>
  <c r="EL40" i="36"/>
  <c r="EC541" i="36"/>
  <c r="EI315" i="36"/>
  <c r="EE338" i="36"/>
  <c r="EL607" i="36"/>
  <c r="EI394" i="36"/>
  <c r="EE451" i="36"/>
  <c r="EE600" i="36"/>
  <c r="EI600" i="36" s="1"/>
  <c r="EX196" i="35"/>
  <c r="FJ469" i="36"/>
  <c r="FJ48" i="36"/>
  <c r="FJ17" i="35" s="1"/>
  <c r="FJ29" i="36"/>
  <c r="FK11" i="36"/>
  <c r="EG46" i="36"/>
  <c r="DY600" i="36"/>
  <c r="DX395" i="36"/>
  <c r="ES315" i="36"/>
  <c r="EO338" i="36"/>
  <c r="ES181" i="36"/>
  <c r="EO200" i="36"/>
  <c r="EL494" i="36"/>
  <c r="EQ494" i="36"/>
  <c r="EX405" i="36"/>
  <c r="ED338" i="36"/>
  <c r="ED325" i="36" s="1"/>
  <c r="DZ462" i="36"/>
  <c r="DZ41" i="36"/>
  <c r="EJ396" i="36"/>
  <c r="EN259" i="36"/>
  <c r="EN264" i="36" s="1"/>
  <c r="EJ258" i="36"/>
  <c r="EI601" i="36"/>
  <c r="EE623" i="36"/>
  <c r="EI623" i="36" s="1"/>
  <c r="EI622" i="36"/>
  <c r="ER9" i="35"/>
  <c r="ES304" i="36"/>
  <c r="ES309" i="36" s="1"/>
  <c r="EO303" i="36"/>
  <c r="EO441" i="36"/>
  <c r="ES441" i="36" s="1"/>
  <c r="ES446" i="36" s="1"/>
  <c r="EG345" i="36"/>
  <c r="EG339" i="36"/>
  <c r="EG461" i="36"/>
  <c r="EG40" i="36"/>
  <c r="FK67" i="35"/>
  <c r="DU574" i="36"/>
  <c r="DY451" i="36"/>
  <c r="DY574" i="36" s="1"/>
  <c r="B1815" i="3"/>
  <c r="FD579" i="2"/>
  <c r="EI561" i="36" l="1"/>
  <c r="EF565" i="36"/>
  <c r="EF569" i="36" s="1"/>
  <c r="EI559" i="36"/>
  <c r="EE209" i="36"/>
  <c r="DZ190" i="36"/>
  <c r="DZ626" i="36" s="1"/>
  <c r="EW435" i="36"/>
  <c r="FB435" i="36" s="1"/>
  <c r="FG435" i="36" s="1"/>
  <c r="EF209" i="36"/>
  <c r="ED187" i="36"/>
  <c r="EI207" i="36"/>
  <c r="FF96" i="36"/>
  <c r="FH96" i="36" s="1"/>
  <c r="ED100" i="36"/>
  <c r="EF463" i="36"/>
  <c r="EF464" i="36" s="1"/>
  <c r="EI186" i="36"/>
  <c r="EI187" i="36" s="1"/>
  <c r="EI491" i="36"/>
  <c r="EM458" i="36"/>
  <c r="EK92" i="35"/>
  <c r="EL92" i="35" s="1"/>
  <c r="EM92" i="35" s="1"/>
  <c r="EM93" i="35" s="1"/>
  <c r="EK458" i="36"/>
  <c r="EA463" i="36"/>
  <c r="EA464" i="36" s="1"/>
  <c r="EA42" i="36"/>
  <c r="EA11" i="35" s="1"/>
  <c r="EA12" i="35" s="1"/>
  <c r="EA190" i="36"/>
  <c r="EA626" i="36" s="1"/>
  <c r="EA628" i="36" s="1"/>
  <c r="EA632" i="36" s="1"/>
  <c r="EA651" i="36" s="1"/>
  <c r="EA287" i="36"/>
  <c r="EH458" i="36"/>
  <c r="EA293" i="36"/>
  <c r="EA298" i="36" s="1"/>
  <c r="EA424" i="36" s="1"/>
  <c r="EF42" i="36"/>
  <c r="EF11" i="35" s="1"/>
  <c r="EP458" i="36"/>
  <c r="ES41" i="35"/>
  <c r="EK471" i="36"/>
  <c r="L188" i="37"/>
  <c r="L190" i="37" s="1"/>
  <c r="K190" i="37"/>
  <c r="EH12" i="35"/>
  <c r="EH16" i="35" s="1"/>
  <c r="EH18" i="35" s="1"/>
  <c r="EA281" i="36"/>
  <c r="EA292" i="36" s="1"/>
  <c r="EH463" i="36"/>
  <c r="EH464" i="36" s="1"/>
  <c r="EH468" i="36" s="1"/>
  <c r="EH470" i="36" s="1"/>
  <c r="EI201" i="36"/>
  <c r="EI190" i="36" s="1"/>
  <c r="EH190" i="36"/>
  <c r="EH626" i="36" s="1"/>
  <c r="FA66" i="35"/>
  <c r="EZ99" i="35"/>
  <c r="EY196" i="35"/>
  <c r="EY202" i="35" s="1"/>
  <c r="EY185" i="35"/>
  <c r="EZ182" i="35"/>
  <c r="D1784" i="3"/>
  <c r="E1784" i="3" s="1"/>
  <c r="C1815" i="3"/>
  <c r="EH43" i="36"/>
  <c r="EH47" i="36" s="1"/>
  <c r="EH49" i="36" s="1"/>
  <c r="FC41" i="35"/>
  <c r="FH41" i="35"/>
  <c r="FG184" i="35"/>
  <c r="FH184" i="35" s="1"/>
  <c r="FI184" i="35" s="1"/>
  <c r="FJ184" i="35" s="1"/>
  <c r="FK184" i="35" s="1"/>
  <c r="FL184" i="35" s="1"/>
  <c r="FM184" i="35" s="1"/>
  <c r="ED462" i="36"/>
  <c r="EM472" i="36"/>
  <c r="ER472" i="36"/>
  <c r="ED495" i="36"/>
  <c r="ED624" i="36"/>
  <c r="EM560" i="36"/>
  <c r="EM565" i="36"/>
  <c r="EN170" i="36"/>
  <c r="EN175" i="36" s="1"/>
  <c r="EN153" i="36" s="1"/>
  <c r="EN164" i="36" s="1"/>
  <c r="EJ175" i="36"/>
  <c r="EJ153" i="36" s="1"/>
  <c r="EJ164" i="36" s="1"/>
  <c r="EE624" i="36"/>
  <c r="EO462" i="36"/>
  <c r="ES200" i="36"/>
  <c r="EO208" i="36"/>
  <c r="EO41" i="36"/>
  <c r="ED337" i="36"/>
  <c r="ED323" i="36" s="1"/>
  <c r="DZ339" i="36"/>
  <c r="DZ40" i="36"/>
  <c r="DZ461" i="36"/>
  <c r="EG507" i="36"/>
  <c r="EN303" i="36"/>
  <c r="EB649" i="36"/>
  <c r="EB632" i="36"/>
  <c r="EB651" i="36" s="1"/>
  <c r="ES323" i="36"/>
  <c r="EB12" i="35"/>
  <c r="EC463" i="36"/>
  <c r="EC464" i="36" s="1"/>
  <c r="EC190" i="36"/>
  <c r="EC42" i="36"/>
  <c r="EC11" i="35" s="1"/>
  <c r="EH209" i="36"/>
  <c r="EI619" i="36"/>
  <c r="EE620" i="36"/>
  <c r="EF407" i="36"/>
  <c r="EF412" i="36" s="1"/>
  <c r="EF124" i="36"/>
  <c r="EE107" i="36"/>
  <c r="EE274" i="36" s="1"/>
  <c r="ED288" i="36"/>
  <c r="ED265" i="36"/>
  <c r="ED276" i="36"/>
  <c r="EE95" i="36"/>
  <c r="ED396" i="36"/>
  <c r="ED401" i="36" s="1"/>
  <c r="DZ401" i="36"/>
  <c r="EI208" i="36"/>
  <c r="EI188" i="36"/>
  <c r="EI189" i="36" s="1"/>
  <c r="EB541" i="36"/>
  <c r="EB565" i="36"/>
  <c r="EE401" i="36"/>
  <c r="EI396" i="36"/>
  <c r="EI401" i="36" s="1"/>
  <c r="ED560" i="36"/>
  <c r="ED562" i="36"/>
  <c r="FH636" i="36"/>
  <c r="DU396" i="36"/>
  <c r="DY396" i="36" s="1"/>
  <c r="DY401" i="36" s="1"/>
  <c r="DY259" i="36"/>
  <c r="DY264" i="36" s="1"/>
  <c r="DU258" i="36"/>
  <c r="ED451" i="36"/>
  <c r="DZ574" i="36"/>
  <c r="EB43" i="36"/>
  <c r="EN493" i="36"/>
  <c r="EJ494" i="36"/>
  <c r="EO494" i="36"/>
  <c r="EG86" i="35"/>
  <c r="EJ345" i="36"/>
  <c r="EN337" i="36"/>
  <c r="ES345" i="36" s="1"/>
  <c r="ES341" i="36"/>
  <c r="EO349" i="36"/>
  <c r="EO44" i="36"/>
  <c r="EO465" i="36"/>
  <c r="EJ465" i="36"/>
  <c r="EJ44" i="36"/>
  <c r="EN203" i="36"/>
  <c r="EO211" i="36"/>
  <c r="EJ561" i="36"/>
  <c r="EJ169" i="36"/>
  <c r="EN113" i="36"/>
  <c r="EE626" i="36"/>
  <c r="EE346" i="36"/>
  <c r="EI338" i="36"/>
  <c r="EJ620" i="36"/>
  <c r="EN618" i="36"/>
  <c r="EC10" i="35"/>
  <c r="EA574" i="36"/>
  <c r="EK13" i="35"/>
  <c r="EB485" i="36"/>
  <c r="EB72" i="36"/>
  <c r="ES618" i="36"/>
  <c r="EI451" i="36"/>
  <c r="EE574" i="36"/>
  <c r="EL9" i="35"/>
  <c r="EX154" i="36"/>
  <c r="EN451" i="36"/>
  <c r="EH472" i="36"/>
  <c r="EN604" i="36"/>
  <c r="EE339" i="36"/>
  <c r="EI337" i="36"/>
  <c r="EE345" i="36"/>
  <c r="EE461" i="36"/>
  <c r="EE40" i="36"/>
  <c r="EL13" i="35"/>
  <c r="EK10" i="35"/>
  <c r="EB568" i="36"/>
  <c r="EC569" i="36" s="1"/>
  <c r="EC107" i="36"/>
  <c r="EB288" i="36"/>
  <c r="EB276" i="36"/>
  <c r="EB265" i="36"/>
  <c r="ED619" i="36"/>
  <c r="DZ620" i="36"/>
  <c r="EJ395" i="36"/>
  <c r="EN258" i="36"/>
  <c r="ED41" i="36"/>
  <c r="DZ10" i="35"/>
  <c r="FK469" i="36"/>
  <c r="FK479" i="36" s="1"/>
  <c r="FK29" i="36"/>
  <c r="FL11" i="36"/>
  <c r="FK48" i="36"/>
  <c r="FK17" i="35" s="1"/>
  <c r="EL471" i="36"/>
  <c r="EQ471" i="36"/>
  <c r="EL458" i="36"/>
  <c r="EQ458" i="36"/>
  <c r="ES40" i="36"/>
  <c r="EO9" i="35"/>
  <c r="EE86" i="36"/>
  <c r="EE105" i="36" s="1"/>
  <c r="ES451" i="36"/>
  <c r="ED41" i="35"/>
  <c r="EI41" i="35"/>
  <c r="EJ440" i="36"/>
  <c r="EN136" i="36"/>
  <c r="EN622" i="36"/>
  <c r="EN624" i="36" s="1"/>
  <c r="EJ624" i="36"/>
  <c r="EI430" i="36"/>
  <c r="EI435" i="36" s="1"/>
  <c r="EE429" i="36"/>
  <c r="EE282" i="36"/>
  <c r="DY314" i="36"/>
  <c r="DU337" i="36"/>
  <c r="DY337" i="36" s="1"/>
  <c r="EN341" i="36"/>
  <c r="EG471" i="36"/>
  <c r="ES303" i="36"/>
  <c r="EO440" i="36"/>
  <c r="EG327" i="36"/>
  <c r="EG347" i="36"/>
  <c r="EG42" i="36"/>
  <c r="EG11" i="35" s="1"/>
  <c r="EG463" i="36"/>
  <c r="EG473" i="36" s="1"/>
  <c r="EN183" i="36"/>
  <c r="EF9" i="35"/>
  <c r="ES461" i="36"/>
  <c r="EC650" i="36"/>
  <c r="ES395" i="36"/>
  <c r="ES400" i="36" s="1"/>
  <c r="EO400" i="36"/>
  <c r="ET211" i="35"/>
  <c r="EC105" i="36"/>
  <c r="ED105" i="36" s="1"/>
  <c r="FL580" i="36"/>
  <c r="FM583" i="36"/>
  <c r="FM580" i="36" s="1"/>
  <c r="EK475" i="36"/>
  <c r="EP475" i="36"/>
  <c r="EE566" i="36"/>
  <c r="EE569" i="36"/>
  <c r="EE567" i="36"/>
  <c r="EK472" i="36"/>
  <c r="EP472" i="36"/>
  <c r="DX99" i="36"/>
  <c r="DZ575" i="36"/>
  <c r="ED101" i="36"/>
  <c r="DY402" i="36"/>
  <c r="EE395" i="36"/>
  <c r="EI258" i="36"/>
  <c r="EJ462" i="36"/>
  <c r="EJ208" i="36"/>
  <c r="EJ41" i="36"/>
  <c r="EN200" i="36"/>
  <c r="EG191" i="36"/>
  <c r="EE462" i="36"/>
  <c r="FL67" i="35"/>
  <c r="EO346" i="36"/>
  <c r="ES338" i="36"/>
  <c r="EF626" i="36"/>
  <c r="EJ461" i="36"/>
  <c r="EO471" i="36" s="1"/>
  <c r="EJ207" i="36"/>
  <c r="EN199" i="36"/>
  <c r="EJ40" i="36"/>
  <c r="EO207" i="36"/>
  <c r="EJ434" i="36"/>
  <c r="EN429" i="36"/>
  <c r="EN434" i="36" s="1"/>
  <c r="ED406" i="36"/>
  <c r="ED411" i="36" s="1"/>
  <c r="DZ411" i="36"/>
  <c r="DZ408" i="36"/>
  <c r="EF419" i="36"/>
  <c r="EF287" i="36"/>
  <c r="EF281" i="36"/>
  <c r="EF293" i="36"/>
  <c r="EF298" i="36" s="1"/>
  <c r="EF424" i="36" s="1"/>
  <c r="EV196" i="35"/>
  <c r="DZ395" i="36"/>
  <c r="ED258" i="36"/>
  <c r="EL475" i="36"/>
  <c r="FM72" i="35"/>
  <c r="FM98" i="35" s="1"/>
  <c r="FL98" i="35"/>
  <c r="ED201" i="36"/>
  <c r="ED190" i="36" s="1"/>
  <c r="EG9" i="35"/>
  <c r="EI89" i="35"/>
  <c r="EH87" i="35"/>
  <c r="EH86" i="35" s="1"/>
  <c r="EC411" i="36"/>
  <c r="EC408" i="36"/>
  <c r="EE609" i="36"/>
  <c r="EI603" i="36"/>
  <c r="EI624" i="36"/>
  <c r="EN396" i="36"/>
  <c r="EN401" i="36" s="1"/>
  <c r="EJ401" i="36"/>
  <c r="FJ479" i="36"/>
  <c r="EJ489" i="36"/>
  <c r="EN488" i="36"/>
  <c r="EO489" i="36"/>
  <c r="DY599" i="36"/>
  <c r="DU619" i="36"/>
  <c r="EB574" i="36"/>
  <c r="FI99" i="36"/>
  <c r="EO345" i="36"/>
  <c r="ED453" i="36"/>
  <c r="EE540" i="36"/>
  <c r="EE548" i="36"/>
  <c r="EF347" i="36"/>
  <c r="EF327" i="36"/>
  <c r="EI493" i="36"/>
  <c r="EE494" i="36"/>
  <c r="DZ650" i="36"/>
  <c r="EE407" i="36"/>
  <c r="EE124" i="36"/>
  <c r="EE41" i="36"/>
  <c r="EN338" i="36"/>
  <c r="EJ346" i="36"/>
  <c r="EA131" i="36"/>
  <c r="DZ90" i="36"/>
  <c r="EA542" i="36" s="1"/>
  <c r="EA540" i="36" s="1"/>
  <c r="EA120" i="36"/>
  <c r="EF92" i="36"/>
  <c r="EA94" i="36"/>
  <c r="EB95" i="36" s="1"/>
  <c r="EA411" i="36"/>
  <c r="EA408" i="36"/>
  <c r="FE579" i="2"/>
  <c r="EI565" i="36" l="1"/>
  <c r="EF567" i="36"/>
  <c r="EF566" i="36"/>
  <c r="EI562" i="36"/>
  <c r="EI560" i="36"/>
  <c r="EE191" i="36"/>
  <c r="EA649" i="36"/>
  <c r="EA652" i="36" s="1"/>
  <c r="EA656" i="36" s="1"/>
  <c r="EL93" i="35"/>
  <c r="EK93" i="35"/>
  <c r="EF191" i="36"/>
  <c r="EA43" i="36"/>
  <c r="EF473" i="36"/>
  <c r="EF12" i="35"/>
  <c r="EF16" i="35" s="1"/>
  <c r="EF18" i="35" s="1"/>
  <c r="EF48" i="35" s="1"/>
  <c r="EF43" i="36"/>
  <c r="EF47" i="36" s="1"/>
  <c r="EF49" i="36" s="1"/>
  <c r="EA418" i="36"/>
  <c r="EH473" i="36"/>
  <c r="FA182" i="35"/>
  <c r="EZ185" i="35"/>
  <c r="EY211" i="35"/>
  <c r="EZ196" i="35"/>
  <c r="FB66" i="35"/>
  <c r="FC66" i="35" s="1"/>
  <c r="FA99" i="35"/>
  <c r="D1815" i="3"/>
  <c r="EC43" i="36"/>
  <c r="EH50" i="36" s="1"/>
  <c r="EC12" i="35"/>
  <c r="EE263" i="36"/>
  <c r="EN605" i="36"/>
  <c r="EM567" i="36"/>
  <c r="EY154" i="36"/>
  <c r="EI191" i="36"/>
  <c r="EF627" i="36"/>
  <c r="EF628" i="36" s="1"/>
  <c r="EF328" i="36"/>
  <c r="EN490" i="36"/>
  <c r="EN489" i="36"/>
  <c r="ES489" i="36"/>
  <c r="EI609" i="36"/>
  <c r="EW196" i="35"/>
  <c r="EW202" i="35" s="1"/>
  <c r="EW211" i="35" s="1"/>
  <c r="EN465" i="36"/>
  <c r="EA541" i="36"/>
  <c r="EA565" i="36"/>
  <c r="DY619" i="36"/>
  <c r="DY323" i="36" s="1"/>
  <c r="ED324" i="36" s="1"/>
  <c r="DU620" i="36"/>
  <c r="DZ641" i="36" s="1"/>
  <c r="EI209" i="36"/>
  <c r="EE419" i="36"/>
  <c r="EE287" i="36"/>
  <c r="EE281" i="36"/>
  <c r="EE293" i="36"/>
  <c r="EI87" i="35"/>
  <c r="EJ89" i="35" s="1"/>
  <c r="EN495" i="36"/>
  <c r="EN494" i="36"/>
  <c r="ES494" i="36"/>
  <c r="EE641" i="36"/>
  <c r="EI620" i="36"/>
  <c r="EE648" i="36"/>
  <c r="EE457" i="36"/>
  <c r="EB652" i="36"/>
  <c r="EB654" i="36" s="1"/>
  <c r="ES41" i="36"/>
  <c r="EO10" i="35"/>
  <c r="ES10" i="35" s="1"/>
  <c r="EO445" i="36"/>
  <c r="EE406" i="36"/>
  <c r="EJ472" i="36"/>
  <c r="EN462" i="36"/>
  <c r="EH474" i="36"/>
  <c r="ED574" i="36"/>
  <c r="EA602" i="36"/>
  <c r="EA331" i="36" s="1"/>
  <c r="EA414" i="36"/>
  <c r="EA413" i="36"/>
  <c r="EA410" i="36"/>
  <c r="EA452" i="36"/>
  <c r="EB410" i="36"/>
  <c r="EA568" i="36"/>
  <c r="EB569" i="36" s="1"/>
  <c r="EB107" i="36"/>
  <c r="EA276" i="36"/>
  <c r="EA265" i="36"/>
  <c r="EA288" i="36"/>
  <c r="EF97" i="36"/>
  <c r="EE412" i="36"/>
  <c r="EJ471" i="36"/>
  <c r="EN461" i="36"/>
  <c r="ES471" i="36" s="1"/>
  <c r="EI395" i="36"/>
  <c r="EI400" i="36" s="1"/>
  <c r="EE400" i="36"/>
  <c r="DW99" i="36"/>
  <c r="DX100" i="36" s="1"/>
  <c r="EC101" i="36"/>
  <c r="DX402" i="36"/>
  <c r="EG627" i="36"/>
  <c r="EG628" i="36" s="1"/>
  <c r="EG328" i="36"/>
  <c r="EE434" i="36"/>
  <c r="EI429" i="36"/>
  <c r="EI434" i="36" s="1"/>
  <c r="ED10" i="35"/>
  <c r="ES329" i="36"/>
  <c r="ES349" i="36"/>
  <c r="EI86" i="35"/>
  <c r="EF406" i="36"/>
  <c r="ED461" i="36"/>
  <c r="EF474" i="36"/>
  <c r="EF468" i="36"/>
  <c r="EH526" i="36"/>
  <c r="ED40" i="36"/>
  <c r="DZ9" i="35"/>
  <c r="ED650" i="36"/>
  <c r="FI636" i="36"/>
  <c r="EN188" i="36"/>
  <c r="EN189" i="36" s="1"/>
  <c r="EN208" i="36"/>
  <c r="EN169" i="36"/>
  <c r="EN44" i="36"/>
  <c r="EJ13" i="35"/>
  <c r="EC626" i="36"/>
  <c r="EH191" i="36"/>
  <c r="EE472" i="36"/>
  <c r="EI462" i="36"/>
  <c r="EI472" i="36" s="1"/>
  <c r="EN440" i="36"/>
  <c r="EN445" i="36" s="1"/>
  <c r="EJ445" i="36"/>
  <c r="EI40" i="36"/>
  <c r="EE9" i="35"/>
  <c r="ES208" i="36"/>
  <c r="ES188" i="36"/>
  <c r="EN346" i="36"/>
  <c r="EN325" i="36"/>
  <c r="FM67" i="35"/>
  <c r="EF86" i="36"/>
  <c r="EE88" i="36"/>
  <c r="EE471" i="36"/>
  <c r="EI461" i="36"/>
  <c r="ED339" i="36"/>
  <c r="ED327" i="36" s="1"/>
  <c r="DZ327" i="36"/>
  <c r="DZ627" i="36" s="1"/>
  <c r="DZ42" i="36"/>
  <c r="DZ463" i="36"/>
  <c r="ED463" i="36" s="1"/>
  <c r="EO472" i="36"/>
  <c r="ES462" i="36"/>
  <c r="EI41" i="36"/>
  <c r="EE10" i="35"/>
  <c r="EI10" i="35" s="1"/>
  <c r="FI100" i="36"/>
  <c r="FJ99" i="36"/>
  <c r="EC602" i="36"/>
  <c r="EC331" i="36" s="1"/>
  <c r="EC414" i="36"/>
  <c r="EC413" i="36"/>
  <c r="EC410" i="36"/>
  <c r="ED408" i="36"/>
  <c r="EC452" i="36"/>
  <c r="EI495" i="36"/>
  <c r="EI496" i="36" s="1"/>
  <c r="EI494" i="36"/>
  <c r="EE549" i="36"/>
  <c r="EE541" i="36"/>
  <c r="EG12" i="35"/>
  <c r="EG16" i="35" s="1"/>
  <c r="EG18" i="35" s="1"/>
  <c r="DZ400" i="36"/>
  <c r="ED395" i="36"/>
  <c r="ED400" i="36" s="1"/>
  <c r="EF418" i="36"/>
  <c r="EF286" i="36"/>
  <c r="EF292" i="36"/>
  <c r="EF297" i="36" s="1"/>
  <c r="EF423" i="36" s="1"/>
  <c r="DZ602" i="36"/>
  <c r="DZ414" i="36"/>
  <c r="DZ413" i="36"/>
  <c r="DZ452" i="36"/>
  <c r="EN40" i="36"/>
  <c r="EJ9" i="35"/>
  <c r="ES346" i="36"/>
  <c r="ES325" i="36"/>
  <c r="EN41" i="36"/>
  <c r="EJ10" i="35"/>
  <c r="EN10" i="35" s="1"/>
  <c r="EG464" i="36"/>
  <c r="ED620" i="36"/>
  <c r="DZ457" i="36"/>
  <c r="DZ648" i="36"/>
  <c r="EI345" i="36"/>
  <c r="EI323" i="36"/>
  <c r="EI324" i="36" s="1"/>
  <c r="EN620" i="36"/>
  <c r="EJ641" i="36"/>
  <c r="EJ457" i="36"/>
  <c r="EI626" i="36"/>
  <c r="EN561" i="36"/>
  <c r="EJ559" i="36"/>
  <c r="EO475" i="36"/>
  <c r="EE299" i="36"/>
  <c r="EE425" i="36" s="1"/>
  <c r="EC274" i="36"/>
  <c r="DX274" i="36" s="1"/>
  <c r="EC286" i="36"/>
  <c r="EC263" i="36"/>
  <c r="EC299" i="36"/>
  <c r="EC425" i="36" s="1"/>
  <c r="EC297" i="36"/>
  <c r="EC423" i="36" s="1"/>
  <c r="DU395" i="36"/>
  <c r="DY395" i="36" s="1"/>
  <c r="DY258" i="36"/>
  <c r="EN329" i="36"/>
  <c r="EB357" i="36"/>
  <c r="EB355" i="36" s="1"/>
  <c r="EB219" i="36"/>
  <c r="EB217" i="36" s="1"/>
  <c r="EN194" i="36"/>
  <c r="DX90" i="36"/>
  <c r="DZ120" i="36"/>
  <c r="DZ131" i="36"/>
  <c r="EE92" i="36"/>
  <c r="DZ94" i="36"/>
  <c r="EA95" i="36" s="1"/>
  <c r="EG43" i="36"/>
  <c r="EV202" i="35"/>
  <c r="EN207" i="36"/>
  <c r="EN186" i="36"/>
  <c r="ES207" i="36"/>
  <c r="EI567" i="36"/>
  <c r="ES9" i="35"/>
  <c r="FL469" i="36"/>
  <c r="FL479" i="36" s="1"/>
  <c r="FL29" i="36"/>
  <c r="FM11" i="36"/>
  <c r="FL48" i="36"/>
  <c r="FL17" i="35" s="1"/>
  <c r="EJ400" i="36"/>
  <c r="EN395" i="36"/>
  <c r="EN400" i="36" s="1"/>
  <c r="EI339" i="36"/>
  <c r="EE347" i="36"/>
  <c r="EE327" i="36"/>
  <c r="EE42" i="36"/>
  <c r="EE43" i="36" s="1"/>
  <c r="EE463" i="36"/>
  <c r="EE464" i="36" s="1"/>
  <c r="EI346" i="36"/>
  <c r="EI325" i="36"/>
  <c r="EI326" i="36" s="1"/>
  <c r="EO13" i="35"/>
  <c r="EN345" i="36"/>
  <c r="EN323" i="36"/>
  <c r="EB566" i="36"/>
  <c r="EB567" i="36"/>
  <c r="ES619" i="36"/>
  <c r="ES620" i="36" s="1"/>
  <c r="EE650" i="36"/>
  <c r="FF579" i="2"/>
  <c r="EN93" i="35" l="1"/>
  <c r="EN92" i="35" s="1"/>
  <c r="EO92" i="35" s="1"/>
  <c r="EP92" i="35" s="1"/>
  <c r="EQ92" i="35" s="1"/>
  <c r="ER92" i="35" s="1"/>
  <c r="EF50" i="36"/>
  <c r="FB182" i="35"/>
  <c r="FA185" i="35"/>
  <c r="ES472" i="36"/>
  <c r="FB99" i="35"/>
  <c r="FC99" i="35" s="1"/>
  <c r="FD66" i="35"/>
  <c r="EZ202" i="35"/>
  <c r="FA196" i="35"/>
  <c r="EI471" i="36"/>
  <c r="EN324" i="36"/>
  <c r="EN326" i="36"/>
  <c r="EZ154" i="36"/>
  <c r="ES641" i="36"/>
  <c r="ES457" i="36"/>
  <c r="EI43" i="36"/>
  <c r="EI641" i="36"/>
  <c r="EI457" i="36"/>
  <c r="EJ87" i="35"/>
  <c r="EK89" i="35" s="1"/>
  <c r="EN491" i="36"/>
  <c r="ES491" i="36"/>
  <c r="ET491" i="36" s="1"/>
  <c r="EU491" i="36" s="1"/>
  <c r="EV491" i="36" s="1"/>
  <c r="EW491" i="36" s="1"/>
  <c r="EN13" i="35"/>
  <c r="EN496" i="36"/>
  <c r="ES496" i="36"/>
  <c r="ET496" i="36" s="1"/>
  <c r="EU496" i="36" s="1"/>
  <c r="EV496" i="36" s="1"/>
  <c r="EW496" i="36" s="1"/>
  <c r="EE418" i="36"/>
  <c r="EE286" i="36"/>
  <c r="EE292" i="36"/>
  <c r="EA653" i="36"/>
  <c r="EA655" i="36"/>
  <c r="EI347" i="36"/>
  <c r="DY90" i="36"/>
  <c r="DX82" i="36"/>
  <c r="DX120" i="36"/>
  <c r="EN559" i="36"/>
  <c r="EJ560" i="36"/>
  <c r="EJ565" i="36"/>
  <c r="EG474" i="36"/>
  <c r="EG468" i="36"/>
  <c r="FJ100" i="36"/>
  <c r="FK99" i="36"/>
  <c r="ED42" i="36"/>
  <c r="DZ11" i="35"/>
  <c r="ED11" i="35" s="1"/>
  <c r="EB299" i="36"/>
  <c r="EB425" i="36" s="1"/>
  <c r="EB263" i="36"/>
  <c r="EB274" i="36"/>
  <c r="DW274" i="36" s="1"/>
  <c r="EB286" i="36"/>
  <c r="EB297" i="36"/>
  <c r="EB423" i="36" s="1"/>
  <c r="EA654" i="36"/>
  <c r="DU648" i="36"/>
  <c r="DY620" i="36"/>
  <c r="DY457" i="36" s="1"/>
  <c r="DU457" i="36"/>
  <c r="DZ458" i="36" s="1"/>
  <c r="DU632" i="36"/>
  <c r="EB656" i="36"/>
  <c r="ED648" i="36"/>
  <c r="ED627" i="36"/>
  <c r="DZ628" i="36"/>
  <c r="DZ568" i="36"/>
  <c r="EA569" i="36" s="1"/>
  <c r="EA107" i="36"/>
  <c r="DZ276" i="36"/>
  <c r="DZ265" i="36"/>
  <c r="DZ288" i="36"/>
  <c r="EE97" i="36"/>
  <c r="ED452" i="36"/>
  <c r="DZ72" i="36"/>
  <c r="DZ485" i="36"/>
  <c r="ED414" i="36"/>
  <c r="ED413" i="36"/>
  <c r="EE411" i="36"/>
  <c r="EE408" i="36"/>
  <c r="EA566" i="36"/>
  <c r="EA567" i="36"/>
  <c r="EG50" i="36"/>
  <c r="EG47" i="36"/>
  <c r="EG49" i="36" s="1"/>
  <c r="ED457" i="36"/>
  <c r="EC72" i="36"/>
  <c r="EC485" i="36"/>
  <c r="EI9" i="35"/>
  <c r="DZ464" i="36"/>
  <c r="EE474" i="36" s="1"/>
  <c r="ES330" i="36"/>
  <c r="EN471" i="36"/>
  <c r="EI464" i="36"/>
  <c r="ES622" i="36"/>
  <c r="ES189" i="36"/>
  <c r="EI650" i="36"/>
  <c r="EE473" i="36"/>
  <c r="EI463" i="36"/>
  <c r="EI473" i="36" s="1"/>
  <c r="EN187" i="36"/>
  <c r="ES187" i="36"/>
  <c r="EJ458" i="36"/>
  <c r="EO458" i="36"/>
  <c r="EC628" i="36"/>
  <c r="ED626" i="36"/>
  <c r="FJ636" i="36"/>
  <c r="DZ43" i="36"/>
  <c r="DX94" i="36"/>
  <c r="EA72" i="36"/>
  <c r="EA485" i="36"/>
  <c r="EN9" i="35"/>
  <c r="EF205" i="35"/>
  <c r="EF49" i="35"/>
  <c r="EF470" i="36"/>
  <c r="EB653" i="36"/>
  <c r="EB655" i="36"/>
  <c r="ES324" i="36"/>
  <c r="ET324" i="36" s="1"/>
  <c r="EY324" i="36" s="1"/>
  <c r="EI42" i="36"/>
  <c r="EE11" i="35"/>
  <c r="EI11" i="35" s="1"/>
  <c r="FM469" i="36"/>
  <c r="FM479" i="36" s="1"/>
  <c r="FM29" i="36"/>
  <c r="FM48" i="36"/>
  <c r="FM17" i="35" s="1"/>
  <c r="ES623" i="36"/>
  <c r="ES326" i="36"/>
  <c r="ED602" i="36"/>
  <c r="ED331" i="36" s="1"/>
  <c r="DZ331" i="36"/>
  <c r="EG86" i="36"/>
  <c r="EG105" i="36" s="1"/>
  <c r="EF88" i="36"/>
  <c r="ED9" i="35"/>
  <c r="DX575" i="36"/>
  <c r="DV99" i="36"/>
  <c r="DW100" i="36" s="1"/>
  <c r="DW402" i="36"/>
  <c r="EB101" i="36"/>
  <c r="DX400" i="36"/>
  <c r="ED410" i="36"/>
  <c r="EE458" i="36"/>
  <c r="EE627" i="36"/>
  <c r="EE328" i="36"/>
  <c r="EV211" i="35"/>
  <c r="EX202" i="35"/>
  <c r="EN641" i="36"/>
  <c r="EN457" i="36"/>
  <c r="EF105" i="36"/>
  <c r="EF649" i="36"/>
  <c r="EF629" i="36"/>
  <c r="EF333" i="36"/>
  <c r="EF632" i="36"/>
  <c r="EF651" i="36" s="1"/>
  <c r="EF411" i="36"/>
  <c r="EF408" i="36"/>
  <c r="EG629" i="36"/>
  <c r="EG333" i="36"/>
  <c r="EG649" i="36"/>
  <c r="EG632" i="36"/>
  <c r="EG651" i="36" s="1"/>
  <c r="EN472" i="36"/>
  <c r="EE298" i="36"/>
  <c r="EE424" i="36" s="1"/>
  <c r="FG579" i="2"/>
  <c r="C1946" i="3"/>
  <c r="B1946" i="3"/>
  <c r="D1944" i="3"/>
  <c r="C48" i="3"/>
  <c r="B58" i="3" s="1"/>
  <c r="C38" i="3"/>
  <c r="B48" i="3" s="1"/>
  <c r="B38" i="3"/>
  <c r="ER583" i="2"/>
  <c r="ER582" i="2"/>
  <c r="EQ582" i="2"/>
  <c r="EP582" i="2"/>
  <c r="EO582" i="2"/>
  <c r="ER581" i="2"/>
  <c r="EQ581" i="2"/>
  <c r="EO579" i="2"/>
  <c r="EP579" i="2"/>
  <c r="EQ579" i="2"/>
  <c r="ER579" i="2"/>
  <c r="ER213" i="4"/>
  <c r="ER196" i="4"/>
  <c r="ER190" i="4"/>
  <c r="ER189" i="4"/>
  <c r="ER188" i="4"/>
  <c r="ER187" i="4"/>
  <c r="ER184" i="4"/>
  <c r="ER183" i="4"/>
  <c r="ER182" i="4"/>
  <c r="ER179" i="4"/>
  <c r="ER178" i="4"/>
  <c r="ER175" i="4"/>
  <c r="ER174" i="4"/>
  <c r="ER173" i="4"/>
  <c r="ER172" i="4"/>
  <c r="ER171" i="4"/>
  <c r="ER166" i="4"/>
  <c r="ER141" i="4"/>
  <c r="ER98" i="4"/>
  <c r="ER100" i="4"/>
  <c r="ER101" i="4"/>
  <c r="ER102" i="4"/>
  <c r="ER108" i="4"/>
  <c r="ER112" i="4"/>
  <c r="ER113" i="4"/>
  <c r="ER114" i="4"/>
  <c r="ER115" i="4"/>
  <c r="ER116" i="4"/>
  <c r="ER117" i="4"/>
  <c r="ER22" i="4"/>
  <c r="ER23" i="4"/>
  <c r="ER24" i="4"/>
  <c r="ER25" i="4"/>
  <c r="ER27" i="4"/>
  <c r="ER32" i="4"/>
  <c r="ER36" i="4" s="1"/>
  <c r="ER33" i="4"/>
  <c r="ER34" i="4"/>
  <c r="ER35" i="4"/>
  <c r="ER37" i="4"/>
  <c r="ER39" i="4"/>
  <c r="ER53" i="4"/>
  <c r="EW54" i="4" s="1"/>
  <c r="ER65" i="4"/>
  <c r="ER97" i="4" s="1"/>
  <c r="ER66" i="4"/>
  <c r="ER99" i="4" s="1"/>
  <c r="ER67" i="4"/>
  <c r="ER71" i="4"/>
  <c r="ER72" i="4"/>
  <c r="ER73" i="4"/>
  <c r="ER207" i="4" s="1"/>
  <c r="ER75" i="4"/>
  <c r="ER167" i="4" s="1"/>
  <c r="ER78" i="4"/>
  <c r="ER80" i="4"/>
  <c r="ER133" i="4" s="1"/>
  <c r="ER587" i="2"/>
  <c r="ET590" i="2" s="1"/>
  <c r="ET591" i="2" s="1"/>
  <c r="ER547" i="2"/>
  <c r="ER572" i="2"/>
  <c r="ER483" i="2"/>
  <c r="EW484" i="2" s="1"/>
  <c r="ER490" i="2"/>
  <c r="EW491" i="2" s="1"/>
  <c r="ER495" i="2"/>
  <c r="ER457" i="2"/>
  <c r="EW458" i="2" s="1"/>
  <c r="ER446" i="2"/>
  <c r="ER388" i="2"/>
  <c r="EW390" i="2" s="1"/>
  <c r="ER431" i="2"/>
  <c r="ER433" i="2"/>
  <c r="ER435" i="2"/>
  <c r="EH329" i="2"/>
  <c r="EG329" i="2"/>
  <c r="EF329" i="2"/>
  <c r="EE329" i="2"/>
  <c r="EM329" i="2"/>
  <c r="EL329" i="2"/>
  <c r="EK329" i="2"/>
  <c r="EJ329" i="2"/>
  <c r="EO329" i="2"/>
  <c r="ET330" i="2" s="1"/>
  <c r="EP329" i="2"/>
  <c r="EU330" i="2" s="1"/>
  <c r="EQ329" i="2"/>
  <c r="EV330" i="2" s="1"/>
  <c r="ER329" i="2"/>
  <c r="EW330" i="2" s="1"/>
  <c r="ER323" i="2"/>
  <c r="ER325" i="2"/>
  <c r="EW326" i="2" s="1"/>
  <c r="ER331" i="2"/>
  <c r="EW332" i="2" s="1"/>
  <c r="ER333" i="2"/>
  <c r="EW334" i="2" s="1"/>
  <c r="EH309" i="2"/>
  <c r="EG309" i="2"/>
  <c r="EF309" i="2"/>
  <c r="EE309" i="2"/>
  <c r="EM309" i="2"/>
  <c r="EL309" i="2"/>
  <c r="EK309" i="2"/>
  <c r="EJ309" i="2"/>
  <c r="EO309" i="2"/>
  <c r="EP309" i="2"/>
  <c r="EQ309" i="2"/>
  <c r="ER309" i="2"/>
  <c r="EH305" i="2"/>
  <c r="EG305" i="2"/>
  <c r="EF305" i="2"/>
  <c r="EE305" i="2"/>
  <c r="EM305" i="2"/>
  <c r="EL305" i="2"/>
  <c r="EK305" i="2"/>
  <c r="EJ305" i="2"/>
  <c r="EO305" i="2"/>
  <c r="ET306" i="2" s="1"/>
  <c r="EP305" i="2"/>
  <c r="EU306" i="2" s="1"/>
  <c r="EQ305" i="2"/>
  <c r="ER305" i="2"/>
  <c r="EW306" i="2" s="1"/>
  <c r="ER271" i="2"/>
  <c r="EW272" i="2" s="1"/>
  <c r="ER273" i="2"/>
  <c r="ER260" i="2"/>
  <c r="EW261" i="2" s="1"/>
  <c r="ER264" i="2"/>
  <c r="ER251" i="2"/>
  <c r="EW253" i="2" s="1"/>
  <c r="EH194" i="2"/>
  <c r="EG194" i="2"/>
  <c r="EF194" i="2"/>
  <c r="EE194" i="2"/>
  <c r="EM194" i="2"/>
  <c r="EL194" i="2"/>
  <c r="EK194" i="2"/>
  <c r="EJ194" i="2"/>
  <c r="EO194" i="2"/>
  <c r="ET195" i="2" s="1"/>
  <c r="EP194" i="2"/>
  <c r="EU195" i="2" s="1"/>
  <c r="EQ194" i="2"/>
  <c r="EV195" i="2" s="1"/>
  <c r="ER194" i="2"/>
  <c r="EW195" i="2" s="1"/>
  <c r="ER186" i="2"/>
  <c r="EW187" i="2" s="1"/>
  <c r="ER188" i="2"/>
  <c r="EW189" i="2" s="1"/>
  <c r="ER154" i="2"/>
  <c r="EE381" i="1"/>
  <c r="EC381" i="1" s="1"/>
  <c r="EH142" i="2"/>
  <c r="EG142" i="2"/>
  <c r="EF142" i="2"/>
  <c r="EE142" i="2"/>
  <c r="EH138" i="2"/>
  <c r="EG138" i="2"/>
  <c r="EF138" i="2"/>
  <c r="EE138" i="2"/>
  <c r="EM142" i="2"/>
  <c r="EL142" i="2"/>
  <c r="EK142" i="2"/>
  <c r="EJ142" i="2"/>
  <c r="EM138" i="2"/>
  <c r="ER139" i="2" s="1"/>
  <c r="EL138" i="2"/>
  <c r="EK138" i="2"/>
  <c r="EJ138" i="2"/>
  <c r="EO142" i="2"/>
  <c r="EP142" i="2"/>
  <c r="EQ142" i="2"/>
  <c r="EO138" i="2"/>
  <c r="ET139" i="2" s="1"/>
  <c r="EP138" i="2"/>
  <c r="EU139" i="2" s="1"/>
  <c r="EQ138" i="2"/>
  <c r="EV139" i="2" s="1"/>
  <c r="ER126" i="2"/>
  <c r="EW127" i="2" s="1"/>
  <c r="ER128" i="2"/>
  <c r="ER115" i="2"/>
  <c r="EW116" i="2" s="1"/>
  <c r="ER119" i="2"/>
  <c r="ER87" i="2"/>
  <c r="ER99" i="2"/>
  <c r="EW101" i="2" s="1"/>
  <c r="ER54" i="2"/>
  <c r="EW55" i="2" s="1"/>
  <c r="EQ479" i="1"/>
  <c r="ER479" i="1"/>
  <c r="ER477" i="1"/>
  <c r="ER469" i="1"/>
  <c r="ER468" i="1"/>
  <c r="ER466" i="1"/>
  <c r="ER465" i="1"/>
  <c r="ER536" i="1"/>
  <c r="EQ396" i="1"/>
  <c r="EP396" i="1"/>
  <c r="EO396" i="1"/>
  <c r="EM396" i="1"/>
  <c r="EL396" i="1"/>
  <c r="EK396" i="1"/>
  <c r="EJ396" i="1"/>
  <c r="EQ395" i="1"/>
  <c r="EP395" i="1"/>
  <c r="EO395" i="1"/>
  <c r="EM395" i="1"/>
  <c r="EL395" i="1"/>
  <c r="EK395" i="1"/>
  <c r="EJ395" i="1"/>
  <c r="EH402" i="1"/>
  <c r="EG402" i="1"/>
  <c r="EF402" i="1"/>
  <c r="EE402" i="1"/>
  <c r="EJ402" i="1"/>
  <c r="EK402" i="1"/>
  <c r="EL402" i="1"/>
  <c r="EP402" i="1"/>
  <c r="EO402" i="1"/>
  <c r="EQ381" i="1"/>
  <c r="EP381" i="1"/>
  <c r="EO381" i="1"/>
  <c r="EQ380" i="1"/>
  <c r="EP380" i="1"/>
  <c r="EO380" i="1"/>
  <c r="EM381" i="1"/>
  <c r="EL381" i="1"/>
  <c r="EK381" i="1"/>
  <c r="EJ381" i="1"/>
  <c r="EM380" i="1"/>
  <c r="EL380" i="1"/>
  <c r="EK380" i="1"/>
  <c r="EJ380" i="1"/>
  <c r="EH381" i="1"/>
  <c r="EG381" i="1"/>
  <c r="EF381" i="1"/>
  <c r="EH380" i="1"/>
  <c r="EG380" i="1"/>
  <c r="EF380" i="1"/>
  <c r="EE380" i="1"/>
  <c r="EC380" i="1" s="1"/>
  <c r="EE387" i="1"/>
  <c r="EF387" i="1"/>
  <c r="EG387" i="1"/>
  <c r="EH387" i="1"/>
  <c r="EJ387" i="1"/>
  <c r="EK387" i="1"/>
  <c r="EL387" i="1"/>
  <c r="EP387" i="1"/>
  <c r="EO387" i="1"/>
  <c r="ER412" i="1"/>
  <c r="ER407" i="1"/>
  <c r="EM402" i="1"/>
  <c r="ER402" i="1"/>
  <c r="EQ402" i="1"/>
  <c r="ER387" i="1"/>
  <c r="EM387" i="1"/>
  <c r="EQ387" i="1"/>
  <c r="ER372" i="1"/>
  <c r="ER367" i="1"/>
  <c r="ER363" i="1"/>
  <c r="ER358" i="1"/>
  <c r="ER357" i="1"/>
  <c r="ER283" i="36" s="1"/>
  <c r="ER341" i="1"/>
  <c r="EQ332" i="1"/>
  <c r="EQ329" i="1"/>
  <c r="EM329" i="1"/>
  <c r="ER311" i="1"/>
  <c r="ES311" i="1" s="1"/>
  <c r="ER310" i="1"/>
  <c r="ES304" i="1"/>
  <c r="K1710" i="3" s="1"/>
  <c r="D1685" i="3" s="1"/>
  <c r="ES296" i="1"/>
  <c r="ES295" i="1"/>
  <c r="ES289" i="1"/>
  <c r="EQ305" i="1"/>
  <c r="EQ584" i="36" s="1"/>
  <c r="EQ585" i="36" s="1"/>
  <c r="EO305" i="1"/>
  <c r="EO584" i="36" s="1"/>
  <c r="EP305" i="1"/>
  <c r="EP584" i="36" s="1"/>
  <c r="EO303" i="1"/>
  <c r="EO582" i="36" s="1"/>
  <c r="EP303" i="1"/>
  <c r="EP582" i="36" s="1"/>
  <c r="ES301" i="1"/>
  <c r="K1707" i="3" s="1"/>
  <c r="D1682" i="3" s="1"/>
  <c r="ER290" i="1"/>
  <c r="ER288" i="1"/>
  <c r="ER287" i="1"/>
  <c r="ER286" i="1"/>
  <c r="ER285" i="1"/>
  <c r="ER278" i="1"/>
  <c r="ES274" i="1"/>
  <c r="ES264" i="1"/>
  <c r="ES261" i="1"/>
  <c r="ES260" i="1"/>
  <c r="ER265" i="1"/>
  <c r="EN264" i="1"/>
  <c r="ES254" i="1"/>
  <c r="ER255" i="1"/>
  <c r="ER253" i="1"/>
  <c r="ES247" i="1"/>
  <c r="ES246" i="1"/>
  <c r="ES243" i="1"/>
  <c r="ES242" i="1"/>
  <c r="ES241" i="1"/>
  <c r="ES239" i="1"/>
  <c r="ES238" i="1"/>
  <c r="ER249" i="1"/>
  <c r="EM244" i="1"/>
  <c r="EN243" i="1"/>
  <c r="EJ244" i="1"/>
  <c r="EO244" i="1"/>
  <c r="EP244" i="1"/>
  <c r="EK244" i="1"/>
  <c r="EL244" i="1"/>
  <c r="ER240" i="1"/>
  <c r="ER237" i="1"/>
  <c r="ES230" i="1"/>
  <c r="ES229" i="1"/>
  <c r="ES228" i="1"/>
  <c r="ES227" i="1"/>
  <c r="ES224" i="1"/>
  <c r="ES223" i="1"/>
  <c r="ES222" i="1"/>
  <c r="ER225" i="1"/>
  <c r="ES225" i="1" s="1"/>
  <c r="ES219" i="1"/>
  <c r="ES218" i="1"/>
  <c r="ES215" i="1"/>
  <c r="ES214" i="1"/>
  <c r="ES213" i="1"/>
  <c r="ES212" i="1"/>
  <c r="ES211" i="1"/>
  <c r="ER216" i="1"/>
  <c r="ER220" i="1" s="1"/>
  <c r="ES220" i="1" s="1"/>
  <c r="ER187" i="1"/>
  <c r="ER186" i="1"/>
  <c r="ER178" i="1"/>
  <c r="ER176" i="1"/>
  <c r="ER175" i="1"/>
  <c r="ER170" i="1"/>
  <c r="ER169" i="1"/>
  <c r="ER167" i="1"/>
  <c r="ER166" i="1"/>
  <c r="ER160" i="1"/>
  <c r="ER159" i="1"/>
  <c r="ER158" i="1"/>
  <c r="ER157" i="1"/>
  <c r="ES152" i="1"/>
  <c r="ES151" i="1"/>
  <c r="ES143" i="1"/>
  <c r="ES141" i="1"/>
  <c r="ES140" i="1"/>
  <c r="ES135" i="1"/>
  <c r="ES134" i="1"/>
  <c r="ES132" i="1"/>
  <c r="ES131" i="1"/>
  <c r="ER148" i="1"/>
  <c r="ER183" i="1" s="1"/>
  <c r="ER146" i="1"/>
  <c r="ER181" i="1" s="1"/>
  <c r="ER142" i="1"/>
  <c r="ER177" i="1" s="1"/>
  <c r="ER136" i="1"/>
  <c r="ER133" i="1"/>
  <c r="ER128" i="1"/>
  <c r="ES125" i="1"/>
  <c r="ES124" i="1"/>
  <c r="ES123" i="1"/>
  <c r="ES122" i="1"/>
  <c r="ER126" i="1"/>
  <c r="ES96" i="1"/>
  <c r="ES95" i="1"/>
  <c r="ES93" i="1"/>
  <c r="ER98" i="1"/>
  <c r="ER97" i="1"/>
  <c r="ER94" i="1"/>
  <c r="ES94" i="1" s="1"/>
  <c r="ER90" i="1"/>
  <c r="ER88" i="1"/>
  <c r="ER87" i="1"/>
  <c r="ER86" i="1"/>
  <c r="ER85" i="1"/>
  <c r="ER84" i="1"/>
  <c r="ER83" i="1"/>
  <c r="ES78" i="1"/>
  <c r="ES69" i="1"/>
  <c r="ES67" i="1"/>
  <c r="ES65" i="1"/>
  <c r="ES64" i="1"/>
  <c r="ES63" i="1"/>
  <c r="ES62" i="1"/>
  <c r="ES61" i="1"/>
  <c r="ES56" i="1"/>
  <c r="ES55" i="1"/>
  <c r="ES54" i="1"/>
  <c r="ES53" i="1"/>
  <c r="ES52" i="1"/>
  <c r="ES50" i="1"/>
  <c r="ES47" i="1"/>
  <c r="ER51" i="1"/>
  <c r="ER57" i="1" s="1"/>
  <c r="ER59" i="1" s="1"/>
  <c r="P3114" i="3"/>
  <c r="U81" i="29"/>
  <c r="T80" i="29"/>
  <c r="S79" i="29"/>
  <c r="R78" i="29"/>
  <c r="N77" i="29"/>
  <c r="O77" i="29" s="1"/>
  <c r="M76" i="29"/>
  <c r="Q80" i="29" s="1"/>
  <c r="L75" i="29"/>
  <c r="M75" i="29" s="1"/>
  <c r="N75" i="29" s="1"/>
  <c r="R79" i="29" s="1"/>
  <c r="K74" i="29"/>
  <c r="L74" i="29" s="1"/>
  <c r="M74" i="29" s="1"/>
  <c r="Q78" i="29" s="1"/>
  <c r="J73" i="29"/>
  <c r="K73" i="29" s="1"/>
  <c r="L73" i="29" s="1"/>
  <c r="I72" i="29"/>
  <c r="J72" i="29" s="1"/>
  <c r="K72" i="29" s="1"/>
  <c r="L71" i="29"/>
  <c r="M71" i="29" s="1"/>
  <c r="N71" i="29" s="1"/>
  <c r="E69" i="19" l="1"/>
  <c r="F1588" i="3"/>
  <c r="ER493" i="2"/>
  <c r="EW494" i="2" s="1"/>
  <c r="EW496" i="2"/>
  <c r="EW432" i="2"/>
  <c r="EW324" i="2"/>
  <c r="I1173" i="3"/>
  <c r="ER302" i="2"/>
  <c r="ER318" i="2" s="1"/>
  <c r="ER341" i="2" s="1"/>
  <c r="EW349" i="2" s="1"/>
  <c r="EV306" i="2"/>
  <c r="FB357" i="10"/>
  <c r="I1097" i="3"/>
  <c r="I1101" i="3" s="1"/>
  <c r="E1291" i="3"/>
  <c r="ES154" i="2"/>
  <c r="E1509" i="3"/>
  <c r="ER279" i="1"/>
  <c r="ES279" i="1" s="1"/>
  <c r="ES278" i="1"/>
  <c r="ER588" i="2"/>
  <c r="FB405" i="10"/>
  <c r="EN458" i="36"/>
  <c r="ER135" i="2"/>
  <c r="ER137" i="2" s="1"/>
  <c r="ER136" i="2" s="1"/>
  <c r="ER140" i="2"/>
  <c r="EP585" i="36"/>
  <c r="FD99" i="35"/>
  <c r="FE66" i="35"/>
  <c r="ER27" i="2"/>
  <c r="EW34" i="2" s="1"/>
  <c r="ER27" i="36"/>
  <c r="ER140" i="4"/>
  <c r="ER140" i="35"/>
  <c r="ER266" i="1"/>
  <c r="ER118" i="35"/>
  <c r="ER120" i="35" s="1"/>
  <c r="ER474" i="1"/>
  <c r="ER202" i="36"/>
  <c r="ER28" i="2"/>
  <c r="EW35" i="2" s="1"/>
  <c r="ER28" i="36"/>
  <c r="ER142" i="4"/>
  <c r="ER142" i="35"/>
  <c r="ER57" i="2"/>
  <c r="ER57" i="36"/>
  <c r="ER205" i="2"/>
  <c r="ER205" i="36"/>
  <c r="ER59" i="2"/>
  <c r="ER69" i="36"/>
  <c r="ER59" i="36"/>
  <c r="ER340" i="2"/>
  <c r="EW348" i="2" s="1"/>
  <c r="ER340" i="36"/>
  <c r="ER103" i="4"/>
  <c r="ER103" i="35"/>
  <c r="ER300" i="1"/>
  <c r="ER302" i="1" s="1"/>
  <c r="ER312" i="1" s="1"/>
  <c r="ER309" i="1" s="1"/>
  <c r="ES309" i="1" s="1"/>
  <c r="ER107" i="35"/>
  <c r="ER66" i="1"/>
  <c r="ER68" i="1" s="1"/>
  <c r="ER70" i="1" s="1"/>
  <c r="ER236" i="1" s="1"/>
  <c r="ER251" i="1" s="1"/>
  <c r="ER69" i="35"/>
  <c r="ER74" i="35" s="1"/>
  <c r="ER343" i="2"/>
  <c r="EW351" i="2" s="1"/>
  <c r="ER343" i="36"/>
  <c r="ER109" i="4"/>
  <c r="ER109" i="35"/>
  <c r="ES582" i="36"/>
  <c r="EO585" i="36"/>
  <c r="ER294" i="36"/>
  <c r="ES283" i="36"/>
  <c r="ET280" i="36" s="1"/>
  <c r="FA202" i="35"/>
  <c r="FA211" i="35" s="1"/>
  <c r="FB196" i="35"/>
  <c r="FB202" i="35" s="1"/>
  <c r="FB211" i="35" s="1"/>
  <c r="ER139" i="4"/>
  <c r="ER139" i="35"/>
  <c r="ER137" i="4"/>
  <c r="ER137" i="35"/>
  <c r="EZ211" i="35"/>
  <c r="FB185" i="35"/>
  <c r="FC185" i="35" s="1"/>
  <c r="FC182" i="35"/>
  <c r="ER138" i="4"/>
  <c r="ER138" i="35"/>
  <c r="ES584" i="36"/>
  <c r="ES624" i="36"/>
  <c r="ED641" i="36"/>
  <c r="FD324" i="36"/>
  <c r="DZ12" i="35"/>
  <c r="ED12" i="35" s="1"/>
  <c r="FA154" i="36"/>
  <c r="EA357" i="36"/>
  <c r="EA355" i="36" s="1"/>
  <c r="EA219" i="36"/>
  <c r="EA217" i="36" s="1"/>
  <c r="EK87" i="35"/>
  <c r="EK86" i="35" s="1"/>
  <c r="EF631" i="36"/>
  <c r="EF334" i="36"/>
  <c r="EH86" i="36"/>
  <c r="EH105" i="36" s="1"/>
  <c r="EI105" i="36" s="1"/>
  <c r="EG88" i="36"/>
  <c r="DX568" i="36"/>
  <c r="DY568" i="36" s="1"/>
  <c r="DY94" i="36"/>
  <c r="DX265" i="36"/>
  <c r="FN636" i="36"/>
  <c r="FK636" i="36"/>
  <c r="EE602" i="36"/>
  <c r="EE414" i="36"/>
  <c r="EE410" i="36"/>
  <c r="EE413" i="36"/>
  <c r="EE409" i="36"/>
  <c r="EE452" i="36"/>
  <c r="EG470" i="36"/>
  <c r="EE420" i="36"/>
  <c r="EI458" i="36"/>
  <c r="EG631" i="36"/>
  <c r="EG334" i="36"/>
  <c r="EX211" i="35"/>
  <c r="ED43" i="36"/>
  <c r="EI50" i="36" s="1"/>
  <c r="EF652" i="36"/>
  <c r="EF656" i="36" s="1"/>
  <c r="EF526" i="36"/>
  <c r="ED628" i="36"/>
  <c r="EC219" i="36"/>
  <c r="EC217" i="36" s="1"/>
  <c r="EC357" i="36"/>
  <c r="EC355" i="36" s="1"/>
  <c r="DW82" i="36"/>
  <c r="DX83" i="36" s="1"/>
  <c r="DX91" i="36" s="1"/>
  <c r="DY82" i="36"/>
  <c r="EE50" i="36"/>
  <c r="EF602" i="36"/>
  <c r="EF331" i="36" s="1"/>
  <c r="EF332" i="36" s="1"/>
  <c r="EF414" i="36"/>
  <c r="EF410" i="36"/>
  <c r="EF413" i="36"/>
  <c r="EF409" i="36"/>
  <c r="EF452" i="36"/>
  <c r="EC649" i="36"/>
  <c r="EC632" i="36"/>
  <c r="EC651" i="36" s="1"/>
  <c r="ED458" i="36"/>
  <c r="EA263" i="36"/>
  <c r="EA299" i="36"/>
  <c r="EA425" i="36" s="1"/>
  <c r="EA274" i="36"/>
  <c r="DV274" i="36" s="1"/>
  <c r="EA286" i="36"/>
  <c r="EA297" i="36"/>
  <c r="EA423" i="36" s="1"/>
  <c r="DZ649" i="36"/>
  <c r="DZ632" i="36"/>
  <c r="EJ567" i="36"/>
  <c r="EN565" i="36"/>
  <c r="DY120" i="36"/>
  <c r="DZ542" i="36"/>
  <c r="EE12" i="35"/>
  <c r="DZ357" i="36"/>
  <c r="DZ355" i="36" s="1"/>
  <c r="DZ219" i="36"/>
  <c r="DZ217" i="36" s="1"/>
  <c r="DU651" i="36"/>
  <c r="DY632" i="36"/>
  <c r="ES458" i="36"/>
  <c r="EE628" i="36"/>
  <c r="ED72" i="36"/>
  <c r="ED485" i="36"/>
  <c r="EN560" i="36"/>
  <c r="EN562" i="36"/>
  <c r="EE297" i="36"/>
  <c r="EE423" i="36" s="1"/>
  <c r="DY648" i="36"/>
  <c r="DW575" i="36"/>
  <c r="DU99" i="36"/>
  <c r="DV100" i="36" s="1"/>
  <c r="DY100" i="36" s="1"/>
  <c r="DV402" i="36"/>
  <c r="DW400" i="36"/>
  <c r="EA101" i="36"/>
  <c r="EU324" i="36"/>
  <c r="EZ324" i="36" s="1"/>
  <c r="FE324" i="36" s="1"/>
  <c r="ET323" i="36"/>
  <c r="EY323" i="36" s="1"/>
  <c r="ED464" i="36"/>
  <c r="EI474" i="36" s="1"/>
  <c r="FL99" i="36"/>
  <c r="FK100" i="36"/>
  <c r="EJ86" i="35"/>
  <c r="ER471" i="1"/>
  <c r="ER330" i="2"/>
  <c r="ER185" i="4"/>
  <c r="ER191" i="4" s="1"/>
  <c r="ER197" i="4"/>
  <c r="ER198" i="4" s="1"/>
  <c r="ER306" i="2"/>
  <c r="ER168" i="4"/>
  <c r="EO583" i="2"/>
  <c r="G1711" i="3"/>
  <c r="EQ583" i="2"/>
  <c r="I1711" i="3"/>
  <c r="ER195" i="2"/>
  <c r="ER176" i="4"/>
  <c r="ER180" i="4" s="1"/>
  <c r="EP581" i="2"/>
  <c r="H1709" i="3"/>
  <c r="EO581" i="2"/>
  <c r="G1709" i="3"/>
  <c r="FH579" i="2"/>
  <c r="FI579" i="2"/>
  <c r="EP583" i="2"/>
  <c r="H1711" i="3"/>
  <c r="D48" i="3"/>
  <c r="ES582" i="2"/>
  <c r="ES579" i="2"/>
  <c r="D38" i="3"/>
  <c r="EC385" i="1"/>
  <c r="EC138" i="36" s="1"/>
  <c r="EB380" i="1"/>
  <c r="EC386" i="1"/>
  <c r="EB381" i="1"/>
  <c r="ER148" i="4"/>
  <c r="ER69" i="4"/>
  <c r="ER74" i="4" s="1"/>
  <c r="ER77" i="4" s="1"/>
  <c r="ER165" i="4" s="1"/>
  <c r="ER26" i="4"/>
  <c r="ER28" i="4" s="1"/>
  <c r="EW29" i="4" s="1"/>
  <c r="ER69" i="2"/>
  <c r="ER202" i="2"/>
  <c r="ER283" i="2"/>
  <c r="ER118" i="4"/>
  <c r="ER120" i="4" s="1"/>
  <c r="ER107" i="4"/>
  <c r="ER153" i="4" s="1"/>
  <c r="ER578" i="2"/>
  <c r="ER580" i="2" s="1"/>
  <c r="ER112" i="10" s="1"/>
  <c r="ER397" i="2"/>
  <c r="EW398" i="2" s="1"/>
  <c r="ER436" i="2"/>
  <c r="ER38" i="4"/>
  <c r="ER40" i="4" s="1"/>
  <c r="EW41" i="4" s="1"/>
  <c r="ER132" i="2"/>
  <c r="ER304" i="2"/>
  <c r="ER303" i="2" s="1"/>
  <c r="ER307" i="2"/>
  <c r="EC382" i="1"/>
  <c r="ER96" i="2"/>
  <c r="P79" i="29"/>
  <c r="ER476" i="1"/>
  <c r="ER478" i="1" s="1"/>
  <c r="EK382" i="1"/>
  <c r="EL382" i="1"/>
  <c r="ER537" i="1"/>
  <c r="EM397" i="1"/>
  <c r="EO397" i="1"/>
  <c r="EP397" i="1"/>
  <c r="EQ397" i="1"/>
  <c r="EH382" i="1"/>
  <c r="EJ382" i="1"/>
  <c r="EJ397" i="1"/>
  <c r="EK397" i="1"/>
  <c r="EL397" i="1"/>
  <c r="EE382" i="1"/>
  <c r="EF382" i="1"/>
  <c r="EM382" i="1"/>
  <c r="EO382" i="1"/>
  <c r="EP382" i="1"/>
  <c r="EG382" i="1"/>
  <c r="EQ382" i="1"/>
  <c r="ER168" i="1"/>
  <c r="ES310" i="1"/>
  <c r="ES136" i="1"/>
  <c r="ES305" i="1"/>
  <c r="K1711" i="3" s="1"/>
  <c r="D1686" i="3" s="1"/>
  <c r="ES303" i="1"/>
  <c r="K1709" i="3" s="1"/>
  <c r="D1684" i="3" s="1"/>
  <c r="ER231" i="1"/>
  <c r="ES231" i="1" s="1"/>
  <c r="ES232" i="1" s="1"/>
  <c r="ER127" i="1"/>
  <c r="ES127" i="1" s="1"/>
  <c r="ER161" i="1"/>
  <c r="ES244" i="1"/>
  <c r="ES216" i="1"/>
  <c r="ER256" i="1"/>
  <c r="ER144" i="1"/>
  <c r="ER179" i="1"/>
  <c r="ER147" i="1"/>
  <c r="ES126" i="1"/>
  <c r="ES133" i="1"/>
  <c r="ER171" i="1"/>
  <c r="O78" i="29"/>
  <c r="P77" i="29"/>
  <c r="T81" i="29" s="1"/>
  <c r="S81" i="29"/>
  <c r="N76" i="29"/>
  <c r="R81" i="29"/>
  <c r="Q79" i="29"/>
  <c r="P78" i="29"/>
  <c r="H56" i="19"/>
  <c r="H55" i="19"/>
  <c r="H54" i="19"/>
  <c r="FI1035" i="10"/>
  <c r="FH1035" i="10"/>
  <c r="FG1035" i="10"/>
  <c r="FF1035" i="10"/>
  <c r="FE1035" i="10"/>
  <c r="FD1035" i="10"/>
  <c r="FC1035" i="10"/>
  <c r="EX1035" i="10"/>
  <c r="EW1035" i="10"/>
  <c r="EV1035" i="10"/>
  <c r="EU1035" i="10"/>
  <c r="ET1035" i="10"/>
  <c r="ES1035" i="10"/>
  <c r="ER1035" i="10"/>
  <c r="EQ1035" i="10"/>
  <c r="EP1035" i="10"/>
  <c r="EO1035" i="10"/>
  <c r="EN1035" i="10"/>
  <c r="EM1035" i="10"/>
  <c r="EL1035" i="10"/>
  <c r="EK1035" i="10"/>
  <c r="EJ1035" i="10"/>
  <c r="EW213" i="2" l="1"/>
  <c r="ER294" i="2"/>
  <c r="EW295" i="2" s="1"/>
  <c r="EW284" i="2"/>
  <c r="EW210" i="2"/>
  <c r="ER45" i="4"/>
  <c r="EW78" i="2"/>
  <c r="C2404" i="3"/>
  <c r="C2398" i="3"/>
  <c r="ER584" i="2"/>
  <c r="ER402" i="2"/>
  <c r="ER473" i="1"/>
  <c r="ER439" i="2"/>
  <c r="J1706" i="3"/>
  <c r="ER192" i="4"/>
  <c r="ES585" i="36"/>
  <c r="ER71" i="1"/>
  <c r="ER81" i="1"/>
  <c r="ER89" i="1" s="1"/>
  <c r="ER91" i="1" s="1"/>
  <c r="ER99" i="1" s="1"/>
  <c r="ER539" i="1" s="1"/>
  <c r="ER540" i="1" s="1"/>
  <c r="ER538" i="1" s="1"/>
  <c r="ER72" i="1"/>
  <c r="EC171" i="36"/>
  <c r="ED138" i="36"/>
  <c r="EH139" i="36"/>
  <c r="EC143" i="36"/>
  <c r="ER342" i="2"/>
  <c r="EW350" i="2" s="1"/>
  <c r="FC202" i="35"/>
  <c r="ET291" i="36"/>
  <c r="EX291" i="36" s="1"/>
  <c r="EX280" i="36"/>
  <c r="ER152" i="35"/>
  <c r="ER162" i="35"/>
  <c r="ER76" i="35"/>
  <c r="ER79" i="35" s="1"/>
  <c r="ER77" i="35"/>
  <c r="ER165" i="35" s="1"/>
  <c r="ER105" i="4"/>
  <c r="ER129" i="4" s="1"/>
  <c r="ER105" i="35"/>
  <c r="ER129" i="35" s="1"/>
  <c r="FC211" i="35"/>
  <c r="ES294" i="36"/>
  <c r="ER45" i="35"/>
  <c r="ER344" i="2"/>
  <c r="ER344" i="36"/>
  <c r="ER130" i="35"/>
  <c r="ER153" i="35"/>
  <c r="ER110" i="35"/>
  <c r="ER206" i="2"/>
  <c r="ER206" i="36"/>
  <c r="ER201" i="36"/>
  <c r="ER192" i="36"/>
  <c r="ER57" i="4"/>
  <c r="ER57" i="35"/>
  <c r="FF66" i="35"/>
  <c r="FE99" i="35"/>
  <c r="EC305" i="2"/>
  <c r="EC305" i="36"/>
  <c r="FD182" i="35"/>
  <c r="FC196" i="35"/>
  <c r="ER342" i="36"/>
  <c r="ER339" i="36"/>
  <c r="EF654" i="36"/>
  <c r="FB154" i="36"/>
  <c r="FC154" i="36" s="1"/>
  <c r="FD154" i="36" s="1"/>
  <c r="FE154" i="36" s="1"/>
  <c r="FF154" i="36" s="1"/>
  <c r="FG154" i="36" s="1"/>
  <c r="FH154" i="36" s="1"/>
  <c r="FI154" i="36" s="1"/>
  <c r="FJ154" i="36" s="1"/>
  <c r="FK154" i="36" s="1"/>
  <c r="EI12" i="35"/>
  <c r="DV575" i="36"/>
  <c r="DU575" i="36"/>
  <c r="DY575" i="36"/>
  <c r="DU402" i="36"/>
  <c r="DZ101" i="36"/>
  <c r="DV400" i="36"/>
  <c r="DY400" i="36"/>
  <c r="EC652" i="36"/>
  <c r="EC656" i="36" s="1"/>
  <c r="EG526" i="36"/>
  <c r="EI86" i="36"/>
  <c r="EH88" i="36"/>
  <c r="ED219" i="36"/>
  <c r="ED357" i="36"/>
  <c r="DY651" i="36"/>
  <c r="EF655" i="36"/>
  <c r="EF653" i="36"/>
  <c r="DZ107" i="36"/>
  <c r="DY265" i="36"/>
  <c r="DZ95" i="36"/>
  <c r="ED95" i="36" s="1"/>
  <c r="FM99" i="36"/>
  <c r="FL100" i="36"/>
  <c r="ED217" i="36"/>
  <c r="DZ82" i="36"/>
  <c r="DZ104" i="36" s="1"/>
  <c r="EE331" i="36"/>
  <c r="EE332" i="36" s="1"/>
  <c r="FL636" i="36"/>
  <c r="ED649" i="36"/>
  <c r="EL89" i="35"/>
  <c r="EV324" i="36"/>
  <c r="FA324" i="36" s="1"/>
  <c r="EU323" i="36"/>
  <c r="EZ323" i="36" s="1"/>
  <c r="EE485" i="36"/>
  <c r="EE486" i="36" s="1"/>
  <c r="EE72" i="36"/>
  <c r="EE649" i="36"/>
  <c r="EE629" i="36"/>
  <c r="EE333" i="36"/>
  <c r="EE632" i="36"/>
  <c r="ED355" i="36"/>
  <c r="DZ651" i="36"/>
  <c r="ED632" i="36"/>
  <c r="EF485" i="36"/>
  <c r="EF486" i="36" s="1"/>
  <c r="EF72" i="36"/>
  <c r="DX104" i="36"/>
  <c r="DX106" i="36" s="1"/>
  <c r="DW90" i="36"/>
  <c r="DV82" i="36"/>
  <c r="DW83" i="36" s="1"/>
  <c r="DW91" i="36" s="1"/>
  <c r="EN567" i="36"/>
  <c r="DZ540" i="36"/>
  <c r="ED542" i="36"/>
  <c r="EE422" i="36"/>
  <c r="EE421" i="36"/>
  <c r="EF417" i="36"/>
  <c r="EF420" i="36" s="1"/>
  <c r="ER306" i="1"/>
  <c r="J1712" i="3" s="1"/>
  <c r="EB382" i="1"/>
  <c r="ES581" i="2"/>
  <c r="ER76" i="4"/>
  <c r="ER79" i="4" s="1"/>
  <c r="ER81" i="4" s="1"/>
  <c r="ER292" i="1"/>
  <c r="J1708" i="3"/>
  <c r="ES583" i="2"/>
  <c r="EA381" i="1"/>
  <c r="EB386" i="1"/>
  <c r="ER110" i="4"/>
  <c r="ER130" i="4"/>
  <c r="ER152" i="4"/>
  <c r="ER154" i="4" s="1"/>
  <c r="ER162" i="4"/>
  <c r="EB385" i="1"/>
  <c r="EB138" i="36" s="1"/>
  <c r="EA380" i="1"/>
  <c r="EC387" i="1"/>
  <c r="EC138" i="2"/>
  <c r="ER441" i="2"/>
  <c r="ER137" i="1"/>
  <c r="ER172" i="1" s="1"/>
  <c r="ER162" i="1"/>
  <c r="ER163" i="1" s="1"/>
  <c r="ER232" i="1"/>
  <c r="ES128" i="1"/>
  <c r="ER268" i="1"/>
  <c r="ER149" i="1"/>
  <c r="ER182" i="1"/>
  <c r="R80" i="29"/>
  <c r="O76" i="29"/>
  <c r="S80" i="29" s="1"/>
  <c r="ER380" i="2" l="1"/>
  <c r="EW352" i="2"/>
  <c r="ER243" i="2"/>
  <c r="EW214" i="2"/>
  <c r="ER122" i="35"/>
  <c r="ER389" i="2"/>
  <c r="ER284" i="1"/>
  <c r="ER136" i="35" s="1"/>
  <c r="ER143" i="35" s="1"/>
  <c r="ER122" i="4"/>
  <c r="ER252" i="2"/>
  <c r="ER58" i="4"/>
  <c r="ER59" i="4" s="1"/>
  <c r="ER61" i="4" s="1"/>
  <c r="ER58" i="35"/>
  <c r="ER59" i="35" s="1"/>
  <c r="ER61" i="35" s="1"/>
  <c r="ER9" i="36"/>
  <c r="ER252" i="36"/>
  <c r="ER243" i="36"/>
  <c r="ER96" i="35"/>
  <c r="ER104" i="35" s="1"/>
  <c r="ER81" i="35"/>
  <c r="ER48" i="36"/>
  <c r="ER17" i="35" s="1"/>
  <c r="ER11" i="36"/>
  <c r="ER469" i="36"/>
  <c r="FG66" i="35"/>
  <c r="FG99" i="35" s="1"/>
  <c r="FF99" i="35"/>
  <c r="FD196" i="35"/>
  <c r="FD202" i="35" s="1"/>
  <c r="ER154" i="35"/>
  <c r="ER158" i="35" s="1"/>
  <c r="FE182" i="35"/>
  <c r="FD185" i="35"/>
  <c r="ER380" i="36"/>
  <c r="ER10" i="36"/>
  <c r="ER389" i="36"/>
  <c r="EB305" i="2"/>
  <c r="EB305" i="36"/>
  <c r="EC307" i="36" s="1"/>
  <c r="ED305" i="36"/>
  <c r="EC442" i="36"/>
  <c r="EH306" i="36"/>
  <c r="EC310" i="36"/>
  <c r="EI139" i="36"/>
  <c r="EE135" i="36"/>
  <c r="EE140" i="36"/>
  <c r="EI140" i="36" s="1"/>
  <c r="ED143" i="36"/>
  <c r="ER144" i="4"/>
  <c r="ER144" i="35"/>
  <c r="ER463" i="36"/>
  <c r="EW201" i="36"/>
  <c r="FB201" i="36" s="1"/>
  <c r="FG201" i="36" s="1"/>
  <c r="ER190" i="36"/>
  <c r="ER42" i="36"/>
  <c r="ER132" i="35"/>
  <c r="ER134" i="35" s="1"/>
  <c r="FC218" i="35"/>
  <c r="FC220" i="35" s="1"/>
  <c r="ED171" i="36"/>
  <c r="EH172" i="36"/>
  <c r="EC176" i="36"/>
  <c r="EG139" i="36"/>
  <c r="EC135" i="36"/>
  <c r="EB171" i="36"/>
  <c r="EB143" i="36"/>
  <c r="ER58" i="36"/>
  <c r="ER60" i="36" s="1"/>
  <c r="ER62" i="36" s="1"/>
  <c r="ER68" i="36"/>
  <c r="EC140" i="36"/>
  <c r="FF324" i="36"/>
  <c r="ED651" i="36"/>
  <c r="DW120" i="36"/>
  <c r="DX542" i="36"/>
  <c r="DX540" i="36" s="1"/>
  <c r="DX541" i="36" s="1"/>
  <c r="DW94" i="36"/>
  <c r="DZ106" i="36"/>
  <c r="FM100" i="36"/>
  <c r="DX118" i="36"/>
  <c r="EE357" i="36"/>
  <c r="EE219" i="36"/>
  <c r="EE73" i="36"/>
  <c r="EA82" i="36"/>
  <c r="EA104" i="36" s="1"/>
  <c r="EA106" i="36" s="1"/>
  <c r="DZ83" i="36"/>
  <c r="DZ149" i="36"/>
  <c r="EF357" i="36"/>
  <c r="EF219" i="36"/>
  <c r="EF73" i="36"/>
  <c r="EL87" i="35"/>
  <c r="EM89" i="35" s="1"/>
  <c r="EE631" i="36"/>
  <c r="EE334" i="36"/>
  <c r="FM636" i="36"/>
  <c r="ED107" i="36"/>
  <c r="DZ299" i="36"/>
  <c r="DZ425" i="36" s="1"/>
  <c r="DZ274" i="36"/>
  <c r="DU274" i="36" s="1"/>
  <c r="DZ263" i="36"/>
  <c r="EI88" i="36"/>
  <c r="EJ86" i="36"/>
  <c r="EJ105" i="36" s="1"/>
  <c r="DZ541" i="36"/>
  <c r="ED540" i="36"/>
  <c r="DZ565" i="36"/>
  <c r="EI632" i="36"/>
  <c r="EE651" i="36"/>
  <c r="EE652" i="36" s="1"/>
  <c r="EW324" i="36"/>
  <c r="EV323" i="36"/>
  <c r="FA323" i="36" s="1"/>
  <c r="DZ652" i="36"/>
  <c r="DZ656" i="36" s="1"/>
  <c r="FL154" i="36"/>
  <c r="EC653" i="36"/>
  <c r="EC655" i="36"/>
  <c r="EF422" i="36"/>
  <c r="EF421" i="36"/>
  <c r="EG417" i="36"/>
  <c r="DW104" i="36"/>
  <c r="DW106" i="36" s="1"/>
  <c r="DU82" i="36"/>
  <c r="DV90" i="36"/>
  <c r="EC654" i="36"/>
  <c r="ER96" i="4"/>
  <c r="ER104" i="4" s="1"/>
  <c r="ER132" i="4"/>
  <c r="ER134" i="4" s="1"/>
  <c r="ER384" i="2"/>
  <c r="EW385" i="2" s="1"/>
  <c r="EB387" i="1"/>
  <c r="EB138" i="2"/>
  <c r="ER173" i="1"/>
  <c r="ER189" i="1" s="1"/>
  <c r="ER469" i="2"/>
  <c r="EW479" i="2" s="1"/>
  <c r="ER11" i="2"/>
  <c r="ER48" i="2"/>
  <c r="DZ381" i="1"/>
  <c r="EA386" i="1"/>
  <c r="ER158" i="4"/>
  <c r="ER184" i="1"/>
  <c r="ER58" i="2"/>
  <c r="ER60" i="2" s="1"/>
  <c r="ER62" i="2" s="1"/>
  <c r="ER68" i="2"/>
  <c r="EA385" i="1"/>
  <c r="EA138" i="36" s="1"/>
  <c r="DZ380" i="1"/>
  <c r="EA382" i="1"/>
  <c r="ER138" i="1"/>
  <c r="ER154" i="1" s="1"/>
  <c r="ER153" i="1" s="1"/>
  <c r="ER188" i="1" s="1"/>
  <c r="ER62" i="4" l="1"/>
  <c r="EW63" i="4"/>
  <c r="ER249" i="2"/>
  <c r="EW244" i="2"/>
  <c r="ER63" i="2"/>
  <c r="EW64" i="2"/>
  <c r="ER386" i="2"/>
  <c r="EW381" i="2"/>
  <c r="ER17" i="4"/>
  <c r="ER136" i="4"/>
  <c r="ER143" i="4" s="1"/>
  <c r="ER145" i="4" s="1"/>
  <c r="ER291" i="1"/>
  <c r="ER293" i="1" s="1"/>
  <c r="ER294" i="1" s="1"/>
  <c r="ER147" i="4" s="1"/>
  <c r="ER149" i="4" s="1"/>
  <c r="ER145" i="35"/>
  <c r="ER68" i="4"/>
  <c r="ER63" i="36"/>
  <c r="EE137" i="36"/>
  <c r="EI135" i="36"/>
  <c r="EE168" i="36"/>
  <c r="EI168" i="36" s="1"/>
  <c r="EE182" i="36"/>
  <c r="FF182" i="35"/>
  <c r="FE185" i="35"/>
  <c r="ER464" i="36"/>
  <c r="EC302" i="36"/>
  <c r="EC439" i="36" s="1"/>
  <c r="EG306" i="36"/>
  <c r="EB442" i="36"/>
  <c r="EC444" i="36" s="1"/>
  <c r="EB310" i="36"/>
  <c r="ER62" i="35"/>
  <c r="ER68" i="35"/>
  <c r="ER29" i="2"/>
  <c r="ER29" i="36"/>
  <c r="ER70" i="36"/>
  <c r="ER44" i="35"/>
  <c r="ER46" i="35" s="1"/>
  <c r="EA305" i="2"/>
  <c r="EA305" i="36"/>
  <c r="EB307" i="36" s="1"/>
  <c r="EE173" i="36"/>
  <c r="EI173" i="36" s="1"/>
  <c r="EI172" i="36"/>
  <c r="ED176" i="36"/>
  <c r="FD211" i="35"/>
  <c r="ER249" i="36"/>
  <c r="ER18" i="36"/>
  <c r="EC173" i="36"/>
  <c r="EG172" i="36"/>
  <c r="EB176" i="36"/>
  <c r="FE196" i="35"/>
  <c r="EA171" i="36"/>
  <c r="EF139" i="36"/>
  <c r="EB135" i="36"/>
  <c r="EA143" i="36"/>
  <c r="EC137" i="36"/>
  <c r="EC182" i="36"/>
  <c r="EC168" i="36"/>
  <c r="EW479" i="36"/>
  <c r="ER12" i="36"/>
  <c r="ER31" i="36"/>
  <c r="EB140" i="36"/>
  <c r="ED442" i="36"/>
  <c r="EH443" i="36"/>
  <c r="EC447" i="36"/>
  <c r="ER32" i="36"/>
  <c r="FH66" i="35"/>
  <c r="FI66" i="35" s="1"/>
  <c r="ER11" i="35"/>
  <c r="ER12" i="35" s="1"/>
  <c r="ER43" i="36"/>
  <c r="EE307" i="36"/>
  <c r="EI307" i="36" s="1"/>
  <c r="EE302" i="36"/>
  <c r="EE439" i="36" s="1"/>
  <c r="EI306" i="36"/>
  <c r="ED310" i="36"/>
  <c r="ER19" i="36"/>
  <c r="ER386" i="36"/>
  <c r="ER384" i="36"/>
  <c r="FH99" i="35"/>
  <c r="EW323" i="36"/>
  <c r="FB324" i="36"/>
  <c r="EN89" i="35"/>
  <c r="EM87" i="35"/>
  <c r="EM86" i="35" s="1"/>
  <c r="EI652" i="36"/>
  <c r="EI655" i="36" s="1"/>
  <c r="EE655" i="36"/>
  <c r="EE653" i="36"/>
  <c r="EE654" i="36"/>
  <c r="DV120" i="36"/>
  <c r="DV94" i="36"/>
  <c r="DW95" i="36" s="1"/>
  <c r="DV104" i="36"/>
  <c r="DV106" i="36" s="1"/>
  <c r="DU90" i="36"/>
  <c r="DU104" i="36"/>
  <c r="EF220" i="36"/>
  <c r="EF217" i="36"/>
  <c r="EE220" i="36"/>
  <c r="EE217" i="36"/>
  <c r="ED299" i="36"/>
  <c r="ED425" i="36" s="1"/>
  <c r="ED274" i="36"/>
  <c r="ED263" i="36"/>
  <c r="DW118" i="36"/>
  <c r="EE358" i="36"/>
  <c r="EE355" i="36"/>
  <c r="EJ88" i="36"/>
  <c r="EK86" i="36"/>
  <c r="EK105" i="36" s="1"/>
  <c r="EA146" i="36"/>
  <c r="ED543" i="36"/>
  <c r="ED541" i="36"/>
  <c r="EF355" i="36"/>
  <c r="EF358" i="36"/>
  <c r="EA108" i="36"/>
  <c r="EA118" i="36"/>
  <c r="EA129" i="36"/>
  <c r="DV129" i="36" s="1"/>
  <c r="EL86" i="35"/>
  <c r="DZ108" i="36"/>
  <c r="DZ129" i="36"/>
  <c r="DU129" i="36" s="1"/>
  <c r="DZ118" i="36"/>
  <c r="DW542" i="36"/>
  <c r="DW540" i="36" s="1"/>
  <c r="DW541" i="36" s="1"/>
  <c r="FM154" i="36"/>
  <c r="EI651" i="36"/>
  <c r="EE656" i="36"/>
  <c r="DZ84" i="36"/>
  <c r="ED652" i="36"/>
  <c r="ED656" i="36" s="1"/>
  <c r="DZ655" i="36"/>
  <c r="DZ653" i="36"/>
  <c r="DZ654" i="36"/>
  <c r="DV83" i="36"/>
  <c r="DZ567" i="36"/>
  <c r="DZ569" i="36"/>
  <c r="DZ566" i="36"/>
  <c r="ED565" i="36"/>
  <c r="EA149" i="36"/>
  <c r="EB82" i="36"/>
  <c r="EB104" i="36" s="1"/>
  <c r="EB106" i="36" s="1"/>
  <c r="EA84" i="36"/>
  <c r="EA83" i="36"/>
  <c r="DW568" i="36"/>
  <c r="DX107" i="36"/>
  <c r="DW265" i="36"/>
  <c r="DX269" i="36"/>
  <c r="DX95" i="36"/>
  <c r="DZ385" i="1"/>
  <c r="DZ138" i="36" s="1"/>
  <c r="EA140" i="36" s="1"/>
  <c r="DX380" i="1"/>
  <c r="DZ382" i="1"/>
  <c r="EA387" i="1"/>
  <c r="EA138" i="2"/>
  <c r="EX154" i="2"/>
  <c r="EY154" i="2" s="1"/>
  <c r="EZ154" i="2" s="1"/>
  <c r="FA154" i="2" s="1"/>
  <c r="FB154" i="2" s="1"/>
  <c r="ER70" i="2"/>
  <c r="EW80" i="2" s="1"/>
  <c r="ER44" i="4"/>
  <c r="DX381" i="1"/>
  <c r="DZ386" i="1"/>
  <c r="EM186" i="2"/>
  <c r="ER187" i="2" s="1"/>
  <c r="C178" i="3"/>
  <c r="D178" i="3" s="1"/>
  <c r="E178" i="3" s="1"/>
  <c r="F178" i="3" s="1"/>
  <c r="G178" i="3" s="1"/>
  <c r="H178" i="3" s="1"/>
  <c r="C172" i="3"/>
  <c r="D172" i="3" s="1"/>
  <c r="E172" i="3" s="1"/>
  <c r="F172" i="3" s="1"/>
  <c r="G172" i="3" s="1"/>
  <c r="H172" i="3" s="1"/>
  <c r="C147" i="3"/>
  <c r="D147" i="3" s="1"/>
  <c r="E147" i="3" s="1"/>
  <c r="F147" i="3" s="1"/>
  <c r="G147" i="3" s="1"/>
  <c r="H147" i="3" s="1"/>
  <c r="I147" i="3" s="1"/>
  <c r="J147" i="3" s="1"/>
  <c r="EN160" i="4"/>
  <c r="G157" i="41" s="1"/>
  <c r="EH160" i="4"/>
  <c r="E157" i="41" s="1"/>
  <c r="EI160" i="4"/>
  <c r="F157" i="41" s="1"/>
  <c r="ER147" i="35" l="1"/>
  <c r="ER149" i="35" s="1"/>
  <c r="EC454" i="36"/>
  <c r="EC455" i="36" s="1"/>
  <c r="EC604" i="36"/>
  <c r="EC611" i="36" s="1"/>
  <c r="ER146" i="4"/>
  <c r="EN87" i="35"/>
  <c r="EO89" i="35" s="1"/>
  <c r="EO87" i="35" s="1"/>
  <c r="EN86" i="35"/>
  <c r="EE454" i="36"/>
  <c r="EI439" i="36"/>
  <c r="EE604" i="36"/>
  <c r="EB137" i="36"/>
  <c r="EB168" i="36"/>
  <c r="EB182" i="36"/>
  <c r="EC203" i="36"/>
  <c r="EC183" i="36"/>
  <c r="EC304" i="36"/>
  <c r="EC303" i="36" s="1"/>
  <c r="EC308" i="36" s="1"/>
  <c r="EC318" i="36"/>
  <c r="EF172" i="36"/>
  <c r="EA176" i="36"/>
  <c r="EE203" i="36"/>
  <c r="EI182" i="36"/>
  <c r="EE183" i="36"/>
  <c r="DZ305" i="2"/>
  <c r="DZ305" i="36"/>
  <c r="EI302" i="36"/>
  <c r="EE304" i="36"/>
  <c r="EE318" i="36"/>
  <c r="EC170" i="36"/>
  <c r="EC175" i="36" s="1"/>
  <c r="EC153" i="36" s="1"/>
  <c r="EC164" i="36" s="1"/>
  <c r="EC136" i="36"/>
  <c r="EB302" i="36"/>
  <c r="EB439" i="36" s="1"/>
  <c r="EF306" i="36"/>
  <c r="EA442" i="36"/>
  <c r="EB444" i="36" s="1"/>
  <c r="EA310" i="36"/>
  <c r="EE170" i="36"/>
  <c r="EI137" i="36"/>
  <c r="EI142" i="36" s="1"/>
  <c r="EE136" i="36"/>
  <c r="FE202" i="35"/>
  <c r="FF196" i="35"/>
  <c r="ER576" i="36"/>
  <c r="FI99" i="35"/>
  <c r="FJ66" i="35"/>
  <c r="EE139" i="36"/>
  <c r="EA135" i="36"/>
  <c r="DZ171" i="36"/>
  <c r="DZ143" i="36"/>
  <c r="ED447" i="36"/>
  <c r="EE444" i="36"/>
  <c r="EI444" i="36" s="1"/>
  <c r="EI443" i="36"/>
  <c r="EB173" i="36"/>
  <c r="ER71" i="36"/>
  <c r="ER30" i="36" s="1"/>
  <c r="EB447" i="36"/>
  <c r="EG443" i="36"/>
  <c r="FF185" i="35"/>
  <c r="FG182" i="35"/>
  <c r="FB323" i="36"/>
  <c r="FG324" i="36"/>
  <c r="DU120" i="36"/>
  <c r="DU561" i="36" a="1"/>
  <c r="DU561" i="36" s="1"/>
  <c r="DU94" i="36"/>
  <c r="EF356" i="36"/>
  <c r="EE218" i="36"/>
  <c r="DV124" i="36"/>
  <c r="EF218" i="36"/>
  <c r="EC82" i="36"/>
  <c r="EB84" i="36"/>
  <c r="EB83" i="36"/>
  <c r="EB149" i="36"/>
  <c r="DX263" i="36"/>
  <c r="DX108" i="36"/>
  <c r="EA76" i="36"/>
  <c r="EA74" i="36"/>
  <c r="DY83" i="36"/>
  <c r="DV91" i="36"/>
  <c r="DV118" i="36"/>
  <c r="EB108" i="36"/>
  <c r="EB129" i="36"/>
  <c r="DW129" i="36" s="1"/>
  <c r="DW124" i="36" s="1"/>
  <c r="EB118" i="36"/>
  <c r="DV542" i="36"/>
  <c r="EB146" i="36"/>
  <c r="EA151" i="36"/>
  <c r="EA160" i="36"/>
  <c r="ED655" i="36"/>
  <c r="ED653" i="36"/>
  <c r="ED654" i="36"/>
  <c r="EI656" i="36"/>
  <c r="EK88" i="36"/>
  <c r="EL86" i="36"/>
  <c r="EL105" i="36" s="1"/>
  <c r="DY104" i="36"/>
  <c r="DU106" i="36"/>
  <c r="DU124" i="36"/>
  <c r="DV568" i="36"/>
  <c r="DW107" i="36"/>
  <c r="DV265" i="36"/>
  <c r="DW269" i="36"/>
  <c r="ED566" i="36"/>
  <c r="ED569" i="36"/>
  <c r="ED567" i="36"/>
  <c r="DZ76" i="36"/>
  <c r="DZ74" i="36"/>
  <c r="EE356" i="36"/>
  <c r="DX386" i="1"/>
  <c r="DW381" i="1"/>
  <c r="DX382" i="1"/>
  <c r="DX385" i="1"/>
  <c r="DX138" i="36" s="1"/>
  <c r="DW380" i="1"/>
  <c r="DZ387" i="1"/>
  <c r="DZ138" i="2"/>
  <c r="C81" i="3"/>
  <c r="C106" i="3" s="1"/>
  <c r="B134" i="3"/>
  <c r="C134" i="3" s="1"/>
  <c r="D134" i="3" s="1"/>
  <c r="E134" i="3" s="1"/>
  <c r="F134" i="3" s="1"/>
  <c r="G134" i="3" s="1"/>
  <c r="H134" i="3" s="1"/>
  <c r="ER146" i="35" l="1"/>
  <c r="EC605" i="36"/>
  <c r="EC441" i="36"/>
  <c r="EB454" i="36"/>
  <c r="EB455" i="36" s="1"/>
  <c r="EB604" i="36"/>
  <c r="ER21" i="36"/>
  <c r="ER20" i="36" s="1"/>
  <c r="ER33" i="36"/>
  <c r="EI304" i="36"/>
  <c r="EI309" i="36" s="1"/>
  <c r="EE303" i="36"/>
  <c r="EE172" i="36"/>
  <c r="DZ176" i="36"/>
  <c r="DZ160" i="36"/>
  <c r="EA173" i="36"/>
  <c r="FH182" i="35"/>
  <c r="FG185" i="35"/>
  <c r="FH185" i="35" s="1"/>
  <c r="FK66" i="35"/>
  <c r="FJ99" i="35"/>
  <c r="DY138" i="36"/>
  <c r="DX171" i="36"/>
  <c r="DX143" i="36"/>
  <c r="EC139" i="36"/>
  <c r="EA168" i="36"/>
  <c r="EA137" i="36"/>
  <c r="EA182" i="36"/>
  <c r="EE169" i="36"/>
  <c r="EI169" i="36" s="1"/>
  <c r="EI136" i="36"/>
  <c r="EB318" i="36"/>
  <c r="EB304" i="36"/>
  <c r="EB303" i="36" s="1"/>
  <c r="EB308" i="36" s="1"/>
  <c r="EA302" i="36"/>
  <c r="EE306" i="36"/>
  <c r="DZ442" i="36"/>
  <c r="EA444" i="36" s="1"/>
  <c r="DZ310" i="36"/>
  <c r="EB203" i="36"/>
  <c r="EB183" i="36"/>
  <c r="EB320" i="36" s="1"/>
  <c r="EE441" i="36"/>
  <c r="EI441" i="36" s="1"/>
  <c r="EI446" i="36" s="1"/>
  <c r="EA307" i="36"/>
  <c r="EH211" i="36"/>
  <c r="EC204" i="36"/>
  <c r="EC169" i="36"/>
  <c r="EC440" i="36"/>
  <c r="EC445" i="36" s="1"/>
  <c r="EE230" i="36"/>
  <c r="EI183" i="36"/>
  <c r="EB170" i="36"/>
  <c r="EB175" i="36" s="1"/>
  <c r="EB153" i="36" s="1"/>
  <c r="EB164" i="36" s="1"/>
  <c r="EB136" i="36"/>
  <c r="FE211" i="35"/>
  <c r="EI170" i="36"/>
  <c r="EI175" i="36" s="1"/>
  <c r="EI153" i="36" s="1"/>
  <c r="EI164" i="36" s="1"/>
  <c r="EE175" i="36"/>
  <c r="EE153" i="36" s="1"/>
  <c r="EE164" i="36" s="1"/>
  <c r="EC341" i="36"/>
  <c r="EC465" i="36" s="1"/>
  <c r="EH475" i="36" s="1"/>
  <c r="EC319" i="36"/>
  <c r="EC367" i="36" s="1"/>
  <c r="EI604" i="36"/>
  <c r="EE611" i="36"/>
  <c r="EE605" i="36"/>
  <c r="DX305" i="2"/>
  <c r="DX305" i="36"/>
  <c r="EE204" i="36"/>
  <c r="EJ211" i="36"/>
  <c r="EI203" i="36"/>
  <c r="EH612" i="36"/>
  <c r="FF202" i="35"/>
  <c r="FF211" i="35" s="1"/>
  <c r="FG196" i="35"/>
  <c r="FG202" i="35" s="1"/>
  <c r="FG211" i="35" s="1"/>
  <c r="EF443" i="36"/>
  <c r="EA447" i="36"/>
  <c r="EE319" i="36"/>
  <c r="EI318" i="36"/>
  <c r="EE341" i="36"/>
  <c r="EE465" i="36" s="1"/>
  <c r="EC230" i="36"/>
  <c r="EI454" i="36"/>
  <c r="EE455" i="36"/>
  <c r="DW263" i="36"/>
  <c r="DW108" i="36"/>
  <c r="EO88" i="35"/>
  <c r="EP89" i="35" s="1"/>
  <c r="EB157" i="36"/>
  <c r="EA165" i="36"/>
  <c r="EC149" i="36"/>
  <c r="EC84" i="36"/>
  <c r="ED82" i="36"/>
  <c r="EC83" i="36"/>
  <c r="ED83" i="36" s="1"/>
  <c r="DU568" i="36"/>
  <c r="DV107" i="36"/>
  <c r="DU107" i="36"/>
  <c r="DU265" i="36"/>
  <c r="DV269" i="36"/>
  <c r="DU269" i="36"/>
  <c r="DV95" i="36"/>
  <c r="DY95" i="36" s="1"/>
  <c r="EL88" i="36"/>
  <c r="EM86" i="36"/>
  <c r="EM105" i="36" s="1"/>
  <c r="EN105" i="36" s="1"/>
  <c r="DU559" i="36"/>
  <c r="DY106" i="36"/>
  <c r="DU118" i="36"/>
  <c r="EC146" i="36"/>
  <c r="EC148" i="36" s="1"/>
  <c r="EB151" i="36"/>
  <c r="EB160" i="36"/>
  <c r="DY542" i="36"/>
  <c r="DZ544" i="36" s="1"/>
  <c r="EA544" i="36" s="1"/>
  <c r="EB544" i="36" s="1"/>
  <c r="EC544" i="36" s="1"/>
  <c r="ED544" i="36" s="1"/>
  <c r="EE544" i="36" s="1"/>
  <c r="EF544" i="36" s="1"/>
  <c r="DV540" i="36"/>
  <c r="EB76" i="36"/>
  <c r="EB74" i="36"/>
  <c r="DU126" i="36"/>
  <c r="DY91" i="36"/>
  <c r="DX561" i="36" a="1"/>
  <c r="DX561" i="36" s="1"/>
  <c r="DX559" i="36" s="1"/>
  <c r="DW561" i="36" a="1"/>
  <c r="DW561" i="36" s="1"/>
  <c r="DW559" i="36" s="1"/>
  <c r="DV561" i="36" a="1"/>
  <c r="DV561" i="36" s="1"/>
  <c r="DV559" i="36" s="1"/>
  <c r="EC104" i="36"/>
  <c r="DW385" i="1"/>
  <c r="DW138" i="36" s="1"/>
  <c r="DW382" i="1"/>
  <c r="DV380" i="1"/>
  <c r="DX387" i="1"/>
  <c r="DX138" i="2"/>
  <c r="DW386" i="1"/>
  <c r="DV381" i="1"/>
  <c r="C101" i="3"/>
  <c r="B141" i="3"/>
  <c r="C141" i="3"/>
  <c r="D141" i="3"/>
  <c r="C137" i="3"/>
  <c r="D137" i="3" s="1"/>
  <c r="C124" i="3"/>
  <c r="D124" i="3" s="1"/>
  <c r="E124" i="3" s="1"/>
  <c r="F124" i="3" s="1"/>
  <c r="J115" i="3"/>
  <c r="I115" i="3"/>
  <c r="H102" i="3"/>
  <c r="G102" i="3"/>
  <c r="F102" i="3"/>
  <c r="E102" i="3"/>
  <c r="D102" i="3"/>
  <c r="C102" i="3"/>
  <c r="B102" i="3"/>
  <c r="H101" i="3"/>
  <c r="G101" i="3"/>
  <c r="F101" i="3"/>
  <c r="E101" i="3"/>
  <c r="D101" i="3"/>
  <c r="B101" i="3"/>
  <c r="C99" i="3"/>
  <c r="D99" i="3" s="1"/>
  <c r="E99" i="3" s="1"/>
  <c r="F99" i="3" s="1"/>
  <c r="G99" i="3" s="1"/>
  <c r="H99" i="3" s="1"/>
  <c r="J90" i="3"/>
  <c r="I90" i="3"/>
  <c r="J77" i="3"/>
  <c r="I77" i="3"/>
  <c r="J76" i="3"/>
  <c r="I76" i="3"/>
  <c r="C74" i="3"/>
  <c r="D74" i="3" s="1"/>
  <c r="E74" i="3" s="1"/>
  <c r="F74" i="3" s="1"/>
  <c r="G74" i="3" s="1"/>
  <c r="H74" i="3" s="1"/>
  <c r="EB148" i="36" l="1"/>
  <c r="EB147" i="36" s="1"/>
  <c r="EB152" i="36" s="1"/>
  <c r="FH211" i="35"/>
  <c r="EC44" i="36"/>
  <c r="EC13" i="35" s="1"/>
  <c r="DY107" i="36"/>
  <c r="DY263" i="36" s="1"/>
  <c r="EI465" i="36"/>
  <c r="EJ475" i="36"/>
  <c r="EH231" i="36"/>
  <c r="EC505" i="36"/>
  <c r="EC507" i="36" s="1"/>
  <c r="EB169" i="36"/>
  <c r="EB174" i="36" s="1"/>
  <c r="EB440" i="36"/>
  <c r="EB445" i="36" s="1"/>
  <c r="EB141" i="36"/>
  <c r="EH212" i="36"/>
  <c r="EC607" i="36"/>
  <c r="EB341" i="36"/>
  <c r="EB465" i="36" s="1"/>
  <c r="EG475" i="36" s="1"/>
  <c r="EB319" i="36"/>
  <c r="EB367" i="36" s="1"/>
  <c r="EG368" i="36" s="1"/>
  <c r="EI303" i="36"/>
  <c r="EE308" i="36"/>
  <c r="EI611" i="36"/>
  <c r="EI605" i="36"/>
  <c r="EB441" i="36"/>
  <c r="FI182" i="35"/>
  <c r="FH196" i="35"/>
  <c r="EI341" i="36"/>
  <c r="EJ349" i="36"/>
  <c r="EE342" i="36"/>
  <c r="EE466" i="36" s="1"/>
  <c r="EE440" i="36"/>
  <c r="EB204" i="36"/>
  <c r="EG211" i="36"/>
  <c r="DX135" i="36"/>
  <c r="DW171" i="36"/>
  <c r="DX173" i="36" s="1"/>
  <c r="EB139" i="36"/>
  <c r="DW143" i="36"/>
  <c r="EE44" i="36"/>
  <c r="EC342" i="36"/>
  <c r="EC466" i="36" s="1"/>
  <c r="EH349" i="36"/>
  <c r="EC172" i="36"/>
  <c r="DY171" i="36"/>
  <c r="DX176" i="36"/>
  <c r="EA157" i="36"/>
  <c r="EB162" i="36" s="1"/>
  <c r="DZ165" i="36"/>
  <c r="FL66" i="35"/>
  <c r="FK99" i="35"/>
  <c r="EE367" i="36"/>
  <c r="EE505" i="36" s="1"/>
  <c r="EI204" i="36"/>
  <c r="EE607" i="36"/>
  <c r="EI230" i="36"/>
  <c r="EE443" i="36"/>
  <c r="DZ447" i="36"/>
  <c r="EA203" i="36"/>
  <c r="EA183" i="36"/>
  <c r="DX140" i="36"/>
  <c r="EN211" i="36"/>
  <c r="EI194" i="36"/>
  <c r="DX442" i="36"/>
  <c r="DY305" i="36"/>
  <c r="DX310" i="36"/>
  <c r="EC306" i="36"/>
  <c r="EA170" i="36"/>
  <c r="EA175" i="36" s="1"/>
  <c r="EA153" i="36" s="1"/>
  <c r="EA136" i="36"/>
  <c r="DZ135" i="36"/>
  <c r="DY143" i="36"/>
  <c r="ED139" i="36"/>
  <c r="DZ140" i="36"/>
  <c r="ED140" i="36" s="1"/>
  <c r="EB611" i="36"/>
  <c r="EB605" i="36"/>
  <c r="DW305" i="2"/>
  <c r="DW305" i="36"/>
  <c r="FH202" i="35"/>
  <c r="FH218" i="35" s="1"/>
  <c r="FH220" i="35" s="1"/>
  <c r="EB230" i="36"/>
  <c r="EA318" i="36"/>
  <c r="EA304" i="36"/>
  <c r="EA303" i="36" s="1"/>
  <c r="EA308" i="36" s="1"/>
  <c r="EA439" i="36"/>
  <c r="DY118" i="36"/>
  <c r="ED149" i="36"/>
  <c r="EE146" i="36" s="1"/>
  <c r="EC151" i="36"/>
  <c r="EC147" i="36" s="1"/>
  <c r="EC152" i="36" s="1"/>
  <c r="EC160" i="36"/>
  <c r="DU181" i="36"/>
  <c r="DU132" i="36"/>
  <c r="DU128" i="36"/>
  <c r="DU131" i="36"/>
  <c r="DV123" i="36"/>
  <c r="DZ127" i="36"/>
  <c r="DU108" i="36"/>
  <c r="EC106" i="36"/>
  <c r="ED104" i="36"/>
  <c r="EC157" i="36"/>
  <c r="EB165" i="36"/>
  <c r="EB159" i="36"/>
  <c r="DV541" i="36"/>
  <c r="DY540" i="36"/>
  <c r="EP87" i="35"/>
  <c r="DV565" i="36"/>
  <c r="DV560" i="36"/>
  <c r="EN86" i="36"/>
  <c r="EM88" i="36"/>
  <c r="EO91" i="35"/>
  <c r="EP85" i="35"/>
  <c r="DV263" i="36"/>
  <c r="DV108" i="36"/>
  <c r="DW560" i="36"/>
  <c r="DW565" i="36"/>
  <c r="DY561" i="36"/>
  <c r="DU271" i="36"/>
  <c r="DY269" i="36"/>
  <c r="ED84" i="36"/>
  <c r="EE82" i="36"/>
  <c r="EE104" i="36" s="1"/>
  <c r="DX565" i="36"/>
  <c r="DX560" i="36"/>
  <c r="DU565" i="36"/>
  <c r="DU560" i="36"/>
  <c r="DY559" i="36"/>
  <c r="DY560" i="36" s="1"/>
  <c r="DV385" i="1"/>
  <c r="DV138" i="36" s="1"/>
  <c r="DV382" i="1"/>
  <c r="DU380" i="1"/>
  <c r="DW387" i="1"/>
  <c r="DW138" i="2"/>
  <c r="DU381" i="1"/>
  <c r="DU386" i="1" s="1"/>
  <c r="DV386" i="1"/>
  <c r="J102" i="3"/>
  <c r="I102" i="3"/>
  <c r="I101" i="3"/>
  <c r="J101" i="3"/>
  <c r="G124" i="3"/>
  <c r="FC154" i="2" l="1"/>
  <c r="FD154" i="2" s="1"/>
  <c r="FE154" i="2" s="1"/>
  <c r="FF154" i="2" s="1"/>
  <c r="FG154" i="2" s="1"/>
  <c r="FH154" i="2" s="1"/>
  <c r="FI154" i="2" s="1"/>
  <c r="DY274" i="36"/>
  <c r="EA441" i="36"/>
  <c r="EC45" i="36"/>
  <c r="EC14" i="35" s="1"/>
  <c r="EC15" i="35" s="1"/>
  <c r="EC16" i="35" s="1"/>
  <c r="EC18" i="35" s="1"/>
  <c r="EG231" i="36"/>
  <c r="EB505" i="36"/>
  <c r="EG612" i="36"/>
  <c r="EN195" i="36"/>
  <c r="EI466" i="36"/>
  <c r="EB44" i="36"/>
  <c r="FI185" i="35"/>
  <c r="FJ182" i="35"/>
  <c r="EI607" i="36"/>
  <c r="EA341" i="36"/>
  <c r="EA465" i="36" s="1"/>
  <c r="EF475" i="36" s="1"/>
  <c r="EA319" i="36"/>
  <c r="EA367" i="36" s="1"/>
  <c r="EF368" i="36" s="1"/>
  <c r="EI44" i="36"/>
  <c r="EE13" i="35"/>
  <c r="DW135" i="36"/>
  <c r="DV171" i="36"/>
  <c r="DV143" i="36"/>
  <c r="EA139" i="36"/>
  <c r="DZ302" i="36"/>
  <c r="DZ439" i="36" s="1"/>
  <c r="DY310" i="36"/>
  <c r="ED306" i="36"/>
  <c r="DZ307" i="36"/>
  <c r="ED307" i="36" s="1"/>
  <c r="EE507" i="36"/>
  <c r="DZ173" i="36"/>
  <c r="ED173" i="36" s="1"/>
  <c r="DY176" i="36"/>
  <c r="ED172" i="36"/>
  <c r="EE445" i="36"/>
  <c r="EI440" i="36"/>
  <c r="EI445" i="36" s="1"/>
  <c r="EC467" i="36"/>
  <c r="EH476" i="36"/>
  <c r="EG212" i="36"/>
  <c r="EB607" i="36"/>
  <c r="EG608" i="36" s="1"/>
  <c r="EH608" i="36" s="1"/>
  <c r="EH607" i="36" s="1"/>
  <c r="EM607" i="36" s="1"/>
  <c r="DY442" i="36"/>
  <c r="DX447" i="36"/>
  <c r="EC443" i="36"/>
  <c r="DW176" i="36"/>
  <c r="EB172" i="36"/>
  <c r="EE613" i="36"/>
  <c r="EI342" i="36"/>
  <c r="EE467" i="36"/>
  <c r="FI196" i="35"/>
  <c r="DZ182" i="36"/>
  <c r="ED135" i="36"/>
  <c r="DZ137" i="36"/>
  <c r="DZ168" i="36"/>
  <c r="ED168" i="36" s="1"/>
  <c r="EA230" i="36"/>
  <c r="EA320" i="36"/>
  <c r="EI232" i="36"/>
  <c r="DW140" i="36"/>
  <c r="EB342" i="36"/>
  <c r="EB45" i="36" s="1"/>
  <c r="EB14" i="35" s="1"/>
  <c r="EG349" i="36"/>
  <c r="DV305" i="2"/>
  <c r="DV305" i="36"/>
  <c r="DW307" i="36" s="1"/>
  <c r="DU305" i="2"/>
  <c r="DU305" i="36"/>
  <c r="EA454" i="36"/>
  <c r="EA455" i="36" s="1"/>
  <c r="EA604" i="36"/>
  <c r="DX302" i="36"/>
  <c r="DX304" i="36" s="1"/>
  <c r="DX303" i="36" s="1"/>
  <c r="DX308" i="36" s="1"/>
  <c r="DW442" i="36"/>
  <c r="DX444" i="36" s="1"/>
  <c r="DW310" i="36"/>
  <c r="EB306" i="36"/>
  <c r="EA440" i="36"/>
  <c r="EA445" i="36" s="1"/>
  <c r="EA169" i="36"/>
  <c r="EA141" i="36"/>
  <c r="DX307" i="36"/>
  <c r="EF211" i="36"/>
  <c r="EA204" i="36"/>
  <c r="EJ607" i="36"/>
  <c r="FM66" i="35"/>
  <c r="FM99" i="35" s="1"/>
  <c r="FL99" i="35"/>
  <c r="DX137" i="36"/>
  <c r="DX182" i="36"/>
  <c r="DX183" i="36" s="1"/>
  <c r="DX168" i="36"/>
  <c r="EA162" i="36"/>
  <c r="EA164" i="36"/>
  <c r="EA159" i="36" s="1"/>
  <c r="EA148" i="36"/>
  <c r="EA147" i="36" s="1"/>
  <c r="EA152" i="36" s="1"/>
  <c r="EE45" i="36"/>
  <c r="EC613" i="36"/>
  <c r="EH350" i="36"/>
  <c r="EI329" i="36"/>
  <c r="EN349" i="36"/>
  <c r="EN475" i="36"/>
  <c r="EC108" i="36"/>
  <c r="EC118" i="36"/>
  <c r="EC141" i="36"/>
  <c r="EC174" i="36"/>
  <c r="EC129" i="36"/>
  <c r="DX129" i="36" s="1"/>
  <c r="DX124" i="36" s="1"/>
  <c r="DY124" i="36" s="1"/>
  <c r="DY129" i="36" s="1"/>
  <c r="ED106" i="36"/>
  <c r="EE106" i="36"/>
  <c r="EO86" i="36"/>
  <c r="EO105" i="36" s="1"/>
  <c r="EN88" i="36"/>
  <c r="DU566" i="36"/>
  <c r="DY565" i="36"/>
  <c r="DU567" i="36"/>
  <c r="DU569" i="36" s="1"/>
  <c r="DV268" i="36"/>
  <c r="DU273" i="36"/>
  <c r="DZ272" i="36"/>
  <c r="DV566" i="36"/>
  <c r="DV569" i="36"/>
  <c r="DV567" i="36"/>
  <c r="EC165" i="36"/>
  <c r="ED160" i="36"/>
  <c r="DW566" i="36"/>
  <c r="DW569" i="36"/>
  <c r="DW567" i="36"/>
  <c r="EI146" i="36"/>
  <c r="EE148" i="36"/>
  <c r="DX569" i="36"/>
  <c r="DX567" i="36"/>
  <c r="DX566" i="36"/>
  <c r="EP88" i="35"/>
  <c r="DV125" i="36"/>
  <c r="EE84" i="36"/>
  <c r="EE83" i="36"/>
  <c r="EF82" i="36"/>
  <c r="EE149" i="36"/>
  <c r="EO93" i="35"/>
  <c r="ED157" i="36"/>
  <c r="EC159" i="36"/>
  <c r="EC162" i="36"/>
  <c r="DY543" i="36"/>
  <c r="DY541" i="36"/>
  <c r="EB158" i="36"/>
  <c r="EB163" i="36" s="1"/>
  <c r="DY108" i="36"/>
  <c r="DU382" i="1"/>
  <c r="DU385" i="1"/>
  <c r="DU138" i="36" s="1"/>
  <c r="DV140" i="36" s="1"/>
  <c r="DV387" i="1"/>
  <c r="DV138" i="2"/>
  <c r="H124" i="3"/>
  <c r="FJ196" i="35" l="1"/>
  <c r="FJ202" i="35" s="1"/>
  <c r="FJ211" i="35" s="1"/>
  <c r="DY140" i="36"/>
  <c r="EC48" i="35"/>
  <c r="EC205" i="35" s="1"/>
  <c r="EH19" i="35"/>
  <c r="EC46" i="36"/>
  <c r="EC47" i="36" s="1"/>
  <c r="EC49" i="36" s="1"/>
  <c r="EC158" i="36"/>
  <c r="EC163" i="36" s="1"/>
  <c r="DX439" i="36"/>
  <c r="DX604" i="36" s="1"/>
  <c r="DX611" i="36" s="1"/>
  <c r="EC612" i="36" s="1"/>
  <c r="FI202" i="35"/>
  <c r="FI218" i="35" s="1"/>
  <c r="FI220" i="35" s="1"/>
  <c r="EI45" i="36"/>
  <c r="EE14" i="35"/>
  <c r="EI14" i="35" s="1"/>
  <c r="DZ444" i="36"/>
  <c r="ED444" i="36" s="1"/>
  <c r="DY447" i="36"/>
  <c r="ED443" i="36"/>
  <c r="EH477" i="36"/>
  <c r="EC468" i="36"/>
  <c r="EA342" i="36"/>
  <c r="EA466" i="36" s="1"/>
  <c r="EF349" i="36"/>
  <c r="DX441" i="36"/>
  <c r="DX170" i="36"/>
  <c r="DX175" i="36" s="1"/>
  <c r="DX136" i="36"/>
  <c r="DW302" i="36"/>
  <c r="DW304" i="36" s="1"/>
  <c r="DW303" i="36" s="1"/>
  <c r="DW308" i="36" s="1"/>
  <c r="DV442" i="36"/>
  <c r="DV307" i="36"/>
  <c r="DY307" i="36" s="1"/>
  <c r="EA306" i="36"/>
  <c r="DV310" i="36"/>
  <c r="EJ232" i="36"/>
  <c r="DZ203" i="36"/>
  <c r="DZ183" i="36"/>
  <c r="ED182" i="36"/>
  <c r="DV176" i="36"/>
  <c r="EA172" i="36"/>
  <c r="DW447" i="36"/>
  <c r="EB443" i="36"/>
  <c r="DW173" i="36"/>
  <c r="DW168" i="36"/>
  <c r="DW137" i="36"/>
  <c r="DW182" i="36"/>
  <c r="DW183" i="36" s="1"/>
  <c r="EA158" i="36"/>
  <c r="EA163" i="36" s="1"/>
  <c r="EA174" i="36"/>
  <c r="EB613" i="36"/>
  <c r="EG614" i="36" s="1"/>
  <c r="EH614" i="36" s="1"/>
  <c r="EH613" i="36" s="1"/>
  <c r="EM613" i="36" s="1"/>
  <c r="EG350" i="36"/>
  <c r="EA505" i="36"/>
  <c r="EF231" i="36"/>
  <c r="EE468" i="36"/>
  <c r="EI467" i="36"/>
  <c r="EB466" i="36"/>
  <c r="DZ318" i="36"/>
  <c r="DZ304" i="36"/>
  <c r="ED302" i="36"/>
  <c r="EE46" i="36"/>
  <c r="FK182" i="35"/>
  <c r="FJ185" i="35"/>
  <c r="DV302" i="36"/>
  <c r="DV304" i="36" s="1"/>
  <c r="DV303" i="36" s="1"/>
  <c r="DV308" i="36" s="1"/>
  <c r="DU302" i="36"/>
  <c r="DU442" i="36"/>
  <c r="DZ306" i="36"/>
  <c r="DU310" i="36"/>
  <c r="DZ170" i="36"/>
  <c r="ED137" i="36"/>
  <c r="ED142" i="36" s="1"/>
  <c r="DZ136" i="36"/>
  <c r="EN330" i="36"/>
  <c r="EA605" i="36"/>
  <c r="EA611" i="36"/>
  <c r="ED439" i="36"/>
  <c r="DZ454" i="36"/>
  <c r="DZ604" i="36"/>
  <c r="EI13" i="35"/>
  <c r="EG506" i="36"/>
  <c r="EB507" i="36"/>
  <c r="EG508" i="36" s="1"/>
  <c r="EF212" i="36"/>
  <c r="EA607" i="36"/>
  <c r="EF608" i="36" s="1"/>
  <c r="EJ613" i="36"/>
  <c r="DU171" i="36"/>
  <c r="DV173" i="36" s="1"/>
  <c r="DU135" i="36"/>
  <c r="DV135" i="36"/>
  <c r="DU143" i="36"/>
  <c r="DZ139" i="36"/>
  <c r="EA44" i="36"/>
  <c r="EI613" i="36"/>
  <c r="EB13" i="35"/>
  <c r="EB15" i="35" s="1"/>
  <c r="EB16" i="35" s="1"/>
  <c r="EB18" i="35" s="1"/>
  <c r="EB46" i="36"/>
  <c r="ED118" i="36"/>
  <c r="ED129" i="36"/>
  <c r="EF146" i="36"/>
  <c r="EF148" i="36" s="1"/>
  <c r="EE150" i="36"/>
  <c r="EE151" i="36"/>
  <c r="EE160" i="36"/>
  <c r="EP91" i="35"/>
  <c r="EQ85" i="35"/>
  <c r="EQ89" i="35"/>
  <c r="EF149" i="36"/>
  <c r="EF84" i="36"/>
  <c r="EF83" i="36"/>
  <c r="EG82" i="36"/>
  <c r="EG104" i="36" s="1"/>
  <c r="EG106" i="36" s="1"/>
  <c r="EE108" i="36"/>
  <c r="EE118" i="36"/>
  <c r="EE141" i="36"/>
  <c r="EE129" i="36"/>
  <c r="EE174" i="36"/>
  <c r="DY567" i="36"/>
  <c r="DY569" i="36"/>
  <c r="DY566" i="36"/>
  <c r="EF104" i="36"/>
  <c r="DV126" i="36"/>
  <c r="DV270" i="36"/>
  <c r="DV271" i="36" s="1"/>
  <c r="ED165" i="36"/>
  <c r="EE157" i="36"/>
  <c r="EE159" i="36" s="1"/>
  <c r="EP86" i="36"/>
  <c r="EP105" i="36" s="1"/>
  <c r="EO88" i="36"/>
  <c r="EC320" i="36"/>
  <c r="EC76" i="36"/>
  <c r="EC74" i="36"/>
  <c r="ED108" i="36"/>
  <c r="DU387" i="1"/>
  <c r="DU138" i="2"/>
  <c r="E68" i="3"/>
  <c r="D68" i="3"/>
  <c r="C68" i="3"/>
  <c r="B68" i="3"/>
  <c r="EH51" i="36" l="1"/>
  <c r="FJ218" i="35"/>
  <c r="FJ220" i="35" s="1"/>
  <c r="EC49" i="35"/>
  <c r="EA45" i="36"/>
  <c r="EA14" i="35" s="1"/>
  <c r="FI211" i="35"/>
  <c r="DW439" i="36"/>
  <c r="DW604" i="36" s="1"/>
  <c r="DW611" i="36" s="1"/>
  <c r="EB612" i="36" s="1"/>
  <c r="EE15" i="35"/>
  <c r="EI15" i="35" s="1"/>
  <c r="DY173" i="36"/>
  <c r="EG51" i="36"/>
  <c r="EB47" i="36"/>
  <c r="EB49" i="36" s="1"/>
  <c r="DV182" i="36"/>
  <c r="DV183" i="36" s="1"/>
  <c r="DV137" i="36"/>
  <c r="DV168" i="36"/>
  <c r="DV439" i="36"/>
  <c r="DV604" i="36" s="1"/>
  <c r="DV611" i="36" s="1"/>
  <c r="EA612" i="36" s="1"/>
  <c r="EF612" i="36"/>
  <c r="EI46" i="36"/>
  <c r="EE47" i="36"/>
  <c r="EH478" i="36"/>
  <c r="EC470" i="36"/>
  <c r="EG19" i="35"/>
  <c r="DU137" i="36"/>
  <c r="DU168" i="36"/>
  <c r="DY168" i="36" s="1"/>
  <c r="DU439" i="36"/>
  <c r="DY439" i="36" s="1"/>
  <c r="DU182" i="36"/>
  <c r="DY135" i="36"/>
  <c r="EA507" i="36"/>
  <c r="EF508" i="36" s="1"/>
  <c r="EF506" i="36"/>
  <c r="DW441" i="36"/>
  <c r="DW170" i="36"/>
  <c r="DW175" i="36" s="1"/>
  <c r="DW136" i="36"/>
  <c r="DV444" i="36"/>
  <c r="DV447" i="36"/>
  <c r="EA443" i="36"/>
  <c r="DZ175" i="36"/>
  <c r="DZ153" i="36" s="1"/>
  <c r="DZ164" i="36" s="1"/>
  <c r="ED170" i="36"/>
  <c r="ED175" i="36" s="1"/>
  <c r="ED153" i="36" s="1"/>
  <c r="ED164" i="36" s="1"/>
  <c r="EI468" i="36"/>
  <c r="EE470" i="36"/>
  <c r="DU176" i="36"/>
  <c r="DZ172" i="36"/>
  <c r="ED304" i="36"/>
  <c r="ED309" i="36" s="1"/>
  <c r="DZ303" i="36"/>
  <c r="DZ440" i="36" s="1"/>
  <c r="DZ230" i="36"/>
  <c r="ED183" i="36"/>
  <c r="ED320" i="36" s="1"/>
  <c r="DZ320" i="36"/>
  <c r="DU447" i="36"/>
  <c r="DZ443" i="36"/>
  <c r="ED318" i="36"/>
  <c r="DZ319" i="36"/>
  <c r="DZ341" i="36"/>
  <c r="DW444" i="36"/>
  <c r="DZ204" i="36"/>
  <c r="ED203" i="36"/>
  <c r="EE211" i="36"/>
  <c r="EA13" i="35"/>
  <c r="DZ169" i="36"/>
  <c r="DZ141" i="36"/>
  <c r="ED136" i="36"/>
  <c r="ED141" i="36" s="1"/>
  <c r="DY302" i="36"/>
  <c r="DU304" i="36"/>
  <c r="EB467" i="36"/>
  <c r="EG476" i="36"/>
  <c r="EJ233" i="36"/>
  <c r="EK232" i="36"/>
  <c r="EJ230" i="36"/>
  <c r="DX440" i="36"/>
  <c r="DX445" i="36" s="1"/>
  <c r="DX169" i="36"/>
  <c r="DX174" i="36" s="1"/>
  <c r="DX141" i="36"/>
  <c r="FL182" i="35"/>
  <c r="FK185" i="35"/>
  <c r="DZ611" i="36"/>
  <c r="ED604" i="36"/>
  <c r="ED611" i="36" s="1"/>
  <c r="DZ441" i="36"/>
  <c r="ED441" i="36" s="1"/>
  <c r="ED446" i="36" s="1"/>
  <c r="EH52" i="36"/>
  <c r="EC54" i="36"/>
  <c r="EA467" i="36"/>
  <c r="EF476" i="36"/>
  <c r="ED454" i="36"/>
  <c r="DZ455" i="36"/>
  <c r="ED455" i="36" s="1"/>
  <c r="EA613" i="36"/>
  <c r="EF614" i="36" s="1"/>
  <c r="EF350" i="36"/>
  <c r="DW268" i="36"/>
  <c r="DV273" i="36"/>
  <c r="EA272" i="36"/>
  <c r="EF150" i="36"/>
  <c r="EF151" i="36"/>
  <c r="EF147" i="36" s="1"/>
  <c r="EF152" i="36" s="1"/>
  <c r="EG146" i="36"/>
  <c r="EG148" i="36" s="1"/>
  <c r="EF160" i="36"/>
  <c r="EG124" i="36"/>
  <c r="EG118" i="36"/>
  <c r="EG174" i="36"/>
  <c r="EG141" i="36"/>
  <c r="EP93" i="35"/>
  <c r="ED76" i="36"/>
  <c r="ED74" i="36"/>
  <c r="EE320" i="36"/>
  <c r="EE76" i="36"/>
  <c r="EE77" i="36" s="1"/>
  <c r="EE74" i="36"/>
  <c r="EE75" i="36" s="1"/>
  <c r="EE147" i="36"/>
  <c r="DV131" i="36"/>
  <c r="DV128" i="36"/>
  <c r="DW123" i="36"/>
  <c r="EA127" i="36"/>
  <c r="DV132" i="36"/>
  <c r="DV181" i="36"/>
  <c r="EG149" i="36"/>
  <c r="EG84" i="36"/>
  <c r="EG83" i="36"/>
  <c r="EH82" i="36"/>
  <c r="EG90" i="36"/>
  <c r="EF157" i="36"/>
  <c r="EF159" i="36" s="1"/>
  <c r="EE165" i="36"/>
  <c r="EE162" i="36"/>
  <c r="EE161" i="36"/>
  <c r="EF106" i="36"/>
  <c r="EQ86" i="36"/>
  <c r="EP88" i="36"/>
  <c r="EQ87" i="35"/>
  <c r="EA46" i="36" l="1"/>
  <c r="EF51" i="36" s="1"/>
  <c r="EA15" i="35"/>
  <c r="EA16" i="35" s="1"/>
  <c r="EA18" i="35" s="1"/>
  <c r="EF19" i="35" s="1"/>
  <c r="EE16" i="35"/>
  <c r="EE18" i="35" s="1"/>
  <c r="DU604" i="36"/>
  <c r="DY604" i="36" s="1"/>
  <c r="DY611" i="36" s="1"/>
  <c r="ED612" i="36" s="1"/>
  <c r="EA468" i="36"/>
  <c r="EF477" i="36"/>
  <c r="DZ445" i="36"/>
  <c r="ED440" i="36"/>
  <c r="ED445" i="36" s="1"/>
  <c r="DZ607" i="36"/>
  <c r="EE608" i="36" s="1"/>
  <c r="ED204" i="36"/>
  <c r="EE212" i="36"/>
  <c r="EC526" i="36"/>
  <c r="EH527" i="36" s="1"/>
  <c r="EH480" i="36"/>
  <c r="DZ174" i="36"/>
  <c r="ED169" i="36"/>
  <c r="ED174" i="36" s="1"/>
  <c r="DY182" i="36"/>
  <c r="DU183" i="36"/>
  <c r="DY183" i="36" s="1"/>
  <c r="EC62" i="36"/>
  <c r="EC63" i="36" s="1"/>
  <c r="EH55" i="36"/>
  <c r="FM182" i="35"/>
  <c r="FM185" i="35" s="1"/>
  <c r="FL185" i="35"/>
  <c r="DZ342" i="36"/>
  <c r="ED341" i="36"/>
  <c r="EE349" i="36"/>
  <c r="DY137" i="36"/>
  <c r="DY142" i="36" s="1"/>
  <c r="DV441" i="36"/>
  <c r="DV170" i="36"/>
  <c r="DV175" i="36" s="1"/>
  <c r="DV136" i="36"/>
  <c r="EG477" i="36"/>
  <c r="EB468" i="36"/>
  <c r="ED319" i="36"/>
  <c r="DZ367" i="36"/>
  <c r="DZ505" i="36" s="1"/>
  <c r="EE526" i="36"/>
  <c r="EI470" i="36"/>
  <c r="DW169" i="36"/>
  <c r="DW174" i="36" s="1"/>
  <c r="DW440" i="36"/>
  <c r="DW445" i="36" s="1"/>
  <c r="DW141" i="36"/>
  <c r="EI47" i="36"/>
  <c r="EE49" i="36"/>
  <c r="DU441" i="36"/>
  <c r="DY304" i="36"/>
  <c r="DY309" i="36" s="1"/>
  <c r="DU303" i="36"/>
  <c r="DY303" i="36" s="1"/>
  <c r="DY308" i="36" s="1"/>
  <c r="DU170" i="36"/>
  <c r="DU136" i="36"/>
  <c r="EB54" i="36"/>
  <c r="EG52" i="36"/>
  <c r="ED194" i="36"/>
  <c r="EI195" i="36" s="1"/>
  <c r="EI211" i="36"/>
  <c r="DZ465" i="36"/>
  <c r="ED230" i="36"/>
  <c r="EE231" i="36"/>
  <c r="EE612" i="36"/>
  <c r="EL232" i="36"/>
  <c r="EK230" i="36"/>
  <c r="EK233" i="36"/>
  <c r="EI612" i="36"/>
  <c r="EJ231" i="36"/>
  <c r="DZ44" i="36"/>
  <c r="ED303" i="36"/>
  <c r="ED308" i="36" s="1"/>
  <c r="DZ308" i="36"/>
  <c r="EI82" i="36"/>
  <c r="EH90" i="36"/>
  <c r="EH84" i="36"/>
  <c r="EH83" i="36"/>
  <c r="EI83" i="36" s="1"/>
  <c r="EH149" i="36"/>
  <c r="EH104" i="36"/>
  <c r="EE152" i="36"/>
  <c r="EG542" i="36"/>
  <c r="EG94" i="36"/>
  <c r="EG91" i="36"/>
  <c r="EG92" i="36"/>
  <c r="EG143" i="36"/>
  <c r="EG131" i="36"/>
  <c r="EG120" i="36"/>
  <c r="EG176" i="36"/>
  <c r="EQ88" i="36"/>
  <c r="ER86" i="36"/>
  <c r="EG125" i="36"/>
  <c r="EE158" i="36"/>
  <c r="EQ105" i="36"/>
  <c r="EG150" i="36"/>
  <c r="EG151" i="36"/>
  <c r="EH146" i="36"/>
  <c r="EH148" i="36" s="1"/>
  <c r="EI148" i="36" s="1"/>
  <c r="EG160" i="36"/>
  <c r="DW270" i="36"/>
  <c r="EF165" i="36"/>
  <c r="EF162" i="36"/>
  <c r="EF158" i="36" s="1"/>
  <c r="EF163" i="36" s="1"/>
  <c r="EG157" i="36"/>
  <c r="EG159" i="36" s="1"/>
  <c r="EF161" i="36"/>
  <c r="EF108" i="36"/>
  <c r="EF141" i="36"/>
  <c r="EF118" i="36"/>
  <c r="EF174" i="36"/>
  <c r="EF129" i="36"/>
  <c r="DW125" i="36"/>
  <c r="EQ88" i="35"/>
  <c r="EA47" i="36" l="1"/>
  <c r="EA49" i="36" s="1"/>
  <c r="EA54" i="36" s="1"/>
  <c r="EI16" i="35"/>
  <c r="DU611" i="36"/>
  <c r="DZ612" i="36" s="1"/>
  <c r="ED505" i="36"/>
  <c r="ED507" i="36" s="1"/>
  <c r="DZ507" i="36"/>
  <c r="EE508" i="36" s="1"/>
  <c r="EE506" i="36"/>
  <c r="EI526" i="36"/>
  <c r="ED342" i="36"/>
  <c r="DZ613" i="36"/>
  <c r="EE614" i="36" s="1"/>
  <c r="EE350" i="36"/>
  <c r="DZ45" i="36"/>
  <c r="DZ46" i="36" s="1"/>
  <c r="DU169" i="36"/>
  <c r="DU440" i="36"/>
  <c r="DZ466" i="36"/>
  <c r="EB62" i="36"/>
  <c r="EB63" i="36" s="1"/>
  <c r="EG55" i="36"/>
  <c r="EB470" i="36"/>
  <c r="EG478" i="36"/>
  <c r="ED232" i="36"/>
  <c r="EI233" i="36" s="1"/>
  <c r="EI231" i="36"/>
  <c r="DU175" i="36"/>
  <c r="DY170" i="36"/>
  <c r="DY175" i="36" s="1"/>
  <c r="EI49" i="36"/>
  <c r="ED367" i="36"/>
  <c r="ED369" i="36" s="1"/>
  <c r="EE368" i="36"/>
  <c r="DY136" i="36"/>
  <c r="DY141" i="36" s="1"/>
  <c r="DV169" i="36"/>
  <c r="DV174" i="36" s="1"/>
  <c r="DV440" i="36"/>
  <c r="DV445" i="36" s="1"/>
  <c r="DV141" i="36"/>
  <c r="ED607" i="36"/>
  <c r="EI608" i="36" s="1"/>
  <c r="EI212" i="36"/>
  <c r="ED465" i="36"/>
  <c r="EI475" i="36" s="1"/>
  <c r="EE475" i="36"/>
  <c r="EK231" i="36"/>
  <c r="DY441" i="36"/>
  <c r="DY446" i="36" s="1"/>
  <c r="ED329" i="36"/>
  <c r="EI330" i="36" s="1"/>
  <c r="EI349" i="36"/>
  <c r="EM232" i="36"/>
  <c r="EL230" i="36"/>
  <c r="EL233" i="36"/>
  <c r="EE48" i="35"/>
  <c r="EI18" i="35"/>
  <c r="EA470" i="36"/>
  <c r="EF478" i="36"/>
  <c r="ED44" i="36"/>
  <c r="DZ13" i="35"/>
  <c r="EH106" i="36"/>
  <c r="EI104" i="36"/>
  <c r="EH151" i="36"/>
  <c r="EH147" i="36" s="1"/>
  <c r="EH152" i="36" s="1"/>
  <c r="EI149" i="36"/>
  <c r="EH150" i="36"/>
  <c r="EH160" i="36"/>
  <c r="EG161" i="36"/>
  <c r="EG165" i="36"/>
  <c r="EG162" i="36"/>
  <c r="EG158" i="36" s="1"/>
  <c r="EG163" i="36" s="1"/>
  <c r="EH157" i="36"/>
  <c r="EH542" i="36"/>
  <c r="EH94" i="36"/>
  <c r="EH91" i="36"/>
  <c r="EI91" i="36" s="1"/>
  <c r="EH120" i="36"/>
  <c r="EH92" i="36"/>
  <c r="EI90" i="36"/>
  <c r="EH143" i="36"/>
  <c r="EH131" i="36"/>
  <c r="EH176" i="36"/>
  <c r="ER88" i="36"/>
  <c r="ES86" i="36"/>
  <c r="EG130" i="36"/>
  <c r="ER105" i="36"/>
  <c r="ES105" i="36" s="1"/>
  <c r="EG568" i="36"/>
  <c r="EG276" i="36"/>
  <c r="EG97" i="36"/>
  <c r="EG95" i="36"/>
  <c r="EG265" i="36"/>
  <c r="EG310" i="36"/>
  <c r="EG107" i="36"/>
  <c r="EG288" i="36"/>
  <c r="EJ82" i="36"/>
  <c r="EJ104" i="36" s="1"/>
  <c r="EI84" i="36"/>
  <c r="ER85" i="35"/>
  <c r="EQ91" i="35"/>
  <c r="ER89" i="35"/>
  <c r="EG147" i="36"/>
  <c r="EE163" i="36"/>
  <c r="EG540" i="36"/>
  <c r="EG548" i="36"/>
  <c r="EG544" i="36"/>
  <c r="EF320" i="36"/>
  <c r="EF76" i="36"/>
  <c r="EF77" i="36" s="1"/>
  <c r="EF74" i="36"/>
  <c r="EF75" i="36" s="1"/>
  <c r="DW271" i="36"/>
  <c r="DW126" i="36"/>
  <c r="B2127" i="3"/>
  <c r="C2127" i="3" s="1"/>
  <c r="C2123" i="3"/>
  <c r="C1970" i="3"/>
  <c r="C2046" i="3" s="1"/>
  <c r="C2043" i="3"/>
  <c r="C2094" i="3"/>
  <c r="D2094" i="3" s="1"/>
  <c r="EF52" i="36" l="1"/>
  <c r="ED46" i="36"/>
  <c r="EI51" i="36" s="1"/>
  <c r="DZ47" i="36"/>
  <c r="EE51" i="36"/>
  <c r="EE49" i="35"/>
  <c r="EE205" i="35"/>
  <c r="ED613" i="36"/>
  <c r="EI614" i="36" s="1"/>
  <c r="EI350" i="36"/>
  <c r="ED466" i="36"/>
  <c r="EI476" i="36" s="1"/>
  <c r="EE476" i="36"/>
  <c r="ED13" i="35"/>
  <c r="EL231" i="36"/>
  <c r="EA62" i="36"/>
  <c r="EF55" i="36"/>
  <c r="EM233" i="36"/>
  <c r="EM230" i="36"/>
  <c r="DZ467" i="36"/>
  <c r="DY440" i="36"/>
  <c r="DY445" i="36" s="1"/>
  <c r="EI151" i="36"/>
  <c r="DY169" i="36"/>
  <c r="DY174" i="36" s="1"/>
  <c r="EA526" i="36"/>
  <c r="EF527" i="36" s="1"/>
  <c r="EF480" i="36"/>
  <c r="EB526" i="36"/>
  <c r="EG527" i="36" s="1"/>
  <c r="EG480" i="36"/>
  <c r="ED45" i="36"/>
  <c r="DZ14" i="35"/>
  <c r="ED14" i="35" s="1"/>
  <c r="EH544" i="36"/>
  <c r="EI544" i="36" s="1"/>
  <c r="EH568" i="36"/>
  <c r="EI568" i="36" s="1"/>
  <c r="EI94" i="36"/>
  <c r="EH97" i="36"/>
  <c r="EH95" i="36"/>
  <c r="EI95" i="36" s="1"/>
  <c r="EH276" i="36"/>
  <c r="EH265" i="36"/>
  <c r="EH310" i="36"/>
  <c r="EH165" i="36"/>
  <c r="EH162" i="36"/>
  <c r="EI160" i="36"/>
  <c r="EH161" i="36"/>
  <c r="EG269" i="36"/>
  <c r="EG308" i="36"/>
  <c r="EG299" i="36"/>
  <c r="EG425" i="36" s="1"/>
  <c r="EG263" i="36"/>
  <c r="EG108" i="36"/>
  <c r="EH540" i="36"/>
  <c r="EH548" i="36"/>
  <c r="EJ146" i="36"/>
  <c r="EI150" i="36"/>
  <c r="EG549" i="36"/>
  <c r="EG541" i="36"/>
  <c r="EG569" i="36"/>
  <c r="EH159" i="36"/>
  <c r="EI159" i="36" s="1"/>
  <c r="EI157" i="36"/>
  <c r="EG152" i="36"/>
  <c r="EI147" i="36"/>
  <c r="EI152" i="36" s="1"/>
  <c r="EI92" i="36"/>
  <c r="EI143" i="36"/>
  <c r="EI120" i="36"/>
  <c r="EI131" i="36"/>
  <c r="EI176" i="36"/>
  <c r="ES89" i="35"/>
  <c r="ER87" i="35"/>
  <c r="ES87" i="35" s="1"/>
  <c r="EJ106" i="36"/>
  <c r="DW131" i="36"/>
  <c r="DW128" i="36"/>
  <c r="DX123" i="36"/>
  <c r="DW132" i="36"/>
  <c r="EB127" i="36"/>
  <c r="DW181" i="36"/>
  <c r="EI542" i="36"/>
  <c r="EI548" i="36" s="1"/>
  <c r="EQ93" i="35"/>
  <c r="ES88" i="36"/>
  <c r="ET86" i="36"/>
  <c r="ET105" i="36" s="1"/>
  <c r="DX268" i="36"/>
  <c r="DW273" i="36"/>
  <c r="EB272" i="36"/>
  <c r="EK82" i="36"/>
  <c r="EJ84" i="36"/>
  <c r="EJ90" i="36"/>
  <c r="EJ83" i="36"/>
  <c r="EJ149" i="36"/>
  <c r="EH107" i="36"/>
  <c r="EH108" i="36" s="1"/>
  <c r="EH124" i="36"/>
  <c r="EH118" i="36"/>
  <c r="EH141" i="36"/>
  <c r="EH174" i="36"/>
  <c r="EI106" i="36"/>
  <c r="FJ25" i="4"/>
  <c r="EH569" i="36" l="1"/>
  <c r="EA63" i="36"/>
  <c r="EF64" i="36"/>
  <c r="DZ15" i="35"/>
  <c r="EI569" i="36"/>
  <c r="ED467" i="36"/>
  <c r="EI477" i="36" s="1"/>
  <c r="DZ468" i="36"/>
  <c r="EE477" i="36"/>
  <c r="EN230" i="36"/>
  <c r="EM231" i="36"/>
  <c r="DZ49" i="36"/>
  <c r="ED47" i="36"/>
  <c r="ER88" i="35"/>
  <c r="ES88" i="35" s="1"/>
  <c r="ET89" i="35" s="1"/>
  <c r="EH320" i="36"/>
  <c r="EJ124" i="36"/>
  <c r="EJ118" i="36"/>
  <c r="EJ141" i="36"/>
  <c r="EJ174" i="36"/>
  <c r="EG270" i="36"/>
  <c r="EG406" i="36"/>
  <c r="EH125" i="36"/>
  <c r="EI124" i="36"/>
  <c r="EI129" i="36" s="1"/>
  <c r="EJ148" i="36"/>
  <c r="EN146" i="36"/>
  <c r="EH269" i="36"/>
  <c r="EH270" i="36" s="1"/>
  <c r="EH308" i="36"/>
  <c r="EH263" i="36"/>
  <c r="EH541" i="36"/>
  <c r="EH549" i="36"/>
  <c r="EI549" i="36" s="1"/>
  <c r="EI118" i="36"/>
  <c r="EI141" i="36"/>
  <c r="EI174" i="36"/>
  <c r="EK146" i="36"/>
  <c r="EK148" i="36" s="1"/>
  <c r="EJ151" i="36"/>
  <c r="EJ150" i="36"/>
  <c r="EJ160" i="36"/>
  <c r="EI540" i="36"/>
  <c r="EG320" i="36"/>
  <c r="EI108" i="36"/>
  <c r="DX270" i="36"/>
  <c r="DY270" i="36" s="1"/>
  <c r="DY275" i="36" s="1"/>
  <c r="EI107" i="36"/>
  <c r="EK90" i="36"/>
  <c r="EL82" i="36"/>
  <c r="EK83" i="36"/>
  <c r="EK84" i="36"/>
  <c r="EK149" i="36"/>
  <c r="EJ542" i="36"/>
  <c r="EJ120" i="36"/>
  <c r="EJ92" i="36"/>
  <c r="EJ94" i="36"/>
  <c r="EJ107" i="36" s="1"/>
  <c r="EJ108" i="36" s="1"/>
  <c r="EJ91" i="36"/>
  <c r="EJ131" i="36"/>
  <c r="EJ143" i="36"/>
  <c r="EJ176" i="36"/>
  <c r="EJ157" i="36"/>
  <c r="EJ159" i="36" s="1"/>
  <c r="EI161" i="36"/>
  <c r="EI165" i="36"/>
  <c r="EU86" i="36"/>
  <c r="ET88" i="36"/>
  <c r="DX125" i="36"/>
  <c r="DY125" i="36" s="1"/>
  <c r="DY130" i="36" s="1"/>
  <c r="EH158" i="36"/>
  <c r="EI162" i="36"/>
  <c r="EI97" i="36"/>
  <c r="EI276" i="36"/>
  <c r="EI265" i="36"/>
  <c r="EI310" i="36"/>
  <c r="EK104" i="36"/>
  <c r="C6" i="30"/>
  <c r="DX126" i="36" l="1"/>
  <c r="DX181" i="36" s="1"/>
  <c r="DY181" i="36" s="1"/>
  <c r="ER91" i="35"/>
  <c r="ER93" i="35" s="1"/>
  <c r="ES93" i="35" s="1"/>
  <c r="EN231" i="36"/>
  <c r="EN232" i="36"/>
  <c r="ED468" i="36"/>
  <c r="EI478" i="36" s="1"/>
  <c r="DZ470" i="36"/>
  <c r="EE478" i="36"/>
  <c r="ED49" i="36"/>
  <c r="EI52" i="36" s="1"/>
  <c r="DZ54" i="36"/>
  <c r="EE52" i="36"/>
  <c r="ED15" i="35"/>
  <c r="DZ16" i="35"/>
  <c r="DX271" i="36"/>
  <c r="DX273" i="36" s="1"/>
  <c r="DY273" i="36" s="1"/>
  <c r="EJ320" i="36"/>
  <c r="EI541" i="36"/>
  <c r="EI543" i="36"/>
  <c r="EV86" i="36"/>
  <c r="EU88" i="36"/>
  <c r="EI269" i="36"/>
  <c r="EI274" i="36" s="1"/>
  <c r="ET87" i="35"/>
  <c r="EJ269" i="36"/>
  <c r="EJ406" i="36" s="1"/>
  <c r="EJ263" i="36"/>
  <c r="EJ308" i="36"/>
  <c r="EG275" i="36"/>
  <c r="EG282" i="36"/>
  <c r="EI270" i="36"/>
  <c r="EI275" i="36" s="1"/>
  <c r="EG407" i="36"/>
  <c r="EG408" i="36" s="1"/>
  <c r="EK542" i="36"/>
  <c r="EK92" i="36"/>
  <c r="EK120" i="36"/>
  <c r="EK131" i="36"/>
  <c r="EK94" i="36"/>
  <c r="EK107" i="36" s="1"/>
  <c r="EK91" i="36"/>
  <c r="EK143" i="36"/>
  <c r="EK176" i="36"/>
  <c r="EI320" i="36"/>
  <c r="ET85" i="35"/>
  <c r="EX85" i="35" s="1"/>
  <c r="EU105" i="36"/>
  <c r="EH275" i="36"/>
  <c r="EH282" i="36"/>
  <c r="EL90" i="36"/>
  <c r="EL84" i="36"/>
  <c r="EL83" i="36"/>
  <c r="EM82" i="36"/>
  <c r="EL149" i="36"/>
  <c r="EL104" i="36"/>
  <c r="EL106" i="36" s="1"/>
  <c r="EJ147" i="36"/>
  <c r="EJ125" i="36"/>
  <c r="EJ162" i="36"/>
  <c r="EK157" i="36"/>
  <c r="EK159" i="36" s="1"/>
  <c r="EJ161" i="36"/>
  <c r="EJ165" i="36"/>
  <c r="EH163" i="36"/>
  <c r="EI158" i="36"/>
  <c r="EI163" i="36" s="1"/>
  <c r="EI263" i="36"/>
  <c r="EI308" i="36"/>
  <c r="EH407" i="36"/>
  <c r="EH412" i="36" s="1"/>
  <c r="EH130" i="36"/>
  <c r="EI125" i="36"/>
  <c r="EI130" i="36" s="1"/>
  <c r="EL146" i="36"/>
  <c r="EL148" i="36" s="1"/>
  <c r="EK150" i="36"/>
  <c r="EK151" i="36"/>
  <c r="EK147" i="36" s="1"/>
  <c r="EK152" i="36" s="1"/>
  <c r="EK160" i="36"/>
  <c r="EG411" i="36"/>
  <c r="EK106" i="36"/>
  <c r="EJ568" i="36"/>
  <c r="EJ310" i="36"/>
  <c r="EJ97" i="36"/>
  <c r="EJ95" i="36"/>
  <c r="EJ265" i="36"/>
  <c r="EJ276" i="36"/>
  <c r="EJ540" i="36"/>
  <c r="EJ548" i="36"/>
  <c r="EJ544" i="36"/>
  <c r="EH406" i="36"/>
  <c r="FG226" i="2"/>
  <c r="FH226" i="2" s="1"/>
  <c r="FI226" i="2" s="1"/>
  <c r="C2018" i="3"/>
  <c r="D2018" i="3" s="1"/>
  <c r="C1969" i="3"/>
  <c r="C2045" i="3" s="1"/>
  <c r="EW416" i="10"/>
  <c r="EV416" i="10"/>
  <c r="EU416" i="10"/>
  <c r="ET416" i="10"/>
  <c r="EW368" i="10"/>
  <c r="EV368" i="10"/>
  <c r="EU368" i="10"/>
  <c r="ET368" i="10"/>
  <c r="EW161" i="10"/>
  <c r="EV161" i="10"/>
  <c r="EU161" i="10"/>
  <c r="ET161" i="10"/>
  <c r="EW135" i="10"/>
  <c r="EV135" i="10"/>
  <c r="EU135" i="10"/>
  <c r="ET135" i="10"/>
  <c r="EW108" i="10"/>
  <c r="EV108" i="10"/>
  <c r="EU108" i="10"/>
  <c r="ET108" i="10"/>
  <c r="EW5" i="10"/>
  <c r="EV5" i="10"/>
  <c r="EU5" i="10"/>
  <c r="ET5" i="10"/>
  <c r="EX188" i="4"/>
  <c r="EX146" i="4"/>
  <c r="EX142" i="4"/>
  <c r="EX141" i="4"/>
  <c r="EX131" i="4"/>
  <c r="EX119" i="4"/>
  <c r="EX118" i="4"/>
  <c r="EX116" i="4"/>
  <c r="EX115" i="4"/>
  <c r="EX114" i="4"/>
  <c r="EX113" i="4"/>
  <c r="EX112" i="4"/>
  <c r="C109" i="37" s="1"/>
  <c r="EX109" i="4"/>
  <c r="EX108" i="4"/>
  <c r="EX103" i="4"/>
  <c r="EY103" i="4" s="1"/>
  <c r="EX102" i="4"/>
  <c r="EX101" i="4"/>
  <c r="EX78" i="4"/>
  <c r="EX72" i="4"/>
  <c r="EX71" i="4"/>
  <c r="EX68" i="4"/>
  <c r="EW220" i="4"/>
  <c r="EV220" i="4"/>
  <c r="EU220" i="4"/>
  <c r="ET220" i="4"/>
  <c r="EX39" i="4"/>
  <c r="EX37" i="4"/>
  <c r="EX35" i="4"/>
  <c r="EX34" i="4"/>
  <c r="EX33" i="4"/>
  <c r="EX27" i="4"/>
  <c r="EX531" i="2"/>
  <c r="EX11" i="2"/>
  <c r="B504" i="3" s="1"/>
  <c r="FB494" i="2"/>
  <c r="FB479" i="2"/>
  <c r="FB458" i="2"/>
  <c r="EV129" i="10"/>
  <c r="EU48" i="2"/>
  <c r="EW5" i="4"/>
  <c r="EV5" i="4"/>
  <c r="EU5" i="4"/>
  <c r="ET5" i="4"/>
  <c r="EW5" i="2"/>
  <c r="EV5" i="2"/>
  <c r="EU5" i="2"/>
  <c r="ET5" i="2"/>
  <c r="EZ103" i="4" l="1"/>
  <c r="FA103" i="4" s="1"/>
  <c r="FB103" i="4" s="1"/>
  <c r="EU129" i="10"/>
  <c r="EU17" i="4"/>
  <c r="C110" i="37"/>
  <c r="F52" i="31"/>
  <c r="EX14" i="32"/>
  <c r="EC272" i="36"/>
  <c r="DY271" i="36"/>
  <c r="ED272" i="36" s="1"/>
  <c r="EC127" i="36"/>
  <c r="DX131" i="36"/>
  <c r="DX128" i="36"/>
  <c r="DY128" i="36" s="1"/>
  <c r="DX132" i="36"/>
  <c r="C70" i="37"/>
  <c r="DY126" i="36"/>
  <c r="DY131" i="36" s="1"/>
  <c r="ES91" i="35"/>
  <c r="ES92" i="35" s="1"/>
  <c r="ET92" i="35" s="1"/>
  <c r="EU92" i="35" s="1"/>
  <c r="EV92" i="35" s="1"/>
  <c r="EW92" i="35" s="1"/>
  <c r="DZ62" i="36"/>
  <c r="ED54" i="36"/>
  <c r="EI55" i="36" s="1"/>
  <c r="EE55" i="36"/>
  <c r="EE480" i="36"/>
  <c r="DZ526" i="36"/>
  <c r="ED470" i="36"/>
  <c r="EI480" i="36" s="1"/>
  <c r="ED16" i="35"/>
  <c r="DZ18" i="35"/>
  <c r="EO232" i="36"/>
  <c r="EN233" i="36"/>
  <c r="EK544" i="36"/>
  <c r="EK269" i="36"/>
  <c r="EK270" i="36" s="1"/>
  <c r="EK308" i="36"/>
  <c r="EK263" i="36"/>
  <c r="EG602" i="36"/>
  <c r="EG413" i="36"/>
  <c r="EG409" i="36"/>
  <c r="EG410" i="36"/>
  <c r="EG414" i="36"/>
  <c r="EG452" i="36"/>
  <c r="EH419" i="36"/>
  <c r="EH287" i="36"/>
  <c r="EH293" i="36"/>
  <c r="EH298" i="36" s="1"/>
  <c r="EH424" i="36" s="1"/>
  <c r="EL124" i="36"/>
  <c r="EL118" i="36"/>
  <c r="EL141" i="36"/>
  <c r="EL174" i="36"/>
  <c r="EJ158" i="36"/>
  <c r="EM90" i="36"/>
  <c r="EM84" i="36"/>
  <c r="EM83" i="36"/>
  <c r="EN83" i="36" s="1"/>
  <c r="EN82" i="36"/>
  <c r="EM149" i="36"/>
  <c r="EK540" i="36"/>
  <c r="EK548" i="36"/>
  <c r="EJ569" i="36"/>
  <c r="EJ130" i="36"/>
  <c r="EG412" i="36"/>
  <c r="EI407" i="36"/>
  <c r="EI412" i="36" s="1"/>
  <c r="EM146" i="36"/>
  <c r="EM148" i="36" s="1"/>
  <c r="EN148" i="36" s="1"/>
  <c r="EL150" i="36"/>
  <c r="EL151" i="36"/>
  <c r="EL147" i="36" s="1"/>
  <c r="EL152" i="36" s="1"/>
  <c r="EL160" i="36"/>
  <c r="EW86" i="36"/>
  <c r="EV88" i="36"/>
  <c r="EH411" i="36"/>
  <c r="EH408" i="36"/>
  <c r="EJ541" i="36"/>
  <c r="EJ549" i="36"/>
  <c r="EK108" i="36"/>
  <c r="EK124" i="36"/>
  <c r="EK118" i="36"/>
  <c r="EK141" i="36"/>
  <c r="EK174" i="36"/>
  <c r="EJ411" i="36"/>
  <c r="EL542" i="36"/>
  <c r="EL92" i="36"/>
  <c r="EL91" i="36"/>
  <c r="EL120" i="36"/>
  <c r="EL143" i="36"/>
  <c r="EL94" i="36"/>
  <c r="EL107" i="36" s="1"/>
  <c r="EL108" i="36" s="1"/>
  <c r="EL131" i="36"/>
  <c r="EL176" i="36"/>
  <c r="EG419" i="36"/>
  <c r="EG287" i="36"/>
  <c r="EG281" i="36"/>
  <c r="EG293" i="36"/>
  <c r="EI282" i="36"/>
  <c r="EI287" i="36" s="1"/>
  <c r="EV105" i="36"/>
  <c r="EK165" i="36"/>
  <c r="EK162" i="36"/>
  <c r="EK158" i="36" s="1"/>
  <c r="EK163" i="36" s="1"/>
  <c r="EL157" i="36"/>
  <c r="EL159" i="36" s="1"/>
  <c r="EK161" i="36"/>
  <c r="EI406" i="36"/>
  <c r="EI411" i="36" s="1"/>
  <c r="EJ152" i="36"/>
  <c r="EM104" i="36"/>
  <c r="EM106" i="36" s="1"/>
  <c r="EN106" i="36" s="1"/>
  <c r="ET88" i="35"/>
  <c r="EK568" i="36"/>
  <c r="EK569" i="36" s="1"/>
  <c r="EK265" i="36"/>
  <c r="EK97" i="36"/>
  <c r="EK95" i="36"/>
  <c r="EK310" i="36"/>
  <c r="EK276" i="36"/>
  <c r="EJ270" i="36"/>
  <c r="FB41" i="4"/>
  <c r="EX23" i="4"/>
  <c r="EX98" i="4"/>
  <c r="EX24" i="4"/>
  <c r="EX165" i="4"/>
  <c r="EW129" i="10"/>
  <c r="EX29" i="2"/>
  <c r="ET129" i="10"/>
  <c r="EX48" i="2"/>
  <c r="B379" i="3" s="1"/>
  <c r="EX493" i="2"/>
  <c r="FC494" i="2" s="1"/>
  <c r="EX36" i="4"/>
  <c r="EX22" i="4"/>
  <c r="EX32" i="4"/>
  <c r="FB29" i="4"/>
  <c r="EX469" i="2"/>
  <c r="FC479" i="2" s="1"/>
  <c r="EJ172" i="4"/>
  <c r="EK172" i="4"/>
  <c r="EL172" i="4"/>
  <c r="EM172" i="4"/>
  <c r="EN172" i="4" s="1"/>
  <c r="EO172" i="4"/>
  <c r="EP172" i="4"/>
  <c r="EQ172" i="4"/>
  <c r="ES172" i="4" s="1"/>
  <c r="EN212" i="1"/>
  <c r="EM211" i="1"/>
  <c r="EM171" i="35" s="1"/>
  <c r="EL211" i="1"/>
  <c r="EL171" i="35" s="1"/>
  <c r="EK211" i="1"/>
  <c r="EK171" i="35" s="1"/>
  <c r="EJ211" i="1"/>
  <c r="EJ171" i="35" s="1"/>
  <c r="EO211" i="1"/>
  <c r="EO171" i="35" s="1"/>
  <c r="EP211" i="1"/>
  <c r="EP171" i="35" s="1"/>
  <c r="EQ211" i="1"/>
  <c r="EQ171" i="35" s="1"/>
  <c r="FC103" i="4" l="1"/>
  <c r="ED127" i="36"/>
  <c r="DY132" i="36"/>
  <c r="EO176" i="35"/>
  <c r="EO180" i="35" s="1"/>
  <c r="EO192" i="35" s="1"/>
  <c r="EO197" i="35"/>
  <c r="EO198" i="35" s="1"/>
  <c r="EJ197" i="35"/>
  <c r="EJ176" i="35"/>
  <c r="EJ180" i="35" s="1"/>
  <c r="EJ192" i="35" s="1"/>
  <c r="ET232" i="36"/>
  <c r="EY232" i="36" s="1"/>
  <c r="FD232" i="36" s="1"/>
  <c r="EP232" i="36"/>
  <c r="EO233" i="36"/>
  <c r="EO230" i="36"/>
  <c r="ED62" i="36"/>
  <c r="ED63" i="36" s="1"/>
  <c r="DZ63" i="36"/>
  <c r="EE64" i="36"/>
  <c r="EK197" i="35"/>
  <c r="EK198" i="35" s="1"/>
  <c r="EK176" i="35"/>
  <c r="EK180" i="35" s="1"/>
  <c r="EK192" i="35" s="1"/>
  <c r="ED18" i="35"/>
  <c r="EE19" i="35"/>
  <c r="EN171" i="35"/>
  <c r="EM176" i="35"/>
  <c r="EM197" i="35"/>
  <c r="EP197" i="35"/>
  <c r="EP198" i="35" s="1"/>
  <c r="EP176" i="35"/>
  <c r="EP180" i="35" s="1"/>
  <c r="EP192" i="35" s="1"/>
  <c r="EL197" i="35"/>
  <c r="EL198" i="35" s="1"/>
  <c r="EL176" i="35"/>
  <c r="EL180" i="35" s="1"/>
  <c r="EL192" i="35" s="1"/>
  <c r="ED526" i="36"/>
  <c r="EI527" i="36" s="1"/>
  <c r="EE527" i="36"/>
  <c r="EQ197" i="35"/>
  <c r="EQ198" i="35" s="1"/>
  <c r="EQ176" i="35"/>
  <c r="EQ180" i="35" s="1"/>
  <c r="EQ192" i="35" s="1"/>
  <c r="EI419" i="36"/>
  <c r="EN118" i="36"/>
  <c r="EN141" i="36"/>
  <c r="EN174" i="36"/>
  <c r="EL320" i="36"/>
  <c r="EG298" i="36"/>
  <c r="EG424" i="36" s="1"/>
  <c r="EI293" i="36"/>
  <c r="EI298" i="36" s="1"/>
  <c r="EI424" i="36" s="1"/>
  <c r="EK541" i="36"/>
  <c r="EK549" i="36"/>
  <c r="EG331" i="36"/>
  <c r="EJ275" i="36"/>
  <c r="EJ282" i="36"/>
  <c r="EG418" i="36"/>
  <c r="EG286" i="36"/>
  <c r="EG292" i="36"/>
  <c r="EN104" i="36"/>
  <c r="EM150" i="36"/>
  <c r="EM151" i="36"/>
  <c r="EN149" i="36"/>
  <c r="EM160" i="36"/>
  <c r="EN84" i="36"/>
  <c r="EO82" i="36"/>
  <c r="EO104" i="36" s="1"/>
  <c r="EH602" i="36"/>
  <c r="EH331" i="36" s="1"/>
  <c r="EH413" i="36"/>
  <c r="EH409" i="36"/>
  <c r="EI408" i="36"/>
  <c r="EH414" i="36"/>
  <c r="EH410" i="36"/>
  <c r="EI410" i="36" s="1"/>
  <c r="EH452" i="36"/>
  <c r="EG485" i="36"/>
  <c r="EG486" i="36" s="1"/>
  <c r="EG72" i="36"/>
  <c r="EJ407" i="36"/>
  <c r="EL548" i="36"/>
  <c r="EL540" i="36"/>
  <c r="EL125" i="36"/>
  <c r="EK406" i="36"/>
  <c r="EK125" i="36"/>
  <c r="EM542" i="36"/>
  <c r="EM92" i="36"/>
  <c r="EN90" i="36"/>
  <c r="EM94" i="36"/>
  <c r="EM107" i="36" s="1"/>
  <c r="EM91" i="36"/>
  <c r="EN91" i="36" s="1"/>
  <c r="EM143" i="36"/>
  <c r="EM131" i="36"/>
  <c r="EM120" i="36"/>
  <c r="EM176" i="36"/>
  <c r="EK275" i="36"/>
  <c r="EK282" i="36"/>
  <c r="EM124" i="36"/>
  <c r="EN124" i="36" s="1"/>
  <c r="EN129" i="36" s="1"/>
  <c r="EM141" i="36"/>
  <c r="EM118" i="36"/>
  <c r="EM174" i="36"/>
  <c r="EL269" i="36"/>
  <c r="EL308" i="36"/>
  <c r="EL263" i="36"/>
  <c r="EK320" i="36"/>
  <c r="EL544" i="36"/>
  <c r="EM157" i="36"/>
  <c r="EL161" i="36"/>
  <c r="EL165" i="36"/>
  <c r="EL162" i="36"/>
  <c r="EL158" i="36" s="1"/>
  <c r="EL163" i="36" s="1"/>
  <c r="EU85" i="35"/>
  <c r="ET91" i="35"/>
  <c r="EU89" i="35"/>
  <c r="EX86" i="36"/>
  <c r="EW88" i="36"/>
  <c r="EL568" i="36"/>
  <c r="EL569" i="36" s="1"/>
  <c r="EL97" i="36"/>
  <c r="EL95" i="36"/>
  <c r="EL265" i="36"/>
  <c r="EL310" i="36"/>
  <c r="EL276" i="36"/>
  <c r="EW105" i="36"/>
  <c r="EX105" i="36" s="1"/>
  <c r="EJ163" i="36"/>
  <c r="EX38" i="4"/>
  <c r="EX26" i="4"/>
  <c r="EX28" i="4" s="1"/>
  <c r="FC29" i="4" s="1"/>
  <c r="EX40" i="4"/>
  <c r="EX172" i="4"/>
  <c r="EY172" i="4" s="1"/>
  <c r="EZ172" i="4" s="1"/>
  <c r="FA172" i="4" s="1"/>
  <c r="FB172" i="4" s="1"/>
  <c r="FC172" i="4" s="1"/>
  <c r="EX17" i="4"/>
  <c r="B2154" i="3"/>
  <c r="B2155" i="3" s="1"/>
  <c r="D2153" i="3"/>
  <c r="EY14" i="32" l="1"/>
  <c r="FD103" i="4"/>
  <c r="E206" i="41"/>
  <c r="E208" i="41" s="1"/>
  <c r="FC41" i="4"/>
  <c r="FD172" i="4"/>
  <c r="FE172" i="4" s="1"/>
  <c r="FF172" i="4" s="1"/>
  <c r="EO231" i="36"/>
  <c r="EI19" i="35"/>
  <c r="EP230" i="36"/>
  <c r="EU232" i="36"/>
  <c r="EZ232" i="36" s="1"/>
  <c r="FE232" i="36" s="1"/>
  <c r="EP233" i="36"/>
  <c r="EQ232" i="36"/>
  <c r="EN197" i="35"/>
  <c r="EM198" i="35"/>
  <c r="EN176" i="35"/>
  <c r="EM180" i="35"/>
  <c r="ET93" i="35"/>
  <c r="EM108" i="36"/>
  <c r="EM320" i="36" s="1"/>
  <c r="EN107" i="36"/>
  <c r="EN263" i="36" s="1"/>
  <c r="EY86" i="36"/>
  <c r="EH72" i="36"/>
  <c r="EH485" i="36"/>
  <c r="EH486" i="36" s="1"/>
  <c r="EG297" i="36"/>
  <c r="EG423" i="36" s="1"/>
  <c r="EU87" i="35"/>
  <c r="EO106" i="36"/>
  <c r="EM161" i="36"/>
  <c r="EM165" i="36"/>
  <c r="EM162" i="36"/>
  <c r="EN162" i="36" s="1"/>
  <c r="EN160" i="36"/>
  <c r="EK411" i="36"/>
  <c r="EI414" i="36"/>
  <c r="EI413" i="36"/>
  <c r="EI409" i="36"/>
  <c r="EN150" i="36"/>
  <c r="EO146" i="36"/>
  <c r="EJ419" i="36"/>
  <c r="EJ293" i="36"/>
  <c r="EL541" i="36"/>
  <c r="EL549" i="36"/>
  <c r="EJ412" i="36"/>
  <c r="EJ408" i="36"/>
  <c r="EM147" i="36"/>
  <c r="EN151" i="36"/>
  <c r="EK407" i="36"/>
  <c r="EK412" i="36" s="1"/>
  <c r="EK130" i="36"/>
  <c r="EM568" i="36"/>
  <c r="EN568" i="36" s="1"/>
  <c r="EM265" i="36"/>
  <c r="EM97" i="36"/>
  <c r="EM95" i="36"/>
  <c r="EN95" i="36" s="1"/>
  <c r="EN94" i="36"/>
  <c r="EM310" i="36"/>
  <c r="EM276" i="36"/>
  <c r="EL130" i="36"/>
  <c r="EI452" i="36"/>
  <c r="EG420" i="36"/>
  <c r="EM125" i="36"/>
  <c r="EN125" i="36" s="1"/>
  <c r="EN130" i="36" s="1"/>
  <c r="EL270" i="36"/>
  <c r="EN92" i="36"/>
  <c r="EN143" i="36"/>
  <c r="EN120" i="36"/>
  <c r="EO552" i="36" s="1"/>
  <c r="EN131" i="36"/>
  <c r="EN176" i="36"/>
  <c r="EL406" i="36"/>
  <c r="EG357" i="36"/>
  <c r="EG219" i="36"/>
  <c r="EG73" i="36"/>
  <c r="EH630" i="36"/>
  <c r="EH642" i="36" s="1"/>
  <c r="EH332" i="36"/>
  <c r="EI602" i="36"/>
  <c r="EI331" i="36" s="1"/>
  <c r="EI332" i="36" s="1"/>
  <c r="EM548" i="36"/>
  <c r="EM540" i="36"/>
  <c r="EN540" i="36" s="1"/>
  <c r="EN542" i="36"/>
  <c r="EN548" i="36" s="1"/>
  <c r="EM269" i="36"/>
  <c r="EM270" i="36" s="1"/>
  <c r="EM308" i="36"/>
  <c r="EM263" i="36"/>
  <c r="EM544" i="36"/>
  <c r="EN544" i="36" s="1"/>
  <c r="EK419" i="36"/>
  <c r="EK293" i="36"/>
  <c r="EX88" i="36"/>
  <c r="EN157" i="36"/>
  <c r="EM159" i="36"/>
  <c r="EN159" i="36" s="1"/>
  <c r="EO149" i="36"/>
  <c r="EO84" i="36"/>
  <c r="EO83" i="36"/>
  <c r="EP82" i="36"/>
  <c r="EP104" i="36" s="1"/>
  <c r="EP106" i="36" s="1"/>
  <c r="EO90" i="36"/>
  <c r="ET82" i="36"/>
  <c r="EY82" i="36" s="1"/>
  <c r="FD82" i="36" s="1"/>
  <c r="EG630" i="36"/>
  <c r="EG332" i="36"/>
  <c r="C2154" i="3"/>
  <c r="FG172" i="4" l="1"/>
  <c r="FH172" i="4" s="1"/>
  <c r="FI172" i="4" s="1"/>
  <c r="EN108" i="36"/>
  <c r="EN320" i="36" s="1"/>
  <c r="EN308" i="36"/>
  <c r="EN569" i="36"/>
  <c r="EQ233" i="36"/>
  <c r="ER232" i="36"/>
  <c r="EV232" i="36"/>
  <c r="FA232" i="36" s="1"/>
  <c r="FF232" i="36" s="1"/>
  <c r="EQ230" i="36"/>
  <c r="EO556" i="36"/>
  <c r="EO551" i="36"/>
  <c r="EP231" i="36"/>
  <c r="EN180" i="35"/>
  <c r="EN192" i="35" s="1"/>
  <c r="EM192" i="35"/>
  <c r="EN198" i="35"/>
  <c r="ET80" i="35"/>
  <c r="EU88" i="35"/>
  <c r="EV85" i="35" s="1"/>
  <c r="FD83" i="36"/>
  <c r="FD149" i="36"/>
  <c r="EZ86" i="36"/>
  <c r="EZ105" i="36" s="1"/>
  <c r="EY88" i="36"/>
  <c r="EY90" i="36"/>
  <c r="EY83" i="36"/>
  <c r="EY149" i="36"/>
  <c r="EY105" i="36"/>
  <c r="EN543" i="36"/>
  <c r="EN541" i="36"/>
  <c r="EH357" i="36"/>
  <c r="EH219" i="36"/>
  <c r="EH73" i="36"/>
  <c r="EG220" i="36"/>
  <c r="EG217" i="36"/>
  <c r="EL275" i="36"/>
  <c r="EL282" i="36"/>
  <c r="EN270" i="36"/>
  <c r="EN275" i="36" s="1"/>
  <c r="ET90" i="36"/>
  <c r="ET83" i="36"/>
  <c r="ET149" i="36"/>
  <c r="EL411" i="36"/>
  <c r="EM407" i="36"/>
  <c r="EM412" i="36" s="1"/>
  <c r="EM130" i="36"/>
  <c r="EI485" i="36"/>
  <c r="EI486" i="36" s="1"/>
  <c r="EI72" i="36"/>
  <c r="EO150" i="36"/>
  <c r="EO151" i="36"/>
  <c r="EP146" i="36"/>
  <c r="EP148" i="36" s="1"/>
  <c r="EO160" i="36"/>
  <c r="EM275" i="36"/>
  <c r="EM282" i="36"/>
  <c r="EN97" i="36"/>
  <c r="EN265" i="36"/>
  <c r="EN310" i="36"/>
  <c r="EN276" i="36"/>
  <c r="EO542" i="36"/>
  <c r="EO544" i="36" s="1"/>
  <c r="EO94" i="36"/>
  <c r="EO107" i="36" s="1"/>
  <c r="EO108" i="36" s="1"/>
  <c r="EO91" i="36"/>
  <c r="EO143" i="36"/>
  <c r="EO92" i="36"/>
  <c r="EO131" i="36"/>
  <c r="EO120" i="36"/>
  <c r="EP552" i="36" s="1"/>
  <c r="EO176" i="36"/>
  <c r="EM406" i="36"/>
  <c r="EN406" i="36" s="1"/>
  <c r="EN411" i="36" s="1"/>
  <c r="EK408" i="36"/>
  <c r="EG642" i="36"/>
  <c r="EG650" i="36"/>
  <c r="EN269" i="36"/>
  <c r="EN274" i="36" s="1"/>
  <c r="EP124" i="36"/>
  <c r="EP118" i="36"/>
  <c r="EU118" i="36" s="1"/>
  <c r="EZ118" i="36" s="1"/>
  <c r="FE118" i="36" s="1"/>
  <c r="EP141" i="36"/>
  <c r="EU141" i="36" s="1"/>
  <c r="EZ141" i="36" s="1"/>
  <c r="FE141" i="36" s="1"/>
  <c r="EP174" i="36"/>
  <c r="EG355" i="36"/>
  <c r="EG358" i="36"/>
  <c r="EQ82" i="36"/>
  <c r="EP90" i="36"/>
  <c r="EU82" i="36"/>
  <c r="EZ82" i="36" s="1"/>
  <c r="FE82" i="36" s="1"/>
  <c r="FE104" i="36" s="1"/>
  <c r="EP83" i="36"/>
  <c r="EP84" i="36"/>
  <c r="EP149" i="36"/>
  <c r="EG422" i="36"/>
  <c r="EH417" i="36"/>
  <c r="EG421" i="36"/>
  <c r="EL407" i="36"/>
  <c r="EL412" i="36" s="1"/>
  <c r="EM152" i="36"/>
  <c r="EN147" i="36"/>
  <c r="EN152" i="36" s="1"/>
  <c r="EM569" i="36"/>
  <c r="EJ602" i="36"/>
  <c r="EJ414" i="36"/>
  <c r="EJ413" i="36"/>
  <c r="EJ410" i="36"/>
  <c r="EJ409" i="36"/>
  <c r="EJ452" i="36"/>
  <c r="EO148" i="36"/>
  <c r="ES146" i="36"/>
  <c r="EN165" i="36"/>
  <c r="EO157" i="36"/>
  <c r="EO159" i="36" s="1"/>
  <c r="EN161" i="36"/>
  <c r="EO124" i="36"/>
  <c r="EO118" i="36"/>
  <c r="ET118" i="36" s="1"/>
  <c r="EY118" i="36" s="1"/>
  <c r="FD118" i="36" s="1"/>
  <c r="EO141" i="36"/>
  <c r="ET141" i="36" s="1"/>
  <c r="EY141" i="36" s="1"/>
  <c r="FD141" i="36" s="1"/>
  <c r="EO174" i="36"/>
  <c r="EM541" i="36"/>
  <c r="EM549" i="36"/>
  <c r="EN549" i="36" s="1"/>
  <c r="EM158" i="36"/>
  <c r="C2155" i="3"/>
  <c r="D2154" i="3"/>
  <c r="D2155" i="3" s="1"/>
  <c r="EO555" i="36" l="1"/>
  <c r="EO559" i="36" s="1"/>
  <c r="EP556" i="36"/>
  <c r="EP555" i="36" s="1"/>
  <c r="EP551" i="36"/>
  <c r="EQ231" i="36"/>
  <c r="ER233" i="36"/>
  <c r="EW232" i="36"/>
  <c r="FB232" i="36" s="1"/>
  <c r="FG232" i="36" s="1"/>
  <c r="ET148" i="35"/>
  <c r="ET133" i="35"/>
  <c r="EU91" i="35"/>
  <c r="EV89" i="35"/>
  <c r="EV87" i="35" s="1"/>
  <c r="FE146" i="36"/>
  <c r="FD150" i="36"/>
  <c r="FE83" i="36"/>
  <c r="FE149" i="36"/>
  <c r="EY150" i="36"/>
  <c r="EZ146" i="36"/>
  <c r="EZ90" i="36"/>
  <c r="EZ83" i="36"/>
  <c r="EZ149" i="36"/>
  <c r="EY92" i="36"/>
  <c r="EY94" i="36"/>
  <c r="EL408" i="36"/>
  <c r="EL410" i="36" s="1"/>
  <c r="EZ104" i="36"/>
  <c r="EZ106" i="36" s="1"/>
  <c r="EZ136" i="36" s="1"/>
  <c r="FA86" i="36"/>
  <c r="EZ88" i="36"/>
  <c r="EU90" i="36"/>
  <c r="EU83" i="36"/>
  <c r="EU149" i="36"/>
  <c r="EG218" i="36"/>
  <c r="EJ331" i="36"/>
  <c r="EP542" i="36"/>
  <c r="EP544" i="36" s="1"/>
  <c r="EP94" i="36"/>
  <c r="EP107" i="36" s="1"/>
  <c r="EP91" i="36"/>
  <c r="EP120" i="36"/>
  <c r="EQ552" i="36" s="1"/>
  <c r="EP92" i="36"/>
  <c r="EP143" i="36"/>
  <c r="EP131" i="36"/>
  <c r="EP176" i="36"/>
  <c r="EQ149" i="36"/>
  <c r="ER82" i="36"/>
  <c r="EQ84" i="36"/>
  <c r="EQ83" i="36"/>
  <c r="EQ90" i="36"/>
  <c r="EV82" i="36"/>
  <c r="FA82" i="36" s="1"/>
  <c r="FF82" i="36" s="1"/>
  <c r="FF104" i="36" s="1"/>
  <c r="EO269" i="36"/>
  <c r="EO406" i="36" s="1"/>
  <c r="EO263" i="36"/>
  <c r="EO308" i="36"/>
  <c r="EG356" i="36"/>
  <c r="EK602" i="36"/>
  <c r="EK331" i="36" s="1"/>
  <c r="EK414" i="36"/>
  <c r="EK413" i="36"/>
  <c r="EK410" i="36"/>
  <c r="EK409" i="36"/>
  <c r="EK452" i="36"/>
  <c r="EO568" i="36"/>
  <c r="EO95" i="36"/>
  <c r="EO97" i="36"/>
  <c r="EO276" i="36"/>
  <c r="EO265" i="36"/>
  <c r="EO310" i="36"/>
  <c r="EM419" i="36"/>
  <c r="EM293" i="36"/>
  <c r="EI357" i="36"/>
  <c r="EI358" i="36" s="1"/>
  <c r="EI219" i="36"/>
  <c r="EI220" i="36" s="1"/>
  <c r="EI73" i="36"/>
  <c r="ET92" i="36"/>
  <c r="ET94" i="36"/>
  <c r="EO147" i="36"/>
  <c r="EU146" i="36"/>
  <c r="ET150" i="36"/>
  <c r="EP151" i="36"/>
  <c r="EP147" i="36" s="1"/>
  <c r="EP152" i="36" s="1"/>
  <c r="EP150" i="36"/>
  <c r="EQ146" i="36"/>
  <c r="EQ148" i="36" s="1"/>
  <c r="EP160" i="36"/>
  <c r="EM411" i="36"/>
  <c r="EM408" i="36"/>
  <c r="EO540" i="36"/>
  <c r="EO548" i="36"/>
  <c r="EU104" i="36"/>
  <c r="EU106" i="36" s="1"/>
  <c r="EM163" i="36"/>
  <c r="EN158" i="36"/>
  <c r="EN163" i="36" s="1"/>
  <c r="EO320" i="36"/>
  <c r="EN407" i="36"/>
  <c r="EN412" i="36" s="1"/>
  <c r="EO161" i="36"/>
  <c r="EO165" i="36"/>
  <c r="EO162" i="36"/>
  <c r="EP157" i="36"/>
  <c r="EP159" i="36" s="1"/>
  <c r="EH220" i="36"/>
  <c r="EH217" i="36"/>
  <c r="EG652" i="36"/>
  <c r="EG655" i="36" s="1"/>
  <c r="EH655" i="36" s="1"/>
  <c r="EO125" i="36"/>
  <c r="EJ485" i="36"/>
  <c r="EJ486" i="36" s="1"/>
  <c r="EJ72" i="36"/>
  <c r="EQ104" i="36"/>
  <c r="EP125" i="36"/>
  <c r="EL419" i="36"/>
  <c r="EL293" i="36"/>
  <c r="EN282" i="36"/>
  <c r="EH355" i="36"/>
  <c r="EH358" i="36"/>
  <c r="EQ196" i="4"/>
  <c r="ER202" i="4" s="1"/>
  <c r="ER211" i="4" s="1"/>
  <c r="ER212" i="4" s="1"/>
  <c r="EQ173" i="4"/>
  <c r="EQ174" i="4"/>
  <c r="EQ175" i="4"/>
  <c r="EQ178" i="4"/>
  <c r="EQ1031" i="10" s="1"/>
  <c r="EQ179" i="4"/>
  <c r="EQ182" i="4"/>
  <c r="EQ183" i="4"/>
  <c r="EQ184" i="4"/>
  <c r="EQ187" i="4"/>
  <c r="EQ188" i="4"/>
  <c r="EQ189" i="4"/>
  <c r="EQ190" i="4"/>
  <c r="EQ141" i="4"/>
  <c r="EQ98" i="4"/>
  <c r="EQ101" i="4"/>
  <c r="EQ102" i="4"/>
  <c r="EQ108" i="4"/>
  <c r="EQ114" i="4"/>
  <c r="EQ115" i="4"/>
  <c r="EQ22" i="4"/>
  <c r="EQ23" i="4"/>
  <c r="EQ24" i="4"/>
  <c r="EQ25" i="4"/>
  <c r="EQ27" i="4"/>
  <c r="EQ32" i="4"/>
  <c r="EQ36" i="4" s="1"/>
  <c r="EQ33" i="4"/>
  <c r="EQ34" i="4"/>
  <c r="EQ35" i="4"/>
  <c r="EQ37" i="4"/>
  <c r="EQ39" i="4"/>
  <c r="EQ53" i="4"/>
  <c r="EV54" i="4" s="1"/>
  <c r="EQ65" i="4"/>
  <c r="EQ97" i="4" s="1"/>
  <c r="EQ66" i="4"/>
  <c r="EQ99" i="4" s="1"/>
  <c r="EQ67" i="4"/>
  <c r="EQ71" i="4"/>
  <c r="EQ72" i="4"/>
  <c r="EQ73" i="4"/>
  <c r="EQ75" i="4"/>
  <c r="EQ167" i="4" s="1"/>
  <c r="EQ78" i="4"/>
  <c r="EQ80" i="4"/>
  <c r="EQ148" i="4" s="1"/>
  <c r="EQ587" i="2"/>
  <c r="ER590" i="2" s="1"/>
  <c r="ER591" i="2" s="1"/>
  <c r="EQ572" i="2"/>
  <c r="EQ547" i="2"/>
  <c r="EQ483" i="2"/>
  <c r="EV484" i="2" s="1"/>
  <c r="EQ490" i="2"/>
  <c r="EV491" i="2" s="1"/>
  <c r="EQ495" i="2"/>
  <c r="EQ457" i="2"/>
  <c r="EV458" i="2" s="1"/>
  <c r="EQ431" i="2"/>
  <c r="EV432" i="2" s="1"/>
  <c r="EQ433" i="2"/>
  <c r="EQ435" i="2"/>
  <c r="EQ446" i="2"/>
  <c r="EQ388" i="2"/>
  <c r="EV390" i="2" s="1"/>
  <c r="EQ323" i="2"/>
  <c r="EQ325" i="2"/>
  <c r="EV414" i="10"/>
  <c r="EQ331" i="2"/>
  <c r="EV332" i="2" s="1"/>
  <c r="EQ333" i="2"/>
  <c r="EV334" i="2" s="1"/>
  <c r="EQ260" i="2"/>
  <c r="EV261" i="2" s="1"/>
  <c r="EQ264" i="2"/>
  <c r="EQ271" i="2"/>
  <c r="EQ273" i="2"/>
  <c r="EQ251" i="2"/>
  <c r="EV253" i="2" s="1"/>
  <c r="EQ186" i="2"/>
  <c r="EQ188" i="2"/>
  <c r="EV366" i="10"/>
  <c r="EQ154" i="2"/>
  <c r="EQ115" i="2"/>
  <c r="EQ119" i="2"/>
  <c r="EQ126" i="2"/>
  <c r="EQ128" i="2"/>
  <c r="EQ87" i="2"/>
  <c r="EQ99" i="2"/>
  <c r="EV101" i="2" s="1"/>
  <c r="EQ54" i="2"/>
  <c r="EV55" i="2" s="1"/>
  <c r="EQ469" i="1"/>
  <c r="EQ468" i="1"/>
  <c r="EQ466" i="1"/>
  <c r="EQ465" i="1"/>
  <c r="EQ288" i="1"/>
  <c r="EQ273" i="1"/>
  <c r="EQ166" i="35" s="1"/>
  <c r="EQ272" i="1"/>
  <c r="EQ213" i="35" s="1"/>
  <c r="EQ265" i="1"/>
  <c r="EQ118" i="35" s="1"/>
  <c r="ES118" i="35" s="1"/>
  <c r="EQ263" i="1"/>
  <c r="EQ117" i="35" s="1"/>
  <c r="EQ262" i="1"/>
  <c r="EQ116" i="35" s="1"/>
  <c r="ES116" i="35" s="1"/>
  <c r="EQ259" i="1"/>
  <c r="EQ113" i="35" s="1"/>
  <c r="ES113" i="35" s="1"/>
  <c r="EQ258" i="1"/>
  <c r="EQ112" i="35" s="1"/>
  <c r="EQ248" i="1"/>
  <c r="EQ245" i="1"/>
  <c r="EQ100" i="35" s="1"/>
  <c r="ES100" i="35" s="1"/>
  <c r="EQ250" i="1"/>
  <c r="ES250" i="1" s="1"/>
  <c r="EQ278" i="1"/>
  <c r="EQ279" i="1" s="1"/>
  <c r="EQ146" i="1"/>
  <c r="EQ181" i="1" s="1"/>
  <c r="EQ142" i="1"/>
  <c r="EQ147" i="1" s="1"/>
  <c r="EQ182" i="1" s="1"/>
  <c r="EQ51" i="1"/>
  <c r="EQ57" i="1" s="1"/>
  <c r="EQ59" i="1" s="1"/>
  <c r="EQ536" i="1"/>
  <c r="EQ412" i="1"/>
  <c r="EQ407" i="1"/>
  <c r="EQ392" i="1"/>
  <c r="EQ377" i="1"/>
  <c r="EQ372" i="1"/>
  <c r="EQ367" i="1"/>
  <c r="EQ363" i="1"/>
  <c r="ER364" i="1" s="1"/>
  <c r="EQ358" i="1"/>
  <c r="EQ357" i="1"/>
  <c r="EQ283" i="36" s="1"/>
  <c r="EQ341" i="1"/>
  <c r="EQ312" i="1"/>
  <c r="EQ292" i="1"/>
  <c r="EQ290" i="1"/>
  <c r="EQ285" i="1"/>
  <c r="EQ253" i="1"/>
  <c r="EQ107" i="35" s="1"/>
  <c r="EQ240" i="1"/>
  <c r="EQ237" i="1"/>
  <c r="EQ225" i="1"/>
  <c r="EQ231" i="1" s="1"/>
  <c r="EQ187" i="1"/>
  <c r="EQ186" i="1"/>
  <c r="EQ178" i="1"/>
  <c r="EQ176" i="1"/>
  <c r="EQ175" i="1"/>
  <c r="EQ170" i="1"/>
  <c r="EQ169" i="1"/>
  <c r="EQ167" i="1"/>
  <c r="EQ166" i="1"/>
  <c r="EQ202" i="36" s="1"/>
  <c r="EQ162" i="1"/>
  <c r="EQ160" i="1"/>
  <c r="EQ159" i="1"/>
  <c r="EQ158" i="1"/>
  <c r="EQ157" i="1"/>
  <c r="EQ148" i="1"/>
  <c r="EQ183" i="1" s="1"/>
  <c r="EQ137" i="1"/>
  <c r="EQ136" i="1"/>
  <c r="EQ133" i="1"/>
  <c r="EQ126" i="1"/>
  <c r="EQ128" i="1" s="1"/>
  <c r="EQ98" i="1"/>
  <c r="EQ97" i="1"/>
  <c r="EQ90" i="1"/>
  <c r="EQ88" i="1"/>
  <c r="EQ87" i="1"/>
  <c r="EQ86" i="1"/>
  <c r="EQ85" i="1"/>
  <c r="EQ84" i="1"/>
  <c r="EQ83" i="1"/>
  <c r="B2139" i="3"/>
  <c r="B2140" i="3" s="1"/>
  <c r="D2138" i="3"/>
  <c r="EF90" i="2"/>
  <c r="O3114" i="3"/>
  <c r="EV116" i="2" l="1"/>
  <c r="EV410" i="10"/>
  <c r="EV326" i="2"/>
  <c r="ER123" i="2"/>
  <c r="ER181" i="2" s="1"/>
  <c r="ER200" i="2" s="1"/>
  <c r="EW208" i="2" s="1"/>
  <c r="EV127" i="2"/>
  <c r="EV324" i="2"/>
  <c r="D1291" i="3"/>
  <c r="EV187" i="2"/>
  <c r="E1588" i="3" s="1"/>
  <c r="EQ493" i="2"/>
  <c r="EV494" i="2" s="1"/>
  <c r="EV496" i="2"/>
  <c r="EV362" i="10"/>
  <c r="EV189" i="2"/>
  <c r="ER268" i="2"/>
  <c r="ER315" i="2" s="1"/>
  <c r="ER338" i="2" s="1"/>
  <c r="EW346" i="2" s="1"/>
  <c r="EV272" i="2"/>
  <c r="D1509" i="3"/>
  <c r="H1173" i="3"/>
  <c r="H1097" i="3"/>
  <c r="H1101" i="3" s="1"/>
  <c r="EQ578" i="2"/>
  <c r="EQ580" i="2" s="1"/>
  <c r="EQ112" i="10" s="1"/>
  <c r="EL413" i="36"/>
  <c r="EL602" i="36"/>
  <c r="EL331" i="36" s="1"/>
  <c r="EQ332" i="36" s="1"/>
  <c r="EP559" i="36"/>
  <c r="EP560" i="36" s="1"/>
  <c r="EQ27" i="2"/>
  <c r="EV34" i="2" s="1"/>
  <c r="EQ27" i="36"/>
  <c r="EQ144" i="4"/>
  <c r="EQ144" i="35"/>
  <c r="EQ137" i="4"/>
  <c r="EQ137" i="35"/>
  <c r="EQ142" i="4"/>
  <c r="EQ142" i="35"/>
  <c r="EQ556" i="36"/>
  <c r="EQ555" i="36" s="1"/>
  <c r="EQ551" i="36"/>
  <c r="EQ201" i="36"/>
  <c r="EQ192" i="36"/>
  <c r="EQ28" i="2"/>
  <c r="EQ28" i="36"/>
  <c r="EQ212" i="35"/>
  <c r="ES213" i="35"/>
  <c r="ES212" i="35" s="1"/>
  <c r="EQ57" i="2"/>
  <c r="EQ57" i="36"/>
  <c r="EQ205" i="2"/>
  <c r="EQ205" i="36"/>
  <c r="ES166" i="35"/>
  <c r="ES168" i="35" s="1"/>
  <c r="EQ168" i="35"/>
  <c r="EQ340" i="2"/>
  <c r="EV348" i="2" s="1"/>
  <c r="EQ340" i="36"/>
  <c r="EV117" i="35"/>
  <c r="ES117" i="35"/>
  <c r="EQ59" i="2"/>
  <c r="EQ69" i="36"/>
  <c r="EQ59" i="36"/>
  <c r="EQ140" i="4"/>
  <c r="EQ140" i="35"/>
  <c r="EQ343" i="2"/>
  <c r="EV351" i="2" s="1"/>
  <c r="EQ343" i="36"/>
  <c r="ES112" i="35"/>
  <c r="EQ120" i="35"/>
  <c r="ER285" i="36"/>
  <c r="EQ294" i="36"/>
  <c r="ER280" i="36"/>
  <c r="ES248" i="1"/>
  <c r="EQ153" i="35"/>
  <c r="EQ130" i="35"/>
  <c r="EQ66" i="1"/>
  <c r="EQ68" i="1" s="1"/>
  <c r="EQ70" i="1" s="1"/>
  <c r="EQ72" i="1" s="1"/>
  <c r="EQ69" i="35"/>
  <c r="EQ74" i="35" s="1"/>
  <c r="EQ58" i="2"/>
  <c r="EQ58" i="36"/>
  <c r="EQ68" i="36"/>
  <c r="EO560" i="36"/>
  <c r="EO562" i="36"/>
  <c r="EO565" i="36"/>
  <c r="EO569" i="36" s="1"/>
  <c r="EU93" i="35"/>
  <c r="EL414" i="36"/>
  <c r="EL409" i="36"/>
  <c r="EV88" i="35"/>
  <c r="FE151" i="36"/>
  <c r="FE150" i="36"/>
  <c r="FF146" i="36"/>
  <c r="FF83" i="36"/>
  <c r="FF149" i="36"/>
  <c r="FA90" i="36"/>
  <c r="FA83" i="36"/>
  <c r="FA149" i="36"/>
  <c r="FB86" i="36"/>
  <c r="FB105" i="36" s="1"/>
  <c r="FA88" i="36"/>
  <c r="EZ151" i="36"/>
  <c r="FA146" i="36"/>
  <c r="EZ150" i="36"/>
  <c r="EZ113" i="36"/>
  <c r="EZ124" i="36"/>
  <c r="EZ542" i="36"/>
  <c r="EZ540" i="36" s="1"/>
  <c r="EZ91" i="36"/>
  <c r="EZ92" i="36"/>
  <c r="EZ94" i="36"/>
  <c r="EZ107" i="36" s="1"/>
  <c r="EY568" i="36"/>
  <c r="EY97" i="36"/>
  <c r="FA104" i="36"/>
  <c r="EN419" i="36"/>
  <c r="EL452" i="36"/>
  <c r="EL485" i="36" s="1"/>
  <c r="EL486" i="36" s="1"/>
  <c r="FA105" i="36"/>
  <c r="EJ357" i="36"/>
  <c r="EJ219" i="36"/>
  <c r="EJ73" i="36"/>
  <c r="EH650" i="36"/>
  <c r="EH661" i="36" s="1"/>
  <c r="EJ655" i="36"/>
  <c r="EM602" i="36"/>
  <c r="EM331" i="36" s="1"/>
  <c r="EN408" i="36"/>
  <c r="EM413" i="36"/>
  <c r="EM409" i="36"/>
  <c r="EM414" i="36"/>
  <c r="EM410" i="36"/>
  <c r="EN410" i="36" s="1"/>
  <c r="EM452" i="36"/>
  <c r="ES82" i="36"/>
  <c r="ER90" i="36"/>
  <c r="ER83" i="36"/>
  <c r="ES83" i="36" s="1"/>
  <c r="EW82" i="36"/>
  <c r="FB82" i="36" s="1"/>
  <c r="ER84" i="36"/>
  <c r="ER149" i="36"/>
  <c r="EP568" i="36"/>
  <c r="EP97" i="36"/>
  <c r="EP95" i="36"/>
  <c r="EP276" i="36"/>
  <c r="EP265" i="36"/>
  <c r="EP310" i="36"/>
  <c r="EV146" i="36"/>
  <c r="EU150" i="36"/>
  <c r="EU151" i="36"/>
  <c r="EO270" i="36"/>
  <c r="EQ151" i="36"/>
  <c r="ER146" i="36"/>
  <c r="ER148" i="36" s="1"/>
  <c r="ES148" i="36" s="1"/>
  <c r="EQ150" i="36"/>
  <c r="EQ160" i="36"/>
  <c r="EP540" i="36"/>
  <c r="EP548" i="36"/>
  <c r="EU542" i="36"/>
  <c r="EU540" i="36" s="1"/>
  <c r="EU92" i="36"/>
  <c r="EU91" i="36"/>
  <c r="EU94" i="36"/>
  <c r="EU107" i="36" s="1"/>
  <c r="EU108" i="36" s="1"/>
  <c r="EP130" i="36"/>
  <c r="EU130" i="36" s="1"/>
  <c r="EZ130" i="36" s="1"/>
  <c r="FE130" i="36" s="1"/>
  <c r="EH218" i="36"/>
  <c r="ET568" i="36"/>
  <c r="ET97" i="36"/>
  <c r="EK630" i="36"/>
  <c r="EK642" i="36" s="1"/>
  <c r="EK332" i="36"/>
  <c r="EP332" i="36"/>
  <c r="EV90" i="36"/>
  <c r="EV83" i="36"/>
  <c r="EV149" i="36"/>
  <c r="EV104" i="36"/>
  <c r="EV106" i="36" s="1"/>
  <c r="EP165" i="36"/>
  <c r="EP162" i="36"/>
  <c r="EP158" i="36" s="1"/>
  <c r="EP163" i="36" s="1"/>
  <c r="EP161" i="36"/>
  <c r="EQ157" i="36"/>
  <c r="EQ159" i="36" s="1"/>
  <c r="EJ630" i="36"/>
  <c r="EO332" i="36"/>
  <c r="EJ332" i="36"/>
  <c r="EO130" i="36"/>
  <c r="ET130" i="36" s="1"/>
  <c r="EY130" i="36" s="1"/>
  <c r="FD130" i="36" s="1"/>
  <c r="EU124" i="36"/>
  <c r="EU113" i="36"/>
  <c r="EP269" i="36"/>
  <c r="EP308" i="36"/>
  <c r="EU308" i="36" s="1"/>
  <c r="EZ308" i="36" s="1"/>
  <c r="FE308" i="36" s="1"/>
  <c r="EP263" i="36"/>
  <c r="EP108" i="36"/>
  <c r="EU136" i="36"/>
  <c r="EQ542" i="36"/>
  <c r="EQ544" i="36" s="1"/>
  <c r="EQ91" i="36"/>
  <c r="EQ131" i="36"/>
  <c r="EQ92" i="36"/>
  <c r="EQ120" i="36"/>
  <c r="ER552" i="36" s="1"/>
  <c r="EQ94" i="36"/>
  <c r="EQ107" i="36" s="1"/>
  <c r="EQ143" i="36"/>
  <c r="EQ176" i="36"/>
  <c r="EH356" i="36"/>
  <c r="EQ106" i="36"/>
  <c r="EO152" i="36"/>
  <c r="EI217" i="36"/>
  <c r="EI218" i="36" s="1"/>
  <c r="EO411" i="36"/>
  <c r="EO158" i="36"/>
  <c r="EK72" i="36"/>
  <c r="EK485" i="36"/>
  <c r="EK486" i="36" s="1"/>
  <c r="EI355" i="36"/>
  <c r="EI356" i="36" s="1"/>
  <c r="EN293" i="36"/>
  <c r="EG653" i="36"/>
  <c r="EH653" i="36" s="1"/>
  <c r="EG656" i="36"/>
  <c r="EG654" i="36"/>
  <c r="EH654" i="36" s="1"/>
  <c r="EH649" i="36" s="1"/>
  <c r="EO549" i="36"/>
  <c r="EO541" i="36"/>
  <c r="ER104" i="36"/>
  <c r="ER106" i="36" s="1"/>
  <c r="Q115" i="29"/>
  <c r="ER112" i="2"/>
  <c r="I1100" i="3" s="1"/>
  <c r="I1102" i="3" s="1"/>
  <c r="I1110" i="3" s="1"/>
  <c r="ER117" i="2"/>
  <c r="I1109" i="3" s="1"/>
  <c r="EV184" i="10"/>
  <c r="ER100" i="2"/>
  <c r="ER574" i="2"/>
  <c r="ER257" i="2"/>
  <c r="ER262" i="2"/>
  <c r="ER428" i="2"/>
  <c r="ER430" i="2" s="1"/>
  <c r="EQ202" i="2"/>
  <c r="EQ474" i="1"/>
  <c r="EQ107" i="4"/>
  <c r="EQ153" i="4" s="1"/>
  <c r="EQ300" i="1"/>
  <c r="EQ287" i="1"/>
  <c r="ES273" i="1"/>
  <c r="EQ112" i="4"/>
  <c r="ES258" i="1"/>
  <c r="EQ113" i="4"/>
  <c r="ES259" i="1"/>
  <c r="EQ116" i="4"/>
  <c r="ES262" i="1"/>
  <c r="EQ117" i="4"/>
  <c r="ES263" i="1"/>
  <c r="EQ118" i="4"/>
  <c r="ES265" i="1"/>
  <c r="EQ286" i="1"/>
  <c r="ES272" i="1"/>
  <c r="EQ100" i="4"/>
  <c r="ES245" i="1"/>
  <c r="EV405" i="10"/>
  <c r="EQ588" i="2"/>
  <c r="EQ207" i="4"/>
  <c r="EQ1036" i="10"/>
  <c r="EQ283" i="2"/>
  <c r="EV284" i="2" s="1"/>
  <c r="EQ38" i="4"/>
  <c r="EQ40" i="4" s="1"/>
  <c r="EV41" i="4" s="1"/>
  <c r="EQ476" i="1"/>
  <c r="EQ478" i="1" s="1"/>
  <c r="EQ133" i="4"/>
  <c r="EQ185" i="4"/>
  <c r="EQ191" i="4" s="1"/>
  <c r="EQ436" i="2"/>
  <c r="EQ442" i="2"/>
  <c r="EQ69" i="4"/>
  <c r="EQ74" i="4" s="1"/>
  <c r="EQ76" i="4" s="1"/>
  <c r="EQ79" i="4" s="1"/>
  <c r="EQ1033" i="10" s="1"/>
  <c r="EQ171" i="2"/>
  <c r="EV172" i="2" s="1"/>
  <c r="EQ213" i="4"/>
  <c r="EQ397" i="2"/>
  <c r="EV398" i="2" s="1"/>
  <c r="EQ69" i="2"/>
  <c r="EV78" i="2" s="1"/>
  <c r="EQ166" i="4"/>
  <c r="EQ68" i="2"/>
  <c r="EQ132" i="2"/>
  <c r="EQ171" i="4"/>
  <c r="EQ197" i="4" s="1"/>
  <c r="EQ26" i="4"/>
  <c r="EQ28" i="4" s="1"/>
  <c r="EV29" i="4" s="1"/>
  <c r="EQ67" i="2"/>
  <c r="EQ96" i="2"/>
  <c r="EQ471" i="1"/>
  <c r="EQ216" i="1"/>
  <c r="EQ220" i="1" s="1"/>
  <c r="EQ232" i="1" s="1"/>
  <c r="EQ266" i="1"/>
  <c r="EQ184" i="1"/>
  <c r="EQ171" i="1"/>
  <c r="EQ168" i="1"/>
  <c r="EQ138" i="1"/>
  <c r="EQ172" i="1"/>
  <c r="EQ161" i="1"/>
  <c r="EQ163" i="1" s="1"/>
  <c r="EQ149" i="1"/>
  <c r="EQ144" i="1"/>
  <c r="EQ177" i="1"/>
  <c r="EQ179" i="1" s="1"/>
  <c r="EQ537" i="1"/>
  <c r="C2139" i="3"/>
  <c r="ER405" i="2" l="1"/>
  <c r="EQ447" i="2"/>
  <c r="EV443" i="2"/>
  <c r="EV210" i="2"/>
  <c r="EV213" i="2"/>
  <c r="B915" i="3"/>
  <c r="D915" i="3" s="1"/>
  <c r="EV35" i="2"/>
  <c r="B916" i="3"/>
  <c r="E916" i="3" s="1"/>
  <c r="B946" i="3" s="1"/>
  <c r="B947" i="3" s="1"/>
  <c r="I1111" i="3"/>
  <c r="I1117" i="3" s="1"/>
  <c r="I1123" i="3" s="1"/>
  <c r="I1125" i="3" s="1"/>
  <c r="D2404" i="3"/>
  <c r="D2398" i="3"/>
  <c r="H1291" i="3"/>
  <c r="EV357" i="10"/>
  <c r="D1383" i="3"/>
  <c r="EQ584" i="2"/>
  <c r="EL630" i="36"/>
  <c r="EL642" i="36" s="1"/>
  <c r="EL332" i="36"/>
  <c r="EQ60" i="2"/>
  <c r="EQ62" i="2" s="1"/>
  <c r="EP565" i="36"/>
  <c r="EP569" i="36" s="1"/>
  <c r="EP562" i="36"/>
  <c r="EQ71" i="1"/>
  <c r="EQ81" i="1"/>
  <c r="EQ89" i="1" s="1"/>
  <c r="EQ91" i="1" s="1"/>
  <c r="EQ99" i="1" s="1"/>
  <c r="EQ539" i="1" s="1"/>
  <c r="EQ540" i="1" s="1"/>
  <c r="EQ538" i="1" s="1"/>
  <c r="EQ236" i="1"/>
  <c r="EQ57" i="4"/>
  <c r="EQ57" i="35"/>
  <c r="EQ60" i="36"/>
  <c r="EQ62" i="36" s="1"/>
  <c r="EQ342" i="36"/>
  <c r="EV120" i="35"/>
  <c r="EX120" i="35" s="1"/>
  <c r="FA117" i="35"/>
  <c r="EX117" i="35"/>
  <c r="EQ162" i="35"/>
  <c r="EQ152" i="35"/>
  <c r="EQ154" i="35" s="1"/>
  <c r="EQ76" i="35"/>
  <c r="EQ79" i="35" s="1"/>
  <c r="EQ77" i="35"/>
  <c r="EQ165" i="35" s="1"/>
  <c r="EQ339" i="36"/>
  <c r="EQ42" i="36" s="1"/>
  <c r="EQ48" i="36"/>
  <c r="EQ17" i="35" s="1"/>
  <c r="EQ11" i="36"/>
  <c r="EQ469" i="36"/>
  <c r="EQ138" i="4"/>
  <c r="EQ138" i="35"/>
  <c r="EQ206" i="2"/>
  <c r="EQ206" i="36"/>
  <c r="ER291" i="36"/>
  <c r="ER317" i="36" s="1"/>
  <c r="ER327" i="36" s="1"/>
  <c r="ER316" i="36"/>
  <c r="EQ190" i="36"/>
  <c r="EV201" i="36"/>
  <c r="FA201" i="36" s="1"/>
  <c r="FF201" i="36" s="1"/>
  <c r="EU561" i="36"/>
  <c r="EQ344" i="2"/>
  <c r="EQ344" i="36"/>
  <c r="EZ561" i="36"/>
  <c r="ER296" i="36"/>
  <c r="EQ139" i="4"/>
  <c r="EQ139" i="35"/>
  <c r="ER556" i="36"/>
  <c r="ER551" i="36"/>
  <c r="ES551" i="36" s="1"/>
  <c r="EQ559" i="36"/>
  <c r="EQ44" i="35"/>
  <c r="EQ70" i="36"/>
  <c r="EQ45" i="35"/>
  <c r="EQ204" i="36"/>
  <c r="EO567" i="36"/>
  <c r="ES120" i="35"/>
  <c r="ES552" i="36"/>
  <c r="EU80" i="35"/>
  <c r="EN602" i="36"/>
  <c r="EN331" i="36" s="1"/>
  <c r="EN332" i="36" s="1"/>
  <c r="EL72" i="36"/>
  <c r="EL73" i="36" s="1"/>
  <c r="FG82" i="36"/>
  <c r="FG83" i="36" s="1"/>
  <c r="FH83" i="36" s="1"/>
  <c r="FC82" i="36"/>
  <c r="FA106" i="36"/>
  <c r="FA124" i="36" s="1"/>
  <c r="FB88" i="36"/>
  <c r="FC86" i="36"/>
  <c r="FC105" i="36"/>
  <c r="EV91" i="35"/>
  <c r="EW85" i="35"/>
  <c r="EW89" i="35"/>
  <c r="FG146" i="36"/>
  <c r="FF151" i="36"/>
  <c r="FF150" i="36"/>
  <c r="EZ303" i="36"/>
  <c r="EZ440" i="36" s="1"/>
  <c r="EZ445" i="36" s="1"/>
  <c r="EW104" i="36"/>
  <c r="EW106" i="36" s="1"/>
  <c r="EW124" i="36" s="1"/>
  <c r="ET125" i="36"/>
  <c r="EZ547" i="36"/>
  <c r="FA258" i="36"/>
  <c r="EZ269" i="36"/>
  <c r="EZ406" i="36" s="1"/>
  <c r="EZ411" i="36" s="1"/>
  <c r="EZ108" i="36"/>
  <c r="EZ169" i="36"/>
  <c r="EZ174" i="36" s="1"/>
  <c r="FB146" i="36"/>
  <c r="FA150" i="36"/>
  <c r="FA151" i="36"/>
  <c r="EZ568" i="36"/>
  <c r="EZ97" i="36"/>
  <c r="EZ95" i="36"/>
  <c r="FA542" i="36"/>
  <c r="FA540" i="36" s="1"/>
  <c r="FA91" i="36"/>
  <c r="FA92" i="36"/>
  <c r="FA94" i="36"/>
  <c r="FA107" i="36" s="1"/>
  <c r="FB90" i="36"/>
  <c r="FC90" i="36" s="1"/>
  <c r="FB83" i="36"/>
  <c r="FC83" i="36" s="1"/>
  <c r="FB149" i="36"/>
  <c r="FC149" i="36" s="1"/>
  <c r="FB104" i="36"/>
  <c r="FB106" i="36" s="1"/>
  <c r="EQ269" i="36"/>
  <c r="EQ270" i="36" s="1"/>
  <c r="EQ308" i="36"/>
  <c r="EV308" i="36" s="1"/>
  <c r="FA308" i="36" s="1"/>
  <c r="FF308" i="36" s="1"/>
  <c r="EQ263" i="36"/>
  <c r="EQ299" i="36"/>
  <c r="EQ425" i="36" s="1"/>
  <c r="EQ108" i="36"/>
  <c r="EQ124" i="36"/>
  <c r="EQ118" i="36"/>
  <c r="EV118" i="36" s="1"/>
  <c r="FA118" i="36" s="1"/>
  <c r="FF118" i="36" s="1"/>
  <c r="EQ141" i="36"/>
  <c r="EQ174" i="36"/>
  <c r="ES106" i="36"/>
  <c r="EO275" i="36"/>
  <c r="EO282" i="36"/>
  <c r="EM630" i="36"/>
  <c r="EM642" i="36" s="1"/>
  <c r="EM332" i="36"/>
  <c r="ER332" i="36"/>
  <c r="EH656" i="36"/>
  <c r="EH651" i="36" s="1"/>
  <c r="EH662" i="36" s="1"/>
  <c r="EH648" i="36"/>
  <c r="EP270" i="36"/>
  <c r="EP406" i="36"/>
  <c r="EV150" i="36"/>
  <c r="EV151" i="36"/>
  <c r="EW146" i="36"/>
  <c r="EV258" i="36"/>
  <c r="EU269" i="36"/>
  <c r="EU406" i="36" s="1"/>
  <c r="EU411" i="36" s="1"/>
  <c r="EU547" i="36"/>
  <c r="EK655" i="36"/>
  <c r="EJ642" i="36"/>
  <c r="EO163" i="36"/>
  <c r="EU169" i="36"/>
  <c r="EU174" i="36" s="1"/>
  <c r="EV542" i="36"/>
  <c r="EV540" i="36" s="1"/>
  <c r="EV92" i="36"/>
  <c r="EV91" i="36"/>
  <c r="EV94" i="36"/>
  <c r="EV107" i="36" s="1"/>
  <c r="EP541" i="36"/>
  <c r="EP549" i="36"/>
  <c r="EP320" i="36"/>
  <c r="EQ162" i="36"/>
  <c r="EQ165" i="36"/>
  <c r="ER157" i="36"/>
  <c r="EQ161" i="36"/>
  <c r="EW83" i="36"/>
  <c r="EX83" i="36" s="1"/>
  <c r="EX82" i="36"/>
  <c r="EY104" i="36" s="1"/>
  <c r="EW90" i="36"/>
  <c r="EW149" i="36"/>
  <c r="EJ220" i="36"/>
  <c r="EJ217" i="36"/>
  <c r="EM485" i="36"/>
  <c r="EM486" i="36" s="1"/>
  <c r="EM72" i="36"/>
  <c r="EN452" i="36"/>
  <c r="EK357" i="36"/>
  <c r="EK219" i="36"/>
  <c r="EK73" i="36"/>
  <c r="EQ568" i="36"/>
  <c r="EQ310" i="36"/>
  <c r="EQ95" i="36"/>
  <c r="EQ97" i="36"/>
  <c r="EQ276" i="36"/>
  <c r="EQ265" i="36"/>
  <c r="EQ288" i="36"/>
  <c r="EJ355" i="36"/>
  <c r="EJ358" i="36"/>
  <c r="EQ540" i="36"/>
  <c r="EQ548" i="36"/>
  <c r="ER150" i="36"/>
  <c r="ES149" i="36"/>
  <c r="ER151" i="36"/>
  <c r="ER147" i="36" s="1"/>
  <c r="ER152" i="36" s="1"/>
  <c r="ER124" i="36"/>
  <c r="ER118" i="36"/>
  <c r="EW118" i="36" s="1"/>
  <c r="FB118" i="36" s="1"/>
  <c r="FG118" i="36" s="1"/>
  <c r="ER245" i="36"/>
  <c r="EU568" i="36"/>
  <c r="EU97" i="36"/>
  <c r="EU95" i="36"/>
  <c r="ER542" i="36"/>
  <c r="ER91" i="36"/>
  <c r="ES91" i="36" s="1"/>
  <c r="ER92" i="36"/>
  <c r="ES90" i="36"/>
  <c r="ER120" i="36"/>
  <c r="ER94" i="36"/>
  <c r="ER107" i="36" s="1"/>
  <c r="ER108" i="36" s="1"/>
  <c r="ER131" i="36"/>
  <c r="EH24" i="35"/>
  <c r="EI24" i="35" s="1"/>
  <c r="EI661" i="36"/>
  <c r="EI649" i="36"/>
  <c r="EI654" i="36" s="1"/>
  <c r="EJ654" i="36" s="1"/>
  <c r="ES104" i="36"/>
  <c r="EU303" i="36"/>
  <c r="EU440" i="36" s="1"/>
  <c r="EU445" i="36" s="1"/>
  <c r="EO407" i="36"/>
  <c r="EV124" i="36"/>
  <c r="EQ147" i="36"/>
  <c r="ET104" i="36"/>
  <c r="ES84" i="36"/>
  <c r="EN414" i="36"/>
  <c r="EN413" i="36"/>
  <c r="EN409" i="36"/>
  <c r="EQ302" i="1"/>
  <c r="I1706" i="3"/>
  <c r="EQ473" i="1"/>
  <c r="EQ294" i="2"/>
  <c r="ER280" i="2"/>
  <c r="ER316" i="2" s="1"/>
  <c r="ER285" i="2"/>
  <c r="ER429" i="2"/>
  <c r="ER434" i="2" s="1"/>
  <c r="ER314" i="2"/>
  <c r="ER337" i="2" s="1"/>
  <c r="EW345" i="2" s="1"/>
  <c r="ER259" i="2"/>
  <c r="ER168" i="2"/>
  <c r="ER180" i="2"/>
  <c r="E1290" i="3" s="1"/>
  <c r="E1292" i="3" s="1"/>
  <c r="ER114" i="2"/>
  <c r="ER394" i="2"/>
  <c r="ER451" i="2" s="1"/>
  <c r="ER399" i="2"/>
  <c r="ER462" i="2"/>
  <c r="EW472" i="2" s="1"/>
  <c r="EQ130" i="4"/>
  <c r="EQ120" i="4"/>
  <c r="ES266" i="1"/>
  <c r="P3120" i="3"/>
  <c r="EV360" i="10"/>
  <c r="EQ168" i="4"/>
  <c r="EQ13" i="32"/>
  <c r="EQ81" i="4"/>
  <c r="EQ96" i="4"/>
  <c r="EQ70" i="2"/>
  <c r="EQ44" i="4"/>
  <c r="EQ402" i="2"/>
  <c r="EQ152" i="4"/>
  <c r="EQ154" i="4" s="1"/>
  <c r="EQ158" i="4" s="1"/>
  <c r="EQ162" i="4"/>
  <c r="EQ43" i="4"/>
  <c r="EQ176" i="4"/>
  <c r="EQ180" i="4" s="1"/>
  <c r="EQ192" i="4" s="1"/>
  <c r="EQ469" i="2"/>
  <c r="EV479" i="2" s="1"/>
  <c r="EQ11" i="2"/>
  <c r="EQ48" i="2"/>
  <c r="EQ77" i="4"/>
  <c r="EQ165" i="4" s="1"/>
  <c r="EQ45" i="4"/>
  <c r="EQ154" i="1"/>
  <c r="EQ153" i="1" s="1"/>
  <c r="EQ188" i="1" s="1"/>
  <c r="EQ173" i="1"/>
  <c r="EQ189" i="1" s="1"/>
  <c r="C2140" i="3"/>
  <c r="D2139" i="3"/>
  <c r="D2140" i="3" s="1"/>
  <c r="ER296" i="2" l="1"/>
  <c r="EV295" i="2"/>
  <c r="EQ63" i="2"/>
  <c r="EV64" i="2"/>
  <c r="EQ380" i="2"/>
  <c r="EV381" i="2" s="1"/>
  <c r="EV352" i="2"/>
  <c r="EQ71" i="2"/>
  <c r="EV80" i="2"/>
  <c r="EQ243" i="2"/>
  <c r="EV244" i="2" s="1"/>
  <c r="EV214" i="2"/>
  <c r="D916" i="3"/>
  <c r="B925" i="3" s="1"/>
  <c r="B926" i="3" s="1"/>
  <c r="E915" i="3"/>
  <c r="C926" i="3"/>
  <c r="I1133" i="3"/>
  <c r="I1135" i="3" s="1"/>
  <c r="EL357" i="36"/>
  <c r="EL355" i="36" s="1"/>
  <c r="EQ284" i="1"/>
  <c r="EQ136" i="35" s="1"/>
  <c r="EQ143" i="35" s="1"/>
  <c r="EQ145" i="35" s="1"/>
  <c r="EP567" i="36"/>
  <c r="EU567" i="36" s="1"/>
  <c r="EU565" i="36" s="1"/>
  <c r="EU569" i="36" s="1"/>
  <c r="EQ252" i="2"/>
  <c r="EL219" i="36"/>
  <c r="EL217" i="36" s="1"/>
  <c r="EQ389" i="2"/>
  <c r="ES553" i="36"/>
  <c r="EQ58" i="4"/>
  <c r="EQ59" i="4" s="1"/>
  <c r="EQ61" i="4" s="1"/>
  <c r="EQ58" i="35"/>
  <c r="EQ59" i="35" s="1"/>
  <c r="EQ61" i="35" s="1"/>
  <c r="ER453" i="36"/>
  <c r="ER574" i="36" s="1"/>
  <c r="ER319" i="36"/>
  <c r="EQ81" i="35"/>
  <c r="EQ96" i="35"/>
  <c r="EQ158" i="35"/>
  <c r="EQ29" i="2"/>
  <c r="EQ29" i="36"/>
  <c r="ET567" i="36"/>
  <c r="ET565" i="36" s="1"/>
  <c r="EQ46" i="35"/>
  <c r="EQ243" i="36"/>
  <c r="EQ9" i="36"/>
  <c r="EQ252" i="36"/>
  <c r="EQ63" i="36"/>
  <c r="EQ71" i="36"/>
  <c r="EW327" i="36"/>
  <c r="FB327" i="36" s="1"/>
  <c r="FG327" i="36" s="1"/>
  <c r="EQ562" i="36"/>
  <c r="EQ560" i="36"/>
  <c r="EQ563" i="36"/>
  <c r="EQ565" i="36"/>
  <c r="EQ569" i="36" s="1"/>
  <c r="FA120" i="35"/>
  <c r="FC120" i="35" s="1"/>
  <c r="FF117" i="35"/>
  <c r="FC117" i="35"/>
  <c r="EQ11" i="35"/>
  <c r="EQ12" i="35" s="1"/>
  <c r="EQ43" i="36"/>
  <c r="ER555" i="36"/>
  <c r="ES555" i="36" s="1"/>
  <c r="ES556" i="36"/>
  <c r="EQ10" i="36"/>
  <c r="EQ380" i="36"/>
  <c r="EQ389" i="36"/>
  <c r="EV479" i="36"/>
  <c r="EQ466" i="36"/>
  <c r="EQ45" i="36"/>
  <c r="EQ463" i="36"/>
  <c r="EW87" i="35"/>
  <c r="EX87" i="35" s="1"/>
  <c r="EX89" i="35"/>
  <c r="EV93" i="35"/>
  <c r="EU148" i="35"/>
  <c r="EU133" i="35"/>
  <c r="ES108" i="36"/>
  <c r="EY106" i="36"/>
  <c r="FC106" i="36" s="1"/>
  <c r="FC104" i="36"/>
  <c r="FC84" i="36"/>
  <c r="FG104" i="36"/>
  <c r="FH82" i="36"/>
  <c r="FH84" i="36" s="1"/>
  <c r="EV113" i="36"/>
  <c r="FG149" i="36"/>
  <c r="FH149" i="36" s="1"/>
  <c r="FH150" i="36" s="1"/>
  <c r="FC88" i="36"/>
  <c r="FD86" i="36"/>
  <c r="FD105" i="36" s="1"/>
  <c r="FA113" i="36"/>
  <c r="FA303" i="36"/>
  <c r="FB150" i="36"/>
  <c r="FB151" i="36"/>
  <c r="EZ548" i="36"/>
  <c r="FB542" i="36"/>
  <c r="FB540" i="36" s="1"/>
  <c r="FB91" i="36"/>
  <c r="FB92" i="36"/>
  <c r="FB94" i="36"/>
  <c r="FC94" i="36" s="1"/>
  <c r="FA269" i="36"/>
  <c r="FA406" i="36" s="1"/>
  <c r="FA411" i="36" s="1"/>
  <c r="FB258" i="36"/>
  <c r="FA568" i="36"/>
  <c r="FA97" i="36"/>
  <c r="FA95" i="36"/>
  <c r="FA108" i="36"/>
  <c r="FB113" i="36"/>
  <c r="FB124" i="36"/>
  <c r="FA547" i="36"/>
  <c r="EW113" i="36"/>
  <c r="EH659" i="36"/>
  <c r="EI648" i="36"/>
  <c r="EI653" i="36" s="1"/>
  <c r="EJ653" i="36" s="1"/>
  <c r="EO412" i="36"/>
  <c r="EO408" i="36"/>
  <c r="ER125" i="36"/>
  <c r="EJ356" i="36"/>
  <c r="ER269" i="36"/>
  <c r="ER406" i="36" s="1"/>
  <c r="ER308" i="36"/>
  <c r="EW308" i="36" s="1"/>
  <c r="FB308" i="36" s="1"/>
  <c r="FG308" i="36" s="1"/>
  <c r="ER382" i="36"/>
  <c r="ER299" i="36"/>
  <c r="ER425" i="36" s="1"/>
  <c r="ER263" i="36"/>
  <c r="EN485" i="36"/>
  <c r="EN486" i="36" s="1"/>
  <c r="EN72" i="36"/>
  <c r="EQ320" i="36"/>
  <c r="EQ76" i="36"/>
  <c r="EQ74" i="36"/>
  <c r="ES107" i="36"/>
  <c r="EV269" i="36"/>
  <c r="EV406" i="36" s="1"/>
  <c r="EV411" i="36" s="1"/>
  <c r="EW258" i="36"/>
  <c r="ET146" i="36"/>
  <c r="ES150" i="36"/>
  <c r="ET106" i="36"/>
  <c r="EX104" i="36"/>
  <c r="ER540" i="36"/>
  <c r="ES540" i="36" s="1"/>
  <c r="ER548" i="36"/>
  <c r="ER74" i="36"/>
  <c r="ER76" i="36"/>
  <c r="EM357" i="36"/>
  <c r="EM219" i="36"/>
  <c r="EM73" i="36"/>
  <c r="EL655" i="36"/>
  <c r="ES542" i="36"/>
  <c r="ES548" i="36" s="1"/>
  <c r="ES151" i="36"/>
  <c r="EJ218" i="36"/>
  <c r="EI662" i="36"/>
  <c r="EH25" i="35"/>
  <c r="EV303" i="36"/>
  <c r="ER159" i="36"/>
  <c r="ES159" i="36" s="1"/>
  <c r="ES157" i="36"/>
  <c r="EP411" i="36"/>
  <c r="EP275" i="36"/>
  <c r="EP282" i="36"/>
  <c r="EP407" i="36"/>
  <c r="EP412" i="36" s="1"/>
  <c r="EQ152" i="36"/>
  <c r="ES147" i="36"/>
  <c r="ES152" i="36" s="1"/>
  <c r="ER568" i="36"/>
  <c r="ES568" i="36" s="1"/>
  <c r="ER310" i="36"/>
  <c r="ER97" i="36"/>
  <c r="ER95" i="36"/>
  <c r="ES95" i="36" s="1"/>
  <c r="ES94" i="36"/>
  <c r="ER288" i="36"/>
  <c r="ER265" i="36"/>
  <c r="ER276" i="36"/>
  <c r="EK220" i="36"/>
  <c r="EK217" i="36"/>
  <c r="EQ158" i="36"/>
  <c r="EV568" i="36"/>
  <c r="EV95" i="36"/>
  <c r="EV97" i="36"/>
  <c r="EV141" i="36"/>
  <c r="FA141" i="36" s="1"/>
  <c r="FF141" i="36" s="1"/>
  <c r="ER141" i="36"/>
  <c r="EQ275" i="36"/>
  <c r="EQ282" i="36"/>
  <c r="EV108" i="36"/>
  <c r="EK358" i="36"/>
  <c r="EK355" i="36"/>
  <c r="EW150" i="36"/>
  <c r="EW151" i="36"/>
  <c r="EX149" i="36"/>
  <c r="EY146" i="36" s="1"/>
  <c r="FC146" i="36" s="1"/>
  <c r="EK654" i="36"/>
  <c r="ES92" i="36"/>
  <c r="ES131" i="36"/>
  <c r="ES120" i="36"/>
  <c r="ET542" i="36"/>
  <c r="ET91" i="36"/>
  <c r="EQ545" i="36"/>
  <c r="EQ541" i="36"/>
  <c r="EQ549" i="36"/>
  <c r="EW542" i="36"/>
  <c r="EW540" i="36" s="1"/>
  <c r="EW91" i="36"/>
  <c r="EW92" i="36"/>
  <c r="EX90" i="36"/>
  <c r="FC92" i="36" s="1"/>
  <c r="EW94" i="36"/>
  <c r="ER544" i="36"/>
  <c r="ES544" i="36" s="1"/>
  <c r="ES118" i="36"/>
  <c r="FD104" i="36"/>
  <c r="EX84" i="36"/>
  <c r="EV547" i="36"/>
  <c r="EN630" i="36"/>
  <c r="EN642" i="36" s="1"/>
  <c r="EU548" i="36"/>
  <c r="EO419" i="36"/>
  <c r="EO293" i="36"/>
  <c r="EQ406" i="36"/>
  <c r="EQ125" i="36"/>
  <c r="ES124" i="36"/>
  <c r="ES129" i="36" s="1"/>
  <c r="EQ306" i="1"/>
  <c r="I1712" i="3" s="1"/>
  <c r="I1708" i="3"/>
  <c r="ER291" i="2"/>
  <c r="ER317" i="2" s="1"/>
  <c r="ER258" i="2"/>
  <c r="ER396" i="2"/>
  <c r="ER339" i="2"/>
  <c r="EW347" i="2" s="1"/>
  <c r="ER170" i="2"/>
  <c r="ER175" i="2" s="1"/>
  <c r="ER153" i="2" s="1"/>
  <c r="ER164" i="2" s="1"/>
  <c r="ER113" i="2"/>
  <c r="I1158" i="3" s="1"/>
  <c r="I1168" i="3" s="1"/>
  <c r="ER192" i="2"/>
  <c r="ER488" i="2"/>
  <c r="EW489" i="2" s="1"/>
  <c r="ER199" i="2"/>
  <c r="EW207" i="2" s="1"/>
  <c r="ER319" i="2"/>
  <c r="ER453" i="2"/>
  <c r="ER573" i="2" s="1"/>
  <c r="EQ17" i="4"/>
  <c r="C1971" i="3"/>
  <c r="C1973" i="3" s="1"/>
  <c r="C2048" i="3"/>
  <c r="EQ198" i="4"/>
  <c r="EQ46" i="4"/>
  <c r="EW193" i="2" l="1"/>
  <c r="EQ384" i="2"/>
  <c r="EV385" i="2" s="1"/>
  <c r="EQ386" i="2"/>
  <c r="EQ249" i="2"/>
  <c r="B927" i="3"/>
  <c r="D917" i="3"/>
  <c r="EQ62" i="4"/>
  <c r="EV63" i="4"/>
  <c r="E917" i="3"/>
  <c r="C947" i="3"/>
  <c r="E1545" i="3"/>
  <c r="E1546" i="3" s="1"/>
  <c r="EL358" i="36"/>
  <c r="EQ136" i="4"/>
  <c r="EQ291" i="1"/>
  <c r="EQ293" i="1" s="1"/>
  <c r="EQ294" i="1" s="1"/>
  <c r="EQ147" i="35" s="1"/>
  <c r="EL220" i="36"/>
  <c r="EY124" i="36"/>
  <c r="FC124" i="36" s="1"/>
  <c r="FC129" i="36" s="1"/>
  <c r="ET544" i="36"/>
  <c r="EU544" i="36" s="1"/>
  <c r="EV544" i="36" s="1"/>
  <c r="EW544" i="36" s="1"/>
  <c r="EX544" i="36" s="1"/>
  <c r="ET569" i="36"/>
  <c r="EQ68" i="4"/>
  <c r="ES557" i="36"/>
  <c r="EW88" i="35"/>
  <c r="EW91" i="35" s="1"/>
  <c r="FG150" i="36"/>
  <c r="EY567" i="36"/>
  <c r="EY565" i="36" s="1"/>
  <c r="EV561" i="36"/>
  <c r="EQ567" i="36"/>
  <c r="EQ12" i="36"/>
  <c r="EQ570" i="36" s="1"/>
  <c r="EQ31" i="36"/>
  <c r="FB561" i="36"/>
  <c r="EQ14" i="35"/>
  <c r="EQ15" i="35" s="1"/>
  <c r="EQ16" i="35" s="1"/>
  <c r="EQ18" i="35" s="1"/>
  <c r="EQ46" i="36"/>
  <c r="EQ47" i="36" s="1"/>
  <c r="EQ49" i="36" s="1"/>
  <c r="ER559" i="36"/>
  <c r="EQ19" i="36"/>
  <c r="EQ386" i="36"/>
  <c r="EQ384" i="36"/>
  <c r="EQ382" i="36"/>
  <c r="EQ62" i="35"/>
  <c r="EQ68" i="35"/>
  <c r="EQ18" i="36"/>
  <c r="EQ249" i="36"/>
  <c r="EQ247" i="36"/>
  <c r="EQ245" i="36"/>
  <c r="EW561" i="36"/>
  <c r="FA561" i="36"/>
  <c r="EQ467" i="36"/>
  <c r="EQ32" i="36"/>
  <c r="EY136" i="36"/>
  <c r="EQ464" i="36"/>
  <c r="FF120" i="35"/>
  <c r="FH120" i="35" s="1"/>
  <c r="FH117" i="35"/>
  <c r="FI117" i="35" s="1"/>
  <c r="EY113" i="36"/>
  <c r="FC113" i="36" s="1"/>
  <c r="FC118" i="36" s="1"/>
  <c r="EZ567" i="36"/>
  <c r="EZ565" i="36" s="1"/>
  <c r="EZ569" i="36" s="1"/>
  <c r="EV80" i="35"/>
  <c r="FC150" i="36"/>
  <c r="EV395" i="36"/>
  <c r="EV400" i="36" s="1"/>
  <c r="FG151" i="36"/>
  <c r="FD90" i="36"/>
  <c r="FD88" i="36"/>
  <c r="FE86" i="36"/>
  <c r="FE105" i="36" s="1"/>
  <c r="FE106" i="36" s="1"/>
  <c r="FD106" i="36"/>
  <c r="FD113" i="36" s="1"/>
  <c r="FH104" i="36"/>
  <c r="ER561" i="2"/>
  <c r="FA395" i="36"/>
  <c r="FA400" i="36" s="1"/>
  <c r="FB395" i="36"/>
  <c r="FB400" i="36" s="1"/>
  <c r="EY151" i="36"/>
  <c r="FC151" i="36" s="1"/>
  <c r="FA548" i="36"/>
  <c r="FB568" i="36"/>
  <c r="FB95" i="36"/>
  <c r="FB97" i="36"/>
  <c r="EX92" i="36"/>
  <c r="EY542" i="36"/>
  <c r="EY91" i="36"/>
  <c r="FC91" i="36" s="1"/>
  <c r="EV136" i="36"/>
  <c r="EV440" i="36" s="1"/>
  <c r="EV445" i="36" s="1"/>
  <c r="FB107" i="36"/>
  <c r="FD146" i="36"/>
  <c r="FH146" i="36" s="1"/>
  <c r="EL654" i="36"/>
  <c r="ER411" i="36"/>
  <c r="EW568" i="36"/>
  <c r="EX568" i="36" s="1"/>
  <c r="EX94" i="36"/>
  <c r="FC97" i="36" s="1"/>
  <c r="EW97" i="36"/>
  <c r="EW95" i="36"/>
  <c r="EQ419" i="36"/>
  <c r="EQ293" i="36"/>
  <c r="EW107" i="36"/>
  <c r="EW303" i="36" s="1"/>
  <c r="EO414" i="36"/>
  <c r="EO410" i="36"/>
  <c r="EO409" i="36"/>
  <c r="EO413" i="36"/>
  <c r="EO452" i="36"/>
  <c r="EV548" i="36"/>
  <c r="EW141" i="36"/>
  <c r="FB141" i="36" s="1"/>
  <c r="FG141" i="36" s="1"/>
  <c r="ER136" i="36"/>
  <c r="ER545" i="36"/>
  <c r="ER541" i="36"/>
  <c r="ER549" i="36"/>
  <c r="ES549" i="36" s="1"/>
  <c r="EW395" i="36"/>
  <c r="EW400" i="36" s="1"/>
  <c r="ER270" i="36"/>
  <c r="ER407" i="36" s="1"/>
  <c r="ER412" i="36" s="1"/>
  <c r="ES269" i="36"/>
  <c r="ES274" i="36" s="1"/>
  <c r="EQ163" i="36"/>
  <c r="EP419" i="36"/>
  <c r="EP293" i="36"/>
  <c r="EJ656" i="36"/>
  <c r="EK653" i="36"/>
  <c r="EX150" i="36"/>
  <c r="EQ411" i="36"/>
  <c r="EK356" i="36"/>
  <c r="EL356" i="36"/>
  <c r="EK218" i="36"/>
  <c r="EM220" i="36"/>
  <c r="EM217" i="36"/>
  <c r="ET113" i="36"/>
  <c r="EX106" i="36"/>
  <c r="ET124" i="36"/>
  <c r="ET136" i="36"/>
  <c r="ET258" i="36"/>
  <c r="ES299" i="36"/>
  <c r="ES425" i="36" s="1"/>
  <c r="ES263" i="36"/>
  <c r="ES308" i="36"/>
  <c r="EN357" i="36"/>
  <c r="EN358" i="36" s="1"/>
  <c r="EN219" i="36"/>
  <c r="EN220" i="36" s="1"/>
  <c r="EN73" i="36"/>
  <c r="EH663" i="36"/>
  <c r="EI663" i="36" s="1"/>
  <c r="EH22" i="35"/>
  <c r="EI659" i="36"/>
  <c r="ES541" i="36"/>
  <c r="ES543" i="36"/>
  <c r="EX91" i="36"/>
  <c r="ES406" i="36"/>
  <c r="ES411" i="36" s="1"/>
  <c r="EL218" i="36"/>
  <c r="EM358" i="36"/>
  <c r="EM355" i="36"/>
  <c r="EN355" i="36" s="1"/>
  <c r="EN356" i="36" s="1"/>
  <c r="ES265" i="36"/>
  <c r="ES97" i="36"/>
  <c r="ET107" i="36"/>
  <c r="ES310" i="36"/>
  <c r="ES276" i="36"/>
  <c r="ES288" i="36"/>
  <c r="ET95" i="36"/>
  <c r="EQ407" i="36"/>
  <c r="EQ408" i="36" s="1"/>
  <c r="EQ130" i="36"/>
  <c r="EV130" i="36" s="1"/>
  <c r="FA130" i="36" s="1"/>
  <c r="FF130" i="36" s="1"/>
  <c r="ES125" i="36"/>
  <c r="ES130" i="36" s="1"/>
  <c r="ET540" i="36"/>
  <c r="EX542" i="36"/>
  <c r="EP408" i="36"/>
  <c r="EM655" i="36"/>
  <c r="EW76" i="36"/>
  <c r="FB76" i="36" s="1"/>
  <c r="FG76" i="36" s="1"/>
  <c r="EX146" i="36"/>
  <c r="ET151" i="36"/>
  <c r="EV76" i="36"/>
  <c r="ER130" i="36"/>
  <c r="EW130" i="36" s="1"/>
  <c r="FB130" i="36" s="1"/>
  <c r="FG130" i="36" s="1"/>
  <c r="ER461" i="2"/>
  <c r="EW471" i="2" s="1"/>
  <c r="ER201" i="2"/>
  <c r="EW209" i="2" s="1"/>
  <c r="ER327" i="2"/>
  <c r="EW328" i="2" s="1"/>
  <c r="ER395" i="2"/>
  <c r="ER400" i="2" s="1"/>
  <c r="C2047" i="3"/>
  <c r="EQ143" i="4" l="1"/>
  <c r="EQ145" i="4" s="1"/>
  <c r="EY169" i="36"/>
  <c r="EY174" i="36" s="1"/>
  <c r="EQ147" i="4"/>
  <c r="EQ149" i="4" s="1"/>
  <c r="EY569" i="36"/>
  <c r="EX88" i="35"/>
  <c r="FC89" i="35" s="1"/>
  <c r="FJ117" i="35"/>
  <c r="FI120" i="35"/>
  <c r="EV567" i="36"/>
  <c r="EV565" i="36" s="1"/>
  <c r="EQ48" i="35"/>
  <c r="EQ468" i="36"/>
  <c r="FD561" i="36"/>
  <c r="EQ149" i="35"/>
  <c r="EQ146" i="35"/>
  <c r="ET552" i="36"/>
  <c r="ET561" i="36"/>
  <c r="EX561" i="36" s="1"/>
  <c r="EY561" i="36"/>
  <c r="FC561" i="36" s="1"/>
  <c r="EQ576" i="36"/>
  <c r="EQ30" i="36"/>
  <c r="EQ21" i="36" s="1"/>
  <c r="ER562" i="36"/>
  <c r="ER560" i="36"/>
  <c r="ER563" i="36"/>
  <c r="ER565" i="36"/>
  <c r="ES559" i="36"/>
  <c r="EW93" i="35"/>
  <c r="EX91" i="35"/>
  <c r="EV148" i="35"/>
  <c r="EV133" i="35"/>
  <c r="FD136" i="36"/>
  <c r="FD169" i="36" s="1"/>
  <c r="FD124" i="36"/>
  <c r="EV169" i="36"/>
  <c r="EV174" i="36" s="1"/>
  <c r="FE136" i="36"/>
  <c r="FE113" i="36"/>
  <c r="FE124" i="36"/>
  <c r="FD94" i="36"/>
  <c r="FD92" i="36"/>
  <c r="EY540" i="36"/>
  <c r="FC540" i="36" s="1"/>
  <c r="FC542" i="36"/>
  <c r="FC568" i="36"/>
  <c r="FE88" i="36"/>
  <c r="FE90" i="36"/>
  <c r="FF86" i="36"/>
  <c r="FD151" i="36"/>
  <c r="FH151" i="36" s="1"/>
  <c r="FA136" i="36"/>
  <c r="FD91" i="36"/>
  <c r="FD542" i="36"/>
  <c r="EW136" i="36"/>
  <c r="EX136" i="36" s="1"/>
  <c r="EX141" i="36" s="1"/>
  <c r="EY107" i="36"/>
  <c r="FC107" i="36" s="1"/>
  <c r="EY95" i="36"/>
  <c r="FC95" i="36" s="1"/>
  <c r="FB269" i="36"/>
  <c r="FB406" i="36" s="1"/>
  <c r="FB411" i="36" s="1"/>
  <c r="FB108" i="36"/>
  <c r="EY544" i="36"/>
  <c r="EZ544" i="36" s="1"/>
  <c r="FA544" i="36" s="1"/>
  <c r="FB544" i="36" s="1"/>
  <c r="FC544" i="36" s="1"/>
  <c r="EV68" i="36"/>
  <c r="EV44" i="35" s="1"/>
  <c r="FA76" i="36"/>
  <c r="FB303" i="36"/>
  <c r="EX113" i="36"/>
  <c r="EX118" i="36" s="1"/>
  <c r="ET169" i="36"/>
  <c r="ET115" i="36"/>
  <c r="ER408" i="36"/>
  <c r="EM218" i="36"/>
  <c r="EN217" i="36"/>
  <c r="EN218" i="36" s="1"/>
  <c r="ER440" i="36"/>
  <c r="ER169" i="36"/>
  <c r="ER138" i="36"/>
  <c r="ES136" i="36"/>
  <c r="ES141" i="36" s="1"/>
  <c r="EX540" i="36"/>
  <c r="ET547" i="36"/>
  <c r="ET395" i="36"/>
  <c r="ET260" i="36"/>
  <c r="EO485" i="36"/>
  <c r="EO486" i="36" s="1"/>
  <c r="EO72" i="36"/>
  <c r="EP414" i="36"/>
  <c r="EP410" i="36"/>
  <c r="EP409" i="36"/>
  <c r="EP413" i="36"/>
  <c r="EP452" i="36"/>
  <c r="EQ412" i="36"/>
  <c r="ES407" i="36"/>
  <c r="ES412" i="36" s="1"/>
  <c r="EX97" i="36"/>
  <c r="FI82" i="36"/>
  <c r="FI104" i="36" s="1"/>
  <c r="EH26" i="35"/>
  <c r="EI22" i="35"/>
  <c r="ER275" i="36"/>
  <c r="ER282" i="36"/>
  <c r="ES270" i="36"/>
  <c r="ES275" i="36" s="1"/>
  <c r="ET275" i="36" s="1"/>
  <c r="EY275" i="36" s="1"/>
  <c r="FD275" i="36" s="1"/>
  <c r="EX124" i="36"/>
  <c r="EX129" i="36" s="1"/>
  <c r="ET126" i="36"/>
  <c r="EW269" i="36"/>
  <c r="EW406" i="36" s="1"/>
  <c r="EW411" i="36" s="1"/>
  <c r="EW108" i="36"/>
  <c r="EU258" i="36"/>
  <c r="EX258" i="36" s="1"/>
  <c r="ET303" i="36"/>
  <c r="ET440" i="36" s="1"/>
  <c r="ET269" i="36"/>
  <c r="ET406" i="36" s="1"/>
  <c r="EX107" i="36"/>
  <c r="EY258" i="36" s="1"/>
  <c r="EK656" i="36"/>
  <c r="EL653" i="36"/>
  <c r="EQ414" i="36"/>
  <c r="EQ413" i="36"/>
  <c r="EQ410" i="36"/>
  <c r="EQ409" i="36"/>
  <c r="EQ452" i="36"/>
  <c r="EX151" i="36"/>
  <c r="EX95" i="36"/>
  <c r="EM654" i="36"/>
  <c r="EM356" i="36"/>
  <c r="ET108" i="36"/>
  <c r="ER463" i="2"/>
  <c r="ER190" i="2"/>
  <c r="EW191" i="2" s="1"/>
  <c r="C2049" i="3"/>
  <c r="B2165" i="3"/>
  <c r="ER464" i="2" l="1"/>
  <c r="EW474" i="2" s="1"/>
  <c r="EW473" i="2"/>
  <c r="EQ146" i="4"/>
  <c r="FC85" i="35"/>
  <c r="EY85" i="35"/>
  <c r="EY89" i="35"/>
  <c r="EY87" i="35" s="1"/>
  <c r="FA567" i="36"/>
  <c r="FA565" i="36" s="1"/>
  <c r="FA569" i="36" s="1"/>
  <c r="EV58" i="36"/>
  <c r="ER570" i="36"/>
  <c r="ER567" i="36"/>
  <c r="EW567" i="36" s="1"/>
  <c r="EW565" i="36" s="1"/>
  <c r="EW569" i="36" s="1"/>
  <c r="ER566" i="36"/>
  <c r="ER569" i="36"/>
  <c r="ES565" i="36"/>
  <c r="EV569" i="36"/>
  <c r="FE561" i="36"/>
  <c r="ET551" i="36"/>
  <c r="EQ470" i="36"/>
  <c r="EQ20" i="36"/>
  <c r="EQ33" i="36"/>
  <c r="ES560" i="36"/>
  <c r="ES562" i="36"/>
  <c r="ET556" i="36"/>
  <c r="EQ49" i="35"/>
  <c r="FK117" i="35"/>
  <c r="FL117" i="35" s="1"/>
  <c r="FM117" i="35" s="1"/>
  <c r="FJ120" i="35"/>
  <c r="FC87" i="35"/>
  <c r="EW80" i="35"/>
  <c r="EX93" i="35"/>
  <c r="EX92" i="35" s="1"/>
  <c r="EY547" i="36"/>
  <c r="EY548" i="36" s="1"/>
  <c r="FF90" i="36"/>
  <c r="FG86" i="36"/>
  <c r="FF88" i="36"/>
  <c r="FD540" i="36"/>
  <c r="FE94" i="36"/>
  <c r="FE107" i="36" s="1"/>
  <c r="FE542" i="36"/>
  <c r="FE540" i="36" s="1"/>
  <c r="FE547" i="36" s="1"/>
  <c r="FE91" i="36"/>
  <c r="FE92" i="36"/>
  <c r="FC543" i="36"/>
  <c r="FE169" i="36"/>
  <c r="FE174" i="36" s="1"/>
  <c r="FD568" i="36"/>
  <c r="FD97" i="36"/>
  <c r="FA440" i="36"/>
  <c r="FA445" i="36" s="1"/>
  <c r="FF105" i="36"/>
  <c r="FD174" i="36"/>
  <c r="EW440" i="36"/>
  <c r="EW445" i="36" s="1"/>
  <c r="FD258" i="36"/>
  <c r="FA169" i="36"/>
  <c r="FD107" i="36"/>
  <c r="FD95" i="36"/>
  <c r="FA68" i="36"/>
  <c r="FF76" i="36"/>
  <c r="FB136" i="36"/>
  <c r="FB440" i="36" s="1"/>
  <c r="FB445" i="36" s="1"/>
  <c r="EY303" i="36"/>
  <c r="EZ258" i="36"/>
  <c r="FC258" i="36" s="1"/>
  <c r="FC263" i="36" s="1"/>
  <c r="EY269" i="36"/>
  <c r="EY108" i="36"/>
  <c r="FC108" i="36" s="1"/>
  <c r="FB68" i="36"/>
  <c r="EY395" i="36"/>
  <c r="EW169" i="36"/>
  <c r="EW174" i="36" s="1"/>
  <c r="EX406" i="36"/>
  <c r="EX411" i="36" s="1"/>
  <c r="ET411" i="36"/>
  <c r="ET445" i="36"/>
  <c r="ET400" i="36"/>
  <c r="ET397" i="36"/>
  <c r="ET262" i="36"/>
  <c r="ET265" i="36"/>
  <c r="EU257" i="36"/>
  <c r="ET261" i="36"/>
  <c r="ET314" i="36"/>
  <c r="EU112" i="36"/>
  <c r="ET180" i="36"/>
  <c r="ET117" i="36"/>
  <c r="ET120" i="36"/>
  <c r="EU552" i="36" s="1"/>
  <c r="ET116" i="36"/>
  <c r="EX263" i="36"/>
  <c r="EW68" i="36"/>
  <c r="ET174" i="36"/>
  <c r="ER414" i="36"/>
  <c r="ER413" i="36"/>
  <c r="ER410" i="36"/>
  <c r="ES410" i="36" s="1"/>
  <c r="ER409" i="36"/>
  <c r="ES408" i="36"/>
  <c r="ER452" i="36"/>
  <c r="ES452" i="36" s="1"/>
  <c r="FD544" i="36"/>
  <c r="EX303" i="36"/>
  <c r="EX308" i="36" s="1"/>
  <c r="ET305" i="36"/>
  <c r="FI146" i="36"/>
  <c r="ER174" i="36"/>
  <c r="ES169" i="36"/>
  <c r="ES174" i="36" s="1"/>
  <c r="EX108" i="36"/>
  <c r="EU395" i="36"/>
  <c r="EU400" i="36" s="1"/>
  <c r="EU275" i="36"/>
  <c r="ET270" i="36"/>
  <c r="ET271" i="36" s="1"/>
  <c r="EO357" i="36"/>
  <c r="EO219" i="36"/>
  <c r="EO73" i="36"/>
  <c r="ER445" i="36"/>
  <c r="ES440" i="36"/>
  <c r="ES445" i="36" s="1"/>
  <c r="EH28" i="35"/>
  <c r="EH29" i="35" s="1"/>
  <c r="EI26" i="35"/>
  <c r="EI28" i="35" s="1"/>
  <c r="EI29" i="35" s="1"/>
  <c r="ET131" i="36"/>
  <c r="ET127" i="36"/>
  <c r="ET132" i="36"/>
  <c r="ET128" i="36"/>
  <c r="EU123" i="36"/>
  <c r="ET181" i="36"/>
  <c r="ER419" i="36"/>
  <c r="ES419" i="36" s="1"/>
  <c r="ER287" i="36"/>
  <c r="EW287" i="36" s="1"/>
  <c r="FB287" i="36" s="1"/>
  <c r="FG287" i="36" s="1"/>
  <c r="ER281" i="36"/>
  <c r="ER293" i="36"/>
  <c r="ES282" i="36"/>
  <c r="EP72" i="36"/>
  <c r="EP485" i="36"/>
  <c r="EP486" i="36" s="1"/>
  <c r="ET548" i="36"/>
  <c r="EQ72" i="36"/>
  <c r="EQ485" i="36"/>
  <c r="EQ486" i="36" s="1"/>
  <c r="EX269" i="36"/>
  <c r="EX274" i="36" s="1"/>
  <c r="ER140" i="36"/>
  <c r="ES140" i="36" s="1"/>
  <c r="ER143" i="36"/>
  <c r="ES138" i="36"/>
  <c r="ER139" i="36"/>
  <c r="ER442" i="36"/>
  <c r="ER171" i="36"/>
  <c r="ER182" i="36"/>
  <c r="EM653" i="36"/>
  <c r="EL656" i="36"/>
  <c r="FJ82" i="36"/>
  <c r="FJ104" i="36" s="1"/>
  <c r="FI83" i="36"/>
  <c r="FI149" i="36"/>
  <c r="EX543" i="36"/>
  <c r="E2248" i="3"/>
  <c r="E2247" i="3"/>
  <c r="EY88" i="35" l="1"/>
  <c r="EZ89" i="35" s="1"/>
  <c r="EZ87" i="35" s="1"/>
  <c r="FC88" i="35"/>
  <c r="FH89" i="35" s="1"/>
  <c r="FH87" i="35" s="1"/>
  <c r="EX565" i="36"/>
  <c r="EX569" i="36" s="1"/>
  <c r="EX440" i="36"/>
  <c r="EX445" i="36" s="1"/>
  <c r="EU551" i="36"/>
  <c r="EU556" i="36"/>
  <c r="EU555" i="36" s="1"/>
  <c r="ET555" i="36"/>
  <c r="FB169" i="36"/>
  <c r="FB174" i="36" s="1"/>
  <c r="EQ526" i="36"/>
  <c r="ES567" i="36"/>
  <c r="ES569" i="36"/>
  <c r="FC92" i="35"/>
  <c r="EY92" i="35"/>
  <c r="EZ92" i="35" s="1"/>
  <c r="FA92" i="35" s="1"/>
  <c r="FB92" i="35" s="1"/>
  <c r="FG92" i="35" s="1"/>
  <c r="EW133" i="35"/>
  <c r="EW148" i="35"/>
  <c r="EX148" i="35" s="1"/>
  <c r="EX169" i="36"/>
  <c r="EX174" i="36" s="1"/>
  <c r="FA58" i="36"/>
  <c r="FA44" i="35"/>
  <c r="FF106" i="36"/>
  <c r="FE548" i="36"/>
  <c r="FG90" i="36"/>
  <c r="FH86" i="36"/>
  <c r="FH88" i="36" s="1"/>
  <c r="FG88" i="36"/>
  <c r="FC136" i="36"/>
  <c r="FC141" i="36" s="1"/>
  <c r="FE568" i="36"/>
  <c r="FE95" i="36"/>
  <c r="FE97" i="36"/>
  <c r="FG105" i="36"/>
  <c r="FG106" i="36" s="1"/>
  <c r="EY406" i="36"/>
  <c r="FC269" i="36"/>
  <c r="FC274" i="36" s="1"/>
  <c r="EV275" i="36"/>
  <c r="EZ275" i="36"/>
  <c r="FE275" i="36" s="1"/>
  <c r="FE544" i="36"/>
  <c r="FB58" i="36"/>
  <c r="FB44" i="35"/>
  <c r="EY440" i="36"/>
  <c r="FC303" i="36"/>
  <c r="FC308" i="36" s="1"/>
  <c r="FD547" i="36"/>
  <c r="FE303" i="36"/>
  <c r="FE440" i="36" s="1"/>
  <c r="FE445" i="36" s="1"/>
  <c r="FF258" i="36"/>
  <c r="FE269" i="36"/>
  <c r="FE406" i="36" s="1"/>
  <c r="FE411" i="36" s="1"/>
  <c r="FE108" i="36"/>
  <c r="FF92" i="36"/>
  <c r="FF94" i="36"/>
  <c r="FF107" i="36" s="1"/>
  <c r="FF91" i="36"/>
  <c r="FF542" i="36"/>
  <c r="EY400" i="36"/>
  <c r="FA174" i="36"/>
  <c r="FD395" i="36"/>
  <c r="FD303" i="36"/>
  <c r="FD269" i="36"/>
  <c r="FE258" i="36"/>
  <c r="FD108" i="36"/>
  <c r="EX395" i="36"/>
  <c r="EX400" i="36" s="1"/>
  <c r="EZ395" i="36"/>
  <c r="EZ400" i="36" s="1"/>
  <c r="EU259" i="36"/>
  <c r="ER298" i="36"/>
  <c r="ER424" i="36" s="1"/>
  <c r="ES293" i="36"/>
  <c r="EM656" i="36"/>
  <c r="ET276" i="36"/>
  <c r="EU268" i="36"/>
  <c r="EU405" i="36" s="1"/>
  <c r="ET273" i="36"/>
  <c r="ET272" i="36"/>
  <c r="ET315" i="36"/>
  <c r="EU125" i="36"/>
  <c r="ES485" i="36"/>
  <c r="ES486" i="36" s="1"/>
  <c r="ES72" i="36"/>
  <c r="FJ83" i="36"/>
  <c r="FK82" i="36"/>
  <c r="FJ149" i="36"/>
  <c r="ER203" i="36"/>
  <c r="ER183" i="36"/>
  <c r="ES182" i="36"/>
  <c r="ES183" i="36" s="1"/>
  <c r="EQ357" i="36"/>
  <c r="EQ219" i="36"/>
  <c r="EQ73" i="36"/>
  <c r="EP357" i="36"/>
  <c r="EP219" i="36"/>
  <c r="EP73" i="36"/>
  <c r="ET307" i="36"/>
  <c r="ET310" i="36"/>
  <c r="EU302" i="36"/>
  <c r="ET306" i="36"/>
  <c r="ET318" i="36"/>
  <c r="ER418" i="36"/>
  <c r="ER286" i="36"/>
  <c r="EW286" i="36" s="1"/>
  <c r="FB286" i="36" s="1"/>
  <c r="FG286" i="36" s="1"/>
  <c r="ER292" i="36"/>
  <c r="ET407" i="36"/>
  <c r="ES143" i="36"/>
  <c r="ET135" i="36"/>
  <c r="ES139" i="36"/>
  <c r="ET219" i="36"/>
  <c r="EY219" i="36" s="1"/>
  <c r="FD219" i="36" s="1"/>
  <c r="EO220" i="36"/>
  <c r="EO217" i="36"/>
  <c r="ET399" i="36"/>
  <c r="ET396" i="36"/>
  <c r="ET398" i="36"/>
  <c r="ET402" i="36"/>
  <c r="EU394" i="36"/>
  <c r="ET451" i="36"/>
  <c r="ER173" i="36"/>
  <c r="ES173" i="36" s="1"/>
  <c r="ER160" i="36"/>
  <c r="ER172" i="36"/>
  <c r="ES171" i="36"/>
  <c r="ER176" i="36"/>
  <c r="ES442" i="36"/>
  <c r="ER443" i="36"/>
  <c r="ER447" i="36"/>
  <c r="ER444" i="36"/>
  <c r="ES444" i="36" s="1"/>
  <c r="ER454" i="36"/>
  <c r="EO358" i="36"/>
  <c r="EO355" i="36"/>
  <c r="ER485" i="36"/>
  <c r="ER486" i="36" s="1"/>
  <c r="ER72" i="36"/>
  <c r="EW58" i="36"/>
  <c r="EW44" i="35"/>
  <c r="ET488" i="36"/>
  <c r="ET199" i="36"/>
  <c r="ET541" i="36"/>
  <c r="FJ146" i="36"/>
  <c r="FI150" i="36"/>
  <c r="FI151" i="36"/>
  <c r="ET200" i="36"/>
  <c r="ES602" i="36"/>
  <c r="ES630" i="36" s="1"/>
  <c r="ES642" i="36" s="1"/>
  <c r="ES414" i="36"/>
  <c r="ES413" i="36"/>
  <c r="ES409" i="36"/>
  <c r="EU114" i="36"/>
  <c r="EU115" i="36" s="1"/>
  <c r="ET337" i="36"/>
  <c r="B2277" i="3"/>
  <c r="C2277" i="3" s="1"/>
  <c r="B2271" i="3"/>
  <c r="EZ85" i="35" l="1"/>
  <c r="EZ88" i="35" s="1"/>
  <c r="EY91" i="35"/>
  <c r="EY93" i="35" s="1"/>
  <c r="EY80" i="35" s="1"/>
  <c r="EY148" i="35" s="1"/>
  <c r="FD89" i="35"/>
  <c r="FD87" i="35" s="1"/>
  <c r="FH85" i="35"/>
  <c r="FH88" i="35" s="1"/>
  <c r="FD85" i="35"/>
  <c r="FC91" i="35"/>
  <c r="FC93" i="35" s="1"/>
  <c r="EX567" i="36"/>
  <c r="FC169" i="36"/>
  <c r="FC174" i="36" s="1"/>
  <c r="EU559" i="36"/>
  <c r="ET559" i="36"/>
  <c r="FD92" i="35"/>
  <c r="FE92" i="35" s="1"/>
  <c r="FF92" i="35" s="1"/>
  <c r="FH92" i="35"/>
  <c r="FI92" i="35" s="1"/>
  <c r="FJ92" i="35" s="1"/>
  <c r="FK92" i="35" s="1"/>
  <c r="FL92" i="35" s="1"/>
  <c r="FM92" i="35" s="1"/>
  <c r="FH105" i="36"/>
  <c r="FD406" i="36"/>
  <c r="EW275" i="36"/>
  <c r="FB275" i="36" s="1"/>
  <c r="FG275" i="36" s="1"/>
  <c r="FA275" i="36"/>
  <c r="FF275" i="36" s="1"/>
  <c r="FD440" i="36"/>
  <c r="FH90" i="36"/>
  <c r="FG94" i="36"/>
  <c r="FG107" i="36" s="1"/>
  <c r="FG542" i="36"/>
  <c r="FG540" i="36" s="1"/>
  <c r="FG547" i="36" s="1"/>
  <c r="FG92" i="36"/>
  <c r="FG91" i="36"/>
  <c r="FH91" i="36" s="1"/>
  <c r="FD548" i="36"/>
  <c r="FF568" i="36"/>
  <c r="FF95" i="36"/>
  <c r="FF97" i="36"/>
  <c r="FF124" i="36"/>
  <c r="FF113" i="36"/>
  <c r="FF108" i="36"/>
  <c r="FF68" i="36" s="1"/>
  <c r="FH106" i="36"/>
  <c r="FF136" i="36"/>
  <c r="FF269" i="36"/>
  <c r="FG258" i="36"/>
  <c r="FF303" i="36"/>
  <c r="FF544" i="36"/>
  <c r="EY411" i="36"/>
  <c r="FC406" i="36"/>
  <c r="FC411" i="36" s="1"/>
  <c r="FF540" i="36"/>
  <c r="EY445" i="36"/>
  <c r="FC440" i="36"/>
  <c r="FC445" i="36" s="1"/>
  <c r="FC395" i="36"/>
  <c r="FC400" i="36" s="1"/>
  <c r="FG113" i="36"/>
  <c r="FG124" i="36"/>
  <c r="FG136" i="36"/>
  <c r="FD400" i="36"/>
  <c r="FD357" i="36"/>
  <c r="FD220" i="36"/>
  <c r="FE395" i="36"/>
  <c r="FE400" i="36" s="1"/>
  <c r="EY357" i="36"/>
  <c r="EY220" i="36"/>
  <c r="EW281" i="36"/>
  <c r="EW418" i="36" s="1"/>
  <c r="ET341" i="36"/>
  <c r="EP358" i="36"/>
  <c r="EP355" i="36"/>
  <c r="ER465" i="36"/>
  <c r="ER204" i="36"/>
  <c r="ER211" i="36"/>
  <c r="ER44" i="36"/>
  <c r="ES203" i="36"/>
  <c r="ES357" i="36"/>
  <c r="ES358" i="36" s="1"/>
  <c r="ES219" i="36"/>
  <c r="ES220" i="36" s="1"/>
  <c r="ES73" i="36"/>
  <c r="ET208" i="36"/>
  <c r="ER357" i="36"/>
  <c r="ER219" i="36"/>
  <c r="ER73" i="36"/>
  <c r="ER162" i="36"/>
  <c r="ES160" i="36"/>
  <c r="ER161" i="36"/>
  <c r="ER165" i="36"/>
  <c r="ET401" i="36"/>
  <c r="EO218" i="36"/>
  <c r="ET412" i="36"/>
  <c r="ET408" i="36"/>
  <c r="FK146" i="36"/>
  <c r="FJ150" i="36"/>
  <c r="FJ151" i="36"/>
  <c r="ET461" i="36"/>
  <c r="ET207" i="36"/>
  <c r="ET40" i="36"/>
  <c r="EO356" i="36"/>
  <c r="ES604" i="36"/>
  <c r="ES443" i="36"/>
  <c r="ES447" i="36"/>
  <c r="ET357" i="36"/>
  <c r="ET217" i="36"/>
  <c r="ET220" i="36"/>
  <c r="EQ358" i="36"/>
  <c r="EQ355" i="36"/>
  <c r="EV112" i="36"/>
  <c r="EU180" i="36"/>
  <c r="EU117" i="36"/>
  <c r="EU120" i="36"/>
  <c r="EV552" i="36" s="1"/>
  <c r="EU116" i="36"/>
  <c r="EU304" i="36"/>
  <c r="EV219" i="36"/>
  <c r="FA219" i="36" s="1"/>
  <c r="FF219" i="36" s="1"/>
  <c r="EQ220" i="36"/>
  <c r="EQ217" i="36"/>
  <c r="EU260" i="36"/>
  <c r="FK83" i="36"/>
  <c r="FL82" i="36"/>
  <c r="FK149" i="36"/>
  <c r="ET439" i="36"/>
  <c r="EX135" i="36"/>
  <c r="ET137" i="36"/>
  <c r="ET168" i="36"/>
  <c r="EX168" i="36" s="1"/>
  <c r="FK104" i="36"/>
  <c r="EU270" i="36"/>
  <c r="EU407" i="36" s="1"/>
  <c r="ET345" i="36"/>
  <c r="ET338" i="36"/>
  <c r="ET489" i="36"/>
  <c r="EX488" i="36"/>
  <c r="ER297" i="36"/>
  <c r="ER423" i="36" s="1"/>
  <c r="ES320" i="36"/>
  <c r="ES454" i="36"/>
  <c r="ER455" i="36"/>
  <c r="ES176" i="36"/>
  <c r="ES172" i="36"/>
  <c r="EP220" i="36"/>
  <c r="EP217" i="36"/>
  <c r="EU219" i="36"/>
  <c r="EZ219" i="36" s="1"/>
  <c r="FE219" i="36" s="1"/>
  <c r="ER247" i="36"/>
  <c r="ER230" i="36"/>
  <c r="ER320" i="36"/>
  <c r="EU126" i="36"/>
  <c r="B2278" i="3"/>
  <c r="C2271" i="3"/>
  <c r="FD88" i="35" l="1"/>
  <c r="FE89" i="35" s="1"/>
  <c r="FF406" i="36"/>
  <c r="FF411" i="36" s="1"/>
  <c r="EY133" i="35"/>
  <c r="FF561" i="36"/>
  <c r="FG561" i="36"/>
  <c r="ET560" i="36"/>
  <c r="ET562" i="36"/>
  <c r="ET573" i="36"/>
  <c r="EU560" i="36"/>
  <c r="EU562" i="36"/>
  <c r="EU573" i="36"/>
  <c r="EV551" i="36"/>
  <c r="EV556" i="36"/>
  <c r="EZ91" i="35"/>
  <c r="EZ93" i="35" s="1"/>
  <c r="EZ80" i="35" s="1"/>
  <c r="FA85" i="35"/>
  <c r="FI85" i="35"/>
  <c r="FI88" i="35" s="1"/>
  <c r="FH91" i="35"/>
  <c r="FH93" i="35" s="1"/>
  <c r="FA89" i="35"/>
  <c r="EW292" i="36"/>
  <c r="EW297" i="36" s="1"/>
  <c r="EW423" i="36" s="1"/>
  <c r="FG269" i="36"/>
  <c r="FG406" i="36" s="1"/>
  <c r="FG303" i="36"/>
  <c r="FH303" i="36" s="1"/>
  <c r="FG281" i="36"/>
  <c r="FG292" i="36" s="1"/>
  <c r="FG297" i="36" s="1"/>
  <c r="FH107" i="36"/>
  <c r="FG108" i="36"/>
  <c r="FG68" i="36" s="1"/>
  <c r="FH540" i="36"/>
  <c r="FH136" i="36"/>
  <c r="FH141" i="36" s="1"/>
  <c r="FI141" i="36" s="1"/>
  <c r="FJ141" i="36" s="1"/>
  <c r="FK141" i="36" s="1"/>
  <c r="FF440" i="36"/>
  <c r="FF445" i="36" s="1"/>
  <c r="FG548" i="36"/>
  <c r="FG169" i="36"/>
  <c r="FG174" i="36" s="1"/>
  <c r="FG544" i="36"/>
  <c r="FH544" i="36" s="1"/>
  <c r="FH113" i="36"/>
  <c r="FH118" i="36" s="1"/>
  <c r="FI118" i="36" s="1"/>
  <c r="FJ118" i="36" s="1"/>
  <c r="FK118" i="36" s="1"/>
  <c r="FL118" i="36" s="1"/>
  <c r="FM118" i="36" s="1"/>
  <c r="FF169" i="36"/>
  <c r="FH92" i="36"/>
  <c r="FI87" i="36"/>
  <c r="FD411" i="36"/>
  <c r="FF58" i="36"/>
  <c r="FF44" i="35"/>
  <c r="FH124" i="36"/>
  <c r="FH129" i="36" s="1"/>
  <c r="FI129" i="36" s="1"/>
  <c r="FJ129" i="36" s="1"/>
  <c r="FK129" i="36" s="1"/>
  <c r="FF395" i="36"/>
  <c r="FF400" i="36" s="1"/>
  <c r="FH94" i="36"/>
  <c r="FH97" i="36" s="1"/>
  <c r="FG568" i="36"/>
  <c r="FG97" i="36"/>
  <c r="FG95" i="36"/>
  <c r="FH95" i="36" s="1"/>
  <c r="FH542" i="36"/>
  <c r="FG395" i="36"/>
  <c r="FG400" i="36" s="1"/>
  <c r="FH258" i="36"/>
  <c r="FD445" i="36"/>
  <c r="FE357" i="36"/>
  <c r="FE220" i="36"/>
  <c r="FB281" i="36"/>
  <c r="FF220" i="36"/>
  <c r="FF357" i="36"/>
  <c r="FD358" i="36"/>
  <c r="FA220" i="36"/>
  <c r="FA357" i="36"/>
  <c r="EZ220" i="36"/>
  <c r="EZ357" i="36"/>
  <c r="EY358" i="36"/>
  <c r="EU412" i="36"/>
  <c r="EU408" i="36"/>
  <c r="EU397" i="36"/>
  <c r="EV257" i="36"/>
  <c r="EU265" i="36"/>
  <c r="EU261" i="36"/>
  <c r="EU262" i="36"/>
  <c r="EU314" i="36"/>
  <c r="EU131" i="36"/>
  <c r="EU127" i="36"/>
  <c r="EU132" i="36"/>
  <c r="EU128" i="36"/>
  <c r="EV123" i="36"/>
  <c r="EU181" i="36"/>
  <c r="EU217" i="36" s="1"/>
  <c r="FL83" i="36"/>
  <c r="FM82" i="36"/>
  <c r="FM104" i="36" s="1"/>
  <c r="FL149" i="36"/>
  <c r="EV220" i="36"/>
  <c r="EV357" i="36"/>
  <c r="EQ356" i="36"/>
  <c r="EQ372" i="36"/>
  <c r="ES605" i="36"/>
  <c r="ER158" i="36"/>
  <c r="ES162" i="36"/>
  <c r="ET346" i="36"/>
  <c r="ET414" i="36"/>
  <c r="ET410" i="36"/>
  <c r="ET413" i="36"/>
  <c r="ET409" i="36"/>
  <c r="ET452" i="36"/>
  <c r="ER220" i="36"/>
  <c r="ER217" i="36"/>
  <c r="EW219" i="36"/>
  <c r="FB219" i="36" s="1"/>
  <c r="FG219" i="36" s="1"/>
  <c r="ER466" i="36"/>
  <c r="ER467" i="36" s="1"/>
  <c r="ER45" i="36"/>
  <c r="ER46" i="36" s="1"/>
  <c r="FL146" i="36"/>
  <c r="FK150" i="36"/>
  <c r="FK151" i="36"/>
  <c r="ET471" i="36"/>
  <c r="ER231" i="36"/>
  <c r="ES230" i="36"/>
  <c r="ET441" i="36"/>
  <c r="ET170" i="36"/>
  <c r="EU199" i="36"/>
  <c r="EU488" i="36"/>
  <c r="EU489" i="36" s="1"/>
  <c r="EU541" i="36"/>
  <c r="ER358" i="36"/>
  <c r="ER355" i="36"/>
  <c r="ES355" i="36" s="1"/>
  <c r="ES356" i="36" s="1"/>
  <c r="ER475" i="36"/>
  <c r="ES465" i="36"/>
  <c r="ES475" i="36" s="1"/>
  <c r="FL104" i="36"/>
  <c r="EU305" i="36"/>
  <c r="EV114" i="36"/>
  <c r="ET218" i="36"/>
  <c r="ET9" i="35"/>
  <c r="ET41" i="36"/>
  <c r="EP356" i="36"/>
  <c r="EU357" i="36"/>
  <c r="EU220" i="36"/>
  <c r="ET138" i="36"/>
  <c r="ET358" i="36"/>
  <c r="ET355" i="36"/>
  <c r="EX489" i="36"/>
  <c r="ET349" i="36"/>
  <c r="ER13" i="35"/>
  <c r="ES44" i="36"/>
  <c r="EP218" i="36"/>
  <c r="EU271" i="36"/>
  <c r="EX439" i="36"/>
  <c r="EQ218" i="36"/>
  <c r="EQ235" i="36"/>
  <c r="ES165" i="36"/>
  <c r="ET157" i="36"/>
  <c r="ES161" i="36"/>
  <c r="ET462" i="36"/>
  <c r="ES194" i="36"/>
  <c r="ES195" i="36" s="1"/>
  <c r="ES211" i="36"/>
  <c r="C2269" i="3"/>
  <c r="C2270" i="3"/>
  <c r="C2274" i="3"/>
  <c r="C2275" i="3"/>
  <c r="C2276" i="3"/>
  <c r="C2268" i="3"/>
  <c r="C2266" i="3"/>
  <c r="FD91" i="35" l="1"/>
  <c r="FD93" i="35" s="1"/>
  <c r="FD80" i="35" s="1"/>
  <c r="FD148" i="35" s="1"/>
  <c r="FE85" i="35"/>
  <c r="FH269" i="36"/>
  <c r="FH274" i="36" s="1"/>
  <c r="FI274" i="36" s="1"/>
  <c r="FJ274" i="36" s="1"/>
  <c r="FK274" i="36" s="1"/>
  <c r="FG440" i="36"/>
  <c r="FG445" i="36" s="1"/>
  <c r="FH561" i="36"/>
  <c r="ET589" i="36"/>
  <c r="ET588" i="36" s="1"/>
  <c r="EU591" i="36" s="1"/>
  <c r="ET577" i="36"/>
  <c r="ET579" i="36"/>
  <c r="ET581" i="36" s="1"/>
  <c r="ET585" i="36" s="1"/>
  <c r="ET575" i="36"/>
  <c r="ET107" i="35"/>
  <c r="EV555" i="36"/>
  <c r="EU577" i="36"/>
  <c r="EU579" i="36"/>
  <c r="EU581" i="36" s="1"/>
  <c r="EU585" i="36" s="1"/>
  <c r="EU575" i="36"/>
  <c r="EU107" i="35"/>
  <c r="EU589" i="36"/>
  <c r="FI91" i="35"/>
  <c r="FI93" i="35" s="1"/>
  <c r="FI80" i="35" s="1"/>
  <c r="FJ89" i="35"/>
  <c r="FJ85" i="35"/>
  <c r="EZ133" i="35"/>
  <c r="EZ148" i="35"/>
  <c r="FE87" i="35"/>
  <c r="FA87" i="35"/>
  <c r="FH308" i="36"/>
  <c r="FI308" i="36" s="1"/>
  <c r="FJ308" i="36" s="1"/>
  <c r="FK308" i="36" s="1"/>
  <c r="FH108" i="36"/>
  <c r="FG411" i="36"/>
  <c r="FH406" i="36"/>
  <c r="FH411" i="36" s="1"/>
  <c r="FH263" i="36"/>
  <c r="FI263" i="36" s="1"/>
  <c r="FG58" i="36"/>
  <c r="FG44" i="35"/>
  <c r="FI96" i="36"/>
  <c r="FI86" i="36"/>
  <c r="FF174" i="36"/>
  <c r="FH169" i="36"/>
  <c r="FH174" i="36" s="1"/>
  <c r="FH568" i="36"/>
  <c r="FB292" i="36"/>
  <c r="FH395" i="36"/>
  <c r="FH400" i="36" s="1"/>
  <c r="FH543" i="36"/>
  <c r="FJ543" i="36" s="1"/>
  <c r="FK543" i="36" s="1"/>
  <c r="FL543" i="36" s="1"/>
  <c r="FM543" i="36" s="1"/>
  <c r="FB418" i="36"/>
  <c r="FG220" i="36"/>
  <c r="FG357" i="36"/>
  <c r="FF358" i="36"/>
  <c r="FG418" i="36"/>
  <c r="FG423" i="36"/>
  <c r="FE358" i="36"/>
  <c r="EZ358" i="36"/>
  <c r="FA358" i="36"/>
  <c r="FB220" i="36"/>
  <c r="FB357" i="36"/>
  <c r="ET175" i="36"/>
  <c r="ET153" i="36" s="1"/>
  <c r="EQ237" i="36"/>
  <c r="EQ239" i="36"/>
  <c r="EQ222" i="36"/>
  <c r="EQ241" i="36"/>
  <c r="ES13" i="35"/>
  <c r="EW357" i="36"/>
  <c r="EW220" i="36"/>
  <c r="FM83" i="36"/>
  <c r="FM149" i="36"/>
  <c r="EU200" i="36"/>
  <c r="ER47" i="36"/>
  <c r="EU218" i="36"/>
  <c r="EV115" i="36"/>
  <c r="ER218" i="36"/>
  <c r="ER235" i="36"/>
  <c r="EV125" i="36"/>
  <c r="EV126" i="36" s="1"/>
  <c r="EV181" i="36" s="1"/>
  <c r="EU337" i="36"/>
  <c r="EU461" i="36" s="1"/>
  <c r="ER468" i="36"/>
  <c r="ET446" i="36"/>
  <c r="ES231" i="36"/>
  <c r="ES232" i="36"/>
  <c r="ES233" i="36" s="1"/>
  <c r="ER14" i="35"/>
  <c r="EV358" i="36"/>
  <c r="FL141" i="36"/>
  <c r="EU413" i="36"/>
  <c r="EU409" i="36"/>
  <c r="EU410" i="36"/>
  <c r="EU414" i="36"/>
  <c r="EU452" i="36"/>
  <c r="EU307" i="36"/>
  <c r="EU310" i="36"/>
  <c r="EU306" i="36"/>
  <c r="EV302" i="36"/>
  <c r="EU318" i="36"/>
  <c r="ET472" i="36"/>
  <c r="ET356" i="36"/>
  <c r="ER356" i="36"/>
  <c r="ER372" i="36"/>
  <c r="EV259" i="36"/>
  <c r="EU358" i="36"/>
  <c r="FL129" i="36"/>
  <c r="ET10" i="35"/>
  <c r="EU207" i="36"/>
  <c r="EQ374" i="36"/>
  <c r="EQ378" i="36"/>
  <c r="EQ376" i="36"/>
  <c r="EV268" i="36"/>
  <c r="EV405" i="36" s="1"/>
  <c r="EU273" i="36"/>
  <c r="EU272" i="36"/>
  <c r="EU276" i="36"/>
  <c r="EU315" i="36"/>
  <c r="ET143" i="36"/>
  <c r="EU135" i="36"/>
  <c r="ET139" i="36"/>
  <c r="ET140" i="36"/>
  <c r="ET171" i="36"/>
  <c r="ET442" i="36"/>
  <c r="ET182" i="36"/>
  <c r="ET483" i="36"/>
  <c r="ER163" i="36"/>
  <c r="ES158" i="36"/>
  <c r="ES163" i="36" s="1"/>
  <c r="FL150" i="36"/>
  <c r="FL151" i="36"/>
  <c r="FM146" i="36"/>
  <c r="EU399" i="36"/>
  <c r="EU396" i="36"/>
  <c r="EU398" i="36"/>
  <c r="EV394" i="36"/>
  <c r="EU402" i="36"/>
  <c r="EU451" i="36"/>
  <c r="ES217" i="36"/>
  <c r="ES218" i="36" s="1"/>
  <c r="B2233" i="3"/>
  <c r="C2233" i="3" s="1"/>
  <c r="C2232" i="3" s="1"/>
  <c r="B2230" i="3"/>
  <c r="C2230" i="3" s="1"/>
  <c r="FD133" i="35" l="1"/>
  <c r="FE88" i="35"/>
  <c r="FF89" i="35" s="1"/>
  <c r="FF87" i="35" s="1"/>
  <c r="ET593" i="36"/>
  <c r="ET65" i="35"/>
  <c r="ET97" i="35" s="1"/>
  <c r="FH440" i="36"/>
  <c r="FH445" i="36" s="1"/>
  <c r="FA88" i="35"/>
  <c r="FB89" i="35" s="1"/>
  <c r="FB87" i="35" s="1"/>
  <c r="EU144" i="35"/>
  <c r="EU110" i="35"/>
  <c r="EU130" i="35"/>
  <c r="EV559" i="36"/>
  <c r="ET110" i="35"/>
  <c r="ET130" i="35"/>
  <c r="ET144" i="35"/>
  <c r="FJ87" i="35"/>
  <c r="FJ88" i="35" s="1"/>
  <c r="FI133" i="35"/>
  <c r="FI148" i="35"/>
  <c r="FB297" i="36"/>
  <c r="FB423" i="36" s="1"/>
  <c r="FI258" i="36"/>
  <c r="FJ263" i="36"/>
  <c r="FK263" i="36" s="1"/>
  <c r="FL263" i="36" s="1"/>
  <c r="FI88" i="36"/>
  <c r="FI105" i="36"/>
  <c r="FI106" i="36" s="1"/>
  <c r="FI90" i="36"/>
  <c r="EU40" i="36"/>
  <c r="EU9" i="35" s="1"/>
  <c r="FG358" i="36"/>
  <c r="FB358" i="36"/>
  <c r="EU471" i="36"/>
  <c r="EV304" i="36"/>
  <c r="FL308" i="36"/>
  <c r="EV200" i="36"/>
  <c r="EV217" i="36"/>
  <c r="EQ227" i="36"/>
  <c r="EQ224" i="36"/>
  <c r="EU439" i="36"/>
  <c r="EU137" i="36"/>
  <c r="EU138" i="36" s="1"/>
  <c r="EU168" i="36"/>
  <c r="EV131" i="36"/>
  <c r="EV127" i="36"/>
  <c r="EW123" i="36"/>
  <c r="EV132" i="36"/>
  <c r="EV128" i="36"/>
  <c r="ER237" i="36"/>
  <c r="ER241" i="36"/>
  <c r="ER239" i="36"/>
  <c r="ER222" i="36"/>
  <c r="EU208" i="36"/>
  <c r="EU338" i="36"/>
  <c r="EU462" i="36" s="1"/>
  <c r="EV260" i="36"/>
  <c r="FM141" i="36"/>
  <c r="ER470" i="36"/>
  <c r="FL274" i="36"/>
  <c r="ER378" i="36"/>
  <c r="ER376" i="36"/>
  <c r="ER374" i="36"/>
  <c r="EU401" i="36"/>
  <c r="ET203" i="36"/>
  <c r="ET183" i="36"/>
  <c r="EV270" i="36"/>
  <c r="EV407" i="36" s="1"/>
  <c r="ER49" i="36"/>
  <c r="EW358" i="36"/>
  <c r="EU341" i="36"/>
  <c r="ET485" i="36"/>
  <c r="ET486" i="36" s="1"/>
  <c r="ET484" i="36"/>
  <c r="ET67" i="36"/>
  <c r="ET443" i="36"/>
  <c r="ET444" i="36"/>
  <c r="ET447" i="36"/>
  <c r="ET454" i="36"/>
  <c r="EV180" i="36"/>
  <c r="EV117" i="36"/>
  <c r="EV120" i="36"/>
  <c r="EW552" i="36" s="1"/>
  <c r="EW112" i="36"/>
  <c r="EV116" i="36"/>
  <c r="FM150" i="36"/>
  <c r="FM151" i="36"/>
  <c r="ER15" i="35"/>
  <c r="ET164" i="36"/>
  <c r="ET159" i="36" s="1"/>
  <c r="ET148" i="36"/>
  <c r="ET173" i="36"/>
  <c r="ET176" i="36"/>
  <c r="ET160" i="36"/>
  <c r="ET172" i="36"/>
  <c r="FM129" i="36"/>
  <c r="EU355" i="36"/>
  <c r="EU345" i="36"/>
  <c r="EU588" i="36"/>
  <c r="C2231" i="3"/>
  <c r="B2232" i="3"/>
  <c r="B2234" i="3" s="1"/>
  <c r="B2224" i="3"/>
  <c r="B2244" i="3"/>
  <c r="B2250" i="3"/>
  <c r="B2258" i="3"/>
  <c r="ET153" i="35" l="1"/>
  <c r="FE91" i="35"/>
  <c r="FE93" i="35" s="1"/>
  <c r="FE80" i="35" s="1"/>
  <c r="FE148" i="35" s="1"/>
  <c r="FF85" i="35"/>
  <c r="FF88" i="35" s="1"/>
  <c r="FF91" i="35" s="1"/>
  <c r="FF93" i="35" s="1"/>
  <c r="FF80" i="35" s="1"/>
  <c r="FF148" i="35" s="1"/>
  <c r="FA91" i="35"/>
  <c r="FA93" i="35" s="1"/>
  <c r="FA80" i="35" s="1"/>
  <c r="FA148" i="35" s="1"/>
  <c r="FB85" i="35"/>
  <c r="FB88" i="35" s="1"/>
  <c r="FK89" i="35"/>
  <c r="EV560" i="36"/>
  <c r="EV562" i="36"/>
  <c r="EV573" i="36"/>
  <c r="EW556" i="36"/>
  <c r="EW551" i="36"/>
  <c r="EX552" i="36"/>
  <c r="FK85" i="35"/>
  <c r="FJ91" i="35"/>
  <c r="FJ93" i="35" s="1"/>
  <c r="FJ80" i="35" s="1"/>
  <c r="FI542" i="36"/>
  <c r="FI92" i="36"/>
  <c r="FI94" i="36"/>
  <c r="FJ87" i="36"/>
  <c r="FI91" i="36"/>
  <c r="FI124" i="36"/>
  <c r="FI113" i="36"/>
  <c r="FI136" i="36"/>
  <c r="EV412" i="36"/>
  <c r="EV408" i="36"/>
  <c r="ET178" i="35"/>
  <c r="FM263" i="36"/>
  <c r="EU356" i="36"/>
  <c r="EU483" i="36"/>
  <c r="ET162" i="36"/>
  <c r="EU157" i="36"/>
  <c r="ET161" i="36"/>
  <c r="ET165" i="36"/>
  <c r="ET147" i="36"/>
  <c r="ET465" i="36"/>
  <c r="ET211" i="36"/>
  <c r="ET44" i="36"/>
  <c r="EV397" i="36"/>
  <c r="EV261" i="36"/>
  <c r="EV262" i="36"/>
  <c r="EV265" i="36"/>
  <c r="EW257" i="36"/>
  <c r="EV314" i="36"/>
  <c r="EV218" i="36"/>
  <c r="ER526" i="36"/>
  <c r="EU472" i="36"/>
  <c r="EU441" i="36"/>
  <c r="EU170" i="36"/>
  <c r="EV208" i="36"/>
  <c r="ER16" i="35"/>
  <c r="EV135" i="36"/>
  <c r="EU139" i="36"/>
  <c r="EU143" i="36"/>
  <c r="EU140" i="36"/>
  <c r="EU171" i="36"/>
  <c r="EU442" i="36"/>
  <c r="EU454" i="36" s="1"/>
  <c r="EU346" i="36"/>
  <c r="EU182" i="36"/>
  <c r="FM308" i="36"/>
  <c r="FM274" i="36"/>
  <c r="EV488" i="36"/>
  <c r="EV489" i="36" s="1"/>
  <c r="EV199" i="36"/>
  <c r="EV190" i="36"/>
  <c r="EV191" i="36" s="1"/>
  <c r="EV541" i="36"/>
  <c r="EW125" i="36"/>
  <c r="EW114" i="36"/>
  <c r="EW115" i="36" s="1"/>
  <c r="EV271" i="36"/>
  <c r="ER224" i="36"/>
  <c r="ER227" i="36"/>
  <c r="EV305" i="36"/>
  <c r="EU593" i="36"/>
  <c r="EV591" i="36"/>
  <c r="EU65" i="35"/>
  <c r="ET72" i="36"/>
  <c r="ET73" i="36" s="1"/>
  <c r="ET57" i="36"/>
  <c r="ET43" i="35"/>
  <c r="EU349" i="36"/>
  <c r="ET230" i="36"/>
  <c r="ET320" i="36"/>
  <c r="EU41" i="36"/>
  <c r="F2247" i="3"/>
  <c r="E2266" i="3"/>
  <c r="E2270" i="3"/>
  <c r="B2262" i="3"/>
  <c r="B2279" i="3" s="1"/>
  <c r="E2258" i="3"/>
  <c r="F2258" i="3" s="1"/>
  <c r="C2278" i="3"/>
  <c r="B2249" i="3"/>
  <c r="FE133" i="35" l="1"/>
  <c r="FF133" i="35"/>
  <c r="FG89" i="35"/>
  <c r="FG87" i="35" s="1"/>
  <c r="FG85" i="35"/>
  <c r="FA133" i="35"/>
  <c r="FB91" i="35"/>
  <c r="FB93" i="35" s="1"/>
  <c r="FB80" i="35" s="1"/>
  <c r="FB133" i="35" s="1"/>
  <c r="EX551" i="36"/>
  <c r="EX553" i="36" s="1"/>
  <c r="EW555" i="36"/>
  <c r="EX555" i="36" s="1"/>
  <c r="EX556" i="36"/>
  <c r="EV589" i="36"/>
  <c r="EV588" i="36" s="1"/>
  <c r="EV577" i="36"/>
  <c r="EV579" i="36"/>
  <c r="EV581" i="36" s="1"/>
  <c r="EV585" i="36" s="1"/>
  <c r="EV575" i="36"/>
  <c r="EV107" i="35"/>
  <c r="FI395" i="36"/>
  <c r="FI400" i="36" s="1"/>
  <c r="FJ148" i="35"/>
  <c r="FJ133" i="35"/>
  <c r="FI561" i="36"/>
  <c r="FI169" i="36"/>
  <c r="FI174" i="36" s="1"/>
  <c r="FJ96" i="36"/>
  <c r="FJ86" i="36"/>
  <c r="FI97" i="36"/>
  <c r="FI95" i="36"/>
  <c r="FI107" i="36"/>
  <c r="FI568" i="36"/>
  <c r="FI540" i="36"/>
  <c r="FI547" i="36" s="1"/>
  <c r="FI544" i="36"/>
  <c r="EU203" i="36"/>
  <c r="EU183" i="36"/>
  <c r="ET475" i="36"/>
  <c r="ET158" i="36"/>
  <c r="EV310" i="36"/>
  <c r="EV306" i="36"/>
  <c r="EV307" i="36"/>
  <c r="EW302" i="36"/>
  <c r="EV318" i="36"/>
  <c r="EV273" i="36"/>
  <c r="EV276" i="36"/>
  <c r="EV272" i="36"/>
  <c r="EW268" i="36"/>
  <c r="EV315" i="36"/>
  <c r="EX114" i="36"/>
  <c r="EX119" i="36" s="1"/>
  <c r="EV207" i="36"/>
  <c r="EV202" i="36"/>
  <c r="EU447" i="36"/>
  <c r="EU443" i="36"/>
  <c r="EU444" i="36"/>
  <c r="EV399" i="36"/>
  <c r="EV396" i="36"/>
  <c r="EV398" i="36"/>
  <c r="EW394" i="36"/>
  <c r="EV402" i="36"/>
  <c r="EV451" i="36"/>
  <c r="EU485" i="36"/>
  <c r="EU486" i="36" s="1"/>
  <c r="EU484" i="36"/>
  <c r="EU67" i="36"/>
  <c r="EX125" i="36"/>
  <c r="EX130" i="36" s="1"/>
  <c r="ER18" i="35"/>
  <c r="EU175" i="36"/>
  <c r="EU153" i="36" s="1"/>
  <c r="EV337" i="36"/>
  <c r="ET152" i="36"/>
  <c r="EU446" i="36"/>
  <c r="EW259" i="36"/>
  <c r="ET13" i="35"/>
  <c r="EW180" i="36"/>
  <c r="EW120" i="36"/>
  <c r="EW116" i="36"/>
  <c r="EX115" i="36"/>
  <c r="EY112" i="36" s="1"/>
  <c r="FC112" i="36" s="1"/>
  <c r="EW117" i="36"/>
  <c r="EX117" i="36" s="1"/>
  <c r="EU10" i="35"/>
  <c r="ER225" i="36"/>
  <c r="ET231" i="36"/>
  <c r="EV439" i="36"/>
  <c r="EV137" i="36"/>
  <c r="EV138" i="36" s="1"/>
  <c r="EV442" i="36" s="1"/>
  <c r="EV168" i="36"/>
  <c r="EU176" i="36"/>
  <c r="EU160" i="36"/>
  <c r="EU173" i="36"/>
  <c r="EU172" i="36"/>
  <c r="EU153" i="35"/>
  <c r="EU97" i="35"/>
  <c r="EW126" i="36"/>
  <c r="EV413" i="36"/>
  <c r="EV409" i="36"/>
  <c r="EV410" i="36"/>
  <c r="EV414" i="36"/>
  <c r="EV452" i="36"/>
  <c r="E2269" i="3"/>
  <c r="F2269" i="3" s="1"/>
  <c r="B2272" i="3"/>
  <c r="B2251" i="3"/>
  <c r="B2259" i="3"/>
  <c r="H138" i="6"/>
  <c r="H139" i="6"/>
  <c r="FG88" i="35" l="1"/>
  <c r="FG91" i="35" s="1"/>
  <c r="FG93" i="35" s="1"/>
  <c r="FG80" i="35" s="1"/>
  <c r="FG148" i="35" s="1"/>
  <c r="FH148" i="35" s="1"/>
  <c r="FB148" i="35"/>
  <c r="FC148" i="35" s="1"/>
  <c r="EX557" i="36"/>
  <c r="EV144" i="35"/>
  <c r="EV130" i="35"/>
  <c r="EV110" i="35"/>
  <c r="EW559" i="36"/>
  <c r="FJ90" i="36"/>
  <c r="FJ88" i="36"/>
  <c r="FJ105" i="36"/>
  <c r="FJ106" i="36" s="1"/>
  <c r="FI548" i="36"/>
  <c r="FJ258" i="36"/>
  <c r="FI269" i="36"/>
  <c r="FI406" i="36" s="1"/>
  <c r="FI411" i="36" s="1"/>
  <c r="FI303" i="36"/>
  <c r="FI440" i="36" s="1"/>
  <c r="FI445" i="36" s="1"/>
  <c r="FI108" i="36"/>
  <c r="EY114" i="36"/>
  <c r="EV444" i="36"/>
  <c r="EV447" i="36"/>
  <c r="EV443" i="36"/>
  <c r="EW270" i="36"/>
  <c r="EW271" i="36" s="1"/>
  <c r="EW405" i="36"/>
  <c r="EV441" i="36"/>
  <c r="EV170" i="36"/>
  <c r="EW488" i="36"/>
  <c r="EW489" i="36" s="1"/>
  <c r="EW199" i="36"/>
  <c r="EW190" i="36"/>
  <c r="EW191" i="36" s="1"/>
  <c r="EW541" i="36"/>
  <c r="EX180" i="36"/>
  <c r="EX259" i="36"/>
  <c r="EX264" i="36" s="1"/>
  <c r="EV345" i="36"/>
  <c r="EV40" i="36"/>
  <c r="EU465" i="36"/>
  <c r="EU211" i="36"/>
  <c r="EU44" i="36"/>
  <c r="EV454" i="36"/>
  <c r="EU72" i="36"/>
  <c r="EU73" i="36" s="1"/>
  <c r="EU57" i="36"/>
  <c r="EU43" i="35"/>
  <c r="EV210" i="36"/>
  <c r="EV192" i="36"/>
  <c r="EV193" i="36" s="1"/>
  <c r="EV341" i="36"/>
  <c r="EV139" i="36"/>
  <c r="EV140" i="36"/>
  <c r="EW135" i="36"/>
  <c r="EV143" i="36"/>
  <c r="EV171" i="36"/>
  <c r="EX116" i="36"/>
  <c r="EX120" i="36"/>
  <c r="EY552" i="36" s="1"/>
  <c r="EW260" i="36"/>
  <c r="EV401" i="36"/>
  <c r="EW304" i="36"/>
  <c r="EX304" i="36" s="1"/>
  <c r="EX309" i="36" s="1"/>
  <c r="ET163" i="36"/>
  <c r="ER48" i="35"/>
  <c r="EU230" i="36"/>
  <c r="EU320" i="36"/>
  <c r="EW131" i="36"/>
  <c r="EW127" i="36"/>
  <c r="EX126" i="36"/>
  <c r="EY123" i="36" s="1"/>
  <c r="FC123" i="36" s="1"/>
  <c r="EW132" i="36"/>
  <c r="EW128" i="36"/>
  <c r="EX128" i="36" s="1"/>
  <c r="EW181" i="36"/>
  <c r="EU164" i="36"/>
  <c r="EU159" i="36" s="1"/>
  <c r="EU148" i="36"/>
  <c r="EV461" i="36"/>
  <c r="EU178" i="35"/>
  <c r="EV182" i="36"/>
  <c r="EV157" i="36"/>
  <c r="EU161" i="36"/>
  <c r="EU165" i="36"/>
  <c r="EU162" i="36"/>
  <c r="EV338" i="36"/>
  <c r="EV355" i="36"/>
  <c r="EV593" i="36"/>
  <c r="EW591" i="36"/>
  <c r="EX591" i="36" s="1"/>
  <c r="EX592" i="36" s="1"/>
  <c r="EV65" i="35"/>
  <c r="B2263" i="3"/>
  <c r="H140" i="6"/>
  <c r="E45" i="31"/>
  <c r="F45" i="31"/>
  <c r="D109" i="37" s="1"/>
  <c r="G45" i="31"/>
  <c r="FD112" i="4" s="1"/>
  <c r="E109" i="37" s="1"/>
  <c r="H45" i="31"/>
  <c r="FE112" i="4" s="1"/>
  <c r="F109" i="37" s="1"/>
  <c r="I45" i="31"/>
  <c r="FF112" i="4" s="1"/>
  <c r="G109" i="37" s="1"/>
  <c r="J45" i="31"/>
  <c r="K45" i="31"/>
  <c r="FH112" i="4" s="1"/>
  <c r="I109" i="37" s="1"/>
  <c r="L45" i="31"/>
  <c r="FI112" i="4" s="1"/>
  <c r="J109" i="37" s="1"/>
  <c r="M45" i="31"/>
  <c r="D45" i="31"/>
  <c r="ER14" i="32"/>
  <c r="FE5" i="32"/>
  <c r="FD5" i="32"/>
  <c r="FC5" i="32"/>
  <c r="FB5" i="32"/>
  <c r="FA5" i="32"/>
  <c r="EZ5" i="32"/>
  <c r="EY5" i="32"/>
  <c r="ES5" i="32"/>
  <c r="ER5" i="32"/>
  <c r="EQ5" i="32"/>
  <c r="EP5" i="32"/>
  <c r="EO5" i="32"/>
  <c r="EN5" i="32"/>
  <c r="EM5" i="32"/>
  <c r="EL5" i="32"/>
  <c r="EK5" i="32"/>
  <c r="EJ5" i="32"/>
  <c r="EH5" i="32"/>
  <c r="EG5" i="32"/>
  <c r="EF5" i="32"/>
  <c r="EE5" i="32"/>
  <c r="EC5" i="32"/>
  <c r="EB5" i="32"/>
  <c r="EA5" i="32"/>
  <c r="DZ5" i="32"/>
  <c r="DX5" i="32"/>
  <c r="DW5" i="32"/>
  <c r="DV5" i="32"/>
  <c r="DU5" i="32"/>
  <c r="DS5" i="32"/>
  <c r="DR5" i="32"/>
  <c r="DQ5" i="32"/>
  <c r="DP5" i="32"/>
  <c r="DN5" i="32"/>
  <c r="DM5" i="32"/>
  <c r="DL5" i="32"/>
  <c r="DK5" i="32"/>
  <c r="DI5" i="32"/>
  <c r="DH5" i="32"/>
  <c r="DG5" i="32"/>
  <c r="DF5" i="32"/>
  <c r="DE5" i="32"/>
  <c r="DD5" i="32"/>
  <c r="DC5" i="32"/>
  <c r="DB5" i="32"/>
  <c r="DA5" i="32"/>
  <c r="CZ5" i="32"/>
  <c r="CY5" i="32"/>
  <c r="CX5" i="32"/>
  <c r="CW5" i="32"/>
  <c r="CV5" i="32"/>
  <c r="CU5" i="32"/>
  <c r="CT5" i="32"/>
  <c r="CS5" i="32"/>
  <c r="CR5" i="32"/>
  <c r="CQ5" i="32"/>
  <c r="CP5" i="32"/>
  <c r="CO5" i="32"/>
  <c r="CN5" i="32"/>
  <c r="CM5" i="32"/>
  <c r="CL5" i="32"/>
  <c r="CJ5" i="32"/>
  <c r="CI5" i="32"/>
  <c r="CH5" i="32"/>
  <c r="CG5" i="32"/>
  <c r="CE5" i="32"/>
  <c r="CD5" i="32"/>
  <c r="CC5" i="32"/>
  <c r="CB5" i="32"/>
  <c r="BZ5" i="32"/>
  <c r="BY5" i="32"/>
  <c r="BX5" i="32"/>
  <c r="BW5" i="32"/>
  <c r="BU5" i="32"/>
  <c r="BT5" i="32"/>
  <c r="BS5" i="32"/>
  <c r="BR5" i="32"/>
  <c r="BP5" i="32"/>
  <c r="BO5" i="32"/>
  <c r="BN5" i="32"/>
  <c r="BM5" i="32"/>
  <c r="BK5" i="32"/>
  <c r="BJ5" i="32"/>
  <c r="BI5" i="32"/>
  <c r="BH5" i="32"/>
  <c r="BG5" i="32"/>
  <c r="BF5" i="32"/>
  <c r="BE5" i="32"/>
  <c r="BD5" i="32"/>
  <c r="BC5" i="32"/>
  <c r="FG112" i="4" l="1"/>
  <c r="H109" i="37" s="1"/>
  <c r="FG133" i="35"/>
  <c r="EY551" i="36"/>
  <c r="EY556" i="36"/>
  <c r="EW560" i="36"/>
  <c r="EW562" i="36"/>
  <c r="EX559" i="36"/>
  <c r="FN258" i="36"/>
  <c r="FJ113" i="36"/>
  <c r="FJ136" i="36"/>
  <c r="FJ124" i="36"/>
  <c r="FN124" i="36" s="1"/>
  <c r="FK87" i="36"/>
  <c r="FJ91" i="36"/>
  <c r="FJ94" i="36"/>
  <c r="FJ542" i="36"/>
  <c r="FJ92" i="36"/>
  <c r="EY592" i="36"/>
  <c r="EZ592" i="36" s="1"/>
  <c r="FA592" i="36" s="1"/>
  <c r="FB592" i="36" s="1"/>
  <c r="EY125" i="36"/>
  <c r="EY126" i="36" s="1"/>
  <c r="EY181" i="36" s="1"/>
  <c r="EY115" i="36"/>
  <c r="EW272" i="36"/>
  <c r="EW273" i="36"/>
  <c r="EX273" i="36" s="1"/>
  <c r="EX271" i="36"/>
  <c r="EY268" i="36" s="1"/>
  <c r="FC268" i="36" s="1"/>
  <c r="EW276" i="36"/>
  <c r="EW315" i="36"/>
  <c r="EU231" i="36"/>
  <c r="ER49" i="35"/>
  <c r="EW207" i="36"/>
  <c r="EX199" i="36"/>
  <c r="EW397" i="36"/>
  <c r="EW261" i="36"/>
  <c r="EX260" i="36"/>
  <c r="EY257" i="36" s="1"/>
  <c r="FC257" i="36" s="1"/>
  <c r="EW265" i="36"/>
  <c r="EW262" i="36"/>
  <c r="EX262" i="36" s="1"/>
  <c r="EW314" i="36"/>
  <c r="EV9" i="35"/>
  <c r="EV175" i="36"/>
  <c r="EV153" i="36" s="1"/>
  <c r="EV446" i="36"/>
  <c r="EU147" i="36"/>
  <c r="EW200" i="36"/>
  <c r="EW202" i="36" s="1"/>
  <c r="EW217" i="36"/>
  <c r="EX181" i="36"/>
  <c r="EU13" i="35"/>
  <c r="EU158" i="36"/>
  <c r="EV153" i="35"/>
  <c r="EV97" i="35"/>
  <c r="EV178" i="35" s="1"/>
  <c r="EV176" i="36"/>
  <c r="EV172" i="36"/>
  <c r="EV160" i="36"/>
  <c r="EV173" i="36"/>
  <c r="EV349" i="36"/>
  <c r="EX541" i="36"/>
  <c r="EX490" i="36"/>
  <c r="EX491" i="36" s="1"/>
  <c r="EX270" i="36"/>
  <c r="EX275" i="36" s="1"/>
  <c r="EW407" i="36"/>
  <c r="EV356" i="36"/>
  <c r="EV483" i="36"/>
  <c r="EV346" i="36"/>
  <c r="EV41" i="36"/>
  <c r="EV462" i="36"/>
  <c r="EV203" i="36"/>
  <c r="EV183" i="36"/>
  <c r="EV471" i="36"/>
  <c r="EX131" i="36"/>
  <c r="EX127" i="36"/>
  <c r="EX132" i="36"/>
  <c r="EW305" i="36"/>
  <c r="EW439" i="36"/>
  <c r="EW137" i="36"/>
  <c r="EW138" i="36" s="1"/>
  <c r="EW182" i="36" s="1"/>
  <c r="EX182" i="36" s="1"/>
  <c r="EX183" i="36" s="1"/>
  <c r="EX320" i="36" s="1"/>
  <c r="EW168" i="36"/>
  <c r="EU475" i="36"/>
  <c r="C2344" i="3"/>
  <c r="D2344" i="3" s="1"/>
  <c r="EY555" i="36" l="1"/>
  <c r="EY559" i="36" s="1"/>
  <c r="EX562" i="36"/>
  <c r="EX560" i="36"/>
  <c r="FJ540" i="36"/>
  <c r="FJ544" i="36"/>
  <c r="FJ568" i="36"/>
  <c r="FJ97" i="36"/>
  <c r="FJ95" i="36"/>
  <c r="FJ107" i="36"/>
  <c r="FN113" i="36"/>
  <c r="FJ169" i="36"/>
  <c r="FJ174" i="36" s="1"/>
  <c r="FJ561" i="36"/>
  <c r="FJ395" i="36"/>
  <c r="FK86" i="36"/>
  <c r="FK96" i="36"/>
  <c r="EY200" i="36"/>
  <c r="EY217" i="36"/>
  <c r="EY259" i="36"/>
  <c r="EZ123" i="36"/>
  <c r="EY131" i="36"/>
  <c r="EY127" i="36"/>
  <c r="EY132" i="36"/>
  <c r="EY128" i="36"/>
  <c r="EY405" i="36"/>
  <c r="FC405" i="36" s="1"/>
  <c r="EY491" i="36"/>
  <c r="EZ491" i="36" s="1"/>
  <c r="FA491" i="36" s="1"/>
  <c r="FB491" i="36" s="1"/>
  <c r="EY180" i="36"/>
  <c r="EY117" i="36"/>
  <c r="EZ112" i="36"/>
  <c r="EY116" i="36"/>
  <c r="EY120" i="36"/>
  <c r="EZ552" i="36" s="1"/>
  <c r="EX207" i="36"/>
  <c r="EX186" i="36"/>
  <c r="EV161" i="36"/>
  <c r="EW157" i="36"/>
  <c r="EV165" i="36"/>
  <c r="EV162" i="36"/>
  <c r="EW139" i="36"/>
  <c r="EW140" i="36"/>
  <c r="EX140" i="36" s="1"/>
  <c r="EX138" i="36"/>
  <c r="EY135" i="36" s="1"/>
  <c r="FC135" i="36" s="1"/>
  <c r="EW143" i="36"/>
  <c r="EW171" i="36"/>
  <c r="EV10" i="35"/>
  <c r="EW441" i="36"/>
  <c r="EW170" i="36"/>
  <c r="EX137" i="36"/>
  <c r="EX142" i="36" s="1"/>
  <c r="EU152" i="36"/>
  <c r="EV164" i="36"/>
  <c r="EV159" i="36" s="1"/>
  <c r="EV148" i="36"/>
  <c r="EW399" i="36"/>
  <c r="EX399" i="36" s="1"/>
  <c r="EW398" i="36"/>
  <c r="EX397" i="36"/>
  <c r="EY394" i="36" s="1"/>
  <c r="FC394" i="36" s="1"/>
  <c r="EW402" i="36"/>
  <c r="EW396" i="36"/>
  <c r="EW451" i="36"/>
  <c r="EV485" i="36"/>
  <c r="EV486" i="36" s="1"/>
  <c r="EV484" i="36"/>
  <c r="EV67" i="36"/>
  <c r="EW338" i="36"/>
  <c r="EW462" i="36" s="1"/>
  <c r="EW355" i="36"/>
  <c r="EW483" i="36" s="1"/>
  <c r="EX315" i="36"/>
  <c r="EW218" i="36"/>
  <c r="EX217" i="36"/>
  <c r="EX218" i="36" s="1"/>
  <c r="EW210" i="36"/>
  <c r="EW192" i="36"/>
  <c r="EW193" i="36" s="1"/>
  <c r="EW442" i="36"/>
  <c r="EW310" i="36"/>
  <c r="EX305" i="36"/>
  <c r="EY302" i="36" s="1"/>
  <c r="FC302" i="36" s="1"/>
  <c r="EW306" i="36"/>
  <c r="EW307" i="36"/>
  <c r="EX307" i="36" s="1"/>
  <c r="EW318" i="36"/>
  <c r="EW208" i="36"/>
  <c r="EX200" i="36"/>
  <c r="EX272" i="36"/>
  <c r="EX276" i="36"/>
  <c r="EX601" i="36"/>
  <c r="EU163" i="36"/>
  <c r="EW412" i="36"/>
  <c r="EX407" i="36"/>
  <c r="EX412" i="36" s="1"/>
  <c r="EW203" i="36"/>
  <c r="EW183" i="36"/>
  <c r="EW337" i="36"/>
  <c r="EX314" i="36"/>
  <c r="EV230" i="36"/>
  <c r="EV320" i="36"/>
  <c r="EV472" i="36"/>
  <c r="EV465" i="36"/>
  <c r="EV211" i="36"/>
  <c r="EV44" i="36"/>
  <c r="EW408" i="36"/>
  <c r="EX599" i="36"/>
  <c r="EX495" i="36" s="1"/>
  <c r="EX496" i="36" s="1"/>
  <c r="EX261" i="36"/>
  <c r="EX265" i="36"/>
  <c r="EP547" i="2"/>
  <c r="EO547" i="2"/>
  <c r="EP281" i="1"/>
  <c r="EP208" i="35" s="1"/>
  <c r="EH547" i="2"/>
  <c r="EG547" i="2"/>
  <c r="EF547" i="2"/>
  <c r="EE547" i="2"/>
  <c r="EK547" i="2"/>
  <c r="EL547" i="2"/>
  <c r="EM547" i="2"/>
  <c r="EJ547" i="2"/>
  <c r="EP312" i="1"/>
  <c r="EO312" i="1"/>
  <c r="C2396" i="3"/>
  <c r="D2396" i="3" s="1"/>
  <c r="EY562" i="36" l="1"/>
  <c r="EY560" i="36"/>
  <c r="EY573" i="36"/>
  <c r="EZ551" i="36"/>
  <c r="EZ556" i="36"/>
  <c r="EP209" i="35"/>
  <c r="EP204" i="35" s="1"/>
  <c r="FJ108" i="36"/>
  <c r="FK258" i="36"/>
  <c r="FJ269" i="36"/>
  <c r="FJ303" i="36"/>
  <c r="FJ440" i="36" s="1"/>
  <c r="FJ445" i="36" s="1"/>
  <c r="FN540" i="36"/>
  <c r="FJ547" i="36"/>
  <c r="FK90" i="36"/>
  <c r="FK105" i="36"/>
  <c r="FK106" i="36" s="1"/>
  <c r="FK88" i="36"/>
  <c r="FJ400" i="36"/>
  <c r="FN395" i="36"/>
  <c r="EW472" i="36"/>
  <c r="EX462" i="36"/>
  <c r="EX472" i="36" s="1"/>
  <c r="EZ114" i="36"/>
  <c r="EY218" i="36"/>
  <c r="EZ125" i="36"/>
  <c r="EY208" i="36"/>
  <c r="EY488" i="36"/>
  <c r="EY199" i="36"/>
  <c r="EY541" i="36"/>
  <c r="EY496" i="36"/>
  <c r="EZ496" i="36" s="1"/>
  <c r="FA496" i="36" s="1"/>
  <c r="FB496" i="36" s="1"/>
  <c r="EY439" i="36"/>
  <c r="FC439" i="36" s="1"/>
  <c r="EY137" i="36"/>
  <c r="EY138" i="36" s="1"/>
  <c r="EY182" i="36" s="1"/>
  <c r="EY168" i="36"/>
  <c r="FC168" i="36" s="1"/>
  <c r="EY270" i="36"/>
  <c r="EY304" i="36"/>
  <c r="EY260" i="36"/>
  <c r="EV13" i="35"/>
  <c r="EW230" i="36"/>
  <c r="EX230" i="36" s="1"/>
  <c r="EW320" i="36"/>
  <c r="EW484" i="36"/>
  <c r="EW67" i="36"/>
  <c r="EX67" i="36" s="1"/>
  <c r="EW346" i="36"/>
  <c r="EX338" i="36"/>
  <c r="EW401" i="36"/>
  <c r="EX396" i="36"/>
  <c r="EX401" i="36" s="1"/>
  <c r="EV147" i="36"/>
  <c r="EX600" i="36"/>
  <c r="EX402" i="36"/>
  <c r="EX398" i="36"/>
  <c r="EW211" i="36"/>
  <c r="EW341" i="36"/>
  <c r="EW465" i="36" s="1"/>
  <c r="EX465" i="36" s="1"/>
  <c r="EX475" i="36" s="1"/>
  <c r="EX318" i="36"/>
  <c r="EX483" i="36"/>
  <c r="EX171" i="36"/>
  <c r="EW172" i="36"/>
  <c r="EW173" i="36"/>
  <c r="EX173" i="36" s="1"/>
  <c r="EW176" i="36"/>
  <c r="EW160" i="36"/>
  <c r="EV158" i="36"/>
  <c r="EV231" i="36"/>
  <c r="EX310" i="36"/>
  <c r="EX306" i="36"/>
  <c r="EV72" i="36"/>
  <c r="EV73" i="36" s="1"/>
  <c r="EV43" i="35"/>
  <c r="EV57" i="36"/>
  <c r="EW175" i="36"/>
  <c r="EW153" i="36" s="1"/>
  <c r="EX170" i="36"/>
  <c r="EX175" i="36" s="1"/>
  <c r="EX153" i="36" s="1"/>
  <c r="EX164" i="36" s="1"/>
  <c r="EW413" i="36"/>
  <c r="EW409" i="36"/>
  <c r="EX408" i="36"/>
  <c r="EW414" i="36"/>
  <c r="EW410" i="36"/>
  <c r="EX410" i="36" s="1"/>
  <c r="EW452" i="36"/>
  <c r="EX452" i="36" s="1"/>
  <c r="EW446" i="36"/>
  <c r="EX441" i="36"/>
  <c r="EX446" i="36" s="1"/>
  <c r="EX143" i="36"/>
  <c r="EX139" i="36"/>
  <c r="EX157" i="36"/>
  <c r="EW345" i="36"/>
  <c r="EX337" i="36"/>
  <c r="EW461" i="36"/>
  <c r="EW40" i="36"/>
  <c r="EX188" i="36"/>
  <c r="EX208" i="36"/>
  <c r="EW444" i="36"/>
  <c r="EX444" i="36" s="1"/>
  <c r="EX442" i="36"/>
  <c r="EW443" i="36"/>
  <c r="EW447" i="36"/>
  <c r="EV475" i="36"/>
  <c r="EX203" i="36"/>
  <c r="EW41" i="36"/>
  <c r="EW454" i="36"/>
  <c r="EX454" i="36" s="1"/>
  <c r="EW356" i="36"/>
  <c r="EX355" i="36"/>
  <c r="EX356" i="36" s="1"/>
  <c r="EX451" i="36"/>
  <c r="EX618" i="36"/>
  <c r="EX187" i="36"/>
  <c r="EQ281" i="1"/>
  <c r="EQ208" i="35" s="1"/>
  <c r="EQ209" i="35" s="1"/>
  <c r="EQ204" i="35" s="1"/>
  <c r="ES312" i="1"/>
  <c r="EN547" i="2"/>
  <c r="EI547" i="2"/>
  <c r="C250" i="6"/>
  <c r="G37" i="6"/>
  <c r="G32" i="6"/>
  <c r="EP213" i="4"/>
  <c r="EO213" i="4"/>
  <c r="EM213" i="4"/>
  <c r="EL213" i="4"/>
  <c r="EK213" i="4"/>
  <c r="EJ213" i="4"/>
  <c r="EF213" i="4"/>
  <c r="EG213" i="4"/>
  <c r="EH213" i="4"/>
  <c r="EE213" i="4"/>
  <c r="EZ555" i="36" l="1"/>
  <c r="EZ559" i="36" s="1"/>
  <c r="EY589" i="36"/>
  <c r="EY575" i="36"/>
  <c r="EY577" i="36"/>
  <c r="EY107" i="35"/>
  <c r="EY579" i="36"/>
  <c r="EY581" i="36" s="1"/>
  <c r="EY585" i="36" s="1"/>
  <c r="EQ221" i="35"/>
  <c r="EP203" i="35"/>
  <c r="ER221" i="35"/>
  <c r="EX221" i="35" s="1"/>
  <c r="EQ203" i="35"/>
  <c r="EQ205" i="35"/>
  <c r="EY489" i="36"/>
  <c r="FC488" i="36"/>
  <c r="FJ548" i="36"/>
  <c r="EY305" i="36"/>
  <c r="EY318" i="36" s="1"/>
  <c r="EY203" i="36"/>
  <c r="EY211" i="36" s="1"/>
  <c r="FK136" i="36"/>
  <c r="FK124" i="36"/>
  <c r="FK113" i="36"/>
  <c r="FN269" i="36"/>
  <c r="FJ406" i="36"/>
  <c r="FK542" i="36"/>
  <c r="FK94" i="36"/>
  <c r="FK92" i="36"/>
  <c r="FL87" i="36"/>
  <c r="FK91" i="36"/>
  <c r="EW44" i="36"/>
  <c r="EX44" i="36" s="1"/>
  <c r="EZ135" i="36"/>
  <c r="EY143" i="36"/>
  <c r="EY139" i="36"/>
  <c r="EY140" i="36"/>
  <c r="EY171" i="36"/>
  <c r="EY183" i="36"/>
  <c r="EY261" i="36"/>
  <c r="EY265" i="36"/>
  <c r="EY397" i="36"/>
  <c r="EY262" i="36"/>
  <c r="EZ257" i="36"/>
  <c r="EY314" i="36"/>
  <c r="EY407" i="36"/>
  <c r="EY271" i="36"/>
  <c r="EZ115" i="36"/>
  <c r="EY207" i="36"/>
  <c r="EY441" i="36"/>
  <c r="EY170" i="36"/>
  <c r="EZ126" i="36"/>
  <c r="EW164" i="36"/>
  <c r="EW159" i="36" s="1"/>
  <c r="EX159" i="36" s="1"/>
  <c r="EW148" i="36"/>
  <c r="EX72" i="36"/>
  <c r="EV163" i="36"/>
  <c r="EV57" i="35"/>
  <c r="EX172" i="36"/>
  <c r="EX176" i="36"/>
  <c r="EW475" i="36"/>
  <c r="EV152" i="36"/>
  <c r="EX346" i="36"/>
  <c r="EX325" i="36"/>
  <c r="EW9" i="35"/>
  <c r="EX40" i="36"/>
  <c r="EW231" i="36"/>
  <c r="EX211" i="36"/>
  <c r="EX194" i="36"/>
  <c r="EW471" i="36"/>
  <c r="EX461" i="36"/>
  <c r="EX471" i="36" s="1"/>
  <c r="EW349" i="36"/>
  <c r="EX341" i="36"/>
  <c r="EW72" i="36"/>
  <c r="EW73" i="36" s="1"/>
  <c r="EW57" i="36"/>
  <c r="EW43" i="35"/>
  <c r="EX43" i="35" s="1"/>
  <c r="EX622" i="36"/>
  <c r="EX189" i="36"/>
  <c r="EX345" i="36"/>
  <c r="EX323" i="36"/>
  <c r="EX231" i="36"/>
  <c r="EX232" i="36"/>
  <c r="EX485" i="36"/>
  <c r="EX486" i="36" s="1"/>
  <c r="EX484" i="36"/>
  <c r="EW10" i="35"/>
  <c r="EX10" i="35" s="1"/>
  <c r="EX41" i="36"/>
  <c r="EX604" i="36"/>
  <c r="EX447" i="36"/>
  <c r="EX443" i="36"/>
  <c r="EX602" i="36"/>
  <c r="EX630" i="36" s="1"/>
  <c r="EX642" i="36" s="1"/>
  <c r="EX413" i="36"/>
  <c r="EX409" i="36"/>
  <c r="EX414" i="36"/>
  <c r="EW161" i="36"/>
  <c r="EW165" i="36"/>
  <c r="EW162" i="36"/>
  <c r="EX160" i="36"/>
  <c r="EY157" i="36" s="1"/>
  <c r="EW485" i="36"/>
  <c r="EW486" i="36" s="1"/>
  <c r="EQ208" i="4"/>
  <c r="EQ209" i="4" s="1"/>
  <c r="EI213" i="4"/>
  <c r="EN213" i="4"/>
  <c r="B37" i="3" s="1"/>
  <c r="EP67" i="4"/>
  <c r="EO67" i="4"/>
  <c r="EM67" i="4"/>
  <c r="EL67" i="4"/>
  <c r="EK67" i="4"/>
  <c r="EJ67" i="4"/>
  <c r="EH67" i="4"/>
  <c r="EG67" i="4"/>
  <c r="EF67" i="4"/>
  <c r="EE67" i="4"/>
  <c r="EC67" i="4"/>
  <c r="EB67" i="4"/>
  <c r="EA67" i="4"/>
  <c r="DZ67" i="4"/>
  <c r="DV67" i="4"/>
  <c r="DW67" i="4"/>
  <c r="DX67" i="4"/>
  <c r="DU67" i="4"/>
  <c r="B2392" i="3"/>
  <c r="EW13" i="35" l="1"/>
  <c r="EX13" i="35" s="1"/>
  <c r="EY110" i="35"/>
  <c r="EY130" i="35"/>
  <c r="EY144" i="35"/>
  <c r="EZ562" i="36"/>
  <c r="EZ573" i="36"/>
  <c r="EY442" i="36"/>
  <c r="EY454" i="36" s="1"/>
  <c r="EY310" i="36"/>
  <c r="EZ302" i="36"/>
  <c r="EZ439" i="36" s="1"/>
  <c r="EY307" i="36"/>
  <c r="EY306" i="36"/>
  <c r="FK395" i="36"/>
  <c r="FK400" i="36" s="1"/>
  <c r="FK561" i="36"/>
  <c r="FK169" i="36"/>
  <c r="FK174" i="36" s="1"/>
  <c r="EY175" i="36"/>
  <c r="EY153" i="36" s="1"/>
  <c r="EY164" i="36" s="1"/>
  <c r="EY159" i="36" s="1"/>
  <c r="FK107" i="36"/>
  <c r="FK568" i="36"/>
  <c r="FK95" i="36"/>
  <c r="FK97" i="36"/>
  <c r="EY446" i="36"/>
  <c r="FK544" i="36"/>
  <c r="FK540" i="36"/>
  <c r="FK547" i="36" s="1"/>
  <c r="EY341" i="36"/>
  <c r="FN406" i="36"/>
  <c r="FJ411" i="36"/>
  <c r="FC489" i="36"/>
  <c r="FL86" i="36"/>
  <c r="FL96" i="36"/>
  <c r="EZ394" i="36"/>
  <c r="EY402" i="36"/>
  <c r="EY398" i="36"/>
  <c r="EY396" i="36"/>
  <c r="EY399" i="36"/>
  <c r="EY451" i="36"/>
  <c r="EY230" i="36"/>
  <c r="EY320" i="36"/>
  <c r="EY173" i="36"/>
  <c r="EY176" i="36"/>
  <c r="EY160" i="36"/>
  <c r="EY172" i="36"/>
  <c r="EZ180" i="36"/>
  <c r="EZ560" i="36" s="1"/>
  <c r="EZ117" i="36"/>
  <c r="FA112" i="36"/>
  <c r="EZ116" i="36"/>
  <c r="EZ120" i="36"/>
  <c r="FA552" i="36" s="1"/>
  <c r="EY272" i="36"/>
  <c r="EY276" i="36"/>
  <c r="EY273" i="36"/>
  <c r="EZ268" i="36"/>
  <c r="EY315" i="36"/>
  <c r="EY412" i="36"/>
  <c r="EY408" i="36"/>
  <c r="EZ137" i="36"/>
  <c r="EZ168" i="36"/>
  <c r="EZ131" i="36"/>
  <c r="EZ127" i="36"/>
  <c r="EZ128" i="36"/>
  <c r="FA123" i="36"/>
  <c r="EZ132" i="36"/>
  <c r="EZ181" i="36"/>
  <c r="EZ259" i="36"/>
  <c r="EX619" i="36"/>
  <c r="EX620" i="36" s="1"/>
  <c r="EX324" i="36"/>
  <c r="EX195" i="36"/>
  <c r="EX349" i="36"/>
  <c r="EX329" i="36"/>
  <c r="EX9" i="35"/>
  <c r="EW158" i="36"/>
  <c r="EX162" i="36"/>
  <c r="EX357" i="36"/>
  <c r="EX358" i="36" s="1"/>
  <c r="EX219" i="36"/>
  <c r="EX73" i="36"/>
  <c r="EW57" i="35"/>
  <c r="EX623" i="36"/>
  <c r="EX624" i="36" s="1"/>
  <c r="EX326" i="36"/>
  <c r="EX165" i="36"/>
  <c r="EX161" i="36"/>
  <c r="EX233" i="36"/>
  <c r="EX57" i="36"/>
  <c r="EW147" i="36"/>
  <c r="EX148" i="36"/>
  <c r="FB67" i="4"/>
  <c r="ES67" i="4"/>
  <c r="EP208" i="4"/>
  <c r="EP196" i="4"/>
  <c r="EP173" i="4"/>
  <c r="EP174" i="4"/>
  <c r="EP175" i="4"/>
  <c r="EP178" i="4"/>
  <c r="EP1031" i="10" s="1"/>
  <c r="EP179" i="4"/>
  <c r="EP182" i="4"/>
  <c r="EP183" i="4"/>
  <c r="EP184" i="4"/>
  <c r="EP187" i="4"/>
  <c r="EP188" i="4"/>
  <c r="EP189" i="4"/>
  <c r="EP190" i="4"/>
  <c r="EP166" i="4"/>
  <c r="EP13" i="32" s="1"/>
  <c r="EP141" i="4"/>
  <c r="EP98" i="4"/>
  <c r="EP100" i="4"/>
  <c r="EP101" i="4"/>
  <c r="EP102" i="4"/>
  <c r="EP108" i="4"/>
  <c r="EP112" i="4"/>
  <c r="EP113" i="4"/>
  <c r="EP114" i="4"/>
  <c r="EP115" i="4"/>
  <c r="EP116" i="4"/>
  <c r="EP117" i="4"/>
  <c r="EP118" i="4"/>
  <c r="EP22" i="4"/>
  <c r="EP23" i="4"/>
  <c r="EP24" i="4"/>
  <c r="EP25" i="4"/>
  <c r="EP27" i="4"/>
  <c r="EP32" i="4"/>
  <c r="EP36" i="4" s="1"/>
  <c r="EP33" i="4"/>
  <c r="EP34" i="4"/>
  <c r="EP35" i="4"/>
  <c r="EP37" i="4"/>
  <c r="EP39" i="4"/>
  <c r="EP53" i="4"/>
  <c r="EU54" i="4" s="1"/>
  <c r="EP65" i="4"/>
  <c r="EP97" i="4" s="1"/>
  <c r="EP66" i="4"/>
  <c r="EP99" i="4" s="1"/>
  <c r="EP71" i="4"/>
  <c r="EP72" i="4"/>
  <c r="EP73" i="4"/>
  <c r="EP75" i="4"/>
  <c r="EP167" i="4" s="1"/>
  <c r="EP78" i="4"/>
  <c r="EP80" i="4"/>
  <c r="EP133" i="4" s="1"/>
  <c r="EP587" i="2"/>
  <c r="EP572" i="2"/>
  <c r="EP457" i="2"/>
  <c r="EU458" i="2" s="1"/>
  <c r="EP431" i="2"/>
  <c r="EP433" i="2"/>
  <c r="EP435" i="2"/>
  <c r="EP446" i="2"/>
  <c r="EP260" i="2"/>
  <c r="EP264" i="2"/>
  <c r="EP271" i="2"/>
  <c r="EP273" i="2"/>
  <c r="EP323" i="2"/>
  <c r="EP325" i="2"/>
  <c r="EU414" i="10"/>
  <c r="EP331" i="2"/>
  <c r="EU332" i="2" s="1"/>
  <c r="EP333" i="2"/>
  <c r="EU334" i="2" s="1"/>
  <c r="EP388" i="2"/>
  <c r="EU390" i="2" s="1"/>
  <c r="EP251" i="2"/>
  <c r="EP186" i="2"/>
  <c r="EP188" i="2"/>
  <c r="EU366" i="10"/>
  <c r="EP154" i="2"/>
  <c r="EP115" i="2"/>
  <c r="EP119" i="2"/>
  <c r="G1097" i="3" s="1"/>
  <c r="G1101" i="3" s="1"/>
  <c r="EP126" i="2"/>
  <c r="EP128" i="2"/>
  <c r="EP87" i="2"/>
  <c r="EP99" i="2"/>
  <c r="EP483" i="2"/>
  <c r="EP54" i="2"/>
  <c r="EU55" i="2" s="1"/>
  <c r="EN368" i="1"/>
  <c r="EJ347" i="1"/>
  <c r="EK347" i="1" s="1"/>
  <c r="EL347" i="1" s="1"/>
  <c r="EM347" i="1" s="1"/>
  <c r="EO347" i="1" s="1"/>
  <c r="EP347" i="1" s="1"/>
  <c r="EQ347" i="1" s="1"/>
  <c r="ER347" i="1" s="1"/>
  <c r="ET347" i="1" s="1"/>
  <c r="EU347" i="1" s="1"/>
  <c r="EV347" i="1" s="1"/>
  <c r="EW347" i="1" s="1"/>
  <c r="EO348" i="1"/>
  <c r="EP348" i="1" s="1"/>
  <c r="EQ348" i="1" s="1"/>
  <c r="ER348" i="1" s="1"/>
  <c r="ET348" i="1" s="1"/>
  <c r="EU348" i="1" s="1"/>
  <c r="EV348" i="1" s="1"/>
  <c r="EW348" i="1" s="1"/>
  <c r="EP292" i="1"/>
  <c r="EO292" i="1"/>
  <c r="EO144" i="35" s="1"/>
  <c r="EO290" i="1"/>
  <c r="EO142" i="35" s="1"/>
  <c r="EP290" i="1"/>
  <c r="EP288" i="1"/>
  <c r="EO287" i="1"/>
  <c r="EO139" i="35" s="1"/>
  <c r="EP287" i="1"/>
  <c r="EM285" i="1"/>
  <c r="EM137" i="35" s="1"/>
  <c r="EO285" i="1"/>
  <c r="EO137" i="35" s="1"/>
  <c r="EP285" i="1"/>
  <c r="EO286" i="1"/>
  <c r="EO138" i="35" s="1"/>
  <c r="EP286" i="1"/>
  <c r="EP255" i="1"/>
  <c r="EP109" i="35" s="1"/>
  <c r="EP249" i="1"/>
  <c r="EP103" i="35" s="1"/>
  <c r="EP278" i="1"/>
  <c r="EP279" i="1" s="1"/>
  <c r="EP142" i="1"/>
  <c r="EP147" i="1" s="1"/>
  <c r="EP51" i="1"/>
  <c r="EP537" i="1" s="1"/>
  <c r="EP536" i="1"/>
  <c r="EP412" i="1"/>
  <c r="EP407" i="1"/>
  <c r="EP392" i="1"/>
  <c r="EP377" i="1"/>
  <c r="EP372" i="1"/>
  <c r="EP367" i="1"/>
  <c r="EP363" i="1"/>
  <c r="EQ364" i="1" s="1"/>
  <c r="EP358" i="1"/>
  <c r="EP357" i="1"/>
  <c r="EP283" i="36" s="1"/>
  <c r="EP341" i="1"/>
  <c r="EP266" i="1"/>
  <c r="EP253" i="1"/>
  <c r="EP107" i="35" s="1"/>
  <c r="EP240" i="1"/>
  <c r="EP237" i="1"/>
  <c r="EP225" i="1"/>
  <c r="EP231" i="1" s="1"/>
  <c r="EP187" i="1"/>
  <c r="EP186" i="1"/>
  <c r="EP178" i="1"/>
  <c r="EP176" i="1"/>
  <c r="EP175" i="1"/>
  <c r="EP170" i="1"/>
  <c r="EP169" i="1"/>
  <c r="EP167" i="1"/>
  <c r="EP166" i="1"/>
  <c r="EP162" i="1"/>
  <c r="EP160" i="1"/>
  <c r="EP159" i="1"/>
  <c r="EP158" i="1"/>
  <c r="EP157" i="1"/>
  <c r="EP148" i="1"/>
  <c r="EP183" i="1" s="1"/>
  <c r="EP146" i="1"/>
  <c r="EP181" i="1" s="1"/>
  <c r="EP137" i="1"/>
  <c r="EP136" i="1"/>
  <c r="EP133" i="1"/>
  <c r="EP126" i="1"/>
  <c r="EP128" i="1" s="1"/>
  <c r="EP98" i="1"/>
  <c r="EP97" i="1"/>
  <c r="EP90" i="1"/>
  <c r="EP88" i="1"/>
  <c r="EP87" i="1"/>
  <c r="EP86" i="1"/>
  <c r="EP85" i="1"/>
  <c r="EP84" i="1"/>
  <c r="EP83" i="1"/>
  <c r="N3114" i="3"/>
  <c r="EW350" i="1" l="1"/>
  <c r="EW351" i="1" s="1"/>
  <c r="EV350" i="1"/>
  <c r="EV351" i="1" s="1"/>
  <c r="EU484" i="2"/>
  <c r="EU101" i="2"/>
  <c r="EU432" i="2"/>
  <c r="EU253" i="2"/>
  <c r="C1509" i="3"/>
  <c r="G1173" i="3"/>
  <c r="EU261" i="2"/>
  <c r="EU410" i="10"/>
  <c r="EU326" i="2"/>
  <c r="EU362" i="10"/>
  <c r="EU189" i="2"/>
  <c r="EU324" i="2"/>
  <c r="C1291" i="3"/>
  <c r="B1200" i="3"/>
  <c r="EU187" i="2"/>
  <c r="D1588" i="3" s="1"/>
  <c r="D1587" i="3" s="1"/>
  <c r="B1285" i="3"/>
  <c r="EQ268" i="2"/>
  <c r="EU272" i="2"/>
  <c r="EQ123" i="2"/>
  <c r="EQ181" i="2" s="1"/>
  <c r="EQ200" i="2" s="1"/>
  <c r="EV208" i="2" s="1"/>
  <c r="EU127" i="2"/>
  <c r="EU350" i="1"/>
  <c r="EU351" i="1" s="1"/>
  <c r="P115" i="29"/>
  <c r="Q116" i="29" s="1"/>
  <c r="EU116" i="2"/>
  <c r="ET350" i="1"/>
  <c r="ET351" i="1" s="1"/>
  <c r="EY443" i="36"/>
  <c r="EY444" i="36"/>
  <c r="EP57" i="35"/>
  <c r="EZ304" i="36"/>
  <c r="EZ441" i="36" s="1"/>
  <c r="EY447" i="36"/>
  <c r="EP140" i="4"/>
  <c r="EP140" i="35"/>
  <c r="EP138" i="4"/>
  <c r="EP138" i="35"/>
  <c r="ES138" i="35" s="1"/>
  <c r="EP142" i="4"/>
  <c r="EP142" i="35"/>
  <c r="ES142" i="35" s="1"/>
  <c r="EP27" i="2"/>
  <c r="EU34" i="2" s="1"/>
  <c r="EP27" i="36"/>
  <c r="EQ280" i="36"/>
  <c r="EP294" i="36"/>
  <c r="EP288" i="36"/>
  <c r="EQ285" i="36"/>
  <c r="EP202" i="2"/>
  <c r="EP202" i="36"/>
  <c r="EP28" i="2"/>
  <c r="EU35" i="2" s="1"/>
  <c r="EP28" i="36"/>
  <c r="EP137" i="4"/>
  <c r="EP137" i="35"/>
  <c r="ES137" i="35" s="1"/>
  <c r="FA551" i="36"/>
  <c r="FA556" i="36"/>
  <c r="EP57" i="2"/>
  <c r="EP57" i="36"/>
  <c r="EP205" i="2"/>
  <c r="EP205" i="36"/>
  <c r="EP144" i="4"/>
  <c r="EP144" i="35"/>
  <c r="ES144" i="35" s="1"/>
  <c r="EP59" i="2"/>
  <c r="EP69" i="36"/>
  <c r="EP59" i="36"/>
  <c r="EP340" i="2"/>
  <c r="EU348" i="2" s="1"/>
  <c r="EP340" i="36"/>
  <c r="EP343" i="2"/>
  <c r="EU351" i="2" s="1"/>
  <c r="EP343" i="36"/>
  <c r="EP139" i="4"/>
  <c r="EP139" i="35"/>
  <c r="ES139" i="35" s="1"/>
  <c r="EP130" i="35"/>
  <c r="EP110" i="35"/>
  <c r="EP153" i="35"/>
  <c r="EZ107" i="35"/>
  <c r="EZ579" i="36"/>
  <c r="EZ581" i="36" s="1"/>
  <c r="EZ585" i="36" s="1"/>
  <c r="EZ589" i="36"/>
  <c r="EZ577" i="36"/>
  <c r="EZ575" i="36"/>
  <c r="FL90" i="36"/>
  <c r="FL105" i="36"/>
  <c r="FL106" i="36" s="1"/>
  <c r="FL88" i="36"/>
  <c r="FK108" i="36"/>
  <c r="FK303" i="36"/>
  <c r="FK440" i="36" s="1"/>
  <c r="FK445" i="36" s="1"/>
  <c r="FL258" i="36"/>
  <c r="FK269" i="36"/>
  <c r="FK406" i="36" s="1"/>
  <c r="FK411" i="36" s="1"/>
  <c r="FK548" i="36"/>
  <c r="EY148" i="36"/>
  <c r="EY465" i="36"/>
  <c r="EY349" i="36"/>
  <c r="EY44" i="36"/>
  <c r="EY401" i="36"/>
  <c r="EY338" i="36"/>
  <c r="EY355" i="36"/>
  <c r="EY414" i="36"/>
  <c r="EY410" i="36"/>
  <c r="EY413" i="36"/>
  <c r="EY409" i="36"/>
  <c r="EY452" i="36"/>
  <c r="EZ270" i="36"/>
  <c r="EZ405" i="36"/>
  <c r="EZ170" i="36"/>
  <c r="EZ200" i="36"/>
  <c r="EZ217" i="36"/>
  <c r="EZ138" i="36"/>
  <c r="FA114" i="36"/>
  <c r="EY231" i="36"/>
  <c r="FA125" i="36"/>
  <c r="EZ157" i="36"/>
  <c r="EY165" i="36"/>
  <c r="EY161" i="36"/>
  <c r="EY162" i="36"/>
  <c r="EZ260" i="36"/>
  <c r="EZ488" i="36"/>
  <c r="EZ489" i="36" s="1"/>
  <c r="EZ199" i="36"/>
  <c r="EZ541" i="36"/>
  <c r="EX641" i="36"/>
  <c r="EX457" i="36"/>
  <c r="EX458" i="36" s="1"/>
  <c r="EW163" i="36"/>
  <c r="EX158" i="36"/>
  <c r="EX163" i="36" s="1"/>
  <c r="EX220" i="36"/>
  <c r="EW152" i="36"/>
  <c r="EX147" i="36"/>
  <c r="EX152" i="36" s="1"/>
  <c r="EX330" i="36"/>
  <c r="EP578" i="2"/>
  <c r="EP580" i="2" s="1"/>
  <c r="EP112" i="10" s="1"/>
  <c r="ER350" i="1"/>
  <c r="ER351" i="1" s="1"/>
  <c r="ES290" i="1"/>
  <c r="ES292" i="1"/>
  <c r="ES285" i="1"/>
  <c r="ES287" i="1"/>
  <c r="ES286" i="1"/>
  <c r="EP107" i="4"/>
  <c r="EP153" i="4" s="1"/>
  <c r="EP300" i="1"/>
  <c r="EP207" i="4"/>
  <c r="EP209" i="4" s="1"/>
  <c r="EP1036" i="10"/>
  <c r="EU184" i="10"/>
  <c r="C1383" i="3"/>
  <c r="EQ302" i="2"/>
  <c r="EQ307" i="2"/>
  <c r="EQ428" i="2"/>
  <c r="EQ430" i="2" s="1"/>
  <c r="EQ112" i="2"/>
  <c r="H1100" i="3" s="1"/>
  <c r="H1102" i="3" s="1"/>
  <c r="H1110" i="3" s="1"/>
  <c r="EQ117" i="2"/>
  <c r="H1109" i="3" s="1"/>
  <c r="EQ202" i="4"/>
  <c r="EQ211" i="4" s="1"/>
  <c r="EQ212" i="4" s="1"/>
  <c r="EQ590" i="2"/>
  <c r="EQ591" i="2" s="1"/>
  <c r="EQ574" i="2"/>
  <c r="EQ100" i="2"/>
  <c r="EQ135" i="2"/>
  <c r="EQ140" i="2"/>
  <c r="EQ257" i="2"/>
  <c r="EQ262" i="2"/>
  <c r="EP103" i="4"/>
  <c r="EP14" i="32" s="1"/>
  <c r="EQ350" i="1"/>
  <c r="EQ351" i="1" s="1"/>
  <c r="EP109" i="4"/>
  <c r="EP10" i="32"/>
  <c r="EP57" i="1"/>
  <c r="EP59" i="1" s="1"/>
  <c r="EP168" i="4"/>
  <c r="EP26" i="4"/>
  <c r="EP28" i="4" s="1"/>
  <c r="EU29" i="4" s="1"/>
  <c r="EP588" i="2"/>
  <c r="EP132" i="2"/>
  <c r="EP57" i="4"/>
  <c r="EP442" i="2"/>
  <c r="EP283" i="2"/>
  <c r="EU284" i="2" s="1"/>
  <c r="EP69" i="2"/>
  <c r="EP120" i="4"/>
  <c r="EP38" i="4"/>
  <c r="EP40" i="4" s="1"/>
  <c r="EU41" i="4" s="1"/>
  <c r="EP148" i="4"/>
  <c r="EP171" i="4"/>
  <c r="EP197" i="4" s="1"/>
  <c r="EP397" i="2"/>
  <c r="EU398" i="2" s="1"/>
  <c r="EP185" i="4"/>
  <c r="EP191" i="4" s="1"/>
  <c r="EP436" i="2"/>
  <c r="EP171" i="2"/>
  <c r="EP96" i="2"/>
  <c r="EP350" i="1"/>
  <c r="EP351" i="1" s="1"/>
  <c r="EP168" i="1"/>
  <c r="EP256" i="1"/>
  <c r="EP171" i="1"/>
  <c r="EP138" i="1"/>
  <c r="EP172" i="1"/>
  <c r="EP161" i="1"/>
  <c r="EP163" i="1" s="1"/>
  <c r="EP182" i="1"/>
  <c r="EP149" i="1"/>
  <c r="EP144" i="1"/>
  <c r="EP177" i="1"/>
  <c r="EP179" i="1" s="1"/>
  <c r="EP216" i="1"/>
  <c r="EP220" i="1" s="1"/>
  <c r="EP232" i="1" s="1"/>
  <c r="EU443" i="2" l="1"/>
  <c r="H1111" i="3"/>
  <c r="H1117" i="3" s="1"/>
  <c r="H1123" i="3" s="1"/>
  <c r="H1133" i="3" s="1"/>
  <c r="H1135" i="3" s="1"/>
  <c r="E1556" i="3"/>
  <c r="E9" i="3" s="1"/>
  <c r="EQ405" i="2"/>
  <c r="EQ315" i="2"/>
  <c r="EQ338" i="2" s="1"/>
  <c r="EU213" i="2"/>
  <c r="EQ173" i="2"/>
  <c r="EU172" i="2"/>
  <c r="EP45" i="4"/>
  <c r="EU78" i="2"/>
  <c r="EU210" i="2"/>
  <c r="B1202" i="3"/>
  <c r="D1202" i="3" s="1"/>
  <c r="B1225" i="3"/>
  <c r="D1200" i="3"/>
  <c r="EP584" i="2"/>
  <c r="EU357" i="10"/>
  <c r="EZ305" i="36"/>
  <c r="FA302" i="36" s="1"/>
  <c r="FA304" i="36" s="1"/>
  <c r="EP344" i="2"/>
  <c r="EP344" i="36"/>
  <c r="EP339" i="36"/>
  <c r="EP204" i="36"/>
  <c r="EZ110" i="35"/>
  <c r="EZ130" i="35"/>
  <c r="EZ144" i="35"/>
  <c r="EP45" i="35"/>
  <c r="EP206" i="2"/>
  <c r="EP206" i="36"/>
  <c r="EQ296" i="36"/>
  <c r="EP299" i="36"/>
  <c r="EP425" i="36" s="1"/>
  <c r="EP66" i="1"/>
  <c r="EP68" i="1" s="1"/>
  <c r="EP70" i="1" s="1"/>
  <c r="EP81" i="1" s="1"/>
  <c r="EP89" i="1" s="1"/>
  <c r="EP91" i="1" s="1"/>
  <c r="EP99" i="1" s="1"/>
  <c r="EP284" i="1" s="1"/>
  <c r="EP136" i="35" s="1"/>
  <c r="EP143" i="35" s="1"/>
  <c r="EP145" i="35" s="1"/>
  <c r="EP69" i="35"/>
  <c r="EP74" i="35" s="1"/>
  <c r="EP342" i="36"/>
  <c r="EP192" i="36"/>
  <c r="EP201" i="36"/>
  <c r="EQ316" i="36"/>
  <c r="EQ291" i="36"/>
  <c r="EQ287" i="36"/>
  <c r="EV287" i="36" s="1"/>
  <c r="FA287" i="36" s="1"/>
  <c r="FF287" i="36" s="1"/>
  <c r="EQ281" i="36"/>
  <c r="EP58" i="36"/>
  <c r="EP60" i="36" s="1"/>
  <c r="EP62" i="36" s="1"/>
  <c r="EP68" i="36"/>
  <c r="EP469" i="36"/>
  <c r="EP48" i="36"/>
  <c r="EP17" i="35" s="1"/>
  <c r="EP11" i="36"/>
  <c r="FA555" i="36"/>
  <c r="FL136" i="36"/>
  <c r="FL124" i="36"/>
  <c r="FL113" i="36"/>
  <c r="EZ407" i="36"/>
  <c r="EY147" i="36"/>
  <c r="FL91" i="36"/>
  <c r="FL92" i="36"/>
  <c r="FL542" i="36"/>
  <c r="FM87" i="36"/>
  <c r="FL94" i="36"/>
  <c r="EZ175" i="36"/>
  <c r="EZ153" i="36" s="1"/>
  <c r="EZ164" i="36" s="1"/>
  <c r="EZ159" i="36" s="1"/>
  <c r="EY475" i="36"/>
  <c r="EZ446" i="36"/>
  <c r="EY158" i="36"/>
  <c r="EY13" i="35"/>
  <c r="EZ271" i="36"/>
  <c r="EZ273" i="36" s="1"/>
  <c r="EZ207" i="36"/>
  <c r="EY356" i="36"/>
  <c r="EY483" i="36"/>
  <c r="EZ218" i="36"/>
  <c r="EY346" i="36"/>
  <c r="EY462" i="36"/>
  <c r="EY41" i="36"/>
  <c r="EY10" i="35" s="1"/>
  <c r="EZ208" i="36"/>
  <c r="FA126" i="36"/>
  <c r="FA115" i="36"/>
  <c r="EZ397" i="36"/>
  <c r="FA257" i="36"/>
  <c r="EZ262" i="36"/>
  <c r="EZ265" i="36"/>
  <c r="EZ261" i="36"/>
  <c r="EZ314" i="36"/>
  <c r="EZ143" i="36"/>
  <c r="EZ139" i="36"/>
  <c r="EZ140" i="36"/>
  <c r="FA135" i="36"/>
  <c r="EZ171" i="36"/>
  <c r="EZ182" i="36"/>
  <c r="EP110" i="4"/>
  <c r="EP302" i="1"/>
  <c r="H1706" i="3"/>
  <c r="EP130" i="4"/>
  <c r="EU360" i="10"/>
  <c r="EQ444" i="2"/>
  <c r="EU405" i="10"/>
  <c r="EP204" i="4"/>
  <c r="EP12" i="32" s="1"/>
  <c r="EQ429" i="2"/>
  <c r="EQ434" i="2" s="1"/>
  <c r="EP294" i="2"/>
  <c r="EQ280" i="2"/>
  <c r="EQ316" i="2" s="1"/>
  <c r="EQ453" i="2" s="1"/>
  <c r="EQ285" i="2"/>
  <c r="EQ318" i="2"/>
  <c r="EQ341" i="2" s="1"/>
  <c r="EV349" i="2" s="1"/>
  <c r="EQ304" i="2"/>
  <c r="EQ303" i="2" s="1"/>
  <c r="EQ439" i="2"/>
  <c r="EQ454" i="2" s="1"/>
  <c r="EQ182" i="2"/>
  <c r="EQ203" i="2" s="1"/>
  <c r="EV211" i="2" s="1"/>
  <c r="EQ137" i="2"/>
  <c r="EQ394" i="2"/>
  <c r="ER401" i="2" s="1"/>
  <c r="EQ399" i="2"/>
  <c r="EQ314" i="2"/>
  <c r="EQ259" i="2"/>
  <c r="EQ168" i="2"/>
  <c r="EQ180" i="2"/>
  <c r="D1290" i="3" s="1"/>
  <c r="EQ114" i="2"/>
  <c r="B2166" i="3"/>
  <c r="B2167" i="3" s="1"/>
  <c r="O3120" i="3"/>
  <c r="EP447" i="2"/>
  <c r="EP69" i="4"/>
  <c r="EP74" i="4" s="1"/>
  <c r="EP152" i="4" s="1"/>
  <c r="EP154" i="4" s="1"/>
  <c r="EP158" i="4" s="1"/>
  <c r="EP402" i="2"/>
  <c r="EP184" i="1"/>
  <c r="EP58" i="2"/>
  <c r="EP60" i="2" s="1"/>
  <c r="EP62" i="2" s="1"/>
  <c r="EU64" i="2" s="1"/>
  <c r="EP68" i="2"/>
  <c r="EP176" i="4"/>
  <c r="EP180" i="4" s="1"/>
  <c r="EP192" i="4" s="1"/>
  <c r="EP173" i="1"/>
  <c r="EP189" i="1" s="1"/>
  <c r="EP48" i="2"/>
  <c r="EP11" i="2"/>
  <c r="EP469" i="2"/>
  <c r="EU479" i="2" s="1"/>
  <c r="EP154" i="1"/>
  <c r="EP153" i="1" s="1"/>
  <c r="EP188" i="1" s="1"/>
  <c r="B2449" i="3"/>
  <c r="B2455" i="3" s="1"/>
  <c r="EQ462" i="2" l="1"/>
  <c r="EV472" i="2" s="1"/>
  <c r="EV346" i="2"/>
  <c r="H1125" i="3"/>
  <c r="B1226" i="3"/>
  <c r="B1227" i="3" s="1"/>
  <c r="B1229" i="3" s="1"/>
  <c r="EQ296" i="2"/>
  <c r="EU295" i="2"/>
  <c r="EP252" i="2"/>
  <c r="EU214" i="2"/>
  <c r="EP389" i="2"/>
  <c r="EU352" i="2"/>
  <c r="D1292" i="3"/>
  <c r="C1297" i="3" s="1"/>
  <c r="C1295" i="3"/>
  <c r="EZ307" i="36"/>
  <c r="EZ318" i="36"/>
  <c r="EZ341" i="36" s="1"/>
  <c r="EZ349" i="36" s="1"/>
  <c r="EP236" i="1"/>
  <c r="EP251" i="1" s="1"/>
  <c r="EP105" i="4" s="1"/>
  <c r="EP539" i="1"/>
  <c r="EP540" i="1" s="1"/>
  <c r="EP538" i="1" s="1"/>
  <c r="EP380" i="2"/>
  <c r="EP243" i="2"/>
  <c r="EZ442" i="36"/>
  <c r="EZ444" i="36" s="1"/>
  <c r="EZ310" i="36"/>
  <c r="EZ306" i="36"/>
  <c r="EP72" i="1"/>
  <c r="EP71" i="1"/>
  <c r="EP63" i="36"/>
  <c r="EP44" i="35"/>
  <c r="EP46" i="35" s="1"/>
  <c r="EP70" i="36"/>
  <c r="EP76" i="36"/>
  <c r="EP9" i="36"/>
  <c r="EP243" i="36"/>
  <c r="EP252" i="36"/>
  <c r="EP563" i="36"/>
  <c r="EP545" i="36"/>
  <c r="EQ418" i="36"/>
  <c r="EQ292" i="36"/>
  <c r="EQ297" i="36" s="1"/>
  <c r="EQ423" i="36" s="1"/>
  <c r="EQ286" i="36"/>
  <c r="EV286" i="36" s="1"/>
  <c r="EP162" i="35"/>
  <c r="EP152" i="35"/>
  <c r="EP154" i="35" s="1"/>
  <c r="EP77" i="35"/>
  <c r="EP165" i="35" s="1"/>
  <c r="EP76" i="35"/>
  <c r="EP79" i="35" s="1"/>
  <c r="EQ317" i="36"/>
  <c r="EQ327" i="36" s="1"/>
  <c r="EQ298" i="36"/>
  <c r="EQ424" i="36" s="1"/>
  <c r="EP463" i="36"/>
  <c r="FL395" i="36"/>
  <c r="FL400" i="36" s="1"/>
  <c r="EQ319" i="36"/>
  <c r="EQ453" i="36"/>
  <c r="EP466" i="36"/>
  <c r="EP45" i="36"/>
  <c r="EP29" i="2"/>
  <c r="EP29" i="36"/>
  <c r="FA559" i="36"/>
  <c r="EP190" i="36"/>
  <c r="EU201" i="36"/>
  <c r="EP42" i="36"/>
  <c r="EP10" i="36"/>
  <c r="EP380" i="36"/>
  <c r="EP389" i="36"/>
  <c r="EU479" i="36"/>
  <c r="EZ148" i="36"/>
  <c r="EZ147" i="36" s="1"/>
  <c r="EZ152" i="36" s="1"/>
  <c r="FL568" i="36"/>
  <c r="FL97" i="36"/>
  <c r="FL95" i="36"/>
  <c r="FL107" i="36"/>
  <c r="EZ408" i="36"/>
  <c r="EZ452" i="36" s="1"/>
  <c r="EY472" i="36"/>
  <c r="FM86" i="36"/>
  <c r="FM96" i="36"/>
  <c r="FA305" i="36"/>
  <c r="FA318" i="36" s="1"/>
  <c r="EZ412" i="36"/>
  <c r="FL561" i="36"/>
  <c r="FL169" i="36"/>
  <c r="FL174" i="36" s="1"/>
  <c r="FL540" i="36"/>
  <c r="FL547" i="36" s="1"/>
  <c r="FL544" i="36"/>
  <c r="EY163" i="36"/>
  <c r="EY152" i="36"/>
  <c r="FA268" i="36"/>
  <c r="FA270" i="36" s="1"/>
  <c r="EZ315" i="36"/>
  <c r="EZ338" i="36" s="1"/>
  <c r="EZ272" i="36"/>
  <c r="EZ276" i="36"/>
  <c r="EY337" i="36"/>
  <c r="FD323" i="36"/>
  <c r="FA439" i="36"/>
  <c r="FA137" i="36"/>
  <c r="FA168" i="36"/>
  <c r="EY484" i="36"/>
  <c r="EY485" i="36"/>
  <c r="EY486" i="36" s="1"/>
  <c r="EY67" i="36"/>
  <c r="EY43" i="35" s="1"/>
  <c r="FA259" i="36"/>
  <c r="FA394" i="36"/>
  <c r="EZ402" i="36"/>
  <c r="EZ398" i="36"/>
  <c r="EZ396" i="36"/>
  <c r="EZ399" i="36"/>
  <c r="EZ451" i="36"/>
  <c r="FB112" i="36"/>
  <c r="FA120" i="36"/>
  <c r="FB552" i="36" s="1"/>
  <c r="FA116" i="36"/>
  <c r="FA117" i="36"/>
  <c r="FA180" i="36"/>
  <c r="FA132" i="36"/>
  <c r="FA128" i="36"/>
  <c r="FB123" i="36"/>
  <c r="FA131" i="36"/>
  <c r="FA127" i="36"/>
  <c r="FA181" i="36"/>
  <c r="EZ203" i="36"/>
  <c r="EZ183" i="36"/>
  <c r="EZ173" i="36"/>
  <c r="EZ176" i="36"/>
  <c r="EZ172" i="36"/>
  <c r="EZ160" i="36"/>
  <c r="EP306" i="1"/>
  <c r="H1712" i="3" s="1"/>
  <c r="H1708" i="3"/>
  <c r="EQ291" i="2"/>
  <c r="EQ317" i="2" s="1"/>
  <c r="EQ136" i="2"/>
  <c r="EQ441" i="2"/>
  <c r="EQ342" i="2"/>
  <c r="EV350" i="2" s="1"/>
  <c r="EQ113" i="2"/>
  <c r="EQ170" i="2"/>
  <c r="EQ175" i="2" s="1"/>
  <c r="EQ183" i="2"/>
  <c r="EQ247" i="2" s="1"/>
  <c r="EV248" i="2" s="1"/>
  <c r="EQ199" i="2"/>
  <c r="EV207" i="2" s="1"/>
  <c r="EQ192" i="2"/>
  <c r="EQ488" i="2"/>
  <c r="EV489" i="2" s="1"/>
  <c r="EQ451" i="2"/>
  <c r="EQ258" i="2"/>
  <c r="EQ396" i="2"/>
  <c r="EQ465" i="2"/>
  <c r="EV475" i="2" s="1"/>
  <c r="EQ204" i="2"/>
  <c r="EV212" i="2" s="1"/>
  <c r="EQ319" i="2"/>
  <c r="EQ337" i="2"/>
  <c r="EV345" i="2" s="1"/>
  <c r="EP17" i="4"/>
  <c r="EP76" i="4"/>
  <c r="EP79" i="4" s="1"/>
  <c r="EP77" i="4"/>
  <c r="EP165" i="4" s="1"/>
  <c r="EP162" i="4"/>
  <c r="EP198" i="4"/>
  <c r="EP16" i="32" s="1"/>
  <c r="EP291" i="1"/>
  <c r="EP293" i="1" s="1"/>
  <c r="EP294" i="1" s="1"/>
  <c r="EP136" i="4"/>
  <c r="EP143" i="4" s="1"/>
  <c r="EP145" i="4" s="1"/>
  <c r="EP63" i="2"/>
  <c r="EP70" i="2"/>
  <c r="EU80" i="2" s="1"/>
  <c r="EP44" i="4"/>
  <c r="B2470" i="3"/>
  <c r="EV193" i="2" l="1"/>
  <c r="D1545" i="3"/>
  <c r="D1546" i="3" s="1"/>
  <c r="H1158" i="3"/>
  <c r="H1168" i="3" s="1"/>
  <c r="EP249" i="2"/>
  <c r="EU244" i="2"/>
  <c r="C1279" i="3"/>
  <c r="B1279" i="3" s="1"/>
  <c r="B1281" i="3" s="1"/>
  <c r="B1277" i="3" s="1"/>
  <c r="C1277" i="3" s="1"/>
  <c r="B1233" i="3"/>
  <c r="B1234" i="3" s="1"/>
  <c r="EP386" i="2"/>
  <c r="EU381" i="2"/>
  <c r="C1296" i="3"/>
  <c r="EP268" i="1"/>
  <c r="EZ414" i="36"/>
  <c r="EP384" i="2"/>
  <c r="EU385" i="2" s="1"/>
  <c r="EZ454" i="36"/>
  <c r="EP122" i="4"/>
  <c r="EP129" i="4"/>
  <c r="EP132" i="4" s="1"/>
  <c r="EP134" i="4" s="1"/>
  <c r="EP105" i="35"/>
  <c r="EP129" i="35" s="1"/>
  <c r="EP132" i="35" s="1"/>
  <c r="EP134" i="35" s="1"/>
  <c r="EZ447" i="36"/>
  <c r="EZ443" i="36"/>
  <c r="EZ355" i="36"/>
  <c r="EZ356" i="36" s="1"/>
  <c r="EZ410" i="36"/>
  <c r="EZ413" i="36"/>
  <c r="EP32" i="36"/>
  <c r="EV327" i="36"/>
  <c r="EP11" i="35"/>
  <c r="EP12" i="35" s="1"/>
  <c r="EP43" i="36"/>
  <c r="EP14" i="35"/>
  <c r="EP15" i="35" s="1"/>
  <c r="EP46" i="36"/>
  <c r="EP81" i="35"/>
  <c r="EP96" i="35"/>
  <c r="EU76" i="36"/>
  <c r="EZ201" i="36"/>
  <c r="EU190" i="36"/>
  <c r="EU191" i="36" s="1"/>
  <c r="EU202" i="36"/>
  <c r="EP467" i="36"/>
  <c r="EP71" i="36"/>
  <c r="EP74" i="36"/>
  <c r="FB556" i="36"/>
  <c r="FB551" i="36"/>
  <c r="FC552" i="36"/>
  <c r="FA310" i="36"/>
  <c r="EQ455" i="36"/>
  <c r="EQ574" i="36"/>
  <c r="EQ566" i="36"/>
  <c r="EP464" i="36"/>
  <c r="EP158" i="35"/>
  <c r="EP249" i="36"/>
  <c r="EP18" i="36"/>
  <c r="EP247" i="36"/>
  <c r="EP245" i="36"/>
  <c r="EP235" i="36"/>
  <c r="EP58" i="4"/>
  <c r="EP59" i="4" s="1"/>
  <c r="EP61" i="4" s="1"/>
  <c r="EP58" i="35"/>
  <c r="EP59" i="35" s="1"/>
  <c r="EP61" i="35" s="1"/>
  <c r="FA307" i="36"/>
  <c r="FA560" i="36"/>
  <c r="FA562" i="36"/>
  <c r="FA573" i="36"/>
  <c r="EP163" i="35"/>
  <c r="EP164" i="35"/>
  <c r="EP147" i="4"/>
  <c r="EP149" i="4" s="1"/>
  <c r="EP147" i="35"/>
  <c r="FA306" i="36"/>
  <c r="EP19" i="36"/>
  <c r="EP386" i="36"/>
  <c r="EP384" i="36"/>
  <c r="EP382" i="36"/>
  <c r="EP372" i="36"/>
  <c r="FA286" i="36"/>
  <c r="EV281" i="36"/>
  <c r="EP12" i="36"/>
  <c r="EP31" i="36"/>
  <c r="FB302" i="36"/>
  <c r="FB304" i="36" s="1"/>
  <c r="EZ409" i="36"/>
  <c r="FA407" i="36"/>
  <c r="FL303" i="36"/>
  <c r="FL440" i="36" s="1"/>
  <c r="FL445" i="36" s="1"/>
  <c r="FL269" i="36"/>
  <c r="FL406" i="36" s="1"/>
  <c r="FL411" i="36" s="1"/>
  <c r="FM258" i="36"/>
  <c r="FL108" i="36"/>
  <c r="FL548" i="36"/>
  <c r="FA341" i="36"/>
  <c r="FM88" i="36"/>
  <c r="FM90" i="36"/>
  <c r="FM105" i="36"/>
  <c r="FM106" i="36" s="1"/>
  <c r="EZ401" i="36"/>
  <c r="EY40" i="36"/>
  <c r="EY461" i="36"/>
  <c r="EY345" i="36"/>
  <c r="FA405" i="36"/>
  <c r="FA271" i="36"/>
  <c r="FA315" i="36" s="1"/>
  <c r="FA338" i="36" s="1"/>
  <c r="FA346" i="36" s="1"/>
  <c r="EZ337" i="36"/>
  <c r="EZ461" i="36" s="1"/>
  <c r="FE323" i="36"/>
  <c r="EZ230" i="36"/>
  <c r="EZ320" i="36"/>
  <c r="FG323" i="36"/>
  <c r="FF323" i="36"/>
  <c r="EZ465" i="36"/>
  <c r="EZ211" i="36"/>
  <c r="EZ44" i="36"/>
  <c r="FA200" i="36"/>
  <c r="FA217" i="36"/>
  <c r="EY57" i="36"/>
  <c r="EY72" i="36"/>
  <c r="EY73" i="36" s="1"/>
  <c r="FA441" i="36"/>
  <c r="FA170" i="36"/>
  <c r="FA260" i="36"/>
  <c r="EZ165" i="36"/>
  <c r="EZ161" i="36"/>
  <c r="EZ162" i="36"/>
  <c r="FA157" i="36"/>
  <c r="FB125" i="36"/>
  <c r="FC125" i="36" s="1"/>
  <c r="FC130" i="36" s="1"/>
  <c r="FB114" i="36"/>
  <c r="FC114" i="36" s="1"/>
  <c r="FC119" i="36" s="1"/>
  <c r="FA138" i="36"/>
  <c r="EZ346" i="36"/>
  <c r="EZ41" i="36"/>
  <c r="EZ10" i="35" s="1"/>
  <c r="EZ462" i="36"/>
  <c r="FA488" i="36"/>
  <c r="FA489" i="36" s="1"/>
  <c r="FA199" i="36"/>
  <c r="FA190" i="36"/>
  <c r="FA191" i="36" s="1"/>
  <c r="FA541" i="36"/>
  <c r="EQ561" i="2"/>
  <c r="EP96" i="4"/>
  <c r="EP104" i="4" s="1"/>
  <c r="EP1033" i="10"/>
  <c r="EQ169" i="2"/>
  <c r="EQ455" i="2"/>
  <c r="EQ573" i="2"/>
  <c r="EQ339" i="2"/>
  <c r="EV347" i="2" s="1"/>
  <c r="EQ466" i="2"/>
  <c r="EQ45" i="2"/>
  <c r="EQ14" i="4" s="1"/>
  <c r="EQ440" i="2"/>
  <c r="EQ445" i="2" s="1"/>
  <c r="EQ395" i="2"/>
  <c r="EQ400" i="2" s="1"/>
  <c r="EQ461" i="2"/>
  <c r="EV471" i="2" s="1"/>
  <c r="EQ201" i="2"/>
  <c r="EV209" i="2" s="1"/>
  <c r="EP81" i="4"/>
  <c r="EP163" i="4"/>
  <c r="EP164" i="4"/>
  <c r="C2470" i="3"/>
  <c r="EQ467" i="2" l="1"/>
  <c r="EV477" i="2" s="1"/>
  <c r="EV476" i="2"/>
  <c r="EP68" i="4"/>
  <c r="EU63" i="4"/>
  <c r="B1242" i="3"/>
  <c r="B1244" i="3" s="1"/>
  <c r="B1246" i="3" s="1"/>
  <c r="B1252" i="3" s="1"/>
  <c r="B1236" i="3"/>
  <c r="EP122" i="35"/>
  <c r="EP104" i="35"/>
  <c r="EP62" i="4"/>
  <c r="EZ483" i="36"/>
  <c r="EZ484" i="36" s="1"/>
  <c r="EP146" i="4"/>
  <c r="EP1037" i="10"/>
  <c r="EP576" i="36"/>
  <c r="EP30" i="36"/>
  <c r="EP570" i="36"/>
  <c r="FE201" i="36"/>
  <c r="EZ190" i="36"/>
  <c r="EZ191" i="36" s="1"/>
  <c r="EZ202" i="36"/>
  <c r="EP47" i="36"/>
  <c r="EP49" i="36" s="1"/>
  <c r="EV418" i="36"/>
  <c r="EV292" i="36"/>
  <c r="EV297" i="36" s="1"/>
  <c r="EV423" i="36" s="1"/>
  <c r="FA107" i="35"/>
  <c r="FA579" i="36"/>
  <c r="FA581" i="36" s="1"/>
  <c r="FA585" i="36" s="1"/>
  <c r="FA589" i="36"/>
  <c r="FA577" i="36"/>
  <c r="FA575" i="36"/>
  <c r="EP16" i="35"/>
  <c r="EP18" i="35" s="1"/>
  <c r="FF286" i="36"/>
  <c r="FF281" i="36" s="1"/>
  <c r="FA281" i="36"/>
  <c r="EP68" i="35"/>
  <c r="EP62" i="35"/>
  <c r="EZ76" i="36"/>
  <c r="EU68" i="36"/>
  <c r="FA327" i="36"/>
  <c r="FF327" i="36" s="1"/>
  <c r="EP149" i="35"/>
  <c r="EP146" i="35"/>
  <c r="EP237" i="36"/>
  <c r="EP241" i="36"/>
  <c r="EP239" i="36"/>
  <c r="EP222" i="36"/>
  <c r="FC551" i="36"/>
  <c r="FC553" i="36" s="1"/>
  <c r="EU210" i="36"/>
  <c r="EU192" i="36"/>
  <c r="EU193" i="36" s="1"/>
  <c r="EP378" i="36"/>
  <c r="EP376" i="36"/>
  <c r="EP374" i="36"/>
  <c r="EP468" i="36"/>
  <c r="FB555" i="36"/>
  <c r="FC555" i="36" s="1"/>
  <c r="FC556" i="36"/>
  <c r="FA349" i="36"/>
  <c r="FA272" i="36"/>
  <c r="FA355" i="36"/>
  <c r="FA356" i="36" s="1"/>
  <c r="FA408" i="36"/>
  <c r="FA452" i="36" s="1"/>
  <c r="FM542" i="36"/>
  <c r="FM91" i="36"/>
  <c r="FM92" i="36"/>
  <c r="FM94" i="36"/>
  <c r="EZ158" i="36"/>
  <c r="EZ472" i="36"/>
  <c r="FB305" i="36"/>
  <c r="FC305" i="36" s="1"/>
  <c r="FC304" i="36"/>
  <c r="FC309" i="36" s="1"/>
  <c r="FA175" i="36"/>
  <c r="FA153" i="36" s="1"/>
  <c r="FA164" i="36" s="1"/>
  <c r="FA159" i="36" s="1"/>
  <c r="FB126" i="36"/>
  <c r="FB128" i="36" s="1"/>
  <c r="FC128" i="36" s="1"/>
  <c r="FA446" i="36"/>
  <c r="FA412" i="36"/>
  <c r="FA273" i="36"/>
  <c r="EZ13" i="35"/>
  <c r="FA276" i="36"/>
  <c r="FM124" i="36"/>
  <c r="FM113" i="36"/>
  <c r="FM136" i="36"/>
  <c r="EY9" i="35"/>
  <c r="EZ40" i="36"/>
  <c r="EZ9" i="35" s="1"/>
  <c r="EZ345" i="36"/>
  <c r="EY471" i="36"/>
  <c r="FB268" i="36"/>
  <c r="FB405" i="36" s="1"/>
  <c r="FA140" i="36"/>
  <c r="FB135" i="36"/>
  <c r="FA143" i="36"/>
  <c r="FA139" i="36"/>
  <c r="FA442" i="36"/>
  <c r="FA182" i="36"/>
  <c r="FA171" i="36"/>
  <c r="FB257" i="36"/>
  <c r="FA261" i="36"/>
  <c r="FA397" i="36"/>
  <c r="FA265" i="36"/>
  <c r="FA262" i="36"/>
  <c r="FA314" i="36"/>
  <c r="EZ475" i="36"/>
  <c r="EZ231" i="36"/>
  <c r="FA207" i="36"/>
  <c r="FA202" i="36"/>
  <c r="FA218" i="36"/>
  <c r="FA462" i="36"/>
  <c r="FA472" i="36" s="1"/>
  <c r="FA208" i="36"/>
  <c r="FA41" i="36"/>
  <c r="FA10" i="35" s="1"/>
  <c r="FB115" i="36"/>
  <c r="FC115" i="36" s="1"/>
  <c r="EZ471" i="36"/>
  <c r="EV374" i="10"/>
  <c r="EQ463" i="2"/>
  <c r="EV473" i="2" s="1"/>
  <c r="EQ190" i="2"/>
  <c r="EV191" i="2" s="1"/>
  <c r="EQ327" i="2"/>
  <c r="B2502" i="3"/>
  <c r="C2491" i="3"/>
  <c r="D2491" i="3" s="1"/>
  <c r="C2479" i="3"/>
  <c r="D2479" i="3" s="1"/>
  <c r="E2479" i="3" s="1"/>
  <c r="B2520" i="3"/>
  <c r="B2519" i="3"/>
  <c r="B2515" i="3"/>
  <c r="B2517" i="3" s="1"/>
  <c r="B2523" i="3" s="1"/>
  <c r="B2513" i="3"/>
  <c r="EV412" i="10" l="1"/>
  <c r="EV328" i="2"/>
  <c r="B1256" i="3"/>
  <c r="B1251" i="3"/>
  <c r="B1255" i="3" s="1"/>
  <c r="EZ67" i="36"/>
  <c r="EZ43" i="35" s="1"/>
  <c r="EZ485" i="36"/>
  <c r="EZ486" i="36" s="1"/>
  <c r="FB559" i="36"/>
  <c r="FC559" i="36" s="1"/>
  <c r="FB310" i="36"/>
  <c r="FA413" i="36"/>
  <c r="FB318" i="36"/>
  <c r="FC318" i="36" s="1"/>
  <c r="EZ192" i="36"/>
  <c r="EZ193" i="36" s="1"/>
  <c r="EZ210" i="36"/>
  <c r="FC557" i="36"/>
  <c r="EP224" i="36"/>
  <c r="EP227" i="36"/>
  <c r="FA144" i="35"/>
  <c r="FA110" i="35"/>
  <c r="FA130" i="35"/>
  <c r="EP21" i="36"/>
  <c r="EP20" i="36" s="1"/>
  <c r="EP33" i="36"/>
  <c r="FA483" i="36"/>
  <c r="FA485" i="36" s="1"/>
  <c r="FA486" i="36" s="1"/>
  <c r="FA418" i="36"/>
  <c r="FA292" i="36"/>
  <c r="FA297" i="36" s="1"/>
  <c r="FA423" i="36" s="1"/>
  <c r="EP470" i="36"/>
  <c r="EP526" i="36" s="1"/>
  <c r="EU44" i="35"/>
  <c r="EU58" i="36"/>
  <c r="FF292" i="36"/>
  <c r="FF297" i="36" s="1"/>
  <c r="FF423" i="36" s="1"/>
  <c r="FF418" i="36"/>
  <c r="EZ68" i="36"/>
  <c r="FE76" i="36"/>
  <c r="FE68" i="36" s="1"/>
  <c r="EP48" i="35"/>
  <c r="FB127" i="36"/>
  <c r="FB307" i="36"/>
  <c r="FC307" i="36" s="1"/>
  <c r="FA409" i="36"/>
  <c r="FB131" i="36"/>
  <c r="FA414" i="36"/>
  <c r="FA148" i="36"/>
  <c r="FA147" i="36" s="1"/>
  <c r="FA410" i="36"/>
  <c r="FB306" i="36"/>
  <c r="FB270" i="36"/>
  <c r="FB407" i="36" s="1"/>
  <c r="FC407" i="36" s="1"/>
  <c r="FC412" i="36" s="1"/>
  <c r="FM395" i="36"/>
  <c r="FM400" i="36" s="1"/>
  <c r="FM561" i="36"/>
  <c r="FM169" i="36"/>
  <c r="FM174" i="36" s="1"/>
  <c r="FM568" i="36"/>
  <c r="FM95" i="36"/>
  <c r="FM97" i="36"/>
  <c r="FM107" i="36"/>
  <c r="FC310" i="36"/>
  <c r="FC306" i="36"/>
  <c r="FD302" i="36"/>
  <c r="FM544" i="36"/>
  <c r="FM540" i="36"/>
  <c r="FM547" i="36" s="1"/>
  <c r="FB181" i="36"/>
  <c r="FC126" i="36"/>
  <c r="EZ163" i="36"/>
  <c r="FC120" i="36"/>
  <c r="FD552" i="36" s="1"/>
  <c r="FC116" i="36"/>
  <c r="FD112" i="36"/>
  <c r="FH112" i="36" s="1"/>
  <c r="FA337" i="36"/>
  <c r="FA461" i="36" s="1"/>
  <c r="FB132" i="36"/>
  <c r="FB394" i="36"/>
  <c r="FA402" i="36"/>
  <c r="FA398" i="36"/>
  <c r="FA396" i="36"/>
  <c r="FA399" i="36"/>
  <c r="FA451" i="36"/>
  <c r="FA176" i="36"/>
  <c r="FA172" i="36"/>
  <c r="FA160" i="36"/>
  <c r="FA173" i="36"/>
  <c r="FB120" i="36"/>
  <c r="FB116" i="36"/>
  <c r="FB180" i="36"/>
  <c r="FC180" i="36" s="1"/>
  <c r="FB117" i="36"/>
  <c r="FC117" i="36" s="1"/>
  <c r="FA203" i="36"/>
  <c r="FA183" i="36"/>
  <c r="FA444" i="36"/>
  <c r="FA447" i="36"/>
  <c r="FA443" i="36"/>
  <c r="FA454" i="36"/>
  <c r="FB259" i="36"/>
  <c r="FA210" i="36"/>
  <c r="FA192" i="36"/>
  <c r="FA193" i="36" s="1"/>
  <c r="FB439" i="36"/>
  <c r="FB137" i="36"/>
  <c r="FC137" i="36" s="1"/>
  <c r="FC142" i="36" s="1"/>
  <c r="FB168" i="36"/>
  <c r="EQ464" i="2"/>
  <c r="EV474" i="2" s="1"/>
  <c r="F2479" i="3"/>
  <c r="G2479" i="3" s="1"/>
  <c r="E2491" i="3"/>
  <c r="F2491" i="3" s="1"/>
  <c r="G2491" i="3" s="1"/>
  <c r="B2521" i="3"/>
  <c r="B2527" i="3" s="1"/>
  <c r="B2529" i="3" s="1"/>
  <c r="B2525" i="3"/>
  <c r="B2550" i="3"/>
  <c r="B2552" i="3" s="1"/>
  <c r="B2579" i="3"/>
  <c r="B2826" i="3"/>
  <c r="C2826" i="3" s="1"/>
  <c r="D2826" i="3" s="1"/>
  <c r="E2826" i="3" s="1"/>
  <c r="F2826" i="3" s="1"/>
  <c r="G2826" i="3" s="1"/>
  <c r="B2858" i="3" s="1"/>
  <c r="C2816" i="3"/>
  <c r="C2812" i="3"/>
  <c r="D2812" i="3" s="1"/>
  <c r="E2812" i="3" s="1"/>
  <c r="F2812" i="3" s="1"/>
  <c r="G2812" i="3" s="1"/>
  <c r="B2638" i="3"/>
  <c r="B1257" i="3" l="1"/>
  <c r="FB562" i="36"/>
  <c r="FA484" i="36"/>
  <c r="EZ72" i="36"/>
  <c r="EZ73" i="36" s="1"/>
  <c r="EZ57" i="36"/>
  <c r="FA67" i="36"/>
  <c r="FA43" i="35" s="1"/>
  <c r="FA57" i="35" s="1"/>
  <c r="FB341" i="36"/>
  <c r="FC341" i="36" s="1"/>
  <c r="FC329" i="36" s="1"/>
  <c r="FC330" i="36" s="1"/>
  <c r="EZ44" i="35"/>
  <c r="EZ57" i="35" s="1"/>
  <c r="EZ58" i="36"/>
  <c r="FC562" i="36"/>
  <c r="FC560" i="36"/>
  <c r="EQ225" i="36"/>
  <c r="FD551" i="36"/>
  <c r="FD556" i="36"/>
  <c r="EU57" i="35"/>
  <c r="FB560" i="36"/>
  <c r="EP49" i="35"/>
  <c r="EP205" i="35"/>
  <c r="FE58" i="36"/>
  <c r="FE44" i="35"/>
  <c r="FA152" i="36"/>
  <c r="FM108" i="36"/>
  <c r="FM303" i="36"/>
  <c r="FM440" i="36" s="1"/>
  <c r="FM445" i="36" s="1"/>
  <c r="FM269" i="36"/>
  <c r="FM406" i="36" s="1"/>
  <c r="FM411" i="36" s="1"/>
  <c r="FB271" i="36"/>
  <c r="FC270" i="36"/>
  <c r="FC275" i="36" s="1"/>
  <c r="FM548" i="36"/>
  <c r="FC132" i="36"/>
  <c r="FC127" i="36"/>
  <c r="FC131" i="36"/>
  <c r="FD123" i="36"/>
  <c r="FC541" i="36"/>
  <c r="FC490" i="36"/>
  <c r="FC491" i="36" s="1"/>
  <c r="FD491" i="36" s="1"/>
  <c r="FE491" i="36" s="1"/>
  <c r="FF491" i="36" s="1"/>
  <c r="FG491" i="36" s="1"/>
  <c r="FC181" i="36"/>
  <c r="FB200" i="36"/>
  <c r="FB217" i="36"/>
  <c r="FH302" i="36"/>
  <c r="FD304" i="36"/>
  <c r="FC259" i="36"/>
  <c r="FC264" i="36" s="1"/>
  <c r="FA401" i="36"/>
  <c r="FA40" i="36"/>
  <c r="FA9" i="35" s="1"/>
  <c r="FA345" i="36"/>
  <c r="FD114" i="36"/>
  <c r="FB260" i="36"/>
  <c r="FB441" i="36"/>
  <c r="FB170" i="36"/>
  <c r="FA162" i="36"/>
  <c r="FB157" i="36"/>
  <c r="FC157" i="36" s="1"/>
  <c r="FA161" i="36"/>
  <c r="FA165" i="36"/>
  <c r="FA471" i="36"/>
  <c r="FB138" i="36"/>
  <c r="FC138" i="36" s="1"/>
  <c r="FA230" i="36"/>
  <c r="FA320" i="36"/>
  <c r="FB412" i="36"/>
  <c r="FB408" i="36"/>
  <c r="FC408" i="36" s="1"/>
  <c r="FA465" i="36"/>
  <c r="FA211" i="36"/>
  <c r="FA44" i="36"/>
  <c r="FB488" i="36"/>
  <c r="FB199" i="36"/>
  <c r="FC199" i="36" s="1"/>
  <c r="FB190" i="36"/>
  <c r="FB541" i="36"/>
  <c r="EQ468" i="2"/>
  <c r="EV478" i="2" s="1"/>
  <c r="H2491" i="3"/>
  <c r="H2479" i="3"/>
  <c r="B2531" i="3"/>
  <c r="C2701" i="3"/>
  <c r="C2717" i="3" s="1"/>
  <c r="C2765" i="3"/>
  <c r="C2773" i="3" s="1"/>
  <c r="D2765" i="3"/>
  <c r="D2773" i="3" s="1"/>
  <c r="E2765" i="3"/>
  <c r="E2773" i="3" s="1"/>
  <c r="G2765" i="3"/>
  <c r="G2773" i="3" s="1"/>
  <c r="FC349" i="36" l="1"/>
  <c r="FB349" i="36"/>
  <c r="FA72" i="36"/>
  <c r="FA73" i="36" s="1"/>
  <c r="FA57" i="36"/>
  <c r="FD555" i="36"/>
  <c r="FD559" i="36" s="1"/>
  <c r="FC217" i="36"/>
  <c r="FC218" i="36" s="1"/>
  <c r="FB218" i="36"/>
  <c r="FC200" i="36"/>
  <c r="FB208" i="36"/>
  <c r="FB446" i="36"/>
  <c r="FC441" i="36"/>
  <c r="FC446" i="36" s="1"/>
  <c r="FC186" i="36"/>
  <c r="FC207" i="36"/>
  <c r="FC413" i="36"/>
  <c r="FC409" i="36"/>
  <c r="FC602" i="36"/>
  <c r="FC630" i="36" s="1"/>
  <c r="FC642" i="36" s="1"/>
  <c r="FC143" i="36"/>
  <c r="FC139" i="36"/>
  <c r="FD135" i="36"/>
  <c r="FA158" i="36"/>
  <c r="FC271" i="36"/>
  <c r="FB273" i="36"/>
  <c r="FC273" i="36" s="1"/>
  <c r="FB272" i="36"/>
  <c r="FB315" i="36"/>
  <c r="FB276" i="36"/>
  <c r="FD305" i="36"/>
  <c r="FB175" i="36"/>
  <c r="FB153" i="36" s="1"/>
  <c r="FB164" i="36" s="1"/>
  <c r="FB159" i="36" s="1"/>
  <c r="FC159" i="36" s="1"/>
  <c r="FC170" i="36"/>
  <c r="FC175" i="36" s="1"/>
  <c r="FC153" i="36" s="1"/>
  <c r="FC164" i="36" s="1"/>
  <c r="FH123" i="36"/>
  <c r="FD125" i="36"/>
  <c r="FA13" i="35"/>
  <c r="FB262" i="36"/>
  <c r="FC262" i="36" s="1"/>
  <c r="FC260" i="36"/>
  <c r="FD115" i="36"/>
  <c r="FB397" i="36"/>
  <c r="FB261" i="36"/>
  <c r="FB314" i="36"/>
  <c r="FB191" i="36"/>
  <c r="FB489" i="36"/>
  <c r="FB265" i="36"/>
  <c r="FB207" i="36"/>
  <c r="FB202" i="36"/>
  <c r="FA231" i="36"/>
  <c r="FB410" i="36"/>
  <c r="FC410" i="36" s="1"/>
  <c r="FB413" i="36"/>
  <c r="FB409" i="36"/>
  <c r="FB452" i="36"/>
  <c r="FC452" i="36" s="1"/>
  <c r="FB140" i="36"/>
  <c r="FC140" i="36" s="1"/>
  <c r="FB143" i="36"/>
  <c r="FB139" i="36"/>
  <c r="FB442" i="36"/>
  <c r="FC442" i="36" s="1"/>
  <c r="FB171" i="36"/>
  <c r="FC171" i="36" s="1"/>
  <c r="FB182" i="36"/>
  <c r="FC182" i="36" s="1"/>
  <c r="FC183" i="36" s="1"/>
  <c r="FA475" i="36"/>
  <c r="EQ470" i="2"/>
  <c r="EV480" i="2" s="1"/>
  <c r="H2492" i="3"/>
  <c r="H2495" i="3" s="1"/>
  <c r="I2491" i="3"/>
  <c r="I2492" i="3" s="1"/>
  <c r="I2495" i="3" s="1"/>
  <c r="I2479" i="3"/>
  <c r="B2641" i="3"/>
  <c r="C2641" i="3" s="1"/>
  <c r="D2641" i="3" s="1"/>
  <c r="E2641" i="3" s="1"/>
  <c r="F2641" i="3" s="1"/>
  <c r="C2628" i="3"/>
  <c r="D2628" i="3" s="1"/>
  <c r="E2628" i="3" s="1"/>
  <c r="F2628" i="3" s="1"/>
  <c r="C2632" i="3"/>
  <c r="D2618" i="3"/>
  <c r="B2589" i="3"/>
  <c r="B2588" i="3"/>
  <c r="B2583" i="3"/>
  <c r="D2614" i="3"/>
  <c r="E2614" i="3" s="1"/>
  <c r="F2614" i="3" s="1"/>
  <c r="G2614" i="3" s="1"/>
  <c r="FB148" i="36" l="1"/>
  <c r="FB147" i="36" s="1"/>
  <c r="FD562" i="36"/>
  <c r="FC176" i="36"/>
  <c r="FC172" i="36"/>
  <c r="FD307" i="36"/>
  <c r="FD306" i="36"/>
  <c r="FD310" i="36"/>
  <c r="FE302" i="36"/>
  <c r="FD318" i="36"/>
  <c r="FC208" i="36"/>
  <c r="FC188" i="36"/>
  <c r="FC447" i="36"/>
  <c r="FC443" i="36"/>
  <c r="FC604" i="36"/>
  <c r="FC276" i="36"/>
  <c r="FC272" i="36"/>
  <c r="FD268" i="36"/>
  <c r="FC601" i="36"/>
  <c r="FC315" i="36"/>
  <c r="FB355" i="36"/>
  <c r="FB338" i="36"/>
  <c r="FC320" i="36"/>
  <c r="FD126" i="36"/>
  <c r="FD132" i="36" s="1"/>
  <c r="FA163" i="36"/>
  <c r="FC187" i="36"/>
  <c r="FC618" i="36"/>
  <c r="FH135" i="36"/>
  <c r="FD439" i="36"/>
  <c r="FH439" i="36" s="1"/>
  <c r="FD137" i="36"/>
  <c r="FD168" i="36"/>
  <c r="FH168" i="36" s="1"/>
  <c r="FC314" i="36"/>
  <c r="FC265" i="36"/>
  <c r="FC261" i="36"/>
  <c r="FD257" i="36"/>
  <c r="FC599" i="36"/>
  <c r="FC495" i="36" s="1"/>
  <c r="FC496" i="36" s="1"/>
  <c r="FD496" i="36" s="1"/>
  <c r="FE496" i="36" s="1"/>
  <c r="FF496" i="36" s="1"/>
  <c r="FG496" i="36" s="1"/>
  <c r="FB451" i="36"/>
  <c r="FC397" i="36"/>
  <c r="FB414" i="36"/>
  <c r="FB399" i="36"/>
  <c r="FC399" i="36" s="1"/>
  <c r="FB402" i="36"/>
  <c r="FD120" i="36"/>
  <c r="FE552" i="36" s="1"/>
  <c r="FD116" i="36"/>
  <c r="FE112" i="36"/>
  <c r="FD117" i="36"/>
  <c r="FD180" i="36"/>
  <c r="FD560" i="36" s="1"/>
  <c r="FB396" i="36"/>
  <c r="FB398" i="36"/>
  <c r="FB337" i="36"/>
  <c r="FB203" i="36"/>
  <c r="FC203" i="36" s="1"/>
  <c r="FB183" i="36"/>
  <c r="FB210" i="36"/>
  <c r="FB192" i="36"/>
  <c r="FB193" i="36" s="1"/>
  <c r="FB176" i="36"/>
  <c r="FB172" i="36"/>
  <c r="FB160" i="36"/>
  <c r="FC160" i="36" s="1"/>
  <c r="FB173" i="36"/>
  <c r="FC173" i="36" s="1"/>
  <c r="FB444" i="36"/>
  <c r="FC444" i="36" s="1"/>
  <c r="FB447" i="36"/>
  <c r="FB443" i="36"/>
  <c r="FB454" i="36"/>
  <c r="EQ526" i="2"/>
  <c r="EV527" i="2" s="1"/>
  <c r="G2641" i="3"/>
  <c r="G2628" i="3"/>
  <c r="E2618" i="3"/>
  <c r="B2590" i="3"/>
  <c r="B2593" i="3" s="1"/>
  <c r="FC148" i="36" l="1"/>
  <c r="FE556" i="36"/>
  <c r="FE551" i="36"/>
  <c r="FC338" i="36"/>
  <c r="FB346" i="36"/>
  <c r="FB462" i="36"/>
  <c r="FB41" i="36"/>
  <c r="FB10" i="35" s="1"/>
  <c r="FC10" i="35" s="1"/>
  <c r="FE304" i="36"/>
  <c r="FH268" i="36"/>
  <c r="FD270" i="36"/>
  <c r="FD405" i="36"/>
  <c r="FC454" i="36"/>
  <c r="FC355" i="36"/>
  <c r="FC356" i="36" s="1"/>
  <c r="FB356" i="36"/>
  <c r="FB483" i="36"/>
  <c r="FC165" i="36"/>
  <c r="FC161" i="36"/>
  <c r="FD157" i="36"/>
  <c r="FD138" i="36"/>
  <c r="FD441" i="36"/>
  <c r="FD170" i="36"/>
  <c r="FD175" i="36" s="1"/>
  <c r="FD153" i="36" s="1"/>
  <c r="FC189" i="36"/>
  <c r="FC622" i="36"/>
  <c r="FB152" i="36"/>
  <c r="FC147" i="36"/>
  <c r="FC152" i="36" s="1"/>
  <c r="FC211" i="36"/>
  <c r="FC194" i="36"/>
  <c r="FC195" i="36" s="1"/>
  <c r="FC44" i="36"/>
  <c r="FE123" i="36"/>
  <c r="FD131" i="36"/>
  <c r="FD128" i="36"/>
  <c r="FD127" i="36"/>
  <c r="FD181" i="36"/>
  <c r="FD341" i="36"/>
  <c r="FC414" i="36"/>
  <c r="FC402" i="36"/>
  <c r="FC398" i="36"/>
  <c r="FD394" i="36"/>
  <c r="FH394" i="36" s="1"/>
  <c r="FC600" i="36"/>
  <c r="FH257" i="36"/>
  <c r="FD259" i="36"/>
  <c r="FB40" i="36"/>
  <c r="FB9" i="35" s="1"/>
  <c r="FC337" i="36"/>
  <c r="FC451" i="36"/>
  <c r="FB401" i="36"/>
  <c r="FC396" i="36"/>
  <c r="FC401" i="36" s="1"/>
  <c r="FD199" i="36"/>
  <c r="FD488" i="36"/>
  <c r="FD541" i="36"/>
  <c r="FE114" i="36"/>
  <c r="FB461" i="36"/>
  <c r="FB345" i="36"/>
  <c r="FB230" i="36"/>
  <c r="FC230" i="36" s="1"/>
  <c r="FB320" i="36"/>
  <c r="FB162" i="36"/>
  <c r="FB165" i="36"/>
  <c r="FB161" i="36"/>
  <c r="FB465" i="36"/>
  <c r="FC465" i="36" s="1"/>
  <c r="FC475" i="36" s="1"/>
  <c r="FB211" i="36"/>
  <c r="FB44" i="36"/>
  <c r="F2618" i="3"/>
  <c r="B26" i="11"/>
  <c r="B27" i="11" s="1"/>
  <c r="FE555" i="36" l="1"/>
  <c r="FE125" i="36"/>
  <c r="FE126" i="36" s="1"/>
  <c r="FE181" i="36" s="1"/>
  <c r="FD143" i="36"/>
  <c r="FE135" i="36"/>
  <c r="FD140" i="36"/>
  <c r="FD139" i="36"/>
  <c r="FD171" i="36"/>
  <c r="FD442" i="36"/>
  <c r="FD182" i="36"/>
  <c r="FD349" i="36"/>
  <c r="FH405" i="36"/>
  <c r="FB472" i="36"/>
  <c r="FC462" i="36"/>
  <c r="FC472" i="36" s="1"/>
  <c r="FC231" i="36"/>
  <c r="FC232" i="36"/>
  <c r="FC233" i="36" s="1"/>
  <c r="FD200" i="36"/>
  <c r="FD217" i="36"/>
  <c r="FD271" i="36"/>
  <c r="FD407" i="36"/>
  <c r="FD408" i="36" s="1"/>
  <c r="FB158" i="36"/>
  <c r="FC162" i="36"/>
  <c r="FC483" i="36"/>
  <c r="FB485" i="36"/>
  <c r="FB486" i="36" s="1"/>
  <c r="FB67" i="36"/>
  <c r="FB484" i="36"/>
  <c r="FC325" i="36"/>
  <c r="FC346" i="36"/>
  <c r="FC41" i="36"/>
  <c r="FE305" i="36"/>
  <c r="FD148" i="36"/>
  <c r="FD147" i="36" s="1"/>
  <c r="FD152" i="36" s="1"/>
  <c r="FD164" i="36"/>
  <c r="FD159" i="36" s="1"/>
  <c r="FB13" i="35"/>
  <c r="FD446" i="36"/>
  <c r="FC9" i="35"/>
  <c r="FC461" i="36"/>
  <c r="FC471" i="36" s="1"/>
  <c r="FD260" i="36"/>
  <c r="FC345" i="36"/>
  <c r="FC323" i="36"/>
  <c r="FC40" i="36"/>
  <c r="FD489" i="36"/>
  <c r="FH488" i="36"/>
  <c r="FB471" i="36"/>
  <c r="FD207" i="36"/>
  <c r="FE115" i="36"/>
  <c r="FB475" i="36"/>
  <c r="FB231" i="36"/>
  <c r="G2618" i="3"/>
  <c r="ER220" i="4"/>
  <c r="EQ220" i="4"/>
  <c r="AA48" i="30"/>
  <c r="W48" i="30"/>
  <c r="S48" i="30"/>
  <c r="O48" i="30"/>
  <c r="AA30" i="30"/>
  <c r="W30" i="30"/>
  <c r="S30" i="30"/>
  <c r="O30" i="30"/>
  <c r="FC219" i="4"/>
  <c r="FD219" i="4" s="1"/>
  <c r="FE559" i="36" l="1"/>
  <c r="FD315" i="36"/>
  <c r="FD272" i="36"/>
  <c r="FD276" i="36"/>
  <c r="FD273" i="36"/>
  <c r="FE268" i="36"/>
  <c r="FE439" i="36"/>
  <c r="FE137" i="36"/>
  <c r="FE168" i="36"/>
  <c r="FF302" i="36"/>
  <c r="FE310" i="36"/>
  <c r="FE306" i="36"/>
  <c r="FE307" i="36"/>
  <c r="FE318" i="36"/>
  <c r="FC485" i="36"/>
  <c r="FC486" i="36" s="1"/>
  <c r="FC484" i="36"/>
  <c r="FC326" i="36"/>
  <c r="FC623" i="36"/>
  <c r="FC624" i="36" s="1"/>
  <c r="FD218" i="36"/>
  <c r="FD452" i="36"/>
  <c r="FD409" i="36"/>
  <c r="FD410" i="36"/>
  <c r="FD413" i="36"/>
  <c r="FD454" i="36"/>
  <c r="FD447" i="36"/>
  <c r="FD443" i="36"/>
  <c r="FD444" i="36"/>
  <c r="FE200" i="36"/>
  <c r="FE217" i="36"/>
  <c r="FD203" i="36"/>
  <c r="FD183" i="36"/>
  <c r="FC13" i="35"/>
  <c r="FB163" i="36"/>
  <c r="FC158" i="36"/>
  <c r="FC163" i="36" s="1"/>
  <c r="FD208" i="36"/>
  <c r="FD176" i="36"/>
  <c r="FD172" i="36"/>
  <c r="FD160" i="36"/>
  <c r="FD173" i="36"/>
  <c r="FE131" i="36"/>
  <c r="FE127" i="36"/>
  <c r="FE128" i="36"/>
  <c r="FF123" i="36"/>
  <c r="FD412" i="36"/>
  <c r="FB43" i="35"/>
  <c r="FB72" i="36"/>
  <c r="FB73" i="36" s="1"/>
  <c r="FB57" i="36"/>
  <c r="FC324" i="36"/>
  <c r="FC619" i="36"/>
  <c r="FC620" i="36" s="1"/>
  <c r="FD261" i="36"/>
  <c r="FD265" i="36"/>
  <c r="FD262" i="36"/>
  <c r="FE257" i="36"/>
  <c r="FD397" i="36"/>
  <c r="FD314" i="36"/>
  <c r="FH489" i="36"/>
  <c r="FE116" i="36"/>
  <c r="FF112" i="36"/>
  <c r="FE180" i="36"/>
  <c r="FE120" i="36"/>
  <c r="FF552" i="36" s="1"/>
  <c r="FE117" i="36"/>
  <c r="FE132" i="36"/>
  <c r="FE219" i="4"/>
  <c r="FE562" i="36" l="1"/>
  <c r="FE560" i="36"/>
  <c r="FF551" i="36"/>
  <c r="FF556" i="36"/>
  <c r="FD338" i="36"/>
  <c r="FD355" i="36"/>
  <c r="FB57" i="35"/>
  <c r="FC43" i="35"/>
  <c r="FE218" i="36"/>
  <c r="FE341" i="36"/>
  <c r="FF304" i="36"/>
  <c r="FF125" i="36"/>
  <c r="FF126" i="36" s="1"/>
  <c r="FD230" i="36"/>
  <c r="FD320" i="36"/>
  <c r="FE208" i="36"/>
  <c r="FE138" i="36"/>
  <c r="FE441" i="36"/>
  <c r="FE170" i="36"/>
  <c r="FE175" i="36" s="1"/>
  <c r="FE153" i="36" s="1"/>
  <c r="FE164" i="36" s="1"/>
  <c r="FE157" i="36"/>
  <c r="FD161" i="36"/>
  <c r="FD162" i="36"/>
  <c r="FD158" i="36" s="1"/>
  <c r="FD163" i="36" s="1"/>
  <c r="FD165" i="36"/>
  <c r="FD211" i="36"/>
  <c r="FD465" i="36"/>
  <c r="FD44" i="36"/>
  <c r="FE270" i="36"/>
  <c r="FE405" i="36"/>
  <c r="FD398" i="36"/>
  <c r="FD414" i="36"/>
  <c r="FD402" i="36"/>
  <c r="FD396" i="36"/>
  <c r="FD401" i="36" s="1"/>
  <c r="FD399" i="36"/>
  <c r="FE394" i="36"/>
  <c r="FD451" i="36"/>
  <c r="FE259" i="36"/>
  <c r="FE260" i="36" s="1"/>
  <c r="FE314" i="36" s="1"/>
  <c r="FC457" i="36"/>
  <c r="FC458" i="36" s="1"/>
  <c r="FC641" i="36"/>
  <c r="FD337" i="36"/>
  <c r="FE190" i="36"/>
  <c r="FE191" i="36" s="1"/>
  <c r="FE488" i="36"/>
  <c r="FE489" i="36" s="1"/>
  <c r="FE541" i="36"/>
  <c r="FE199" i="36"/>
  <c r="FF114" i="36"/>
  <c r="FF219" i="4"/>
  <c r="FF555" i="36" l="1"/>
  <c r="FF559" i="36" s="1"/>
  <c r="FE159" i="36"/>
  <c r="FD346" i="36"/>
  <c r="FD462" i="36"/>
  <c r="FD41" i="36"/>
  <c r="FD10" i="35" s="1"/>
  <c r="FD475" i="36"/>
  <c r="FE271" i="36"/>
  <c r="FE407" i="36"/>
  <c r="FE408" i="36" s="1"/>
  <c r="FF131" i="36"/>
  <c r="FF128" i="36"/>
  <c r="FF127" i="36"/>
  <c r="FG123" i="36"/>
  <c r="FF305" i="36"/>
  <c r="FE446" i="36"/>
  <c r="FD231" i="36"/>
  <c r="FE349" i="36"/>
  <c r="FD13" i="35"/>
  <c r="FE148" i="36"/>
  <c r="FE147" i="36" s="1"/>
  <c r="FE182" i="36"/>
  <c r="FE143" i="36"/>
  <c r="FE139" i="36"/>
  <c r="FE140" i="36"/>
  <c r="FF135" i="36"/>
  <c r="FE442" i="36"/>
  <c r="FE171" i="36"/>
  <c r="FF181" i="36"/>
  <c r="FD356" i="36"/>
  <c r="FD483" i="36"/>
  <c r="FE337" i="36"/>
  <c r="FE40" i="36" s="1"/>
  <c r="FE261" i="36"/>
  <c r="FE262" i="36"/>
  <c r="FE265" i="36"/>
  <c r="FF257" i="36"/>
  <c r="FE397" i="36"/>
  <c r="FD345" i="36"/>
  <c r="FD40" i="36"/>
  <c r="FD461" i="36"/>
  <c r="FF115" i="36"/>
  <c r="FE207" i="36"/>
  <c r="FE202" i="36"/>
  <c r="FG219" i="4"/>
  <c r="FH219" i="4" s="1"/>
  <c r="FI219" i="4" s="1"/>
  <c r="FF562" i="36" l="1"/>
  <c r="FE173" i="36"/>
  <c r="FE176" i="36"/>
  <c r="FE172" i="36"/>
  <c r="FE160" i="36"/>
  <c r="FE447" i="36"/>
  <c r="FE443" i="36"/>
  <c r="FE444" i="36"/>
  <c r="FE454" i="36"/>
  <c r="FF200" i="36"/>
  <c r="FF217" i="36"/>
  <c r="FE452" i="36"/>
  <c r="FE413" i="36"/>
  <c r="FE409" i="36"/>
  <c r="FE410" i="36"/>
  <c r="FD472" i="36"/>
  <c r="FF439" i="36"/>
  <c r="FF137" i="36"/>
  <c r="FF168" i="36"/>
  <c r="FD484" i="36"/>
  <c r="FD485" i="36"/>
  <c r="FD486" i="36" s="1"/>
  <c r="FD67" i="36"/>
  <c r="FE273" i="36"/>
  <c r="FE276" i="36"/>
  <c r="FF268" i="36"/>
  <c r="FE272" i="36"/>
  <c r="FE315" i="36"/>
  <c r="FE203" i="36"/>
  <c r="FE183" i="36"/>
  <c r="FG125" i="36"/>
  <c r="FG126" i="36" s="1"/>
  <c r="FG181" i="36" s="1"/>
  <c r="FE412" i="36"/>
  <c r="FG302" i="36"/>
  <c r="FF306" i="36"/>
  <c r="FF307" i="36"/>
  <c r="FF310" i="36"/>
  <c r="FF318" i="36"/>
  <c r="FD9" i="35"/>
  <c r="FE451" i="36"/>
  <c r="FF394" i="36"/>
  <c r="FE414" i="36"/>
  <c r="FE402" i="36"/>
  <c r="FE398" i="36"/>
  <c r="FE399" i="36"/>
  <c r="FE396" i="36"/>
  <c r="FE401" i="36" s="1"/>
  <c r="FD471" i="36"/>
  <c r="FF259" i="36"/>
  <c r="FF260" i="36" s="1"/>
  <c r="FE345" i="36"/>
  <c r="FE461" i="36"/>
  <c r="FE471" i="36" s="1"/>
  <c r="FE152" i="36"/>
  <c r="FE9" i="35"/>
  <c r="FE210" i="36"/>
  <c r="FE192" i="36"/>
  <c r="FE193" i="36" s="1"/>
  <c r="FF180" i="36"/>
  <c r="FF560" i="36" s="1"/>
  <c r="FF120" i="36"/>
  <c r="FG552" i="36" s="1"/>
  <c r="FF117" i="36"/>
  <c r="FG112" i="36"/>
  <c r="FF116" i="36"/>
  <c r="FF132" i="36"/>
  <c r="DX208" i="4"/>
  <c r="DW208" i="4"/>
  <c r="DV208" i="4"/>
  <c r="DU208" i="4"/>
  <c r="EC208" i="4"/>
  <c r="EB208" i="4"/>
  <c r="EA208" i="4"/>
  <c r="DZ208" i="4"/>
  <c r="EH208" i="4"/>
  <c r="EG208" i="4"/>
  <c r="EF208" i="4"/>
  <c r="EE208" i="4"/>
  <c r="EL208" i="4"/>
  <c r="EK208" i="4"/>
  <c r="EJ208" i="4"/>
  <c r="EO208" i="4"/>
  <c r="EN208" i="4"/>
  <c r="G36" i="6"/>
  <c r="G38" i="6" s="1"/>
  <c r="G42" i="6" s="1"/>
  <c r="G33" i="6"/>
  <c r="G41" i="6" s="1"/>
  <c r="F36" i="6"/>
  <c r="F38" i="6" s="1"/>
  <c r="F42" i="6" s="1"/>
  <c r="F33" i="6"/>
  <c r="F41" i="6" s="1"/>
  <c r="FF397" i="36" l="1"/>
  <c r="FF396" i="36" s="1"/>
  <c r="FF314" i="36"/>
  <c r="FF337" i="36" s="1"/>
  <c r="FG556" i="36"/>
  <c r="FG551" i="36"/>
  <c r="FH552" i="36"/>
  <c r="FG217" i="36"/>
  <c r="FH217" i="36" s="1"/>
  <c r="FH218" i="36" s="1"/>
  <c r="FG200" i="36"/>
  <c r="FH200" i="36" s="1"/>
  <c r="FE320" i="36"/>
  <c r="FE230" i="36"/>
  <c r="FF208" i="36"/>
  <c r="FH126" i="36"/>
  <c r="FG127" i="36"/>
  <c r="FG128" i="36"/>
  <c r="FH128" i="36" s="1"/>
  <c r="FG131" i="36"/>
  <c r="FF270" i="36"/>
  <c r="FF405" i="36"/>
  <c r="FD43" i="35"/>
  <c r="FD72" i="36"/>
  <c r="FD73" i="36" s="1"/>
  <c r="FD57" i="36"/>
  <c r="FE44" i="36"/>
  <c r="FE465" i="36"/>
  <c r="FE211" i="36"/>
  <c r="FG304" i="36"/>
  <c r="FF341" i="36"/>
  <c r="FH181" i="36"/>
  <c r="FF138" i="36"/>
  <c r="FF441" i="36"/>
  <c r="FF170" i="36"/>
  <c r="FF175" i="36" s="1"/>
  <c r="FF153" i="36" s="1"/>
  <c r="FE338" i="36"/>
  <c r="FE355" i="36"/>
  <c r="FE161" i="36"/>
  <c r="FF157" i="36"/>
  <c r="FE165" i="36"/>
  <c r="FE162" i="36"/>
  <c r="FE158" i="36" s="1"/>
  <c r="FE163" i="36" s="1"/>
  <c r="FH125" i="36"/>
  <c r="FH130" i="36" s="1"/>
  <c r="FI130" i="36" s="1"/>
  <c r="FJ130" i="36" s="1"/>
  <c r="FK130" i="36" s="1"/>
  <c r="FL130" i="36" s="1"/>
  <c r="FM130" i="36" s="1"/>
  <c r="FF218" i="36"/>
  <c r="FG257" i="36"/>
  <c r="FF262" i="36"/>
  <c r="FF261" i="36"/>
  <c r="FF265" i="36"/>
  <c r="FF190" i="36"/>
  <c r="FF191" i="36" s="1"/>
  <c r="FF541" i="36"/>
  <c r="FF199" i="36"/>
  <c r="FF488" i="36"/>
  <c r="FF489" i="36" s="1"/>
  <c r="FG114" i="36"/>
  <c r="FH114" i="36" s="1"/>
  <c r="FH119" i="36" s="1"/>
  <c r="EI208" i="4"/>
  <c r="EM208" i="4"/>
  <c r="DY208" i="4"/>
  <c r="ED208" i="4"/>
  <c r="G43" i="6"/>
  <c r="F43" i="6"/>
  <c r="C263" i="6"/>
  <c r="B1893" i="3" s="1"/>
  <c r="B263" i="6"/>
  <c r="C245" i="6"/>
  <c r="C246" i="6" s="1"/>
  <c r="C254" i="6" s="1"/>
  <c r="C2876" i="3"/>
  <c r="C2871" i="3"/>
  <c r="C2872" i="3" s="1"/>
  <c r="C2880" i="3" s="1"/>
  <c r="B2889" i="3"/>
  <c r="C2889" i="3" s="1"/>
  <c r="FF398" i="36" l="1"/>
  <c r="FG394" i="36"/>
  <c r="FF402" i="36"/>
  <c r="FF399" i="36"/>
  <c r="FF451" i="36"/>
  <c r="FH551" i="36"/>
  <c r="FH553" i="36" s="1"/>
  <c r="B278" i="6"/>
  <c r="B1900" i="3"/>
  <c r="FG555" i="36"/>
  <c r="FH555" i="36" s="1"/>
  <c r="FH556" i="36"/>
  <c r="FE356" i="36"/>
  <c r="FE483" i="36"/>
  <c r="FH208" i="36"/>
  <c r="FH188" i="36"/>
  <c r="FF148" i="36"/>
  <c r="FF147" i="36" s="1"/>
  <c r="FF152" i="36" s="1"/>
  <c r="FF164" i="36"/>
  <c r="FF159" i="36" s="1"/>
  <c r="FG218" i="36"/>
  <c r="FE475" i="36"/>
  <c r="FF271" i="36"/>
  <c r="FF407" i="36"/>
  <c r="FF408" i="36" s="1"/>
  <c r="FG305" i="36"/>
  <c r="FH304" i="36"/>
  <c r="FH309" i="36" s="1"/>
  <c r="FI309" i="36" s="1"/>
  <c r="FH127" i="36"/>
  <c r="FH131" i="36"/>
  <c r="FI123" i="36"/>
  <c r="FE231" i="36"/>
  <c r="FE346" i="36"/>
  <c r="FE462" i="36"/>
  <c r="FE41" i="36"/>
  <c r="FE10" i="35" s="1"/>
  <c r="FF349" i="36"/>
  <c r="FF446" i="36"/>
  <c r="FE13" i="35"/>
  <c r="FG208" i="36"/>
  <c r="FF182" i="36"/>
  <c r="FF139" i="36"/>
  <c r="FF140" i="36"/>
  <c r="FF143" i="36"/>
  <c r="FG135" i="36"/>
  <c r="FF442" i="36"/>
  <c r="FF171" i="36"/>
  <c r="FF345" i="36"/>
  <c r="FG259" i="36"/>
  <c r="FG260" i="36" s="1"/>
  <c r="FG314" i="36" s="1"/>
  <c r="FF401" i="36"/>
  <c r="FG115" i="36"/>
  <c r="FH115" i="36" s="1"/>
  <c r="FH132" i="36" s="1"/>
  <c r="FF207" i="36"/>
  <c r="FF202" i="36"/>
  <c r="FF461" i="36"/>
  <c r="FF40" i="36"/>
  <c r="H43" i="11"/>
  <c r="EO154" i="2"/>
  <c r="EM154" i="2"/>
  <c r="EL154" i="2"/>
  <c r="EK154" i="2"/>
  <c r="EJ154" i="2"/>
  <c r="EH154" i="2"/>
  <c r="EG154" i="2"/>
  <c r="EF154" i="2"/>
  <c r="EE154" i="2"/>
  <c r="EA154" i="2"/>
  <c r="EB154" i="2"/>
  <c r="EC154" i="2"/>
  <c r="DZ154" i="2"/>
  <c r="EO463" i="1"/>
  <c r="EP463" i="1" s="1"/>
  <c r="EQ463" i="1" s="1"/>
  <c r="ER463" i="1" s="1"/>
  <c r="ET463" i="1" s="1"/>
  <c r="EO462" i="1"/>
  <c r="EP462" i="1" s="1"/>
  <c r="EQ462" i="1" s="1"/>
  <c r="ER462" i="1" s="1"/>
  <c r="ET462" i="1" s="1"/>
  <c r="EO255" i="1"/>
  <c r="EO109" i="35" s="1"/>
  <c r="EO119" i="2"/>
  <c r="F1097" i="3" s="1"/>
  <c r="F1101" i="3" s="1"/>
  <c r="EO115" i="2"/>
  <c r="B1173" i="3" l="1"/>
  <c r="D1173" i="3"/>
  <c r="C1173" i="3"/>
  <c r="E1173" i="3"/>
  <c r="B1509" i="3"/>
  <c r="F1173" i="3"/>
  <c r="B279" i="6"/>
  <c r="O115" i="29"/>
  <c r="P116" i="29" s="1"/>
  <c r="ET116" i="2"/>
  <c r="FG559" i="36"/>
  <c r="FH559" i="36" s="1"/>
  <c r="B1906" i="3"/>
  <c r="FH557" i="36"/>
  <c r="FE472" i="36"/>
  <c r="FF160" i="36"/>
  <c r="FF176" i="36"/>
  <c r="FF172" i="36"/>
  <c r="FF173" i="36"/>
  <c r="FG439" i="36"/>
  <c r="FG137" i="36"/>
  <c r="FG168" i="36"/>
  <c r="FF203" i="36"/>
  <c r="FF183" i="36"/>
  <c r="FH189" i="36"/>
  <c r="FI189" i="36" s="1"/>
  <c r="FJ189" i="36" s="1"/>
  <c r="FK189" i="36" s="1"/>
  <c r="FL189" i="36" s="1"/>
  <c r="FM189" i="36" s="1"/>
  <c r="FH622" i="36"/>
  <c r="FH305" i="36"/>
  <c r="FG310" i="36"/>
  <c r="FG307" i="36"/>
  <c r="FH307" i="36" s="1"/>
  <c r="FG306" i="36"/>
  <c r="FG318" i="36"/>
  <c r="FF412" i="36"/>
  <c r="FG268" i="36"/>
  <c r="FF276" i="36"/>
  <c r="FF273" i="36"/>
  <c r="FF272" i="36"/>
  <c r="FF315" i="36"/>
  <c r="FJ309" i="36"/>
  <c r="FF454" i="36"/>
  <c r="FF443" i="36"/>
  <c r="FF444" i="36"/>
  <c r="FF447" i="36"/>
  <c r="FE484" i="36"/>
  <c r="FE485" i="36"/>
  <c r="FE486" i="36" s="1"/>
  <c r="FE67" i="36"/>
  <c r="FI125" i="36"/>
  <c r="FI126" i="36" s="1"/>
  <c r="FF452" i="36"/>
  <c r="FF413" i="36"/>
  <c r="FF410" i="36"/>
  <c r="FF409" i="36"/>
  <c r="FF414" i="36"/>
  <c r="FG337" i="36"/>
  <c r="FH314" i="36"/>
  <c r="FG265" i="36"/>
  <c r="FH260" i="36"/>
  <c r="FG262" i="36"/>
  <c r="FH262" i="36" s="1"/>
  <c r="FG261" i="36"/>
  <c r="FH259" i="36"/>
  <c r="FH264" i="36" s="1"/>
  <c r="FI264" i="36" s="1"/>
  <c r="FF9" i="35"/>
  <c r="FH116" i="36"/>
  <c r="FH120" i="36"/>
  <c r="FI552" i="36" s="1"/>
  <c r="FF471" i="36"/>
  <c r="FF210" i="36"/>
  <c r="FF192" i="36"/>
  <c r="FF193" i="36" s="1"/>
  <c r="FI119" i="36"/>
  <c r="FG180" i="36"/>
  <c r="FH180" i="36" s="1"/>
  <c r="FG117" i="36"/>
  <c r="FH117" i="36" s="1"/>
  <c r="FG120" i="36"/>
  <c r="FG116" i="36"/>
  <c r="FG132" i="36"/>
  <c r="FG397" i="36"/>
  <c r="FH397" i="36" s="1"/>
  <c r="EQ255" i="1"/>
  <c r="ET357" i="10"/>
  <c r="EN154" i="2"/>
  <c r="B2471" i="3"/>
  <c r="B2472" i="3" s="1"/>
  <c r="EI154" i="2"/>
  <c r="ED154" i="2"/>
  <c r="EP112" i="2"/>
  <c r="G1100" i="3" s="1"/>
  <c r="G1102" i="3" s="1"/>
  <c r="G1110" i="3" s="1"/>
  <c r="EP117" i="2"/>
  <c r="G1109" i="3" s="1"/>
  <c r="H2486" i="3"/>
  <c r="C63" i="19"/>
  <c r="B63" i="19"/>
  <c r="D60" i="19"/>
  <c r="D59" i="19"/>
  <c r="D56" i="19"/>
  <c r="D55" i="19"/>
  <c r="D54" i="19"/>
  <c r="E52" i="19"/>
  <c r="H52" i="19" s="1"/>
  <c r="C52" i="19"/>
  <c r="D52" i="19" s="1"/>
  <c r="G1111" i="3" l="1"/>
  <c r="G1117" i="3" s="1"/>
  <c r="G1123" i="3" s="1"/>
  <c r="D1556" i="3"/>
  <c r="D9" i="3" s="1"/>
  <c r="D63" i="19"/>
  <c r="FG562" i="36"/>
  <c r="FG560" i="36"/>
  <c r="FI551" i="36"/>
  <c r="FI556" i="36"/>
  <c r="FI555" i="36" s="1"/>
  <c r="ES255" i="1"/>
  <c r="EQ109" i="35"/>
  <c r="FH560" i="36"/>
  <c r="FH562" i="36"/>
  <c r="B1908" i="3"/>
  <c r="FI188" i="36"/>
  <c r="FJ188" i="36" s="1"/>
  <c r="FG270" i="36"/>
  <c r="FG271" i="36" s="1"/>
  <c r="FG315" i="36" s="1"/>
  <c r="FH315" i="36" s="1"/>
  <c r="FG405" i="36"/>
  <c r="FG341" i="36"/>
  <c r="FH318" i="36"/>
  <c r="FF165" i="36"/>
  <c r="FF161" i="36"/>
  <c r="FG157" i="36"/>
  <c r="FH157" i="36" s="1"/>
  <c r="FF162" i="36"/>
  <c r="FF158" i="36" s="1"/>
  <c r="FF163" i="36" s="1"/>
  <c r="FI131" i="36"/>
  <c r="FI128" i="36"/>
  <c r="FI127" i="36"/>
  <c r="FJ123" i="36"/>
  <c r="FH310" i="36"/>
  <c r="FH306" i="36"/>
  <c r="FI302" i="36"/>
  <c r="FE43" i="35"/>
  <c r="FE57" i="36"/>
  <c r="FE72" i="36"/>
  <c r="FE73" i="36" s="1"/>
  <c r="FF320" i="36"/>
  <c r="FF230" i="36"/>
  <c r="FF355" i="36"/>
  <c r="FF338" i="36"/>
  <c r="FG138" i="36"/>
  <c r="FG441" i="36"/>
  <c r="FH137" i="36"/>
  <c r="FH142" i="36" s="1"/>
  <c r="FI142" i="36" s="1"/>
  <c r="FG170" i="36"/>
  <c r="FK309" i="36"/>
  <c r="FI181" i="36"/>
  <c r="FF211" i="36"/>
  <c r="FF44" i="36"/>
  <c r="FF465" i="36"/>
  <c r="FJ264" i="36"/>
  <c r="FH261" i="36"/>
  <c r="FH265" i="36"/>
  <c r="FH599" i="36"/>
  <c r="FH495" i="36" s="1"/>
  <c r="FH496" i="36" s="1"/>
  <c r="FI496" i="36" s="1"/>
  <c r="FJ496" i="36" s="1"/>
  <c r="FK496" i="36" s="1"/>
  <c r="FL496" i="36" s="1"/>
  <c r="FM496" i="36" s="1"/>
  <c r="FI257" i="36"/>
  <c r="FI259" i="36" s="1"/>
  <c r="FG345" i="36"/>
  <c r="FH337" i="36"/>
  <c r="FH541" i="36"/>
  <c r="FH490" i="36"/>
  <c r="FH491" i="36" s="1"/>
  <c r="FI491" i="36" s="1"/>
  <c r="FJ491" i="36" s="1"/>
  <c r="FK491" i="36" s="1"/>
  <c r="FL491" i="36" s="1"/>
  <c r="FM491" i="36" s="1"/>
  <c r="FH402" i="36"/>
  <c r="FH398" i="36"/>
  <c r="FG488" i="36"/>
  <c r="FG489" i="36" s="1"/>
  <c r="FG199" i="36"/>
  <c r="FH199" i="36" s="1"/>
  <c r="FG190" i="36"/>
  <c r="FG191" i="36" s="1"/>
  <c r="FG541" i="36"/>
  <c r="FI112" i="36"/>
  <c r="FG451" i="36"/>
  <c r="FH451" i="36" s="1"/>
  <c r="FG402" i="36"/>
  <c r="FG396" i="36"/>
  <c r="FG399" i="36"/>
  <c r="FH399" i="36" s="1"/>
  <c r="FG398" i="36"/>
  <c r="FJ119" i="36"/>
  <c r="EQ256" i="1"/>
  <c r="EQ109" i="4"/>
  <c r="EQ110" i="4" s="1"/>
  <c r="J56" i="19"/>
  <c r="I56" i="19"/>
  <c r="EP180" i="2"/>
  <c r="EP114" i="2"/>
  <c r="D62" i="19"/>
  <c r="J55" i="19"/>
  <c r="I55" i="19"/>
  <c r="D1555" i="3" l="1"/>
  <c r="E1555" i="3" s="1"/>
  <c r="G1125" i="3"/>
  <c r="G1133" i="3"/>
  <c r="G1135" i="3" s="1"/>
  <c r="I2381" i="3"/>
  <c r="I2382" i="3" s="1"/>
  <c r="C1290" i="3"/>
  <c r="C1292" i="3" s="1"/>
  <c r="FI622" i="36"/>
  <c r="FI559" i="36"/>
  <c r="FI562" i="36" s="1"/>
  <c r="EQ110" i="35"/>
  <c r="ES109" i="35"/>
  <c r="FG175" i="36"/>
  <c r="FG153" i="36" s="1"/>
  <c r="FH170" i="36"/>
  <c r="FH175" i="36" s="1"/>
  <c r="FH153" i="36" s="1"/>
  <c r="FH164" i="36" s="1"/>
  <c r="FJ142" i="36"/>
  <c r="FF356" i="36"/>
  <c r="FF483" i="36"/>
  <c r="FK188" i="36"/>
  <c r="FN188" i="36"/>
  <c r="FJ125" i="36"/>
  <c r="FN123" i="36"/>
  <c r="FF475" i="36"/>
  <c r="FL309" i="36"/>
  <c r="FG446" i="36"/>
  <c r="FH441" i="36"/>
  <c r="FH446" i="36" s="1"/>
  <c r="FF231" i="36"/>
  <c r="FG349" i="36"/>
  <c r="FH341" i="36"/>
  <c r="FF346" i="36"/>
  <c r="FF41" i="36"/>
  <c r="FF462" i="36"/>
  <c r="FH138" i="36"/>
  <c r="FG140" i="36"/>
  <c r="FH140" i="36" s="1"/>
  <c r="FG139" i="36"/>
  <c r="FG143" i="36"/>
  <c r="FG171" i="36"/>
  <c r="FG182" i="36"/>
  <c r="FG442" i="36"/>
  <c r="FF13" i="35"/>
  <c r="FI304" i="36"/>
  <c r="FI305" i="36" s="1"/>
  <c r="FI318" i="36" s="1"/>
  <c r="FG338" i="36"/>
  <c r="FG355" i="36"/>
  <c r="FH355" i="36" s="1"/>
  <c r="FH356" i="36" s="1"/>
  <c r="FI200" i="36"/>
  <c r="FH271" i="36"/>
  <c r="FG272" i="36"/>
  <c r="FG276" i="36"/>
  <c r="FG273" i="36"/>
  <c r="FH273" i="36" s="1"/>
  <c r="FE57" i="35"/>
  <c r="FG407" i="36"/>
  <c r="FH270" i="36"/>
  <c r="FH275" i="36" s="1"/>
  <c r="FI275" i="36" s="1"/>
  <c r="FJ275" i="36" s="1"/>
  <c r="FK275" i="36" s="1"/>
  <c r="FL275" i="36" s="1"/>
  <c r="FM275" i="36" s="1"/>
  <c r="FH323" i="36"/>
  <c r="FH345" i="36"/>
  <c r="FK264" i="36"/>
  <c r="FI260" i="36"/>
  <c r="FI114" i="36"/>
  <c r="FI115" i="36" s="1"/>
  <c r="FH186" i="36"/>
  <c r="FH618" i="36" s="1"/>
  <c r="FH207" i="36"/>
  <c r="FG401" i="36"/>
  <c r="FH396" i="36"/>
  <c r="FH401" i="36" s="1"/>
  <c r="FK119" i="36"/>
  <c r="FG207" i="36"/>
  <c r="FG40" i="36"/>
  <c r="FG461" i="36"/>
  <c r="FH461" i="36" s="1"/>
  <c r="FH471" i="36" s="1"/>
  <c r="FG202" i="36"/>
  <c r="FH600" i="36"/>
  <c r="FI394" i="36"/>
  <c r="EP192" i="2"/>
  <c r="EP199" i="2"/>
  <c r="EP113" i="2"/>
  <c r="D1554" i="3" l="1"/>
  <c r="E1554" i="3" s="1"/>
  <c r="EU207" i="2"/>
  <c r="C1545" i="3"/>
  <c r="C1546" i="3" s="1"/>
  <c r="G1158" i="3"/>
  <c r="G1168" i="3" s="1"/>
  <c r="EU193" i="2"/>
  <c r="FG412" i="36"/>
  <c r="FH407" i="36"/>
  <c r="FH412" i="36" s="1"/>
  <c r="FI208" i="36"/>
  <c r="FH171" i="36"/>
  <c r="FG160" i="36"/>
  <c r="FG173" i="36"/>
  <c r="FH173" i="36" s="1"/>
  <c r="FG176" i="36"/>
  <c r="FG172" i="36"/>
  <c r="FF10" i="35"/>
  <c r="FH272" i="36"/>
  <c r="FH276" i="36"/>
  <c r="FI268" i="36"/>
  <c r="FH601" i="36"/>
  <c r="FG356" i="36"/>
  <c r="FG483" i="36"/>
  <c r="FF485" i="36"/>
  <c r="FF486" i="36" s="1"/>
  <c r="FF67" i="36"/>
  <c r="FF484" i="36"/>
  <c r="FH349" i="36"/>
  <c r="FH329" i="36"/>
  <c r="FH143" i="36"/>
  <c r="FH139" i="36"/>
  <c r="FI135" i="36"/>
  <c r="FK142" i="36"/>
  <c r="FG346" i="36"/>
  <c r="FG41" i="36"/>
  <c r="FG10" i="35" s="1"/>
  <c r="FG462" i="36"/>
  <c r="FG472" i="36" s="1"/>
  <c r="FJ126" i="36"/>
  <c r="FN125" i="36"/>
  <c r="FI307" i="36"/>
  <c r="FI310" i="36"/>
  <c r="FI306" i="36"/>
  <c r="FJ302" i="36"/>
  <c r="FG408" i="36"/>
  <c r="FM309" i="36"/>
  <c r="FH442" i="36"/>
  <c r="FG444" i="36"/>
  <c r="FH444" i="36" s="1"/>
  <c r="FG447" i="36"/>
  <c r="FG443" i="36"/>
  <c r="FG454" i="36"/>
  <c r="FH338" i="36"/>
  <c r="FL188" i="36"/>
  <c r="FG164" i="36"/>
  <c r="FG159" i="36" s="1"/>
  <c r="FH159" i="36" s="1"/>
  <c r="FG148" i="36"/>
  <c r="FG203" i="36"/>
  <c r="FH182" i="36"/>
  <c r="FH183" i="36" s="1"/>
  <c r="FG183" i="36"/>
  <c r="FF472" i="36"/>
  <c r="FH324" i="36"/>
  <c r="FI324" i="36" s="1"/>
  <c r="FJ324" i="36" s="1"/>
  <c r="FK324" i="36" s="1"/>
  <c r="FL324" i="36" s="1"/>
  <c r="FM324" i="36" s="1"/>
  <c r="FH619" i="36"/>
  <c r="FH620" i="36" s="1"/>
  <c r="FH457" i="36" s="1"/>
  <c r="FH458" i="36" s="1"/>
  <c r="FL264" i="36"/>
  <c r="FI314" i="36"/>
  <c r="FI599" i="36"/>
  <c r="FI493" i="36" s="1"/>
  <c r="FI494" i="36" s="1"/>
  <c r="FI265" i="36"/>
  <c r="FI261" i="36"/>
  <c r="FI262" i="36"/>
  <c r="FJ257" i="36"/>
  <c r="FG9" i="35"/>
  <c r="FH187" i="36"/>
  <c r="FI187" i="36" s="1"/>
  <c r="FJ187" i="36" s="1"/>
  <c r="FK187" i="36" s="1"/>
  <c r="FL187" i="36" s="1"/>
  <c r="FM187" i="36" s="1"/>
  <c r="FI116" i="36"/>
  <c r="FJ112" i="36"/>
  <c r="FI117" i="36"/>
  <c r="FI120" i="36"/>
  <c r="FJ552" i="36" s="1"/>
  <c r="FI180" i="36"/>
  <c r="FI132" i="36"/>
  <c r="FI397" i="36"/>
  <c r="FG471" i="36"/>
  <c r="FL119" i="36"/>
  <c r="FH40" i="36"/>
  <c r="FG210" i="36"/>
  <c r="FG192" i="36"/>
  <c r="FG193" i="36" s="1"/>
  <c r="EP561" i="2"/>
  <c r="FJ551" i="36" l="1"/>
  <c r="FJ556" i="36"/>
  <c r="FJ555" i="36" s="1"/>
  <c r="FH641" i="36"/>
  <c r="FI323" i="36"/>
  <c r="FJ323" i="36" s="1"/>
  <c r="FJ181" i="36"/>
  <c r="FK123" i="36"/>
  <c r="FN126" i="36"/>
  <c r="FJ131" i="36"/>
  <c r="FJ127" i="36"/>
  <c r="FJ128" i="36"/>
  <c r="FH447" i="36"/>
  <c r="FH443" i="36"/>
  <c r="FH604" i="36"/>
  <c r="FJ304" i="36"/>
  <c r="FJ305" i="36" s="1"/>
  <c r="FJ318" i="36" s="1"/>
  <c r="FF43" i="35"/>
  <c r="FF72" i="36"/>
  <c r="FF73" i="36" s="1"/>
  <c r="FF57" i="36"/>
  <c r="FH462" i="36"/>
  <c r="FH472" i="36" s="1"/>
  <c r="FG147" i="36"/>
  <c r="FH148" i="36"/>
  <c r="FH325" i="36"/>
  <c r="FH346" i="36"/>
  <c r="FH41" i="36"/>
  <c r="FG211" i="36"/>
  <c r="FG44" i="36"/>
  <c r="FG465" i="36"/>
  <c r="FH203" i="36"/>
  <c r="FH454" i="36"/>
  <c r="FL142" i="36"/>
  <c r="FH330" i="36"/>
  <c r="FI330" i="36" s="1"/>
  <c r="FJ330" i="36" s="1"/>
  <c r="FK330" i="36" s="1"/>
  <c r="FL330" i="36" s="1"/>
  <c r="FM330" i="36" s="1"/>
  <c r="FG484" i="36"/>
  <c r="FG67" i="36"/>
  <c r="FH10" i="35"/>
  <c r="FM188" i="36"/>
  <c r="FH160" i="36"/>
  <c r="FG162" i="36"/>
  <c r="FG165" i="36"/>
  <c r="FG161" i="36"/>
  <c r="FH408" i="36"/>
  <c r="FG410" i="36"/>
  <c r="FH410" i="36" s="1"/>
  <c r="FG413" i="36"/>
  <c r="FG409" i="36"/>
  <c r="FG414" i="36"/>
  <c r="FG452" i="36"/>
  <c r="FH452" i="36" s="1"/>
  <c r="FI439" i="36"/>
  <c r="FI168" i="36"/>
  <c r="FI137" i="36"/>
  <c r="FH320" i="36"/>
  <c r="FI270" i="36"/>
  <c r="FI405" i="36"/>
  <c r="FH176" i="36"/>
  <c r="FH172" i="36"/>
  <c r="FG320" i="36"/>
  <c r="FG230" i="36"/>
  <c r="FH483" i="36"/>
  <c r="FM264" i="36"/>
  <c r="FN257" i="36"/>
  <c r="FJ259" i="36"/>
  <c r="FI186" i="36"/>
  <c r="FJ186" i="36" s="1"/>
  <c r="FK186" i="36" s="1"/>
  <c r="FL186" i="36" s="1"/>
  <c r="FM186" i="36" s="1"/>
  <c r="FH9" i="35"/>
  <c r="FM119" i="36"/>
  <c r="FN112" i="36"/>
  <c r="FJ114" i="36"/>
  <c r="FJ115" i="36" s="1"/>
  <c r="FI451" i="36"/>
  <c r="FI399" i="36"/>
  <c r="FI398" i="36"/>
  <c r="FI402" i="36"/>
  <c r="FJ394" i="36"/>
  <c r="FI600" i="36"/>
  <c r="FI396" i="36"/>
  <c r="FI401" i="36" s="1"/>
  <c r="FI541" i="36"/>
  <c r="FI488" i="36"/>
  <c r="FI489" i="36" s="1"/>
  <c r="FI560" i="36"/>
  <c r="FI619" i="36" l="1"/>
  <c r="FI337" i="36"/>
  <c r="FI345" i="36" s="1"/>
  <c r="FJ559" i="36"/>
  <c r="FI199" i="36"/>
  <c r="FI329" i="36"/>
  <c r="FJ329" i="36" s="1"/>
  <c r="FK329" i="36" s="1"/>
  <c r="FL329" i="36" s="1"/>
  <c r="FM329" i="36" s="1"/>
  <c r="FI618" i="36"/>
  <c r="FN186" i="36"/>
  <c r="FG485" i="36"/>
  <c r="FG486" i="36" s="1"/>
  <c r="FI138" i="36"/>
  <c r="FI441" i="36"/>
  <c r="FI446" i="36" s="1"/>
  <c r="FI170" i="36"/>
  <c r="FI175" i="36" s="1"/>
  <c r="FI153" i="36" s="1"/>
  <c r="FH409" i="36"/>
  <c r="FH413" i="36"/>
  <c r="FH602" i="36"/>
  <c r="FH630" i="36" s="1"/>
  <c r="FH642" i="36" s="1"/>
  <c r="FH414" i="36"/>
  <c r="FH326" i="36"/>
  <c r="FI326" i="36" s="1"/>
  <c r="FJ326" i="36" s="1"/>
  <c r="FK326" i="36" s="1"/>
  <c r="FL326" i="36" s="1"/>
  <c r="FM326" i="36" s="1"/>
  <c r="FH623" i="36"/>
  <c r="FH624" i="36" s="1"/>
  <c r="FM142" i="36"/>
  <c r="FH211" i="36"/>
  <c r="FH194" i="36"/>
  <c r="FH44" i="36"/>
  <c r="FG152" i="36"/>
  <c r="FH147" i="36"/>
  <c r="FH152" i="36" s="1"/>
  <c r="FH485" i="36"/>
  <c r="FH486" i="36" s="1"/>
  <c r="FH484" i="36"/>
  <c r="FJ307" i="36"/>
  <c r="FJ310" i="36"/>
  <c r="FK302" i="36"/>
  <c r="FK304" i="36" s="1"/>
  <c r="FK305" i="36" s="1"/>
  <c r="FJ306" i="36"/>
  <c r="FH162" i="36"/>
  <c r="FG158" i="36"/>
  <c r="FF57" i="35"/>
  <c r="FK125" i="36"/>
  <c r="FG13" i="35"/>
  <c r="FH230" i="36"/>
  <c r="FG231" i="36"/>
  <c r="FI271" i="36"/>
  <c r="FI407" i="36"/>
  <c r="FI412" i="36" s="1"/>
  <c r="FH165" i="36"/>
  <c r="FH161" i="36"/>
  <c r="FI157" i="36"/>
  <c r="FG43" i="35"/>
  <c r="FG57" i="35" s="1"/>
  <c r="FG72" i="36"/>
  <c r="FG73" i="36" s="1"/>
  <c r="FG57" i="36"/>
  <c r="FG475" i="36"/>
  <c r="FH465" i="36"/>
  <c r="FH475" i="36" s="1"/>
  <c r="FJ622" i="36"/>
  <c r="FJ200" i="36"/>
  <c r="FN323" i="36"/>
  <c r="FK323" i="36"/>
  <c r="FJ260" i="36"/>
  <c r="FJ397" i="36" s="1"/>
  <c r="FJ451" i="36" s="1"/>
  <c r="FN259" i="36"/>
  <c r="FK112" i="36"/>
  <c r="FJ117" i="36"/>
  <c r="FJ120" i="36"/>
  <c r="FK552" i="36" s="1"/>
  <c r="FN115" i="36"/>
  <c r="FJ116" i="36"/>
  <c r="FJ180" i="36"/>
  <c r="FJ132" i="36"/>
  <c r="FN394" i="36"/>
  <c r="FN114" i="36"/>
  <c r="FI40" i="36" l="1"/>
  <c r="FI9" i="35" s="1"/>
  <c r="FI620" i="36"/>
  <c r="FI641" i="36" s="1"/>
  <c r="FI461" i="36"/>
  <c r="FI471" i="36" s="1"/>
  <c r="FI207" i="36"/>
  <c r="FI341" i="36"/>
  <c r="FI349" i="36" s="1"/>
  <c r="FJ562" i="36"/>
  <c r="FN559" i="36"/>
  <c r="FK551" i="36"/>
  <c r="FK556" i="36"/>
  <c r="FK555" i="36" s="1"/>
  <c r="FI325" i="36"/>
  <c r="FJ325" i="36" s="1"/>
  <c r="FI408" i="36"/>
  <c r="FI452" i="36" s="1"/>
  <c r="FH232" i="36"/>
  <c r="FH231" i="36"/>
  <c r="FH13" i="35"/>
  <c r="FK126" i="36"/>
  <c r="FI164" i="36"/>
  <c r="FI159" i="36" s="1"/>
  <c r="FI148" i="36"/>
  <c r="FI147" i="36" s="1"/>
  <c r="FI152" i="36" s="1"/>
  <c r="FK318" i="36"/>
  <c r="FK341" i="36" s="1"/>
  <c r="FK310" i="36"/>
  <c r="FK306" i="36"/>
  <c r="FL302" i="36"/>
  <c r="FK307" i="36"/>
  <c r="FJ208" i="36"/>
  <c r="FI315" i="36"/>
  <c r="FJ268" i="36"/>
  <c r="FI272" i="36"/>
  <c r="FI273" i="36"/>
  <c r="FI276" i="36"/>
  <c r="FI601" i="36"/>
  <c r="FH195" i="36"/>
  <c r="FI195" i="36" s="1"/>
  <c r="FJ195" i="36" s="1"/>
  <c r="FK195" i="36" s="1"/>
  <c r="FL195" i="36" s="1"/>
  <c r="FM195" i="36" s="1"/>
  <c r="FH43" i="35"/>
  <c r="FH158" i="36"/>
  <c r="FH163" i="36" s="1"/>
  <c r="FG163" i="36"/>
  <c r="FI143" i="36"/>
  <c r="FJ135" i="36"/>
  <c r="FI139" i="36"/>
  <c r="FI140" i="36"/>
  <c r="FI171" i="36"/>
  <c r="FI442" i="36"/>
  <c r="FI182" i="36"/>
  <c r="FI183" i="36" s="1"/>
  <c r="FJ341" i="36"/>
  <c r="FL323" i="36"/>
  <c r="FJ599" i="36"/>
  <c r="FK257" i="36"/>
  <c r="FJ261" i="36"/>
  <c r="FJ262" i="36"/>
  <c r="FN260" i="36"/>
  <c r="FJ265" i="36"/>
  <c r="FJ314" i="36"/>
  <c r="FJ488" i="36"/>
  <c r="FJ489" i="36" s="1"/>
  <c r="FN180" i="36"/>
  <c r="FJ199" i="36"/>
  <c r="FJ560" i="36"/>
  <c r="FJ541" i="36"/>
  <c r="FJ618" i="36"/>
  <c r="FJ600" i="36"/>
  <c r="FN600" i="36" s="1"/>
  <c r="FJ398" i="36"/>
  <c r="FN397" i="36"/>
  <c r="FJ402" i="36"/>
  <c r="FK394" i="36"/>
  <c r="FJ396" i="36"/>
  <c r="FJ399" i="36"/>
  <c r="FK114" i="36"/>
  <c r="FI457" i="36" l="1"/>
  <c r="FI458" i="36" s="1"/>
  <c r="FI623" i="36"/>
  <c r="FI624" i="36" s="1"/>
  <c r="FK559" i="36"/>
  <c r="FK562" i="36" s="1"/>
  <c r="FI338" i="36"/>
  <c r="FI346" i="36" s="1"/>
  <c r="FI414" i="36"/>
  <c r="FI602" i="36"/>
  <c r="FI630" i="36" s="1"/>
  <c r="FI642" i="36" s="1"/>
  <c r="FI413" i="36"/>
  <c r="FI409" i="36"/>
  <c r="FI410" i="36"/>
  <c r="FJ349" i="36"/>
  <c r="FI194" i="36"/>
  <c r="FI173" i="36"/>
  <c r="FI160" i="36"/>
  <c r="FI176" i="36"/>
  <c r="FI172" i="36"/>
  <c r="FH233" i="36"/>
  <c r="FI233" i="36" s="1"/>
  <c r="FJ233" i="36" s="1"/>
  <c r="FK233" i="36" s="1"/>
  <c r="FL233" i="36" s="1"/>
  <c r="FM233" i="36" s="1"/>
  <c r="FL304" i="36"/>
  <c r="FL305" i="36" s="1"/>
  <c r="FL318" i="36" s="1"/>
  <c r="FL341" i="36" s="1"/>
  <c r="FK349" i="36"/>
  <c r="FK127" i="36"/>
  <c r="FK128" i="36"/>
  <c r="FL123" i="36"/>
  <c r="FK131" i="36"/>
  <c r="FK181" i="36"/>
  <c r="FI320" i="36"/>
  <c r="FI454" i="36"/>
  <c r="FI604" i="36"/>
  <c r="FI443" i="36"/>
  <c r="FI447" i="36"/>
  <c r="FI444" i="36"/>
  <c r="FJ439" i="36"/>
  <c r="FJ137" i="36"/>
  <c r="FJ138" i="36" s="1"/>
  <c r="FJ182" i="36" s="1"/>
  <c r="FJ183" i="36" s="1"/>
  <c r="FJ168" i="36"/>
  <c r="FJ270" i="36"/>
  <c r="FJ271" i="36" s="1"/>
  <c r="FN268" i="36"/>
  <c r="FJ405" i="36"/>
  <c r="FK325" i="36"/>
  <c r="FN325" i="36"/>
  <c r="FK259" i="36"/>
  <c r="FN599" i="36"/>
  <c r="FJ493" i="36"/>
  <c r="FJ494" i="36" s="1"/>
  <c r="FJ619" i="36"/>
  <c r="FN619" i="36" s="1"/>
  <c r="FM323" i="36"/>
  <c r="FJ337" i="36"/>
  <c r="FJ461" i="36" s="1"/>
  <c r="FJ401" i="36"/>
  <c r="FN396" i="36"/>
  <c r="FN618" i="36"/>
  <c r="FJ207" i="36"/>
  <c r="FK115" i="36"/>
  <c r="EO190" i="4"/>
  <c r="EO189" i="4"/>
  <c r="EO188" i="4"/>
  <c r="EO187" i="4"/>
  <c r="EO184" i="4"/>
  <c r="EO183" i="4"/>
  <c r="EO182" i="4"/>
  <c r="EO179" i="4"/>
  <c r="EO178" i="4"/>
  <c r="EO1031" i="10" s="1"/>
  <c r="EO175" i="4"/>
  <c r="EO174" i="4"/>
  <c r="EO173" i="4"/>
  <c r="EO166" i="4"/>
  <c r="EO144" i="4"/>
  <c r="EO142" i="4"/>
  <c r="EO141" i="4"/>
  <c r="EO139" i="4"/>
  <c r="EO138" i="4"/>
  <c r="EO118" i="4"/>
  <c r="EO117" i="4"/>
  <c r="EO116" i="4"/>
  <c r="EO115" i="4"/>
  <c r="EO114" i="4"/>
  <c r="EO113" i="4"/>
  <c r="EO112" i="4"/>
  <c r="EO109" i="4"/>
  <c r="EO108" i="4"/>
  <c r="EO102" i="4"/>
  <c r="EO101" i="4"/>
  <c r="EO100" i="4"/>
  <c r="EO98" i="4"/>
  <c r="EO80" i="4"/>
  <c r="EO133" i="4" s="1"/>
  <c r="EO78" i="4"/>
  <c r="EO75" i="4"/>
  <c r="EO167" i="4" s="1"/>
  <c r="EO73" i="4"/>
  <c r="EO72" i="4"/>
  <c r="EO71" i="4"/>
  <c r="EO66" i="4"/>
  <c r="EO99" i="4" s="1"/>
  <c r="EO65" i="4"/>
  <c r="EO53" i="4"/>
  <c r="ET54" i="4" s="1"/>
  <c r="EO39" i="4"/>
  <c r="EO37" i="4"/>
  <c r="EO35" i="4"/>
  <c r="EO34" i="4"/>
  <c r="EO33" i="4"/>
  <c r="EO32" i="4"/>
  <c r="EO36" i="4" s="1"/>
  <c r="EO27" i="4"/>
  <c r="EO25" i="4"/>
  <c r="EO24" i="4"/>
  <c r="EO23" i="4"/>
  <c r="EO22" i="4"/>
  <c r="EO587" i="2"/>
  <c r="EO572" i="2"/>
  <c r="EO495" i="2"/>
  <c r="ET496" i="2" s="1"/>
  <c r="EO490" i="2"/>
  <c r="ET491" i="2" s="1"/>
  <c r="EO483" i="2"/>
  <c r="ET484" i="2" s="1"/>
  <c r="EO457" i="2"/>
  <c r="ET458" i="2" s="1"/>
  <c r="EO446" i="2"/>
  <c r="EO435" i="2"/>
  <c r="EO433" i="2"/>
  <c r="EO431" i="2"/>
  <c r="ET432" i="2" s="1"/>
  <c r="EO388" i="2"/>
  <c r="ET390" i="2" s="1"/>
  <c r="EO333" i="2"/>
  <c r="ET334" i="2" s="1"/>
  <c r="EO331" i="2"/>
  <c r="ET332" i="2" s="1"/>
  <c r="ET414" i="10"/>
  <c r="EO325" i="2"/>
  <c r="EO323" i="2"/>
  <c r="EO273" i="2"/>
  <c r="EO271" i="2"/>
  <c r="EO264" i="2"/>
  <c r="EO260" i="2"/>
  <c r="EO251" i="2"/>
  <c r="ET253" i="2" s="1"/>
  <c r="ET366" i="10"/>
  <c r="EO188" i="2"/>
  <c r="EO186" i="2"/>
  <c r="EO128" i="2"/>
  <c r="EO126" i="2"/>
  <c r="ET127" i="2" s="1"/>
  <c r="EO99" i="2"/>
  <c r="ET101" i="2" s="1"/>
  <c r="EO87" i="2"/>
  <c r="ES87" i="2" s="1"/>
  <c r="EO54" i="2"/>
  <c r="ET55" i="2" s="1"/>
  <c r="EO536" i="1"/>
  <c r="EO412" i="1"/>
  <c r="EO407" i="1"/>
  <c r="EO392" i="1"/>
  <c r="EO377" i="1"/>
  <c r="EO372" i="1"/>
  <c r="EO367" i="1"/>
  <c r="EO363" i="1"/>
  <c r="EP364" i="1" s="1"/>
  <c r="EO358" i="1"/>
  <c r="EO357" i="1"/>
  <c r="EO283" i="36" s="1"/>
  <c r="EO341" i="1"/>
  <c r="EO331" i="1"/>
  <c r="EO328" i="1"/>
  <c r="EO288" i="1"/>
  <c r="EO266" i="1"/>
  <c r="EO253" i="1"/>
  <c r="EO249" i="1"/>
  <c r="EO103" i="35" s="1"/>
  <c r="EO240" i="1"/>
  <c r="ES240" i="1" s="1"/>
  <c r="EO237" i="1"/>
  <c r="ES237" i="1" s="1"/>
  <c r="EO225" i="1"/>
  <c r="EO231" i="1" s="1"/>
  <c r="EO216" i="1"/>
  <c r="EO220" i="1" s="1"/>
  <c r="EO187" i="1"/>
  <c r="EO28" i="36" s="1"/>
  <c r="EO186" i="1"/>
  <c r="EO27" i="36" s="1"/>
  <c r="EO178" i="1"/>
  <c r="ES178" i="1" s="1"/>
  <c r="EO176" i="1"/>
  <c r="ES176" i="1" s="1"/>
  <c r="EO175" i="1"/>
  <c r="ES175" i="1" s="1"/>
  <c r="EO170" i="1"/>
  <c r="EO343" i="36" s="1"/>
  <c r="EO169" i="1"/>
  <c r="EO340" i="36" s="1"/>
  <c r="EO167" i="1"/>
  <c r="EO205" i="36" s="1"/>
  <c r="EO166" i="1"/>
  <c r="EO162" i="1"/>
  <c r="ES162" i="1" s="1"/>
  <c r="EO160" i="1"/>
  <c r="ES160" i="1" s="1"/>
  <c r="EO159" i="1"/>
  <c r="ES159" i="1" s="1"/>
  <c r="EO158" i="1"/>
  <c r="ES158" i="1" s="1"/>
  <c r="EO157" i="1"/>
  <c r="ES157" i="1" s="1"/>
  <c r="EO148" i="1"/>
  <c r="EO146" i="1"/>
  <c r="EO142" i="1"/>
  <c r="EO137" i="1"/>
  <c r="EO136" i="1"/>
  <c r="EO133" i="1"/>
  <c r="EO126" i="1"/>
  <c r="EO128" i="1" s="1"/>
  <c r="EO98" i="1"/>
  <c r="ES98" i="1" s="1"/>
  <c r="EO97" i="1"/>
  <c r="ES97" i="1" s="1"/>
  <c r="EO90" i="1"/>
  <c r="ES90" i="1" s="1"/>
  <c r="EO88" i="1"/>
  <c r="ES88" i="1" s="1"/>
  <c r="EO87" i="1"/>
  <c r="ES87" i="1" s="1"/>
  <c r="EO86" i="1"/>
  <c r="ES86" i="1" s="1"/>
  <c r="EO85" i="1"/>
  <c r="ES85" i="1" s="1"/>
  <c r="EO84" i="1"/>
  <c r="ES84" i="1" s="1"/>
  <c r="EO83" i="1"/>
  <c r="ES83" i="1" s="1"/>
  <c r="EO51" i="1"/>
  <c r="ET187" i="2" l="1"/>
  <c r="C1588" i="3" s="1"/>
  <c r="C1587" i="3" s="1"/>
  <c r="B1291" i="3"/>
  <c r="B2417" i="3"/>
  <c r="ET261" i="2"/>
  <c r="EP268" i="2"/>
  <c r="EP315" i="2" s="1"/>
  <c r="EP338" i="2" s="1"/>
  <c r="EU346" i="2" s="1"/>
  <c r="ET272" i="2"/>
  <c r="ET324" i="2"/>
  <c r="ET362" i="10"/>
  <c r="ET189" i="2"/>
  <c r="ET410" i="10"/>
  <c r="ET326" i="2"/>
  <c r="FI41" i="36"/>
  <c r="FI10" i="35" s="1"/>
  <c r="ES205" i="36"/>
  <c r="EO204" i="36"/>
  <c r="ES166" i="1"/>
  <c r="EO202" i="36"/>
  <c r="ES343" i="36"/>
  <c r="EO342" i="36"/>
  <c r="EO294" i="36"/>
  <c r="EP280" i="36"/>
  <c r="EO288" i="36"/>
  <c r="EP285" i="36"/>
  <c r="ES28" i="36"/>
  <c r="ES340" i="36"/>
  <c r="EO339" i="36"/>
  <c r="EO300" i="1"/>
  <c r="G1706" i="3" s="1"/>
  <c r="EO107" i="35"/>
  <c r="FI462" i="36"/>
  <c r="FI472" i="36" s="1"/>
  <c r="ES288" i="1"/>
  <c r="EO140" i="35"/>
  <c r="ES140" i="35" s="1"/>
  <c r="ES27" i="36"/>
  <c r="FJ601" i="36"/>
  <c r="FJ623" i="36" s="1"/>
  <c r="FJ624" i="36" s="1"/>
  <c r="FJ315" i="36"/>
  <c r="FJ338" i="36" s="1"/>
  <c r="FJ41" i="36" s="1"/>
  <c r="FJ10" i="35" s="1"/>
  <c r="FJ40" i="36"/>
  <c r="FJ9" i="35" s="1"/>
  <c r="FJ320" i="36"/>
  <c r="FJ441" i="36"/>
  <c r="FJ446" i="36" s="1"/>
  <c r="FJ170" i="36"/>
  <c r="FJ175" i="36" s="1"/>
  <c r="FJ153" i="36" s="1"/>
  <c r="FL349" i="36"/>
  <c r="FN405" i="36"/>
  <c r="FK622" i="36"/>
  <c r="FK200" i="36"/>
  <c r="FI232" i="36"/>
  <c r="FK268" i="36"/>
  <c r="FJ273" i="36"/>
  <c r="FJ276" i="36"/>
  <c r="FJ272" i="36"/>
  <c r="FN271" i="36"/>
  <c r="FI161" i="36"/>
  <c r="FJ157" i="36"/>
  <c r="FI165" i="36"/>
  <c r="FI162" i="36"/>
  <c r="FI158" i="36" s="1"/>
  <c r="FI163" i="36" s="1"/>
  <c r="FL325" i="36"/>
  <c r="FJ143" i="36"/>
  <c r="FJ140" i="36"/>
  <c r="FK135" i="36"/>
  <c r="FJ139" i="36"/>
  <c r="FJ442" i="36"/>
  <c r="FJ454" i="36" s="1"/>
  <c r="FJ171" i="36"/>
  <c r="FN270" i="36"/>
  <c r="FJ407" i="36"/>
  <c r="FJ194" i="36"/>
  <c r="FI203" i="36"/>
  <c r="FL125" i="36"/>
  <c r="FL307" i="36"/>
  <c r="FL310" i="36"/>
  <c r="FL306" i="36"/>
  <c r="FM302" i="36"/>
  <c r="FM304" i="36" s="1"/>
  <c r="FM305" i="36" s="1"/>
  <c r="FJ620" i="36"/>
  <c r="FJ641" i="36" s="1"/>
  <c r="FJ345" i="36"/>
  <c r="FK260" i="36"/>
  <c r="FJ471" i="36"/>
  <c r="FK117" i="36"/>
  <c r="FL112" i="36"/>
  <c r="FK120" i="36"/>
  <c r="FL552" i="36" s="1"/>
  <c r="FK116" i="36"/>
  <c r="FK180" i="36"/>
  <c r="FK132" i="36"/>
  <c r="C1697" i="3"/>
  <c r="C1698" i="3" s="1"/>
  <c r="D1949" i="3"/>
  <c r="D1951" i="3" s="1"/>
  <c r="E43" i="11"/>
  <c r="EO10" i="32"/>
  <c r="EO578" i="2"/>
  <c r="EO140" i="4"/>
  <c r="EO107" i="4"/>
  <c r="EO130" i="4" s="1"/>
  <c r="ES253" i="1"/>
  <c r="ES256" i="1" s="1"/>
  <c r="EO28" i="2"/>
  <c r="C225" i="3" s="1"/>
  <c r="C226" i="3" s="1"/>
  <c r="ES187" i="1"/>
  <c r="EO57" i="1"/>
  <c r="ES51" i="1"/>
  <c r="EO340" i="2"/>
  <c r="ET348" i="2" s="1"/>
  <c r="ES169" i="1"/>
  <c r="EO205" i="2"/>
  <c r="ES167" i="1"/>
  <c r="EO172" i="1"/>
  <c r="ES137" i="1"/>
  <c r="ES138" i="1" s="1"/>
  <c r="EO343" i="2"/>
  <c r="ET351" i="2" s="1"/>
  <c r="ES170" i="1"/>
  <c r="EO147" i="1"/>
  <c r="EO149" i="1" s="1"/>
  <c r="ES142" i="1"/>
  <c r="ES144" i="1" s="1"/>
  <c r="EO183" i="1"/>
  <c r="ES148" i="1"/>
  <c r="EO181" i="1"/>
  <c r="ES146" i="1"/>
  <c r="ES161" i="1"/>
  <c r="ES163" i="1" s="1"/>
  <c r="EO27" i="2"/>
  <c r="B225" i="3" s="1"/>
  <c r="B226" i="3" s="1"/>
  <c r="ES186" i="1"/>
  <c r="ET360" i="10"/>
  <c r="EO13" i="32"/>
  <c r="EO207" i="4"/>
  <c r="EO209" i="4" s="1"/>
  <c r="EO204" i="4" s="1"/>
  <c r="EO12" i="32" s="1"/>
  <c r="EO1036" i="10"/>
  <c r="EO96" i="2"/>
  <c r="ET184" i="10"/>
  <c r="ET405" i="10"/>
  <c r="EP590" i="2"/>
  <c r="EP591" i="2" s="1"/>
  <c r="EO103" i="4"/>
  <c r="EO14" i="32" s="1"/>
  <c r="EQ249" i="1"/>
  <c r="EP123" i="2"/>
  <c r="EO132" i="2"/>
  <c r="B2574" i="3"/>
  <c r="B2576" i="3" s="1"/>
  <c r="EP574" i="2"/>
  <c r="EP100" i="2"/>
  <c r="EP257" i="2"/>
  <c r="EP262" i="2"/>
  <c r="EO171" i="2"/>
  <c r="EP135" i="2"/>
  <c r="EP140" i="2"/>
  <c r="EP302" i="2"/>
  <c r="EP307" i="2"/>
  <c r="EP428" i="2"/>
  <c r="H2498" i="3"/>
  <c r="EO168" i="4"/>
  <c r="EO256" i="1"/>
  <c r="EO38" i="4"/>
  <c r="EO40" i="4" s="1"/>
  <c r="ET41" i="4" s="1"/>
  <c r="EO26" i="4"/>
  <c r="EO28" i="4" s="1"/>
  <c r="ET29" i="4" s="1"/>
  <c r="EO168" i="1"/>
  <c r="EO161" i="1"/>
  <c r="EO163" i="1" s="1"/>
  <c r="EO148" i="4"/>
  <c r="EO185" i="4"/>
  <c r="EO191" i="4" s="1"/>
  <c r="EO137" i="4"/>
  <c r="EO442" i="2"/>
  <c r="ET443" i="2" s="1"/>
  <c r="EO171" i="1"/>
  <c r="EO278" i="1"/>
  <c r="EO97" i="4"/>
  <c r="EO171" i="4"/>
  <c r="EO197" i="4" s="1"/>
  <c r="EO397" i="2"/>
  <c r="EO537" i="1"/>
  <c r="EO120" i="4"/>
  <c r="EO177" i="1"/>
  <c r="EO202" i="2"/>
  <c r="EO436" i="2"/>
  <c r="EO588" i="2"/>
  <c r="EO493" i="2"/>
  <c r="ET494" i="2" s="1"/>
  <c r="EO283" i="2"/>
  <c r="ET284" i="2" s="1"/>
  <c r="EO232" i="1"/>
  <c r="EO138" i="1"/>
  <c r="EO144" i="1"/>
  <c r="E1329" i="3" l="1"/>
  <c r="E1347" i="3" s="1"/>
  <c r="E1349" i="3" s="1"/>
  <c r="ET398" i="2"/>
  <c r="EP405" i="2"/>
  <c r="ET34" i="2"/>
  <c r="ET210" i="2"/>
  <c r="N3120" i="3"/>
  <c r="O3134" i="3" s="1"/>
  <c r="ET172" i="2"/>
  <c r="ET35" i="2"/>
  <c r="ET213" i="2"/>
  <c r="ES168" i="1"/>
  <c r="FJ346" i="36"/>
  <c r="ES300" i="1"/>
  <c r="K1706" i="3" s="1"/>
  <c r="D1681" i="3" s="1"/>
  <c r="D1683" i="3" s="1"/>
  <c r="D1687" i="3" s="1"/>
  <c r="EO302" i="1"/>
  <c r="G1708" i="3" s="1"/>
  <c r="EO344" i="2"/>
  <c r="EO344" i="36"/>
  <c r="ES249" i="1"/>
  <c r="EQ103" i="35"/>
  <c r="ES103" i="35" s="1"/>
  <c r="ES183" i="1"/>
  <c r="EO59" i="36"/>
  <c r="ES59" i="36" s="1"/>
  <c r="EO69" i="36"/>
  <c r="EP291" i="36"/>
  <c r="EP316" i="36"/>
  <c r="EP287" i="36"/>
  <c r="EU287" i="36" s="1"/>
  <c r="EZ287" i="36" s="1"/>
  <c r="FE287" i="36" s="1"/>
  <c r="EP281" i="36"/>
  <c r="ES202" i="36"/>
  <c r="EO192" i="36"/>
  <c r="EO201" i="36"/>
  <c r="EO57" i="4"/>
  <c r="EO57" i="35"/>
  <c r="EO153" i="35"/>
  <c r="ES153" i="35" s="1"/>
  <c r="EO110" i="35"/>
  <c r="ES107" i="35"/>
  <c r="EO130" i="35"/>
  <c r="EO299" i="36"/>
  <c r="EO425" i="36" s="1"/>
  <c r="EP296" i="36"/>
  <c r="EO45" i="36"/>
  <c r="EO466" i="36"/>
  <c r="ES204" i="36"/>
  <c r="ES181" i="1"/>
  <c r="EO57" i="36"/>
  <c r="ES172" i="1"/>
  <c r="EO469" i="36"/>
  <c r="EO48" i="36"/>
  <c r="EO11" i="36"/>
  <c r="ES11" i="36" s="1"/>
  <c r="FJ462" i="36"/>
  <c r="FJ472" i="36" s="1"/>
  <c r="EO206" i="2"/>
  <c r="EO206" i="36"/>
  <c r="FL551" i="36"/>
  <c r="FL556" i="36"/>
  <c r="FL555" i="36" s="1"/>
  <c r="ES339" i="36"/>
  <c r="ES342" i="36"/>
  <c r="ES634" i="36"/>
  <c r="FK194" i="36"/>
  <c r="FL194" i="36" s="1"/>
  <c r="FN194" i="36"/>
  <c r="FJ203" i="36"/>
  <c r="FN620" i="36"/>
  <c r="FJ457" i="36"/>
  <c r="FJ458" i="36" s="1"/>
  <c r="FM318" i="36"/>
  <c r="FM341" i="36" s="1"/>
  <c r="FM310" i="36"/>
  <c r="FM307" i="36"/>
  <c r="FM306" i="36"/>
  <c r="FJ173" i="36"/>
  <c r="FJ176" i="36"/>
  <c r="FJ172" i="36"/>
  <c r="FJ160" i="36"/>
  <c r="FJ444" i="36"/>
  <c r="FJ447" i="36"/>
  <c r="FJ443" i="36"/>
  <c r="FJ604" i="36"/>
  <c r="FK270" i="36"/>
  <c r="FK405" i="36"/>
  <c r="FJ232" i="36"/>
  <c r="FI230" i="36"/>
  <c r="FJ148" i="36"/>
  <c r="FJ147" i="36" s="1"/>
  <c r="FJ152" i="36" s="1"/>
  <c r="FJ164" i="36"/>
  <c r="FJ159" i="36" s="1"/>
  <c r="FK208" i="36"/>
  <c r="FJ408" i="36"/>
  <c r="FJ412" i="36"/>
  <c r="FN407" i="36"/>
  <c r="FM325" i="36"/>
  <c r="FI211" i="36"/>
  <c r="FI44" i="36"/>
  <c r="FI465" i="36"/>
  <c r="FL126" i="36"/>
  <c r="FK439" i="36"/>
  <c r="FK137" i="36"/>
  <c r="FK168" i="36"/>
  <c r="FL257" i="36"/>
  <c r="FK599" i="36"/>
  <c r="FK265" i="36"/>
  <c r="FK261" i="36"/>
  <c r="FK262" i="36"/>
  <c r="FK314" i="36"/>
  <c r="FK397" i="36"/>
  <c r="FL114" i="36"/>
  <c r="FK541" i="36"/>
  <c r="FK560" i="36"/>
  <c r="FK618" i="36"/>
  <c r="FK199" i="36"/>
  <c r="FK488" i="36"/>
  <c r="FK489" i="36" s="1"/>
  <c r="EO110" i="4"/>
  <c r="ES171" i="1"/>
  <c r="EO580" i="2"/>
  <c r="ES578" i="2"/>
  <c r="B1832" i="3" s="1"/>
  <c r="EO153" i="4"/>
  <c r="EO69" i="2"/>
  <c r="EO57" i="2"/>
  <c r="ES154" i="1"/>
  <c r="EO59" i="2"/>
  <c r="EO469" i="2"/>
  <c r="ET479" i="2" s="1"/>
  <c r="EO48" i="2"/>
  <c r="EO179" i="1"/>
  <c r="ES177" i="1"/>
  <c r="ES179" i="1" s="1"/>
  <c r="EO182" i="1"/>
  <c r="ES147" i="1"/>
  <c r="ES149" i="1" s="1"/>
  <c r="EO11" i="2"/>
  <c r="EO59" i="1"/>
  <c r="EO69" i="35" s="1"/>
  <c r="ES57" i="1"/>
  <c r="EQ251" i="1"/>
  <c r="EQ105" i="35" s="1"/>
  <c r="EQ103" i="4"/>
  <c r="EQ14" i="32" s="1"/>
  <c r="EP430" i="2"/>
  <c r="EP429" i="2" s="1"/>
  <c r="EP434" i="2" s="1"/>
  <c r="E2216" i="3"/>
  <c r="EP181" i="2"/>
  <c r="EP200" i="2" s="1"/>
  <c r="EP173" i="2"/>
  <c r="EP318" i="2"/>
  <c r="EP341" i="2" s="1"/>
  <c r="EU349" i="2" s="1"/>
  <c r="EP304" i="2"/>
  <c r="EP303" i="2" s="1"/>
  <c r="EP314" i="2"/>
  <c r="EP259" i="2"/>
  <c r="EO294" i="2"/>
  <c r="EP280" i="2"/>
  <c r="EP316" i="2" s="1"/>
  <c r="EP453" i="2" s="1"/>
  <c r="EP285" i="2"/>
  <c r="EO447" i="2"/>
  <c r="EP444" i="2"/>
  <c r="EP182" i="2"/>
  <c r="EP439" i="2"/>
  <c r="EP137" i="2"/>
  <c r="EP168" i="2"/>
  <c r="EO402" i="2"/>
  <c r="EP394" i="2"/>
  <c r="EQ401" i="2" s="1"/>
  <c r="EP399" i="2"/>
  <c r="EO173" i="1"/>
  <c r="EO154" i="1"/>
  <c r="EO153" i="1" s="1"/>
  <c r="EO176" i="4"/>
  <c r="EO180" i="4" s="1"/>
  <c r="EO192" i="4" s="1"/>
  <c r="L3114" i="3"/>
  <c r="M3114" i="3"/>
  <c r="P3134" i="3"/>
  <c r="EO112" i="10" l="1"/>
  <c r="EP462" i="2"/>
  <c r="EU472" i="2" s="1"/>
  <c r="EU208" i="2"/>
  <c r="EO252" i="2"/>
  <c r="ET214" i="2"/>
  <c r="EO380" i="2"/>
  <c r="EO386" i="2" s="1"/>
  <c r="ET352" i="2"/>
  <c r="EO45" i="4"/>
  <c r="ET78" i="2"/>
  <c r="EP296" i="2"/>
  <c r="ET295" i="2"/>
  <c r="EO243" i="2"/>
  <c r="EO389" i="2"/>
  <c r="EO306" i="1"/>
  <c r="ES306" i="1" s="1"/>
  <c r="K1712" i="3" s="1"/>
  <c r="C1721" i="3" s="1"/>
  <c r="ES302" i="1"/>
  <c r="K1708" i="3" s="1"/>
  <c r="ES173" i="1"/>
  <c r="ES189" i="1" s="1"/>
  <c r="EO58" i="36"/>
  <c r="ES58" i="36" s="1"/>
  <c r="EO68" i="36"/>
  <c r="ES57" i="36"/>
  <c r="EP286" i="36"/>
  <c r="EU286" i="36" s="1"/>
  <c r="EP418" i="36"/>
  <c r="EP292" i="36"/>
  <c r="EP297" i="36" s="1"/>
  <c r="EP423" i="36" s="1"/>
  <c r="ES192" i="36"/>
  <c r="ES57" i="35"/>
  <c r="EP453" i="36"/>
  <c r="EP319" i="36"/>
  <c r="ES130" i="35"/>
  <c r="EP317" i="36"/>
  <c r="EP327" i="36" s="1"/>
  <c r="EP298" i="36"/>
  <c r="EP424" i="36" s="1"/>
  <c r="EO9" i="36"/>
  <c r="EO243" i="36"/>
  <c r="EO252" i="36"/>
  <c r="ES206" i="36"/>
  <c r="EO563" i="36"/>
  <c r="EO545" i="36"/>
  <c r="ET201" i="36"/>
  <c r="EO42" i="36"/>
  <c r="EO463" i="36"/>
  <c r="ES201" i="36"/>
  <c r="EO190" i="36"/>
  <c r="EO45" i="35"/>
  <c r="ES45" i="35" s="1"/>
  <c r="ES69" i="36"/>
  <c r="EO10" i="36"/>
  <c r="EO380" i="36"/>
  <c r="ES344" i="36"/>
  <c r="EO389" i="36"/>
  <c r="EQ129" i="35"/>
  <c r="EQ132" i="35" s="1"/>
  <c r="EQ134" i="35" s="1"/>
  <c r="EQ104" i="35"/>
  <c r="EQ122" i="35"/>
  <c r="EO74" i="35"/>
  <c r="ES69" i="35"/>
  <c r="EO17" i="35"/>
  <c r="ES17" i="35" s="1"/>
  <c r="ES48" i="36"/>
  <c r="EO467" i="36"/>
  <c r="ES466" i="36"/>
  <c r="ES110" i="35"/>
  <c r="ES652" i="36"/>
  <c r="ES611" i="36"/>
  <c r="FL559" i="36"/>
  <c r="FL562" i="36" s="1"/>
  <c r="ES469" i="36"/>
  <c r="ET479" i="36"/>
  <c r="EO46" i="36"/>
  <c r="EO14" i="35"/>
  <c r="ES45" i="36"/>
  <c r="FK399" i="36"/>
  <c r="FI13" i="35"/>
  <c r="FK138" i="36"/>
  <c r="FK441" i="36"/>
  <c r="FK446" i="36" s="1"/>
  <c r="FK170" i="36"/>
  <c r="FK175" i="36" s="1"/>
  <c r="FK153" i="36" s="1"/>
  <c r="FK271" i="36"/>
  <c r="FK407" i="36"/>
  <c r="FK412" i="36" s="1"/>
  <c r="FK157" i="36"/>
  <c r="FJ161" i="36"/>
  <c r="FJ165" i="36"/>
  <c r="FJ162" i="36"/>
  <c r="FJ158" i="36" s="1"/>
  <c r="FJ163" i="36" s="1"/>
  <c r="FJ44" i="36"/>
  <c r="FJ211" i="36"/>
  <c r="FJ465" i="36"/>
  <c r="FN604" i="36"/>
  <c r="FM194" i="36"/>
  <c r="FL181" i="36"/>
  <c r="FL131" i="36"/>
  <c r="FL127" i="36"/>
  <c r="FM123" i="36"/>
  <c r="FL128" i="36"/>
  <c r="FJ413" i="36"/>
  <c r="FN408" i="36"/>
  <c r="FJ409" i="36"/>
  <c r="FJ602" i="36"/>
  <c r="FJ410" i="36"/>
  <c r="FJ414" i="36"/>
  <c r="FJ452" i="36"/>
  <c r="FI231" i="36"/>
  <c r="FN457" i="36"/>
  <c r="FK232" i="36"/>
  <c r="FL232" i="36" s="1"/>
  <c r="FM232" i="36" s="1"/>
  <c r="FJ230" i="36"/>
  <c r="FM349" i="36"/>
  <c r="FI475" i="36"/>
  <c r="FK402" i="36"/>
  <c r="FK451" i="36"/>
  <c r="FK398" i="36"/>
  <c r="FL394" i="36"/>
  <c r="FK600" i="36"/>
  <c r="FK396" i="36"/>
  <c r="FK401" i="36" s="1"/>
  <c r="FK337" i="36"/>
  <c r="FK40" i="36" s="1"/>
  <c r="FK493" i="36"/>
  <c r="FK494" i="36" s="1"/>
  <c r="FK619" i="36"/>
  <c r="FK620" i="36" s="1"/>
  <c r="FL259" i="36"/>
  <c r="FK207" i="36"/>
  <c r="FL115" i="36"/>
  <c r="EO584" i="2"/>
  <c r="ES584" i="2" s="1"/>
  <c r="B164" i="38" s="1"/>
  <c r="B479" i="38" s="1"/>
  <c r="B507" i="38" s="1"/>
  <c r="ES580" i="2"/>
  <c r="B46" i="3" s="1"/>
  <c r="EO17" i="4"/>
  <c r="EO189" i="1"/>
  <c r="ES59" i="1"/>
  <c r="EO66" i="1"/>
  <c r="EO69" i="4"/>
  <c r="EO74" i="4" s="1"/>
  <c r="EO188" i="1"/>
  <c r="EO29" i="36" s="1"/>
  <c r="ES29" i="36" s="1"/>
  <c r="ES153" i="1"/>
  <c r="EO58" i="2"/>
  <c r="EO60" i="2" s="1"/>
  <c r="EO62" i="2" s="1"/>
  <c r="ES182" i="1"/>
  <c r="ES184" i="1" s="1"/>
  <c r="EO68" i="2"/>
  <c r="EO184" i="1"/>
  <c r="EQ268" i="1"/>
  <c r="EQ105" i="4"/>
  <c r="EP454" i="2"/>
  <c r="E2217" i="3"/>
  <c r="E2218" i="3" s="1"/>
  <c r="EP201" i="2"/>
  <c r="EU209" i="2" s="1"/>
  <c r="EP451" i="2"/>
  <c r="EP441" i="2"/>
  <c r="EP136" i="2"/>
  <c r="EP170" i="2"/>
  <c r="EP175" i="2" s="1"/>
  <c r="EP153" i="2" s="1"/>
  <c r="EP164" i="2" s="1"/>
  <c r="EP203" i="2"/>
  <c r="EU211" i="2" s="1"/>
  <c r="EP183" i="2"/>
  <c r="EP247" i="2" s="1"/>
  <c r="EU248" i="2" s="1"/>
  <c r="EP396" i="2"/>
  <c r="EP258" i="2"/>
  <c r="EP337" i="2"/>
  <c r="EP319" i="2"/>
  <c r="EP291" i="2"/>
  <c r="EP317" i="2" s="1"/>
  <c r="EP342" i="2"/>
  <c r="EU350" i="2" s="1"/>
  <c r="EU345" i="2" l="1"/>
  <c r="EO384" i="2"/>
  <c r="ET385" i="2" s="1"/>
  <c r="ET381" i="2"/>
  <c r="EO63" i="2"/>
  <c r="ET64" i="2"/>
  <c r="EO249" i="2"/>
  <c r="ET244" i="2"/>
  <c r="G1712" i="3"/>
  <c r="FK408" i="36"/>
  <c r="FK452" i="36" s="1"/>
  <c r="EO60" i="36"/>
  <c r="ES60" i="36" s="1"/>
  <c r="EO77" i="35"/>
  <c r="EO165" i="35" s="1"/>
  <c r="ES165" i="35" s="1"/>
  <c r="EO162" i="35"/>
  <c r="EO152" i="35"/>
  <c r="ES74" i="35"/>
  <c r="EO76" i="35"/>
  <c r="ES10" i="36"/>
  <c r="EO32" i="36"/>
  <c r="EY201" i="36"/>
  <c r="EX201" i="36"/>
  <c r="ET190" i="36"/>
  <c r="ET191" i="36" s="1"/>
  <c r="ET202" i="36"/>
  <c r="EO18" i="36"/>
  <c r="ES243" i="36"/>
  <c r="EO249" i="36"/>
  <c r="EO247" i="36"/>
  <c r="EO245" i="36"/>
  <c r="EO235" i="36"/>
  <c r="EP455" i="36"/>
  <c r="EP574" i="36"/>
  <c r="EP566" i="36"/>
  <c r="EZ286" i="36"/>
  <c r="EU281" i="36"/>
  <c r="ES252" i="36"/>
  <c r="ES545" i="36"/>
  <c r="ES563" i="36"/>
  <c r="EX479" i="36"/>
  <c r="FN469" i="36"/>
  <c r="ES9" i="36"/>
  <c r="EO12" i="36"/>
  <c r="EO31" i="36"/>
  <c r="ES46" i="36"/>
  <c r="EO43" i="36"/>
  <c r="EO11" i="35"/>
  <c r="ES42" i="36"/>
  <c r="ES467" i="36"/>
  <c r="EU327" i="36"/>
  <c r="EZ327" i="36" s="1"/>
  <c r="ES389" i="36"/>
  <c r="ES190" i="36"/>
  <c r="EO70" i="36"/>
  <c r="EO44" i="35"/>
  <c r="ES68" i="36"/>
  <c r="ES76" i="36" s="1"/>
  <c r="EO76" i="36"/>
  <c r="EO15" i="35"/>
  <c r="ES15" i="35" s="1"/>
  <c r="ES14" i="35"/>
  <c r="EO386" i="36"/>
  <c r="EO384" i="36"/>
  <c r="EO19" i="36"/>
  <c r="ES380" i="36"/>
  <c r="EO382" i="36"/>
  <c r="EO372" i="36"/>
  <c r="EO464" i="36"/>
  <c r="ES463" i="36"/>
  <c r="FJ13" i="35"/>
  <c r="FL200" i="36"/>
  <c r="FL622" i="36"/>
  <c r="FM125" i="36"/>
  <c r="FK276" i="36"/>
  <c r="FK273" i="36"/>
  <c r="FK272" i="36"/>
  <c r="FL268" i="36"/>
  <c r="FK601" i="36"/>
  <c r="FK623" i="36" s="1"/>
  <c r="FK624" i="36" s="1"/>
  <c r="FK315" i="36"/>
  <c r="FK338" i="36" s="1"/>
  <c r="FJ475" i="36"/>
  <c r="FK182" i="36"/>
  <c r="FK139" i="36"/>
  <c r="FL135" i="36"/>
  <c r="FK143" i="36"/>
  <c r="FK140" i="36"/>
  <c r="FK442" i="36"/>
  <c r="FK171" i="36"/>
  <c r="FJ630" i="36"/>
  <c r="FN602" i="36"/>
  <c r="FJ231" i="36"/>
  <c r="FK164" i="36"/>
  <c r="FK159" i="36" s="1"/>
  <c r="FK148" i="36"/>
  <c r="FK147" i="36" s="1"/>
  <c r="FK152" i="36" s="1"/>
  <c r="FK461" i="36"/>
  <c r="FK471" i="36" s="1"/>
  <c r="FK641" i="36"/>
  <c r="FK457" i="36"/>
  <c r="FK458" i="36" s="1"/>
  <c r="FL260" i="36"/>
  <c r="FL397" i="36" s="1"/>
  <c r="FK345" i="36"/>
  <c r="FK9" i="35"/>
  <c r="FL180" i="36"/>
  <c r="FL117" i="36"/>
  <c r="FL120" i="36"/>
  <c r="FM552" i="36" s="1"/>
  <c r="FL116" i="36"/>
  <c r="FM112" i="36"/>
  <c r="FL132" i="36"/>
  <c r="EO44" i="4"/>
  <c r="EO70" i="2"/>
  <c r="ET80" i="2" s="1"/>
  <c r="EO29" i="2"/>
  <c r="ES188" i="1"/>
  <c r="EO68" i="1"/>
  <c r="ES66" i="1"/>
  <c r="EO76" i="4"/>
  <c r="EO79" i="4" s="1"/>
  <c r="EO162" i="4"/>
  <c r="EO152" i="4"/>
  <c r="EO154" i="4" s="1"/>
  <c r="EO158" i="4" s="1"/>
  <c r="EO77" i="4"/>
  <c r="EO165" i="4" s="1"/>
  <c r="EP190" i="2"/>
  <c r="EU191" i="2" s="1"/>
  <c r="EU374" i="10"/>
  <c r="EQ104" i="4"/>
  <c r="EQ129" i="4"/>
  <c r="EQ132" i="4" s="1"/>
  <c r="EQ122" i="4"/>
  <c r="EP465" i="2"/>
  <c r="EU475" i="2" s="1"/>
  <c r="EP204" i="2"/>
  <c r="EU212" i="2" s="1"/>
  <c r="EP440" i="2"/>
  <c r="EP445" i="2" s="1"/>
  <c r="EP169" i="2"/>
  <c r="EP339" i="2"/>
  <c r="EU347" i="2" s="1"/>
  <c r="EP461" i="2"/>
  <c r="EU471" i="2" s="1"/>
  <c r="EP455" i="2"/>
  <c r="EP573" i="2"/>
  <c r="EP395" i="2"/>
  <c r="EP400" i="2" s="1"/>
  <c r="FK410" i="36" l="1"/>
  <c r="EO62" i="36"/>
  <c r="EO63" i="36" s="1"/>
  <c r="FK413" i="36"/>
  <c r="FK414" i="36"/>
  <c r="FK409" i="36"/>
  <c r="FK602" i="36"/>
  <c r="FK630" i="36" s="1"/>
  <c r="FK642" i="36" s="1"/>
  <c r="FM556" i="36"/>
  <c r="FM555" i="36" s="1"/>
  <c r="FM551" i="36"/>
  <c r="EO376" i="36"/>
  <c r="EO374" i="36"/>
  <c r="EO378" i="36"/>
  <c r="ES372" i="36"/>
  <c r="EO468" i="36"/>
  <c r="ES464" i="36"/>
  <c r="ET76" i="36"/>
  <c r="EO576" i="36"/>
  <c r="EO570" i="36"/>
  <c r="EO241" i="36"/>
  <c r="EO237" i="36"/>
  <c r="EO239" i="36"/>
  <c r="EO222" i="36"/>
  <c r="ES235" i="36"/>
  <c r="ES32" i="36"/>
  <c r="ES18" i="36"/>
  <c r="ES11" i="35"/>
  <c r="EO12" i="35"/>
  <c r="ES76" i="35"/>
  <c r="EO79" i="35"/>
  <c r="ES384" i="36"/>
  <c r="ES386" i="36"/>
  <c r="ES382" i="36"/>
  <c r="ES44" i="35"/>
  <c r="EO46" i="35"/>
  <c r="ES46" i="35" s="1"/>
  <c r="FE327" i="36"/>
  <c r="EO47" i="36"/>
  <c r="ES43" i="36"/>
  <c r="ES12" i="36"/>
  <c r="ES31" i="36"/>
  <c r="ET210" i="36"/>
  <c r="ET192" i="36"/>
  <c r="ET193" i="36" s="1"/>
  <c r="EX202" i="36"/>
  <c r="ES162" i="35"/>
  <c r="ES77" i="35"/>
  <c r="ES19" i="36"/>
  <c r="EO71" i="36"/>
  <c r="EO74" i="36"/>
  <c r="ES70" i="36"/>
  <c r="EU418" i="36"/>
  <c r="EU292" i="36"/>
  <c r="EU297" i="36" s="1"/>
  <c r="EU423" i="36" s="1"/>
  <c r="EO154" i="35"/>
  <c r="ES152" i="35"/>
  <c r="ES154" i="35" s="1"/>
  <c r="ES626" i="36"/>
  <c r="FE286" i="36"/>
  <c r="FE281" i="36" s="1"/>
  <c r="EZ281" i="36"/>
  <c r="EX209" i="36"/>
  <c r="EX190" i="36"/>
  <c r="ES249" i="36"/>
  <c r="ES245" i="36"/>
  <c r="ES247" i="36"/>
  <c r="FD201" i="36"/>
  <c r="FC201" i="36"/>
  <c r="EY190" i="36"/>
  <c r="EY191" i="36" s="1"/>
  <c r="EY202" i="36"/>
  <c r="FK203" i="36"/>
  <c r="FK183" i="36"/>
  <c r="FK173" i="36"/>
  <c r="FK160" i="36"/>
  <c r="FK176" i="36"/>
  <c r="FK172" i="36"/>
  <c r="FK454" i="36"/>
  <c r="FK443" i="36"/>
  <c r="FK444" i="36"/>
  <c r="FK447" i="36"/>
  <c r="FK604" i="36"/>
  <c r="FK346" i="36"/>
  <c r="FK462" i="36"/>
  <c r="FK472" i="36" s="1"/>
  <c r="FK41" i="36"/>
  <c r="FK10" i="35" s="1"/>
  <c r="FL270" i="36"/>
  <c r="FL405" i="36"/>
  <c r="FM126" i="36"/>
  <c r="FL439" i="36"/>
  <c r="FL137" i="36"/>
  <c r="FL168" i="36"/>
  <c r="FJ642" i="36"/>
  <c r="FN630" i="36"/>
  <c r="FL208" i="36"/>
  <c r="FL314" i="36"/>
  <c r="FM257" i="36"/>
  <c r="FL265" i="36"/>
  <c r="FL262" i="36"/>
  <c r="FL261" i="36"/>
  <c r="FL599" i="36"/>
  <c r="FM114" i="36"/>
  <c r="FL451" i="36"/>
  <c r="FM394" i="36"/>
  <c r="FL600" i="36"/>
  <c r="FL396" i="36"/>
  <c r="FL401" i="36" s="1"/>
  <c r="FL399" i="36"/>
  <c r="FL402" i="36"/>
  <c r="FL398" i="36"/>
  <c r="FL560" i="36"/>
  <c r="FL618" i="36"/>
  <c r="FL199" i="36"/>
  <c r="FL488" i="36"/>
  <c r="FL489" i="36" s="1"/>
  <c r="FL541" i="36"/>
  <c r="EO70" i="1"/>
  <c r="ES68" i="1"/>
  <c r="EO1033" i="10"/>
  <c r="EO81" i="4"/>
  <c r="EO96" i="4"/>
  <c r="EQ134" i="4"/>
  <c r="EQ1037" i="10"/>
  <c r="EP466" i="2"/>
  <c r="EU476" i="2" s="1"/>
  <c r="EP45" i="2"/>
  <c r="EP14" i="4" s="1"/>
  <c r="EP327" i="2"/>
  <c r="EP463" i="2"/>
  <c r="EU473" i="2" s="1"/>
  <c r="EU412" i="10" l="1"/>
  <c r="EU328" i="2"/>
  <c r="ES62" i="36"/>
  <c r="ES63" i="36" s="1"/>
  <c r="FM559" i="36"/>
  <c r="FM562" i="36" s="1"/>
  <c r="ES378" i="36"/>
  <c r="ES376" i="36"/>
  <c r="ES374" i="36"/>
  <c r="FC209" i="36"/>
  <c r="FC190" i="36"/>
  <c r="ES576" i="36"/>
  <c r="ES570" i="36"/>
  <c r="FH201" i="36"/>
  <c r="FD190" i="36"/>
  <c r="FD191" i="36" s="1"/>
  <c r="FD202" i="36"/>
  <c r="EX192" i="36"/>
  <c r="EX193" i="36" s="1"/>
  <c r="EX210" i="36"/>
  <c r="EY76" i="36"/>
  <c r="ET68" i="36"/>
  <c r="ES74" i="36"/>
  <c r="EO49" i="36"/>
  <c r="ES47" i="36"/>
  <c r="EX626" i="36"/>
  <c r="EX191" i="36"/>
  <c r="EO227" i="36"/>
  <c r="EO224" i="36"/>
  <c r="ES222" i="36"/>
  <c r="ES71" i="36"/>
  <c r="EO81" i="35"/>
  <c r="ES81" i="35" s="1"/>
  <c r="EO96" i="35"/>
  <c r="ES96" i="35" s="1"/>
  <c r="ES79" i="35"/>
  <c r="ES12" i="35"/>
  <c r="EO16" i="35"/>
  <c r="EZ418" i="36"/>
  <c r="EZ292" i="36"/>
  <c r="EZ297" i="36" s="1"/>
  <c r="EZ423" i="36" s="1"/>
  <c r="EO470" i="36"/>
  <c r="ES468" i="36"/>
  <c r="EY210" i="36"/>
  <c r="EY192" i="36"/>
  <c r="EY193" i="36" s="1"/>
  <c r="FC202" i="36"/>
  <c r="FE418" i="36"/>
  <c r="FE292" i="36"/>
  <c r="FE297" i="36" s="1"/>
  <c r="FE423" i="36" s="1"/>
  <c r="EO159" i="35"/>
  <c r="EO158" i="35"/>
  <c r="ES241" i="36"/>
  <c r="ES239" i="36"/>
  <c r="ES237" i="36"/>
  <c r="EO30" i="36"/>
  <c r="FL138" i="36"/>
  <c r="FL441" i="36"/>
  <c r="FL446" i="36" s="1"/>
  <c r="FL170" i="36"/>
  <c r="FL175" i="36" s="1"/>
  <c r="FL153" i="36" s="1"/>
  <c r="FM181" i="36"/>
  <c r="FM131" i="36"/>
  <c r="FM127" i="36"/>
  <c r="FM128" i="36"/>
  <c r="FL271" i="36"/>
  <c r="FL407" i="36"/>
  <c r="FL412" i="36" s="1"/>
  <c r="FK320" i="36"/>
  <c r="FK230" i="36"/>
  <c r="FL157" i="36"/>
  <c r="FK161" i="36"/>
  <c r="FK165" i="36"/>
  <c r="FK162" i="36"/>
  <c r="FK158" i="36" s="1"/>
  <c r="FK163" i="36" s="1"/>
  <c r="FK465" i="36"/>
  <c r="FK44" i="36"/>
  <c r="FK211" i="36"/>
  <c r="FM259" i="36"/>
  <c r="FL493" i="36"/>
  <c r="FL494" i="36" s="1"/>
  <c r="FL619" i="36"/>
  <c r="FL620" i="36" s="1"/>
  <c r="FL337" i="36"/>
  <c r="FL40" i="36" s="1"/>
  <c r="FM115" i="36"/>
  <c r="FL207" i="36"/>
  <c r="EO236" i="1"/>
  <c r="ES70" i="1"/>
  <c r="EO71" i="1"/>
  <c r="ES71" i="1" s="1"/>
  <c r="EO72" i="1"/>
  <c r="ES72" i="1" s="1"/>
  <c r="EO81" i="1"/>
  <c r="EP467" i="2"/>
  <c r="EU477" i="2" s="1"/>
  <c r="EP464" i="2"/>
  <c r="EU474" i="2" s="1"/>
  <c r="FC191" i="36" l="1"/>
  <c r="FC626" i="36"/>
  <c r="FC192" i="36"/>
  <c r="FC193" i="36" s="1"/>
  <c r="FC210" i="36"/>
  <c r="ES158" i="35"/>
  <c r="EO160" i="35"/>
  <c r="FH209" i="36"/>
  <c r="FI209" i="36" s="1"/>
  <c r="FJ209" i="36" s="1"/>
  <c r="FK209" i="36" s="1"/>
  <c r="FL209" i="36" s="1"/>
  <c r="FM209" i="36" s="1"/>
  <c r="FH190" i="36"/>
  <c r="EO18" i="35"/>
  <c r="ES16" i="35"/>
  <c r="ES49" i="36"/>
  <c r="FD192" i="36"/>
  <c r="FD193" i="36" s="1"/>
  <c r="FD210" i="36"/>
  <c r="FH202" i="36"/>
  <c r="EO33" i="36"/>
  <c r="EO21" i="36"/>
  <c r="FD76" i="36"/>
  <c r="FD68" i="36" s="1"/>
  <c r="EY68" i="36"/>
  <c r="EO526" i="36"/>
  <c r="ES470" i="36"/>
  <c r="ES224" i="36"/>
  <c r="ES227" i="36"/>
  <c r="ES80" i="35"/>
  <c r="EP225" i="36"/>
  <c r="ET58" i="36"/>
  <c r="EX68" i="36"/>
  <c r="EX76" i="36" s="1"/>
  <c r="ET44" i="35"/>
  <c r="ES30" i="36"/>
  <c r="FK231" i="36"/>
  <c r="FK475" i="36"/>
  <c r="FL182" i="36"/>
  <c r="FL140" i="36"/>
  <c r="FM135" i="36"/>
  <c r="FL143" i="36"/>
  <c r="FL139" i="36"/>
  <c r="FL442" i="36"/>
  <c r="FL171" i="36"/>
  <c r="FK13" i="35"/>
  <c r="FL408" i="36"/>
  <c r="FL276" i="36"/>
  <c r="FM268" i="36"/>
  <c r="FL272" i="36"/>
  <c r="FL273" i="36"/>
  <c r="FL601" i="36"/>
  <c r="FL623" i="36" s="1"/>
  <c r="FL624" i="36" s="1"/>
  <c r="FL315" i="36"/>
  <c r="FL338" i="36" s="1"/>
  <c r="FM622" i="36"/>
  <c r="FM200" i="36"/>
  <c r="FL164" i="36"/>
  <c r="FL159" i="36" s="1"/>
  <c r="FL148" i="36"/>
  <c r="FL147" i="36" s="1"/>
  <c r="FL152" i="36" s="1"/>
  <c r="FL457" i="36"/>
  <c r="FL458" i="36" s="1"/>
  <c r="FL641" i="36"/>
  <c r="FM260" i="36"/>
  <c r="FL345" i="36"/>
  <c r="FL461" i="36"/>
  <c r="FL471" i="36" s="1"/>
  <c r="FM116" i="36"/>
  <c r="FM132" i="36"/>
  <c r="FM180" i="36"/>
  <c r="FM117" i="36"/>
  <c r="FM120" i="36"/>
  <c r="FL9" i="35"/>
  <c r="EO251" i="1"/>
  <c r="ES236" i="1"/>
  <c r="ES251" i="1" s="1"/>
  <c r="ES268" i="1" s="1"/>
  <c r="ES73" i="1"/>
  <c r="ES74" i="1"/>
  <c r="EO89" i="1"/>
  <c r="ES81" i="1"/>
  <c r="EP468" i="2"/>
  <c r="EU478" i="2" s="1"/>
  <c r="FI201" i="36" l="1"/>
  <c r="FJ201" i="36" s="1"/>
  <c r="EX44" i="35"/>
  <c r="ET57" i="35"/>
  <c r="EX77" i="36"/>
  <c r="FC76" i="36"/>
  <c r="EY58" i="36"/>
  <c r="EY44" i="35"/>
  <c r="EO48" i="35"/>
  <c r="ES18" i="35"/>
  <c r="EP157" i="35"/>
  <c r="EP159" i="35" s="1"/>
  <c r="EP160" i="35" s="1"/>
  <c r="EQ157" i="35" s="1"/>
  <c r="EQ159" i="35" s="1"/>
  <c r="EQ160" i="35" s="1"/>
  <c r="EO163" i="35"/>
  <c r="EX58" i="36"/>
  <c r="FD44" i="35"/>
  <c r="FD58" i="36"/>
  <c r="FH210" i="36"/>
  <c r="FH192" i="36"/>
  <c r="FH193" i="36" s="1"/>
  <c r="FH191" i="36"/>
  <c r="FH626" i="36"/>
  <c r="ES33" i="36"/>
  <c r="ES526" i="36"/>
  <c r="EO105" i="4"/>
  <c r="EO129" i="4" s="1"/>
  <c r="EO132" i="4" s="1"/>
  <c r="EO105" i="35"/>
  <c r="EO20" i="36"/>
  <c r="ES20" i="36" s="1"/>
  <c r="ES21" i="36" s="1"/>
  <c r="FM270" i="36"/>
  <c r="FM405" i="36"/>
  <c r="FL173" i="36"/>
  <c r="FL160" i="36"/>
  <c r="FL176" i="36"/>
  <c r="FL172" i="36"/>
  <c r="FL409" i="36"/>
  <c r="FL602" i="36"/>
  <c r="FL630" i="36" s="1"/>
  <c r="FL642" i="36" s="1"/>
  <c r="FL410" i="36"/>
  <c r="FL413" i="36"/>
  <c r="FL414" i="36"/>
  <c r="FL452" i="36"/>
  <c r="FL454" i="36"/>
  <c r="FL447" i="36"/>
  <c r="FL443" i="36"/>
  <c r="FL444" i="36"/>
  <c r="FL604" i="36"/>
  <c r="FL203" i="36"/>
  <c r="FL183" i="36"/>
  <c r="FM439" i="36"/>
  <c r="FM137" i="36"/>
  <c r="FM168" i="36"/>
  <c r="FM208" i="36"/>
  <c r="FL346" i="36"/>
  <c r="FL462" i="36"/>
  <c r="FL472" i="36" s="1"/>
  <c r="FL41" i="36"/>
  <c r="FL10" i="35" s="1"/>
  <c r="FM261" i="36"/>
  <c r="FM265" i="36"/>
  <c r="FM599" i="36"/>
  <c r="FM262" i="36"/>
  <c r="FM314" i="36"/>
  <c r="FM397" i="36"/>
  <c r="FM451" i="36" s="1"/>
  <c r="FM488" i="36"/>
  <c r="FM489" i="36" s="1"/>
  <c r="FM618" i="36"/>
  <c r="FM560" i="36"/>
  <c r="FM199" i="36"/>
  <c r="FM541" i="36"/>
  <c r="EO268" i="1"/>
  <c r="EO91" i="1"/>
  <c r="ES89" i="1"/>
  <c r="EP470" i="2"/>
  <c r="EU480" i="2" s="1"/>
  <c r="FI202" i="36" l="1"/>
  <c r="FI210" i="36" s="1"/>
  <c r="FI190" i="36"/>
  <c r="FI626" i="36" s="1"/>
  <c r="EO122" i="4"/>
  <c r="EO104" i="4"/>
  <c r="EO129" i="35"/>
  <c r="ES105" i="35"/>
  <c r="EO104" i="35"/>
  <c r="ES104" i="35" s="1"/>
  <c r="EO122" i="35"/>
  <c r="FC68" i="36"/>
  <c r="FC58" i="36" s="1"/>
  <c r="FH76" i="36"/>
  <c r="EO164" i="35"/>
  <c r="ER157" i="35"/>
  <c r="EQ163" i="35"/>
  <c r="EQ164" i="35" s="1"/>
  <c r="FC44" i="35"/>
  <c r="EY57" i="35"/>
  <c r="ES48" i="35"/>
  <c r="EX57" i="35"/>
  <c r="EO49" i="35"/>
  <c r="EO205" i="35"/>
  <c r="ER199" i="35"/>
  <c r="ER200" i="35" s="1"/>
  <c r="ER126" i="35" s="1"/>
  <c r="FK201" i="36"/>
  <c r="FJ190" i="36"/>
  <c r="FJ202" i="36"/>
  <c r="FH44" i="35"/>
  <c r="FD57" i="35"/>
  <c r="FH57" i="35" s="1"/>
  <c r="FM441" i="36"/>
  <c r="FM446" i="36" s="1"/>
  <c r="FM170" i="36"/>
  <c r="FM175" i="36" s="1"/>
  <c r="FM153" i="36" s="1"/>
  <c r="FM271" i="36"/>
  <c r="FM407" i="36"/>
  <c r="FM412" i="36" s="1"/>
  <c r="FL230" i="36"/>
  <c r="FL320" i="36"/>
  <c r="FL161" i="36"/>
  <c r="FM157" i="36"/>
  <c r="FL165" i="36"/>
  <c r="FL162" i="36"/>
  <c r="FL158" i="36" s="1"/>
  <c r="FL163" i="36" s="1"/>
  <c r="FM138" i="36"/>
  <c r="FL211" i="36"/>
  <c r="FL465" i="36"/>
  <c r="FL44" i="36"/>
  <c r="FM600" i="36"/>
  <c r="FM399" i="36"/>
  <c r="FM396" i="36"/>
  <c r="FM401" i="36" s="1"/>
  <c r="FM402" i="36"/>
  <c r="FM398" i="36"/>
  <c r="FM493" i="36"/>
  <c r="FM494" i="36" s="1"/>
  <c r="FM619" i="36"/>
  <c r="FM620" i="36" s="1"/>
  <c r="FM337" i="36"/>
  <c r="FM461" i="36" s="1"/>
  <c r="FM471" i="36" s="1"/>
  <c r="FM207" i="36"/>
  <c r="EO99" i="1"/>
  <c r="ES91" i="1"/>
  <c r="EO1037" i="10"/>
  <c r="EO134" i="4"/>
  <c r="EP526" i="2"/>
  <c r="EU527" i="2" s="1"/>
  <c r="FI191" i="36" l="1"/>
  <c r="FI192" i="36"/>
  <c r="FI193" i="36" s="1"/>
  <c r="ES49" i="35"/>
  <c r="ES199" i="35"/>
  <c r="ES200" i="35" s="1"/>
  <c r="ES126" i="35" s="1"/>
  <c r="ES122" i="35"/>
  <c r="FJ626" i="36"/>
  <c r="FJ191" i="36"/>
  <c r="FN190" i="36"/>
  <c r="ER159" i="35"/>
  <c r="ES159" i="35" s="1"/>
  <c r="ES160" i="35" s="1"/>
  <c r="ET157" i="35" s="1"/>
  <c r="FJ192" i="36"/>
  <c r="FJ210" i="36"/>
  <c r="FL201" i="36"/>
  <c r="FK190" i="36"/>
  <c r="FK202" i="36"/>
  <c r="ES129" i="35"/>
  <c r="EO132" i="35"/>
  <c r="FC57" i="35"/>
  <c r="FI76" i="36"/>
  <c r="FH68" i="36"/>
  <c r="FH58" i="36" s="1"/>
  <c r="FM408" i="36"/>
  <c r="FM410" i="36" s="1"/>
  <c r="FM40" i="36"/>
  <c r="FM9" i="35" s="1"/>
  <c r="FL13" i="35"/>
  <c r="FM315" i="36"/>
  <c r="FM338" i="36" s="1"/>
  <c r="FM273" i="36"/>
  <c r="FM272" i="36"/>
  <c r="FM276" i="36"/>
  <c r="FM601" i="36"/>
  <c r="FM623" i="36" s="1"/>
  <c r="FM624" i="36" s="1"/>
  <c r="FL475" i="36"/>
  <c r="FM143" i="36"/>
  <c r="FM139" i="36"/>
  <c r="FM140" i="36"/>
  <c r="FM442" i="36"/>
  <c r="FM171" i="36"/>
  <c r="FM182" i="36"/>
  <c r="FM148" i="36"/>
  <c r="FM147" i="36" s="1"/>
  <c r="FM152" i="36" s="1"/>
  <c r="FM164" i="36"/>
  <c r="FM159" i="36" s="1"/>
  <c r="FL231" i="36"/>
  <c r="FM457" i="36"/>
  <c r="FM458" i="36" s="1"/>
  <c r="FM641" i="36"/>
  <c r="FM345" i="36"/>
  <c r="ES99" i="1"/>
  <c r="EO539" i="1"/>
  <c r="EO540" i="1" s="1"/>
  <c r="EO538" i="1" s="1"/>
  <c r="EO284" i="1"/>
  <c r="H50" i="30"/>
  <c r="H49" i="30"/>
  <c r="H41" i="30"/>
  <c r="H40" i="30"/>
  <c r="H39" i="30"/>
  <c r="G53" i="30"/>
  <c r="G52" i="30"/>
  <c r="G50" i="30"/>
  <c r="G49" i="30"/>
  <c r="G41" i="30"/>
  <c r="G40" i="30"/>
  <c r="G39" i="30"/>
  <c r="B39" i="30"/>
  <c r="E39" i="30" s="1"/>
  <c r="C27" i="30"/>
  <c r="F27" i="30" s="1"/>
  <c r="EM88" i="4"/>
  <c r="EL88" i="4"/>
  <c r="EK88" i="4"/>
  <c r="EJ88" i="4"/>
  <c r="EG88" i="4"/>
  <c r="EH88" i="4"/>
  <c r="EF88" i="4"/>
  <c r="EI625" i="1"/>
  <c r="FM413" i="36" l="1"/>
  <c r="FM409" i="36"/>
  <c r="FM602" i="36"/>
  <c r="FM630" i="36" s="1"/>
  <c r="FM642" i="36" s="1"/>
  <c r="ER160" i="35"/>
  <c r="ER163" i="35" s="1"/>
  <c r="ER164" i="35" s="1"/>
  <c r="ES164" i="35" s="1"/>
  <c r="EO134" i="35"/>
  <c r="ES134" i="35" s="1"/>
  <c r="ES132" i="35"/>
  <c r="FJ193" i="36"/>
  <c r="FN192" i="36"/>
  <c r="FJ76" i="36"/>
  <c r="FI68" i="36"/>
  <c r="EX157" i="35"/>
  <c r="FK210" i="36"/>
  <c r="FK192" i="36"/>
  <c r="FK193" i="36" s="1"/>
  <c r="ES284" i="1"/>
  <c r="ES291" i="1" s="1"/>
  <c r="ES293" i="1" s="1"/>
  <c r="EO136" i="35"/>
  <c r="EO58" i="4"/>
  <c r="EO59" i="4" s="1"/>
  <c r="EO61" i="4" s="1"/>
  <c r="EO58" i="35"/>
  <c r="FK626" i="36"/>
  <c r="FK191" i="36"/>
  <c r="FM201" i="36"/>
  <c r="FL190" i="36"/>
  <c r="FL202" i="36"/>
  <c r="FM414" i="36"/>
  <c r="FM452" i="36"/>
  <c r="FM346" i="36"/>
  <c r="FM462" i="36"/>
  <c r="FM472" i="36" s="1"/>
  <c r="FM41" i="36"/>
  <c r="FM10" i="35" s="1"/>
  <c r="FM444" i="36"/>
  <c r="FM447" i="36"/>
  <c r="FM604" i="36"/>
  <c r="FM443" i="36"/>
  <c r="FM454" i="36"/>
  <c r="FM203" i="36"/>
  <c r="FM183" i="36"/>
  <c r="FM173" i="36"/>
  <c r="FM176" i="36"/>
  <c r="FM160" i="36"/>
  <c r="FM172" i="36"/>
  <c r="EO291" i="1"/>
  <c r="EO293" i="1" s="1"/>
  <c r="EO294" i="1" s="1"/>
  <c r="EO147" i="35" s="1"/>
  <c r="EO136" i="4"/>
  <c r="EO143" i="4" s="1"/>
  <c r="EO145" i="4" s="1"/>
  <c r="D39" i="30"/>
  <c r="EO68" i="4" l="1"/>
  <c r="ET63" i="4"/>
  <c r="ES133" i="35"/>
  <c r="ES163" i="35"/>
  <c r="EO62" i="4"/>
  <c r="FL192" i="36"/>
  <c r="FL193" i="36" s="1"/>
  <c r="FL210" i="36"/>
  <c r="ES136" i="35"/>
  <c r="EO143" i="35"/>
  <c r="FI44" i="35"/>
  <c r="FI58" i="36"/>
  <c r="ES58" i="35"/>
  <c r="EO59" i="35"/>
  <c r="FK76" i="36"/>
  <c r="FJ68" i="36"/>
  <c r="ES147" i="35"/>
  <c r="ES149" i="35" s="1"/>
  <c r="EO149" i="35"/>
  <c r="FM190" i="36"/>
  <c r="FM202" i="36"/>
  <c r="FL626" i="36"/>
  <c r="FL191" i="36"/>
  <c r="FM320" i="36"/>
  <c r="FM230" i="36"/>
  <c r="FM465" i="36"/>
  <c r="FM211" i="36"/>
  <c r="FM44" i="36"/>
  <c r="FM165" i="36"/>
  <c r="FM161" i="36"/>
  <c r="FM162" i="36"/>
  <c r="FM158" i="36" s="1"/>
  <c r="FM163" i="36" s="1"/>
  <c r="EO147" i="4"/>
  <c r="EO149" i="4" s="1"/>
  <c r="ES294" i="1"/>
  <c r="G47" i="30"/>
  <c r="E124" i="19"/>
  <c r="FM191" i="36" l="1"/>
  <c r="FM626" i="36"/>
  <c r="FM192" i="36"/>
  <c r="FM193" i="36" s="1"/>
  <c r="FM210" i="36"/>
  <c r="EO145" i="35"/>
  <c r="ES143" i="35"/>
  <c r="FJ58" i="36"/>
  <c r="FN58" i="36" s="1"/>
  <c r="FJ44" i="35"/>
  <c r="FN44" i="35" s="1"/>
  <c r="FN68" i="36"/>
  <c r="FL76" i="36"/>
  <c r="FK68" i="36"/>
  <c r="ES59" i="35"/>
  <c r="EO61" i="35"/>
  <c r="FM13" i="35"/>
  <c r="FM475" i="36"/>
  <c r="FM231" i="36"/>
  <c r="EO146" i="4"/>
  <c r="EM288" i="1"/>
  <c r="EM140" i="35" s="1"/>
  <c r="EL285" i="1"/>
  <c r="EL137" i="35" s="1"/>
  <c r="EL288" i="1"/>
  <c r="EL140" i="35" s="1"/>
  <c r="EK288" i="1"/>
  <c r="EK140" i="35" s="1"/>
  <c r="EK285" i="1"/>
  <c r="EK137" i="35" s="1"/>
  <c r="EJ288" i="1"/>
  <c r="EJ140" i="35" s="1"/>
  <c r="EJ285" i="1"/>
  <c r="EJ137" i="35" s="1"/>
  <c r="EO62" i="35" l="1"/>
  <c r="ES61" i="35"/>
  <c r="EO68" i="35"/>
  <c r="ES68" i="35" s="1"/>
  <c r="EJ143" i="35"/>
  <c r="EN137" i="35"/>
  <c r="FK44" i="35"/>
  <c r="FK58" i="36"/>
  <c r="FM76" i="36"/>
  <c r="FM68" i="36" s="1"/>
  <c r="FL68" i="36"/>
  <c r="ES145" i="35"/>
  <c r="EO146" i="35"/>
  <c r="ES146" i="35" s="1"/>
  <c r="EN140" i="35"/>
  <c r="B2898" i="3"/>
  <c r="EM196" i="4"/>
  <c r="EM173" i="4"/>
  <c r="EM174" i="4"/>
  <c r="EM175" i="4"/>
  <c r="EM178" i="4"/>
  <c r="EM1031" i="10" s="1"/>
  <c r="EM179" i="4"/>
  <c r="EM182" i="4"/>
  <c r="EM183" i="4"/>
  <c r="EM184" i="4"/>
  <c r="EM187" i="4"/>
  <c r="EM188" i="4"/>
  <c r="EM189" i="4"/>
  <c r="EM190" i="4"/>
  <c r="EM166" i="4"/>
  <c r="EM13" i="32" s="1"/>
  <c r="EM141" i="4"/>
  <c r="EM142" i="4"/>
  <c r="EM98" i="4"/>
  <c r="EM100" i="4"/>
  <c r="EM101" i="4"/>
  <c r="EM102" i="4"/>
  <c r="EM108" i="4"/>
  <c r="EM112" i="4"/>
  <c r="EM113" i="4"/>
  <c r="EM114" i="4"/>
  <c r="EM115" i="4"/>
  <c r="EM116" i="4"/>
  <c r="EM117" i="4"/>
  <c r="EM118" i="4"/>
  <c r="EM53" i="4"/>
  <c r="ER54" i="4" s="1"/>
  <c r="EM65" i="4"/>
  <c r="EM97" i="4" s="1"/>
  <c r="EM66" i="4"/>
  <c r="EM99" i="4" s="1"/>
  <c r="EM71" i="4"/>
  <c r="EM72" i="4"/>
  <c r="EM73" i="4"/>
  <c r="EM75" i="4"/>
  <c r="EM167" i="4" s="1"/>
  <c r="EM78" i="4"/>
  <c r="EM80" i="4"/>
  <c r="EM27" i="4"/>
  <c r="EM32" i="4"/>
  <c r="EM36" i="4" s="1"/>
  <c r="EM33" i="4"/>
  <c r="EM34" i="4"/>
  <c r="EM35" i="4"/>
  <c r="EM37" i="4"/>
  <c r="EM39" i="4"/>
  <c r="EM587" i="2"/>
  <c r="EM572" i="2"/>
  <c r="EM483" i="2"/>
  <c r="ER484" i="2" s="1"/>
  <c r="EM490" i="2"/>
  <c r="EM495" i="2"/>
  <c r="EM431" i="2"/>
  <c r="EM433" i="2"/>
  <c r="EM435" i="2"/>
  <c r="EM446" i="2"/>
  <c r="EM388" i="2"/>
  <c r="ER390" i="2" s="1"/>
  <c r="EM323" i="2"/>
  <c r="ER324" i="2" s="1"/>
  <c r="EM325" i="2"/>
  <c r="ER326" i="2" s="1"/>
  <c r="EM260" i="2"/>
  <c r="EM264" i="2"/>
  <c r="EM271" i="2"/>
  <c r="ER272" i="2" s="1"/>
  <c r="EM273" i="2"/>
  <c r="EM251" i="2"/>
  <c r="ER253" i="2" s="1"/>
  <c r="EM188" i="2"/>
  <c r="ER189" i="2" s="1"/>
  <c r="EM126" i="2"/>
  <c r="ER127" i="2" s="1"/>
  <c r="EM128" i="2"/>
  <c r="EM115" i="2"/>
  <c r="EM119" i="2"/>
  <c r="E1097" i="3" s="1"/>
  <c r="E1101" i="3" s="1"/>
  <c r="EM87" i="2"/>
  <c r="EM99" i="2"/>
  <c r="EM54" i="2"/>
  <c r="ER55" i="2" s="1"/>
  <c r="EN296" i="1"/>
  <c r="EN295" i="1"/>
  <c r="EN290" i="1"/>
  <c r="EN289" i="1"/>
  <c r="EN277" i="1"/>
  <c r="EN273" i="1"/>
  <c r="G67" i="3" s="1"/>
  <c r="EN272" i="1"/>
  <c r="EN263" i="1"/>
  <c r="EN262" i="1"/>
  <c r="EN261" i="1"/>
  <c r="EN260" i="1"/>
  <c r="EN259" i="1"/>
  <c r="EN258" i="1"/>
  <c r="EN254" i="1"/>
  <c r="EN250" i="1"/>
  <c r="EN247" i="1"/>
  <c r="EN246" i="1"/>
  <c r="EN245" i="1"/>
  <c r="EN242" i="1"/>
  <c r="EN241" i="1"/>
  <c r="EN239" i="1"/>
  <c r="EN238" i="1"/>
  <c r="EN230" i="1"/>
  <c r="EN229" i="1"/>
  <c r="EN228" i="1"/>
  <c r="EN227" i="1"/>
  <c r="EN224" i="1"/>
  <c r="EN223" i="1"/>
  <c r="EN222" i="1"/>
  <c r="EN219" i="1"/>
  <c r="EN218" i="1"/>
  <c r="EN215" i="1"/>
  <c r="EN214" i="1"/>
  <c r="EN213" i="1"/>
  <c r="EN152" i="1"/>
  <c r="EN151" i="1"/>
  <c r="EN143" i="1"/>
  <c r="EN141" i="1"/>
  <c r="EN140" i="1"/>
  <c r="EN135" i="1"/>
  <c r="EN134" i="1"/>
  <c r="EN132" i="1"/>
  <c r="EN131" i="1"/>
  <c r="EN127" i="1"/>
  <c r="EN125" i="1"/>
  <c r="EN124" i="1"/>
  <c r="EN123" i="1"/>
  <c r="EN122" i="1"/>
  <c r="EN96" i="1"/>
  <c r="EN95" i="1"/>
  <c r="EN93" i="1"/>
  <c r="EN78" i="1"/>
  <c r="EN69" i="1"/>
  <c r="EN67" i="1"/>
  <c r="EN65" i="1"/>
  <c r="EN64" i="1"/>
  <c r="EN63" i="1"/>
  <c r="EN62" i="1"/>
  <c r="EN61" i="1"/>
  <c r="EN56" i="1"/>
  <c r="EN55" i="1"/>
  <c r="EN54" i="1"/>
  <c r="EN53" i="1"/>
  <c r="EN52" i="1"/>
  <c r="EN50" i="1"/>
  <c r="EN47" i="1"/>
  <c r="EM140" i="4"/>
  <c r="EM292" i="1"/>
  <c r="EM287" i="1"/>
  <c r="EM286" i="1"/>
  <c r="EN285" i="1"/>
  <c r="EM255" i="1"/>
  <c r="EM249" i="1"/>
  <c r="EM240" i="1"/>
  <c r="EM278" i="1"/>
  <c r="EM279" i="1" s="1"/>
  <c r="EN279" i="1" s="1"/>
  <c r="EJ148" i="1"/>
  <c r="EJ146" i="1"/>
  <c r="EK148" i="1"/>
  <c r="EK146" i="1"/>
  <c r="EL148" i="1"/>
  <c r="EM148" i="1"/>
  <c r="EM183" i="1" s="1"/>
  <c r="EL146" i="1"/>
  <c r="EM146" i="1"/>
  <c r="EM142" i="1"/>
  <c r="EM144" i="1" s="1"/>
  <c r="EM94" i="1"/>
  <c r="EM51" i="1"/>
  <c r="EM537" i="1" s="1"/>
  <c r="EM536" i="1"/>
  <c r="EM412" i="1"/>
  <c r="EM407" i="1"/>
  <c r="EM392" i="1"/>
  <c r="EM377" i="1"/>
  <c r="EM372" i="1"/>
  <c r="EM367" i="1"/>
  <c r="EM363" i="1"/>
  <c r="EO364" i="1" s="1"/>
  <c r="EM358" i="1"/>
  <c r="EM357" i="1"/>
  <c r="EM283" i="36" s="1"/>
  <c r="EM341" i="1"/>
  <c r="EM266" i="1"/>
  <c r="EM253" i="1"/>
  <c r="EM237" i="1"/>
  <c r="EM225" i="1"/>
  <c r="EM231" i="1" s="1"/>
  <c r="EN231" i="1" s="1"/>
  <c r="EM187" i="1"/>
  <c r="EM186" i="1"/>
  <c r="EM178" i="1"/>
  <c r="EM176" i="1"/>
  <c r="EM175" i="1"/>
  <c r="EM172" i="1"/>
  <c r="EM170" i="1"/>
  <c r="EM169" i="1"/>
  <c r="EM167" i="1"/>
  <c r="EM166" i="1"/>
  <c r="EM162" i="1"/>
  <c r="EM160" i="1"/>
  <c r="EM159" i="1"/>
  <c r="EM158" i="1"/>
  <c r="EM157" i="1"/>
  <c r="EM136" i="1"/>
  <c r="EM133" i="1"/>
  <c r="EM126" i="1"/>
  <c r="EM128" i="1" s="1"/>
  <c r="EM98" i="1"/>
  <c r="EM97" i="1"/>
  <c r="EM90" i="1"/>
  <c r="EM88" i="1"/>
  <c r="EM87" i="1"/>
  <c r="EM86" i="1"/>
  <c r="EM85" i="1"/>
  <c r="EM84" i="1"/>
  <c r="EM83" i="1"/>
  <c r="C116" i="19"/>
  <c r="B116" i="19"/>
  <c r="ER116" i="2" l="1"/>
  <c r="ER261" i="2"/>
  <c r="EM57" i="35"/>
  <c r="EM69" i="36"/>
  <c r="EM59" i="36"/>
  <c r="EM103" i="4"/>
  <c r="EM14" i="32" s="1"/>
  <c r="EM103" i="35"/>
  <c r="EM48" i="2"/>
  <c r="EM17" i="4" s="1"/>
  <c r="EM469" i="36"/>
  <c r="EM48" i="36"/>
  <c r="EM17" i="35" s="1"/>
  <c r="EM11" i="36"/>
  <c r="ER284" i="36"/>
  <c r="EM294" i="36"/>
  <c r="EN283" i="36"/>
  <c r="EM288" i="36"/>
  <c r="EM109" i="4"/>
  <c r="EM109" i="35"/>
  <c r="EJ145" i="35"/>
  <c r="EM202" i="2"/>
  <c r="EM202" i="36"/>
  <c r="EM27" i="2"/>
  <c r="EM27" i="36"/>
  <c r="EM205" i="2"/>
  <c r="EM205" i="36"/>
  <c r="EM28" i="2"/>
  <c r="ER35" i="2" s="1"/>
  <c r="EM28" i="36"/>
  <c r="EM138" i="4"/>
  <c r="EM138" i="35"/>
  <c r="EN138" i="35" s="1"/>
  <c r="EM340" i="2"/>
  <c r="ER348" i="2" s="1"/>
  <c r="EM340" i="36"/>
  <c r="EN287" i="1"/>
  <c r="EM139" i="35"/>
  <c r="EN139" i="35" s="1"/>
  <c r="FL44" i="35"/>
  <c r="FL58" i="36"/>
  <c r="ES62" i="35"/>
  <c r="EM300" i="1"/>
  <c r="E1706" i="3" s="1"/>
  <c r="EM107" i="35"/>
  <c r="EM343" i="2"/>
  <c r="ER351" i="2" s="1"/>
  <c r="EM343" i="36"/>
  <c r="EN292" i="1"/>
  <c r="EM144" i="35"/>
  <c r="EN144" i="35" s="1"/>
  <c r="FM44" i="35"/>
  <c r="FM58" i="36"/>
  <c r="EM10" i="32"/>
  <c r="EM578" i="2"/>
  <c r="EM580" i="2" s="1"/>
  <c r="ER101" i="2"/>
  <c r="ER432" i="2"/>
  <c r="N115" i="29"/>
  <c r="O116" i="29" s="1"/>
  <c r="EM207" i="4"/>
  <c r="EM209" i="4" s="1"/>
  <c r="EM204" i="4" s="1"/>
  <c r="EM12" i="32" s="1"/>
  <c r="EM1036" i="10"/>
  <c r="EW405" i="10"/>
  <c r="EO590" i="2"/>
  <c r="EO591" i="2" s="1"/>
  <c r="G2486" i="3"/>
  <c r="EM132" i="2"/>
  <c r="G2498" i="3"/>
  <c r="EM588" i="2"/>
  <c r="EN136" i="1"/>
  <c r="EM57" i="4"/>
  <c r="EM256" i="1"/>
  <c r="EM133" i="4"/>
  <c r="EM168" i="4"/>
  <c r="EN133" i="1"/>
  <c r="EN146" i="1"/>
  <c r="EM397" i="2"/>
  <c r="EM442" i="2"/>
  <c r="EM447" i="2" s="1"/>
  <c r="EM57" i="1"/>
  <c r="EM59" i="1" s="1"/>
  <c r="EM137" i="4"/>
  <c r="EM11" i="2"/>
  <c r="EN148" i="1"/>
  <c r="EN286" i="1"/>
  <c r="EM148" i="4"/>
  <c r="EM69" i="2"/>
  <c r="ER78" i="2" s="1"/>
  <c r="EM59" i="2"/>
  <c r="EM38" i="4"/>
  <c r="EM40" i="4" s="1"/>
  <c r="ER41" i="4" s="1"/>
  <c r="EM120" i="4"/>
  <c r="EN278" i="1"/>
  <c r="EM144" i="4"/>
  <c r="EM171" i="4"/>
  <c r="EM197" i="4" s="1"/>
  <c r="EN126" i="1"/>
  <c r="EN128" i="1" s="1"/>
  <c r="EN211" i="1"/>
  <c r="EM171" i="2"/>
  <c r="EM469" i="2"/>
  <c r="ER479" i="2" s="1"/>
  <c r="EM185" i="4"/>
  <c r="EM191" i="4" s="1"/>
  <c r="EM283" i="2"/>
  <c r="ER284" i="2" s="1"/>
  <c r="EM107" i="4"/>
  <c r="EM139" i="4"/>
  <c r="EN225" i="1"/>
  <c r="EM436" i="2"/>
  <c r="EM96" i="2"/>
  <c r="EM181" i="1"/>
  <c r="EM147" i="1"/>
  <c r="EM182" i="1" s="1"/>
  <c r="EM216" i="1"/>
  <c r="EM171" i="1"/>
  <c r="EM168" i="1"/>
  <c r="EM138" i="1"/>
  <c r="EM154" i="1" s="1"/>
  <c r="EM153" i="1" s="1"/>
  <c r="EM161" i="1"/>
  <c r="EM163" i="1" s="1"/>
  <c r="EM177" i="1"/>
  <c r="EM179" i="1" s="1"/>
  <c r="E112" i="19"/>
  <c r="G112" i="19" s="1"/>
  <c r="E111" i="19"/>
  <c r="H110" i="19"/>
  <c r="C117" i="19"/>
  <c r="D116" i="19"/>
  <c r="D115" i="19"/>
  <c r="D114" i="19"/>
  <c r="H112" i="19"/>
  <c r="D111" i="19"/>
  <c r="D110" i="19"/>
  <c r="D109" i="19"/>
  <c r="E107" i="19"/>
  <c r="C107" i="19"/>
  <c r="D107" i="19" s="1"/>
  <c r="F2140" i="3"/>
  <c r="G46" i="30"/>
  <c r="G36" i="30"/>
  <c r="EW184" i="10" l="1"/>
  <c r="FB99" i="2"/>
  <c r="FB184" i="10" s="1"/>
  <c r="EM584" i="2"/>
  <c r="ER34" i="2"/>
  <c r="EM302" i="1"/>
  <c r="E1708" i="3" s="1"/>
  <c r="ER210" i="2"/>
  <c r="EM34" i="36"/>
  <c r="ER34" i="36"/>
  <c r="EM479" i="36"/>
  <c r="ER479" i="36"/>
  <c r="EM206" i="2"/>
  <c r="EM243" i="2" s="1"/>
  <c r="ER244" i="2" s="1"/>
  <c r="EM206" i="36"/>
  <c r="ER213" i="2"/>
  <c r="EM210" i="36"/>
  <c r="EM192" i="36"/>
  <c r="EM201" i="36"/>
  <c r="ER210" i="36"/>
  <c r="ES284" i="36"/>
  <c r="EO280" i="36"/>
  <c r="EN288" i="36"/>
  <c r="EO285" i="36"/>
  <c r="ES285" i="36" s="1"/>
  <c r="EM110" i="35"/>
  <c r="EM153" i="35"/>
  <c r="EM130" i="35"/>
  <c r="EM344" i="2"/>
  <c r="EM344" i="36"/>
  <c r="EM348" i="36"/>
  <c r="EM339" i="36"/>
  <c r="ER348" i="36"/>
  <c r="EM35" i="36"/>
  <c r="ER35" i="36"/>
  <c r="EM68" i="36"/>
  <c r="EM58" i="36"/>
  <c r="EM351" i="36"/>
  <c r="EM342" i="36"/>
  <c r="ER351" i="36"/>
  <c r="EN294" i="36"/>
  <c r="ER295" i="36"/>
  <c r="EM299" i="36"/>
  <c r="EM425" i="36" s="1"/>
  <c r="EM57" i="2"/>
  <c r="EM57" i="36"/>
  <c r="EM66" i="1"/>
  <c r="EM68" i="1" s="1"/>
  <c r="EM70" i="1" s="1"/>
  <c r="EM81" i="1" s="1"/>
  <c r="EM89" i="1" s="1"/>
  <c r="EM91" i="1" s="1"/>
  <c r="EM99" i="1" s="1"/>
  <c r="EM539" i="1" s="1"/>
  <c r="EM540" i="1" s="1"/>
  <c r="EM69" i="35"/>
  <c r="EM74" i="35" s="1"/>
  <c r="EM213" i="36"/>
  <c r="EM634" i="36"/>
  <c r="EM204" i="36"/>
  <c r="ER213" i="36"/>
  <c r="EM45" i="35"/>
  <c r="EM78" i="36"/>
  <c r="ER78" i="36"/>
  <c r="EX99" i="2"/>
  <c r="EY100" i="2" s="1"/>
  <c r="EM402" i="2"/>
  <c r="ER398" i="2"/>
  <c r="M3120" i="3"/>
  <c r="N3134" i="3" s="1"/>
  <c r="EO279" i="1"/>
  <c r="EO196" i="4"/>
  <c r="EP202" i="4" s="1"/>
  <c r="H31" i="30"/>
  <c r="G31" i="30"/>
  <c r="F35" i="30"/>
  <c r="H35" i="30" s="1"/>
  <c r="G37" i="30"/>
  <c r="G43" i="30"/>
  <c r="H43" i="30"/>
  <c r="H28" i="30"/>
  <c r="G28" i="30"/>
  <c r="H44" i="30"/>
  <c r="G44" i="30"/>
  <c r="H29" i="30"/>
  <c r="G29" i="30"/>
  <c r="G33" i="30"/>
  <c r="H33" i="30"/>
  <c r="EM69" i="4"/>
  <c r="EM74" i="4" s="1"/>
  <c r="EM77" i="4" s="1"/>
  <c r="EM165" i="4" s="1"/>
  <c r="H107" i="19"/>
  <c r="E120" i="19"/>
  <c r="EM220" i="1"/>
  <c r="EN216" i="1"/>
  <c r="EM130" i="4"/>
  <c r="EM110" i="4"/>
  <c r="EM184" i="1"/>
  <c r="EM58" i="2"/>
  <c r="EM68" i="2"/>
  <c r="J110" i="19"/>
  <c r="EM45" i="4"/>
  <c r="EM153" i="4"/>
  <c r="EM294" i="2"/>
  <c r="ER295" i="2" s="1"/>
  <c r="EM176" i="4"/>
  <c r="EM180" i="4" s="1"/>
  <c r="EM192" i="4" s="1"/>
  <c r="EM173" i="1"/>
  <c r="EM189" i="1" s="1"/>
  <c r="EM188" i="1" s="1"/>
  <c r="EM149" i="1"/>
  <c r="F111" i="19"/>
  <c r="G111" i="19"/>
  <c r="F112" i="19"/>
  <c r="J112" i="19"/>
  <c r="I110" i="19"/>
  <c r="I112" i="19"/>
  <c r="B117" i="19"/>
  <c r="D117" i="19" s="1"/>
  <c r="FC99" i="2" l="1"/>
  <c r="FC101" i="2" s="1"/>
  <c r="FB100" i="2"/>
  <c r="FC100" i="2" s="1"/>
  <c r="EM252" i="2"/>
  <c r="ER214" i="2"/>
  <c r="EM389" i="2"/>
  <c r="EM306" i="1"/>
  <c r="E1712" i="3" s="1"/>
  <c r="EM71" i="1"/>
  <c r="ER352" i="2"/>
  <c r="EM284" i="1"/>
  <c r="EM136" i="35" s="1"/>
  <c r="EM143" i="35" s="1"/>
  <c r="EM145" i="35" s="1"/>
  <c r="EM380" i="2"/>
  <c r="ER381" i="2" s="1"/>
  <c r="EM60" i="2"/>
  <c r="EM62" i="2" s="1"/>
  <c r="ER64" i="2" s="1"/>
  <c r="EM347" i="36"/>
  <c r="ER347" i="36"/>
  <c r="EM9" i="36"/>
  <c r="EM243" i="36"/>
  <c r="EM252" i="36"/>
  <c r="EM563" i="36"/>
  <c r="ER214" i="36"/>
  <c r="EM545" i="36"/>
  <c r="EM45" i="36"/>
  <c r="EM350" i="36"/>
  <c r="ER350" i="36"/>
  <c r="EM212" i="36"/>
  <c r="EM466" i="36"/>
  <c r="ER212" i="36"/>
  <c r="EM10" i="36"/>
  <c r="EM389" i="36"/>
  <c r="EM380" i="36"/>
  <c r="ER352" i="36"/>
  <c r="EO316" i="36"/>
  <c r="ES280" i="36"/>
  <c r="EO291" i="36"/>
  <c r="EO287" i="36"/>
  <c r="ET287" i="36" s="1"/>
  <c r="ES287" i="36"/>
  <c r="EO281" i="36"/>
  <c r="EM29" i="2"/>
  <c r="EM29" i="36"/>
  <c r="EM236" i="1"/>
  <c r="EM251" i="1" s="1"/>
  <c r="EM268" i="1" s="1"/>
  <c r="EM652" i="36"/>
  <c r="EM644" i="36"/>
  <c r="EM611" i="36"/>
  <c r="EM612" i="36" s="1"/>
  <c r="EM70" i="36"/>
  <c r="EM44" i="35"/>
  <c r="EM76" i="36"/>
  <c r="EM77" i="35"/>
  <c r="EM165" i="35" s="1"/>
  <c r="EM152" i="35"/>
  <c r="EM154" i="35" s="1"/>
  <c r="EM162" i="35"/>
  <c r="EM76" i="35"/>
  <c r="EM79" i="35" s="1"/>
  <c r="EM72" i="1"/>
  <c r="ES295" i="36"/>
  <c r="EN299" i="36"/>
  <c r="EN425" i="36" s="1"/>
  <c r="EO296" i="36"/>
  <c r="ES296" i="36" s="1"/>
  <c r="ER209" i="36"/>
  <c r="EM190" i="36"/>
  <c r="EM209" i="36"/>
  <c r="EM42" i="36"/>
  <c r="EM463" i="36"/>
  <c r="EM193" i="36"/>
  <c r="ER193" i="36"/>
  <c r="EM60" i="36"/>
  <c r="EM62" i="36" s="1"/>
  <c r="EM249" i="2"/>
  <c r="EP203" i="4"/>
  <c r="EP211" i="4"/>
  <c r="EP212" i="4" s="1"/>
  <c r="EO198" i="4"/>
  <c r="EO16" i="32" s="1"/>
  <c r="EP17" i="32" s="1"/>
  <c r="EM152" i="4"/>
  <c r="EM154" i="4" s="1"/>
  <c r="EM76" i="4"/>
  <c r="EM79" i="4" s="1"/>
  <c r="EM162" i="4"/>
  <c r="EM198" i="4"/>
  <c r="EM16" i="32" s="1"/>
  <c r="EM538" i="1"/>
  <c r="EN220" i="1"/>
  <c r="EN232" i="1" s="1"/>
  <c r="EM232" i="1"/>
  <c r="EM70" i="2"/>
  <c r="ER80" i="2" s="1"/>
  <c r="EM44" i="4"/>
  <c r="EM386" i="2" l="1"/>
  <c r="EM384" i="2"/>
  <c r="ER385" i="2" s="1"/>
  <c r="EM136" i="4"/>
  <c r="EM143" i="4" s="1"/>
  <c r="EM145" i="4" s="1"/>
  <c r="EM291" i="1"/>
  <c r="EM293" i="1" s="1"/>
  <c r="EM294" i="1" s="1"/>
  <c r="EM147" i="35" s="1"/>
  <c r="EM63" i="2"/>
  <c r="EM158" i="35"/>
  <c r="EM105" i="4"/>
  <c r="EM105" i="35"/>
  <c r="EM467" i="36"/>
  <c r="EM476" i="36"/>
  <c r="ER476" i="36"/>
  <c r="EM63" i="36"/>
  <c r="ER64" i="36"/>
  <c r="EM650" i="36"/>
  <c r="EM661" i="36" s="1"/>
  <c r="EM24" i="35" s="1"/>
  <c r="EM649" i="36"/>
  <c r="EM648" i="36"/>
  <c r="EM659" i="36" s="1"/>
  <c r="EM651" i="36"/>
  <c r="EM662" i="36" s="1"/>
  <c r="EM25" i="35" s="1"/>
  <c r="EO453" i="36"/>
  <c r="ES316" i="36"/>
  <c r="ES319" i="36" s="1"/>
  <c r="EO319" i="36"/>
  <c r="ER77" i="36"/>
  <c r="EM249" i="36"/>
  <c r="EM18" i="36"/>
  <c r="EM247" i="36"/>
  <c r="ER248" i="36" s="1"/>
  <c r="ER244" i="36"/>
  <c r="EM245" i="36"/>
  <c r="EM235" i="36"/>
  <c r="EO317" i="36"/>
  <c r="ES291" i="36"/>
  <c r="EO298" i="36"/>
  <c r="EO424" i="36" s="1"/>
  <c r="ES298" i="36"/>
  <c r="ES424" i="36" s="1"/>
  <c r="EM464" i="36"/>
  <c r="EM473" i="36"/>
  <c r="ER473" i="36"/>
  <c r="EM46" i="35"/>
  <c r="ER381" i="36"/>
  <c r="EM386" i="36"/>
  <c r="EM19" i="36"/>
  <c r="EM384" i="36"/>
  <c r="EM382" i="36"/>
  <c r="EM372" i="36"/>
  <c r="EM12" i="36"/>
  <c r="ER13" i="36"/>
  <c r="EM31" i="36"/>
  <c r="EM11" i="35"/>
  <c r="EM12" i="35" s="1"/>
  <c r="EM43" i="36"/>
  <c r="EM71" i="36"/>
  <c r="ER80" i="36"/>
  <c r="EM74" i="36"/>
  <c r="EO418" i="36"/>
  <c r="ES418" i="36" s="1"/>
  <c r="EO286" i="36"/>
  <c r="ET286" i="36" s="1"/>
  <c r="EO292" i="36"/>
  <c r="ES281" i="36"/>
  <c r="ES286" i="36" s="1"/>
  <c r="EM14" i="35"/>
  <c r="EM15" i="35" s="1"/>
  <c r="EM46" i="36"/>
  <c r="EM58" i="4"/>
  <c r="EM59" i="4" s="1"/>
  <c r="EM61" i="4" s="1"/>
  <c r="ER63" i="4" s="1"/>
  <c r="EM58" i="35"/>
  <c r="EM59" i="35" s="1"/>
  <c r="EM61" i="35" s="1"/>
  <c r="ER191" i="36"/>
  <c r="EM626" i="36"/>
  <c r="EM191" i="36"/>
  <c r="EM81" i="35"/>
  <c r="EM96" i="35"/>
  <c r="EY287" i="36"/>
  <c r="FD287" i="36" s="1"/>
  <c r="ET282" i="36"/>
  <c r="ER14" i="36"/>
  <c r="EM32" i="36"/>
  <c r="EM81" i="4"/>
  <c r="EM1033" i="10"/>
  <c r="EM96" i="4"/>
  <c r="EM158" i="4"/>
  <c r="EM104" i="4" l="1"/>
  <c r="EM147" i="4"/>
  <c r="EM149" i="4" s="1"/>
  <c r="EM104" i="35"/>
  <c r="EM68" i="4"/>
  <c r="EM62" i="4"/>
  <c r="ER385" i="36"/>
  <c r="ER474" i="36"/>
  <c r="EM474" i="36"/>
  <c r="EM468" i="36"/>
  <c r="ES453" i="36"/>
  <c r="EO455" i="36"/>
  <c r="ES455" i="36" s="1"/>
  <c r="EO574" i="36"/>
  <c r="EO566" i="36"/>
  <c r="ER22" i="36"/>
  <c r="EM149" i="35"/>
  <c r="EM146" i="35"/>
  <c r="EM663" i="36"/>
  <c r="EM22" i="35"/>
  <c r="EM26" i="35" s="1"/>
  <c r="EM28" i="35" s="1"/>
  <c r="EM477" i="36"/>
  <c r="ER477" i="36"/>
  <c r="EM68" i="35"/>
  <c r="EM62" i="35"/>
  <c r="ER63" i="35"/>
  <c r="ET419" i="36"/>
  <c r="ET293" i="36"/>
  <c r="EM129" i="35"/>
  <c r="EM132" i="35" s="1"/>
  <c r="EM134" i="35" s="1"/>
  <c r="EM122" i="35"/>
  <c r="EM576" i="36"/>
  <c r="EM30" i="36"/>
  <c r="EM21" i="36" s="1"/>
  <c r="EM570" i="36"/>
  <c r="ER15" i="36"/>
  <c r="ES317" i="36"/>
  <c r="ES327" i="36" s="1"/>
  <c r="EO327" i="36"/>
  <c r="EM129" i="4"/>
  <c r="EM132" i="4" s="1"/>
  <c r="EM122" i="4"/>
  <c r="ER23" i="36"/>
  <c r="ER75" i="36"/>
  <c r="ER79" i="36"/>
  <c r="EM50" i="36"/>
  <c r="EM47" i="36"/>
  <c r="EM49" i="36" s="1"/>
  <c r="ER50" i="36"/>
  <c r="EM376" i="36"/>
  <c r="EM378" i="36"/>
  <c r="EM374" i="36"/>
  <c r="ER373" i="36"/>
  <c r="EM241" i="36"/>
  <c r="EM239" i="36"/>
  <c r="EM222" i="36"/>
  <c r="EM237" i="36"/>
  <c r="ER236" i="36"/>
  <c r="EO297" i="36"/>
  <c r="EO423" i="36" s="1"/>
  <c r="ES292" i="36"/>
  <c r="ES297" i="36" s="1"/>
  <c r="ES423" i="36" s="1"/>
  <c r="EY286" i="36"/>
  <c r="ET281" i="36"/>
  <c r="EM51" i="36"/>
  <c r="ER51" i="36"/>
  <c r="EM16" i="35"/>
  <c r="EM18" i="35" s="1"/>
  <c r="ER383" i="36"/>
  <c r="ER246" i="36"/>
  <c r="FC67" i="4"/>
  <c r="C58" i="3" s="1"/>
  <c r="D58" i="3" s="1"/>
  <c r="D99" i="37" l="1"/>
  <c r="E31" i="19"/>
  <c r="EM146" i="4"/>
  <c r="ER24" i="36"/>
  <c r="EM20" i="36"/>
  <c r="FD286" i="36"/>
  <c r="FD281" i="36" s="1"/>
  <c r="EY281" i="36"/>
  <c r="ER29" i="35"/>
  <c r="EM29" i="35"/>
  <c r="ES574" i="36"/>
  <c r="ES566" i="36"/>
  <c r="EM33" i="36"/>
  <c r="ER36" i="36"/>
  <c r="ER375" i="36"/>
  <c r="EM1037" i="10"/>
  <c r="EM134" i="4"/>
  <c r="EM478" i="36"/>
  <c r="EM470" i="36"/>
  <c r="ER478" i="36"/>
  <c r="ET298" i="36"/>
  <c r="ET424" i="36" s="1"/>
  <c r="EM48" i="35"/>
  <c r="EM19" i="35"/>
  <c r="ER19" i="35"/>
  <c r="ER238" i="36"/>
  <c r="ET327" i="36"/>
  <c r="EM52" i="36"/>
  <c r="ER52" i="36"/>
  <c r="ES627" i="36"/>
  <c r="ES628" i="36" s="1"/>
  <c r="EM224" i="36"/>
  <c r="EM227" i="36"/>
  <c r="ER223" i="36"/>
  <c r="ER377" i="36"/>
  <c r="ET292" i="36"/>
  <c r="ET283" i="36"/>
  <c r="ET418" i="36"/>
  <c r="EX418" i="36" s="1"/>
  <c r="EX281" i="36"/>
  <c r="EX286" i="36" s="1"/>
  <c r="ER240" i="36"/>
  <c r="FD67" i="4"/>
  <c r="E99" i="37" s="1"/>
  <c r="F99" i="37" s="1"/>
  <c r="G99" i="37" s="1"/>
  <c r="H99" i="37" s="1"/>
  <c r="I99" i="37" s="1"/>
  <c r="J99" i="37" s="1"/>
  <c r="G31" i="19" l="1"/>
  <c r="F31" i="19"/>
  <c r="FD418" i="36"/>
  <c r="FH418" i="36" s="1"/>
  <c r="FD292" i="36"/>
  <c r="FH281" i="36"/>
  <c r="FH286" i="36" s="1"/>
  <c r="FI286" i="36" s="1"/>
  <c r="EM526" i="36"/>
  <c r="EM480" i="36"/>
  <c r="ER480" i="36"/>
  <c r="ET288" i="36"/>
  <c r="ET284" i="36"/>
  <c r="ET285" i="36"/>
  <c r="ET294" i="36"/>
  <c r="EU280" i="36"/>
  <c r="ET316" i="36"/>
  <c r="ET297" i="36"/>
  <c r="ET423" i="36" s="1"/>
  <c r="EX292" i="36"/>
  <c r="EX297" i="36" s="1"/>
  <c r="EX423" i="36" s="1"/>
  <c r="ES633" i="36"/>
  <c r="ER228" i="36"/>
  <c r="EY327" i="36"/>
  <c r="EM49" i="35"/>
  <c r="EM205" i="35"/>
  <c r="ER50" i="35"/>
  <c r="EQ199" i="35"/>
  <c r="EQ200" i="35" s="1"/>
  <c r="EQ126" i="35" s="1"/>
  <c r="EY418" i="36"/>
  <c r="FC418" i="36" s="1"/>
  <c r="EY292" i="36"/>
  <c r="FC281" i="36"/>
  <c r="FC286" i="36" s="1"/>
  <c r="ER226" i="36"/>
  <c r="ET226" i="36" s="1"/>
  <c r="FE67" i="4"/>
  <c r="EY226" i="36" l="1"/>
  <c r="FD226" i="36" s="1"/>
  <c r="EU226" i="36"/>
  <c r="ET224" i="36"/>
  <c r="ET453" i="36"/>
  <c r="ET319" i="36"/>
  <c r="EM527" i="36"/>
  <c r="ER527" i="36"/>
  <c r="EY297" i="36"/>
  <c r="EY423" i="36" s="1"/>
  <c r="FC292" i="36"/>
  <c r="FC297" i="36" s="1"/>
  <c r="FC423" i="36" s="1"/>
  <c r="EU291" i="36"/>
  <c r="EU282" i="36"/>
  <c r="EU283" i="36" s="1"/>
  <c r="FJ286" i="36"/>
  <c r="FI281" i="36"/>
  <c r="ES609" i="36"/>
  <c r="ES635" i="36"/>
  <c r="FD327" i="36"/>
  <c r="ET295" i="36"/>
  <c r="ET296" i="36"/>
  <c r="ET299" i="36"/>
  <c r="ET425" i="36" s="1"/>
  <c r="ET317" i="36"/>
  <c r="FD297" i="36"/>
  <c r="FD423" i="36" s="1"/>
  <c r="FH292" i="36"/>
  <c r="FH297" i="36" s="1"/>
  <c r="FH423" i="36" s="1"/>
  <c r="FF67" i="4"/>
  <c r="ER416" i="10"/>
  <c r="EQ416" i="10"/>
  <c r="EP416" i="10"/>
  <c r="EO416" i="10"/>
  <c r="ER368" i="10"/>
  <c r="EQ368" i="10"/>
  <c r="EP368" i="10"/>
  <c r="EO368" i="10"/>
  <c r="ER161" i="10"/>
  <c r="EQ161" i="10"/>
  <c r="EP161" i="10"/>
  <c r="EO161" i="10"/>
  <c r="ER135" i="10"/>
  <c r="EQ135" i="10"/>
  <c r="EP135" i="10"/>
  <c r="EO135" i="10"/>
  <c r="ER108" i="10"/>
  <c r="EQ108" i="10"/>
  <c r="EP108" i="10"/>
  <c r="EO108" i="10"/>
  <c r="ER5" i="10"/>
  <c r="EQ5" i="10"/>
  <c r="EP5" i="10"/>
  <c r="EO5" i="10"/>
  <c r="ES5" i="10"/>
  <c r="EX5" i="10"/>
  <c r="FC5" i="10"/>
  <c r="FD5" i="10"/>
  <c r="ES135" i="10"/>
  <c r="EX135" i="10"/>
  <c r="FC135" i="10"/>
  <c r="FD135" i="10"/>
  <c r="ES188" i="4"/>
  <c r="ES146" i="4"/>
  <c r="ES142" i="4"/>
  <c r="ES141" i="4"/>
  <c r="ES131" i="4"/>
  <c r="ES119" i="4"/>
  <c r="ES118" i="4"/>
  <c r="ES116" i="4"/>
  <c r="ES115" i="4"/>
  <c r="ES114" i="4"/>
  <c r="ES113" i="4"/>
  <c r="ES112" i="4"/>
  <c r="ES109" i="4"/>
  <c r="ES108" i="4"/>
  <c r="ES104" i="4"/>
  <c r="ES103" i="4"/>
  <c r="ES102" i="4"/>
  <c r="ES101" i="4"/>
  <c r="ES86" i="4"/>
  <c r="ES78" i="4"/>
  <c r="ES72" i="4"/>
  <c r="ES71" i="4"/>
  <c r="ES68" i="4"/>
  <c r="ES39" i="4"/>
  <c r="ES37" i="4"/>
  <c r="ES35" i="4"/>
  <c r="ES34" i="4"/>
  <c r="ES33" i="4"/>
  <c r="ES27" i="4"/>
  <c r="EP495" i="2"/>
  <c r="EP490" i="2"/>
  <c r="EU491" i="2" s="1"/>
  <c r="ES5" i="2"/>
  <c r="ER5" i="2"/>
  <c r="EQ5" i="2"/>
  <c r="EP5" i="2"/>
  <c r="EO5" i="2"/>
  <c r="ES5" i="4"/>
  <c r="ER5" i="4"/>
  <c r="EQ5" i="4"/>
  <c r="EP5" i="4"/>
  <c r="EO5" i="4"/>
  <c r="F2943" i="3"/>
  <c r="B2918" i="3"/>
  <c r="F2938" i="3"/>
  <c r="E2938" i="3"/>
  <c r="E2953" i="3"/>
  <c r="F2933" i="3"/>
  <c r="B2913" i="3"/>
  <c r="D2963" i="3"/>
  <c r="F2958" i="3"/>
  <c r="E2943" i="3"/>
  <c r="D2918" i="3"/>
  <c r="D2958" i="3"/>
  <c r="E2963" i="3"/>
  <c r="F2953" i="3"/>
  <c r="D2953" i="3"/>
  <c r="B2953" i="3"/>
  <c r="C2953" i="3"/>
  <c r="B2958" i="3"/>
  <c r="E2933" i="3"/>
  <c r="C2963" i="3"/>
  <c r="F2913" i="3"/>
  <c r="C2943" i="3"/>
  <c r="B2933" i="3"/>
  <c r="C2918" i="3"/>
  <c r="C2938" i="3"/>
  <c r="E2958" i="3"/>
  <c r="F2918" i="3"/>
  <c r="B2938" i="3"/>
  <c r="E2913" i="3"/>
  <c r="D2938" i="3"/>
  <c r="E2918" i="3"/>
  <c r="D2913" i="3"/>
  <c r="D2933" i="3"/>
  <c r="F2963" i="3"/>
  <c r="C2933" i="3"/>
  <c r="C2913" i="3"/>
  <c r="B2963" i="3"/>
  <c r="B2943" i="3"/>
  <c r="C2958" i="3"/>
  <c r="D2943" i="3"/>
  <c r="EP493" i="2" l="1"/>
  <c r="EU494" i="2" s="1"/>
  <c r="EU496" i="2"/>
  <c r="EU316" i="36"/>
  <c r="EU288" i="36"/>
  <c r="EV280" i="36"/>
  <c r="EU294" i="36"/>
  <c r="EU284" i="36"/>
  <c r="EU285" i="36"/>
  <c r="EU293" i="36"/>
  <c r="EU419" i="36"/>
  <c r="FI418" i="36"/>
  <c r="FI292" i="36"/>
  <c r="FI297" i="36" s="1"/>
  <c r="FI423" i="36" s="1"/>
  <c r="ET574" i="36"/>
  <c r="ET566" i="36"/>
  <c r="ET455" i="36"/>
  <c r="FK286" i="36"/>
  <c r="FJ281" i="36"/>
  <c r="ES637" i="36"/>
  <c r="ES640" i="36"/>
  <c r="ET225" i="36"/>
  <c r="ET222" i="36"/>
  <c r="EY224" i="36"/>
  <c r="EZ226" i="36"/>
  <c r="FE226" i="36" s="1"/>
  <c r="EV226" i="36"/>
  <c r="EU224" i="36"/>
  <c r="ET339" i="36"/>
  <c r="ES14" i="32"/>
  <c r="E116" i="19"/>
  <c r="FG67" i="4"/>
  <c r="ES40" i="4"/>
  <c r="G2943" i="3"/>
  <c r="G2938" i="3"/>
  <c r="G2933" i="3"/>
  <c r="G2953" i="3"/>
  <c r="G2958" i="3"/>
  <c r="B2948" i="3"/>
  <c r="E2948" i="3"/>
  <c r="D2948" i="3"/>
  <c r="F2948" i="3"/>
  <c r="C2948" i="3"/>
  <c r="ES22" i="4"/>
  <c r="ES24" i="4"/>
  <c r="ES165" i="4"/>
  <c r="ES32" i="4"/>
  <c r="ES23" i="4"/>
  <c r="ES36" i="4"/>
  <c r="ES493" i="2"/>
  <c r="EX494" i="2" s="1"/>
  <c r="EX41" i="4" l="1"/>
  <c r="D206" i="41"/>
  <c r="D208" i="41" s="1"/>
  <c r="EU222" i="36"/>
  <c r="EU225" i="36"/>
  <c r="EZ224" i="36"/>
  <c r="EY222" i="36"/>
  <c r="FD224" i="36"/>
  <c r="EU298" i="36"/>
  <c r="EU424" i="36" s="1"/>
  <c r="FJ292" i="36"/>
  <c r="FJ418" i="36"/>
  <c r="FN418" i="36" s="1"/>
  <c r="FN281" i="36"/>
  <c r="ET223" i="36"/>
  <c r="ET235" i="36"/>
  <c r="ET227" i="36"/>
  <c r="ET228" i="36" s="1"/>
  <c r="ET340" i="36"/>
  <c r="ET347" i="36"/>
  <c r="ET42" i="36"/>
  <c r="ET463" i="36"/>
  <c r="EU317" i="36"/>
  <c r="EU295" i="36"/>
  <c r="EU299" i="36"/>
  <c r="EU425" i="36" s="1"/>
  <c r="EU296" i="36"/>
  <c r="EV291" i="36"/>
  <c r="EV282" i="36"/>
  <c r="EV283" i="36" s="1"/>
  <c r="EV316" i="36" s="1"/>
  <c r="FA226" i="36"/>
  <c r="FF226" i="36" s="1"/>
  <c r="EV224" i="36"/>
  <c r="EW226" i="36"/>
  <c r="FL286" i="36"/>
  <c r="FK281" i="36"/>
  <c r="EU453" i="36"/>
  <c r="EU319" i="36"/>
  <c r="ES38" i="4"/>
  <c r="FH67" i="4"/>
  <c r="G2948" i="3"/>
  <c r="ES26" i="4"/>
  <c r="ES28" i="4" s="1"/>
  <c r="EX29" i="4" s="1"/>
  <c r="ET464" i="36" l="1"/>
  <c r="ET473" i="36"/>
  <c r="FD222" i="36"/>
  <c r="EV222" i="36"/>
  <c r="EV225" i="36"/>
  <c r="FA224" i="36"/>
  <c r="ET243" i="36"/>
  <c r="ET237" i="36"/>
  <c r="ET238" i="36" s="1"/>
  <c r="ET239" i="36"/>
  <c r="ET240" i="36" s="1"/>
  <c r="ET236" i="36"/>
  <c r="ET11" i="35"/>
  <c r="ET12" i="35" s="1"/>
  <c r="ET43" i="36"/>
  <c r="EY227" i="36"/>
  <c r="EY228" i="36" s="1"/>
  <c r="EY223" i="36"/>
  <c r="EY235" i="36"/>
  <c r="EV419" i="36"/>
  <c r="EV293" i="36"/>
  <c r="EZ222" i="36"/>
  <c r="EZ225" i="36"/>
  <c r="FE224" i="36"/>
  <c r="FB226" i="36"/>
  <c r="FG226" i="36" s="1"/>
  <c r="EW224" i="36"/>
  <c r="EU339" i="36"/>
  <c r="EV453" i="36"/>
  <c r="EV319" i="36"/>
  <c r="EV285" i="36"/>
  <c r="EV284" i="36"/>
  <c r="EW280" i="36"/>
  <c r="EV288" i="36"/>
  <c r="EV294" i="36"/>
  <c r="EU566" i="36"/>
  <c r="EU574" i="36"/>
  <c r="EU455" i="36"/>
  <c r="FK418" i="36"/>
  <c r="FK292" i="36"/>
  <c r="FK297" i="36" s="1"/>
  <c r="FK423" i="36" s="1"/>
  <c r="FM286" i="36"/>
  <c r="FM281" i="36" s="1"/>
  <c r="FL281" i="36"/>
  <c r="ET348" i="36"/>
  <c r="FJ297" i="36"/>
  <c r="FJ423" i="36" s="1"/>
  <c r="FN292" i="36"/>
  <c r="EU223" i="36"/>
  <c r="EU235" i="36"/>
  <c r="EU227" i="36"/>
  <c r="EU228" i="36" s="1"/>
  <c r="EZ14" i="32"/>
  <c r="FI67" i="4"/>
  <c r="E2977" i="3"/>
  <c r="FL292" i="36" l="1"/>
  <c r="FL297" i="36" s="1"/>
  <c r="FL423" i="36" s="1"/>
  <c r="FL418" i="36"/>
  <c r="EV298" i="36"/>
  <c r="EV424" i="36" s="1"/>
  <c r="FA225" i="36"/>
  <c r="FA222" i="36"/>
  <c r="FF224" i="36"/>
  <c r="EW282" i="36"/>
  <c r="EW291" i="36"/>
  <c r="EV235" i="36"/>
  <c r="EV227" i="36"/>
  <c r="EV228" i="36" s="1"/>
  <c r="EV223" i="36"/>
  <c r="EU237" i="36"/>
  <c r="EU238" i="36" s="1"/>
  <c r="EU236" i="36"/>
  <c r="EU243" i="36"/>
  <c r="EU239" i="36"/>
  <c r="EU240" i="36" s="1"/>
  <c r="EW222" i="36"/>
  <c r="EW225" i="36"/>
  <c r="FB224" i="36"/>
  <c r="FD223" i="36"/>
  <c r="FD227" i="36"/>
  <c r="FD228" i="36" s="1"/>
  <c r="FD235" i="36"/>
  <c r="EY236" i="36"/>
  <c r="EY239" i="36"/>
  <c r="EY240" i="36" s="1"/>
  <c r="EY237" i="36"/>
  <c r="EY238" i="36" s="1"/>
  <c r="EY243" i="36"/>
  <c r="EV296" i="36"/>
  <c r="EV295" i="36"/>
  <c r="EV299" i="36"/>
  <c r="EV425" i="36" s="1"/>
  <c r="FM418" i="36"/>
  <c r="FM292" i="36"/>
  <c r="FM297" i="36" s="1"/>
  <c r="FM423" i="36" s="1"/>
  <c r="FE222" i="36"/>
  <c r="FE225" i="36"/>
  <c r="ET50" i="36"/>
  <c r="EV566" i="36"/>
  <c r="EV574" i="36"/>
  <c r="EV455" i="36"/>
  <c r="EU347" i="36"/>
  <c r="EU340" i="36"/>
  <c r="EU463" i="36"/>
  <c r="EU42" i="36"/>
  <c r="EV317" i="36"/>
  <c r="EZ223" i="36"/>
  <c r="EZ227" i="36"/>
  <c r="EZ228" i="36" s="1"/>
  <c r="EZ235" i="36"/>
  <c r="ET245" i="36"/>
  <c r="ET246" i="36" s="1"/>
  <c r="ET244" i="36"/>
  <c r="ET18" i="36"/>
  <c r="ET247" i="36"/>
  <c r="ET248" i="36" s="1"/>
  <c r="ET474" i="36"/>
  <c r="FF103" i="4"/>
  <c r="FB14" i="32" s="1"/>
  <c r="B2987" i="3"/>
  <c r="EL196" i="4"/>
  <c r="EL189" i="4"/>
  <c r="EL188" i="4"/>
  <c r="EL187" i="4"/>
  <c r="EL184" i="4"/>
  <c r="EL183" i="4"/>
  <c r="EL182" i="4"/>
  <c r="EL179" i="4"/>
  <c r="EL178" i="4"/>
  <c r="EL1031" i="10" s="1"/>
  <c r="EL175" i="4"/>
  <c r="EL174" i="4"/>
  <c r="EL173" i="4"/>
  <c r="EL166" i="4"/>
  <c r="EL13" i="32" s="1"/>
  <c r="EL144" i="4"/>
  <c r="EL142" i="4"/>
  <c r="EL141" i="4"/>
  <c r="EL139" i="4"/>
  <c r="EL138" i="4"/>
  <c r="EL137" i="4"/>
  <c r="EL118" i="4"/>
  <c r="EL117" i="4"/>
  <c r="EL116" i="4"/>
  <c r="EL115" i="4"/>
  <c r="EL114" i="4"/>
  <c r="EL113" i="4"/>
  <c r="EL112" i="4"/>
  <c r="EL108" i="4"/>
  <c r="EL102" i="4"/>
  <c r="EL101" i="4"/>
  <c r="EL100" i="4"/>
  <c r="EL98" i="4"/>
  <c r="EL80" i="4"/>
  <c r="EL148" i="4" s="1"/>
  <c r="EL78" i="4"/>
  <c r="EL75" i="4"/>
  <c r="EL73" i="4"/>
  <c r="EL72" i="4"/>
  <c r="EL71" i="4"/>
  <c r="EL66" i="4"/>
  <c r="EL99" i="4" s="1"/>
  <c r="EL65" i="4"/>
  <c r="EL97" i="4" s="1"/>
  <c r="EL53" i="4"/>
  <c r="EQ54" i="4" s="1"/>
  <c r="EL39" i="4"/>
  <c r="EL37" i="4"/>
  <c r="EL35" i="4"/>
  <c r="EL34" i="4"/>
  <c r="EL33" i="4"/>
  <c r="EL32" i="4"/>
  <c r="EL36" i="4" s="1"/>
  <c r="EL27" i="4"/>
  <c r="EL587" i="2"/>
  <c r="EL572" i="2"/>
  <c r="EL483" i="2"/>
  <c r="EQ484" i="2" s="1"/>
  <c r="EL446" i="2"/>
  <c r="EL435" i="2"/>
  <c r="EL433" i="2"/>
  <c r="EL431" i="2"/>
  <c r="EQ432" i="2" s="1"/>
  <c r="EL388" i="2"/>
  <c r="EQ390" i="2" s="1"/>
  <c r="EL325" i="2"/>
  <c r="EQ326" i="2" s="1"/>
  <c r="EL323" i="2"/>
  <c r="EQ306" i="2"/>
  <c r="EL273" i="2"/>
  <c r="EL271" i="2"/>
  <c r="EL264" i="2"/>
  <c r="EL260" i="2"/>
  <c r="EL251" i="2"/>
  <c r="EQ253" i="2" s="1"/>
  <c r="EQ195" i="2"/>
  <c r="EL188" i="2"/>
  <c r="EQ189" i="2" s="1"/>
  <c r="EL186" i="2"/>
  <c r="EQ139" i="2"/>
  <c r="EL128" i="2"/>
  <c r="EL126" i="2"/>
  <c r="EQ127" i="2" s="1"/>
  <c r="EL119" i="2"/>
  <c r="D1097" i="3" s="1"/>
  <c r="D1101" i="3" s="1"/>
  <c r="EL115" i="2"/>
  <c r="EL99" i="2"/>
  <c r="EQ101" i="2" s="1"/>
  <c r="EL87" i="2"/>
  <c r="EL54" i="2"/>
  <c r="EQ55" i="2" s="1"/>
  <c r="EQ261" i="2" l="1"/>
  <c r="ET22" i="36"/>
  <c r="FD236" i="36"/>
  <c r="FD243" i="36"/>
  <c r="FD237" i="36"/>
  <c r="FD238" i="36" s="1"/>
  <c r="FD239" i="36"/>
  <c r="FD240" i="36" s="1"/>
  <c r="EU11" i="35"/>
  <c r="EU12" i="35" s="1"/>
  <c r="EU43" i="36"/>
  <c r="EV243" i="36"/>
  <c r="EV239" i="36"/>
  <c r="EV240" i="36" s="1"/>
  <c r="EV237" i="36"/>
  <c r="EV238" i="36" s="1"/>
  <c r="EV236" i="36"/>
  <c r="EU473" i="36"/>
  <c r="EU464" i="36"/>
  <c r="EU247" i="36"/>
  <c r="EU248" i="36" s="1"/>
  <c r="EU245" i="36"/>
  <c r="EU246" i="36" s="1"/>
  <c r="EU244" i="36"/>
  <c r="EU18" i="36"/>
  <c r="EU348" i="36"/>
  <c r="EY245" i="36"/>
  <c r="EY246" i="36" s="1"/>
  <c r="EY244" i="36"/>
  <c r="EY18" i="36"/>
  <c r="EY247" i="36"/>
  <c r="EY248" i="36" s="1"/>
  <c r="EW223" i="36"/>
  <c r="EW227" i="36"/>
  <c r="EW228" i="36" s="1"/>
  <c r="EW235" i="36"/>
  <c r="EZ237" i="36"/>
  <c r="EZ238" i="36" s="1"/>
  <c r="EZ239" i="36"/>
  <c r="EZ240" i="36" s="1"/>
  <c r="EZ236" i="36"/>
  <c r="EZ243" i="36"/>
  <c r="FE223" i="36"/>
  <c r="FE227" i="36"/>
  <c r="FE228" i="36" s="1"/>
  <c r="FE235" i="36"/>
  <c r="EW283" i="36"/>
  <c r="EW419" i="36"/>
  <c r="EX419" i="36" s="1"/>
  <c r="EW293" i="36"/>
  <c r="EX282" i="36"/>
  <c r="EX287" i="36" s="1"/>
  <c r="EV339" i="36"/>
  <c r="FB225" i="36"/>
  <c r="FB222" i="36"/>
  <c r="FG224" i="36"/>
  <c r="EX222" i="36"/>
  <c r="FF225" i="36"/>
  <c r="FF222" i="36"/>
  <c r="FA223" i="36"/>
  <c r="FA227" i="36"/>
  <c r="FA228" i="36" s="1"/>
  <c r="FA235" i="36"/>
  <c r="EL10" i="32"/>
  <c r="EL578" i="2"/>
  <c r="EL580" i="2" s="1"/>
  <c r="EQ116" i="2"/>
  <c r="M115" i="29"/>
  <c r="EQ187" i="2"/>
  <c r="EL207" i="4"/>
  <c r="EL209" i="4" s="1"/>
  <c r="EL1036" i="10"/>
  <c r="EQ414" i="10"/>
  <c r="EQ330" i="2"/>
  <c r="EM590" i="2"/>
  <c r="EM591" i="2" s="1"/>
  <c r="EQ324" i="2"/>
  <c r="EM268" i="2"/>
  <c r="EM315" i="2" s="1"/>
  <c r="EM338" i="2" s="1"/>
  <c r="ER346" i="2" s="1"/>
  <c r="EQ272" i="2"/>
  <c r="FG103" i="4"/>
  <c r="FC14" i="32" s="1"/>
  <c r="EM123" i="2"/>
  <c r="EL132" i="2"/>
  <c r="F2486" i="3"/>
  <c r="F2498" i="3"/>
  <c r="EM428" i="2"/>
  <c r="EM302" i="2"/>
  <c r="EM307" i="2"/>
  <c r="EM574" i="2"/>
  <c r="EM100" i="2"/>
  <c r="EM112" i="2"/>
  <c r="E1100" i="3" s="1"/>
  <c r="E1102" i="3" s="1"/>
  <c r="E1110" i="3" s="1"/>
  <c r="EM117" i="2"/>
  <c r="E1109" i="3" s="1"/>
  <c r="EM135" i="2"/>
  <c r="EM140" i="2"/>
  <c r="EM202" i="4"/>
  <c r="EM257" i="2"/>
  <c r="EM262" i="2"/>
  <c r="H3035" i="3"/>
  <c r="H3036" i="3" s="1"/>
  <c r="EL38" i="4"/>
  <c r="EL40" i="4" s="1"/>
  <c r="EQ41" i="4" s="1"/>
  <c r="EL588" i="2"/>
  <c r="D2972" i="3"/>
  <c r="EL96" i="2"/>
  <c r="D2978" i="3"/>
  <c r="D2979" i="3" s="1"/>
  <c r="B2989" i="3"/>
  <c r="EL397" i="2"/>
  <c r="EL171" i="2"/>
  <c r="EQ172" i="2" s="1"/>
  <c r="EL133" i="4"/>
  <c r="EL167" i="4"/>
  <c r="EL168" i="4" s="1"/>
  <c r="EL185" i="4"/>
  <c r="EL120" i="4"/>
  <c r="EL442" i="2"/>
  <c r="EL436" i="2"/>
  <c r="E1111" i="3" l="1"/>
  <c r="E1117" i="3" s="1"/>
  <c r="E1123" i="3" s="1"/>
  <c r="EL584" i="2"/>
  <c r="EQ398" i="2"/>
  <c r="FC222" i="36"/>
  <c r="FB223" i="36"/>
  <c r="FB227" i="36"/>
  <c r="FB228" i="36" s="1"/>
  <c r="FB235" i="36"/>
  <c r="FE243" i="36"/>
  <c r="FE239" i="36"/>
  <c r="FE240" i="36" s="1"/>
  <c r="FE236" i="36"/>
  <c r="FE237" i="36"/>
  <c r="FE238" i="36" s="1"/>
  <c r="EY22" i="36"/>
  <c r="EW236" i="36"/>
  <c r="EW243" i="36"/>
  <c r="EW239" i="36"/>
  <c r="EW240" i="36" s="1"/>
  <c r="EW237" i="36"/>
  <c r="EW238" i="36" s="1"/>
  <c r="FD245" i="36"/>
  <c r="FD246" i="36" s="1"/>
  <c r="FD244" i="36"/>
  <c r="FD18" i="36"/>
  <c r="FD247" i="36"/>
  <c r="FD248" i="36" s="1"/>
  <c r="EV247" i="36"/>
  <c r="EV248" i="36" s="1"/>
  <c r="EV245" i="36"/>
  <c r="EV246" i="36" s="1"/>
  <c r="EV244" i="36"/>
  <c r="EV18" i="36"/>
  <c r="FA236" i="36"/>
  <c r="FA239" i="36"/>
  <c r="FA240" i="36" s="1"/>
  <c r="FA237" i="36"/>
  <c r="FA238" i="36" s="1"/>
  <c r="FA243" i="36"/>
  <c r="FF223" i="36"/>
  <c r="FF227" i="36"/>
  <c r="FF228" i="36" s="1"/>
  <c r="FF235" i="36"/>
  <c r="EV463" i="36"/>
  <c r="EV340" i="36"/>
  <c r="EV42" i="36"/>
  <c r="EV347" i="36"/>
  <c r="EU474" i="36"/>
  <c r="EU50" i="36"/>
  <c r="EX223" i="36"/>
  <c r="EX224" i="36"/>
  <c r="EX227" i="36"/>
  <c r="EX228" i="36" s="1"/>
  <c r="EW298" i="36"/>
  <c r="EW424" i="36" s="1"/>
  <c r="EX293" i="36"/>
  <c r="EX298" i="36" s="1"/>
  <c r="EX424" i="36" s="1"/>
  <c r="EZ247" i="36"/>
  <c r="EZ248" i="36" s="1"/>
  <c r="EZ18" i="36"/>
  <c r="EZ245" i="36"/>
  <c r="EZ246" i="36" s="1"/>
  <c r="EZ244" i="36"/>
  <c r="EW288" i="36"/>
  <c r="EW285" i="36"/>
  <c r="EX285" i="36" s="1"/>
  <c r="EX283" i="36"/>
  <c r="EW284" i="36"/>
  <c r="EW294" i="36"/>
  <c r="EW316" i="36"/>
  <c r="EX235" i="36"/>
  <c r="FG225" i="36"/>
  <c r="FG222" i="36"/>
  <c r="FH222" i="36" s="1"/>
  <c r="EU22" i="36"/>
  <c r="EL204" i="4"/>
  <c r="EL12" i="32" s="1"/>
  <c r="EM405" i="2"/>
  <c r="EM444" i="2"/>
  <c r="EQ443" i="2"/>
  <c r="EM430" i="2"/>
  <c r="EM429" i="2" s="1"/>
  <c r="EM434" i="2" s="1"/>
  <c r="C2216" i="3"/>
  <c r="FH103" i="4"/>
  <c r="FD14" i="32" s="1"/>
  <c r="EM181" i="2"/>
  <c r="EM200" i="2" s="1"/>
  <c r="EM203" i="4"/>
  <c r="EM211" i="4"/>
  <c r="EM212" i="4" s="1"/>
  <c r="EQ405" i="10"/>
  <c r="EQ360" i="10"/>
  <c r="EM173" i="2"/>
  <c r="L3120" i="3"/>
  <c r="EL402" i="2"/>
  <c r="EM394" i="2"/>
  <c r="EM451" i="2" s="1"/>
  <c r="EM399" i="2"/>
  <c r="EM314" i="2"/>
  <c r="EM259" i="2"/>
  <c r="EM439" i="2"/>
  <c r="EM182" i="2"/>
  <c r="EM137" i="2"/>
  <c r="EM304" i="2"/>
  <c r="EM303" i="2" s="1"/>
  <c r="EM318" i="2"/>
  <c r="EM341" i="2" s="1"/>
  <c r="ER349" i="2" s="1"/>
  <c r="EM168" i="2"/>
  <c r="EM114" i="2"/>
  <c r="EM180" i="2"/>
  <c r="G2381" i="3" s="1"/>
  <c r="G2382" i="3" s="1"/>
  <c r="D2974" i="3"/>
  <c r="D2982" i="3" s="1"/>
  <c r="EL447" i="2"/>
  <c r="E1125" i="3" l="1"/>
  <c r="E1133" i="3"/>
  <c r="E1135" i="3" s="1"/>
  <c r="FH224" i="36"/>
  <c r="FH223" i="36"/>
  <c r="FH227" i="36"/>
  <c r="EV464" i="36"/>
  <c r="EV473" i="36"/>
  <c r="EW245" i="36"/>
  <c r="EW246" i="36" s="1"/>
  <c r="EW244" i="36"/>
  <c r="EW18" i="36"/>
  <c r="EW247" i="36"/>
  <c r="EW248" i="36" s="1"/>
  <c r="EX243" i="36"/>
  <c r="FE247" i="36"/>
  <c r="FE248" i="36" s="1"/>
  <c r="FE245" i="36"/>
  <c r="FE246" i="36" s="1"/>
  <c r="FE244" i="36"/>
  <c r="FE18" i="36"/>
  <c r="EY280" i="36"/>
  <c r="EX288" i="36"/>
  <c r="EX284" i="36"/>
  <c r="FF239" i="36"/>
  <c r="FF240" i="36" s="1"/>
  <c r="FF237" i="36"/>
  <c r="FF238" i="36" s="1"/>
  <c r="FF243" i="36"/>
  <c r="FF236" i="36"/>
  <c r="FD22" i="36"/>
  <c r="FC235" i="36"/>
  <c r="FB239" i="36"/>
  <c r="FB240" i="36" s="1"/>
  <c r="FB243" i="36"/>
  <c r="FB236" i="36"/>
  <c r="FB237" i="36"/>
  <c r="FB238" i="36" s="1"/>
  <c r="EZ22" i="36"/>
  <c r="FG223" i="36"/>
  <c r="FG227" i="36"/>
  <c r="FG228" i="36" s="1"/>
  <c r="FG235" i="36"/>
  <c r="FH235" i="36" s="1"/>
  <c r="EX239" i="36"/>
  <c r="EX240" i="36" s="1"/>
  <c r="EX236" i="36"/>
  <c r="EX237" i="36"/>
  <c r="EX238" i="36" s="1"/>
  <c r="EV22" i="36"/>
  <c r="EW453" i="36"/>
  <c r="EW319" i="36"/>
  <c r="EX316" i="36"/>
  <c r="EX319" i="36" s="1"/>
  <c r="EY225" i="36"/>
  <c r="EX226" i="36"/>
  <c r="EW295" i="36"/>
  <c r="EW299" i="36"/>
  <c r="EW425" i="36" s="1"/>
  <c r="EW296" i="36"/>
  <c r="EX296" i="36" s="1"/>
  <c r="EX294" i="36"/>
  <c r="EW317" i="36"/>
  <c r="EV348" i="36"/>
  <c r="EV43" i="36"/>
  <c r="EV11" i="35"/>
  <c r="EV12" i="35" s="1"/>
  <c r="FA245" i="36"/>
  <c r="FA246" i="36" s="1"/>
  <c r="FA18" i="36"/>
  <c r="FA247" i="36"/>
  <c r="FA248" i="36" s="1"/>
  <c r="FA244" i="36"/>
  <c r="FC224" i="36"/>
  <c r="FC223" i="36"/>
  <c r="FC227" i="36"/>
  <c r="FC228" i="36" s="1"/>
  <c r="EM462" i="2"/>
  <c r="ER472" i="2" s="1"/>
  <c r="ER208" i="2"/>
  <c r="EM454" i="2"/>
  <c r="C2217" i="3"/>
  <c r="C2218" i="3" s="1"/>
  <c r="FI103" i="4"/>
  <c r="FE14" i="32" s="1"/>
  <c r="M3134" i="3"/>
  <c r="EM183" i="2"/>
  <c r="EM247" i="2" s="1"/>
  <c r="EM203" i="2"/>
  <c r="EM396" i="2"/>
  <c r="EM258" i="2"/>
  <c r="EM337" i="2"/>
  <c r="ER345" i="2" s="1"/>
  <c r="EM136" i="2"/>
  <c r="EM441" i="2"/>
  <c r="EM488" i="2"/>
  <c r="ER489" i="2" s="1"/>
  <c r="EM199" i="2"/>
  <c r="EM192" i="2"/>
  <c r="EM170" i="2"/>
  <c r="EM175" i="2" s="1"/>
  <c r="EM153" i="2" s="1"/>
  <c r="EM164" i="2" s="1"/>
  <c r="EM113" i="2"/>
  <c r="EM342" i="2"/>
  <c r="ER350" i="2" s="1"/>
  <c r="EH358" i="1"/>
  <c r="EH357" i="1"/>
  <c r="EH283" i="36" s="1"/>
  <c r="EJ358" i="1"/>
  <c r="EJ357" i="1"/>
  <c r="EJ283" i="36" s="1"/>
  <c r="EK358" i="1"/>
  <c r="EK357" i="1"/>
  <c r="EK283" i="36" s="1"/>
  <c r="EL358" i="1"/>
  <c r="EL357" i="1"/>
  <c r="ED296" i="1"/>
  <c r="EI296" i="1"/>
  <c r="EL140" i="4"/>
  <c r="EL255" i="1"/>
  <c r="EL249" i="1"/>
  <c r="EG248" i="1"/>
  <c r="EG103" i="35" s="1"/>
  <c r="EI103" i="35" s="1"/>
  <c r="EL248" i="1"/>
  <c r="EL142" i="1"/>
  <c r="EL94" i="1"/>
  <c r="EL51" i="1"/>
  <c r="EL537" i="1" s="1"/>
  <c r="EL536" i="1"/>
  <c r="EL412" i="1"/>
  <c r="EL407" i="1"/>
  <c r="EL392" i="1"/>
  <c r="EL377" i="1"/>
  <c r="EL372" i="1"/>
  <c r="EL367" i="1"/>
  <c r="EL363" i="1"/>
  <c r="EM364" i="1" s="1"/>
  <c r="EL341" i="1"/>
  <c r="EL266" i="1"/>
  <c r="EL253" i="1"/>
  <c r="EL240" i="1"/>
  <c r="EL237" i="1"/>
  <c r="EL225" i="1"/>
  <c r="EL231" i="1" s="1"/>
  <c r="EL187" i="1"/>
  <c r="EL186" i="1"/>
  <c r="EL183" i="1"/>
  <c r="EL181" i="1"/>
  <c r="EL178" i="1"/>
  <c r="EL176" i="1"/>
  <c r="EL175" i="1"/>
  <c r="EL172" i="1"/>
  <c r="EL170" i="1"/>
  <c r="EL169" i="1"/>
  <c r="EL340" i="36" s="1"/>
  <c r="EL167" i="1"/>
  <c r="EL166" i="1"/>
  <c r="EL162" i="1"/>
  <c r="EL160" i="1"/>
  <c r="EL159" i="1"/>
  <c r="EL158" i="1"/>
  <c r="EL157" i="1"/>
  <c r="EL136" i="1"/>
  <c r="EL133" i="1"/>
  <c r="EL126" i="1"/>
  <c r="EL128" i="1" s="1"/>
  <c r="EL98" i="1"/>
  <c r="EL97" i="1"/>
  <c r="EL90" i="1"/>
  <c r="EL88" i="1"/>
  <c r="EL87" i="1"/>
  <c r="EL86" i="1"/>
  <c r="EL85" i="1"/>
  <c r="EL84" i="1"/>
  <c r="EL83" i="1"/>
  <c r="K3114" i="3"/>
  <c r="EM561" i="2" l="1"/>
  <c r="E1158" i="3"/>
  <c r="E1168" i="3" s="1"/>
  <c r="ER207" i="2"/>
  <c r="EL57" i="35"/>
  <c r="EL343" i="2"/>
  <c r="EQ351" i="2" s="1"/>
  <c r="EL343" i="36"/>
  <c r="EV50" i="36"/>
  <c r="EL469" i="36"/>
  <c r="EL48" i="36"/>
  <c r="EL17" i="35" s="1"/>
  <c r="EL11" i="36"/>
  <c r="EL283" i="2"/>
  <c r="EQ284" i="2" s="1"/>
  <c r="EL283" i="36"/>
  <c r="FH236" i="36"/>
  <c r="FH239" i="36"/>
  <c r="FH237" i="36"/>
  <c r="FC239" i="36"/>
  <c r="FC240" i="36" s="1"/>
  <c r="FC237" i="36"/>
  <c r="FC238" i="36" s="1"/>
  <c r="FC236" i="36"/>
  <c r="EN248" i="1"/>
  <c r="EL103" i="35"/>
  <c r="EX245" i="36"/>
  <c r="EX246" i="36" s="1"/>
  <c r="EX244" i="36"/>
  <c r="EX247" i="36"/>
  <c r="EX248" i="36" s="1"/>
  <c r="FC226" i="36"/>
  <c r="FD225" i="36"/>
  <c r="EL280" i="36"/>
  <c r="EK294" i="36"/>
  <c r="EK284" i="36"/>
  <c r="EK285" i="36"/>
  <c r="EK288" i="36"/>
  <c r="EP284" i="36"/>
  <c r="EV474" i="36"/>
  <c r="EL28" i="2"/>
  <c r="EQ35" i="2" s="1"/>
  <c r="EL28" i="36"/>
  <c r="EL300" i="1"/>
  <c r="EL302" i="1" s="1"/>
  <c r="EL107" i="35"/>
  <c r="FA22" i="36"/>
  <c r="FC280" i="36"/>
  <c r="EY282" i="36"/>
  <c r="EY283" i="36" s="1"/>
  <c r="EY316" i="36" s="1"/>
  <c r="EY291" i="36"/>
  <c r="EW22" i="36"/>
  <c r="FH228" i="36"/>
  <c r="EL202" i="2"/>
  <c r="EL202" i="36"/>
  <c r="EL57" i="2"/>
  <c r="EL57" i="36"/>
  <c r="EL109" i="4"/>
  <c r="EL109" i="35"/>
  <c r="EK280" i="36"/>
  <c r="EK281" i="36" s="1"/>
  <c r="EJ294" i="36"/>
  <c r="EJ284" i="36"/>
  <c r="EJ288" i="36"/>
  <c r="EO284" i="36"/>
  <c r="EW339" i="36"/>
  <c r="EX317" i="36"/>
  <c r="FE22" i="36"/>
  <c r="EL205" i="2"/>
  <c r="EQ213" i="2" s="1"/>
  <c r="EL205" i="36"/>
  <c r="EL69" i="36"/>
  <c r="EL59" i="36"/>
  <c r="EX295" i="36"/>
  <c r="EX299" i="36"/>
  <c r="EX425" i="36" s="1"/>
  <c r="EX453" i="36"/>
  <c r="EX566" i="36" s="1"/>
  <c r="EW566" i="36"/>
  <c r="EW455" i="36"/>
  <c r="EX455" i="36" s="1"/>
  <c r="FG239" i="36"/>
  <c r="FG240" i="36" s="1"/>
  <c r="FG237" i="36"/>
  <c r="FG238" i="36" s="1"/>
  <c r="FG236" i="36"/>
  <c r="FG243" i="36"/>
  <c r="FH243" i="36" s="1"/>
  <c r="FF247" i="36"/>
  <c r="FF248" i="36" s="1"/>
  <c r="FF245" i="36"/>
  <c r="FF246" i="36" s="1"/>
  <c r="FF18" i="36"/>
  <c r="FF244" i="36"/>
  <c r="FH226" i="36"/>
  <c r="FI224" i="36"/>
  <c r="EL348" i="36"/>
  <c r="EL339" i="36"/>
  <c r="EQ348" i="36"/>
  <c r="EL27" i="2"/>
  <c r="EQ34" i="2" s="1"/>
  <c r="EL27" i="36"/>
  <c r="EH294" i="36"/>
  <c r="EH284" i="36"/>
  <c r="EI283" i="36"/>
  <c r="EJ285" i="36" s="1"/>
  <c r="EH285" i="36"/>
  <c r="EI285" i="36" s="1"/>
  <c r="EH316" i="36"/>
  <c r="EH288" i="36"/>
  <c r="EH281" i="36"/>
  <c r="EM284" i="36"/>
  <c r="EX18" i="36"/>
  <c r="FC243" i="36"/>
  <c r="FB244" i="36"/>
  <c r="FB18" i="36"/>
  <c r="FB245" i="36"/>
  <c r="FB246" i="36" s="1"/>
  <c r="FB247" i="36"/>
  <c r="FB248" i="36" s="1"/>
  <c r="ER193" i="2"/>
  <c r="G2478" i="3"/>
  <c r="G2480" i="3" s="1"/>
  <c r="G2483" i="3" s="1"/>
  <c r="G2490" i="3"/>
  <c r="G2492" i="3" s="1"/>
  <c r="G2495" i="3" s="1"/>
  <c r="EM461" i="2"/>
  <c r="ER471" i="2" s="1"/>
  <c r="EM201" i="2"/>
  <c r="ER209" i="2" s="1"/>
  <c r="EM440" i="2"/>
  <c r="EM445" i="2" s="1"/>
  <c r="EM395" i="2"/>
  <c r="EM400" i="2" s="1"/>
  <c r="EM169" i="2"/>
  <c r="EM204" i="2"/>
  <c r="EM465" i="2"/>
  <c r="EM339" i="2"/>
  <c r="ER347" i="2" s="1"/>
  <c r="EL144" i="1"/>
  <c r="EL147" i="1"/>
  <c r="EL57" i="4"/>
  <c r="EL103" i="4"/>
  <c r="EL14" i="32" s="1"/>
  <c r="EL256" i="1"/>
  <c r="EL107" i="4"/>
  <c r="EL216" i="1"/>
  <c r="EL220" i="1" s="1"/>
  <c r="EL190" i="4" s="1"/>
  <c r="EL191" i="4" s="1"/>
  <c r="EL171" i="4"/>
  <c r="EL197" i="4" s="1"/>
  <c r="EL171" i="1"/>
  <c r="EL340" i="2"/>
  <c r="EQ348" i="2" s="1"/>
  <c r="EL69" i="2"/>
  <c r="EQ78" i="2" s="1"/>
  <c r="EL59" i="2"/>
  <c r="EL48" i="2"/>
  <c r="EL469" i="2"/>
  <c r="EQ479" i="2" s="1"/>
  <c r="EL11" i="2"/>
  <c r="EL278" i="1"/>
  <c r="EL279" i="1" s="1"/>
  <c r="EL138" i="1"/>
  <c r="EL168" i="1"/>
  <c r="EL206" i="36" s="1"/>
  <c r="EL161" i="1"/>
  <c r="EL163" i="1" s="1"/>
  <c r="EL57" i="1"/>
  <c r="EL59" i="1" s="1"/>
  <c r="EL69" i="35" s="1"/>
  <c r="EL74" i="35" s="1"/>
  <c r="EL177" i="1"/>
  <c r="EL179" i="1" s="1"/>
  <c r="B2404" i="3" l="1"/>
  <c r="EQ210" i="2"/>
  <c r="B2398" i="3"/>
  <c r="EK418" i="36"/>
  <c r="EK292" i="36"/>
  <c r="EK297" i="36" s="1"/>
  <c r="EK423" i="36" s="1"/>
  <c r="EK286" i="36"/>
  <c r="EL152" i="35"/>
  <c r="EL162" i="35"/>
  <c r="EL76" i="35"/>
  <c r="EL79" i="35" s="1"/>
  <c r="EL77" i="35"/>
  <c r="EL165" i="35" s="1"/>
  <c r="EL294" i="2"/>
  <c r="EM296" i="2" s="1"/>
  <c r="EI294" i="36"/>
  <c r="EH295" i="36"/>
  <c r="EH296" i="36"/>
  <c r="EI296" i="36" s="1"/>
  <c r="EH317" i="36"/>
  <c r="EH299" i="36"/>
  <c r="EH425" i="36" s="1"/>
  <c r="EM295" i="36"/>
  <c r="EW340" i="36"/>
  <c r="EW463" i="36"/>
  <c r="EW42" i="36"/>
  <c r="EW347" i="36"/>
  <c r="EX339" i="36"/>
  <c r="EL130" i="35"/>
  <c r="EL110" i="35"/>
  <c r="EL153" i="35"/>
  <c r="FJ224" i="36"/>
  <c r="FI222" i="36"/>
  <c r="EL45" i="35"/>
  <c r="EL78" i="36"/>
  <c r="EQ78" i="36"/>
  <c r="EY453" i="36"/>
  <c r="EY319" i="36"/>
  <c r="EI281" i="36"/>
  <c r="EI286" i="36" s="1"/>
  <c r="EH286" i="36"/>
  <c r="EH418" i="36"/>
  <c r="EH292" i="36"/>
  <c r="EL34" i="36"/>
  <c r="EQ34" i="36"/>
  <c r="FF22" i="36"/>
  <c r="EL213" i="36"/>
  <c r="EL634" i="36"/>
  <c r="EL204" i="36"/>
  <c r="EQ213" i="36"/>
  <c r="FC291" i="36"/>
  <c r="EL35" i="36"/>
  <c r="EQ35" i="36"/>
  <c r="FH238" i="36"/>
  <c r="EL479" i="36"/>
  <c r="EQ479" i="36"/>
  <c r="EL344" i="2"/>
  <c r="EQ352" i="2" s="1"/>
  <c r="EL344" i="36"/>
  <c r="EM285" i="2"/>
  <c r="FC18" i="36"/>
  <c r="FB22" i="36"/>
  <c r="EY288" i="36"/>
  <c r="EY284" i="36"/>
  <c r="EY285" i="36"/>
  <c r="EZ280" i="36"/>
  <c r="EY294" i="36"/>
  <c r="EY317" i="36" s="1"/>
  <c r="FH240" i="36"/>
  <c r="EL9" i="36"/>
  <c r="EL31" i="36" s="1"/>
  <c r="EL243" i="36"/>
  <c r="EL252" i="36"/>
  <c r="EL563" i="36"/>
  <c r="EL545" i="36"/>
  <c r="EQ214" i="36"/>
  <c r="EM280" i="2"/>
  <c r="EM316" i="2" s="1"/>
  <c r="EI316" i="36"/>
  <c r="EH453" i="36"/>
  <c r="EH319" i="36"/>
  <c r="EL210" i="36"/>
  <c r="EL192" i="36"/>
  <c r="EL201" i="36"/>
  <c r="EQ210" i="36"/>
  <c r="EY419" i="36"/>
  <c r="EY293" i="36"/>
  <c r="EY298" i="36" s="1"/>
  <c r="EY424" i="36" s="1"/>
  <c r="EK296" i="36"/>
  <c r="EK295" i="36"/>
  <c r="EK299" i="36"/>
  <c r="EK425" i="36" s="1"/>
  <c r="EP295" i="36"/>
  <c r="EK316" i="36"/>
  <c r="EK291" i="36"/>
  <c r="EK287" i="36"/>
  <c r="D1706" i="3"/>
  <c r="FC244" i="36"/>
  <c r="FC245" i="36"/>
  <c r="FC246" i="36" s="1"/>
  <c r="FC247" i="36"/>
  <c r="FC248" i="36" s="1"/>
  <c r="EL347" i="36"/>
  <c r="EQ347" i="36"/>
  <c r="EL316" i="36"/>
  <c r="EL291" i="36"/>
  <c r="EL287" i="36"/>
  <c r="EL351" i="36"/>
  <c r="EL342" i="36"/>
  <c r="EQ351" i="36"/>
  <c r="FH245" i="36"/>
  <c r="FH244" i="36"/>
  <c r="FH247" i="36"/>
  <c r="EX22" i="36"/>
  <c r="EJ280" i="36"/>
  <c r="EI284" i="36"/>
  <c r="EI288" i="36"/>
  <c r="EN284" i="36"/>
  <c r="FG245" i="36"/>
  <c r="FG246" i="36" s="1"/>
  <c r="FG247" i="36"/>
  <c r="FG248" i="36" s="1"/>
  <c r="FG18" i="36"/>
  <c r="FH18" i="36" s="1"/>
  <c r="FG244" i="36"/>
  <c r="EJ295" i="36"/>
  <c r="EJ299" i="36"/>
  <c r="EJ425" i="36" s="1"/>
  <c r="EO295" i="36"/>
  <c r="EM280" i="36"/>
  <c r="EL294" i="36"/>
  <c r="EL284" i="36"/>
  <c r="EL285" i="36"/>
  <c r="EL288" i="36"/>
  <c r="EL281" i="36"/>
  <c r="EQ284" i="36"/>
  <c r="EM285" i="36"/>
  <c r="EL306" i="1"/>
  <c r="D1712" i="3" s="1"/>
  <c r="D1708" i="3"/>
  <c r="G2503" i="3"/>
  <c r="EM463" i="2"/>
  <c r="EM190" i="2"/>
  <c r="ER191" i="2" s="1"/>
  <c r="EL154" i="1"/>
  <c r="EL153" i="1" s="1"/>
  <c r="EL232" i="1"/>
  <c r="EM466" i="2"/>
  <c r="EM467" i="2" s="1"/>
  <c r="EM45" i="2"/>
  <c r="EM14" i="4" s="1"/>
  <c r="EL182" i="1"/>
  <c r="EL149" i="1"/>
  <c r="EL17" i="4"/>
  <c r="EL66" i="1"/>
  <c r="EL68" i="1" s="1"/>
  <c r="EL70" i="1" s="1"/>
  <c r="EL72" i="1" s="1"/>
  <c r="EL69" i="4"/>
  <c r="EL74" i="4" s="1"/>
  <c r="EL173" i="1"/>
  <c r="EL189" i="1" s="1"/>
  <c r="EL188" i="1" s="1"/>
  <c r="EL206" i="2"/>
  <c r="EQ214" i="2" s="1"/>
  <c r="EL176" i="4"/>
  <c r="EL180" i="4" s="1"/>
  <c r="EL192" i="4" s="1"/>
  <c r="EL130" i="4"/>
  <c r="EL110" i="4"/>
  <c r="EL153" i="4"/>
  <c r="EL45" i="4"/>
  <c r="EL380" i="2" l="1"/>
  <c r="EQ381" i="2" s="1"/>
  <c r="EL389" i="2"/>
  <c r="EN285" i="36"/>
  <c r="FH248" i="36"/>
  <c r="EY339" i="36"/>
  <c r="EL209" i="36"/>
  <c r="EL190" i="36"/>
  <c r="EL463" i="36"/>
  <c r="EL42" i="36"/>
  <c r="EQ209" i="36"/>
  <c r="EL29" i="2"/>
  <c r="EL29" i="36"/>
  <c r="EM291" i="2"/>
  <c r="EM317" i="2" s="1"/>
  <c r="EM327" i="2" s="1"/>
  <c r="ER328" i="2" s="1"/>
  <c r="FG22" i="36"/>
  <c r="EL193" i="36"/>
  <c r="EQ193" i="36"/>
  <c r="EZ282" i="36"/>
  <c r="EZ283" i="36" s="1"/>
  <c r="EZ291" i="36"/>
  <c r="EL10" i="36"/>
  <c r="EL12" i="36" s="1"/>
  <c r="EL389" i="36"/>
  <c r="EL380" i="36"/>
  <c r="EQ352" i="36"/>
  <c r="FK224" i="36"/>
  <c r="FJ222" i="36"/>
  <c r="EW348" i="36"/>
  <c r="EX340" i="36"/>
  <c r="EX348" i="36" s="1"/>
  <c r="EL296" i="36"/>
  <c r="EL295" i="36"/>
  <c r="EL299" i="36"/>
  <c r="EL425" i="36" s="1"/>
  <c r="EQ295" i="36"/>
  <c r="EM296" i="36"/>
  <c r="EL81" i="35"/>
  <c r="EL96" i="35"/>
  <c r="EL350" i="36"/>
  <c r="EQ350" i="36"/>
  <c r="EL317" i="36"/>
  <c r="EL327" i="36" s="1"/>
  <c r="EL298" i="36"/>
  <c r="EL424" i="36" s="1"/>
  <c r="FI223" i="36"/>
  <c r="FI227" i="36"/>
  <c r="FI228" i="36" s="1"/>
  <c r="FI235" i="36"/>
  <c r="EL68" i="36"/>
  <c r="EL58" i="36"/>
  <c r="EL60" i="36" s="1"/>
  <c r="EL62" i="36" s="1"/>
  <c r="EL453" i="36"/>
  <c r="EL319" i="36"/>
  <c r="EH367" i="36"/>
  <c r="EI319" i="36"/>
  <c r="EY455" i="36"/>
  <c r="EY566" i="36"/>
  <c r="EY574" i="36"/>
  <c r="EH327" i="36"/>
  <c r="EI317" i="36"/>
  <c r="EI327" i="36" s="1"/>
  <c r="EI328" i="36" s="1"/>
  <c r="EL154" i="35"/>
  <c r="EW464" i="36"/>
  <c r="EW473" i="36"/>
  <c r="EX463" i="36"/>
  <c r="EX473" i="36" s="1"/>
  <c r="EQ295" i="2"/>
  <c r="EH566" i="36"/>
  <c r="EH455" i="36"/>
  <c r="EI455" i="36" s="1"/>
  <c r="EI453" i="36"/>
  <c r="EH574" i="36"/>
  <c r="EL18" i="36"/>
  <c r="EL249" i="36"/>
  <c r="EL247" i="36"/>
  <c r="EL245" i="36"/>
  <c r="EQ244" i="36"/>
  <c r="EL235" i="36"/>
  <c r="EL466" i="36"/>
  <c r="EL212" i="36"/>
  <c r="EL45" i="36"/>
  <c r="EQ212" i="36"/>
  <c r="EX347" i="36"/>
  <c r="EX327" i="36"/>
  <c r="EY296" i="36"/>
  <c r="EY299" i="36"/>
  <c r="EY425" i="36" s="1"/>
  <c r="EY295" i="36"/>
  <c r="EM291" i="36"/>
  <c r="EM316" i="36"/>
  <c r="EM287" i="36"/>
  <c r="EM281" i="36"/>
  <c r="EL286" i="36"/>
  <c r="EL292" i="36"/>
  <c r="EL297" i="36" s="1"/>
  <c r="EL423" i="36" s="1"/>
  <c r="EL418" i="36"/>
  <c r="FH246" i="36"/>
  <c r="EK317" i="36"/>
  <c r="EK298" i="36"/>
  <c r="EK424" i="36" s="1"/>
  <c r="EQ13" i="36"/>
  <c r="EL652" i="36"/>
  <c r="EL644" i="36"/>
  <c r="EL611" i="36"/>
  <c r="EL612" i="36" s="1"/>
  <c r="EH297" i="36"/>
  <c r="EH423" i="36" s="1"/>
  <c r="EI292" i="36"/>
  <c r="EI297" i="36" s="1"/>
  <c r="EI423" i="36" s="1"/>
  <c r="FH22" i="36"/>
  <c r="EJ291" i="36"/>
  <c r="EJ316" i="36"/>
  <c r="EN280" i="36"/>
  <c r="EJ287" i="36"/>
  <c r="EN287" i="36"/>
  <c r="EJ281" i="36"/>
  <c r="EK453" i="36"/>
  <c r="EK319" i="36"/>
  <c r="FC22" i="36"/>
  <c r="EI418" i="36"/>
  <c r="EH420" i="36"/>
  <c r="EW43" i="36"/>
  <c r="EW11" i="35"/>
  <c r="EX42" i="36"/>
  <c r="EJ296" i="36"/>
  <c r="EI295" i="36"/>
  <c r="EI299" i="36"/>
  <c r="EI425" i="36" s="1"/>
  <c r="EN295" i="36"/>
  <c r="EM464" i="2"/>
  <c r="ER474" i="2" s="1"/>
  <c r="ER473" i="2"/>
  <c r="EM453" i="2"/>
  <c r="EM319" i="2"/>
  <c r="EL68" i="2"/>
  <c r="EL58" i="2"/>
  <c r="EL60" i="2" s="1"/>
  <c r="EL62" i="2" s="1"/>
  <c r="EL184" i="1"/>
  <c r="EO129" i="10"/>
  <c r="EL198" i="4"/>
  <c r="EL16" i="32" s="1"/>
  <c r="EM17" i="32" s="1"/>
  <c r="EL71" i="1"/>
  <c r="EL81" i="1"/>
  <c r="EL89" i="1" s="1"/>
  <c r="EL91" i="1" s="1"/>
  <c r="EL99" i="1" s="1"/>
  <c r="EL539" i="1" s="1"/>
  <c r="EL540" i="1" s="1"/>
  <c r="EL236" i="1"/>
  <c r="EL251" i="1" s="1"/>
  <c r="EL252" i="2"/>
  <c r="EL243" i="2"/>
  <c r="EQ244" i="2" s="1"/>
  <c r="EL76" i="4"/>
  <c r="EL79" i="4" s="1"/>
  <c r="EL1033" i="10" s="1"/>
  <c r="EL162" i="4"/>
  <c r="EL152" i="4"/>
  <c r="EL154" i="4" s="1"/>
  <c r="EL77" i="4"/>
  <c r="EL165" i="4" s="1"/>
  <c r="EL384" i="2" l="1"/>
  <c r="EQ385" i="2" s="1"/>
  <c r="EL386" i="2"/>
  <c r="EN296" i="36"/>
  <c r="EI574" i="36"/>
  <c r="EI566" i="36"/>
  <c r="EL455" i="36"/>
  <c r="EL574" i="36"/>
  <c r="EL566" i="36"/>
  <c r="EJ319" i="36"/>
  <c r="EJ453" i="36"/>
  <c r="EN316" i="36"/>
  <c r="EN319" i="36" s="1"/>
  <c r="EL650" i="36"/>
  <c r="EL661" i="36" s="1"/>
  <c r="EL24" i="35" s="1"/>
  <c r="EL649" i="36"/>
  <c r="EL648" i="36"/>
  <c r="EL659" i="36" s="1"/>
  <c r="EL651" i="36"/>
  <c r="EL662" i="36" s="1"/>
  <c r="EL25" i="35" s="1"/>
  <c r="EH627" i="36"/>
  <c r="EH328" i="36"/>
  <c r="EL63" i="36"/>
  <c r="EQ64" i="36"/>
  <c r="FK222" i="36"/>
  <c r="FL224" i="36"/>
  <c r="EZ419" i="36"/>
  <c r="EZ293" i="36"/>
  <c r="EZ298" i="36" s="1"/>
  <c r="EZ424" i="36" s="1"/>
  <c r="EJ317" i="36"/>
  <c r="EN291" i="36"/>
  <c r="EJ298" i="36"/>
  <c r="EJ424" i="36" s="1"/>
  <c r="EN298" i="36"/>
  <c r="EN424" i="36" s="1"/>
  <c r="EX627" i="36"/>
  <c r="EX628" i="36" s="1"/>
  <c r="EX328" i="36"/>
  <c r="EQ246" i="36"/>
  <c r="EL70" i="36"/>
  <c r="EL44" i="35"/>
  <c r="EL46" i="35" s="1"/>
  <c r="EL76" i="36"/>
  <c r="EL11" i="35"/>
  <c r="EL12" i="35" s="1"/>
  <c r="EL43" i="36"/>
  <c r="EM286" i="36"/>
  <c r="EM292" i="36"/>
  <c r="EM297" i="36" s="1"/>
  <c r="EM423" i="36" s="1"/>
  <c r="EM418" i="36"/>
  <c r="EQ248" i="36"/>
  <c r="FI239" i="36"/>
  <c r="FI240" i="36" s="1"/>
  <c r="FI237" i="36"/>
  <c r="FI238" i="36" s="1"/>
  <c r="FI236" i="36"/>
  <c r="EL19" i="36"/>
  <c r="EL384" i="36"/>
  <c r="EL386" i="36"/>
  <c r="EL382" i="36"/>
  <c r="EQ381" i="36"/>
  <c r="EL372" i="36"/>
  <c r="EL473" i="36"/>
  <c r="EL464" i="36"/>
  <c r="EQ473" i="36"/>
  <c r="EK574" i="36"/>
  <c r="EK566" i="36"/>
  <c r="EK455" i="36"/>
  <c r="EL576" i="36"/>
  <c r="EL570" i="36"/>
  <c r="EQ15" i="36"/>
  <c r="EL627" i="36"/>
  <c r="EL328" i="36"/>
  <c r="EQ328" i="36"/>
  <c r="EL626" i="36"/>
  <c r="EL191" i="36"/>
  <c r="EQ191" i="36"/>
  <c r="EL222" i="36"/>
  <c r="EL239" i="36"/>
  <c r="EL241" i="36"/>
  <c r="EL237" i="36"/>
  <c r="EQ236" i="36"/>
  <c r="FJ223" i="36"/>
  <c r="FJ227" i="36"/>
  <c r="FJ228" i="36" s="1"/>
  <c r="FJ235" i="36"/>
  <c r="EL105" i="4"/>
  <c r="EL129" i="4" s="1"/>
  <c r="EL132" i="4" s="1"/>
  <c r="EL105" i="35"/>
  <c r="EX11" i="35"/>
  <c r="EW12" i="35"/>
  <c r="EJ418" i="36"/>
  <c r="EJ292" i="36"/>
  <c r="EJ286" i="36"/>
  <c r="EN281" i="36"/>
  <c r="EN286" i="36" s="1"/>
  <c r="EM453" i="36"/>
  <c r="EM319" i="36"/>
  <c r="EL14" i="35"/>
  <c r="EL15" i="35" s="1"/>
  <c r="EL46" i="36"/>
  <c r="EZ316" i="36"/>
  <c r="EZ285" i="36"/>
  <c r="EZ284" i="36"/>
  <c r="EZ288" i="36"/>
  <c r="FA280" i="36"/>
  <c r="EZ294" i="36"/>
  <c r="EZ317" i="36" s="1"/>
  <c r="EW50" i="36"/>
  <c r="EX43" i="36"/>
  <c r="EX50" i="36" s="1"/>
  <c r="EM317" i="36"/>
  <c r="EM327" i="36" s="1"/>
  <c r="EM298" i="36"/>
  <c r="EM424" i="36" s="1"/>
  <c r="EQ22" i="36"/>
  <c r="EW474" i="36"/>
  <c r="EX464" i="36"/>
  <c r="EX474" i="36" s="1"/>
  <c r="EH368" i="36"/>
  <c r="EH505" i="36"/>
  <c r="EI367" i="36"/>
  <c r="EQ14" i="36"/>
  <c r="EL32" i="36"/>
  <c r="EY347" i="36"/>
  <c r="EY340" i="36"/>
  <c r="EY463" i="36"/>
  <c r="EY42" i="36"/>
  <c r="EH421" i="36"/>
  <c r="EI420" i="36"/>
  <c r="EH422" i="36"/>
  <c r="EI422" i="36" s="1"/>
  <c r="EL476" i="36"/>
  <c r="EL467" i="36"/>
  <c r="EQ476" i="36"/>
  <c r="EL158" i="35"/>
  <c r="EM468" i="2"/>
  <c r="EM470" i="2" s="1"/>
  <c r="EL63" i="2"/>
  <c r="EQ64" i="2"/>
  <c r="EM455" i="2"/>
  <c r="EM573" i="2"/>
  <c r="EL70" i="2"/>
  <c r="EQ80" i="2" s="1"/>
  <c r="EL44" i="4"/>
  <c r="EP129" i="10"/>
  <c r="EL284" i="1"/>
  <c r="EL268" i="1"/>
  <c r="EL81" i="4"/>
  <c r="EL96" i="4"/>
  <c r="EL538" i="1"/>
  <c r="EL249" i="2"/>
  <c r="EL158" i="4"/>
  <c r="EN418" i="36" l="1"/>
  <c r="EN317" i="36"/>
  <c r="EL104" i="4"/>
  <c r="EY11" i="35"/>
  <c r="EY43" i="36"/>
  <c r="EY473" i="36"/>
  <c r="EY464" i="36"/>
  <c r="EH507" i="36"/>
  <c r="EH508" i="36" s="1"/>
  <c r="EH506" i="36"/>
  <c r="EI505" i="36"/>
  <c r="EM627" i="36"/>
  <c r="EM628" i="36" s="1"/>
  <c r="EM328" i="36"/>
  <c r="ER328" i="36"/>
  <c r="EJ297" i="36"/>
  <c r="EJ423" i="36" s="1"/>
  <c r="EN292" i="36"/>
  <c r="EN297" i="36" s="1"/>
  <c r="EN423" i="36" s="1"/>
  <c r="EQ385" i="36"/>
  <c r="EN453" i="36"/>
  <c r="EJ574" i="36"/>
  <c r="EJ455" i="36"/>
  <c r="EJ566" i="36"/>
  <c r="EI368" i="36"/>
  <c r="EI369" i="36"/>
  <c r="EZ453" i="36"/>
  <c r="EZ319" i="36"/>
  <c r="EL474" i="36"/>
  <c r="EL468" i="36"/>
  <c r="EQ474" i="36"/>
  <c r="EQ23" i="36"/>
  <c r="EH628" i="36"/>
  <c r="EI627" i="36"/>
  <c r="EI628" i="36" s="1"/>
  <c r="EI629" i="36" s="1"/>
  <c r="EL51" i="36"/>
  <c r="EQ51" i="36"/>
  <c r="EX12" i="35"/>
  <c r="EQ238" i="36"/>
  <c r="EL378" i="36"/>
  <c r="EL376" i="36"/>
  <c r="EL374" i="36"/>
  <c r="EQ373" i="36"/>
  <c r="EL47" i="36"/>
  <c r="EL49" i="36" s="1"/>
  <c r="EL50" i="36"/>
  <c r="EQ50" i="36"/>
  <c r="EX629" i="36"/>
  <c r="EX633" i="36"/>
  <c r="FM224" i="36"/>
  <c r="FM222" i="36" s="1"/>
  <c r="FL222" i="36"/>
  <c r="EL663" i="36"/>
  <c r="EL22" i="35"/>
  <c r="EL26" i="35" s="1"/>
  <c r="EL28" i="35" s="1"/>
  <c r="EL71" i="36"/>
  <c r="EL74" i="36"/>
  <c r="EQ80" i="36"/>
  <c r="EL477" i="36"/>
  <c r="EQ477" i="36"/>
  <c r="EZ299" i="36"/>
  <c r="EZ425" i="36" s="1"/>
  <c r="EZ295" i="36"/>
  <c r="EZ296" i="36"/>
  <c r="EL129" i="35"/>
  <c r="EL132" i="35" s="1"/>
  <c r="EL134" i="35" s="1"/>
  <c r="EL122" i="35"/>
  <c r="EL16" i="35"/>
  <c r="EL18" i="35" s="1"/>
  <c r="FK223" i="36"/>
  <c r="FK227" i="36"/>
  <c r="FK228" i="36" s="1"/>
  <c r="FK235" i="36"/>
  <c r="EY348" i="36"/>
  <c r="EL291" i="1"/>
  <c r="EL293" i="1" s="1"/>
  <c r="EL294" i="1" s="1"/>
  <c r="EL136" i="35"/>
  <c r="EL143" i="35" s="1"/>
  <c r="EL145" i="35" s="1"/>
  <c r="EI421" i="36"/>
  <c r="EJ417" i="36"/>
  <c r="FA282" i="36"/>
  <c r="FA283" i="36" s="1"/>
  <c r="FA291" i="36"/>
  <c r="EM574" i="36"/>
  <c r="EM455" i="36"/>
  <c r="EM566" i="36"/>
  <c r="EL628" i="36"/>
  <c r="EL660" i="36" s="1"/>
  <c r="EL23" i="35" s="1"/>
  <c r="EQ383" i="36"/>
  <c r="EQ77" i="36"/>
  <c r="EL58" i="4"/>
  <c r="EL59" i="4" s="1"/>
  <c r="EL61" i="4" s="1"/>
  <c r="EQ63" i="4" s="1"/>
  <c r="EL58" i="35"/>
  <c r="EL59" i="35" s="1"/>
  <c r="EL61" i="35" s="1"/>
  <c r="EL224" i="36"/>
  <c r="EL227" i="36"/>
  <c r="EQ223" i="36"/>
  <c r="EZ339" i="36"/>
  <c r="EL104" i="35"/>
  <c r="FJ236" i="36"/>
  <c r="FJ239" i="36"/>
  <c r="FJ240" i="36" s="1"/>
  <c r="FJ237" i="36"/>
  <c r="FJ238" i="36" s="1"/>
  <c r="EQ240" i="36"/>
  <c r="EL134" i="4"/>
  <c r="EL1037" i="10"/>
  <c r="EM526" i="2"/>
  <c r="EQ129" i="10"/>
  <c r="ES11" i="2"/>
  <c r="EL136" i="4"/>
  <c r="EL143" i="4" s="1"/>
  <c r="EL145" i="4" s="1"/>
  <c r="FD96" i="2"/>
  <c r="H137" i="19"/>
  <c r="C143" i="19"/>
  <c r="C144" i="19" s="1"/>
  <c r="B143" i="19"/>
  <c r="B144" i="19" s="1"/>
  <c r="D142" i="19"/>
  <c r="D141" i="19"/>
  <c r="D138" i="19"/>
  <c r="D137" i="19"/>
  <c r="D136" i="19"/>
  <c r="E134" i="19"/>
  <c r="H134" i="19" s="1"/>
  <c r="C134" i="19"/>
  <c r="D134" i="19" s="1"/>
  <c r="EK536" i="1"/>
  <c r="B123" i="38" l="1"/>
  <c r="B438" i="38" s="1"/>
  <c r="C438" i="38" s="1"/>
  <c r="D438" i="38" s="1"/>
  <c r="E438" i="38" s="1"/>
  <c r="F438" i="38" s="1"/>
  <c r="G438" i="38" s="1"/>
  <c r="H438" i="38" s="1"/>
  <c r="I438" i="38" s="1"/>
  <c r="B2701" i="3"/>
  <c r="B2717" i="3" s="1"/>
  <c r="B70" i="37"/>
  <c r="EN574" i="36"/>
  <c r="EN566" i="36"/>
  <c r="EZ463" i="36"/>
  <c r="EZ347" i="36"/>
  <c r="EZ42" i="36"/>
  <c r="EZ340" i="36"/>
  <c r="EQ75" i="36"/>
  <c r="EQ377" i="36"/>
  <c r="EX643" i="36"/>
  <c r="FA316" i="36"/>
  <c r="FB280" i="36"/>
  <c r="FA284" i="36"/>
  <c r="FA285" i="36"/>
  <c r="FA288" i="36"/>
  <c r="FA294" i="36"/>
  <c r="FA317" i="36" s="1"/>
  <c r="EQ79" i="36"/>
  <c r="EL30" i="36"/>
  <c r="EH333" i="36"/>
  <c r="EH633" i="36"/>
  <c r="EH629" i="36"/>
  <c r="EH660" i="36"/>
  <c r="EZ455" i="36"/>
  <c r="EZ566" i="36"/>
  <c r="EZ574" i="36"/>
  <c r="EQ375" i="36"/>
  <c r="EQ228" i="36"/>
  <c r="FA419" i="36"/>
  <c r="FA293" i="36"/>
  <c r="FA298" i="36" s="1"/>
  <c r="FA424" i="36" s="1"/>
  <c r="EJ369" i="36"/>
  <c r="EI370" i="36"/>
  <c r="EQ226" i="36"/>
  <c r="EM225" i="36"/>
  <c r="EJ420" i="36"/>
  <c r="EN417" i="36"/>
  <c r="FK239" i="36"/>
  <c r="FK240" i="36" s="1"/>
  <c r="FK236" i="36"/>
  <c r="FK237" i="36"/>
  <c r="FK238" i="36" s="1"/>
  <c r="EQ29" i="35"/>
  <c r="EL29" i="35"/>
  <c r="EL52" i="36"/>
  <c r="EQ52" i="36"/>
  <c r="EY474" i="36"/>
  <c r="EI507" i="36"/>
  <c r="EI508" i="36" s="1"/>
  <c r="EI506" i="36"/>
  <c r="EL333" i="36"/>
  <c r="EL629" i="36"/>
  <c r="EL633" i="36"/>
  <c r="EL62" i="4"/>
  <c r="FL223" i="36"/>
  <c r="FL227" i="36"/>
  <c r="FL228" i="36" s="1"/>
  <c r="FL235" i="36"/>
  <c r="EL470" i="36"/>
  <c r="EL478" i="36"/>
  <c r="EQ478" i="36"/>
  <c r="EN455" i="36"/>
  <c r="EY50" i="36"/>
  <c r="EL48" i="35"/>
  <c r="EL19" i="35"/>
  <c r="EQ19" i="35"/>
  <c r="EL68" i="4"/>
  <c r="EL68" i="35"/>
  <c r="EL62" i="35"/>
  <c r="EQ63" i="35"/>
  <c r="EL147" i="4"/>
  <c r="EL149" i="4" s="1"/>
  <c r="EL147" i="35"/>
  <c r="EL149" i="35" s="1"/>
  <c r="FM223" i="36"/>
  <c r="FM227" i="36"/>
  <c r="FM235" i="36"/>
  <c r="EM629" i="36"/>
  <c r="EM333" i="36"/>
  <c r="EM633" i="36"/>
  <c r="EM660" i="36"/>
  <c r="EM23" i="35" s="1"/>
  <c r="EY12" i="35"/>
  <c r="ES29" i="2"/>
  <c r="B2751" i="3" s="1"/>
  <c r="ES469" i="2"/>
  <c r="EX479" i="2" s="1"/>
  <c r="ER129" i="10"/>
  <c r="ES17" i="4"/>
  <c r="ES48" i="2"/>
  <c r="D143" i="19"/>
  <c r="D144" i="19"/>
  <c r="J137" i="19"/>
  <c r="I137" i="19"/>
  <c r="C123" i="38" l="1"/>
  <c r="C227" i="38"/>
  <c r="D227" i="38" s="1"/>
  <c r="F227" i="38" s="1"/>
  <c r="EL526" i="36"/>
  <c r="EL480" i="36"/>
  <c r="EQ480" i="36"/>
  <c r="EL643" i="36"/>
  <c r="EL635" i="36"/>
  <c r="EL609" i="36"/>
  <c r="EL610" i="36" s="1"/>
  <c r="EJ421" i="36"/>
  <c r="EK417" i="36"/>
  <c r="EK420" i="36" s="1"/>
  <c r="EJ422" i="36"/>
  <c r="FA296" i="36"/>
  <c r="FA299" i="36"/>
  <c r="FA425" i="36" s="1"/>
  <c r="FA295" i="36"/>
  <c r="EZ348" i="36"/>
  <c r="FA339" i="36"/>
  <c r="EI660" i="36"/>
  <c r="EH23" i="35"/>
  <c r="EI23" i="35" s="1"/>
  <c r="EZ11" i="35"/>
  <c r="EZ43" i="36"/>
  <c r="EK369" i="36"/>
  <c r="EJ370" i="36"/>
  <c r="EJ367" i="36"/>
  <c r="EL205" i="35"/>
  <c r="EL49" i="35"/>
  <c r="EQ50" i="35"/>
  <c r="EP199" i="35"/>
  <c r="EP200" i="35" s="1"/>
  <c r="EP126" i="35" s="1"/>
  <c r="EH609" i="36"/>
  <c r="EH610" i="36" s="1"/>
  <c r="EH635" i="36"/>
  <c r="EH643" i="36"/>
  <c r="EZ473" i="36"/>
  <c r="EZ464" i="36"/>
  <c r="FL236" i="36"/>
  <c r="FL239" i="36"/>
  <c r="FL240" i="36" s="1"/>
  <c r="FL237" i="36"/>
  <c r="FL238" i="36" s="1"/>
  <c r="EM643" i="36"/>
  <c r="EM635" i="36"/>
  <c r="EM609" i="36"/>
  <c r="EL631" i="36"/>
  <c r="EL334" i="36"/>
  <c r="EQ334" i="36"/>
  <c r="EM631" i="36"/>
  <c r="EM334" i="36"/>
  <c r="ER334" i="36"/>
  <c r="FM237" i="36"/>
  <c r="FM236" i="36"/>
  <c r="FM239" i="36"/>
  <c r="EL146" i="35"/>
  <c r="EH631" i="36"/>
  <c r="EI631" i="36" s="1"/>
  <c r="EI333" i="36" s="1"/>
  <c r="EH334" i="36"/>
  <c r="FB282" i="36"/>
  <c r="FB283" i="36" s="1"/>
  <c r="FB316" i="36" s="1"/>
  <c r="FC316" i="36" s="1"/>
  <c r="FC319" i="36" s="1"/>
  <c r="FB291" i="36"/>
  <c r="FM228" i="36"/>
  <c r="EL146" i="4"/>
  <c r="EL33" i="36"/>
  <c r="EQ36" i="36"/>
  <c r="EL21" i="36"/>
  <c r="FA453" i="36"/>
  <c r="FA319" i="36"/>
  <c r="ES129" i="10"/>
  <c r="N42" i="30"/>
  <c r="E123" i="38" l="1"/>
  <c r="J438" i="38"/>
  <c r="D123" i="38"/>
  <c r="FM238" i="36"/>
  <c r="FM240" i="36"/>
  <c r="EM610" i="36"/>
  <c r="EL640" i="36"/>
  <c r="EL637" i="36"/>
  <c r="EL645" i="36" s="1"/>
  <c r="FA574" i="36"/>
  <c r="FA455" i="36"/>
  <c r="FA566" i="36"/>
  <c r="FB453" i="36"/>
  <c r="FB319" i="36"/>
  <c r="FB285" i="36"/>
  <c r="FC285" i="36" s="1"/>
  <c r="FC283" i="36"/>
  <c r="FB288" i="36"/>
  <c r="FB284" i="36"/>
  <c r="FB294" i="36"/>
  <c r="EZ12" i="35"/>
  <c r="EZ474" i="36"/>
  <c r="EJ368" i="36"/>
  <c r="EJ505" i="36"/>
  <c r="EM640" i="36"/>
  <c r="EM637" i="36"/>
  <c r="FB419" i="36"/>
  <c r="FC419" i="36" s="1"/>
  <c r="FB293" i="36"/>
  <c r="FC282" i="36"/>
  <c r="FC287" i="36" s="1"/>
  <c r="EH640" i="36"/>
  <c r="EH637" i="36"/>
  <c r="EH645" i="36" s="1"/>
  <c r="FA463" i="36"/>
  <c r="FA347" i="36"/>
  <c r="FA42" i="36"/>
  <c r="FA340" i="36"/>
  <c r="EL527" i="36"/>
  <c r="EQ527" i="36"/>
  <c r="EL20" i="36"/>
  <c r="EQ24" i="36"/>
  <c r="EK370" i="36"/>
  <c r="EK367" i="36"/>
  <c r="EL369" i="36"/>
  <c r="EK422" i="36"/>
  <c r="EL417" i="36"/>
  <c r="EL420" i="36" s="1"/>
  <c r="EK421" i="36"/>
  <c r="EZ50" i="36"/>
  <c r="Q42" i="30"/>
  <c r="P42" i="30"/>
  <c r="EK196" i="4"/>
  <c r="EK173" i="4"/>
  <c r="EK174" i="4"/>
  <c r="EK175" i="4"/>
  <c r="EK178" i="4"/>
  <c r="EK1031" i="10" s="1"/>
  <c r="EK179" i="4"/>
  <c r="EK182" i="4"/>
  <c r="EK183" i="4"/>
  <c r="EK184" i="4"/>
  <c r="EK187" i="4"/>
  <c r="EK188" i="4"/>
  <c r="EK189" i="4"/>
  <c r="EK166" i="4"/>
  <c r="EK13" i="32" s="1"/>
  <c r="EK137" i="4"/>
  <c r="EK138" i="4"/>
  <c r="EK139" i="4"/>
  <c r="EK141" i="4"/>
  <c r="EK142" i="4"/>
  <c r="EK144" i="4"/>
  <c r="EK98" i="4"/>
  <c r="EK100" i="4"/>
  <c r="EK101" i="4"/>
  <c r="EK102" i="4"/>
  <c r="EK108" i="4"/>
  <c r="EK112" i="4"/>
  <c r="EK113" i="4"/>
  <c r="EK114" i="4"/>
  <c r="EK115" i="4"/>
  <c r="EK116" i="4"/>
  <c r="EK117" i="4"/>
  <c r="EK27" i="4"/>
  <c r="EK32" i="4"/>
  <c r="EK36" i="4" s="1"/>
  <c r="EK33" i="4"/>
  <c r="EK34" i="4"/>
  <c r="EK35" i="4"/>
  <c r="EK37" i="4"/>
  <c r="EK39" i="4"/>
  <c r="EK53" i="4"/>
  <c r="EP54" i="4" s="1"/>
  <c r="EK65" i="4"/>
  <c r="EK97" i="4" s="1"/>
  <c r="EK66" i="4"/>
  <c r="EK99" i="4" s="1"/>
  <c r="EK71" i="4"/>
  <c r="EK72" i="4"/>
  <c r="EK73" i="4"/>
  <c r="EK75" i="4"/>
  <c r="EK78" i="4"/>
  <c r="EK80" i="4"/>
  <c r="EK148" i="4" s="1"/>
  <c r="EK572" i="2"/>
  <c r="EK587" i="2"/>
  <c r="EK483" i="2"/>
  <c r="EP484" i="2" s="1"/>
  <c r="EK490" i="2"/>
  <c r="EK495" i="2"/>
  <c r="EK431" i="2"/>
  <c r="EP432" i="2" s="1"/>
  <c r="EK433" i="2"/>
  <c r="EK435" i="2"/>
  <c r="EK446" i="2"/>
  <c r="EK388" i="2"/>
  <c r="EP390" i="2" s="1"/>
  <c r="EK323" i="2"/>
  <c r="EK325" i="2"/>
  <c r="EP326" i="2" s="1"/>
  <c r="EK260" i="2"/>
  <c r="EK264" i="2"/>
  <c r="EK271" i="2"/>
  <c r="EK273" i="2"/>
  <c r="EP306" i="2"/>
  <c r="EK251" i="2"/>
  <c r="EP253" i="2" s="1"/>
  <c r="EK186" i="2"/>
  <c r="EK188" i="2"/>
  <c r="EP189" i="2" s="1"/>
  <c r="EP195" i="2"/>
  <c r="EP139" i="2"/>
  <c r="EK126" i="2"/>
  <c r="EK128" i="2"/>
  <c r="EK115" i="2"/>
  <c r="EK119" i="2"/>
  <c r="C1097" i="3" s="1"/>
  <c r="C1101" i="3" s="1"/>
  <c r="EK99" i="2"/>
  <c r="EP101" i="2" s="1"/>
  <c r="EK87" i="2"/>
  <c r="EK54" i="2"/>
  <c r="EP55" i="2" s="1"/>
  <c r="EM645" i="36" l="1"/>
  <c r="FA43" i="36"/>
  <c r="FA11" i="35"/>
  <c r="FC453" i="36"/>
  <c r="FB455" i="36"/>
  <c r="EM417" i="36"/>
  <c r="EM420" i="36" s="1"/>
  <c r="EL421" i="36"/>
  <c r="EL422" i="36"/>
  <c r="FA464" i="36"/>
  <c r="FA473" i="36"/>
  <c r="EJ507" i="36"/>
  <c r="EJ508" i="36" s="1"/>
  <c r="EJ506" i="36"/>
  <c r="FB296" i="36"/>
  <c r="FC296" i="36" s="1"/>
  <c r="FB295" i="36"/>
  <c r="FC294" i="36"/>
  <c r="FB299" i="36"/>
  <c r="FB425" i="36" s="1"/>
  <c r="EM369" i="36"/>
  <c r="EL367" i="36"/>
  <c r="EL370" i="36"/>
  <c r="FA348" i="36"/>
  <c r="EK368" i="36"/>
  <c r="EK505" i="36"/>
  <c r="FC284" i="36"/>
  <c r="FD280" i="36"/>
  <c r="FC288" i="36"/>
  <c r="FC293" i="36"/>
  <c r="FC298" i="36" s="1"/>
  <c r="FC424" i="36" s="1"/>
  <c r="FB298" i="36"/>
  <c r="FB424" i="36" s="1"/>
  <c r="FB317" i="36"/>
  <c r="EK10" i="32"/>
  <c r="EK578" i="2"/>
  <c r="EP116" i="2"/>
  <c r="L115" i="29"/>
  <c r="EP187" i="2"/>
  <c r="EK207" i="4"/>
  <c r="EK209" i="4" s="1"/>
  <c r="EK1036" i="10"/>
  <c r="EL590" i="2"/>
  <c r="EL591" i="2" s="1"/>
  <c r="EP261" i="2"/>
  <c r="EK132" i="2"/>
  <c r="EP414" i="10"/>
  <c r="EP330" i="2"/>
  <c r="EP324" i="2"/>
  <c r="EL123" i="2"/>
  <c r="EL181" i="2" s="1"/>
  <c r="EL200" i="2" s="1"/>
  <c r="EQ208" i="2" s="1"/>
  <c r="EP127" i="2"/>
  <c r="EL268" i="2"/>
  <c r="EL315" i="2" s="1"/>
  <c r="EL338" i="2" s="1"/>
  <c r="EQ346" i="2" s="1"/>
  <c r="EP272" i="2"/>
  <c r="I2498" i="3"/>
  <c r="E2498" i="3"/>
  <c r="I2486" i="3"/>
  <c r="E2486" i="3"/>
  <c r="C2972" i="3"/>
  <c r="EK96" i="2"/>
  <c r="C2978" i="3"/>
  <c r="C2979" i="3" s="1"/>
  <c r="G3035" i="3"/>
  <c r="G3036" i="3" s="1"/>
  <c r="EL100" i="2"/>
  <c r="EL574" i="2"/>
  <c r="EL428" i="2"/>
  <c r="EL112" i="2"/>
  <c r="D1100" i="3" s="1"/>
  <c r="D1102" i="3" s="1"/>
  <c r="D1110" i="3" s="1"/>
  <c r="EL117" i="2"/>
  <c r="D1109" i="3" s="1"/>
  <c r="EL202" i="4"/>
  <c r="EL302" i="2"/>
  <c r="EL307" i="2"/>
  <c r="EL257" i="2"/>
  <c r="EL262" i="2"/>
  <c r="EL135" i="2"/>
  <c r="EL140" i="2"/>
  <c r="EK442" i="2"/>
  <c r="EP443" i="2" s="1"/>
  <c r="EK185" i="4"/>
  <c r="EK397" i="2"/>
  <c r="EK38" i="4"/>
  <c r="EK40" i="4" s="1"/>
  <c r="EP41" i="4" s="1"/>
  <c r="EK133" i="4"/>
  <c r="EK283" i="2"/>
  <c r="EP284" i="2" s="1"/>
  <c r="EK171" i="2"/>
  <c r="EK588" i="2"/>
  <c r="EK436" i="2"/>
  <c r="EJ461" i="1"/>
  <c r="EK461" i="1" s="1"/>
  <c r="EL461" i="1" s="1"/>
  <c r="EM461" i="1" s="1"/>
  <c r="D3074" i="3"/>
  <c r="D3073" i="3"/>
  <c r="EK140" i="4"/>
  <c r="EK265" i="1"/>
  <c r="EK118" i="35" s="1"/>
  <c r="EK255" i="1"/>
  <c r="EK249" i="1"/>
  <c r="EK103" i="35" s="1"/>
  <c r="EN103" i="35" s="1"/>
  <c r="EK240" i="1"/>
  <c r="EK157" i="1"/>
  <c r="EK158" i="1"/>
  <c r="EK159" i="1"/>
  <c r="EK160" i="1"/>
  <c r="EK162" i="1"/>
  <c r="EK172" i="1"/>
  <c r="EK170" i="1"/>
  <c r="EK169" i="1"/>
  <c r="EK340" i="36" s="1"/>
  <c r="EK167" i="1"/>
  <c r="EK166" i="1"/>
  <c r="EK175" i="1"/>
  <c r="EK187" i="1"/>
  <c r="EK186" i="1"/>
  <c r="EK183" i="1"/>
  <c r="EK181" i="1"/>
  <c r="EK178" i="1"/>
  <c r="EK176" i="1"/>
  <c r="EK142" i="1"/>
  <c r="EK94" i="1"/>
  <c r="EK51" i="1"/>
  <c r="EK537" i="1" s="1"/>
  <c r="EK412" i="1"/>
  <c r="EK407" i="1"/>
  <c r="EK392" i="1"/>
  <c r="EK377" i="1"/>
  <c r="EK372" i="1"/>
  <c r="EK367" i="1"/>
  <c r="EK363" i="1"/>
  <c r="EL364" i="1" s="1"/>
  <c r="EK341" i="1"/>
  <c r="EK253" i="1"/>
  <c r="EK107" i="35" s="1"/>
  <c r="EK237" i="1"/>
  <c r="EK225" i="1"/>
  <c r="EK231" i="1" s="1"/>
  <c r="EK136" i="1"/>
  <c r="EK133" i="1"/>
  <c r="EK126" i="1"/>
  <c r="EK128" i="1" s="1"/>
  <c r="EK98" i="1"/>
  <c r="EK97" i="1"/>
  <c r="EK90" i="1"/>
  <c r="EK88" i="1"/>
  <c r="EK87" i="1"/>
  <c r="EK86" i="1"/>
  <c r="EK85" i="1"/>
  <c r="EK84" i="1"/>
  <c r="EK83" i="1"/>
  <c r="D42" i="6"/>
  <c r="D33" i="6"/>
  <c r="D41" i="6" s="1"/>
  <c r="B3096" i="3"/>
  <c r="C3096" i="3" s="1"/>
  <c r="C3090" i="3"/>
  <c r="D1111" i="3" l="1"/>
  <c r="D1117" i="3" s="1"/>
  <c r="D1123" i="3" s="1"/>
  <c r="EP398" i="2"/>
  <c r="EK130" i="35"/>
  <c r="EK153" i="35"/>
  <c r="EK27" i="2"/>
  <c r="EK27" i="36"/>
  <c r="EK120" i="35"/>
  <c r="EN118" i="35"/>
  <c r="EK69" i="36"/>
  <c r="EK59" i="36"/>
  <c r="EK57" i="4"/>
  <c r="EK57" i="35"/>
  <c r="EK28" i="2"/>
  <c r="EP35" i="2" s="1"/>
  <c r="EK28" i="36"/>
  <c r="FH280" i="36"/>
  <c r="FD282" i="36"/>
  <c r="FD291" i="36"/>
  <c r="EL368" i="36"/>
  <c r="EL505" i="36"/>
  <c r="EL360" i="36"/>
  <c r="EM421" i="36"/>
  <c r="EN420" i="36"/>
  <c r="EM422" i="36"/>
  <c r="EN422" i="36" s="1"/>
  <c r="EM367" i="36"/>
  <c r="EN367" i="36" s="1"/>
  <c r="EM370" i="36"/>
  <c r="EK202" i="2"/>
  <c r="EK202" i="36"/>
  <c r="EK507" i="36"/>
  <c r="EK508" i="36" s="1"/>
  <c r="EK506" i="36"/>
  <c r="FC455" i="36"/>
  <c r="EK109" i="4"/>
  <c r="EK109" i="35"/>
  <c r="EK110" i="35" s="1"/>
  <c r="EK205" i="2"/>
  <c r="EK205" i="36"/>
  <c r="FA474" i="36"/>
  <c r="FA12" i="35"/>
  <c r="EK11" i="36"/>
  <c r="EK469" i="36"/>
  <c r="EK48" i="36"/>
  <c r="EK17" i="35" s="1"/>
  <c r="EK348" i="36"/>
  <c r="EK339" i="36"/>
  <c r="EP348" i="36"/>
  <c r="FB339" i="36"/>
  <c r="FC317" i="36"/>
  <c r="FC295" i="36"/>
  <c r="FC299" i="36"/>
  <c r="FC425" i="36" s="1"/>
  <c r="FA50" i="36"/>
  <c r="EK57" i="2"/>
  <c r="EK57" i="36"/>
  <c r="EK343" i="2"/>
  <c r="EP351" i="2" s="1"/>
  <c r="EK343" i="36"/>
  <c r="EK107" i="4"/>
  <c r="EK130" i="4" s="1"/>
  <c r="EK300" i="1"/>
  <c r="EK580" i="2"/>
  <c r="EK204" i="4"/>
  <c r="EK12" i="32" s="1"/>
  <c r="EQ357" i="10"/>
  <c r="EW357" i="10"/>
  <c r="EL430" i="2"/>
  <c r="EL429" i="2" s="1"/>
  <c r="EL434" i="2" s="1"/>
  <c r="B2216" i="3"/>
  <c r="EL203" i="4"/>
  <c r="EL211" i="4"/>
  <c r="EL212" i="4" s="1"/>
  <c r="EP172" i="2"/>
  <c r="EL405" i="2"/>
  <c r="EP405" i="10"/>
  <c r="EP360" i="10"/>
  <c r="EP408" i="10"/>
  <c r="EP357" i="10"/>
  <c r="EK118" i="4"/>
  <c r="EK120" i="4" s="1"/>
  <c r="EN265" i="1"/>
  <c r="EN266" i="1" s="1"/>
  <c r="EK103" i="4"/>
  <c r="EK14" i="32" s="1"/>
  <c r="EN249" i="1"/>
  <c r="EK144" i="1"/>
  <c r="EK147" i="1"/>
  <c r="C2974" i="3"/>
  <c r="C2982" i="3" s="1"/>
  <c r="EK402" i="2"/>
  <c r="EL399" i="2"/>
  <c r="EL394" i="2"/>
  <c r="EL137" i="2"/>
  <c r="EL439" i="2"/>
  <c r="EL182" i="2"/>
  <c r="EL203" i="2" s="1"/>
  <c r="EQ211" i="2" s="1"/>
  <c r="EK447" i="2"/>
  <c r="EL444" i="2"/>
  <c r="EL259" i="2"/>
  <c r="EL314" i="2"/>
  <c r="EL337" i="2" s="1"/>
  <c r="EQ345" i="2" s="1"/>
  <c r="EL462" i="2"/>
  <c r="EQ472" i="2" s="1"/>
  <c r="K3120" i="3"/>
  <c r="EL173" i="2"/>
  <c r="EL168" i="2"/>
  <c r="EL180" i="2"/>
  <c r="F2381" i="3" s="1"/>
  <c r="F2382" i="3" s="1"/>
  <c r="EL114" i="2"/>
  <c r="EL280" i="2"/>
  <c r="EL316" i="2" s="1"/>
  <c r="EL453" i="2" s="1"/>
  <c r="EL285" i="2"/>
  <c r="EL318" i="2"/>
  <c r="EL304" i="2"/>
  <c r="EL303" i="2" s="1"/>
  <c r="EK171" i="1"/>
  <c r="EK340" i="2"/>
  <c r="EP348" i="2" s="1"/>
  <c r="EK266" i="1"/>
  <c r="EK69" i="2"/>
  <c r="EP78" i="2" s="1"/>
  <c r="EK59" i="2"/>
  <c r="EK469" i="2"/>
  <c r="EP479" i="2" s="1"/>
  <c r="EK48" i="2"/>
  <c r="EK11" i="2"/>
  <c r="EK278" i="1"/>
  <c r="EK279" i="1" s="1"/>
  <c r="EK171" i="4"/>
  <c r="EK294" i="2"/>
  <c r="D3075" i="3"/>
  <c r="EK256" i="1"/>
  <c r="EK177" i="1"/>
  <c r="EK179" i="1" s="1"/>
  <c r="EK216" i="1"/>
  <c r="EK220" i="1" s="1"/>
  <c r="EK190" i="4" s="1"/>
  <c r="EK191" i="4" s="1"/>
  <c r="EK161" i="1"/>
  <c r="EK163" i="1" s="1"/>
  <c r="EK168" i="1"/>
  <c r="EK206" i="36" s="1"/>
  <c r="EK138" i="1"/>
  <c r="EK57" i="1"/>
  <c r="EK59" i="1" s="1"/>
  <c r="EK69" i="35" s="1"/>
  <c r="EK74" i="35" s="1"/>
  <c r="D43" i="6"/>
  <c r="D1125" i="3" l="1"/>
  <c r="D1133" i="3"/>
  <c r="D1135" i="3" s="1"/>
  <c r="EK584" i="2"/>
  <c r="EP210" i="2"/>
  <c r="B2543" i="3"/>
  <c r="B2553" i="3" s="1"/>
  <c r="B2554" i="3" s="1"/>
  <c r="B2557" i="3" s="1"/>
  <c r="B174" i="37"/>
  <c r="B176" i="37" s="1"/>
  <c r="EP213" i="2"/>
  <c r="B2452" i="3"/>
  <c r="B2454" i="3" s="1"/>
  <c r="B2456" i="3" s="1"/>
  <c r="B2444" i="3"/>
  <c r="B2446" i="3" s="1"/>
  <c r="EP34" i="2"/>
  <c r="EK351" i="36"/>
  <c r="EK342" i="36"/>
  <c r="EP351" i="36"/>
  <c r="EM368" i="36"/>
  <c r="EM505" i="36"/>
  <c r="EM360" i="36"/>
  <c r="FD283" i="36"/>
  <c r="FD419" i="36"/>
  <c r="FD293" i="36"/>
  <c r="EN369" i="36"/>
  <c r="EN368" i="36"/>
  <c r="FB340" i="36"/>
  <c r="FB347" i="36"/>
  <c r="FB42" i="36"/>
  <c r="FB463" i="36"/>
  <c r="FC339" i="36"/>
  <c r="EN120" i="35"/>
  <c r="FH291" i="36"/>
  <c r="EO417" i="36"/>
  <c r="EN421" i="36"/>
  <c r="EK35" i="36"/>
  <c r="EP35" i="36"/>
  <c r="EK34" i="36"/>
  <c r="EP34" i="36"/>
  <c r="EK45" i="35"/>
  <c r="EK78" i="36"/>
  <c r="EP78" i="36"/>
  <c r="EK327" i="36"/>
  <c r="EK347" i="36"/>
  <c r="EP347" i="36"/>
  <c r="EK344" i="2"/>
  <c r="EK389" i="2" s="1"/>
  <c r="EK344" i="36"/>
  <c r="EK210" i="36"/>
  <c r="EK192" i="36"/>
  <c r="EK201" i="36"/>
  <c r="EP210" i="36"/>
  <c r="EL364" i="36"/>
  <c r="EL362" i="36"/>
  <c r="EL498" i="36"/>
  <c r="EK634" i="36"/>
  <c r="EK213" i="36"/>
  <c r="EK204" i="36"/>
  <c r="EP213" i="36"/>
  <c r="EL506" i="36"/>
  <c r="EL507" i="36"/>
  <c r="EL508" i="36" s="1"/>
  <c r="EK9" i="36"/>
  <c r="EK31" i="36" s="1"/>
  <c r="EK243" i="36"/>
  <c r="EK252" i="36"/>
  <c r="EK563" i="36"/>
  <c r="EK545" i="36"/>
  <c r="EP214" i="36"/>
  <c r="EK77" i="35"/>
  <c r="EK165" i="35" s="1"/>
  <c r="EK162" i="35"/>
  <c r="EK76" i="35"/>
  <c r="EK79" i="35" s="1"/>
  <c r="EK152" i="35"/>
  <c r="EK154" i="35" s="1"/>
  <c r="EK479" i="36"/>
  <c r="EP479" i="36"/>
  <c r="EK110" i="4"/>
  <c r="C1706" i="3"/>
  <c r="EK302" i="1"/>
  <c r="EK176" i="4"/>
  <c r="EK180" i="4" s="1"/>
  <c r="EK192" i="4" s="1"/>
  <c r="EK197" i="4"/>
  <c r="EL454" i="2"/>
  <c r="B2217" i="3"/>
  <c r="B2218" i="3" s="1"/>
  <c r="EQ408" i="10"/>
  <c r="EL296" i="2"/>
  <c r="EP295" i="2"/>
  <c r="L3134" i="3"/>
  <c r="EK154" i="1"/>
  <c r="EK153" i="1" s="1"/>
  <c r="EL451" i="2"/>
  <c r="EM401" i="2"/>
  <c r="EK232" i="1"/>
  <c r="EK182" i="1"/>
  <c r="EK149" i="1"/>
  <c r="B3024" i="3"/>
  <c r="H3037" i="3"/>
  <c r="H3038" i="3" s="1"/>
  <c r="C3010" i="3"/>
  <c r="EL204" i="2"/>
  <c r="EQ212" i="2" s="1"/>
  <c r="EL170" i="2"/>
  <c r="EL175" i="2" s="1"/>
  <c r="EL153" i="2" s="1"/>
  <c r="EL164" i="2" s="1"/>
  <c r="EL113" i="2"/>
  <c r="EL136" i="2"/>
  <c r="EL441" i="2"/>
  <c r="EL319" i="2"/>
  <c r="EL341" i="2"/>
  <c r="EL183" i="2"/>
  <c r="EL247" i="2" s="1"/>
  <c r="EQ248" i="2" s="1"/>
  <c r="EL199" i="2"/>
  <c r="EL339" i="2"/>
  <c r="EQ347" i="2" s="1"/>
  <c r="EL291" i="2"/>
  <c r="EL317" i="2" s="1"/>
  <c r="EL396" i="2"/>
  <c r="EL258" i="2"/>
  <c r="EK17" i="4"/>
  <c r="EK45" i="4"/>
  <c r="EK173" i="1"/>
  <c r="EK189" i="1" s="1"/>
  <c r="EK188" i="1" s="1"/>
  <c r="EK206" i="2"/>
  <c r="EP214" i="2" s="1"/>
  <c r="EK66" i="1"/>
  <c r="EK68" i="1" s="1"/>
  <c r="EK70" i="1" s="1"/>
  <c r="EK236" i="1" s="1"/>
  <c r="EK251" i="1" s="1"/>
  <c r="EK105" i="35" s="1"/>
  <c r="EK129" i="35" s="1"/>
  <c r="EK132" i="35" s="1"/>
  <c r="EK134" i="35" s="1"/>
  <c r="EK69" i="4"/>
  <c r="EK74" i="4" s="1"/>
  <c r="EQ207" i="2" l="1"/>
  <c r="EL561" i="2"/>
  <c r="D1158" i="3"/>
  <c r="D1168" i="3" s="1"/>
  <c r="B2545" i="3"/>
  <c r="EP352" i="2"/>
  <c r="FB11" i="35"/>
  <c r="FB43" i="36"/>
  <c r="FD316" i="36"/>
  <c r="FE280" i="36"/>
  <c r="FD284" i="36"/>
  <c r="FD288" i="36"/>
  <c r="FD285" i="36"/>
  <c r="FD294" i="36"/>
  <c r="EM364" i="36"/>
  <c r="EM362" i="36"/>
  <c r="EM498" i="36"/>
  <c r="EK466" i="36"/>
  <c r="EK212" i="36"/>
  <c r="EK45" i="36"/>
  <c r="EP212" i="36"/>
  <c r="EK627" i="36"/>
  <c r="EK328" i="36"/>
  <c r="EP328" i="36"/>
  <c r="EK122" i="35"/>
  <c r="FB348" i="36"/>
  <c r="FC340" i="36"/>
  <c r="FC348" i="36" s="1"/>
  <c r="EN505" i="36"/>
  <c r="EM506" i="36"/>
  <c r="EM507" i="36"/>
  <c r="EM508" i="36" s="1"/>
  <c r="EK68" i="36"/>
  <c r="EK58" i="36"/>
  <c r="EK60" i="36" s="1"/>
  <c r="EK62" i="36" s="1"/>
  <c r="EK42" i="36"/>
  <c r="EK209" i="36"/>
  <c r="EK190" i="36"/>
  <c r="EK463" i="36"/>
  <c r="EP209" i="36"/>
  <c r="EK380" i="2"/>
  <c r="EP381" i="2" s="1"/>
  <c r="EK158" i="35"/>
  <c r="EK644" i="36"/>
  <c r="EK652" i="36"/>
  <c r="EK611" i="36"/>
  <c r="EK612" i="36" s="1"/>
  <c r="EK193" i="36"/>
  <c r="EP193" i="36"/>
  <c r="EO369" i="36"/>
  <c r="EN370" i="36"/>
  <c r="FB464" i="36"/>
  <c r="FB473" i="36"/>
  <c r="FC463" i="36"/>
  <c r="FC473" i="36" s="1"/>
  <c r="EK81" i="35"/>
  <c r="EK96" i="35"/>
  <c r="EK104" i="35" s="1"/>
  <c r="EK18" i="36"/>
  <c r="EK249" i="36"/>
  <c r="EK247" i="36"/>
  <c r="EK245" i="36"/>
  <c r="EK235" i="36"/>
  <c r="EP244" i="36"/>
  <c r="ES417" i="36"/>
  <c r="EO420" i="36"/>
  <c r="EK350" i="36"/>
  <c r="EP350" i="36"/>
  <c r="EK29" i="2"/>
  <c r="EK29" i="36"/>
  <c r="EP13" i="36"/>
  <c r="EL510" i="36"/>
  <c r="EL500" i="36"/>
  <c r="EL502" i="36"/>
  <c r="EK10" i="36"/>
  <c r="EK12" i="36" s="1"/>
  <c r="EK389" i="36"/>
  <c r="EK380" i="36"/>
  <c r="EP352" i="36"/>
  <c r="FC327" i="36"/>
  <c r="FC347" i="36"/>
  <c r="FC42" i="36"/>
  <c r="FC43" i="36" s="1"/>
  <c r="FD298" i="36"/>
  <c r="FD424" i="36" s="1"/>
  <c r="EK306" i="1"/>
  <c r="C1712" i="3" s="1"/>
  <c r="C1708" i="3"/>
  <c r="EL465" i="2"/>
  <c r="EQ475" i="2" s="1"/>
  <c r="EQ349" i="2"/>
  <c r="EL455" i="2"/>
  <c r="F2490" i="3"/>
  <c r="F2492" i="3" s="1"/>
  <c r="F2495" i="3" s="1"/>
  <c r="F2478" i="3"/>
  <c r="F2480" i="3" s="1"/>
  <c r="F2483" i="3" s="1"/>
  <c r="EL573" i="2"/>
  <c r="EK68" i="2"/>
  <c r="EK58" i="2"/>
  <c r="EK60" i="2" s="1"/>
  <c r="EK62" i="2" s="1"/>
  <c r="EK184" i="1"/>
  <c r="C3017" i="3"/>
  <c r="C3007" i="3"/>
  <c r="B3021" i="3"/>
  <c r="H3039" i="3"/>
  <c r="H3040" i="3" s="1"/>
  <c r="EL169" i="2"/>
  <c r="EL440" i="2"/>
  <c r="EL395" i="2"/>
  <c r="EL400" i="2" s="1"/>
  <c r="EL201" i="2"/>
  <c r="EQ209" i="2" s="1"/>
  <c r="EL461" i="2"/>
  <c r="EQ471" i="2" s="1"/>
  <c r="EL342" i="2"/>
  <c r="EQ350" i="2" s="1"/>
  <c r="EK71" i="1"/>
  <c r="EK81" i="1"/>
  <c r="EK89" i="1" s="1"/>
  <c r="EK91" i="1" s="1"/>
  <c r="EK99" i="1" s="1"/>
  <c r="EK284" i="1" s="1"/>
  <c r="EK72" i="1"/>
  <c r="EK252" i="2"/>
  <c r="EK243" i="2"/>
  <c r="EP244" i="2" s="1"/>
  <c r="EK76" i="4"/>
  <c r="EK79" i="4" s="1"/>
  <c r="EK1033" i="10" s="1"/>
  <c r="EK77" i="4"/>
  <c r="EK268" i="1"/>
  <c r="EK105" i="4"/>
  <c r="EK384" i="2" l="1"/>
  <c r="EP385" i="2" s="1"/>
  <c r="EK386" i="2"/>
  <c r="EL514" i="36"/>
  <c r="EL512" i="36"/>
  <c r="EL516" i="36"/>
  <c r="EL518" i="36"/>
  <c r="EP248" i="36"/>
  <c r="EK44" i="35"/>
  <c r="EK46" i="35" s="1"/>
  <c r="EK70" i="36"/>
  <c r="EK76" i="36"/>
  <c r="EM500" i="36"/>
  <c r="EM502" i="36"/>
  <c r="EM510" i="36"/>
  <c r="EO370" i="36"/>
  <c r="EP369" i="36"/>
  <c r="ET369" i="36"/>
  <c r="EO367" i="36"/>
  <c r="EK64" i="36"/>
  <c r="EK63" i="36"/>
  <c r="EP64" i="36"/>
  <c r="EK19" i="36"/>
  <c r="EK384" i="36"/>
  <c r="EK386" i="36"/>
  <c r="EK382" i="36"/>
  <c r="EK372" i="36"/>
  <c r="EP381" i="36"/>
  <c r="EP22" i="36"/>
  <c r="FE282" i="36"/>
  <c r="FE291" i="36"/>
  <c r="EP246" i="36"/>
  <c r="FB474" i="36"/>
  <c r="FC464" i="36"/>
  <c r="FC474" i="36" s="1"/>
  <c r="EN284" i="1"/>
  <c r="EK136" i="35"/>
  <c r="EK576" i="36"/>
  <c r="EK570" i="36"/>
  <c r="EP15" i="36"/>
  <c r="EO421" i="36"/>
  <c r="EP417" i="36"/>
  <c r="EP420" i="36" s="1"/>
  <c r="EO422" i="36"/>
  <c r="EK464" i="36"/>
  <c r="EK473" i="36"/>
  <c r="EP473" i="36"/>
  <c r="FD453" i="36"/>
  <c r="FD455" i="36" s="1"/>
  <c r="FD319" i="36"/>
  <c r="EK467" i="36"/>
  <c r="EK476" i="36"/>
  <c r="EP476" i="36"/>
  <c r="EP14" i="36"/>
  <c r="EK32" i="36"/>
  <c r="EK626" i="36"/>
  <c r="EK628" i="36" s="1"/>
  <c r="EK191" i="36"/>
  <c r="EP191" i="36"/>
  <c r="EN507" i="36"/>
  <c r="EN508" i="36" s="1"/>
  <c r="EN506" i="36"/>
  <c r="FB50" i="36"/>
  <c r="FC328" i="36"/>
  <c r="FC627" i="36"/>
  <c r="FC628" i="36" s="1"/>
  <c r="FC50" i="36"/>
  <c r="EK650" i="36"/>
  <c r="EK661" i="36" s="1"/>
  <c r="EK24" i="35" s="1"/>
  <c r="EK649" i="36"/>
  <c r="EK648" i="36"/>
  <c r="EK659" i="36" s="1"/>
  <c r="EK651" i="36"/>
  <c r="EK662" i="36" s="1"/>
  <c r="EK25" i="35" s="1"/>
  <c r="EK14" i="35"/>
  <c r="EK15" i="35" s="1"/>
  <c r="EK46" i="36"/>
  <c r="FB12" i="35"/>
  <c r="FC11" i="35"/>
  <c r="EK222" i="36"/>
  <c r="EK237" i="36"/>
  <c r="EK239" i="36"/>
  <c r="EK241" i="36"/>
  <c r="EP236" i="36"/>
  <c r="EK11" i="35"/>
  <c r="EK12" i="35" s="1"/>
  <c r="EK43" i="36"/>
  <c r="FD296" i="36"/>
  <c r="FD299" i="36"/>
  <c r="FD425" i="36" s="1"/>
  <c r="FD295" i="36"/>
  <c r="FD317" i="36"/>
  <c r="EL445" i="2"/>
  <c r="EK63" i="2"/>
  <c r="EP64" i="2"/>
  <c r="F2503" i="3"/>
  <c r="EK70" i="2"/>
  <c r="EP80" i="2" s="1"/>
  <c r="EK44" i="4"/>
  <c r="EL466" i="2"/>
  <c r="EQ476" i="2" s="1"/>
  <c r="EL463" i="2"/>
  <c r="EL45" i="2"/>
  <c r="EL14" i="4" s="1"/>
  <c r="EK539" i="1"/>
  <c r="EK540" i="1" s="1"/>
  <c r="EK538" i="1" s="1"/>
  <c r="EK81" i="4"/>
  <c r="EK96" i="4"/>
  <c r="EK104" i="4" s="1"/>
  <c r="EK291" i="1"/>
  <c r="EK293" i="1" s="1"/>
  <c r="EK294" i="1" s="1"/>
  <c r="EK136" i="4"/>
  <c r="EK143" i="4" s="1"/>
  <c r="EK145" i="4" s="1"/>
  <c r="EK249" i="2"/>
  <c r="EK129" i="4"/>
  <c r="EK132" i="4" s="1"/>
  <c r="EK122" i="4"/>
  <c r="EK16" i="35" l="1"/>
  <c r="EK18" i="35" s="1"/>
  <c r="EK48" i="35" s="1"/>
  <c r="EK47" i="36"/>
  <c r="EK49" i="36" s="1"/>
  <c r="EK50" i="36"/>
  <c r="EP50" i="36"/>
  <c r="EK58" i="4"/>
  <c r="EK59" i="4" s="1"/>
  <c r="EK61" i="4" s="1"/>
  <c r="EP63" i="4" s="1"/>
  <c r="EK58" i="35"/>
  <c r="EK59" i="35" s="1"/>
  <c r="EK61" i="35" s="1"/>
  <c r="EM516" i="36"/>
  <c r="EM512" i="36"/>
  <c r="EM514" i="36"/>
  <c r="EM518" i="36"/>
  <c r="EK224" i="36"/>
  <c r="EK227" i="36"/>
  <c r="EP223" i="36"/>
  <c r="EK51" i="36"/>
  <c r="EP51" i="36"/>
  <c r="EP23" i="36"/>
  <c r="FC12" i="35"/>
  <c r="EK477" i="36"/>
  <c r="EP477" i="36"/>
  <c r="EK468" i="36"/>
  <c r="EK474" i="36"/>
  <c r="EP474" i="36"/>
  <c r="EK378" i="36"/>
  <c r="EK376" i="36"/>
  <c r="EK374" i="36"/>
  <c r="EK360" i="36"/>
  <c r="EK498" i="36" s="1"/>
  <c r="EP373" i="36"/>
  <c r="EL522" i="36"/>
  <c r="EL528" i="36"/>
  <c r="EL520" i="36"/>
  <c r="EL524" i="36"/>
  <c r="FE419" i="36"/>
  <c r="FE293" i="36"/>
  <c r="FD339" i="36"/>
  <c r="EP240" i="36"/>
  <c r="FC633" i="36"/>
  <c r="FC629" i="36"/>
  <c r="EK629" i="36"/>
  <c r="EK333" i="36"/>
  <c r="EK633" i="36"/>
  <c r="EP383" i="36"/>
  <c r="EK22" i="35"/>
  <c r="EK26" i="35" s="1"/>
  <c r="EK28" i="35" s="1"/>
  <c r="EK663" i="36"/>
  <c r="EP421" i="36"/>
  <c r="EQ417" i="36"/>
  <c r="EQ420" i="36" s="1"/>
  <c r="EP422" i="36"/>
  <c r="EK143" i="35"/>
  <c r="EN136" i="35"/>
  <c r="EO368" i="36"/>
  <c r="EO505" i="36"/>
  <c r="EO360" i="36"/>
  <c r="EK77" i="36"/>
  <c r="EP77" i="36"/>
  <c r="EQ369" i="36"/>
  <c r="EP367" i="36"/>
  <c r="EU369" i="36"/>
  <c r="EP370" i="36"/>
  <c r="EK147" i="4"/>
  <c r="EK149" i="4" s="1"/>
  <c r="EK147" i="35"/>
  <c r="EK149" i="35" s="1"/>
  <c r="EP238" i="36"/>
  <c r="EK660" i="36"/>
  <c r="EK23" i="35" s="1"/>
  <c r="FE283" i="36"/>
  <c r="EP385" i="36"/>
  <c r="EY369" i="36"/>
  <c r="ET367" i="36"/>
  <c r="EK71" i="36"/>
  <c r="EK80" i="36"/>
  <c r="EK74" i="36"/>
  <c r="EP80" i="36"/>
  <c r="EK134" i="4"/>
  <c r="EK1037" i="10"/>
  <c r="EL464" i="2"/>
  <c r="EQ474" i="2" s="1"/>
  <c r="EQ473" i="2"/>
  <c r="EL467" i="2"/>
  <c r="EQ477" i="2" s="1"/>
  <c r="EP19" i="35" l="1"/>
  <c r="EK19" i="35"/>
  <c r="EK62" i="4"/>
  <c r="EK68" i="4"/>
  <c r="EK145" i="35"/>
  <c r="EN143" i="35"/>
  <c r="EK205" i="35"/>
  <c r="EK49" i="35"/>
  <c r="EK50" i="35"/>
  <c r="EP50" i="35"/>
  <c r="EO199" i="35"/>
  <c r="EO200" i="35" s="1"/>
  <c r="EO126" i="35" s="1"/>
  <c r="EK362" i="36"/>
  <c r="EK364" i="36"/>
  <c r="FC643" i="36"/>
  <c r="EP375" i="36"/>
  <c r="EK510" i="36"/>
  <c r="EK502" i="36"/>
  <c r="EK500" i="36"/>
  <c r="FE298" i="36"/>
  <c r="FE424" i="36" s="1"/>
  <c r="EP377" i="36"/>
  <c r="EP228" i="36"/>
  <c r="EK62" i="35"/>
  <c r="EK68" i="35"/>
  <c r="EP63" i="35"/>
  <c r="ET368" i="36"/>
  <c r="ET505" i="36"/>
  <c r="EZ369" i="36"/>
  <c r="EU367" i="36"/>
  <c r="EO362" i="36"/>
  <c r="EO364" i="36"/>
  <c r="EO498" i="36"/>
  <c r="EK146" i="4"/>
  <c r="EK75" i="36"/>
  <c r="EP75" i="36"/>
  <c r="EP368" i="36"/>
  <c r="EP505" i="36"/>
  <c r="EP360" i="36"/>
  <c r="EO507" i="36"/>
  <c r="EO508" i="36" s="1"/>
  <c r="EO506" i="36"/>
  <c r="FD340" i="36"/>
  <c r="FD347" i="36"/>
  <c r="FD463" i="36"/>
  <c r="FD42" i="36"/>
  <c r="EL530" i="36"/>
  <c r="EP226" i="36"/>
  <c r="EL225" i="36"/>
  <c r="FD369" i="36"/>
  <c r="FD367" i="36" s="1"/>
  <c r="EY367" i="36"/>
  <c r="ER417" i="36"/>
  <c r="ER420" i="36" s="1"/>
  <c r="EQ422" i="36"/>
  <c r="EQ421" i="36"/>
  <c r="ER369" i="36"/>
  <c r="EV369" i="36"/>
  <c r="EQ367" i="36"/>
  <c r="EQ370" i="36"/>
  <c r="EK29" i="35"/>
  <c r="EP29" i="35"/>
  <c r="EK643" i="36"/>
  <c r="EK635" i="36"/>
  <c r="EK609" i="36"/>
  <c r="EK610" i="36" s="1"/>
  <c r="EM528" i="36"/>
  <c r="EM524" i="36"/>
  <c r="EM522" i="36"/>
  <c r="EM520" i="36"/>
  <c r="FF280" i="36"/>
  <c r="FE288" i="36"/>
  <c r="FE285" i="36"/>
  <c r="FE284" i="36"/>
  <c r="FE294" i="36"/>
  <c r="FE316" i="36"/>
  <c r="EK79" i="36"/>
  <c r="EP79" i="36"/>
  <c r="EK30" i="36"/>
  <c r="EK631" i="36"/>
  <c r="EK334" i="36"/>
  <c r="EP334" i="36"/>
  <c r="EK478" i="36"/>
  <c r="EK470" i="36"/>
  <c r="EP478" i="36"/>
  <c r="EK52" i="36"/>
  <c r="EP52" i="36"/>
  <c r="EL468" i="2"/>
  <c r="EQ478" i="2" s="1"/>
  <c r="FD368" i="36" l="1"/>
  <c r="FD505" i="36"/>
  <c r="FD464" i="36"/>
  <c r="FD473" i="36"/>
  <c r="EP507" i="36"/>
  <c r="EP508" i="36" s="1"/>
  <c r="EP506" i="36"/>
  <c r="EM530" i="36"/>
  <c r="FE296" i="36"/>
  <c r="FE299" i="36"/>
  <c r="FE425" i="36" s="1"/>
  <c r="FE295" i="36"/>
  <c r="FE317" i="36"/>
  <c r="FD11" i="35"/>
  <c r="FD12" i="35" s="1"/>
  <c r="FD43" i="36"/>
  <c r="FD348" i="36"/>
  <c r="EU368" i="36"/>
  <c r="EU505" i="36"/>
  <c r="EK33" i="36"/>
  <c r="EP36" i="36"/>
  <c r="EK21" i="36"/>
  <c r="EK637" i="36"/>
  <c r="EK645" i="36" s="1"/>
  <c r="EK640" i="36"/>
  <c r="FE369" i="36"/>
  <c r="EZ367" i="36"/>
  <c r="EP361" i="36"/>
  <c r="EP364" i="36"/>
  <c r="EP365" i="36" s="1"/>
  <c r="EP362" i="36"/>
  <c r="EP498" i="36"/>
  <c r="FA369" i="36"/>
  <c r="EV367" i="36"/>
  <c r="FF282" i="36"/>
  <c r="FF283" i="36" s="1"/>
  <c r="FF291" i="36"/>
  <c r="EL533" i="36"/>
  <c r="EO500" i="36"/>
  <c r="EO510" i="36"/>
  <c r="EO502" i="36"/>
  <c r="EK512" i="36"/>
  <c r="EK514" i="36"/>
  <c r="EK516" i="36"/>
  <c r="EK518" i="36"/>
  <c r="EY368" i="36"/>
  <c r="EY505" i="36"/>
  <c r="EQ368" i="36"/>
  <c r="EQ505" i="36"/>
  <c r="EQ360" i="36"/>
  <c r="EW369" i="36"/>
  <c r="ER367" i="36"/>
  <c r="ES367" i="36" s="1"/>
  <c r="ER370" i="36"/>
  <c r="EP480" i="36"/>
  <c r="EK526" i="36"/>
  <c r="EK480" i="36"/>
  <c r="FE453" i="36"/>
  <c r="FE455" i="36" s="1"/>
  <c r="FE319" i="36"/>
  <c r="ER422" i="36"/>
  <c r="ES422" i="36" s="1"/>
  <c r="ER421" i="36"/>
  <c r="ES420" i="36"/>
  <c r="ET507" i="36"/>
  <c r="ET508" i="36" s="1"/>
  <c r="ET506" i="36"/>
  <c r="EK146" i="35"/>
  <c r="EN145" i="35"/>
  <c r="EL470" i="2"/>
  <c r="EQ480" i="2" s="1"/>
  <c r="J3114" i="3"/>
  <c r="FE367" i="36" l="1"/>
  <c r="FE505" i="36" s="1"/>
  <c r="FF316" i="36"/>
  <c r="FG280" i="36"/>
  <c r="FF285" i="36"/>
  <c r="FF284" i="36"/>
  <c r="FF288" i="36"/>
  <c r="FF294" i="36"/>
  <c r="ES369" i="36"/>
  <c r="ES370" i="36" s="1"/>
  <c r="ES368" i="36"/>
  <c r="EP499" i="36"/>
  <c r="EP510" i="36"/>
  <c r="EP502" i="36"/>
  <c r="EP503" i="36" s="1"/>
  <c r="EP500" i="36"/>
  <c r="EP501" i="36" s="1"/>
  <c r="EU507" i="36"/>
  <c r="EU508" i="36" s="1"/>
  <c r="EU506" i="36"/>
  <c r="ES421" i="36"/>
  <c r="ET417" i="36"/>
  <c r="EQ506" i="36"/>
  <c r="EQ507" i="36"/>
  <c r="EQ508" i="36" s="1"/>
  <c r="EM533" i="36"/>
  <c r="FD474" i="36"/>
  <c r="EP527" i="36"/>
  <c r="EK527" i="36"/>
  <c r="FB369" i="36"/>
  <c r="EW367" i="36"/>
  <c r="EK528" i="36"/>
  <c r="EK530" i="36" s="1"/>
  <c r="EK520" i="36"/>
  <c r="EK524" i="36"/>
  <c r="EK522" i="36"/>
  <c r="FF369" i="36"/>
  <c r="FA367" i="36"/>
  <c r="EP363" i="36"/>
  <c r="EO512" i="36"/>
  <c r="EO514" i="36"/>
  <c r="EO518" i="36"/>
  <c r="EO516" i="36"/>
  <c r="FF419" i="36"/>
  <c r="FF293" i="36"/>
  <c r="EZ368" i="36"/>
  <c r="EZ505" i="36"/>
  <c r="FD50" i="36"/>
  <c r="FD507" i="36"/>
  <c r="FD506" i="36"/>
  <c r="FE339" i="36"/>
  <c r="EY506" i="36"/>
  <c r="EY507" i="36"/>
  <c r="EY508" i="36" s="1"/>
  <c r="EP24" i="36"/>
  <c r="EK20" i="36"/>
  <c r="ER368" i="36"/>
  <c r="ER505" i="36"/>
  <c r="ER360" i="36"/>
  <c r="EQ498" i="36"/>
  <c r="EQ362" i="36"/>
  <c r="EQ361" i="36"/>
  <c r="EQ364" i="36"/>
  <c r="EQ365" i="36" s="1"/>
  <c r="EV368" i="36"/>
  <c r="EV505" i="36"/>
  <c r="EL526" i="2"/>
  <c r="EQ527" i="2" s="1"/>
  <c r="EJ189" i="4"/>
  <c r="EJ188" i="4"/>
  <c r="EJ187" i="4"/>
  <c r="EJ184" i="4"/>
  <c r="EJ183" i="4"/>
  <c r="EJ182" i="4"/>
  <c r="EJ179" i="4"/>
  <c r="EJ178" i="4"/>
  <c r="EJ1031" i="10" s="1"/>
  <c r="EJ175" i="4"/>
  <c r="EJ174" i="4"/>
  <c r="EJ173" i="4"/>
  <c r="EJ166" i="4"/>
  <c r="EJ13" i="32" s="1"/>
  <c r="EJ144" i="4"/>
  <c r="EJ142" i="4"/>
  <c r="EN142" i="4" s="1"/>
  <c r="EJ141" i="4"/>
  <c r="EN141" i="4" s="1"/>
  <c r="EJ139" i="4"/>
  <c r="EJ138" i="4"/>
  <c r="EJ137" i="4"/>
  <c r="EJ136" i="4"/>
  <c r="EJ118" i="4"/>
  <c r="EN118" i="4" s="1"/>
  <c r="EJ117" i="4"/>
  <c r="EJ116" i="4"/>
  <c r="EN116" i="4" s="1"/>
  <c r="EJ115" i="4"/>
  <c r="EN115" i="4" s="1"/>
  <c r="EJ114" i="4"/>
  <c r="EN114" i="4" s="1"/>
  <c r="EJ113" i="4"/>
  <c r="EN113" i="4" s="1"/>
  <c r="EJ112" i="4"/>
  <c r="EN112" i="4" s="1"/>
  <c r="EJ108" i="4"/>
  <c r="EN108" i="4" s="1"/>
  <c r="EJ103" i="4"/>
  <c r="EJ102" i="4"/>
  <c r="EN102" i="4" s="1"/>
  <c r="EJ101" i="4"/>
  <c r="EN101" i="4" s="1"/>
  <c r="EJ100" i="4"/>
  <c r="EJ98" i="4"/>
  <c r="EJ536" i="1"/>
  <c r="EN536" i="1" s="1"/>
  <c r="EJ80" i="4"/>
  <c r="EJ148" i="4" s="1"/>
  <c r="EJ78" i="4"/>
  <c r="EN78" i="4" s="1"/>
  <c r="EJ75" i="4"/>
  <c r="EJ73" i="4"/>
  <c r="EJ72" i="4"/>
  <c r="EN72" i="4" s="1"/>
  <c r="F5087" i="3" s="1"/>
  <c r="EJ71" i="4"/>
  <c r="EJ66" i="4"/>
  <c r="EJ99" i="4" s="1"/>
  <c r="EJ65" i="4"/>
  <c r="EJ97" i="4" s="1"/>
  <c r="EJ53" i="4"/>
  <c r="EO54" i="4" s="1"/>
  <c r="EJ39" i="4"/>
  <c r="EN39" i="4" s="1"/>
  <c r="E4993" i="3" s="1"/>
  <c r="EJ37" i="4"/>
  <c r="EN37" i="4" s="1"/>
  <c r="E4992" i="3" s="1"/>
  <c r="EJ35" i="4"/>
  <c r="EN35" i="4" s="1"/>
  <c r="EJ34" i="4"/>
  <c r="EN34" i="4" s="1"/>
  <c r="EJ33" i="4"/>
  <c r="EN33" i="4" s="1"/>
  <c r="EJ32" i="4"/>
  <c r="EJ36" i="4" s="1"/>
  <c r="EN36" i="4" s="1"/>
  <c r="E4991" i="3" s="1"/>
  <c r="EJ27" i="4"/>
  <c r="EN27" i="4" s="1"/>
  <c r="EJ587" i="2"/>
  <c r="EK590" i="2" s="1"/>
  <c r="EK591" i="2" s="1"/>
  <c r="EJ572" i="2"/>
  <c r="EJ495" i="2"/>
  <c r="EO496" i="2" s="1"/>
  <c r="EJ490" i="2"/>
  <c r="EO491" i="2" s="1"/>
  <c r="EJ483" i="2"/>
  <c r="EO484" i="2" s="1"/>
  <c r="EJ446" i="2"/>
  <c r="EJ435" i="2"/>
  <c r="EJ433" i="2"/>
  <c r="EJ431" i="2"/>
  <c r="EO432" i="2" s="1"/>
  <c r="EJ388" i="2"/>
  <c r="EO390" i="2" s="1"/>
  <c r="EJ251" i="2"/>
  <c r="EO253" i="2" s="1"/>
  <c r="EO330" i="2"/>
  <c r="EJ325" i="2"/>
  <c r="EJ323" i="2"/>
  <c r="B53" i="30"/>
  <c r="D53" i="30" s="1"/>
  <c r="EO306" i="2"/>
  <c r="EJ273" i="2"/>
  <c r="EJ271" i="2"/>
  <c r="EJ264" i="2"/>
  <c r="EJ260" i="2"/>
  <c r="EO195" i="2"/>
  <c r="EJ188" i="2"/>
  <c r="EJ186" i="2"/>
  <c r="B52" i="30"/>
  <c r="D52" i="30" s="1"/>
  <c r="EO139" i="2"/>
  <c r="EJ128" i="2"/>
  <c r="EJ126" i="2"/>
  <c r="EJ119" i="2"/>
  <c r="B1097" i="3" s="1"/>
  <c r="B1101" i="3" s="1"/>
  <c r="EJ115" i="2"/>
  <c r="EJ99" i="2"/>
  <c r="EO101" i="2" s="1"/>
  <c r="EJ87" i="2"/>
  <c r="EJ54" i="2"/>
  <c r="EO55" i="2" s="1"/>
  <c r="EJ331" i="1"/>
  <c r="EJ328" i="1"/>
  <c r="EJ412" i="1"/>
  <c r="EJ407" i="1"/>
  <c r="EJ392" i="1"/>
  <c r="EJ377" i="1"/>
  <c r="EJ372" i="1"/>
  <c r="EJ367" i="1"/>
  <c r="EJ363" i="1"/>
  <c r="EJ341" i="1"/>
  <c r="EJ255" i="1"/>
  <c r="EJ109" i="35" s="1"/>
  <c r="EN109" i="35" s="1"/>
  <c r="EN244" i="1"/>
  <c r="EJ266" i="1"/>
  <c r="EJ253" i="1"/>
  <c r="EJ240" i="1"/>
  <c r="EN240" i="1" s="1"/>
  <c r="EJ237" i="1"/>
  <c r="EN237" i="1" s="1"/>
  <c r="EJ171" i="4"/>
  <c r="EJ197" i="4" s="1"/>
  <c r="EJ225" i="1"/>
  <c r="EJ231" i="1" s="1"/>
  <c r="EJ187" i="1"/>
  <c r="EJ28" i="36" s="1"/>
  <c r="EJ186" i="1"/>
  <c r="EJ27" i="36" s="1"/>
  <c r="EJ183" i="1"/>
  <c r="EJ181" i="1"/>
  <c r="EJ57" i="36" s="1"/>
  <c r="EJ178" i="1"/>
  <c r="EN178" i="1" s="1"/>
  <c r="EJ176" i="1"/>
  <c r="EN176" i="1" s="1"/>
  <c r="EJ175" i="1"/>
  <c r="EN175" i="1" s="1"/>
  <c r="EJ170" i="1"/>
  <c r="EJ343" i="36" s="1"/>
  <c r="EJ169" i="1"/>
  <c r="EJ340" i="36" s="1"/>
  <c r="EJ167" i="1"/>
  <c r="EJ205" i="36" s="1"/>
  <c r="EJ166" i="1"/>
  <c r="EJ202" i="36" s="1"/>
  <c r="EJ162" i="1"/>
  <c r="EN162" i="1" s="1"/>
  <c r="EJ158" i="1"/>
  <c r="EN158" i="1" s="1"/>
  <c r="EJ159" i="1"/>
  <c r="EN159" i="1" s="1"/>
  <c r="EJ160" i="1"/>
  <c r="EN160" i="1" s="1"/>
  <c r="EJ157" i="1"/>
  <c r="EN157" i="1" s="1"/>
  <c r="EJ142" i="1"/>
  <c r="EN142" i="1" s="1"/>
  <c r="EN144" i="1" s="1"/>
  <c r="EJ137" i="1"/>
  <c r="EJ136" i="1"/>
  <c r="EJ133" i="1"/>
  <c r="EJ126" i="1"/>
  <c r="EJ128" i="1" s="1"/>
  <c r="EJ94" i="1"/>
  <c r="EN94" i="1" s="1"/>
  <c r="EJ51" i="1"/>
  <c r="EJ98" i="1"/>
  <c r="EN98" i="1" s="1"/>
  <c r="EJ97" i="1"/>
  <c r="EN97" i="1" s="1"/>
  <c r="EJ90" i="1"/>
  <c r="EN90" i="1" s="1"/>
  <c r="EJ88" i="1"/>
  <c r="EN88" i="1" s="1"/>
  <c r="EJ87" i="1"/>
  <c r="EN87" i="1" s="1"/>
  <c r="EJ86" i="1"/>
  <c r="EN86" i="1" s="1"/>
  <c r="EJ85" i="1"/>
  <c r="EN85" i="1" s="1"/>
  <c r="EJ84" i="1"/>
  <c r="EN84" i="1" s="1"/>
  <c r="EJ83" i="1"/>
  <c r="EN83" i="1" s="1"/>
  <c r="I3114" i="3"/>
  <c r="EH260" i="2"/>
  <c r="EE119" i="2"/>
  <c r="EH115" i="2"/>
  <c r="EG115" i="2"/>
  <c r="EF115" i="2"/>
  <c r="EE115" i="2"/>
  <c r="EC115" i="2"/>
  <c r="EB115" i="2"/>
  <c r="EH202" i="2"/>
  <c r="EH186" i="2"/>
  <c r="EH188" i="2"/>
  <c r="EG126" i="2"/>
  <c r="EH126" i="2"/>
  <c r="EG202" i="2"/>
  <c r="EG186" i="2"/>
  <c r="EG188" i="2"/>
  <c r="EF126" i="2"/>
  <c r="EF202" i="2"/>
  <c r="C3425" i="3" s="1"/>
  <c r="EF186" i="2"/>
  <c r="EF188" i="2"/>
  <c r="EK189" i="2" s="1"/>
  <c r="EE126" i="2"/>
  <c r="EE202" i="2"/>
  <c r="EE375" i="10" s="1"/>
  <c r="EE186" i="2"/>
  <c r="EE188" i="2"/>
  <c r="EC126" i="2"/>
  <c r="EC202" i="2"/>
  <c r="EC186" i="2"/>
  <c r="EC188" i="2"/>
  <c r="EC362" i="10" s="1"/>
  <c r="EB126" i="2"/>
  <c r="EH264" i="2"/>
  <c r="EG260" i="2"/>
  <c r="EF99" i="2"/>
  <c r="EK101" i="2" s="1"/>
  <c r="EG99" i="2"/>
  <c r="EL101" i="2" s="1"/>
  <c r="EF87" i="2"/>
  <c r="EE87" i="2"/>
  <c r="EC87" i="2"/>
  <c r="EB87" i="2"/>
  <c r="EA87" i="2"/>
  <c r="DZ87" i="2"/>
  <c r="DZ91" i="2" s="1"/>
  <c r="DY86" i="2"/>
  <c r="DY342" i="10" s="1"/>
  <c r="EG87" i="2"/>
  <c r="EE99" i="2"/>
  <c r="ED99" i="2" s="1"/>
  <c r="D5593" i="3" s="1"/>
  <c r="EH99" i="2"/>
  <c r="EM101" i="2" s="1"/>
  <c r="EH87" i="2"/>
  <c r="EH119" i="2"/>
  <c r="EF119" i="2"/>
  <c r="EF323" i="2"/>
  <c r="EK324" i="2" s="1"/>
  <c r="EC260" i="2"/>
  <c r="EE260" i="2"/>
  <c r="EE435" i="2"/>
  <c r="EE263" i="10" s="1"/>
  <c r="EE431" i="2"/>
  <c r="EE433" i="2"/>
  <c r="EE264" i="2"/>
  <c r="EC271" i="2"/>
  <c r="ED271" i="2" s="1"/>
  <c r="EE268" i="2" s="1"/>
  <c r="EI268" i="2" s="1"/>
  <c r="DZ271" i="2"/>
  <c r="EA268" i="2" s="1"/>
  <c r="DZ273" i="2"/>
  <c r="DZ401" i="10" s="1"/>
  <c r="EA275" i="2"/>
  <c r="EB275" i="2" s="1"/>
  <c r="EC275" i="2" s="1"/>
  <c r="EA271" i="2"/>
  <c r="EB268" i="2" s="1"/>
  <c r="EB271" i="2"/>
  <c r="EB395" i="10" s="1"/>
  <c r="EF260" i="2"/>
  <c r="EF435" i="2"/>
  <c r="EF264" i="2"/>
  <c r="EE271" i="2"/>
  <c r="EE395" i="10" s="1"/>
  <c r="EG435" i="2"/>
  <c r="EF431" i="2"/>
  <c r="EG264" i="2"/>
  <c r="EG271" i="2"/>
  <c r="EL272" i="2" s="1"/>
  <c r="EF271" i="2"/>
  <c r="EK272" i="2" s="1"/>
  <c r="EH435" i="2"/>
  <c r="EG431" i="2"/>
  <c r="EH271" i="2"/>
  <c r="EF325" i="2"/>
  <c r="EK326" i="2" s="1"/>
  <c r="EF340" i="2"/>
  <c r="EK348" i="2" s="1"/>
  <c r="ED305" i="2"/>
  <c r="EE302" i="2" s="1"/>
  <c r="EG302" i="2"/>
  <c r="EF343" i="2"/>
  <c r="EK351" i="2" s="1"/>
  <c r="EH343" i="2"/>
  <c r="EM351" i="2" s="1"/>
  <c r="EC343" i="2"/>
  <c r="EC426" i="10" s="1"/>
  <c r="EC329" i="2"/>
  <c r="EC414" i="10" s="1"/>
  <c r="EC302" i="2"/>
  <c r="EF483" i="2"/>
  <c r="DZ126" i="2"/>
  <c r="DZ128" i="2"/>
  <c r="EA130" i="2"/>
  <c r="EB130" i="2" s="1"/>
  <c r="EC130" i="2" s="1"/>
  <c r="EA126" i="2"/>
  <c r="EF171" i="1"/>
  <c r="EF344" i="36" s="1"/>
  <c r="EF388" i="2"/>
  <c r="EK390" i="2" s="1"/>
  <c r="EF369" i="2"/>
  <c r="EG369" i="2" s="1"/>
  <c r="EH369" i="2" s="1"/>
  <c r="EF135" i="2"/>
  <c r="EK139" i="2"/>
  <c r="EM139" i="2"/>
  <c r="EL139" i="2"/>
  <c r="EK195" i="2"/>
  <c r="EF205" i="2"/>
  <c r="EH205" i="2"/>
  <c r="EC205" i="2"/>
  <c r="EC378" i="10" s="1"/>
  <c r="EC194" i="2"/>
  <c r="EC366" i="10" s="1"/>
  <c r="EC135" i="2"/>
  <c r="ED138" i="2"/>
  <c r="EE135" i="2" s="1"/>
  <c r="EI135" i="2" s="1"/>
  <c r="EF168" i="1"/>
  <c r="EF251" i="2"/>
  <c r="EF232" i="2"/>
  <c r="EG660" i="2"/>
  <c r="EG24" i="4" s="1"/>
  <c r="EG325" i="2"/>
  <c r="EL326" i="2" s="1"/>
  <c r="EG658" i="2"/>
  <c r="EG22" i="4" s="1"/>
  <c r="EG323" i="2"/>
  <c r="EL324" i="2" s="1"/>
  <c r="EG659" i="2"/>
  <c r="EG23" i="4" s="1"/>
  <c r="EG340" i="2"/>
  <c r="EG661" i="2"/>
  <c r="EG25" i="4" s="1"/>
  <c r="EG632" i="2"/>
  <c r="EE659" i="2"/>
  <c r="EE340" i="2"/>
  <c r="B3426" i="3" s="1"/>
  <c r="EE323" i="2"/>
  <c r="EE325" i="2"/>
  <c r="EF659" i="2"/>
  <c r="EB659" i="2"/>
  <c r="EB202" i="2"/>
  <c r="EB375" i="10" s="1"/>
  <c r="EB186" i="2"/>
  <c r="EB360" i="10" s="1"/>
  <c r="EA115" i="2"/>
  <c r="EB188" i="2"/>
  <c r="EB340" i="2"/>
  <c r="EB323" i="2"/>
  <c r="EB408" i="10" s="1"/>
  <c r="EA260" i="2"/>
  <c r="EB260" i="2"/>
  <c r="EB325" i="2"/>
  <c r="EB658" i="2"/>
  <c r="EB660" i="2"/>
  <c r="EB661" i="2"/>
  <c r="EB632" i="2"/>
  <c r="EC659" i="2"/>
  <c r="EC340" i="2"/>
  <c r="EC323" i="2"/>
  <c r="EC325" i="2"/>
  <c r="EC410" i="10" s="1"/>
  <c r="EC658" i="2"/>
  <c r="EC660" i="2"/>
  <c r="EC661" i="2"/>
  <c r="EC632" i="2"/>
  <c r="EE658" i="2"/>
  <c r="EE660" i="2"/>
  <c r="EE661" i="2"/>
  <c r="EE632" i="2"/>
  <c r="EI632" i="2" s="1"/>
  <c r="D4935" i="3" s="1"/>
  <c r="DZ659" i="2"/>
  <c r="DZ202" i="2"/>
  <c r="DZ375" i="10" s="1"/>
  <c r="DZ186" i="2"/>
  <c r="DZ115" i="2"/>
  <c r="DX115" i="2"/>
  <c r="DZ188" i="2"/>
  <c r="DZ362" i="10" s="1"/>
  <c r="DZ340" i="2"/>
  <c r="DZ423" i="10" s="1"/>
  <c r="DZ323" i="2"/>
  <c r="DX260" i="2"/>
  <c r="DZ260" i="2"/>
  <c r="DZ325" i="2"/>
  <c r="DZ410" i="10" s="1"/>
  <c r="EA659" i="2"/>
  <c r="EA202" i="2"/>
  <c r="EA375" i="10" s="1"/>
  <c r="EA186" i="2"/>
  <c r="EA188" i="2"/>
  <c r="EA340" i="2"/>
  <c r="EA423" i="10" s="1"/>
  <c r="EA323" i="2"/>
  <c r="EA325" i="2"/>
  <c r="DZ658" i="2"/>
  <c r="DZ660" i="2"/>
  <c r="DZ661" i="2"/>
  <c r="DZ632" i="2"/>
  <c r="EF658" i="2"/>
  <c r="EF660" i="2"/>
  <c r="EF629" i="2"/>
  <c r="EA658" i="2"/>
  <c r="EF68" i="2"/>
  <c r="EF44" i="4" s="1"/>
  <c r="EH587" i="2"/>
  <c r="EE572" i="2"/>
  <c r="EF572" i="2"/>
  <c r="EF562" i="2"/>
  <c r="EG562" i="2" s="1"/>
  <c r="EH562" i="2" s="1"/>
  <c r="EF543" i="2"/>
  <c r="EF657" i="18" s="1"/>
  <c r="EE66" i="4"/>
  <c r="EE99" i="4" s="1"/>
  <c r="EF66" i="4"/>
  <c r="EF99" i="4" s="1"/>
  <c r="EG66" i="4"/>
  <c r="EG99" i="4" s="1"/>
  <c r="EH66" i="4"/>
  <c r="EH99" i="4" s="1"/>
  <c r="EH196" i="4"/>
  <c r="EI196" i="4" s="1"/>
  <c r="EI115" i="10" s="1"/>
  <c r="EH189" i="4"/>
  <c r="EI189" i="4" s="1"/>
  <c r="EN189" i="4" s="1"/>
  <c r="ES189" i="4" s="1"/>
  <c r="EH182" i="4"/>
  <c r="EI182" i="4" s="1"/>
  <c r="EH188" i="4"/>
  <c r="EI188" i="4" s="1"/>
  <c r="EH73" i="4"/>
  <c r="EH207" i="4" s="1"/>
  <c r="EH209" i="4" s="1"/>
  <c r="EG196" i="4"/>
  <c r="EG115" i="10" s="1"/>
  <c r="EE98" i="4"/>
  <c r="EF98" i="4"/>
  <c r="EG98" i="4"/>
  <c r="EH98" i="4"/>
  <c r="EE57" i="1"/>
  <c r="EE71" i="4"/>
  <c r="EE72" i="4"/>
  <c r="EE73" i="4"/>
  <c r="EF57" i="1"/>
  <c r="EF59" i="1" s="1"/>
  <c r="EF71" i="4"/>
  <c r="EF72" i="4"/>
  <c r="EF73" i="4"/>
  <c r="EF207" i="4" s="1"/>
  <c r="EF209" i="4" s="1"/>
  <c r="EG57" i="1"/>
  <c r="EG59" i="1" s="1"/>
  <c r="EG71" i="4"/>
  <c r="EG72" i="4"/>
  <c r="EG73" i="4"/>
  <c r="EG207" i="4" s="1"/>
  <c r="EG209" i="4" s="1"/>
  <c r="EG65" i="4"/>
  <c r="EG97" i="4" s="1"/>
  <c r="EG253" i="1"/>
  <c r="EG107" i="35" s="1"/>
  <c r="EH51" i="1"/>
  <c r="EH57" i="1" s="1"/>
  <c r="EH59" i="1" s="1"/>
  <c r="EH69" i="35" s="1"/>
  <c r="EH74" i="35" s="1"/>
  <c r="EH71" i="4"/>
  <c r="EH72" i="4"/>
  <c r="EH65" i="4"/>
  <c r="EH253" i="1"/>
  <c r="EF157" i="4"/>
  <c r="EE366" i="10"/>
  <c r="EE414" i="10"/>
  <c r="EE205" i="2"/>
  <c r="EE343" i="2"/>
  <c r="EE426" i="10" s="1"/>
  <c r="EE68" i="2"/>
  <c r="EE44" i="4" s="1"/>
  <c r="EE483" i="2"/>
  <c r="EE168" i="1"/>
  <c r="EE251" i="2"/>
  <c r="EE387" i="10" s="1"/>
  <c r="EE171" i="1"/>
  <c r="EE388" i="2"/>
  <c r="EF85" i="4"/>
  <c r="EC89" i="4"/>
  <c r="EC85" i="4"/>
  <c r="EC87" i="4" s="1"/>
  <c r="ED88" i="4"/>
  <c r="EE85" i="4" s="1"/>
  <c r="EE91" i="4" s="1"/>
  <c r="EC93" i="4"/>
  <c r="ED93" i="4" s="1"/>
  <c r="E151" i="19"/>
  <c r="H151" i="19" s="1"/>
  <c r="H154" i="19"/>
  <c r="H153" i="19"/>
  <c r="EH59" i="2"/>
  <c r="EH137" i="10" s="1"/>
  <c r="EG59" i="2"/>
  <c r="EG137" i="10" s="1"/>
  <c r="EF59" i="2"/>
  <c r="EE59" i="2"/>
  <c r="EE137" i="10" s="1"/>
  <c r="EC59" i="2"/>
  <c r="EC137" i="10" s="1"/>
  <c r="EB59" i="2"/>
  <c r="EB137" i="10" s="1"/>
  <c r="EA59" i="2"/>
  <c r="EA137" i="10" s="1"/>
  <c r="DZ59" i="2"/>
  <c r="EF58" i="2"/>
  <c r="EF136" i="10" s="1"/>
  <c r="EE58" i="2"/>
  <c r="EE136" i="10" s="1"/>
  <c r="EC58" i="2"/>
  <c r="EC136" i="10" s="1"/>
  <c r="EB58" i="2"/>
  <c r="EB136" i="10" s="1"/>
  <c r="EA58" i="2"/>
  <c r="EA136" i="10" s="1"/>
  <c r="DZ58" i="2"/>
  <c r="DZ136" i="10" s="1"/>
  <c r="EH57" i="2"/>
  <c r="EG57" i="2"/>
  <c r="EF57" i="2"/>
  <c r="EE57" i="2"/>
  <c r="EC57" i="2"/>
  <c r="EB57" i="2"/>
  <c r="EA57" i="2"/>
  <c r="DZ57" i="2"/>
  <c r="EH69" i="2"/>
  <c r="EG69" i="2"/>
  <c r="EF69" i="2"/>
  <c r="EE69" i="2"/>
  <c r="EC69" i="2"/>
  <c r="EC45" i="4" s="1"/>
  <c r="EB69" i="2"/>
  <c r="EA69" i="2"/>
  <c r="DZ69" i="2"/>
  <c r="EC68" i="2"/>
  <c r="EC44" i="4" s="1"/>
  <c r="EB68" i="2"/>
  <c r="EA68" i="2"/>
  <c r="DZ68" i="2"/>
  <c r="EE184" i="1"/>
  <c r="EC184" i="1"/>
  <c r="EB184" i="1"/>
  <c r="EI183" i="1"/>
  <c r="ED183" i="1"/>
  <c r="EH182" i="1"/>
  <c r="EG182" i="1"/>
  <c r="EF184" i="1"/>
  <c r="EA184" i="1"/>
  <c r="DZ184" i="1"/>
  <c r="EI181" i="1"/>
  <c r="ED181" i="1"/>
  <c r="EH149" i="1"/>
  <c r="EG149" i="1"/>
  <c r="EC149" i="1"/>
  <c r="EB149" i="1"/>
  <c r="EA149" i="1"/>
  <c r="DZ149" i="1"/>
  <c r="EI148" i="1"/>
  <c r="ED148" i="1"/>
  <c r="EF149" i="1"/>
  <c r="EI146" i="1"/>
  <c r="ED146" i="1"/>
  <c r="EH171" i="4"/>
  <c r="EI171" i="4" s="1"/>
  <c r="EH173" i="4"/>
  <c r="EI173" i="4" s="1"/>
  <c r="EN173" i="4" s="1"/>
  <c r="EH174" i="4"/>
  <c r="EI174" i="4" s="1"/>
  <c r="EH175" i="4"/>
  <c r="EI175" i="4" s="1"/>
  <c r="EH178" i="4"/>
  <c r="EI178" i="4" s="1"/>
  <c r="EH179" i="4"/>
  <c r="EI179" i="4" s="1"/>
  <c r="EH183" i="4"/>
  <c r="EI183" i="4" s="1"/>
  <c r="EH184" i="4"/>
  <c r="EI184" i="4" s="1"/>
  <c r="EH187" i="4"/>
  <c r="EI187" i="4" s="1"/>
  <c r="EH166" i="4"/>
  <c r="EH13" i="32" s="1"/>
  <c r="EH136" i="4"/>
  <c r="EH137" i="4"/>
  <c r="EH138" i="4"/>
  <c r="EH139" i="4"/>
  <c r="EH141" i="4"/>
  <c r="EH142" i="4"/>
  <c r="EH144" i="4"/>
  <c r="EH147" i="4"/>
  <c r="EH100" i="4"/>
  <c r="EH101" i="4"/>
  <c r="EH102" i="4"/>
  <c r="EH103" i="4"/>
  <c r="EH14" i="32" s="1"/>
  <c r="EH108" i="4"/>
  <c r="EH109" i="4"/>
  <c r="EH112" i="4"/>
  <c r="EH113" i="4"/>
  <c r="EH114" i="4"/>
  <c r="EH115" i="4"/>
  <c r="EH116" i="4"/>
  <c r="EH117" i="4"/>
  <c r="EH118" i="4"/>
  <c r="EH53" i="4"/>
  <c r="EM54" i="4" s="1"/>
  <c r="EH75" i="4"/>
  <c r="EH167" i="4" s="1"/>
  <c r="EH78" i="4"/>
  <c r="EH80" i="4"/>
  <c r="EH133" i="4" s="1"/>
  <c r="EH27" i="4"/>
  <c r="EH32" i="4"/>
  <c r="EH36" i="4" s="1"/>
  <c r="EH33" i="4"/>
  <c r="EH34" i="4"/>
  <c r="EH35" i="4"/>
  <c r="EH37" i="4"/>
  <c r="EH39" i="4"/>
  <c r="EH572" i="2"/>
  <c r="EH483" i="2"/>
  <c r="EH490" i="2"/>
  <c r="EH495" i="2"/>
  <c r="EH469" i="2"/>
  <c r="EM479" i="2" s="1"/>
  <c r="EH431" i="2"/>
  <c r="EM432" i="2" s="1"/>
  <c r="EH433" i="2"/>
  <c r="EH446" i="2"/>
  <c r="EH388" i="2"/>
  <c r="EH323" i="2"/>
  <c r="EH325" i="2"/>
  <c r="EH340" i="2"/>
  <c r="EH273" i="2"/>
  <c r="EH401" i="10" s="1"/>
  <c r="EH251" i="2"/>
  <c r="EH128" i="2"/>
  <c r="EH48" i="2"/>
  <c r="EH54" i="2"/>
  <c r="EM55" i="2" s="1"/>
  <c r="EH11" i="2"/>
  <c r="EH27" i="2"/>
  <c r="EH28" i="2"/>
  <c r="EG177" i="1"/>
  <c r="EG179" i="1" s="1"/>
  <c r="EF177" i="1"/>
  <c r="EF179" i="1" s="1"/>
  <c r="EE177" i="1"/>
  <c r="EE179" i="1" s="1"/>
  <c r="EC177" i="1"/>
  <c r="EB177" i="1"/>
  <c r="EB179" i="1" s="1"/>
  <c r="EA177" i="1"/>
  <c r="EA179" i="1" s="1"/>
  <c r="DZ177" i="1"/>
  <c r="DZ179" i="1" s="1"/>
  <c r="EG142" i="1"/>
  <c r="EG144" i="1" s="1"/>
  <c r="EF142" i="1"/>
  <c r="EF144" i="1" s="1"/>
  <c r="EE142" i="1"/>
  <c r="EE144" i="1" s="1"/>
  <c r="EC142" i="1"/>
  <c r="EC144" i="1" s="1"/>
  <c r="EB142" i="1"/>
  <c r="EB144" i="1" s="1"/>
  <c r="EA142" i="1"/>
  <c r="EA144" i="1" s="1"/>
  <c r="DZ142" i="1"/>
  <c r="EH492" i="1"/>
  <c r="EH504" i="1" s="1"/>
  <c r="EH288" i="1"/>
  <c r="EI273" i="1"/>
  <c r="F67" i="3" s="1"/>
  <c r="EI272" i="1"/>
  <c r="EI254" i="1"/>
  <c r="EI265" i="1"/>
  <c r="EI263" i="1"/>
  <c r="EI262" i="1"/>
  <c r="EI261" i="1"/>
  <c r="EI260" i="1"/>
  <c r="EI259" i="1"/>
  <c r="EI258" i="1"/>
  <c r="EI250" i="1"/>
  <c r="EI249" i="1"/>
  <c r="EI248" i="1"/>
  <c r="EI247" i="1"/>
  <c r="EI246" i="1"/>
  <c r="EI245" i="1"/>
  <c r="EI244" i="1"/>
  <c r="EI242" i="1"/>
  <c r="EI241" i="1"/>
  <c r="EI239" i="1"/>
  <c r="EI238" i="1"/>
  <c r="EH177" i="1"/>
  <c r="EH179" i="1" s="1"/>
  <c r="EH142" i="1"/>
  <c r="EH144" i="1" s="1"/>
  <c r="C160" i="19"/>
  <c r="C161" i="19" s="1"/>
  <c r="B160" i="19"/>
  <c r="EI147" i="1"/>
  <c r="ED182" i="1"/>
  <c r="EE149" i="1"/>
  <c r="ED147" i="1"/>
  <c r="EI605" i="1"/>
  <c r="EI604" i="1"/>
  <c r="EI599" i="1"/>
  <c r="EI595" i="1"/>
  <c r="EI592" i="1"/>
  <c r="EI586" i="1"/>
  <c r="EI580" i="1"/>
  <c r="EI575" i="1"/>
  <c r="EI572" i="1"/>
  <c r="EI569" i="1"/>
  <c r="EI561" i="1"/>
  <c r="EI556" i="1"/>
  <c r="EI554" i="1"/>
  <c r="EI553" i="1"/>
  <c r="EI551" i="1"/>
  <c r="EI550" i="1"/>
  <c r="EI557" i="1" s="1"/>
  <c r="EI532" i="1"/>
  <c r="EI520" i="1"/>
  <c r="EI519" i="1"/>
  <c r="EI515" i="1"/>
  <c r="EI513" i="1"/>
  <c r="EI512" i="1"/>
  <c r="EI511" i="1"/>
  <c r="EI510" i="1"/>
  <c r="EI499" i="1"/>
  <c r="EI498" i="1"/>
  <c r="EI497" i="1"/>
  <c r="EI493" i="1"/>
  <c r="EI490" i="1"/>
  <c r="EI489" i="1"/>
  <c r="EI295" i="1"/>
  <c r="EI294" i="1"/>
  <c r="EI292" i="1"/>
  <c r="EI290" i="1"/>
  <c r="EI289" i="1"/>
  <c r="EI287" i="1"/>
  <c r="EI286" i="1"/>
  <c r="EI285" i="1"/>
  <c r="EI284" i="1"/>
  <c r="EI277" i="1"/>
  <c r="EI269" i="1"/>
  <c r="EI229" i="1"/>
  <c r="EI228" i="1"/>
  <c r="EI227" i="1"/>
  <c r="EI224" i="1"/>
  <c r="EI223" i="1"/>
  <c r="EI222" i="1"/>
  <c r="EI219" i="1"/>
  <c r="EI218" i="1"/>
  <c r="EI215" i="1"/>
  <c r="EI214" i="1"/>
  <c r="EI213" i="1"/>
  <c r="EI211" i="1"/>
  <c r="EI187" i="1"/>
  <c r="EI186" i="1"/>
  <c r="EI178" i="1"/>
  <c r="EI176" i="1"/>
  <c r="EI175" i="1"/>
  <c r="EI172" i="1"/>
  <c r="EI170" i="1"/>
  <c r="EI169" i="1"/>
  <c r="EI167" i="1"/>
  <c r="EI166" i="1"/>
  <c r="EI162" i="1"/>
  <c r="EI160" i="1"/>
  <c r="EI159" i="1"/>
  <c r="EI158" i="1"/>
  <c r="EI157" i="1"/>
  <c r="EI152" i="1"/>
  <c r="EI151" i="1"/>
  <c r="EI143" i="1"/>
  <c r="EI141" i="1"/>
  <c r="EI140" i="1"/>
  <c r="EI135" i="1"/>
  <c r="EI134" i="1"/>
  <c r="EI132" i="1"/>
  <c r="EI131" i="1"/>
  <c r="EI127" i="1"/>
  <c r="EI125" i="1"/>
  <c r="EI124" i="1"/>
  <c r="EI123" i="1"/>
  <c r="EI122" i="1"/>
  <c r="EI96" i="1"/>
  <c r="EI95" i="1"/>
  <c r="EI93" i="1"/>
  <c r="EI78" i="1"/>
  <c r="EI69" i="1"/>
  <c r="EI67" i="1"/>
  <c r="EI65" i="1"/>
  <c r="EI64" i="1"/>
  <c r="EI63" i="1"/>
  <c r="EI62" i="1"/>
  <c r="EI61" i="1"/>
  <c r="EI56" i="1"/>
  <c r="EI55" i="1"/>
  <c r="EI54" i="1"/>
  <c r="EI53" i="1"/>
  <c r="EI52" i="1"/>
  <c r="EI50" i="1"/>
  <c r="EI47" i="1"/>
  <c r="EH83" i="1"/>
  <c r="EH84" i="1"/>
  <c r="EH85" i="1"/>
  <c r="EH86" i="1"/>
  <c r="EH87" i="1"/>
  <c r="EH88" i="1"/>
  <c r="EH90" i="1"/>
  <c r="EH94" i="1"/>
  <c r="EH97" i="1"/>
  <c r="EH98" i="1"/>
  <c r="EH126" i="1"/>
  <c r="EH128" i="1" s="1"/>
  <c r="EH133" i="1"/>
  <c r="EH136" i="1"/>
  <c r="EH137" i="1"/>
  <c r="EH161" i="1"/>
  <c r="EH163" i="1" s="1"/>
  <c r="EH168" i="1"/>
  <c r="EH171" i="1"/>
  <c r="EH344" i="36" s="1"/>
  <c r="EH198" i="1"/>
  <c r="EH200" i="1" s="1"/>
  <c r="EH205" i="1"/>
  <c r="EH206" i="1"/>
  <c r="EH216" i="1"/>
  <c r="EH225" i="1"/>
  <c r="EI225" i="1" s="1"/>
  <c r="EH237" i="1"/>
  <c r="EH266" i="1"/>
  <c r="EH278" i="1"/>
  <c r="EH279" i="1" s="1"/>
  <c r="EI279" i="1" s="1"/>
  <c r="EH341" i="1"/>
  <c r="EH363" i="1"/>
  <c r="EH367" i="1"/>
  <c r="EH372" i="1"/>
  <c r="EH377" i="1"/>
  <c r="EH392" i="1"/>
  <c r="EH407" i="1"/>
  <c r="EH412" i="1"/>
  <c r="EH491" i="1"/>
  <c r="EH503" i="1" s="1"/>
  <c r="EH500" i="1"/>
  <c r="EH505" i="1"/>
  <c r="EH536" i="1"/>
  <c r="EH546" i="1"/>
  <c r="C151" i="19"/>
  <c r="D151" i="19" s="1"/>
  <c r="D159" i="19"/>
  <c r="D158" i="19"/>
  <c r="D155" i="19"/>
  <c r="D154" i="19"/>
  <c r="D153" i="19"/>
  <c r="E3207" i="3"/>
  <c r="F3207" i="3"/>
  <c r="G3207" i="3"/>
  <c r="H3207" i="3"/>
  <c r="I3207" i="3"/>
  <c r="F3211" i="3"/>
  <c r="G3211" i="3"/>
  <c r="H3211" i="3"/>
  <c r="I3211" i="3"/>
  <c r="E3211" i="3"/>
  <c r="D3211" i="3" s="1"/>
  <c r="E3209" i="3"/>
  <c r="E3219" i="3"/>
  <c r="E3218" i="3" s="1"/>
  <c r="E3214" i="3"/>
  <c r="E3202" i="3"/>
  <c r="D3202" i="3"/>
  <c r="E3197" i="3"/>
  <c r="I3195" i="3"/>
  <c r="H3195" i="3"/>
  <c r="G3195" i="3"/>
  <c r="F3195" i="3"/>
  <c r="I3194" i="3"/>
  <c r="H3194" i="3"/>
  <c r="G3194" i="3"/>
  <c r="F3194" i="3"/>
  <c r="F3198" i="3" s="1"/>
  <c r="D3194" i="3"/>
  <c r="D3193" i="3"/>
  <c r="D3197" i="3" s="1"/>
  <c r="D3201" i="3" s="1"/>
  <c r="D3168" i="3"/>
  <c r="D3160" i="3"/>
  <c r="D3159" i="3"/>
  <c r="E3161" i="3" s="1"/>
  <c r="F3171" i="3"/>
  <c r="G3171" i="3"/>
  <c r="H3171" i="3"/>
  <c r="I3171" i="3"/>
  <c r="E3171" i="3"/>
  <c r="F3173" i="3"/>
  <c r="G3173" i="3"/>
  <c r="H3173" i="3"/>
  <c r="I3173" i="3"/>
  <c r="E3173" i="3"/>
  <c r="D3173" i="3" s="1"/>
  <c r="E3168" i="3"/>
  <c r="E3163" i="3"/>
  <c r="F3163" i="3" s="1"/>
  <c r="G3253" i="3"/>
  <c r="H3253" i="3"/>
  <c r="I3253" i="3"/>
  <c r="F3253" i="3"/>
  <c r="G3161" i="3"/>
  <c r="H3161" i="3"/>
  <c r="I3161" i="3"/>
  <c r="F3161" i="3"/>
  <c r="G3252" i="3"/>
  <c r="H3252" i="3"/>
  <c r="I3252" i="3"/>
  <c r="F3252" i="3"/>
  <c r="G3160" i="3"/>
  <c r="H3160" i="3"/>
  <c r="I3160" i="3"/>
  <c r="F3160" i="3"/>
  <c r="F3164" i="3" s="1"/>
  <c r="B3116" i="3"/>
  <c r="C3116" i="3"/>
  <c r="D3116" i="3"/>
  <c r="E3116" i="3"/>
  <c r="F3116" i="3"/>
  <c r="G3116" i="3"/>
  <c r="H3116" i="3"/>
  <c r="G3114" i="3"/>
  <c r="H3114" i="3"/>
  <c r="F3114" i="3"/>
  <c r="C3114" i="3"/>
  <c r="D3114" i="3"/>
  <c r="E3114" i="3"/>
  <c r="B3114" i="3"/>
  <c r="EN361" i="1"/>
  <c r="EN363" i="1"/>
  <c r="EC363" i="1"/>
  <c r="EB363" i="1"/>
  <c r="EN364" i="1" s="1"/>
  <c r="EA363" i="1"/>
  <c r="DZ363" i="1"/>
  <c r="EF363" i="1"/>
  <c r="EE363" i="1"/>
  <c r="EG363" i="1"/>
  <c r="FE89" i="4"/>
  <c r="B140" i="29"/>
  <c r="C138" i="29"/>
  <c r="C140" i="29" s="1"/>
  <c r="D128" i="29"/>
  <c r="D127" i="29"/>
  <c r="D72" i="29"/>
  <c r="O71" i="29"/>
  <c r="H71" i="29"/>
  <c r="I71" i="29" s="1"/>
  <c r="D71" i="29"/>
  <c r="B57" i="29"/>
  <c r="B41" i="29"/>
  <c r="B26" i="29"/>
  <c r="B12" i="29"/>
  <c r="EC587" i="2"/>
  <c r="EG135" i="10"/>
  <c r="EF135" i="10"/>
  <c r="EE135" i="10"/>
  <c r="EA135" i="10"/>
  <c r="EB135" i="10"/>
  <c r="EC135" i="10"/>
  <c r="DZ135" i="10"/>
  <c r="EK165" i="4"/>
  <c r="EG48" i="2"/>
  <c r="EG17" i="4" s="1"/>
  <c r="EF48" i="2"/>
  <c r="EE48" i="2"/>
  <c r="EA48" i="2"/>
  <c r="EA17" i="4" s="1"/>
  <c r="EB48" i="2"/>
  <c r="EB17" i="4" s="1"/>
  <c r="EC48" i="2"/>
  <c r="DZ48" i="2"/>
  <c r="DZ129" i="10" s="1"/>
  <c r="EG11" i="2"/>
  <c r="EF11" i="2"/>
  <c r="EE11" i="2"/>
  <c r="EA11" i="2"/>
  <c r="EB11" i="2"/>
  <c r="EC11" i="2"/>
  <c r="DZ11" i="2"/>
  <c r="EG103" i="4"/>
  <c r="EG14" i="32" s="1"/>
  <c r="EF103" i="4"/>
  <c r="EF14" i="32" s="1"/>
  <c r="EE103" i="4"/>
  <c r="EE14" i="32" s="1"/>
  <c r="DZ103" i="4"/>
  <c r="DZ14" i="32" s="1"/>
  <c r="DU103" i="4"/>
  <c r="DW105" i="2"/>
  <c r="DX105" i="2"/>
  <c r="DV105" i="2"/>
  <c r="DU105" i="2"/>
  <c r="FJ357" i="2"/>
  <c r="DU264" i="10"/>
  <c r="B3414" i="3"/>
  <c r="B3398" i="3"/>
  <c r="B3383" i="3"/>
  <c r="B3369" i="3"/>
  <c r="EE148" i="4"/>
  <c r="EA148" i="4"/>
  <c r="EB148" i="4"/>
  <c r="EC148" i="4"/>
  <c r="DZ148" i="4"/>
  <c r="EG147" i="4"/>
  <c r="EF147" i="4"/>
  <c r="EE147" i="4"/>
  <c r="EG144" i="4"/>
  <c r="EF144" i="4"/>
  <c r="EE144" i="4"/>
  <c r="EG142" i="4"/>
  <c r="EF142" i="4"/>
  <c r="EE142" i="4"/>
  <c r="EG141" i="4"/>
  <c r="EF141" i="4"/>
  <c r="EE141" i="4"/>
  <c r="EG140" i="4"/>
  <c r="EF140" i="4"/>
  <c r="EE140" i="4"/>
  <c r="EG139" i="4"/>
  <c r="EF139" i="4"/>
  <c r="EE139" i="4"/>
  <c r="EG138" i="4"/>
  <c r="EF138" i="4"/>
  <c r="EE138" i="4"/>
  <c r="EG137" i="4"/>
  <c r="EF137" i="4"/>
  <c r="EE137" i="4"/>
  <c r="EG136" i="4"/>
  <c r="EF136" i="4"/>
  <c r="EE136" i="4"/>
  <c r="EA147" i="4"/>
  <c r="EB147" i="4"/>
  <c r="EC147" i="4"/>
  <c r="DZ147" i="4"/>
  <c r="EC144" i="4"/>
  <c r="EB144" i="4"/>
  <c r="EA144" i="4"/>
  <c r="DZ144" i="4"/>
  <c r="DZ137" i="4"/>
  <c r="EA137" i="4"/>
  <c r="EB137" i="4"/>
  <c r="EC137" i="4"/>
  <c r="DZ138" i="4"/>
  <c r="EA138" i="4"/>
  <c r="EB138" i="4"/>
  <c r="EC138" i="4"/>
  <c r="DZ139" i="4"/>
  <c r="EA139" i="4"/>
  <c r="EB139" i="4"/>
  <c r="EC139" i="4"/>
  <c r="DZ140" i="4"/>
  <c r="EA140" i="4"/>
  <c r="EB140" i="4"/>
  <c r="EC140" i="4"/>
  <c r="DZ141" i="4"/>
  <c r="EA141" i="4"/>
  <c r="EB141" i="4"/>
  <c r="EC141" i="4"/>
  <c r="DZ142" i="4"/>
  <c r="EA142" i="4"/>
  <c r="EB142" i="4"/>
  <c r="EC142" i="4"/>
  <c r="EA136" i="4"/>
  <c r="EB136" i="4"/>
  <c r="EC136" i="4"/>
  <c r="DZ136" i="4"/>
  <c r="ED295" i="1"/>
  <c r="ED294" i="1"/>
  <c r="ED292" i="1"/>
  <c r="DZ291" i="1"/>
  <c r="DZ293" i="1" s="1"/>
  <c r="EA291" i="1"/>
  <c r="EA293" i="1" s="1"/>
  <c r="EB291" i="1"/>
  <c r="EB293" i="1" s="1"/>
  <c r="EC291" i="1"/>
  <c r="EC293" i="1" s="1"/>
  <c r="EE291" i="1"/>
  <c r="EE293" i="1" s="1"/>
  <c r="EF291" i="1"/>
  <c r="EF293" i="1" s="1"/>
  <c r="EG291" i="1"/>
  <c r="EG293" i="1" s="1"/>
  <c r="ED289" i="1"/>
  <c r="ED290" i="1"/>
  <c r="ED287" i="1"/>
  <c r="ED288" i="1"/>
  <c r="ED286" i="1"/>
  <c r="ED285" i="1"/>
  <c r="ED284" i="1"/>
  <c r="DV402" i="10"/>
  <c r="DW402" i="10"/>
  <c r="DX402" i="10"/>
  <c r="DY402" i="10"/>
  <c r="DZ402" i="10"/>
  <c r="DU402" i="10"/>
  <c r="DV396" i="10"/>
  <c r="DW396" i="10"/>
  <c r="DX396" i="10"/>
  <c r="DY396" i="10"/>
  <c r="DU396" i="10"/>
  <c r="DU392" i="10"/>
  <c r="DV342" i="10"/>
  <c r="DW342" i="10"/>
  <c r="DX342" i="10"/>
  <c r="DU342" i="10"/>
  <c r="DV15" i="4"/>
  <c r="DW15" i="4"/>
  <c r="DX15" i="4"/>
  <c r="DU15" i="4"/>
  <c r="DV12" i="4"/>
  <c r="DW12" i="4"/>
  <c r="DX12" i="4"/>
  <c r="DU12" i="4"/>
  <c r="EX607" i="2"/>
  <c r="FC607" i="2" s="1"/>
  <c r="FD607" i="2" s="1"/>
  <c r="FE607" i="2" s="1"/>
  <c r="FF607" i="2" s="1"/>
  <c r="FG607" i="2" s="1"/>
  <c r="FH607" i="2" s="1"/>
  <c r="FI607" i="2" s="1"/>
  <c r="E5920" i="3"/>
  <c r="D5920" i="3"/>
  <c r="C5920" i="3"/>
  <c r="B5920" i="3"/>
  <c r="E5908" i="3"/>
  <c r="D5908" i="3"/>
  <c r="C5908" i="3"/>
  <c r="D5208" i="3"/>
  <c r="C5208" i="3"/>
  <c r="B5208" i="3"/>
  <c r="E5207" i="3"/>
  <c r="C4542" i="3"/>
  <c r="C4307" i="3"/>
  <c r="D4209" i="3"/>
  <c r="C4209" i="3"/>
  <c r="B4209" i="3"/>
  <c r="J3735" i="3"/>
  <c r="I3735" i="3"/>
  <c r="H3735" i="3"/>
  <c r="G3735" i="3"/>
  <c r="F3735" i="3"/>
  <c r="E3735" i="3"/>
  <c r="D3735" i="3"/>
  <c r="C3735" i="3"/>
  <c r="B3735" i="3"/>
  <c r="DT184" i="10"/>
  <c r="P212" i="11"/>
  <c r="O212" i="11"/>
  <c r="N212" i="11"/>
  <c r="DT185" i="10"/>
  <c r="EG469" i="2"/>
  <c r="EL479" i="2" s="1"/>
  <c r="EF469" i="2"/>
  <c r="EK479" i="2" s="1"/>
  <c r="EE469" i="2"/>
  <c r="EA469" i="2"/>
  <c r="EB469" i="2"/>
  <c r="EC469" i="2"/>
  <c r="DZ469" i="2"/>
  <c r="EG343" i="2"/>
  <c r="EA343" i="2"/>
  <c r="EA426" i="10" s="1"/>
  <c r="EB343" i="2"/>
  <c r="DZ343" i="2"/>
  <c r="EG205" i="2"/>
  <c r="EL213" i="2" s="1"/>
  <c r="EA205" i="2"/>
  <c r="EA378" i="10" s="1"/>
  <c r="EB205" i="2"/>
  <c r="EB378" i="10" s="1"/>
  <c r="DZ205" i="2"/>
  <c r="DZ378" i="10" s="1"/>
  <c r="DX469" i="2"/>
  <c r="DX470" i="2" s="1"/>
  <c r="DW469" i="2"/>
  <c r="DW470" i="2" s="1"/>
  <c r="DV469" i="2"/>
  <c r="DV470" i="2" s="1"/>
  <c r="DU469" i="2"/>
  <c r="DU470" i="2" s="1"/>
  <c r="DU270" i="2"/>
  <c r="DY268" i="2"/>
  <c r="DV275" i="2"/>
  <c r="DW275" i="2" s="1"/>
  <c r="DX275" i="2" s="1"/>
  <c r="DU125" i="2"/>
  <c r="DY123" i="2"/>
  <c r="DV130" i="2"/>
  <c r="DW130" i="2" s="1"/>
  <c r="DX130" i="2" s="1"/>
  <c r="EE233" i="2"/>
  <c r="EE370" i="2"/>
  <c r="EA369" i="2"/>
  <c r="EB369" i="2" s="1"/>
  <c r="EC369" i="2" s="1"/>
  <c r="EA232" i="2"/>
  <c r="EB232" i="2" s="1"/>
  <c r="EL330" i="2"/>
  <c r="EA329" i="2"/>
  <c r="EA414" i="10" s="1"/>
  <c r="EB329" i="2"/>
  <c r="EB414" i="10" s="1"/>
  <c r="DZ329" i="2"/>
  <c r="DZ414" i="10" s="1"/>
  <c r="EL195" i="2"/>
  <c r="EA194" i="2"/>
  <c r="EB194" i="2"/>
  <c r="EB366" i="10" s="1"/>
  <c r="DZ194" i="2"/>
  <c r="DZ366" i="10" s="1"/>
  <c r="DU96" i="2"/>
  <c r="DU91" i="2"/>
  <c r="DU344" i="10" s="1"/>
  <c r="DX87" i="2"/>
  <c r="DW87" i="2"/>
  <c r="DW96" i="2" s="1"/>
  <c r="DV87" i="2"/>
  <c r="DV96" i="2" s="1"/>
  <c r="DZ333" i="2"/>
  <c r="DU333" i="2" s="1"/>
  <c r="H3442" i="3"/>
  <c r="D3442" i="3"/>
  <c r="E3443" i="3" s="1"/>
  <c r="F3444" i="3" s="1"/>
  <c r="G3445" i="3" s="1"/>
  <c r="H3446" i="3" s="1"/>
  <c r="I3447" i="3" s="1"/>
  <c r="J3448" i="3" s="1"/>
  <c r="K3449" i="3" s="1"/>
  <c r="L3450" i="3" s="1"/>
  <c r="M3451" i="3" s="1"/>
  <c r="N3452" i="3" s="1"/>
  <c r="L3443" i="3"/>
  <c r="M3443" i="3" s="1"/>
  <c r="N3443" i="3" s="1"/>
  <c r="H3443" i="3"/>
  <c r="I3444" i="3" s="1"/>
  <c r="J3445" i="3" s="1"/>
  <c r="K3446" i="3" s="1"/>
  <c r="L3447" i="3" s="1"/>
  <c r="M3448" i="3" s="1"/>
  <c r="N3449" i="3" s="1"/>
  <c r="L3442" i="3"/>
  <c r="M3442" i="3" s="1"/>
  <c r="N3442" i="3" s="1"/>
  <c r="D3443" i="3"/>
  <c r="E3444" i="3" s="1"/>
  <c r="F3445" i="3" s="1"/>
  <c r="G3446" i="3" s="1"/>
  <c r="H3447" i="3" s="1"/>
  <c r="I3448" i="3" s="1"/>
  <c r="J3449" i="3" s="1"/>
  <c r="K3450" i="3" s="1"/>
  <c r="L3451" i="3" s="1"/>
  <c r="M3452" i="3" s="1"/>
  <c r="N3453" i="3" s="1"/>
  <c r="D3481" i="3"/>
  <c r="D3480" i="3"/>
  <c r="EM108" i="10"/>
  <c r="EL108" i="10"/>
  <c r="EK108" i="10"/>
  <c r="EM5" i="10"/>
  <c r="EL5" i="10"/>
  <c r="EK5" i="10"/>
  <c r="EJ5" i="10"/>
  <c r="EN188" i="4"/>
  <c r="EN131" i="4"/>
  <c r="EN119" i="4"/>
  <c r="EJ635" i="2"/>
  <c r="EK635" i="2" s="1"/>
  <c r="EL635" i="2" s="1"/>
  <c r="EM635" i="2" s="1"/>
  <c r="EN635" i="2" s="1"/>
  <c r="ES635" i="2" s="1"/>
  <c r="EX635" i="2" s="1"/>
  <c r="FC635" i="2" s="1"/>
  <c r="FD635" i="2" s="1"/>
  <c r="FE635" i="2" s="1"/>
  <c r="EN5" i="4"/>
  <c r="EM5" i="4"/>
  <c r="EL5" i="4"/>
  <c r="EK5" i="4"/>
  <c r="EJ5" i="4"/>
  <c r="EN5" i="2"/>
  <c r="EM5" i="2"/>
  <c r="EL5" i="2"/>
  <c r="EK5" i="2"/>
  <c r="EJ5" i="2"/>
  <c r="ED152" i="1"/>
  <c r="ED151" i="1"/>
  <c r="ED143" i="1"/>
  <c r="ED141" i="1"/>
  <c r="ED140" i="1"/>
  <c r="EG28" i="2"/>
  <c r="EL35" i="2" s="1"/>
  <c r="EF28" i="2"/>
  <c r="EK35" i="2" s="1"/>
  <c r="EE28" i="2"/>
  <c r="EG27" i="2"/>
  <c r="EL34" i="2" s="1"/>
  <c r="EF27" i="2"/>
  <c r="EK34" i="2" s="1"/>
  <c r="EE27" i="2"/>
  <c r="ED186" i="1"/>
  <c r="ED187" i="1"/>
  <c r="ED175" i="1"/>
  <c r="ED176" i="1"/>
  <c r="ED178" i="1"/>
  <c r="DZ28" i="2"/>
  <c r="EA28" i="2"/>
  <c r="EB28" i="2"/>
  <c r="EC28" i="2"/>
  <c r="EA27" i="2"/>
  <c r="EB27" i="2"/>
  <c r="EC27" i="2"/>
  <c r="DZ27" i="2"/>
  <c r="ED172" i="1"/>
  <c r="EG171" i="1"/>
  <c r="EC171" i="1"/>
  <c r="EC344" i="36" s="1"/>
  <c r="EB171" i="1"/>
  <c r="EA171" i="1"/>
  <c r="DZ171" i="1"/>
  <c r="ED170" i="1"/>
  <c r="ED169" i="1"/>
  <c r="EG168" i="1"/>
  <c r="EC168" i="1"/>
  <c r="EB168" i="1"/>
  <c r="EB206" i="36" s="1"/>
  <c r="EA168" i="1"/>
  <c r="DZ168" i="1"/>
  <c r="ED167" i="1"/>
  <c r="ED166" i="1"/>
  <c r="ED162" i="1"/>
  <c r="EG161" i="1"/>
  <c r="EG163" i="1" s="1"/>
  <c r="EF161" i="1"/>
  <c r="EF163" i="1" s="1"/>
  <c r="EE161" i="1"/>
  <c r="EE163" i="1" s="1"/>
  <c r="EC161" i="1"/>
  <c r="EC163" i="1" s="1"/>
  <c r="EB161" i="1"/>
  <c r="EB163" i="1" s="1"/>
  <c r="EA161" i="1"/>
  <c r="EA163" i="1" s="1"/>
  <c r="DZ161" i="1"/>
  <c r="DZ163" i="1" s="1"/>
  <c r="ED160" i="1"/>
  <c r="ED159" i="1"/>
  <c r="ED158" i="1"/>
  <c r="ED157" i="1"/>
  <c r="ED137" i="1"/>
  <c r="ED134" i="1"/>
  <c r="ED135" i="1"/>
  <c r="ED131" i="1"/>
  <c r="ED132" i="1"/>
  <c r="EG171" i="4"/>
  <c r="EG173" i="4"/>
  <c r="EG174" i="4"/>
  <c r="EG175" i="4"/>
  <c r="EG178" i="4"/>
  <c r="EG179" i="4"/>
  <c r="EG182" i="4"/>
  <c r="EG183" i="4"/>
  <c r="EG184" i="4"/>
  <c r="EG187" i="4"/>
  <c r="EG188" i="4"/>
  <c r="EG189" i="4"/>
  <c r="EG166" i="4"/>
  <c r="EG13" i="32" s="1"/>
  <c r="EG100" i="4"/>
  <c r="EG101" i="4"/>
  <c r="EG102" i="4"/>
  <c r="EG108" i="4"/>
  <c r="EG109" i="4"/>
  <c r="EG112" i="4"/>
  <c r="EG113" i="4"/>
  <c r="EG114" i="4"/>
  <c r="EG115" i="4"/>
  <c r="EG116" i="4"/>
  <c r="EG117" i="4"/>
  <c r="EG118" i="4"/>
  <c r="EG75" i="4"/>
  <c r="EG167" i="4" s="1"/>
  <c r="EG78" i="4"/>
  <c r="EG80" i="4"/>
  <c r="EG110" i="10" s="1"/>
  <c r="EG53" i="4"/>
  <c r="EL54" i="4" s="1"/>
  <c r="EG635" i="2"/>
  <c r="EH635" i="2" s="1"/>
  <c r="EG587" i="2"/>
  <c r="EG572" i="2"/>
  <c r="EG388" i="2"/>
  <c r="EA388" i="2"/>
  <c r="EA435" i="10" s="1"/>
  <c r="EB388" i="2"/>
  <c r="EB435" i="10" s="1"/>
  <c r="EC388" i="2"/>
  <c r="DZ388" i="2"/>
  <c r="EG251" i="2"/>
  <c r="EA251" i="2"/>
  <c r="EB251" i="2"/>
  <c r="EB387" i="10" s="1"/>
  <c r="EC251" i="2"/>
  <c r="EC387" i="10" s="1"/>
  <c r="DZ251" i="2"/>
  <c r="DZ387" i="10" s="1"/>
  <c r="EG483" i="2"/>
  <c r="EA483" i="2"/>
  <c r="EB483" i="2"/>
  <c r="EC483" i="2"/>
  <c r="DZ483" i="2"/>
  <c r="EG446" i="2"/>
  <c r="EB431" i="2"/>
  <c r="EB433" i="2"/>
  <c r="EB435" i="2"/>
  <c r="EG433" i="2"/>
  <c r="EG273" i="2"/>
  <c r="EG401" i="10" s="1"/>
  <c r="EF273" i="2"/>
  <c r="EF401" i="10" s="1"/>
  <c r="EE273" i="2"/>
  <c r="EE401" i="10" s="1"/>
  <c r="EA273" i="2"/>
  <c r="EA401" i="10" s="1"/>
  <c r="EB273" i="2"/>
  <c r="EB401" i="10" s="1"/>
  <c r="EC273" i="2"/>
  <c r="EC401" i="10" s="1"/>
  <c r="EG128" i="2"/>
  <c r="EG353" i="10" s="1"/>
  <c r="EF128" i="2"/>
  <c r="EF353" i="10" s="1"/>
  <c r="EE128" i="2"/>
  <c r="EE353" i="10" s="1"/>
  <c r="EA128" i="2"/>
  <c r="EB128" i="2"/>
  <c r="EB353" i="10" s="1"/>
  <c r="EC128" i="2"/>
  <c r="EC353" i="10" s="1"/>
  <c r="EG119" i="2"/>
  <c r="EG54" i="2"/>
  <c r="EL55" i="2" s="1"/>
  <c r="EG536" i="1"/>
  <c r="EG537" i="1"/>
  <c r="EG546" i="1"/>
  <c r="EG412" i="1"/>
  <c r="EF412" i="1"/>
  <c r="EE412" i="1"/>
  <c r="EC412" i="1"/>
  <c r="EB412" i="1"/>
  <c r="EA412" i="1"/>
  <c r="DZ412" i="1"/>
  <c r="EG407" i="1"/>
  <c r="EF407" i="1"/>
  <c r="EE407" i="1"/>
  <c r="EC407" i="1"/>
  <c r="EB407" i="1"/>
  <c r="EA407" i="1"/>
  <c r="DZ407" i="1"/>
  <c r="EG39" i="4"/>
  <c r="EG37" i="4"/>
  <c r="EG633" i="2"/>
  <c r="EG27" i="4"/>
  <c r="DZ136" i="1"/>
  <c r="DZ133" i="1"/>
  <c r="EA136" i="1"/>
  <c r="EA133" i="1"/>
  <c r="EB136" i="1"/>
  <c r="EB133" i="1"/>
  <c r="EC136" i="1"/>
  <c r="EC133" i="1"/>
  <c r="EE136" i="1"/>
  <c r="EE133" i="1"/>
  <c r="EF136" i="1"/>
  <c r="EF133" i="1"/>
  <c r="EG137" i="1"/>
  <c r="EG136" i="1"/>
  <c r="ED127" i="1"/>
  <c r="ED125" i="1"/>
  <c r="ED124" i="1"/>
  <c r="ED123" i="1"/>
  <c r="ED122" i="1"/>
  <c r="EC126" i="1"/>
  <c r="EC128" i="1" s="1"/>
  <c r="EB126" i="1"/>
  <c r="EB128" i="1" s="1"/>
  <c r="EA126" i="1"/>
  <c r="EA128" i="1" s="1"/>
  <c r="DZ126" i="1"/>
  <c r="DZ128" i="1" s="1"/>
  <c r="EG492" i="1"/>
  <c r="EG491" i="1"/>
  <c r="EG503" i="1" s="1"/>
  <c r="EG500" i="1"/>
  <c r="EE126" i="1"/>
  <c r="EE128" i="1" s="1"/>
  <c r="EG133" i="1"/>
  <c r="EG126" i="1"/>
  <c r="EG128" i="1" s="1"/>
  <c r="EF126" i="1"/>
  <c r="EF128" i="1" s="1"/>
  <c r="EG505" i="1"/>
  <c r="EG392" i="1"/>
  <c r="EG372" i="1"/>
  <c r="EG377" i="1"/>
  <c r="EG367" i="1"/>
  <c r="EG341" i="1"/>
  <c r="EG278" i="1"/>
  <c r="EG279" i="1" s="1"/>
  <c r="EG266" i="1"/>
  <c r="EG237" i="1"/>
  <c r="EG225" i="1"/>
  <c r="EG216" i="1"/>
  <c r="EG220" i="1" s="1"/>
  <c r="EG231" i="1" s="1"/>
  <c r="EG206" i="1"/>
  <c r="EG205" i="1"/>
  <c r="EG198" i="1"/>
  <c r="EG200" i="1" s="1"/>
  <c r="EG98" i="1"/>
  <c r="EG97" i="1"/>
  <c r="EG94" i="1"/>
  <c r="EG90" i="1"/>
  <c r="EG88" i="1"/>
  <c r="EG87" i="1"/>
  <c r="EG86" i="1"/>
  <c r="EG85" i="1"/>
  <c r="EG84" i="1"/>
  <c r="EG83" i="1"/>
  <c r="B3493" i="3"/>
  <c r="C3491" i="3"/>
  <c r="C3493" i="3" s="1"/>
  <c r="EA504" i="1"/>
  <c r="EB504" i="1"/>
  <c r="EC504" i="1"/>
  <c r="EE504" i="1"/>
  <c r="EF504" i="1"/>
  <c r="EA505" i="1"/>
  <c r="EB505" i="1"/>
  <c r="EC505" i="1"/>
  <c r="EE505" i="1"/>
  <c r="EF505" i="1"/>
  <c r="DZ504" i="1"/>
  <c r="DZ505" i="1"/>
  <c r="ED492" i="1"/>
  <c r="ED493" i="1"/>
  <c r="DZ500" i="1"/>
  <c r="EA500" i="1"/>
  <c r="EB500" i="1"/>
  <c r="EC500" i="1"/>
  <c r="EE500" i="1"/>
  <c r="EF500" i="1"/>
  <c r="ED497" i="1"/>
  <c r="ED498" i="1"/>
  <c r="ED499" i="1"/>
  <c r="DZ491" i="1"/>
  <c r="DZ494" i="1" s="1"/>
  <c r="EA491" i="1"/>
  <c r="EA494" i="1" s="1"/>
  <c r="EB491" i="1"/>
  <c r="EC491" i="1"/>
  <c r="EC494" i="1" s="1"/>
  <c r="EE491" i="1"/>
  <c r="EF491" i="1"/>
  <c r="EF503" i="1" s="1"/>
  <c r="ED490" i="1"/>
  <c r="ED489" i="1"/>
  <c r="I28" i="27" a="1"/>
  <c r="I28" i="27" s="1"/>
  <c r="B50" i="6"/>
  <c r="C178" i="19"/>
  <c r="B178" i="19"/>
  <c r="EE131" i="4"/>
  <c r="EB131" i="4"/>
  <c r="EA131" i="4"/>
  <c r="EF131" i="4"/>
  <c r="EF446" i="2"/>
  <c r="EE446" i="2"/>
  <c r="EC446" i="2"/>
  <c r="EB446" i="2"/>
  <c r="EA446" i="2"/>
  <c r="DZ446" i="2"/>
  <c r="DV446" i="2"/>
  <c r="DW446" i="2"/>
  <c r="DX446" i="2"/>
  <c r="DU446" i="2"/>
  <c r="EC309" i="2"/>
  <c r="EB309" i="2"/>
  <c r="EA309" i="2"/>
  <c r="DZ309" i="2"/>
  <c r="DV309" i="2"/>
  <c r="DW309" i="2"/>
  <c r="DX309" i="2"/>
  <c r="DU309" i="2"/>
  <c r="DU307" i="2"/>
  <c r="EB302" i="2"/>
  <c r="DW302" i="2"/>
  <c r="DW397" i="10"/>
  <c r="DX397" i="10"/>
  <c r="EC142" i="2"/>
  <c r="EB142" i="2"/>
  <c r="EA142" i="2"/>
  <c r="DZ142" i="2"/>
  <c r="DV142" i="2"/>
  <c r="DW142" i="2"/>
  <c r="DX142" i="2"/>
  <c r="DU142" i="2"/>
  <c r="DU140" i="2"/>
  <c r="EA348" i="10"/>
  <c r="DV348" i="10"/>
  <c r="DX348" i="10"/>
  <c r="DY131" i="4"/>
  <c r="EF25" i="4"/>
  <c r="EE25" i="4"/>
  <c r="EF24" i="4"/>
  <c r="EE24" i="4"/>
  <c r="EF23" i="4"/>
  <c r="EE23" i="4"/>
  <c r="EF22" i="4"/>
  <c r="EE22" i="4"/>
  <c r="EC25" i="4"/>
  <c r="EB25" i="4"/>
  <c r="EA25" i="4"/>
  <c r="DZ25" i="4"/>
  <c r="EC24" i="4"/>
  <c r="EB24" i="4"/>
  <c r="EA24" i="4"/>
  <c r="DZ24" i="4"/>
  <c r="EC23" i="4"/>
  <c r="EB23" i="4"/>
  <c r="EA23" i="4"/>
  <c r="DZ23" i="4"/>
  <c r="EC22" i="4"/>
  <c r="EB22" i="4"/>
  <c r="EA22" i="4"/>
  <c r="DZ22" i="4"/>
  <c r="DV22" i="4"/>
  <c r="DW22" i="4"/>
  <c r="DX22" i="4"/>
  <c r="DV23" i="4"/>
  <c r="DW23" i="4"/>
  <c r="DX23" i="4"/>
  <c r="DV24" i="4"/>
  <c r="DW24" i="4"/>
  <c r="DX24" i="4"/>
  <c r="DV25" i="4"/>
  <c r="DW25" i="4"/>
  <c r="DX25" i="4"/>
  <c r="DU23" i="4"/>
  <c r="DU24" i="4"/>
  <c r="DU25" i="4"/>
  <c r="DU22" i="4"/>
  <c r="J3520" i="3"/>
  <c r="I3518" i="3"/>
  <c r="K3518" i="3" s="1"/>
  <c r="H3520" i="3"/>
  <c r="G3520" i="3"/>
  <c r="EF635" i="2"/>
  <c r="C3523" i="3"/>
  <c r="D3523" i="3"/>
  <c r="D3522" i="3"/>
  <c r="C3522" i="3"/>
  <c r="C3520" i="3"/>
  <c r="D3520" i="3"/>
  <c r="B3520" i="3"/>
  <c r="D3537" i="3"/>
  <c r="C3542" i="3"/>
  <c r="C3541" i="3"/>
  <c r="B3541" i="3"/>
  <c r="B3543" i="3" s="1"/>
  <c r="B3546" i="3" s="1"/>
  <c r="B3539" i="3"/>
  <c r="B3545" i="3" s="1"/>
  <c r="C3538" i="3"/>
  <c r="C3539" i="3" s="1"/>
  <c r="DW77" i="18"/>
  <c r="DV77" i="18"/>
  <c r="DU77" i="18"/>
  <c r="DX264" i="2"/>
  <c r="DW264" i="2"/>
  <c r="DV264" i="2"/>
  <c r="DU264" i="2"/>
  <c r="EC264" i="2"/>
  <c r="EB264" i="2"/>
  <c r="EA264" i="2"/>
  <c r="DZ264" i="2"/>
  <c r="B3571" i="3"/>
  <c r="C3571" i="3"/>
  <c r="B3572" i="3"/>
  <c r="C3572" i="3"/>
  <c r="J4532" i="3"/>
  <c r="I4532" i="3"/>
  <c r="D3578" i="3"/>
  <c r="C3579" i="3"/>
  <c r="B3579" i="3"/>
  <c r="EF337" i="18"/>
  <c r="EE337" i="18"/>
  <c r="EC337" i="18"/>
  <c r="EB337" i="18"/>
  <c r="EA337" i="18"/>
  <c r="DZ337" i="18"/>
  <c r="DV337" i="18"/>
  <c r="DW337" i="18"/>
  <c r="DX337" i="18"/>
  <c r="DU337" i="18"/>
  <c r="EF283" i="18"/>
  <c r="EF288" i="18"/>
  <c r="EF271" i="18"/>
  <c r="EG271" i="18" s="1"/>
  <c r="EH271" i="18" s="1"/>
  <c r="EF101" i="18"/>
  <c r="EF77" i="18" s="1"/>
  <c r="EE101" i="18"/>
  <c r="EA101" i="18"/>
  <c r="EB101" i="18"/>
  <c r="EC101" i="18"/>
  <c r="DZ101" i="18"/>
  <c r="DV102" i="18"/>
  <c r="DU102" i="18" s="1"/>
  <c r="DW102" i="18"/>
  <c r="EF354" i="18"/>
  <c r="EF352" i="18"/>
  <c r="EF351" i="18"/>
  <c r="EF346" i="18"/>
  <c r="EF347" i="18"/>
  <c r="EF348" i="18"/>
  <c r="EF345" i="18"/>
  <c r="EA339" i="18"/>
  <c r="EA58" i="18" s="1"/>
  <c r="EF339" i="18"/>
  <c r="EF58" i="18" s="1"/>
  <c r="DX301" i="18"/>
  <c r="DW301" i="18"/>
  <c r="DV301" i="18"/>
  <c r="DU301" i="18"/>
  <c r="DX297" i="18"/>
  <c r="DY297" i="18" s="1"/>
  <c r="DZ294" i="18" s="1"/>
  <c r="DW297" i="18"/>
  <c r="DX294" i="18" s="1"/>
  <c r="DV297" i="18"/>
  <c r="DW294" i="18" s="1"/>
  <c r="DU297" i="18"/>
  <c r="EC301" i="18"/>
  <c r="EH301" i="18" s="1"/>
  <c r="EB301" i="18"/>
  <c r="EG301" i="18" s="1"/>
  <c r="EA301" i="18"/>
  <c r="DZ301" i="18"/>
  <c r="EC297" i="18"/>
  <c r="EB297" i="18"/>
  <c r="EA297" i="18"/>
  <c r="DZ297" i="18"/>
  <c r="EF301" i="18"/>
  <c r="EE301" i="18"/>
  <c r="EF297" i="18"/>
  <c r="EE297" i="18"/>
  <c r="EF294" i="18" s="1"/>
  <c r="DX272" i="18"/>
  <c r="DW272" i="18"/>
  <c r="DV272" i="18"/>
  <c r="DU272" i="18"/>
  <c r="EC272" i="18"/>
  <c r="EB272" i="18"/>
  <c r="EA272" i="18"/>
  <c r="DZ272" i="18"/>
  <c r="EF272" i="18"/>
  <c r="EE272" i="18"/>
  <c r="DX268" i="18"/>
  <c r="DW268" i="18"/>
  <c r="DV268" i="18"/>
  <c r="DU268" i="18"/>
  <c r="EC268" i="18"/>
  <c r="EB268" i="18"/>
  <c r="EA268" i="18"/>
  <c r="DZ268" i="18"/>
  <c r="EF268" i="18"/>
  <c r="EE268" i="18"/>
  <c r="DX222" i="18"/>
  <c r="DY222" i="18" s="1"/>
  <c r="DW222" i="18"/>
  <c r="DV222" i="18"/>
  <c r="DU222" i="18"/>
  <c r="EC222" i="18"/>
  <c r="ED222" i="18" s="1"/>
  <c r="EB222" i="18"/>
  <c r="EA222" i="18"/>
  <c r="DZ222" i="18"/>
  <c r="EF222" i="18"/>
  <c r="EE222" i="18"/>
  <c r="DX218" i="18"/>
  <c r="DW218" i="18"/>
  <c r="DX215" i="18" s="1"/>
  <c r="DV218" i="18"/>
  <c r="DW215" i="18" s="1"/>
  <c r="DU218" i="18"/>
  <c r="DV215" i="18" s="1"/>
  <c r="EC218" i="18"/>
  <c r="ED218" i="18" s="1"/>
  <c r="EE215" i="18" s="1"/>
  <c r="EB218" i="18"/>
  <c r="EA218" i="18"/>
  <c r="DZ218" i="18"/>
  <c r="EA215" i="18" s="1"/>
  <c r="EF218" i="18"/>
  <c r="EG215" i="18" s="1"/>
  <c r="EG217" i="18" s="1"/>
  <c r="EE218" i="18"/>
  <c r="EF196" i="18"/>
  <c r="EF656" i="18" s="1"/>
  <c r="EE196" i="18"/>
  <c r="C25" i="21" s="1"/>
  <c r="DX145" i="18"/>
  <c r="DX253" i="18" s="1"/>
  <c r="DW145" i="18"/>
  <c r="DW253" i="18" s="1"/>
  <c r="DV145" i="18"/>
  <c r="DV253" i="18" s="1"/>
  <c r="DU145" i="18"/>
  <c r="DU253" i="18" s="1"/>
  <c r="EC145" i="18"/>
  <c r="EB145" i="18"/>
  <c r="EA145" i="18"/>
  <c r="EA253" i="18" s="1"/>
  <c r="DZ145" i="18"/>
  <c r="DZ253" i="18" s="1"/>
  <c r="EF145" i="18"/>
  <c r="EE145" i="18"/>
  <c r="DX141" i="18"/>
  <c r="DW141" i="18"/>
  <c r="DW249" i="18" s="1"/>
  <c r="DW257" i="18" s="1"/>
  <c r="DW42" i="18" s="1"/>
  <c r="DV141" i="18"/>
  <c r="DV249" i="18" s="1"/>
  <c r="DV257" i="18" s="1"/>
  <c r="DV42" i="18" s="1"/>
  <c r="DU141" i="18"/>
  <c r="DU249" i="18" s="1"/>
  <c r="EC141" i="18"/>
  <c r="EC249" i="18" s="1"/>
  <c r="EB141" i="18"/>
  <c r="EB249" i="18" s="1"/>
  <c r="EA141" i="18"/>
  <c r="EA249" i="18" s="1"/>
  <c r="DZ141" i="18"/>
  <c r="EF141" i="18"/>
  <c r="EE141" i="18"/>
  <c r="EE249" i="18" s="1"/>
  <c r="DV131" i="18"/>
  <c r="DX131" i="18"/>
  <c r="DZ131" i="18"/>
  <c r="EA128" i="18" s="1"/>
  <c r="EA131" i="18"/>
  <c r="EB131" i="18"/>
  <c r="EC131" i="18"/>
  <c r="ED131" i="18" s="1"/>
  <c r="B336" i="24" s="1"/>
  <c r="EE131" i="18"/>
  <c r="DU133" i="18"/>
  <c r="DV135" i="18"/>
  <c r="DW135" i="18" s="1"/>
  <c r="DX135" i="18" s="1"/>
  <c r="DX120" i="18"/>
  <c r="DW120" i="18"/>
  <c r="DX117" i="18" s="1"/>
  <c r="DV120" i="18"/>
  <c r="DW117" i="18" s="1"/>
  <c r="DU120" i="18"/>
  <c r="DV117" i="18" s="1"/>
  <c r="EC120" i="18"/>
  <c r="ED120" i="18" s="1"/>
  <c r="B335" i="24" s="1"/>
  <c r="EB120" i="18"/>
  <c r="EA120" i="18"/>
  <c r="DZ120" i="18"/>
  <c r="EF120" i="18"/>
  <c r="EG117" i="18" s="1"/>
  <c r="EE120" i="18"/>
  <c r="EF117" i="18" s="1"/>
  <c r="DX113" i="18"/>
  <c r="DX212" i="18" s="1"/>
  <c r="DW113" i="18"/>
  <c r="DW212" i="18" s="1"/>
  <c r="DV113" i="18"/>
  <c r="DV212" i="18" s="1"/>
  <c r="DU113" i="18"/>
  <c r="DU212" i="18" s="1"/>
  <c r="EC113" i="18"/>
  <c r="EC212" i="18" s="1"/>
  <c r="EB113" i="18"/>
  <c r="EB212" i="18" s="1"/>
  <c r="EA113" i="18"/>
  <c r="EA212" i="18" s="1"/>
  <c r="DZ113" i="18"/>
  <c r="DZ212" i="18" s="1"/>
  <c r="EF113" i="18"/>
  <c r="EF212" i="18" s="1"/>
  <c r="EE113" i="18"/>
  <c r="EE212" i="18" s="1"/>
  <c r="DX109" i="18"/>
  <c r="DY109" i="18" s="1"/>
  <c r="DW109" i="18"/>
  <c r="DV109" i="18"/>
  <c r="DU109" i="18"/>
  <c r="H18" i="22"/>
  <c r="I18" i="22" s="1"/>
  <c r="J18" i="22" s="1"/>
  <c r="H17" i="22"/>
  <c r="I17" i="22" s="1"/>
  <c r="J17" i="22" s="1"/>
  <c r="J25" i="22" s="1"/>
  <c r="H16" i="22"/>
  <c r="I16" i="22" s="1"/>
  <c r="J16" i="22" s="1"/>
  <c r="H18" i="21"/>
  <c r="I18" i="21" s="1"/>
  <c r="J18" i="21" s="1"/>
  <c r="H17" i="21"/>
  <c r="I17" i="21" s="1"/>
  <c r="H16" i="21"/>
  <c r="I16" i="21" s="1"/>
  <c r="J16" i="21" s="1"/>
  <c r="H17" i="20"/>
  <c r="I17" i="20" s="1"/>
  <c r="J17" i="20" s="1"/>
  <c r="J25" i="20" s="1"/>
  <c r="H18" i="20"/>
  <c r="I18" i="20" s="1"/>
  <c r="J18" i="20" s="1"/>
  <c r="EF587" i="2"/>
  <c r="EE587" i="2"/>
  <c r="EF80" i="4"/>
  <c r="EF148" i="4" s="1"/>
  <c r="EF166" i="4"/>
  <c r="EF13" i="32" s="1"/>
  <c r="EF53" i="4"/>
  <c r="EK54" i="4" s="1"/>
  <c r="EF65" i="4"/>
  <c r="EF75" i="4"/>
  <c r="EF167" i="4" s="1"/>
  <c r="EF78" i="4"/>
  <c r="EF196" i="4"/>
  <c r="EF115" i="10" s="1"/>
  <c r="EF171" i="4"/>
  <c r="EF197" i="4" s="1"/>
  <c r="EF116" i="10" s="1"/>
  <c r="EF173" i="4"/>
  <c r="EF174" i="4"/>
  <c r="EF175" i="4"/>
  <c r="EF178" i="4"/>
  <c r="EF179" i="4"/>
  <c r="EF182" i="4"/>
  <c r="EF183" i="4"/>
  <c r="EF184" i="4"/>
  <c r="EF187" i="4"/>
  <c r="EF188" i="4"/>
  <c r="EF189" i="4"/>
  <c r="EF100" i="4"/>
  <c r="EF101" i="4"/>
  <c r="EF102" i="4"/>
  <c r="EF108" i="4"/>
  <c r="EF112" i="4"/>
  <c r="EF113" i="4"/>
  <c r="EF114" i="4"/>
  <c r="EF115" i="4"/>
  <c r="EF116" i="4"/>
  <c r="EF117" i="4"/>
  <c r="EF118" i="4"/>
  <c r="EA661" i="2"/>
  <c r="EA660" i="2"/>
  <c r="EF661" i="2"/>
  <c r="EA635" i="2"/>
  <c r="DV323" i="2"/>
  <c r="DW323" i="2"/>
  <c r="DX323" i="2"/>
  <c r="DU323" i="2"/>
  <c r="DV186" i="2"/>
  <c r="DW186" i="2"/>
  <c r="DX186" i="2"/>
  <c r="DU186" i="2"/>
  <c r="EF433" i="2"/>
  <c r="DX433" i="2"/>
  <c r="DV433" i="2"/>
  <c r="DV190" i="10" s="1"/>
  <c r="EA433" i="2"/>
  <c r="EA435" i="2"/>
  <c r="EA431" i="2"/>
  <c r="DV260" i="2"/>
  <c r="DW260" i="2"/>
  <c r="DU260" i="2"/>
  <c r="EC119" i="2"/>
  <c r="EB119" i="2"/>
  <c r="EA119" i="2"/>
  <c r="DZ119" i="2"/>
  <c r="DV119" i="2"/>
  <c r="DW119" i="2"/>
  <c r="DX119" i="2"/>
  <c r="DU119" i="2"/>
  <c r="DU117" i="2"/>
  <c r="DV115" i="2"/>
  <c r="DW115" i="2"/>
  <c r="DU115" i="2"/>
  <c r="EF54" i="2"/>
  <c r="EK55" i="2" s="1"/>
  <c r="EA27" i="4"/>
  <c r="EF94" i="1"/>
  <c r="EF278" i="1"/>
  <c r="EF279" i="1" s="1"/>
  <c r="EF255" i="1"/>
  <c r="EF109" i="35" s="1"/>
  <c r="EI109" i="35" s="1"/>
  <c r="EF266" i="1"/>
  <c r="EF253" i="1"/>
  <c r="EF237" i="1"/>
  <c r="EF216" i="1"/>
  <c r="EF220" i="1" s="1"/>
  <c r="EF231" i="1" s="1"/>
  <c r="EF225" i="1"/>
  <c r="EA206" i="1"/>
  <c r="EA205" i="1"/>
  <c r="EA198" i="1"/>
  <c r="EA200" i="1" s="1"/>
  <c r="EF206" i="1"/>
  <c r="EF205" i="1"/>
  <c r="EF198" i="1"/>
  <c r="EF200" i="1" s="1"/>
  <c r="EF632" i="2"/>
  <c r="EF633" i="2"/>
  <c r="EF27" i="4"/>
  <c r="EF392" i="1"/>
  <c r="EE392" i="1"/>
  <c r="EC392" i="1"/>
  <c r="EB392" i="1"/>
  <c r="EA392" i="1"/>
  <c r="DZ392" i="1"/>
  <c r="DX392" i="1"/>
  <c r="DW392" i="1"/>
  <c r="DV392" i="1"/>
  <c r="DU392" i="1"/>
  <c r="EF372" i="1"/>
  <c r="EE372" i="1"/>
  <c r="EC372" i="1"/>
  <c r="EB372" i="1"/>
  <c r="EA372" i="1"/>
  <c r="DZ372" i="1"/>
  <c r="DX372" i="1"/>
  <c r="DW372" i="1"/>
  <c r="DV372" i="1"/>
  <c r="DU372" i="1"/>
  <c r="EF377" i="1"/>
  <c r="EE377" i="1"/>
  <c r="EC377" i="1"/>
  <c r="EB377" i="1"/>
  <c r="EA377" i="1"/>
  <c r="DZ377" i="1"/>
  <c r="DX377" i="1"/>
  <c r="DW377" i="1"/>
  <c r="DV377" i="1"/>
  <c r="DU377" i="1"/>
  <c r="EF367" i="1"/>
  <c r="EE367" i="1"/>
  <c r="EC367" i="1"/>
  <c r="EB367" i="1"/>
  <c r="EA367" i="1"/>
  <c r="DZ367" i="1"/>
  <c r="DX367" i="1"/>
  <c r="DW367" i="1"/>
  <c r="DV367" i="1"/>
  <c r="DU367" i="1"/>
  <c r="EE341" i="1"/>
  <c r="EF341" i="1"/>
  <c r="EB341" i="1"/>
  <c r="EC341" i="1"/>
  <c r="EF536" i="1"/>
  <c r="EF537" i="1"/>
  <c r="EF546" i="1"/>
  <c r="EF514" i="1"/>
  <c r="EF516" i="1" s="1"/>
  <c r="EF521" i="1"/>
  <c r="EF529" i="1" s="1"/>
  <c r="EF522" i="1"/>
  <c r="EF528" i="1"/>
  <c r="EF530" i="1"/>
  <c r="EF97" i="1"/>
  <c r="EF98" i="1"/>
  <c r="EF83" i="1"/>
  <c r="EF84" i="1"/>
  <c r="EF85" i="1"/>
  <c r="EF86" i="1"/>
  <c r="EF87" i="1"/>
  <c r="EF88" i="1"/>
  <c r="EF90" i="1"/>
  <c r="DU79" i="18"/>
  <c r="DV73" i="18"/>
  <c r="DV74" i="18" s="1"/>
  <c r="DU74" i="18" s="1"/>
  <c r="B22" i="25"/>
  <c r="D20" i="25"/>
  <c r="K15" i="25"/>
  <c r="E15" i="25"/>
  <c r="C8" i="25"/>
  <c r="B8" i="25"/>
  <c r="C342" i="24"/>
  <c r="B342" i="24"/>
  <c r="B324" i="24"/>
  <c r="B325" i="24" s="1"/>
  <c r="B247" i="24"/>
  <c r="M229" i="24"/>
  <c r="L229" i="24"/>
  <c r="I229" i="24"/>
  <c r="L208" i="24"/>
  <c r="B183" i="24"/>
  <c r="C183" i="24" s="1"/>
  <c r="D183" i="24" s="1"/>
  <c r="B168" i="24"/>
  <c r="B169" i="24" s="1"/>
  <c r="C152" i="24"/>
  <c r="D152" i="24" s="1"/>
  <c r="E152" i="24" s="1"/>
  <c r="F152" i="24" s="1"/>
  <c r="G152" i="24" s="1"/>
  <c r="C143" i="24"/>
  <c r="D143" i="24" s="1"/>
  <c r="E143" i="24" s="1"/>
  <c r="F143" i="24" s="1"/>
  <c r="G143" i="24" s="1"/>
  <c r="H143" i="24" s="1"/>
  <c r="B124" i="24"/>
  <c r="B147" i="24" s="1"/>
  <c r="B158" i="24" s="1"/>
  <c r="C118" i="24"/>
  <c r="D118" i="24" s="1"/>
  <c r="E118" i="24" s="1"/>
  <c r="F118" i="24" s="1"/>
  <c r="G118" i="24" s="1"/>
  <c r="H118" i="24" s="1"/>
  <c r="C114" i="24"/>
  <c r="D114" i="24" s="1"/>
  <c r="E114" i="24" s="1"/>
  <c r="F114" i="24" s="1"/>
  <c r="G114" i="24" s="1"/>
  <c r="H114" i="24" s="1"/>
  <c r="C109" i="24"/>
  <c r="D109" i="24" s="1"/>
  <c r="E109" i="24" s="1"/>
  <c r="F109" i="24" s="1"/>
  <c r="G109" i="24" s="1"/>
  <c r="H109" i="24" s="1"/>
  <c r="C106" i="24"/>
  <c r="B104" i="24"/>
  <c r="B105" i="24" s="1"/>
  <c r="C100" i="24"/>
  <c r="D100" i="24" s="1"/>
  <c r="E100" i="24" s="1"/>
  <c r="F100" i="24" s="1"/>
  <c r="G100" i="24" s="1"/>
  <c r="H100" i="24" s="1"/>
  <c r="B98" i="24"/>
  <c r="B151" i="24" s="1"/>
  <c r="B150" i="24" s="1"/>
  <c r="C97" i="24"/>
  <c r="B96" i="24"/>
  <c r="C95" i="24"/>
  <c r="D95" i="24" s="1"/>
  <c r="H82" i="24"/>
  <c r="B56" i="24"/>
  <c r="A39" i="24"/>
  <c r="A37" i="24"/>
  <c r="A36" i="24"/>
  <c r="G15" i="24"/>
  <c r="F15" i="24"/>
  <c r="E15" i="24"/>
  <c r="D15" i="24"/>
  <c r="C15" i="24"/>
  <c r="B15" i="24"/>
  <c r="H14" i="24"/>
  <c r="AA53" i="23"/>
  <c r="AA52" i="23" s="1"/>
  <c r="Y53" i="23"/>
  <c r="Y52" i="23" s="1"/>
  <c r="Z53" i="23"/>
  <c r="Z52" i="23" s="1"/>
  <c r="ES169" i="18"/>
  <c r="EO169" i="18"/>
  <c r="EP169" i="18" s="1"/>
  <c r="EK169" i="18"/>
  <c r="EL169" i="18" s="1"/>
  <c r="EM169" i="18" s="1"/>
  <c r="EK318" i="18"/>
  <c r="EL318" i="18" s="1"/>
  <c r="EM318" i="18" s="1"/>
  <c r="EN318" i="18" s="1"/>
  <c r="EO318" i="18" s="1"/>
  <c r="EP318" i="18" s="1"/>
  <c r="EQ318" i="18" s="1"/>
  <c r="ER318" i="18" s="1"/>
  <c r="ES318" i="18" s="1"/>
  <c r="EO144" i="18"/>
  <c r="EP144" i="18" s="1"/>
  <c r="EQ144" i="18" s="1"/>
  <c r="ER144" i="18" s="1"/>
  <c r="ES144" i="18" s="1"/>
  <c r="EA271" i="18"/>
  <c r="EB271" i="18" s="1"/>
  <c r="EC271" i="18" s="1"/>
  <c r="L71" i="23"/>
  <c r="K71" i="23"/>
  <c r="J71" i="23"/>
  <c r="I71" i="23"/>
  <c r="H71" i="23"/>
  <c r="G71" i="23"/>
  <c r="F71" i="23"/>
  <c r="E71" i="23"/>
  <c r="D71" i="23"/>
  <c r="C71" i="23"/>
  <c r="L70" i="23"/>
  <c r="K70" i="23"/>
  <c r="J70" i="23"/>
  <c r="I70" i="23"/>
  <c r="H70" i="23"/>
  <c r="G70" i="23"/>
  <c r="F70" i="23"/>
  <c r="E70" i="23"/>
  <c r="D70" i="23"/>
  <c r="C70" i="23"/>
  <c r="L69" i="23"/>
  <c r="K69" i="23"/>
  <c r="J69" i="23"/>
  <c r="I69" i="23"/>
  <c r="H69" i="23"/>
  <c r="G69" i="23"/>
  <c r="F69" i="23"/>
  <c r="E69" i="23"/>
  <c r="D69" i="23"/>
  <c r="C69" i="23"/>
  <c r="D62" i="23"/>
  <c r="E62" i="23" s="1"/>
  <c r="F62" i="23" s="1"/>
  <c r="G62" i="23" s="1"/>
  <c r="H62" i="23" s="1"/>
  <c r="I62" i="23" s="1"/>
  <c r="J62" i="23" s="1"/>
  <c r="K62" i="23" s="1"/>
  <c r="L62" i="23" s="1"/>
  <c r="D33" i="23"/>
  <c r="E33" i="23"/>
  <c r="F33" i="23"/>
  <c r="G33" i="23"/>
  <c r="H33" i="23"/>
  <c r="I33" i="23"/>
  <c r="J33" i="23"/>
  <c r="K33" i="23"/>
  <c r="L33" i="23"/>
  <c r="D34" i="23"/>
  <c r="E34" i="23"/>
  <c r="F34" i="23"/>
  <c r="G34" i="23"/>
  <c r="H34" i="23"/>
  <c r="I34" i="23"/>
  <c r="J34" i="23"/>
  <c r="K34" i="23"/>
  <c r="L34" i="23"/>
  <c r="D35" i="23"/>
  <c r="E35" i="23"/>
  <c r="F35" i="23"/>
  <c r="G35" i="23"/>
  <c r="H35" i="23"/>
  <c r="I35" i="23"/>
  <c r="J35" i="23"/>
  <c r="K35" i="23"/>
  <c r="L35" i="23"/>
  <c r="C33" i="23"/>
  <c r="C35" i="23"/>
  <c r="D26" i="23"/>
  <c r="E26" i="23" s="1"/>
  <c r="F26" i="23" s="1"/>
  <c r="G26" i="23" s="1"/>
  <c r="H26" i="23" s="1"/>
  <c r="I26" i="23" s="1"/>
  <c r="J26" i="23" s="1"/>
  <c r="K26" i="23" s="1"/>
  <c r="L26" i="23" s="1"/>
  <c r="G25" i="22"/>
  <c r="G25" i="21"/>
  <c r="G25" i="20"/>
  <c r="H16" i="20"/>
  <c r="I16" i="20" s="1"/>
  <c r="J16" i="20" s="1"/>
  <c r="C3623" i="3"/>
  <c r="EF232" i="18"/>
  <c r="EG232" i="18" s="1"/>
  <c r="EH232" i="18" s="1"/>
  <c r="EA232" i="18"/>
  <c r="EB232" i="18" s="1"/>
  <c r="EC232" i="18" s="1"/>
  <c r="DY160" i="18"/>
  <c r="EE339" i="18"/>
  <c r="EE58" i="18" s="1"/>
  <c r="EC339" i="18"/>
  <c r="EC58" i="18" s="1"/>
  <c r="EB339" i="18"/>
  <c r="DZ339" i="18"/>
  <c r="DV339" i="18"/>
  <c r="DV58" i="18" s="1"/>
  <c r="DW339" i="18"/>
  <c r="DW58" i="18" s="1"/>
  <c r="DX339" i="18"/>
  <c r="DX58" i="18" s="1"/>
  <c r="DU339" i="18"/>
  <c r="DU58" i="18" s="1"/>
  <c r="C34" i="23"/>
  <c r="EE657" i="18"/>
  <c r="EK113" i="18"/>
  <c r="E7" i="20"/>
  <c r="E12" i="23" s="1"/>
  <c r="D7" i="20"/>
  <c r="D12" i="23" s="1"/>
  <c r="B12" i="23"/>
  <c r="H11" i="23"/>
  <c r="I11" i="23" s="1"/>
  <c r="J11" i="23" s="1"/>
  <c r="K11" i="23" s="1"/>
  <c r="L11" i="23" s="1"/>
  <c r="M11" i="23" s="1"/>
  <c r="N11" i="23" s="1"/>
  <c r="O11" i="23" s="1"/>
  <c r="P11" i="23" s="1"/>
  <c r="Q11" i="23" s="1"/>
  <c r="E7" i="22"/>
  <c r="D7" i="22"/>
  <c r="E7" i="21"/>
  <c r="D7" i="21"/>
  <c r="H6" i="22"/>
  <c r="I6" i="22" s="1"/>
  <c r="J6" i="22" s="1"/>
  <c r="K6" i="22" s="1"/>
  <c r="L6" i="22" s="1"/>
  <c r="M6" i="22" s="1"/>
  <c r="N6" i="22" s="1"/>
  <c r="O6" i="22" s="1"/>
  <c r="P6" i="22" s="1"/>
  <c r="Q6" i="22" s="1"/>
  <c r="H6" i="21"/>
  <c r="I6" i="21" s="1"/>
  <c r="J6" i="21" s="1"/>
  <c r="K6" i="21" s="1"/>
  <c r="L6" i="21" s="1"/>
  <c r="M6" i="21" s="1"/>
  <c r="N6" i="21" s="1"/>
  <c r="O6" i="21" s="1"/>
  <c r="P6" i="21" s="1"/>
  <c r="Q6" i="21" s="1"/>
  <c r="H6" i="20"/>
  <c r="I6" i="20" s="1"/>
  <c r="J6" i="20" s="1"/>
  <c r="K6" i="20" s="1"/>
  <c r="L6" i="20" s="1"/>
  <c r="M6" i="20" s="1"/>
  <c r="N6" i="20" s="1"/>
  <c r="O6" i="20" s="1"/>
  <c r="P6" i="20" s="1"/>
  <c r="Q6" i="20" s="1"/>
  <c r="C29" i="22"/>
  <c r="D42" i="22" s="1"/>
  <c r="C29" i="21"/>
  <c r="C29" i="20"/>
  <c r="O53" i="20" s="1"/>
  <c r="EK662" i="18"/>
  <c r="EL662" i="18" s="1"/>
  <c r="EM662" i="18" s="1"/>
  <c r="EN662" i="18" s="1"/>
  <c r="EO662" i="18" s="1"/>
  <c r="EP662" i="18" s="1"/>
  <c r="EQ662" i="18" s="1"/>
  <c r="ER662" i="18" s="1"/>
  <c r="ES662" i="18" s="1"/>
  <c r="EF662" i="18"/>
  <c r="EG662" i="18" s="1"/>
  <c r="EH662" i="18" s="1"/>
  <c r="DV662" i="18"/>
  <c r="DW662" i="18" s="1"/>
  <c r="DX662" i="18" s="1"/>
  <c r="DZ662" i="18" s="1"/>
  <c r="EA662" i="18" s="1"/>
  <c r="EB662" i="18" s="1"/>
  <c r="EC662" i="18" s="1"/>
  <c r="EA657" i="18"/>
  <c r="EB657" i="18" s="1"/>
  <c r="EC657" i="18" s="1"/>
  <c r="DV657" i="18"/>
  <c r="DW657" i="18" s="1"/>
  <c r="DX657" i="18" s="1"/>
  <c r="DZ172" i="18"/>
  <c r="EA172" i="18" s="1"/>
  <c r="EB172" i="18" s="1"/>
  <c r="EC172" i="18" s="1"/>
  <c r="EC44" i="18"/>
  <c r="EB44" i="18"/>
  <c r="EA44" i="18"/>
  <c r="DZ44" i="18"/>
  <c r="EK273" i="18"/>
  <c r="EL273" i="18" s="1"/>
  <c r="EM273" i="18" s="1"/>
  <c r="EN273" i="18" s="1"/>
  <c r="EO273" i="18" s="1"/>
  <c r="EP273" i="18" s="1"/>
  <c r="EQ273" i="18" s="1"/>
  <c r="ER273" i="18" s="1"/>
  <c r="ES273" i="18" s="1"/>
  <c r="DV283" i="18"/>
  <c r="DW283" i="18"/>
  <c r="DX283" i="18"/>
  <c r="EI290" i="18"/>
  <c r="ED290" i="18"/>
  <c r="DY290" i="18"/>
  <c r="ED286" i="18"/>
  <c r="DX288" i="18"/>
  <c r="DV288" i="18"/>
  <c r="DU288" i="18" s="1"/>
  <c r="EB283" i="18"/>
  <c r="EA283" i="18"/>
  <c r="EJ254" i="18"/>
  <c r="EK254" i="18" s="1"/>
  <c r="EL254" i="18" s="1"/>
  <c r="EM254" i="18" s="1"/>
  <c r="EN254" i="18" s="1"/>
  <c r="EO254" i="18" s="1"/>
  <c r="EP254" i="18" s="1"/>
  <c r="EQ254" i="18" s="1"/>
  <c r="ER254" i="18" s="1"/>
  <c r="ES254" i="18" s="1"/>
  <c r="EG254" i="18"/>
  <c r="EH254" i="18"/>
  <c r="DX44" i="18"/>
  <c r="DW44" i="18"/>
  <c r="DV44" i="18"/>
  <c r="DU44" i="18"/>
  <c r="EK146" i="18"/>
  <c r="EL146" i="18" s="1"/>
  <c r="EM146" i="18" s="1"/>
  <c r="EN146" i="18" s="1"/>
  <c r="EO146" i="18" s="1"/>
  <c r="EP146" i="18" s="1"/>
  <c r="EQ146" i="18" s="1"/>
  <c r="ER146" i="18" s="1"/>
  <c r="ES146" i="18" s="1"/>
  <c r="EJ124" i="18"/>
  <c r="EJ290" i="18" s="1"/>
  <c r="EE241" i="18"/>
  <c r="EF238" i="18" s="1"/>
  <c r="EC241" i="18"/>
  <c r="ED241" i="18" s="1"/>
  <c r="EB241" i="18"/>
  <c r="EC238" i="18" s="1"/>
  <c r="EA241" i="18"/>
  <c r="EB238" i="18" s="1"/>
  <c r="DZ241" i="18"/>
  <c r="EA238" i="18" s="1"/>
  <c r="DV241" i="18"/>
  <c r="DW238" i="18" s="1"/>
  <c r="DX241" i="18"/>
  <c r="DY241" i="18" s="1"/>
  <c r="DZ238" i="18" s="1"/>
  <c r="ED238" i="18" s="1"/>
  <c r="DV245" i="18"/>
  <c r="DW245" i="18" s="1"/>
  <c r="DX245" i="18" s="1"/>
  <c r="DY245" i="18" s="1"/>
  <c r="DZ245" i="18" s="1"/>
  <c r="DU240" i="18"/>
  <c r="DY238" i="18"/>
  <c r="DU220" i="18"/>
  <c r="EH222" i="18"/>
  <c r="ED259" i="18"/>
  <c r="DY259" i="18"/>
  <c r="EJ250" i="18"/>
  <c r="EJ252" i="18" s="1"/>
  <c r="EK252" i="18" s="1"/>
  <c r="EL252" i="18" s="1"/>
  <c r="EM252" i="18" s="1"/>
  <c r="EN252" i="18" s="1"/>
  <c r="EO252" i="18" s="1"/>
  <c r="EP252" i="18" s="1"/>
  <c r="EQ252" i="18" s="1"/>
  <c r="ER252" i="18" s="1"/>
  <c r="ES252" i="18" s="1"/>
  <c r="DV233" i="18"/>
  <c r="DW233" i="18" s="1"/>
  <c r="DY229" i="18"/>
  <c r="DZ226" i="18" s="1"/>
  <c r="ED226" i="18" s="1"/>
  <c r="DX226" i="18"/>
  <c r="DW226" i="18"/>
  <c r="DU228" i="18"/>
  <c r="DU227" i="18" s="1"/>
  <c r="EJ212" i="18"/>
  <c r="EK142" i="18"/>
  <c r="ED165" i="18"/>
  <c r="B245" i="24" s="1"/>
  <c r="C3621" i="3"/>
  <c r="B3649" i="3"/>
  <c r="B3645" i="3"/>
  <c r="B3641" i="3"/>
  <c r="B3636" i="3"/>
  <c r="B3630" i="3"/>
  <c r="B3621" i="3"/>
  <c r="B3616" i="3"/>
  <c r="DY165" i="18" s="1"/>
  <c r="DU111" i="18"/>
  <c r="DU211" i="18"/>
  <c r="DX210" i="18"/>
  <c r="DW210" i="18"/>
  <c r="DV210" i="18"/>
  <c r="DY208" i="18"/>
  <c r="DZ205" i="18" s="1"/>
  <c r="ED205" i="18" s="1"/>
  <c r="DY205" i="18"/>
  <c r="DX205" i="18"/>
  <c r="DW205" i="18"/>
  <c r="DV205" i="18"/>
  <c r="EA288" i="18"/>
  <c r="DY286" i="18"/>
  <c r="DZ288" i="18" s="1"/>
  <c r="EB288" i="18"/>
  <c r="EC283" i="18"/>
  <c r="EC288" i="18"/>
  <c r="DW288" i="18"/>
  <c r="DY226" i="18"/>
  <c r="DV226" i="18"/>
  <c r="DY283" i="18"/>
  <c r="DY231" i="18"/>
  <c r="EG656" i="18"/>
  <c r="B3736" i="3"/>
  <c r="F3736" i="3"/>
  <c r="G3736" i="3"/>
  <c r="H3736" i="3"/>
  <c r="I3736" i="3"/>
  <c r="J3736" i="3"/>
  <c r="D3736" i="3"/>
  <c r="E3736" i="3"/>
  <c r="C3736" i="3"/>
  <c r="B3729" i="3"/>
  <c r="C3729" i="3"/>
  <c r="D3729" i="3"/>
  <c r="E3729" i="3"/>
  <c r="F3729" i="3"/>
  <c r="G3729" i="3"/>
  <c r="H3729" i="3"/>
  <c r="I3729" i="3"/>
  <c r="J3729" i="3"/>
  <c r="J3728" i="3"/>
  <c r="J3741" i="3" s="1"/>
  <c r="G3728" i="3"/>
  <c r="G3741" i="3" s="1"/>
  <c r="H3728" i="3"/>
  <c r="I3728" i="3"/>
  <c r="I3741" i="3" s="1"/>
  <c r="F3728" i="3"/>
  <c r="F3741" i="3" s="1"/>
  <c r="C3728" i="3"/>
  <c r="D3728" i="3"/>
  <c r="E3728" i="3"/>
  <c r="E3741" i="3" s="1"/>
  <c r="B3728" i="3"/>
  <c r="B3741" i="3" s="1"/>
  <c r="J3724" i="3"/>
  <c r="I3724" i="3"/>
  <c r="H3724" i="3"/>
  <c r="G3724" i="3"/>
  <c r="F3724" i="3"/>
  <c r="E3724" i="3"/>
  <c r="D3724" i="3"/>
  <c r="C3724" i="3"/>
  <c r="B3724" i="3"/>
  <c r="B3720" i="3"/>
  <c r="C3720" i="3"/>
  <c r="D3720" i="3"/>
  <c r="E3720" i="3"/>
  <c r="F3720" i="3"/>
  <c r="G3720" i="3"/>
  <c r="H3720" i="3"/>
  <c r="I3720" i="3"/>
  <c r="J3720" i="3"/>
  <c r="B3721" i="3"/>
  <c r="B3739" i="3" s="1"/>
  <c r="C3721" i="3"/>
  <c r="C3739" i="3" s="1"/>
  <c r="D3721" i="3"/>
  <c r="D3739" i="3" s="1"/>
  <c r="E3721" i="3"/>
  <c r="E3739" i="3" s="1"/>
  <c r="F3721" i="3"/>
  <c r="F3739" i="3" s="1"/>
  <c r="G3721" i="3"/>
  <c r="G3739" i="3" s="1"/>
  <c r="H3721" i="3"/>
  <c r="H3739" i="3" s="1"/>
  <c r="I3721" i="3"/>
  <c r="I3739" i="3" s="1"/>
  <c r="J3721" i="3"/>
  <c r="J3739" i="3" s="1"/>
  <c r="B3722" i="3"/>
  <c r="C3722" i="3"/>
  <c r="D3722" i="3"/>
  <c r="E3722" i="3"/>
  <c r="F3722" i="3"/>
  <c r="G3722" i="3"/>
  <c r="H3722" i="3"/>
  <c r="I3722" i="3"/>
  <c r="J3722" i="3"/>
  <c r="J3719" i="3"/>
  <c r="G3719" i="3"/>
  <c r="H3719" i="3"/>
  <c r="I3719" i="3"/>
  <c r="F3719" i="3"/>
  <c r="C3719" i="3"/>
  <c r="D3719" i="3"/>
  <c r="E3719" i="3"/>
  <c r="B3719" i="3"/>
  <c r="J3692" i="3"/>
  <c r="I3692" i="3"/>
  <c r="H3692" i="3"/>
  <c r="G3692" i="3"/>
  <c r="F3692" i="3"/>
  <c r="E3692" i="3"/>
  <c r="D3692" i="3"/>
  <c r="C3692" i="3"/>
  <c r="B3692" i="3"/>
  <c r="J3687" i="3"/>
  <c r="I3687" i="3"/>
  <c r="H3687" i="3"/>
  <c r="G3687" i="3"/>
  <c r="F3687" i="3"/>
  <c r="E3687" i="3"/>
  <c r="D3687" i="3"/>
  <c r="C3687" i="3"/>
  <c r="B3687" i="3"/>
  <c r="J3681" i="3"/>
  <c r="I3681" i="3"/>
  <c r="H3681" i="3"/>
  <c r="G3681" i="3"/>
  <c r="F3681" i="3"/>
  <c r="E3681" i="3"/>
  <c r="D3681" i="3"/>
  <c r="C3681" i="3"/>
  <c r="B3681" i="3"/>
  <c r="B3676" i="3"/>
  <c r="C3676" i="3"/>
  <c r="D3676" i="3"/>
  <c r="E3676" i="3"/>
  <c r="F3676" i="3"/>
  <c r="G3676" i="3"/>
  <c r="H3676" i="3"/>
  <c r="I3676" i="3"/>
  <c r="J3676" i="3"/>
  <c r="C3984" i="3"/>
  <c r="C3961" i="3"/>
  <c r="B3961" i="3"/>
  <c r="C3956" i="3"/>
  <c r="B3851" i="3"/>
  <c r="B3845" i="3"/>
  <c r="B3890" i="3" s="1"/>
  <c r="B3896" i="3"/>
  <c r="C3813" i="3"/>
  <c r="B4052" i="3"/>
  <c r="B3924" i="3"/>
  <c r="B3916" i="3"/>
  <c r="C4021" i="3"/>
  <c r="C4042" i="3" s="1"/>
  <c r="C4017" i="3"/>
  <c r="C4041" i="3" s="1"/>
  <c r="C4036" i="3"/>
  <c r="C4037" i="3" s="1"/>
  <c r="C4044" i="3" s="1"/>
  <c r="C4028" i="3"/>
  <c r="C4031" i="3" s="1"/>
  <c r="C4032" i="3" s="1"/>
  <c r="C4043" i="3" s="1"/>
  <c r="B3907" i="3"/>
  <c r="D3863" i="3"/>
  <c r="C3845" i="3"/>
  <c r="B3938" i="3" s="1"/>
  <c r="C3969" i="3" s="1"/>
  <c r="C4094" i="3"/>
  <c r="C4095" i="3"/>
  <c r="B4094" i="3"/>
  <c r="B4095" i="3"/>
  <c r="C4085" i="3"/>
  <c r="C4078" i="3"/>
  <c r="B4078" i="3"/>
  <c r="C4069" i="3"/>
  <c r="B4069" i="3"/>
  <c r="C4061" i="3"/>
  <c r="EA545" i="18"/>
  <c r="EB545" i="18" s="1"/>
  <c r="EC545" i="18" s="1"/>
  <c r="EA515" i="18"/>
  <c r="EB515" i="18" s="1"/>
  <c r="EC515" i="18" s="1"/>
  <c r="EE434" i="18"/>
  <c r="EC434" i="18"/>
  <c r="ED434" i="18" s="1"/>
  <c r="EB434" i="18"/>
  <c r="EA434" i="18"/>
  <c r="DZ434" i="18"/>
  <c r="DV434" i="18"/>
  <c r="DX434" i="18"/>
  <c r="DY434" i="18" s="1"/>
  <c r="C100" i="6"/>
  <c r="D100" i="6"/>
  <c r="E100" i="6"/>
  <c r="F100" i="6"/>
  <c r="G100" i="6"/>
  <c r="H100" i="6"/>
  <c r="I100" i="6"/>
  <c r="J100" i="6"/>
  <c r="K100" i="6"/>
  <c r="B100" i="6"/>
  <c r="F4236" i="3"/>
  <c r="E4236" i="3"/>
  <c r="D4236" i="3"/>
  <c r="C4236" i="3"/>
  <c r="B4236" i="3"/>
  <c r="G4236" i="3"/>
  <c r="CU587" i="1"/>
  <c r="CZ587" i="1"/>
  <c r="DE587" i="1"/>
  <c r="DJ581" i="1"/>
  <c r="DF587" i="1"/>
  <c r="DG587" i="1"/>
  <c r="DH587" i="1"/>
  <c r="DZ548" i="18"/>
  <c r="EA548" i="18"/>
  <c r="EB548" i="18"/>
  <c r="EC548" i="18"/>
  <c r="EE548" i="18"/>
  <c r="DX352" i="18"/>
  <c r="DX605" i="18" s="1"/>
  <c r="DW352" i="18"/>
  <c r="DW605" i="18" s="1"/>
  <c r="DV352" i="18"/>
  <c r="DV605" i="18" s="1"/>
  <c r="DU352" i="18"/>
  <c r="DU605" i="18" s="1"/>
  <c r="DX351" i="18"/>
  <c r="DW351" i="18"/>
  <c r="DV351" i="18"/>
  <c r="DU351" i="18"/>
  <c r="EC352" i="18"/>
  <c r="EC605" i="18" s="1"/>
  <c r="EB352" i="18"/>
  <c r="EB605" i="18" s="1"/>
  <c r="EA352" i="18"/>
  <c r="EA605" i="18" s="1"/>
  <c r="DZ352" i="18"/>
  <c r="DZ605" i="18" s="1"/>
  <c r="EC351" i="18"/>
  <c r="EC604" i="18" s="1"/>
  <c r="EB351" i="18"/>
  <c r="EA351" i="18"/>
  <c r="DZ351" i="18"/>
  <c r="DZ604" i="18" s="1"/>
  <c r="DU348" i="18"/>
  <c r="DU595" i="18" s="1"/>
  <c r="DV348" i="18"/>
  <c r="DV595" i="18" s="1"/>
  <c r="DW348" i="18"/>
  <c r="DW595" i="18" s="1"/>
  <c r="DX348" i="18"/>
  <c r="DZ348" i="18"/>
  <c r="DZ595" i="18" s="1"/>
  <c r="EA348" i="18"/>
  <c r="EA595" i="18" s="1"/>
  <c r="EB348" i="18"/>
  <c r="EB595" i="18" s="1"/>
  <c r="EC348" i="18"/>
  <c r="EC595" i="18" s="1"/>
  <c r="EE348" i="18"/>
  <c r="EE595" i="18" s="1"/>
  <c r="EE352" i="18"/>
  <c r="EE605" i="18" s="1"/>
  <c r="EE351" i="18"/>
  <c r="EE576" i="18"/>
  <c r="EE575" i="18"/>
  <c r="EB576" i="18"/>
  <c r="EA576" i="18"/>
  <c r="DZ576" i="18"/>
  <c r="EC575" i="18"/>
  <c r="EB575" i="18"/>
  <c r="EA575" i="18"/>
  <c r="DZ575" i="18"/>
  <c r="ED575" i="18" s="1"/>
  <c r="B3784" i="3" s="1"/>
  <c r="B3789" i="3" s="1"/>
  <c r="DV575" i="18"/>
  <c r="DW575" i="18"/>
  <c r="DX575" i="18"/>
  <c r="DV576" i="18"/>
  <c r="DW576" i="18"/>
  <c r="DX576" i="18"/>
  <c r="DU576" i="18"/>
  <c r="DU575" i="18"/>
  <c r="DY575" i="18" s="1"/>
  <c r="EA505" i="18"/>
  <c r="EB505" i="18" s="1"/>
  <c r="EC505" i="18" s="1"/>
  <c r="EA503" i="18"/>
  <c r="EB503" i="18" s="1"/>
  <c r="EC503" i="18" s="1"/>
  <c r="DX346" i="18"/>
  <c r="DX593" i="18" s="1"/>
  <c r="DW346" i="18"/>
  <c r="DW593" i="18" s="1"/>
  <c r="DV346" i="18"/>
  <c r="DV593" i="18" s="1"/>
  <c r="DU346" i="18"/>
  <c r="DU593" i="18" s="1"/>
  <c r="DX345" i="18"/>
  <c r="DX592" i="18" s="1"/>
  <c r="DW345" i="18"/>
  <c r="DW592" i="18" s="1"/>
  <c r="DV345" i="18"/>
  <c r="DV592" i="18" s="1"/>
  <c r="DU345" i="18"/>
  <c r="DU592" i="18" s="1"/>
  <c r="DZ346" i="18"/>
  <c r="DZ593" i="18" s="1"/>
  <c r="EA346" i="18"/>
  <c r="EA593" i="18" s="1"/>
  <c r="EB346" i="18"/>
  <c r="EB593" i="18" s="1"/>
  <c r="EC346" i="18"/>
  <c r="EC593" i="18" s="1"/>
  <c r="EC345" i="18"/>
  <c r="EC592" i="18" s="1"/>
  <c r="EB345" i="18"/>
  <c r="EB592" i="18" s="1"/>
  <c r="EA345" i="18"/>
  <c r="EA592" i="18" s="1"/>
  <c r="DZ345" i="18"/>
  <c r="DZ592" i="18" s="1"/>
  <c r="EE345" i="18"/>
  <c r="EE592" i="18" s="1"/>
  <c r="EE346" i="18"/>
  <c r="DX347" i="18"/>
  <c r="DX594" i="18" s="1"/>
  <c r="DW347" i="18"/>
  <c r="DW594" i="18" s="1"/>
  <c r="DV347" i="18"/>
  <c r="DV594" i="18" s="1"/>
  <c r="DU347" i="18"/>
  <c r="DU594" i="18" s="1"/>
  <c r="EC347" i="18"/>
  <c r="EC594" i="18" s="1"/>
  <c r="EB347" i="18"/>
  <c r="EB594" i="18" s="1"/>
  <c r="EA347" i="18"/>
  <c r="EA594" i="18" s="1"/>
  <c r="DZ347" i="18"/>
  <c r="EE347" i="18"/>
  <c r="EE594" i="18" s="1"/>
  <c r="DU548" i="18"/>
  <c r="DV548" i="18"/>
  <c r="DW548" i="18"/>
  <c r="DX548" i="18"/>
  <c r="EE542" i="18"/>
  <c r="EC542" i="18"/>
  <c r="EB542" i="18"/>
  <c r="EA542" i="18"/>
  <c r="DZ542" i="18"/>
  <c r="DX542" i="18"/>
  <c r="DW542" i="18"/>
  <c r="DV542" i="18"/>
  <c r="DU542" i="18"/>
  <c r="EG472" i="18"/>
  <c r="EE468" i="18"/>
  <c r="EF465" i="18" s="1"/>
  <c r="EC468" i="18"/>
  <c r="ED468" i="18" s="1"/>
  <c r="EE465" i="18" s="1"/>
  <c r="EB468" i="18"/>
  <c r="EC465" i="18" s="1"/>
  <c r="EA468" i="18"/>
  <c r="DZ468" i="18"/>
  <c r="DX468" i="18"/>
  <c r="DW468" i="18"/>
  <c r="DV468" i="18"/>
  <c r="DW465" i="18" s="1"/>
  <c r="DU468" i="18"/>
  <c r="EJ461" i="18"/>
  <c r="EE457" i="18"/>
  <c r="EC457" i="18"/>
  <c r="EB457" i="18"/>
  <c r="EA457" i="18"/>
  <c r="EB454" i="18" s="1"/>
  <c r="DZ457" i="18"/>
  <c r="EA454" i="18" s="1"/>
  <c r="DX457" i="18"/>
  <c r="DY457" i="18" s="1"/>
  <c r="DZ454" i="18" s="1"/>
  <c r="DW457" i="18"/>
  <c r="DX454" i="18" s="1"/>
  <c r="DV457" i="18"/>
  <c r="DU457" i="18"/>
  <c r="DV454" i="18" s="1"/>
  <c r="EE510" i="18"/>
  <c r="EC510" i="18"/>
  <c r="EB510" i="18"/>
  <c r="EA510" i="18"/>
  <c r="DZ510" i="18"/>
  <c r="DX510" i="18"/>
  <c r="DW510" i="18"/>
  <c r="DV510" i="18"/>
  <c r="DU510" i="18"/>
  <c r="DX498" i="18"/>
  <c r="DX508" i="18" s="1"/>
  <c r="DW498" i="18"/>
  <c r="DW508" i="18" s="1"/>
  <c r="DV498" i="18"/>
  <c r="DV508" i="18" s="1"/>
  <c r="DU498" i="18"/>
  <c r="DU508" i="18" s="1"/>
  <c r="EC498" i="18"/>
  <c r="EC508" i="18" s="1"/>
  <c r="EB498" i="18"/>
  <c r="EA498" i="18"/>
  <c r="DZ498" i="18"/>
  <c r="DZ508" i="18" s="1"/>
  <c r="EC576" i="18"/>
  <c r="EE498" i="18"/>
  <c r="DU489" i="18"/>
  <c r="EE450" i="18"/>
  <c r="EC450" i="18"/>
  <c r="EB450" i="18"/>
  <c r="EA450" i="18"/>
  <c r="DZ450" i="18"/>
  <c r="DV450" i="18"/>
  <c r="DW450" i="18"/>
  <c r="DX450" i="18"/>
  <c r="DU450" i="18"/>
  <c r="DX446" i="18"/>
  <c r="DY446" i="18" s="1"/>
  <c r="DV446" i="18"/>
  <c r="DW443" i="18" s="1"/>
  <c r="EC446" i="18"/>
  <c r="EB446" i="18"/>
  <c r="EA446" i="18"/>
  <c r="DZ446" i="18"/>
  <c r="EA443" i="18" s="1"/>
  <c r="EE446" i="18"/>
  <c r="EF443" i="18" s="1"/>
  <c r="EK430" i="18"/>
  <c r="EL430" i="18" s="1"/>
  <c r="EM430" i="18" s="1"/>
  <c r="EN430" i="18" s="1"/>
  <c r="EO430" i="18" s="1"/>
  <c r="EP430" i="18" s="1"/>
  <c r="EQ430" i="18" s="1"/>
  <c r="ER430" i="18" s="1"/>
  <c r="ES430" i="18" s="1"/>
  <c r="DV431" i="18"/>
  <c r="DW431" i="18" s="1"/>
  <c r="DU429" i="18"/>
  <c r="DX427" i="18"/>
  <c r="DV427" i="18"/>
  <c r="EC427" i="18"/>
  <c r="EB427" i="18"/>
  <c r="EA427" i="18"/>
  <c r="DZ427" i="18"/>
  <c r="EA424" i="18" s="1"/>
  <c r="EE427" i="18"/>
  <c r="EH410" i="18"/>
  <c r="EH472" i="18" s="1"/>
  <c r="ED551" i="1"/>
  <c r="DY404" i="18"/>
  <c r="DU408" i="18"/>
  <c r="EC410" i="18"/>
  <c r="ED410" i="18" s="1"/>
  <c r="ED472" i="18" s="1"/>
  <c r="DX410" i="18"/>
  <c r="DX472" i="18" s="1"/>
  <c r="DU410" i="18"/>
  <c r="DU472" i="18" s="1"/>
  <c r="EE410" i="18"/>
  <c r="EF410" i="18" s="1"/>
  <c r="EB410" i="18"/>
  <c r="EB472" i="18" s="1"/>
  <c r="EA410" i="18"/>
  <c r="EA472" i="18" s="1"/>
  <c r="DZ410" i="18"/>
  <c r="DZ472" i="18" s="1"/>
  <c r="DW410" i="18"/>
  <c r="DW472" i="18" s="1"/>
  <c r="DV410" i="18"/>
  <c r="DV472" i="18" s="1"/>
  <c r="DX406" i="18"/>
  <c r="DY406" i="18" s="1"/>
  <c r="DZ402" i="18" s="1"/>
  <c r="DW406" i="18"/>
  <c r="DV406" i="18"/>
  <c r="DW402" i="18" s="1"/>
  <c r="DU406" i="18"/>
  <c r="DV402" i="18" s="1"/>
  <c r="EC406" i="18"/>
  <c r="EB406" i="18"/>
  <c r="EA406" i="18"/>
  <c r="EB402" i="18" s="1"/>
  <c r="DZ406" i="18"/>
  <c r="EA402" i="18" s="1"/>
  <c r="EE406" i="18"/>
  <c r="EF402" i="18" s="1"/>
  <c r="EE553" i="1"/>
  <c r="EE371" i="18" s="1"/>
  <c r="EF371" i="18" s="1"/>
  <c r="EG371" i="18" s="1"/>
  <c r="DZ557" i="1"/>
  <c r="DZ554" i="1"/>
  <c r="DZ372" i="18" s="1"/>
  <c r="DX397" i="18"/>
  <c r="DW397" i="18"/>
  <c r="DV397" i="18"/>
  <c r="EJ399" i="18"/>
  <c r="DY392" i="18"/>
  <c r="DX392" i="18"/>
  <c r="DX489" i="18" s="1"/>
  <c r="DW392" i="18"/>
  <c r="DW489" i="18" s="1"/>
  <c r="DV392" i="18"/>
  <c r="EC553" i="1"/>
  <c r="EB553" i="1"/>
  <c r="EA553" i="1"/>
  <c r="EA371" i="18" s="1"/>
  <c r="DZ553" i="1"/>
  <c r="DZ91" i="18" s="1"/>
  <c r="EK388" i="18"/>
  <c r="EL388" i="18" s="1"/>
  <c r="EM388" i="18" s="1"/>
  <c r="EN388" i="18" s="1"/>
  <c r="EO388" i="18" s="1"/>
  <c r="EK389" i="18"/>
  <c r="EK461" i="18" s="1"/>
  <c r="EE389" i="18"/>
  <c r="EE399" i="18" s="1"/>
  <c r="EC389" i="18"/>
  <c r="EC124" i="18" s="1"/>
  <c r="EB389" i="18"/>
  <c r="EA389" i="18"/>
  <c r="EA124" i="18" s="1"/>
  <c r="EA290" i="18" s="1"/>
  <c r="DZ389" i="18"/>
  <c r="DZ124" i="18" s="1"/>
  <c r="DZ290" i="18" s="1"/>
  <c r="DV389" i="18"/>
  <c r="DV399" i="18" s="1"/>
  <c r="DW389" i="18"/>
  <c r="DX389" i="18"/>
  <c r="DX124" i="18" s="1"/>
  <c r="DX290" i="18" s="1"/>
  <c r="DU389" i="18"/>
  <c r="DU387" i="18"/>
  <c r="DY395" i="18"/>
  <c r="DZ392" i="18" s="1"/>
  <c r="ED392" i="18" s="1"/>
  <c r="DX385" i="18"/>
  <c r="DW385" i="18"/>
  <c r="DV385" i="18"/>
  <c r="DU385" i="18"/>
  <c r="DV382" i="18" s="1"/>
  <c r="C4503" i="3"/>
  <c r="D4503" i="3" s="1"/>
  <c r="E4503" i="3" s="1"/>
  <c r="E4834" i="3" s="1"/>
  <c r="DZ379" i="18"/>
  <c r="EA374" i="18"/>
  <c r="EA378" i="18" s="1"/>
  <c r="DV374" i="18"/>
  <c r="DV378" i="18" s="1"/>
  <c r="DU378" i="18" s="1"/>
  <c r="DW372" i="18"/>
  <c r="DY372" i="18"/>
  <c r="DY550" i="1"/>
  <c r="DX550" i="1" s="1"/>
  <c r="DX101" i="18" s="1"/>
  <c r="A4124" i="3"/>
  <c r="B4116" i="3"/>
  <c r="EG409" i="18"/>
  <c r="EH409" i="18" s="1"/>
  <c r="D177" i="19"/>
  <c r="D176" i="19"/>
  <c r="D175" i="19"/>
  <c r="D172" i="19"/>
  <c r="D171" i="19"/>
  <c r="D170" i="19"/>
  <c r="C5916" i="3"/>
  <c r="D5916" i="3"/>
  <c r="E5916" i="3"/>
  <c r="F5916" i="3"/>
  <c r="B5916" i="3"/>
  <c r="EH5" i="18"/>
  <c r="EG5" i="18"/>
  <c r="EF5" i="18"/>
  <c r="EE5" i="18"/>
  <c r="EC5" i="18"/>
  <c r="EB5" i="18"/>
  <c r="EA5" i="18"/>
  <c r="DZ5" i="18"/>
  <c r="DX5" i="18"/>
  <c r="DW5" i="18"/>
  <c r="DV5" i="18"/>
  <c r="DU5" i="18"/>
  <c r="DS5" i="18"/>
  <c r="DR5" i="18"/>
  <c r="DQ5" i="18"/>
  <c r="DP5" i="18"/>
  <c r="DN5" i="18"/>
  <c r="DM5" i="18"/>
  <c r="DL5" i="18"/>
  <c r="DK5" i="18"/>
  <c r="DI5" i="18"/>
  <c r="DH5" i="18"/>
  <c r="DG5" i="18"/>
  <c r="DF5" i="18"/>
  <c r="DE5" i="18"/>
  <c r="DD5" i="18"/>
  <c r="DC5" i="18"/>
  <c r="DB5" i="18"/>
  <c r="DA5" i="18"/>
  <c r="CZ5" i="18"/>
  <c r="CY5" i="18"/>
  <c r="CX5" i="18"/>
  <c r="CW5" i="18"/>
  <c r="CV5" i="18"/>
  <c r="CU5" i="18"/>
  <c r="CT5" i="18"/>
  <c r="CS5" i="18"/>
  <c r="CR5" i="18"/>
  <c r="CQ5" i="18"/>
  <c r="CP5" i="18"/>
  <c r="CO5" i="18"/>
  <c r="CN5" i="18"/>
  <c r="CM5" i="18"/>
  <c r="CL5" i="18"/>
  <c r="CJ5" i="18"/>
  <c r="CI5" i="18"/>
  <c r="CH5" i="18"/>
  <c r="CG5" i="18"/>
  <c r="CE5" i="18"/>
  <c r="CD5" i="18"/>
  <c r="CC5" i="18"/>
  <c r="CB5" i="18"/>
  <c r="BZ5" i="18"/>
  <c r="BY5" i="18"/>
  <c r="BX5" i="18"/>
  <c r="BW5" i="18"/>
  <c r="BU5" i="18"/>
  <c r="BT5" i="18"/>
  <c r="BS5" i="18"/>
  <c r="BR5" i="18"/>
  <c r="BP5" i="18"/>
  <c r="BO5" i="18"/>
  <c r="BN5" i="18"/>
  <c r="BM5" i="18"/>
  <c r="BK5" i="18"/>
  <c r="BJ5" i="18"/>
  <c r="BI5" i="18"/>
  <c r="BH5" i="18"/>
  <c r="BG5" i="18"/>
  <c r="BF5" i="18"/>
  <c r="BE5" i="18"/>
  <c r="BD5" i="18"/>
  <c r="BC5" i="18"/>
  <c r="D4571" i="3"/>
  <c r="E4571" i="3" s="1"/>
  <c r="F4571" i="3" s="1"/>
  <c r="G4571" i="3" s="1"/>
  <c r="H4571" i="3" s="1"/>
  <c r="I4571" i="3" s="1"/>
  <c r="J4571" i="3" s="1"/>
  <c r="K4571" i="3" s="1"/>
  <c r="L4571" i="3" s="1"/>
  <c r="M4571" i="3" s="1"/>
  <c r="N4571" i="3" s="1"/>
  <c r="C4667" i="3"/>
  <c r="C4666" i="3" s="1"/>
  <c r="D4666" i="3" s="1"/>
  <c r="E4667" i="3"/>
  <c r="F4667" i="3" s="1"/>
  <c r="G4667" i="3" s="1"/>
  <c r="I4666" i="3"/>
  <c r="J4666" i="3" s="1"/>
  <c r="K4666" i="3" s="1"/>
  <c r="L4666" i="3" s="1"/>
  <c r="M4666" i="3" s="1"/>
  <c r="N4666" i="3" s="1"/>
  <c r="EK409" i="18"/>
  <c r="EL409" i="18" s="1"/>
  <c r="EM409" i="18" s="1"/>
  <c r="EN409" i="18" s="1"/>
  <c r="EO409" i="18" s="1"/>
  <c r="EP409" i="18" s="1"/>
  <c r="EQ409" i="18" s="1"/>
  <c r="ER409" i="18" s="1"/>
  <c r="ES409" i="18" s="1"/>
  <c r="C4213" i="3"/>
  <c r="C4214" i="3" s="1"/>
  <c r="D4213" i="3"/>
  <c r="D4215" i="3" s="1"/>
  <c r="B4213" i="3"/>
  <c r="B4214" i="3" s="1"/>
  <c r="C4210" i="3"/>
  <c r="D4210" i="3"/>
  <c r="B4210" i="3"/>
  <c r="B8" i="6"/>
  <c r="C5995" i="3"/>
  <c r="D5995" i="3" s="1"/>
  <c r="E5995" i="3" s="1"/>
  <c r="F5995" i="3" s="1"/>
  <c r="G5995" i="3" s="1"/>
  <c r="H5995" i="3" s="1"/>
  <c r="D6033" i="3"/>
  <c r="E6033" i="3" s="1"/>
  <c r="F6033" i="3" s="1"/>
  <c r="G6033" i="3" s="1"/>
  <c r="B6032" i="3"/>
  <c r="ED586" i="1"/>
  <c r="EE587" i="1" s="1"/>
  <c r="DY586" i="1"/>
  <c r="DX581" i="1"/>
  <c r="DW581" i="1"/>
  <c r="DV581" i="1"/>
  <c r="DV591" i="1" s="1"/>
  <c r="DY580" i="1"/>
  <c r="DZ581" i="1" s="1"/>
  <c r="DZ591" i="1" s="1"/>
  <c r="DV606" i="1"/>
  <c r="DV611" i="1" s="1"/>
  <c r="DW606" i="1"/>
  <c r="DX606" i="1"/>
  <c r="DX616" i="1" s="1"/>
  <c r="DZ606" i="1"/>
  <c r="DZ611" i="1" s="1"/>
  <c r="EA606" i="1"/>
  <c r="EA616" i="1" s="1"/>
  <c r="EB606" i="1"/>
  <c r="EC606" i="1"/>
  <c r="EC611" i="1" s="1"/>
  <c r="EE606" i="1"/>
  <c r="EE616" i="1" s="1"/>
  <c r="DU606" i="1"/>
  <c r="DU616" i="1" s="1"/>
  <c r="ED605" i="1"/>
  <c r="ED604" i="1"/>
  <c r="DY605" i="1"/>
  <c r="DY604" i="1"/>
  <c r="D5654" i="3"/>
  <c r="C5654" i="3"/>
  <c r="H5654" i="3"/>
  <c r="G5654" i="3"/>
  <c r="F5654" i="3"/>
  <c r="E5654" i="3"/>
  <c r="C6036" i="3"/>
  <c r="D6036" i="3" s="1"/>
  <c r="E6036" i="3" s="1"/>
  <c r="F6036" i="3" s="1"/>
  <c r="G6036" i="3" s="1"/>
  <c r="H6036" i="3" s="1"/>
  <c r="C6021" i="3"/>
  <c r="D6021" i="3" s="1"/>
  <c r="E6021" i="3" s="1"/>
  <c r="F6021" i="3" s="1"/>
  <c r="G6021" i="3" s="1"/>
  <c r="H6021" i="3" s="1"/>
  <c r="C6010" i="3"/>
  <c r="D6010" i="3" s="1"/>
  <c r="E6010" i="3" s="1"/>
  <c r="F6010" i="3" s="1"/>
  <c r="G6010" i="3" s="1"/>
  <c r="H6010" i="3" s="1"/>
  <c r="A6022" i="3"/>
  <c r="A6012" i="3"/>
  <c r="A6013" i="3" s="1"/>
  <c r="A6014" i="3" s="1"/>
  <c r="A6015" i="3" s="1"/>
  <c r="A6016" i="3" s="1"/>
  <c r="A6017" i="3" s="1"/>
  <c r="D5997" i="3"/>
  <c r="B5997" i="3"/>
  <c r="H5996" i="3"/>
  <c r="G5996" i="3"/>
  <c r="F5996" i="3"/>
  <c r="E5996" i="3"/>
  <c r="D5996" i="3"/>
  <c r="C5996" i="3"/>
  <c r="C4543" i="3"/>
  <c r="C6029" i="3"/>
  <c r="C5997" i="3"/>
  <c r="E6029" i="3"/>
  <c r="E5997" i="3"/>
  <c r="G6029" i="3"/>
  <c r="G5997" i="3"/>
  <c r="H6029" i="3"/>
  <c r="H5997" i="3"/>
  <c r="B6011" i="3"/>
  <c r="C6011" i="3" s="1"/>
  <c r="B5996" i="3"/>
  <c r="F6029" i="3"/>
  <c r="F5997" i="3"/>
  <c r="C6012" i="3"/>
  <c r="D6012" i="3" s="1"/>
  <c r="E6012" i="3" s="1"/>
  <c r="F6012" i="3" s="1"/>
  <c r="G6012" i="3" s="1"/>
  <c r="H6012" i="3" s="1"/>
  <c r="E6014" i="3"/>
  <c r="F6014" i="3" s="1"/>
  <c r="G6014" i="3" s="1"/>
  <c r="H6014" i="3" s="1"/>
  <c r="G6016" i="3"/>
  <c r="H6016" i="3" s="1"/>
  <c r="D6013" i="3"/>
  <c r="E6013" i="3" s="1"/>
  <c r="F6013" i="3" s="1"/>
  <c r="G6013" i="3" s="1"/>
  <c r="H6013" i="3" s="1"/>
  <c r="F6015" i="3"/>
  <c r="G6015" i="3" s="1"/>
  <c r="H6015" i="3" s="1"/>
  <c r="H6017" i="3"/>
  <c r="AD5989" i="3"/>
  <c r="H5989" i="3"/>
  <c r="P5989" i="3"/>
  <c r="X5989" i="3"/>
  <c r="D5988" i="3"/>
  <c r="L5988" i="3"/>
  <c r="T5988" i="3"/>
  <c r="AB5988" i="3"/>
  <c r="G5989" i="3"/>
  <c r="O5989" i="3"/>
  <c r="W5989" i="3"/>
  <c r="E5988" i="3"/>
  <c r="B5998" i="3" s="1"/>
  <c r="M5988" i="3"/>
  <c r="U5988" i="3"/>
  <c r="AC5988" i="3"/>
  <c r="H5998" i="3" s="1"/>
  <c r="B6029" i="3"/>
  <c r="B6022" i="3" s="1"/>
  <c r="R5989" i="3"/>
  <c r="J5989" i="3"/>
  <c r="G5988" i="3"/>
  <c r="O5988" i="3"/>
  <c r="W5988" i="3"/>
  <c r="B5988" i="3"/>
  <c r="D6029" i="3"/>
  <c r="Z5989" i="3"/>
  <c r="L5989" i="3"/>
  <c r="T5989" i="3"/>
  <c r="AB5989" i="3"/>
  <c r="F5988" i="3"/>
  <c r="N5988" i="3"/>
  <c r="V5988" i="3"/>
  <c r="AD5988" i="3"/>
  <c r="H5988" i="3"/>
  <c r="P5988" i="3"/>
  <c r="X5988" i="3"/>
  <c r="K5989" i="3"/>
  <c r="S5989" i="3"/>
  <c r="AA5989" i="3"/>
  <c r="F5989" i="3"/>
  <c r="N5989" i="3"/>
  <c r="V5989" i="3"/>
  <c r="J5988" i="3"/>
  <c r="R5988" i="3"/>
  <c r="Z5988" i="3"/>
  <c r="I5989" i="3"/>
  <c r="Q5989" i="3"/>
  <c r="Y5989" i="3"/>
  <c r="C5988" i="3"/>
  <c r="K5988" i="3"/>
  <c r="S5988" i="3"/>
  <c r="AA5988" i="3"/>
  <c r="Y5988" i="3"/>
  <c r="AC5989" i="3"/>
  <c r="U5989" i="3"/>
  <c r="M5989" i="3"/>
  <c r="I5988" i="3"/>
  <c r="Q5988" i="3"/>
  <c r="EE133" i="4"/>
  <c r="EE118" i="4"/>
  <c r="EE117" i="4"/>
  <c r="EE116" i="4"/>
  <c r="EE115" i="4"/>
  <c r="EE114" i="4"/>
  <c r="EE113" i="4"/>
  <c r="EE112" i="4"/>
  <c r="EE109" i="4"/>
  <c r="EE108" i="4"/>
  <c r="EE102" i="4"/>
  <c r="EE101" i="4"/>
  <c r="EE100" i="4"/>
  <c r="EE189" i="4"/>
  <c r="EE188" i="4"/>
  <c r="EE187" i="4"/>
  <c r="EE184" i="4"/>
  <c r="EE183" i="4"/>
  <c r="EE182" i="4"/>
  <c r="EE179" i="4"/>
  <c r="EE178" i="4"/>
  <c r="EE175" i="4"/>
  <c r="EE174" i="4"/>
  <c r="EE173" i="4"/>
  <c r="EE171" i="4"/>
  <c r="EE197" i="4" s="1"/>
  <c r="EE116" i="10" s="1"/>
  <c r="EE166" i="4"/>
  <c r="EE13" i="32" s="1"/>
  <c r="EE78" i="4"/>
  <c r="EE75" i="4"/>
  <c r="EE167" i="4" s="1"/>
  <c r="EE65" i="4"/>
  <c r="EE97" i="4" s="1"/>
  <c r="EE53" i="4"/>
  <c r="EE635" i="2"/>
  <c r="DU262" i="2"/>
  <c r="EE54" i="2"/>
  <c r="EE27" i="4"/>
  <c r="EI27" i="4" s="1"/>
  <c r="EE278" i="1"/>
  <c r="EE266" i="1"/>
  <c r="EE253" i="1"/>
  <c r="EE107" i="35" s="1"/>
  <c r="EE240" i="1"/>
  <c r="EI240" i="1" s="1"/>
  <c r="EE237" i="1"/>
  <c r="EB587" i="1"/>
  <c r="EC587" i="1"/>
  <c r="EA587" i="1"/>
  <c r="EC581" i="1"/>
  <c r="EB581" i="1"/>
  <c r="EA581" i="1"/>
  <c r="ED580" i="1"/>
  <c r="EE581" i="1" s="1"/>
  <c r="EI581" i="1" s="1"/>
  <c r="DU591" i="1"/>
  <c r="EE569" i="1"/>
  <c r="EE572" i="1" s="1"/>
  <c r="EA569" i="1"/>
  <c r="EA572" i="1" s="1"/>
  <c r="EB569" i="1"/>
  <c r="EC569" i="1"/>
  <c r="ED569" i="1" s="1"/>
  <c r="DZ569" i="1"/>
  <c r="DZ572" i="1" s="1"/>
  <c r="EA550" i="1"/>
  <c r="EA557" i="1" s="1"/>
  <c r="EE39" i="4"/>
  <c r="EI39" i="4" s="1"/>
  <c r="D4993" i="3" s="1"/>
  <c r="EE633" i="2"/>
  <c r="EE37" i="4"/>
  <c r="EI37" i="4" s="1"/>
  <c r="D4992" i="3" s="1"/>
  <c r="D4999" i="3" s="1"/>
  <c r="EE34" i="4"/>
  <c r="EI34" i="4" s="1"/>
  <c r="EE629" i="2"/>
  <c r="EI629" i="2" s="1"/>
  <c r="EE225" i="1"/>
  <c r="EE216" i="1"/>
  <c r="EE220" i="1" s="1"/>
  <c r="EE231" i="1" s="1"/>
  <c r="EE546" i="1"/>
  <c r="EE537" i="1"/>
  <c r="EE536" i="1"/>
  <c r="EE530" i="1"/>
  <c r="EE528" i="1"/>
  <c r="EE522" i="1"/>
  <c r="EE521" i="1"/>
  <c r="EE527" i="1" s="1"/>
  <c r="EE514" i="1"/>
  <c r="EE516" i="1" s="1"/>
  <c r="EE117" i="1"/>
  <c r="EI117" i="1" s="1"/>
  <c r="EE116" i="1"/>
  <c r="EI116" i="1" s="1"/>
  <c r="EE114" i="1"/>
  <c r="EI114" i="1" s="1"/>
  <c r="EE111" i="1"/>
  <c r="EE109" i="1"/>
  <c r="EI109" i="1" s="1"/>
  <c r="EE108" i="1"/>
  <c r="EI108" i="1" s="1"/>
  <c r="EE107" i="1"/>
  <c r="EI107" i="1" s="1"/>
  <c r="EE106" i="1"/>
  <c r="EI106" i="1" s="1"/>
  <c r="EE105" i="1"/>
  <c r="EI105" i="1" s="1"/>
  <c r="EE104" i="1"/>
  <c r="EI104" i="1" s="1"/>
  <c r="EE98" i="1"/>
  <c r="EE119" i="1" s="1"/>
  <c r="EI119" i="1" s="1"/>
  <c r="EE97" i="1"/>
  <c r="EE118" i="1" s="1"/>
  <c r="EI118" i="1" s="1"/>
  <c r="EE94" i="1"/>
  <c r="EE115" i="1" s="1"/>
  <c r="EE90" i="1"/>
  <c r="EE88" i="1"/>
  <c r="EE87" i="1"/>
  <c r="EE86" i="1"/>
  <c r="EE85" i="1"/>
  <c r="EE84" i="1"/>
  <c r="EE83" i="1"/>
  <c r="I7" i="20"/>
  <c r="I12" i="23" s="1"/>
  <c r="J7" i="20"/>
  <c r="J12" i="23" s="1"/>
  <c r="DT263" i="10"/>
  <c r="DS263" i="10"/>
  <c r="DR263" i="10"/>
  <c r="DQ263" i="10"/>
  <c r="DP263" i="10"/>
  <c r="DO263" i="10"/>
  <c r="DN263" i="10"/>
  <c r="DM263" i="10"/>
  <c r="DL263" i="10"/>
  <c r="DK263" i="10"/>
  <c r="DJ263" i="10"/>
  <c r="DI263" i="10"/>
  <c r="DH263" i="10"/>
  <c r="DG263" i="10"/>
  <c r="DF263" i="10"/>
  <c r="DE263" i="10"/>
  <c r="DD263" i="10"/>
  <c r="DC263" i="10"/>
  <c r="DB263" i="10"/>
  <c r="DA263" i="10"/>
  <c r="CZ263" i="10"/>
  <c r="CY263" i="10"/>
  <c r="CX263" i="10"/>
  <c r="CW263" i="10"/>
  <c r="CV263" i="10"/>
  <c r="CU263" i="10"/>
  <c r="CT263" i="10"/>
  <c r="CS263" i="10"/>
  <c r="CR263" i="10"/>
  <c r="CQ263" i="10"/>
  <c r="CP263" i="10"/>
  <c r="CO263" i="10"/>
  <c r="CN263" i="10"/>
  <c r="CM263" i="10"/>
  <c r="CL263" i="10"/>
  <c r="CK263" i="10"/>
  <c r="CJ263" i="10"/>
  <c r="CI263" i="10"/>
  <c r="CH263" i="10"/>
  <c r="CG263" i="10"/>
  <c r="CF263" i="10"/>
  <c r="CE263" i="10"/>
  <c r="CD263" i="10"/>
  <c r="CC263" i="10"/>
  <c r="CB263" i="10"/>
  <c r="CA263" i="10"/>
  <c r="BZ263" i="10"/>
  <c r="BY263" i="10"/>
  <c r="BX263" i="10"/>
  <c r="BW263" i="10"/>
  <c r="BV263" i="10"/>
  <c r="BU263" i="10"/>
  <c r="BT263" i="10"/>
  <c r="BS263" i="10"/>
  <c r="BR263" i="10"/>
  <c r="BQ263" i="10"/>
  <c r="BP263" i="10"/>
  <c r="BO263" i="10"/>
  <c r="BN263" i="10"/>
  <c r="BM263" i="10"/>
  <c r="BL263" i="10"/>
  <c r="BK263" i="10"/>
  <c r="BJ263" i="10"/>
  <c r="BI263" i="10"/>
  <c r="BH263" i="10"/>
  <c r="BG263" i="10"/>
  <c r="BF263" i="10"/>
  <c r="BE263" i="10"/>
  <c r="BD263" i="10"/>
  <c r="BC263" i="10"/>
  <c r="BB263" i="10"/>
  <c r="BA263" i="10"/>
  <c r="AZ263" i="10"/>
  <c r="AY263" i="10"/>
  <c r="AX263" i="10"/>
  <c r="AW263" i="10"/>
  <c r="AV263" i="10"/>
  <c r="AU263" i="10"/>
  <c r="AT263" i="10"/>
  <c r="AS263" i="10"/>
  <c r="AR263" i="10"/>
  <c r="AQ263" i="10"/>
  <c r="AP263" i="10"/>
  <c r="AO263" i="10"/>
  <c r="AN263" i="10"/>
  <c r="AM263" i="10"/>
  <c r="AL263" i="10"/>
  <c r="AK263" i="10"/>
  <c r="AJ263" i="10"/>
  <c r="AI263" i="10"/>
  <c r="AH263" i="10"/>
  <c r="AG263" i="10"/>
  <c r="AF263" i="10"/>
  <c r="AE263" i="10"/>
  <c r="AD263" i="10"/>
  <c r="AC263" i="10"/>
  <c r="AB263" i="10"/>
  <c r="AA263" i="10"/>
  <c r="Z263" i="10"/>
  <c r="Y263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D263" i="10"/>
  <c r="DT190" i="10"/>
  <c r="DT189" i="10"/>
  <c r="DT188" i="10"/>
  <c r="DT187" i="10"/>
  <c r="K7" i="20"/>
  <c r="K12" i="23" s="1"/>
  <c r="G4512" i="3"/>
  <c r="G4513" i="3"/>
  <c r="G4514" i="3"/>
  <c r="G4515" i="3"/>
  <c r="G4516" i="3"/>
  <c r="G4517" i="3"/>
  <c r="K4505" i="3" s="1"/>
  <c r="G4518" i="3"/>
  <c r="J4505" i="3" s="1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11" i="3"/>
  <c r="EE110" i="10"/>
  <c r="EC110" i="10"/>
  <c r="EB110" i="10"/>
  <c r="EA110" i="10"/>
  <c r="DZ110" i="10"/>
  <c r="DX110" i="10"/>
  <c r="DW110" i="10"/>
  <c r="DV110" i="10"/>
  <c r="DU110" i="10"/>
  <c r="DX661" i="2"/>
  <c r="DW661" i="2"/>
  <c r="DV661" i="2"/>
  <c r="DU661" i="2"/>
  <c r="DX660" i="2"/>
  <c r="DW660" i="2"/>
  <c r="DV660" i="2"/>
  <c r="DU660" i="2"/>
  <c r="DX659" i="2"/>
  <c r="DW659" i="2"/>
  <c r="DV659" i="2"/>
  <c r="DU659" i="2"/>
  <c r="DX658" i="2"/>
  <c r="DW658" i="2"/>
  <c r="DV658" i="2"/>
  <c r="DU658" i="2"/>
  <c r="M5976" i="3"/>
  <c r="K5976" i="3"/>
  <c r="J5976" i="3"/>
  <c r="I5976" i="3"/>
  <c r="H5976" i="3"/>
  <c r="G5976" i="3"/>
  <c r="F5907" i="3"/>
  <c r="G5907" i="3" s="1"/>
  <c r="D5880" i="3"/>
  <c r="B5880" i="3"/>
  <c r="E5867" i="3"/>
  <c r="B5943" i="3"/>
  <c r="C5943" i="3"/>
  <c r="D5943" i="3"/>
  <c r="E5943" i="3"/>
  <c r="F5943" i="3"/>
  <c r="C5956" i="3"/>
  <c r="D5956" i="3"/>
  <c r="E5956" i="3"/>
  <c r="F5956" i="3"/>
  <c r="B5956" i="3"/>
  <c r="E5955" i="3"/>
  <c r="D5955" i="3" s="1"/>
  <c r="C5955" i="3" s="1"/>
  <c r="B5955" i="3" s="1"/>
  <c r="G5955" i="3" s="1"/>
  <c r="C5949" i="3"/>
  <c r="D5949" i="3"/>
  <c r="E5949" i="3"/>
  <c r="B5949" i="3"/>
  <c r="F5879" i="3"/>
  <c r="F5889" i="3"/>
  <c r="C5895" i="3"/>
  <c r="D5895" i="3" s="1"/>
  <c r="E5895" i="3" s="1"/>
  <c r="F5895" i="3" s="1"/>
  <c r="C5913" i="3"/>
  <c r="C5918" i="3" s="1"/>
  <c r="D5913" i="3"/>
  <c r="E5913" i="3"/>
  <c r="E5917" i="3" s="1"/>
  <c r="F5913" i="3"/>
  <c r="F5918" i="3" s="1"/>
  <c r="B5913" i="3"/>
  <c r="G5903" i="3"/>
  <c r="G5902" i="3"/>
  <c r="C5904" i="3"/>
  <c r="D5904" i="3"/>
  <c r="E5904" i="3"/>
  <c r="E5909" i="3" s="1"/>
  <c r="F5904" i="3"/>
  <c r="F5914" i="3" s="1"/>
  <c r="B5904" i="3"/>
  <c r="C5942" i="3"/>
  <c r="D5942" i="3"/>
  <c r="E5942" i="3"/>
  <c r="F5942" i="3"/>
  <c r="G5897" i="3"/>
  <c r="G5898" i="3"/>
  <c r="B5900" i="3"/>
  <c r="C5900" i="3"/>
  <c r="D5900" i="3"/>
  <c r="E5900" i="3"/>
  <c r="F5900" i="3"/>
  <c r="C5899" i="3"/>
  <c r="D5899" i="3"/>
  <c r="E5899" i="3"/>
  <c r="B5899" i="3"/>
  <c r="B5942" i="3"/>
  <c r="F5940" i="3"/>
  <c r="E5940" i="3"/>
  <c r="D5940" i="3"/>
  <c r="C5940" i="3"/>
  <c r="B5940" i="3"/>
  <c r="F5935" i="3"/>
  <c r="E5935" i="3"/>
  <c r="D5935" i="3"/>
  <c r="C5935" i="3"/>
  <c r="B5935" i="3"/>
  <c r="C5930" i="3"/>
  <c r="D5930" i="3"/>
  <c r="E5930" i="3"/>
  <c r="F5930" i="3"/>
  <c r="B5930" i="3"/>
  <c r="G5939" i="3"/>
  <c r="G5938" i="3"/>
  <c r="G5934" i="3"/>
  <c r="G5933" i="3"/>
  <c r="G5929" i="3"/>
  <c r="G5928" i="3"/>
  <c r="C5926" i="3"/>
  <c r="D5926" i="3" s="1"/>
  <c r="E5926" i="3" s="1"/>
  <c r="F5926" i="3" s="1"/>
  <c r="F5949" i="3"/>
  <c r="F5899" i="3"/>
  <c r="F5948" i="3" s="1"/>
  <c r="E5948" i="3" s="1"/>
  <c r="D5948" i="3" s="1"/>
  <c r="F5878" i="3"/>
  <c r="G5896" i="3"/>
  <c r="G5855" i="3"/>
  <c r="F5855" i="3"/>
  <c r="D5855" i="3"/>
  <c r="C5855" i="3"/>
  <c r="H5854" i="3"/>
  <c r="E5854" i="3"/>
  <c r="H5853" i="3"/>
  <c r="E5853" i="3"/>
  <c r="H5852" i="3"/>
  <c r="E5852" i="3"/>
  <c r="H5851" i="3"/>
  <c r="E5851" i="3"/>
  <c r="H5850" i="3"/>
  <c r="E5850" i="3"/>
  <c r="H5849" i="3"/>
  <c r="E5849" i="3"/>
  <c r="H5848" i="3"/>
  <c r="E5848" i="3"/>
  <c r="H5847" i="3"/>
  <c r="E5847" i="3"/>
  <c r="H5846" i="3"/>
  <c r="E5846" i="3"/>
  <c r="H5845" i="3"/>
  <c r="E5845" i="3"/>
  <c r="H5844" i="3"/>
  <c r="E5844" i="3"/>
  <c r="C149" i="13"/>
  <c r="B5573" i="3" s="1"/>
  <c r="B5574" i="3" s="1"/>
  <c r="A5136" i="3"/>
  <c r="A5137" i="3" s="1"/>
  <c r="A5138" i="3" s="1"/>
  <c r="A5139" i="3" s="1"/>
  <c r="A5140" i="3" s="1"/>
  <c r="D5128" i="3"/>
  <c r="D5130" i="3"/>
  <c r="C137" i="13"/>
  <c r="C4910" i="3"/>
  <c r="D4910" i="3" s="1"/>
  <c r="E4910" i="3" s="1"/>
  <c r="F4910" i="3" s="1"/>
  <c r="G4910" i="3" s="1"/>
  <c r="H4910" i="3" s="1"/>
  <c r="I4910" i="3" s="1"/>
  <c r="J4910" i="3" s="1"/>
  <c r="K4910" i="3" s="1"/>
  <c r="L4910" i="3" s="1"/>
  <c r="M4910" i="3" s="1"/>
  <c r="N4910" i="3" s="1"/>
  <c r="B4906" i="3"/>
  <c r="C4902" i="3"/>
  <c r="D4902" i="3" s="1"/>
  <c r="E4902" i="3" s="1"/>
  <c r="F4902" i="3" s="1"/>
  <c r="G4902" i="3" s="1"/>
  <c r="D4881" i="3"/>
  <c r="E4881" i="3"/>
  <c r="F4881" i="3"/>
  <c r="C4881" i="3"/>
  <c r="C4872" i="3"/>
  <c r="D4872" i="3" s="1"/>
  <c r="E4872" i="3" s="1"/>
  <c r="F4872" i="3" s="1"/>
  <c r="G4872" i="3" s="1"/>
  <c r="H4872" i="3" s="1"/>
  <c r="I4872" i="3" s="1"/>
  <c r="J4872" i="3" s="1"/>
  <c r="K4872" i="3" s="1"/>
  <c r="L4872" i="3" s="1"/>
  <c r="M4872" i="3" s="1"/>
  <c r="N4872" i="3" s="1"/>
  <c r="B4868" i="3"/>
  <c r="B4880" i="3" s="1"/>
  <c r="B4864" i="3"/>
  <c r="B4873" i="3" s="1"/>
  <c r="B4899" i="3"/>
  <c r="E5072" i="3"/>
  <c r="D4183" i="3"/>
  <c r="ED85" i="4"/>
  <c r="DY76" i="1"/>
  <c r="EA85" i="4"/>
  <c r="EA86" i="4" s="1"/>
  <c r="EB85" i="4"/>
  <c r="EB87" i="4" s="1"/>
  <c r="D5572" i="3"/>
  <c r="B5555" i="3"/>
  <c r="B5562" i="3" s="1"/>
  <c r="A4828" i="3"/>
  <c r="C5769" i="3"/>
  <c r="D5769" i="3" s="1"/>
  <c r="E5769" i="3" s="1"/>
  <c r="F5769" i="3" s="1"/>
  <c r="Q5751" i="3"/>
  <c r="R5751" i="3" s="1"/>
  <c r="S5751" i="3" s="1"/>
  <c r="T5751" i="3" s="1"/>
  <c r="AQ5740" i="3"/>
  <c r="AQ5741" i="3"/>
  <c r="AQ5742" i="3"/>
  <c r="AP5740" i="3"/>
  <c r="AP5741" i="3"/>
  <c r="AP5742" i="3"/>
  <c r="W5762" i="3"/>
  <c r="X5762" i="3"/>
  <c r="Y5762" i="3"/>
  <c r="V5762" i="3"/>
  <c r="S5762" i="3"/>
  <c r="T5762" i="3"/>
  <c r="U5762" i="3"/>
  <c r="R5762" i="3"/>
  <c r="O5762" i="3"/>
  <c r="P5762" i="3"/>
  <c r="Q5762" i="3"/>
  <c r="N5762" i="3"/>
  <c r="K5762" i="3"/>
  <c r="L5762" i="3"/>
  <c r="M5762" i="3"/>
  <c r="J5762" i="3"/>
  <c r="G5762" i="3"/>
  <c r="H5762" i="3"/>
  <c r="I5762" i="3"/>
  <c r="F5762" i="3"/>
  <c r="C5762" i="3"/>
  <c r="D5762" i="3"/>
  <c r="E5762" i="3"/>
  <c r="B5762" i="3"/>
  <c r="AJ5740" i="3"/>
  <c r="AJ5741" i="3"/>
  <c r="AJ5742" i="3"/>
  <c r="F5742" i="3"/>
  <c r="F5741" i="3"/>
  <c r="F5740" i="3"/>
  <c r="F5739" i="3"/>
  <c r="P5740" i="3"/>
  <c r="U5740" i="3"/>
  <c r="Z5740" i="3"/>
  <c r="E5771" i="3" s="1"/>
  <c r="AE5740" i="3"/>
  <c r="P5741" i="3"/>
  <c r="U5741" i="3"/>
  <c r="D5772" i="3" s="1"/>
  <c r="Z5741" i="3"/>
  <c r="E5772" i="3" s="1"/>
  <c r="AE5741" i="3"/>
  <c r="P5742" i="3"/>
  <c r="C5773" i="3" s="1"/>
  <c r="U5742" i="3"/>
  <c r="D5773" i="3" s="1"/>
  <c r="Z5742" i="3"/>
  <c r="E5773" i="3" s="1"/>
  <c r="AE5742" i="3"/>
  <c r="K5741" i="3"/>
  <c r="B5772" i="3" s="1"/>
  <c r="K5742" i="3"/>
  <c r="K5740" i="3"/>
  <c r="B5771" i="3" s="1"/>
  <c r="P5739" i="3"/>
  <c r="C5770" i="3" s="1"/>
  <c r="U5739" i="3"/>
  <c r="D5770" i="3" s="1"/>
  <c r="Z5739" i="3"/>
  <c r="E5770" i="3" s="1"/>
  <c r="AE5739" i="3"/>
  <c r="U5738" i="3"/>
  <c r="Z5738" i="3" s="1"/>
  <c r="AE5738" i="3" s="1"/>
  <c r="AJ5738" i="3" s="1"/>
  <c r="AP5738" i="3" s="1"/>
  <c r="C5728" i="3"/>
  <c r="A4749" i="3"/>
  <c r="A4821" i="3" s="1"/>
  <c r="A4750" i="3"/>
  <c r="A4790" i="3" s="1"/>
  <c r="A4766" i="3"/>
  <c r="V4766" i="3"/>
  <c r="V4769" i="3" s="1"/>
  <c r="U4766" i="3"/>
  <c r="U4769" i="3" s="1"/>
  <c r="T4766" i="3"/>
  <c r="T4769" i="3" s="1"/>
  <c r="A4791" i="3"/>
  <c r="F4534" i="3"/>
  <c r="F4523" i="3"/>
  <c r="F4524" i="3"/>
  <c r="C148" i="24" s="1"/>
  <c r="F4525" i="3"/>
  <c r="F4526" i="3"/>
  <c r="F4527" i="3"/>
  <c r="F4528" i="3"/>
  <c r="F4529" i="3"/>
  <c r="F4530" i="3"/>
  <c r="F4531" i="3"/>
  <c r="F4532" i="3"/>
  <c r="F4533" i="3"/>
  <c r="F4535" i="3"/>
  <c r="F4536" i="3"/>
  <c r="D4749" i="3"/>
  <c r="D4750" i="3"/>
  <c r="D4751" i="3"/>
  <c r="C5598" i="3"/>
  <c r="D5598" i="3" s="1"/>
  <c r="E5598" i="3" s="1"/>
  <c r="F5598" i="3" s="1"/>
  <c r="G5598" i="3" s="1"/>
  <c r="H5598" i="3" s="1"/>
  <c r="I5598" i="3" s="1"/>
  <c r="J5598" i="3" s="1"/>
  <c r="K5598" i="3" s="1"/>
  <c r="L5598" i="3" s="1"/>
  <c r="M5598" i="3" s="1"/>
  <c r="N5598" i="3" s="1"/>
  <c r="C5628" i="3"/>
  <c r="D5628" i="3" s="1"/>
  <c r="E5628" i="3" s="1"/>
  <c r="F5628" i="3" s="1"/>
  <c r="G5628" i="3" s="1"/>
  <c r="H5628" i="3" s="1"/>
  <c r="C5681" i="3"/>
  <c r="D5681" i="3" s="1"/>
  <c r="E5681" i="3" s="1"/>
  <c r="F5681" i="3" s="1"/>
  <c r="G5681" i="3" s="1"/>
  <c r="H5681" i="3" s="1"/>
  <c r="D5699" i="3"/>
  <c r="E5693" i="3"/>
  <c r="D5693" i="3"/>
  <c r="E5701" i="3"/>
  <c r="H5649" i="3"/>
  <c r="H5605" i="3" s="1"/>
  <c r="C5648" i="3"/>
  <c r="G5700" i="3"/>
  <c r="B5689" i="3"/>
  <c r="C5641" i="3"/>
  <c r="C5672" i="3"/>
  <c r="F5702" i="3"/>
  <c r="G5649" i="3"/>
  <c r="G5605" i="3" s="1"/>
  <c r="D5648" i="3"/>
  <c r="F5648" i="3"/>
  <c r="D5674" i="3"/>
  <c r="C5667" i="3"/>
  <c r="D5675" i="3"/>
  <c r="C5674" i="3"/>
  <c r="E5649" i="3"/>
  <c r="E5605" i="3" s="1"/>
  <c r="C5646" i="3"/>
  <c r="D5649" i="3"/>
  <c r="D5605" i="3" s="1"/>
  <c r="G5648" i="3"/>
  <c r="F5674" i="3"/>
  <c r="C5702" i="3"/>
  <c r="D5702" i="3"/>
  <c r="C5699" i="3"/>
  <c r="F5675" i="3"/>
  <c r="F5611" i="3" s="1"/>
  <c r="C5647" i="3"/>
  <c r="C5610" i="3" s="1"/>
  <c r="F5649" i="3"/>
  <c r="F5605" i="3" s="1"/>
  <c r="E5648" i="3"/>
  <c r="E5674" i="3"/>
  <c r="F5700" i="3"/>
  <c r="E5668" i="3"/>
  <c r="H5666" i="3"/>
  <c r="F5668" i="3"/>
  <c r="H5701" i="3"/>
  <c r="H5700" i="3"/>
  <c r="C5639" i="3"/>
  <c r="C5600" i="3" s="1"/>
  <c r="H5648" i="3"/>
  <c r="C5701" i="3"/>
  <c r="F5694" i="3"/>
  <c r="C5642" i="3"/>
  <c r="C5649" i="3"/>
  <c r="C5605" i="3" s="1"/>
  <c r="G5701" i="3"/>
  <c r="D5666" i="3"/>
  <c r="G5673" i="3"/>
  <c r="H5668" i="3"/>
  <c r="C5700" i="3"/>
  <c r="D5701" i="3"/>
  <c r="E5702" i="3"/>
  <c r="G5695" i="3"/>
  <c r="G5607" i="3" s="1"/>
  <c r="H5702" i="3"/>
  <c r="C5640" i="3"/>
  <c r="B5636" i="3"/>
  <c r="C5636" i="3"/>
  <c r="C5673" i="3"/>
  <c r="H5695" i="3"/>
  <c r="H5607" i="3" s="1"/>
  <c r="D5700" i="3"/>
  <c r="C5692" i="3"/>
  <c r="C5602" i="3" s="1"/>
  <c r="C5675" i="3"/>
  <c r="C5606" i="3" s="1"/>
  <c r="E5675" i="3"/>
  <c r="G5666" i="3"/>
  <c r="F5673" i="3"/>
  <c r="D5692" i="3"/>
  <c r="F5693" i="3"/>
  <c r="H5694" i="3"/>
  <c r="F5701" i="3"/>
  <c r="G5675" i="3"/>
  <c r="G5694" i="3"/>
  <c r="E5700" i="3"/>
  <c r="E5673" i="3"/>
  <c r="G5693" i="3"/>
  <c r="C5695" i="3"/>
  <c r="C5607" i="3" s="1"/>
  <c r="H5674" i="3"/>
  <c r="H5693" i="3"/>
  <c r="D5695" i="3"/>
  <c r="D5607" i="3" s="1"/>
  <c r="C5694" i="3"/>
  <c r="E5695" i="3"/>
  <c r="E5607" i="3" s="1"/>
  <c r="D5694" i="3"/>
  <c r="F5695" i="3"/>
  <c r="F5607" i="3" s="1"/>
  <c r="C5693" i="3"/>
  <c r="E5694" i="3"/>
  <c r="G5702" i="3"/>
  <c r="H5675" i="3"/>
  <c r="H5606" i="3" s="1"/>
  <c r="C5689" i="3"/>
  <c r="D5689" i="3"/>
  <c r="C5665" i="3"/>
  <c r="C5601" i="3" s="1"/>
  <c r="D5668" i="3"/>
  <c r="F5666" i="3"/>
  <c r="C5668" i="3"/>
  <c r="H5667" i="3"/>
  <c r="E5666" i="3"/>
  <c r="G5667" i="3"/>
  <c r="G5674" i="3"/>
  <c r="D5673" i="3"/>
  <c r="C5666" i="3"/>
  <c r="F5667" i="3"/>
  <c r="E5667" i="3"/>
  <c r="B5662" i="3"/>
  <c r="G5668" i="3"/>
  <c r="D5667" i="3"/>
  <c r="H5673" i="3"/>
  <c r="C5662" i="3"/>
  <c r="D5642" i="3"/>
  <c r="D5641" i="3"/>
  <c r="D5639" i="3"/>
  <c r="D5600" i="3" s="1"/>
  <c r="D5646" i="3"/>
  <c r="F5641" i="3"/>
  <c r="F5642" i="3"/>
  <c r="E5642" i="3"/>
  <c r="E5641" i="3"/>
  <c r="G5642" i="3"/>
  <c r="G5641" i="3"/>
  <c r="H5641" i="3"/>
  <c r="H5642" i="3"/>
  <c r="E5639" i="3"/>
  <c r="E5600" i="3" s="1"/>
  <c r="E5646" i="3"/>
  <c r="F5646" i="3"/>
  <c r="F5639" i="3"/>
  <c r="F5600" i="3" s="1"/>
  <c r="H5646" i="3"/>
  <c r="H5639" i="3"/>
  <c r="H5600" i="3" s="1"/>
  <c r="G5639" i="3"/>
  <c r="G5600" i="3" s="1"/>
  <c r="G5646" i="3"/>
  <c r="D5647" i="3"/>
  <c r="D5610" i="3" s="1"/>
  <c r="D5640" i="3"/>
  <c r="D5636" i="3"/>
  <c r="E5640" i="3"/>
  <c r="E5647" i="3"/>
  <c r="E5636" i="3"/>
  <c r="F5640" i="3"/>
  <c r="F5647" i="3"/>
  <c r="F5610" i="3" s="1"/>
  <c r="F5636" i="3"/>
  <c r="G5640" i="3"/>
  <c r="G5647" i="3"/>
  <c r="G5636" i="3"/>
  <c r="H5647" i="3"/>
  <c r="H5610" i="3" s="1"/>
  <c r="H5640" i="3"/>
  <c r="H5636" i="3"/>
  <c r="C5708" i="3"/>
  <c r="D5708" i="3" s="1"/>
  <c r="E5708" i="3" s="1"/>
  <c r="F5708" i="3" s="1"/>
  <c r="G5708" i="3" s="1"/>
  <c r="H5708" i="3" s="1"/>
  <c r="I5708" i="3" s="1"/>
  <c r="J5708" i="3" s="1"/>
  <c r="K5708" i="3" s="1"/>
  <c r="L5708" i="3" s="1"/>
  <c r="M5708" i="3" s="1"/>
  <c r="N5708" i="3" s="1"/>
  <c r="D4249" i="3"/>
  <c r="E4249" i="3"/>
  <c r="F4249" i="3"/>
  <c r="G4249" i="3"/>
  <c r="C4249" i="3"/>
  <c r="B5109" i="3"/>
  <c r="B5163" i="3" s="1"/>
  <c r="C5555" i="3"/>
  <c r="D5562" i="3" s="1"/>
  <c r="A5555" i="3"/>
  <c r="G5553" i="3" s="1"/>
  <c r="F5549" i="3"/>
  <c r="K5549" i="3" s="1"/>
  <c r="E5549" i="3"/>
  <c r="D5549" i="3"/>
  <c r="C5549" i="3"/>
  <c r="K5548" i="3"/>
  <c r="J5548" i="3"/>
  <c r="I5548" i="3"/>
  <c r="H5548" i="3"/>
  <c r="K5547" i="3"/>
  <c r="J5547" i="3"/>
  <c r="I5547" i="3"/>
  <c r="H5547" i="3"/>
  <c r="K5546" i="3"/>
  <c r="J5546" i="3"/>
  <c r="I5546" i="3"/>
  <c r="H5546" i="3"/>
  <c r="K5545" i="3"/>
  <c r="J5545" i="3"/>
  <c r="I5545" i="3"/>
  <c r="H5545" i="3"/>
  <c r="K5544" i="3"/>
  <c r="J5544" i="3"/>
  <c r="I5544" i="3"/>
  <c r="H5544" i="3"/>
  <c r="K5543" i="3"/>
  <c r="J5543" i="3"/>
  <c r="I5543" i="3"/>
  <c r="H5543" i="3"/>
  <c r="K5542" i="3"/>
  <c r="J5542" i="3"/>
  <c r="I5542" i="3"/>
  <c r="H5542" i="3"/>
  <c r="K5541" i="3"/>
  <c r="J5541" i="3"/>
  <c r="I5541" i="3"/>
  <c r="H5541" i="3"/>
  <c r="K5540" i="3"/>
  <c r="J5540" i="3"/>
  <c r="I5540" i="3"/>
  <c r="H5540" i="3"/>
  <c r="K5539" i="3"/>
  <c r="J5539" i="3"/>
  <c r="I5539" i="3"/>
  <c r="H5539" i="3"/>
  <c r="K5538" i="3"/>
  <c r="J5538" i="3"/>
  <c r="I5538" i="3"/>
  <c r="H5538" i="3"/>
  <c r="K5537" i="3"/>
  <c r="J5537" i="3"/>
  <c r="I5537" i="3"/>
  <c r="H5537" i="3"/>
  <c r="K5536" i="3"/>
  <c r="J5536" i="3"/>
  <c r="I5536" i="3"/>
  <c r="H5536" i="3"/>
  <c r="K5535" i="3"/>
  <c r="J5535" i="3"/>
  <c r="I5535" i="3"/>
  <c r="H5535" i="3"/>
  <c r="K5534" i="3"/>
  <c r="J5534" i="3"/>
  <c r="I5534" i="3"/>
  <c r="H5534" i="3"/>
  <c r="K5533" i="3"/>
  <c r="J5533" i="3"/>
  <c r="I5533" i="3"/>
  <c r="H5533" i="3"/>
  <c r="K5532" i="3"/>
  <c r="J5532" i="3"/>
  <c r="I5532" i="3"/>
  <c r="H5532" i="3"/>
  <c r="K5531" i="3"/>
  <c r="J5531" i="3"/>
  <c r="I5531" i="3"/>
  <c r="H5531" i="3"/>
  <c r="K5530" i="3"/>
  <c r="J5530" i="3"/>
  <c r="I5530" i="3"/>
  <c r="H5530" i="3"/>
  <c r="K5529" i="3"/>
  <c r="J5529" i="3"/>
  <c r="I5529" i="3"/>
  <c r="H5529" i="3"/>
  <c r="K5528" i="3"/>
  <c r="J5528" i="3"/>
  <c r="I5528" i="3"/>
  <c r="H5528" i="3"/>
  <c r="K5527" i="3"/>
  <c r="J5527" i="3"/>
  <c r="I5527" i="3"/>
  <c r="H5527" i="3"/>
  <c r="K5526" i="3"/>
  <c r="J5526" i="3"/>
  <c r="I5526" i="3"/>
  <c r="H5526" i="3"/>
  <c r="K5525" i="3"/>
  <c r="J5525" i="3"/>
  <c r="I5525" i="3"/>
  <c r="H5525" i="3"/>
  <c r="K5524" i="3"/>
  <c r="J5524" i="3"/>
  <c r="I5524" i="3"/>
  <c r="H5524" i="3"/>
  <c r="K5523" i="3"/>
  <c r="J5523" i="3"/>
  <c r="I5523" i="3"/>
  <c r="H5523" i="3"/>
  <c r="P4804" i="3"/>
  <c r="B5348" i="3"/>
  <c r="B137" i="13"/>
  <c r="B124" i="13"/>
  <c r="C124" i="13" s="1"/>
  <c r="D124" i="13" s="1"/>
  <c r="E124" i="13" s="1"/>
  <c r="F124" i="13" s="1"/>
  <c r="D120" i="13"/>
  <c r="E120" i="13" s="1"/>
  <c r="F120" i="13" s="1"/>
  <c r="C4544" i="3"/>
  <c r="C4436" i="3" s="1"/>
  <c r="B4834" i="3"/>
  <c r="A4837" i="3"/>
  <c r="C4280" i="3"/>
  <c r="D4915" i="3"/>
  <c r="E4915" i="3" s="1"/>
  <c r="F4915" i="3" s="1"/>
  <c r="G4915" i="3" s="1"/>
  <c r="H4915" i="3" s="1"/>
  <c r="I4915" i="3" s="1"/>
  <c r="B4915" i="3"/>
  <c r="B4914" i="3"/>
  <c r="D5479" i="3"/>
  <c r="C5516" i="3"/>
  <c r="C5482" i="3"/>
  <c r="D5504" i="3"/>
  <c r="D5482" i="3"/>
  <c r="C5478" i="3"/>
  <c r="C5488" i="3" s="1"/>
  <c r="D5505" i="3"/>
  <c r="D5483" i="3" s="1"/>
  <c r="D5478" i="3"/>
  <c r="D5488" i="3" s="1"/>
  <c r="C5505" i="3"/>
  <c r="C5483" i="3" s="1"/>
  <c r="C5503" i="3"/>
  <c r="C5479" i="3"/>
  <c r="C5504" i="3"/>
  <c r="C5509" i="3"/>
  <c r="D5509" i="3"/>
  <c r="D5512" i="3" s="1"/>
  <c r="D5516" i="3" s="1"/>
  <c r="D5503" i="3"/>
  <c r="G5156" i="3"/>
  <c r="F5156" i="3"/>
  <c r="F5155" i="3" s="1"/>
  <c r="D5145" i="3"/>
  <c r="B5107" i="3"/>
  <c r="F5107" i="3" s="1"/>
  <c r="G5150" i="3"/>
  <c r="G5149" i="3"/>
  <c r="E5149" i="3"/>
  <c r="C5144" i="3"/>
  <c r="D5144" i="3" s="1"/>
  <c r="E5144" i="3" s="1"/>
  <c r="F5144" i="3" s="1"/>
  <c r="G5144" i="3" s="1"/>
  <c r="H5144" i="3" s="1"/>
  <c r="I5144" i="3" s="1"/>
  <c r="J5144" i="3" s="1"/>
  <c r="B5458" i="3"/>
  <c r="E5421" i="3"/>
  <c r="F5421" i="3" s="1"/>
  <c r="G5421" i="3" s="1"/>
  <c r="H5421" i="3" s="1"/>
  <c r="I5421" i="3" s="1"/>
  <c r="J5421" i="3" s="1"/>
  <c r="K5421" i="3" s="1"/>
  <c r="L5421" i="3" s="1"/>
  <c r="M5421" i="3" s="1"/>
  <c r="D5444" i="3"/>
  <c r="E5444" i="3" s="1"/>
  <c r="F5444" i="3" s="1"/>
  <c r="G5444" i="3" s="1"/>
  <c r="H5444" i="3" s="1"/>
  <c r="I5444" i="3" s="1"/>
  <c r="J5444" i="3" s="1"/>
  <c r="K5444" i="3" s="1"/>
  <c r="L5444" i="3" s="1"/>
  <c r="M5444" i="3" s="1"/>
  <c r="E5426" i="3"/>
  <c r="F5426" i="3" s="1"/>
  <c r="G5426" i="3" s="1"/>
  <c r="H5426" i="3" s="1"/>
  <c r="I5426" i="3" s="1"/>
  <c r="J5426" i="3" s="1"/>
  <c r="K5426" i="3" s="1"/>
  <c r="L5426" i="3" s="1"/>
  <c r="M5426" i="3" s="1"/>
  <c r="DY119" i="4"/>
  <c r="ED119" i="4"/>
  <c r="EI119" i="4"/>
  <c r="D5419" i="3"/>
  <c r="E5419" i="3" s="1"/>
  <c r="F5419" i="3" s="1"/>
  <c r="G5419" i="3" s="1"/>
  <c r="H5419" i="3" s="1"/>
  <c r="I5419" i="3" s="1"/>
  <c r="J5419" i="3" s="1"/>
  <c r="K5419" i="3" s="1"/>
  <c r="L5419" i="3" s="1"/>
  <c r="M5419" i="3" s="1"/>
  <c r="H4143" i="3"/>
  <c r="I4143" i="3"/>
  <c r="H4144" i="3"/>
  <c r="I4144" i="3"/>
  <c r="H4145" i="3"/>
  <c r="I4145" i="3"/>
  <c r="H4146" i="3"/>
  <c r="I4146" i="3"/>
  <c r="C5398" i="3"/>
  <c r="B5357" i="3"/>
  <c r="B5371" i="3"/>
  <c r="B5102" i="3"/>
  <c r="B5268" i="3" s="1"/>
  <c r="B5301" i="3"/>
  <c r="C5283" i="3"/>
  <c r="D5283" i="3" s="1"/>
  <c r="B52" i="13"/>
  <c r="B34" i="13"/>
  <c r="B36" i="13" s="1"/>
  <c r="C207" i="6"/>
  <c r="D207" i="6"/>
  <c r="E207" i="6"/>
  <c r="F207" i="6"/>
  <c r="B207" i="6"/>
  <c r="C212" i="6"/>
  <c r="D212" i="6"/>
  <c r="E212" i="6"/>
  <c r="F212" i="6"/>
  <c r="B212" i="6"/>
  <c r="B204" i="6"/>
  <c r="EC160" i="4"/>
  <c r="EC171" i="4"/>
  <c r="EC173" i="4"/>
  <c r="ED173" i="4" s="1"/>
  <c r="EC174" i="4"/>
  <c r="ED174" i="4" s="1"/>
  <c r="EC175" i="4"/>
  <c r="ED175" i="4" s="1"/>
  <c r="EC178" i="4"/>
  <c r="ED178" i="4" s="1"/>
  <c r="EC179" i="4"/>
  <c r="ED179" i="4" s="1"/>
  <c r="EC182" i="4"/>
  <c r="ED182" i="4" s="1"/>
  <c r="EC183" i="4"/>
  <c r="ED183" i="4" s="1"/>
  <c r="EC184" i="4"/>
  <c r="ED184" i="4" s="1"/>
  <c r="EC187" i="4"/>
  <c r="ED187" i="4" s="1"/>
  <c r="EC188" i="4"/>
  <c r="ED188" i="4" s="1"/>
  <c r="EC189" i="4"/>
  <c r="ED189" i="4" s="1"/>
  <c r="EC71" i="4"/>
  <c r="EC72" i="4"/>
  <c r="EC73" i="4"/>
  <c r="EC207" i="4" s="1"/>
  <c r="EC209" i="4" s="1"/>
  <c r="EC204" i="4" s="1"/>
  <c r="EC12" i="32" s="1"/>
  <c r="EC75" i="4"/>
  <c r="EC107" i="10" s="1"/>
  <c r="EC78" i="4"/>
  <c r="EC66" i="4"/>
  <c r="EC99" i="4" s="1"/>
  <c r="EC65" i="4"/>
  <c r="EC97" i="4" s="1"/>
  <c r="EC53" i="4"/>
  <c r="EC572" i="2"/>
  <c r="EC635" i="2"/>
  <c r="EC435" i="2"/>
  <c r="EC629" i="2"/>
  <c r="EC27" i="4"/>
  <c r="EC265" i="1"/>
  <c r="EC260" i="1"/>
  <c r="EC259" i="1"/>
  <c r="EC258" i="1"/>
  <c r="ED254" i="1"/>
  <c r="EC240" i="1"/>
  <c r="EC238" i="1"/>
  <c r="EC237" i="1"/>
  <c r="ED269" i="1"/>
  <c r="ED266" i="1"/>
  <c r="ED229" i="1"/>
  <c r="ED228" i="1"/>
  <c r="ED227" i="1"/>
  <c r="ED224" i="1"/>
  <c r="ED223" i="1"/>
  <c r="ED222" i="1"/>
  <c r="ED219" i="1"/>
  <c r="ED218" i="1"/>
  <c r="ED215" i="1"/>
  <c r="ED214" i="1"/>
  <c r="ED213" i="1"/>
  <c r="ED211" i="1"/>
  <c r="ED599" i="1"/>
  <c r="EE600" i="1" s="1"/>
  <c r="ED595" i="1"/>
  <c r="EE596" i="1" s="1"/>
  <c r="ED592" i="1"/>
  <c r="ED575" i="1"/>
  <c r="EE576" i="1" s="1"/>
  <c r="ED561" i="1"/>
  <c r="EE562" i="1" s="1"/>
  <c r="EI562" i="1" s="1"/>
  <c r="ED532" i="1"/>
  <c r="ED520" i="1"/>
  <c r="ED519" i="1"/>
  <c r="ED515" i="1"/>
  <c r="ED513" i="1"/>
  <c r="ED512" i="1"/>
  <c r="ED511" i="1"/>
  <c r="ED510" i="1"/>
  <c r="ED96" i="1"/>
  <c r="ED95" i="1"/>
  <c r="ED93" i="1"/>
  <c r="ED78" i="1"/>
  <c r="ED253" i="1" s="1"/>
  <c r="ED69" i="1"/>
  <c r="ED67" i="1"/>
  <c r="ED65" i="1"/>
  <c r="ED64" i="1"/>
  <c r="ED63" i="1"/>
  <c r="ED62" i="1"/>
  <c r="ED61" i="1"/>
  <c r="ED56" i="1"/>
  <c r="ED55" i="1"/>
  <c r="ED54" i="1"/>
  <c r="ED53" i="1"/>
  <c r="ED52" i="1"/>
  <c r="ED51" i="1"/>
  <c r="ED50" i="1"/>
  <c r="ED47" i="1"/>
  <c r="EC57" i="1"/>
  <c r="EC59" i="1" s="1"/>
  <c r="EC69" i="35" s="1"/>
  <c r="EC74" i="35" s="1"/>
  <c r="EC83" i="1"/>
  <c r="EC84" i="1"/>
  <c r="EC85" i="1"/>
  <c r="EC86" i="1"/>
  <c r="EC87" i="1"/>
  <c r="EC88" i="1"/>
  <c r="EC90" i="1"/>
  <c r="EC94" i="1"/>
  <c r="EC115" i="1" s="1"/>
  <c r="EC97" i="1"/>
  <c r="EC118" i="1" s="1"/>
  <c r="EC98" i="1"/>
  <c r="EC119" i="1" s="1"/>
  <c r="EC104" i="1"/>
  <c r="EC105" i="1"/>
  <c r="EC106" i="1"/>
  <c r="EC107" i="1"/>
  <c r="EC108" i="1"/>
  <c r="EC109" i="1"/>
  <c r="EC111" i="1"/>
  <c r="EC114" i="1"/>
  <c r="EC116" i="1"/>
  <c r="EC117" i="1"/>
  <c r="EC514" i="1"/>
  <c r="EC516" i="1" s="1"/>
  <c r="EC521" i="1"/>
  <c r="EC529" i="1" s="1"/>
  <c r="EC522" i="1"/>
  <c r="I3731" i="3" s="1"/>
  <c r="EC528" i="1"/>
  <c r="EC530" i="1"/>
  <c r="EC536" i="1"/>
  <c r="EC537" i="1"/>
  <c r="EC546" i="1"/>
  <c r="EC562" i="1"/>
  <c r="EC576" i="1"/>
  <c r="EC596" i="1"/>
  <c r="EC600" i="1"/>
  <c r="EC216" i="1"/>
  <c r="ED216" i="1" s="1"/>
  <c r="EC225" i="1"/>
  <c r="ED225" i="1" s="1"/>
  <c r="EC278" i="1"/>
  <c r="ED278" i="1" s="1"/>
  <c r="EC133" i="4"/>
  <c r="EC633" i="2"/>
  <c r="B69" i="6"/>
  <c r="J5739" i="3"/>
  <c r="V4761" i="3"/>
  <c r="U4761" i="3"/>
  <c r="T4761" i="3"/>
  <c r="V4760" i="3"/>
  <c r="U4760" i="3"/>
  <c r="T4760" i="3"/>
  <c r="V4758" i="3"/>
  <c r="V4759" i="3" s="1"/>
  <c r="U4758" i="3"/>
  <c r="U4759" i="3" s="1"/>
  <c r="T4758" i="3"/>
  <c r="T4765" i="3" s="1"/>
  <c r="V4757" i="3"/>
  <c r="V4764" i="3" s="1"/>
  <c r="U4757" i="3"/>
  <c r="U4764" i="3" s="1"/>
  <c r="T4757" i="3"/>
  <c r="T4764" i="3" s="1"/>
  <c r="B4763" i="3"/>
  <c r="V4756" i="3"/>
  <c r="U4756" i="3"/>
  <c r="T4756" i="3"/>
  <c r="B4757" i="3"/>
  <c r="C5246" i="3"/>
  <c r="C5248" i="3" s="1"/>
  <c r="C5250" i="3" s="1"/>
  <c r="D5246" i="3"/>
  <c r="D5248" i="3" s="1"/>
  <c r="F5246" i="3"/>
  <c r="G5246" i="3"/>
  <c r="F5247" i="3"/>
  <c r="G5247" i="3" s="1"/>
  <c r="C4585" i="3"/>
  <c r="C4586" i="3" s="1"/>
  <c r="B4587" i="3" s="1"/>
  <c r="B4589" i="3" s="1"/>
  <c r="C4581" i="3" s="1"/>
  <c r="D4581" i="3" s="1"/>
  <c r="E4581" i="3" s="1"/>
  <c r="F4581" i="3" s="1"/>
  <c r="G4581" i="3" s="1"/>
  <c r="H4581" i="3" s="1"/>
  <c r="I4581" i="3" s="1"/>
  <c r="J4581" i="3" s="1"/>
  <c r="K4581" i="3" s="1"/>
  <c r="L4581" i="3" s="1"/>
  <c r="M4581" i="3" s="1"/>
  <c r="N4581" i="3" s="1"/>
  <c r="C4599" i="3"/>
  <c r="B4600" i="3" s="1"/>
  <c r="B4602" i="3" s="1"/>
  <c r="C4593" i="3" s="1"/>
  <c r="D4593" i="3" s="1"/>
  <c r="E4593" i="3" s="1"/>
  <c r="F4593" i="3" s="1"/>
  <c r="G4593" i="3" s="1"/>
  <c r="H4593" i="3" s="1"/>
  <c r="I4593" i="3" s="1"/>
  <c r="J4593" i="3" s="1"/>
  <c r="K4593" i="3" s="1"/>
  <c r="L4593" i="3" s="1"/>
  <c r="M4593" i="3" s="1"/>
  <c r="N4593" i="3" s="1"/>
  <c r="D4285" i="3"/>
  <c r="E4285" i="3" s="1"/>
  <c r="F4285" i="3" s="1"/>
  <c r="G4285" i="3" s="1"/>
  <c r="H4285" i="3" s="1"/>
  <c r="I4285" i="3" s="1"/>
  <c r="J4285" i="3" s="1"/>
  <c r="K4285" i="3" s="1"/>
  <c r="L4285" i="3" s="1"/>
  <c r="M4285" i="3" s="1"/>
  <c r="N4285" i="3" s="1"/>
  <c r="D4595" i="3"/>
  <c r="E4595" i="3" s="1"/>
  <c r="F4595" i="3" s="1"/>
  <c r="G4595" i="3" s="1"/>
  <c r="H4595" i="3" s="1"/>
  <c r="I4595" i="3" s="1"/>
  <c r="J4595" i="3" s="1"/>
  <c r="K4595" i="3" s="1"/>
  <c r="L4595" i="3" s="1"/>
  <c r="M4595" i="3" s="1"/>
  <c r="N4595" i="3" s="1"/>
  <c r="B5164" i="3"/>
  <c r="C5168" i="3"/>
  <c r="C5145" i="3"/>
  <c r="B5145" i="3"/>
  <c r="C5121" i="3"/>
  <c r="D5121" i="3" s="1"/>
  <c r="C5150" i="3"/>
  <c r="C5148" i="3" s="1"/>
  <c r="B5150" i="3"/>
  <c r="B5148" i="3" s="1"/>
  <c r="D5150" i="3"/>
  <c r="D5148" i="3" s="1"/>
  <c r="B5168" i="3"/>
  <c r="D5124" i="3"/>
  <c r="B5124" i="3"/>
  <c r="C5124" i="3"/>
  <c r="C5117" i="3"/>
  <c r="F5149" i="3" s="1"/>
  <c r="B5114" i="3"/>
  <c r="B5118" i="3"/>
  <c r="D5118" i="3"/>
  <c r="D4244" i="3"/>
  <c r="E4244" i="3"/>
  <c r="F4244" i="3"/>
  <c r="G4244" i="3"/>
  <c r="D4245" i="3"/>
  <c r="E4245" i="3"/>
  <c r="F4245" i="3"/>
  <c r="G4245" i="3"/>
  <c r="D4246" i="3"/>
  <c r="E4246" i="3"/>
  <c r="F4246" i="3"/>
  <c r="G4246" i="3"/>
  <c r="C4245" i="3"/>
  <c r="C4246" i="3"/>
  <c r="C4244" i="3"/>
  <c r="C4507" i="3"/>
  <c r="A4816" i="3"/>
  <c r="A4823" i="3"/>
  <c r="A4810" i="3"/>
  <c r="C4305" i="3"/>
  <c r="D4305" i="3" s="1"/>
  <c r="E4305" i="3" s="1"/>
  <c r="F4305" i="3" s="1"/>
  <c r="G4305" i="3" s="1"/>
  <c r="H4305" i="3" s="1"/>
  <c r="I4305" i="3" s="1"/>
  <c r="J4305" i="3" s="1"/>
  <c r="K4305" i="3" s="1"/>
  <c r="L4305" i="3" s="1"/>
  <c r="M4305" i="3" s="1"/>
  <c r="N4305" i="3" s="1"/>
  <c r="D4304" i="3"/>
  <c r="E4304" i="3"/>
  <c r="F4304" i="3"/>
  <c r="G4304" i="3"/>
  <c r="N4304" i="3"/>
  <c r="B4304" i="3"/>
  <c r="D4291" i="3"/>
  <c r="E4291" i="3"/>
  <c r="F4291" i="3"/>
  <c r="G4291" i="3"/>
  <c r="N4291" i="3"/>
  <c r="B4291" i="3"/>
  <c r="A4804" i="3"/>
  <c r="A4798" i="3"/>
  <c r="A4785" i="3"/>
  <c r="A4780" i="3"/>
  <c r="A4774" i="3"/>
  <c r="K4503" i="3"/>
  <c r="L4503" i="3" s="1"/>
  <c r="K4407" i="3"/>
  <c r="K4404" i="3"/>
  <c r="K4403" i="3"/>
  <c r="K4396" i="3"/>
  <c r="K4395" i="3"/>
  <c r="K4394" i="3"/>
  <c r="K4387" i="3"/>
  <c r="K4377" i="3"/>
  <c r="K4374" i="3"/>
  <c r="K4348" i="3"/>
  <c r="K4347" i="3"/>
  <c r="K4253" i="3"/>
  <c r="K4304" i="3" s="1"/>
  <c r="L4396" i="3"/>
  <c r="L4394" i="3"/>
  <c r="L4387" i="3"/>
  <c r="L4374" i="3"/>
  <c r="K4785" i="3"/>
  <c r="K4784" i="3"/>
  <c r="K4783" i="3"/>
  <c r="EH656" i="18"/>
  <c r="EJ656" i="18"/>
  <c r="EK656" i="18"/>
  <c r="EL656" i="18"/>
  <c r="EM656" i="18"/>
  <c r="F4512" i="3"/>
  <c r="F4513" i="3"/>
  <c r="F4514" i="3"/>
  <c r="F4515" i="3"/>
  <c r="F4516" i="3"/>
  <c r="F4517" i="3"/>
  <c r="F4518" i="3"/>
  <c r="F4519" i="3"/>
  <c r="F4520" i="3"/>
  <c r="F4521" i="3"/>
  <c r="F4522" i="3"/>
  <c r="F4511" i="3"/>
  <c r="C76" i="6"/>
  <c r="D76" i="6" s="1"/>
  <c r="E76" i="6" s="1"/>
  <c r="F76" i="6" s="1"/>
  <c r="G76" i="6" s="1"/>
  <c r="H76" i="6" s="1"/>
  <c r="I76" i="6" s="1"/>
  <c r="J76" i="6" s="1"/>
  <c r="K76" i="6" s="1"/>
  <c r="B4795" i="3"/>
  <c r="C5219" i="3"/>
  <c r="B5220" i="3"/>
  <c r="B5222" i="3" s="1"/>
  <c r="B5224" i="3" s="1"/>
  <c r="B5226" i="3" s="1"/>
  <c r="C5221" i="3"/>
  <c r="D5221" i="3" s="1"/>
  <c r="E5221" i="3" s="1"/>
  <c r="C5223" i="3"/>
  <c r="D5223" i="3" s="1"/>
  <c r="E5223" i="3" s="1"/>
  <c r="C5225" i="3"/>
  <c r="D5225" i="3" s="1"/>
  <c r="E5225" i="3" s="1"/>
  <c r="B5228" i="3"/>
  <c r="B5230" i="3" s="1"/>
  <c r="B5232" i="3" s="1"/>
  <c r="B5234" i="3" s="1"/>
  <c r="B5236" i="3" s="1"/>
  <c r="B5238" i="3" s="1"/>
  <c r="C5228" i="3"/>
  <c r="D5228" i="3"/>
  <c r="E5228" i="3"/>
  <c r="C5229" i="3"/>
  <c r="D5229" i="3" s="1"/>
  <c r="E5229" i="3" s="1"/>
  <c r="C5231" i="3"/>
  <c r="D5231" i="3" s="1"/>
  <c r="E5231" i="3" s="1"/>
  <c r="C5233" i="3"/>
  <c r="D5233" i="3" s="1"/>
  <c r="E5233" i="3" s="1"/>
  <c r="C5235" i="3"/>
  <c r="D5235" i="3" s="1"/>
  <c r="E5235" i="3" s="1"/>
  <c r="C5237" i="3"/>
  <c r="D5237" i="3" s="1"/>
  <c r="E5237" i="3" s="1"/>
  <c r="C5212" i="3"/>
  <c r="C5213" i="3" s="1"/>
  <c r="D5212" i="3"/>
  <c r="D5213" i="3" s="1"/>
  <c r="B5212" i="3"/>
  <c r="B5213" i="3" s="1"/>
  <c r="E5215" i="3"/>
  <c r="E5211" i="3"/>
  <c r="E5210" i="3"/>
  <c r="E5206" i="3"/>
  <c r="E5205" i="3"/>
  <c r="B5194" i="3"/>
  <c r="C5194" i="3" s="1"/>
  <c r="D5194" i="3" s="1"/>
  <c r="E5194" i="3" s="1"/>
  <c r="F5194" i="3" s="1"/>
  <c r="G5194" i="3" s="1"/>
  <c r="H5194" i="3" s="1"/>
  <c r="I5194" i="3" s="1"/>
  <c r="J5194" i="3" s="1"/>
  <c r="K5194" i="3" s="1"/>
  <c r="L5194" i="3" s="1"/>
  <c r="M5194" i="3" s="1"/>
  <c r="N5194" i="3" s="1"/>
  <c r="B5186" i="3"/>
  <c r="B5189" i="3"/>
  <c r="C5186" i="3" s="1"/>
  <c r="B5191" i="3"/>
  <c r="C5191" i="3" s="1"/>
  <c r="D5191" i="3" s="1"/>
  <c r="E5191" i="3" s="1"/>
  <c r="F5191" i="3" s="1"/>
  <c r="G5191" i="3" s="1"/>
  <c r="H5191" i="3" s="1"/>
  <c r="I5191" i="3" s="1"/>
  <c r="J5191" i="3" s="1"/>
  <c r="K5191" i="3" s="1"/>
  <c r="L5191" i="3" s="1"/>
  <c r="M5191" i="3" s="1"/>
  <c r="N5191" i="3" s="1"/>
  <c r="B5184" i="3"/>
  <c r="D5183" i="3"/>
  <c r="E5183" i="3" s="1"/>
  <c r="F5183" i="3" s="1"/>
  <c r="G5183" i="3" s="1"/>
  <c r="H5183" i="3" s="1"/>
  <c r="I5183" i="3" s="1"/>
  <c r="J5183" i="3" s="1"/>
  <c r="K5183" i="3" s="1"/>
  <c r="L5183" i="3" s="1"/>
  <c r="M5183" i="3" s="1"/>
  <c r="N5183" i="3" s="1"/>
  <c r="B5180" i="3"/>
  <c r="C4783" i="3"/>
  <c r="D4783" i="3"/>
  <c r="E4783" i="3"/>
  <c r="F4783" i="3"/>
  <c r="G4783" i="3"/>
  <c r="H4783" i="3"/>
  <c r="I4783" i="3"/>
  <c r="J4783" i="3"/>
  <c r="L4783" i="3"/>
  <c r="M4783" i="3"/>
  <c r="N4783" i="3"/>
  <c r="C4784" i="3"/>
  <c r="D4784" i="3"/>
  <c r="E4784" i="3"/>
  <c r="F4784" i="3"/>
  <c r="G4784" i="3"/>
  <c r="H4784" i="3"/>
  <c r="I4784" i="3"/>
  <c r="J4784" i="3"/>
  <c r="L4784" i="3"/>
  <c r="M4784" i="3"/>
  <c r="N4784" i="3"/>
  <c r="C4785" i="3"/>
  <c r="D4785" i="3"/>
  <c r="E4785" i="3"/>
  <c r="F4785" i="3"/>
  <c r="G4785" i="3"/>
  <c r="H4785" i="3"/>
  <c r="I4785" i="3"/>
  <c r="J4785" i="3"/>
  <c r="L4785" i="3"/>
  <c r="M4785" i="3"/>
  <c r="N4785" i="3"/>
  <c r="B4784" i="3"/>
  <c r="B4785" i="3"/>
  <c r="B4783" i="3"/>
  <c r="C4755" i="3"/>
  <c r="D4755" i="3" s="1"/>
  <c r="E4755" i="3" s="1"/>
  <c r="F4755" i="3" s="1"/>
  <c r="G4755" i="3" s="1"/>
  <c r="H4755" i="3" s="1"/>
  <c r="I4755" i="3" s="1"/>
  <c r="J4755" i="3" s="1"/>
  <c r="K4755" i="3" s="1"/>
  <c r="L4755" i="3" s="1"/>
  <c r="M4755" i="3" s="1"/>
  <c r="N4755" i="3" s="1"/>
  <c r="C4943" i="3"/>
  <c r="D4943" i="3" s="1"/>
  <c r="E4943" i="3" s="1"/>
  <c r="F4943" i="3" s="1"/>
  <c r="G4943" i="3" s="1"/>
  <c r="H4943" i="3" s="1"/>
  <c r="I4943" i="3" s="1"/>
  <c r="J4943" i="3" s="1"/>
  <c r="K4943" i="3" s="1"/>
  <c r="L4943" i="3" s="1"/>
  <c r="M4943" i="3" s="1"/>
  <c r="N4943" i="3" s="1"/>
  <c r="C4466" i="3"/>
  <c r="N4279" i="3"/>
  <c r="N4346" i="3" s="1"/>
  <c r="M4279" i="3"/>
  <c r="L4279" i="3"/>
  <c r="K4279" i="3"/>
  <c r="K4346" i="3" s="1"/>
  <c r="J4279" i="3"/>
  <c r="J4282" i="3" s="1"/>
  <c r="I4279" i="3"/>
  <c r="I4346" i="3" s="1"/>
  <c r="H4279" i="3"/>
  <c r="N4408" i="3"/>
  <c r="C4275" i="3"/>
  <c r="D4273" i="3"/>
  <c r="E4273" i="3" s="1"/>
  <c r="F4273" i="3" s="1"/>
  <c r="D4274" i="3"/>
  <c r="E4274" i="3" s="1"/>
  <c r="C14" i="13"/>
  <c r="D14" i="13"/>
  <c r="E14" i="13"/>
  <c r="F14" i="13"/>
  <c r="H14" i="13"/>
  <c r="M14" i="13"/>
  <c r="B14" i="13"/>
  <c r="D7" i="13"/>
  <c r="E7" i="13" s="1"/>
  <c r="F7" i="13" s="1"/>
  <c r="G7" i="13" s="1"/>
  <c r="H7" i="13" s="1"/>
  <c r="I7" i="13" s="1"/>
  <c r="J7" i="13" s="1"/>
  <c r="K7" i="13" s="1"/>
  <c r="L7" i="13" s="1"/>
  <c r="M7" i="13" s="1"/>
  <c r="A4713" i="3"/>
  <c r="A4714" i="3" s="1"/>
  <c r="A4715" i="3" s="1"/>
  <c r="A4716" i="3" s="1"/>
  <c r="A4717" i="3" s="1"/>
  <c r="A4718" i="3" s="1"/>
  <c r="A4721" i="3"/>
  <c r="A4722" i="3" s="1"/>
  <c r="A4723" i="3" s="1"/>
  <c r="A4724" i="3" s="1"/>
  <c r="C80" i="6"/>
  <c r="D80" i="6" s="1"/>
  <c r="E80" i="6" s="1"/>
  <c r="F80" i="6" s="1"/>
  <c r="G80" i="6" s="1"/>
  <c r="H80" i="6" s="1"/>
  <c r="I80" i="6" s="1"/>
  <c r="J80" i="6" s="1"/>
  <c r="K80" i="6" s="1"/>
  <c r="C74" i="6"/>
  <c r="D74" i="6" s="1"/>
  <c r="E74" i="6" s="1"/>
  <c r="F74" i="6" s="1"/>
  <c r="G74" i="6" s="1"/>
  <c r="H74" i="6" s="1"/>
  <c r="I74" i="6" s="1"/>
  <c r="J74" i="6" s="1"/>
  <c r="K74" i="6" s="1"/>
  <c r="C4938" i="3"/>
  <c r="D4938" i="3"/>
  <c r="E4938" i="3"/>
  <c r="F4938" i="3"/>
  <c r="G4938" i="3"/>
  <c r="B4938" i="3"/>
  <c r="B4849" i="3"/>
  <c r="B4843" i="3"/>
  <c r="C4932" i="3"/>
  <c r="D4932" i="3"/>
  <c r="E4932" i="3"/>
  <c r="F4932" i="3"/>
  <c r="G4932" i="3"/>
  <c r="B4932" i="3"/>
  <c r="C4840" i="3"/>
  <c r="D4840" i="3" s="1"/>
  <c r="E4840" i="3" s="1"/>
  <c r="F4840" i="3" s="1"/>
  <c r="G4840" i="3" s="1"/>
  <c r="H4840" i="3" s="1"/>
  <c r="I4840" i="3" s="1"/>
  <c r="J4840" i="3" s="1"/>
  <c r="K4840" i="3" s="1"/>
  <c r="L4840" i="3" s="1"/>
  <c r="M4840" i="3" s="1"/>
  <c r="N4840" i="3" s="1"/>
  <c r="A4671" i="3"/>
  <c r="A4672" i="3" s="1"/>
  <c r="A4673" i="3" s="1"/>
  <c r="A4674" i="3" s="1"/>
  <c r="A4675" i="3" s="1"/>
  <c r="A4676" i="3" s="1"/>
  <c r="A4677" i="3" s="1"/>
  <c r="A4678" i="3" s="1"/>
  <c r="A4679" i="3" s="1"/>
  <c r="A4680" i="3" s="1"/>
  <c r="A4681" i="3" s="1"/>
  <c r="D4669" i="3"/>
  <c r="E4669" i="3" s="1"/>
  <c r="F4669" i="3" s="1"/>
  <c r="G4669" i="3" s="1"/>
  <c r="H4669" i="3" s="1"/>
  <c r="I4669" i="3" s="1"/>
  <c r="J4669" i="3" s="1"/>
  <c r="K4669" i="3" s="1"/>
  <c r="L4669" i="3" s="1"/>
  <c r="M4669" i="3" s="1"/>
  <c r="N4669" i="3" s="1"/>
  <c r="A4652" i="3"/>
  <c r="A4653" i="3" s="1"/>
  <c r="A4654" i="3" s="1"/>
  <c r="A4655" i="3" s="1"/>
  <c r="A4656" i="3" s="1"/>
  <c r="A4657" i="3" s="1"/>
  <c r="A4658" i="3" s="1"/>
  <c r="A4659" i="3" s="1"/>
  <c r="A4660" i="3" s="1"/>
  <c r="A4661" i="3" s="1"/>
  <c r="A4662" i="3" s="1"/>
  <c r="D4650" i="3"/>
  <c r="E4650" i="3" s="1"/>
  <c r="F4650" i="3" s="1"/>
  <c r="G4650" i="3" s="1"/>
  <c r="H4650" i="3" s="1"/>
  <c r="I4650" i="3" s="1"/>
  <c r="J4650" i="3" s="1"/>
  <c r="K4650" i="3" s="1"/>
  <c r="L4650" i="3" s="1"/>
  <c r="M4650" i="3" s="1"/>
  <c r="N4650" i="3" s="1"/>
  <c r="A4636" i="3"/>
  <c r="A4637" i="3" s="1"/>
  <c r="A4638" i="3" s="1"/>
  <c r="A4639" i="3" s="1"/>
  <c r="A4640" i="3" s="1"/>
  <c r="A4641" i="3" s="1"/>
  <c r="A4642" i="3" s="1"/>
  <c r="A4643" i="3" s="1"/>
  <c r="A4644" i="3" s="1"/>
  <c r="A4645" i="3" s="1"/>
  <c r="A4646" i="3" s="1"/>
  <c r="D4634" i="3"/>
  <c r="E4634" i="3" s="1"/>
  <c r="F4634" i="3" s="1"/>
  <c r="G4634" i="3" s="1"/>
  <c r="H4634" i="3" s="1"/>
  <c r="I4634" i="3" s="1"/>
  <c r="J4634" i="3" s="1"/>
  <c r="K4634" i="3" s="1"/>
  <c r="L4634" i="3" s="1"/>
  <c r="M4634" i="3" s="1"/>
  <c r="N4634" i="3" s="1"/>
  <c r="B4472" i="3"/>
  <c r="D4615" i="3"/>
  <c r="E4615" i="3" s="1"/>
  <c r="F4615" i="3" s="1"/>
  <c r="G4615" i="3" s="1"/>
  <c r="H4615" i="3" s="1"/>
  <c r="I4615" i="3" s="1"/>
  <c r="J4615" i="3" s="1"/>
  <c r="K4615" i="3" s="1"/>
  <c r="L4615" i="3" s="1"/>
  <c r="M4615" i="3" s="1"/>
  <c r="N4615" i="3" s="1"/>
  <c r="D4456" i="3"/>
  <c r="E4456" i="3" s="1"/>
  <c r="F4456" i="3" s="1"/>
  <c r="D4443" i="3"/>
  <c r="E4443" i="3" s="1"/>
  <c r="F4443" i="3" s="1"/>
  <c r="G4443" i="3" s="1"/>
  <c r="H4443" i="3" s="1"/>
  <c r="I4443" i="3" s="1"/>
  <c r="J4443" i="3" s="1"/>
  <c r="K4443" i="3" s="1"/>
  <c r="L4443" i="3" s="1"/>
  <c r="M4443" i="3" s="1"/>
  <c r="N4443" i="3" s="1"/>
  <c r="C4490" i="3"/>
  <c r="M4620" i="3"/>
  <c r="L4620" i="3" s="1"/>
  <c r="K4620" i="3" s="1"/>
  <c r="J4620" i="3" s="1"/>
  <c r="I4620" i="3" s="1"/>
  <c r="H4620" i="3" s="1"/>
  <c r="G4620" i="3" s="1"/>
  <c r="F4620" i="3" s="1"/>
  <c r="E4620" i="3" s="1"/>
  <c r="D4613" i="3"/>
  <c r="E4613" i="3" s="1"/>
  <c r="F4613" i="3" s="1"/>
  <c r="G4613" i="3" s="1"/>
  <c r="H4613" i="3" s="1"/>
  <c r="I4613" i="3" s="1"/>
  <c r="J4613" i="3" s="1"/>
  <c r="K4613" i="3" s="1"/>
  <c r="L4613" i="3" s="1"/>
  <c r="M4613" i="3" s="1"/>
  <c r="N4613" i="3" s="1"/>
  <c r="E4697" i="3"/>
  <c r="E4691" i="3"/>
  <c r="D4705" i="3"/>
  <c r="C4705" i="3"/>
  <c r="D4704" i="3"/>
  <c r="C4704" i="3"/>
  <c r="D4703" i="3"/>
  <c r="C4703" i="3"/>
  <c r="B4698" i="3"/>
  <c r="B4696" i="3"/>
  <c r="B4690" i="3"/>
  <c r="B4692" i="3"/>
  <c r="C4692" i="3" s="1"/>
  <c r="D4698" i="3"/>
  <c r="D4695" i="3" s="1"/>
  <c r="D4696" i="3" s="1"/>
  <c r="C4695" i="3"/>
  <c r="C4696" i="3" s="1"/>
  <c r="O4393" i="3"/>
  <c r="O4386" i="3"/>
  <c r="O4376" i="3"/>
  <c r="O4373" i="3"/>
  <c r="O4402" i="3"/>
  <c r="O4399" i="3" s="1"/>
  <c r="N4390" i="3"/>
  <c r="N4383" i="3"/>
  <c r="N4379" i="3" s="1"/>
  <c r="F4374" i="3"/>
  <c r="G4374" i="3"/>
  <c r="G4400" i="3" s="1"/>
  <c r="H4374" i="3"/>
  <c r="H4507" i="3" s="1"/>
  <c r="I4374" i="3"/>
  <c r="I4507" i="3" s="1"/>
  <c r="J4374" i="3"/>
  <c r="M4374" i="3"/>
  <c r="M4507" i="3" s="1"/>
  <c r="N4374" i="3"/>
  <c r="N4401" i="3" s="1"/>
  <c r="D4374" i="3"/>
  <c r="D4507" i="3" s="1"/>
  <c r="E4374" i="3"/>
  <c r="E4507" i="3" s="1"/>
  <c r="L4253" i="3"/>
  <c r="J4253" i="3"/>
  <c r="I4253" i="3"/>
  <c r="I4304" i="3" s="1"/>
  <c r="H4253" i="3"/>
  <c r="M4253" i="3"/>
  <c r="G4408" i="3"/>
  <c r="F4408" i="3"/>
  <c r="E4408" i="3"/>
  <c r="D4408" i="3"/>
  <c r="F4407" i="3"/>
  <c r="G4407" i="3"/>
  <c r="H4407" i="3"/>
  <c r="I4407" i="3"/>
  <c r="J4407" i="3"/>
  <c r="L4407" i="3"/>
  <c r="M4407" i="3"/>
  <c r="N4407" i="3"/>
  <c r="E4407" i="3"/>
  <c r="D4407" i="3"/>
  <c r="E4404" i="3"/>
  <c r="F4404" i="3"/>
  <c r="G4404" i="3"/>
  <c r="H4404" i="3"/>
  <c r="I4404" i="3"/>
  <c r="J4404" i="3"/>
  <c r="L4404" i="3"/>
  <c r="M4404" i="3"/>
  <c r="N4404" i="3"/>
  <c r="D4404" i="3"/>
  <c r="D4403" i="3"/>
  <c r="F4403" i="3"/>
  <c r="G4403" i="3"/>
  <c r="H4403" i="3"/>
  <c r="I4403" i="3"/>
  <c r="J4403" i="3"/>
  <c r="L4403" i="3"/>
  <c r="M4403" i="3"/>
  <c r="N4403" i="3"/>
  <c r="E4403" i="3"/>
  <c r="F4396" i="3"/>
  <c r="G4396" i="3"/>
  <c r="H4396" i="3"/>
  <c r="I4396" i="3"/>
  <c r="J4396" i="3"/>
  <c r="M4396" i="3"/>
  <c r="N4396" i="3"/>
  <c r="E4396" i="3"/>
  <c r="M4395" i="3"/>
  <c r="L4395" i="3"/>
  <c r="J4395" i="3"/>
  <c r="I4395" i="3"/>
  <c r="H4395" i="3"/>
  <c r="G4395" i="3"/>
  <c r="F4395" i="3"/>
  <c r="E4395" i="3"/>
  <c r="D4395" i="3"/>
  <c r="N4395" i="3"/>
  <c r="N4394" i="3"/>
  <c r="M4394" i="3"/>
  <c r="J4394" i="3"/>
  <c r="I4394" i="3"/>
  <c r="H4394" i="3"/>
  <c r="G4394" i="3"/>
  <c r="F4394" i="3"/>
  <c r="E4394" i="3"/>
  <c r="F4387" i="3"/>
  <c r="G4387" i="3"/>
  <c r="H4387" i="3"/>
  <c r="I4387" i="3"/>
  <c r="J4387" i="3"/>
  <c r="M4387" i="3"/>
  <c r="N4387" i="3"/>
  <c r="E4387" i="3"/>
  <c r="E4377" i="3"/>
  <c r="F4377" i="3"/>
  <c r="G4377" i="3"/>
  <c r="H4377" i="3"/>
  <c r="I4377" i="3"/>
  <c r="J4377" i="3"/>
  <c r="L4377" i="3"/>
  <c r="M4377" i="3"/>
  <c r="N4377" i="3"/>
  <c r="D4377" i="3"/>
  <c r="E4372" i="3"/>
  <c r="F4372" i="3" s="1"/>
  <c r="G4372" i="3" s="1"/>
  <c r="H4372" i="3" s="1"/>
  <c r="I4372" i="3" s="1"/>
  <c r="J4372" i="3" s="1"/>
  <c r="K4372" i="3" s="1"/>
  <c r="L4372" i="3" s="1"/>
  <c r="M4372" i="3" s="1"/>
  <c r="N4372" i="3" s="1"/>
  <c r="N4254" i="3"/>
  <c r="N4248" i="3"/>
  <c r="M4248" i="3" s="1"/>
  <c r="L4248" i="3" s="1"/>
  <c r="K4248" i="3" s="1"/>
  <c r="J4248" i="3" s="1"/>
  <c r="I4248" i="3" s="1"/>
  <c r="H4248" i="3" s="1"/>
  <c r="H4243" i="3" s="1"/>
  <c r="B21" i="13"/>
  <c r="D22" i="13"/>
  <c r="B22" i="13"/>
  <c r="G22" i="13" s="1"/>
  <c r="C22" i="13"/>
  <c r="B77" i="13"/>
  <c r="E74" i="13"/>
  <c r="E73" i="13"/>
  <c r="E22" i="13" s="1"/>
  <c r="E72" i="13"/>
  <c r="D75" i="13"/>
  <c r="D76" i="13" s="1"/>
  <c r="E106" i="13"/>
  <c r="E107" i="13"/>
  <c r="E108" i="13"/>
  <c r="E105" i="13"/>
  <c r="E100" i="13"/>
  <c r="D101" i="13"/>
  <c r="E81" i="13"/>
  <c r="E82" i="13"/>
  <c r="E83" i="13"/>
  <c r="E84" i="13"/>
  <c r="E85" i="13"/>
  <c r="E86" i="13"/>
  <c r="E87" i="13"/>
  <c r="E88" i="13"/>
  <c r="E89" i="13"/>
  <c r="E90" i="13"/>
  <c r="E92" i="13"/>
  <c r="E93" i="13"/>
  <c r="E94" i="13"/>
  <c r="E95" i="13"/>
  <c r="E96" i="13"/>
  <c r="E80" i="13"/>
  <c r="D91" i="13"/>
  <c r="E91" i="13" s="1"/>
  <c r="B109" i="13"/>
  <c r="D109" i="13" s="1"/>
  <c r="E109" i="13" s="1"/>
  <c r="B102" i="13"/>
  <c r="C102" i="13" s="1"/>
  <c r="B97" i="13"/>
  <c r="B25" i="13" s="1"/>
  <c r="B5065" i="3"/>
  <c r="C5065" i="3"/>
  <c r="D5065" i="3"/>
  <c r="B5066" i="3"/>
  <c r="C5066" i="3"/>
  <c r="D5066" i="3"/>
  <c r="C5064" i="3"/>
  <c r="D5064" i="3"/>
  <c r="B5064" i="3"/>
  <c r="B4933" i="3"/>
  <c r="B4939" i="3"/>
  <c r="B4426" i="3"/>
  <c r="C4428" i="3" s="1"/>
  <c r="C4459" i="3" s="1"/>
  <c r="B4420" i="3"/>
  <c r="B5071" i="3"/>
  <c r="C5071" i="3"/>
  <c r="D5071" i="3"/>
  <c r="B5072" i="3"/>
  <c r="D5072" i="3"/>
  <c r="C5070" i="3"/>
  <c r="D5070" i="3"/>
  <c r="B5070" i="3"/>
  <c r="B5059" i="3"/>
  <c r="C5059" i="3"/>
  <c r="D5059" i="3"/>
  <c r="B5060" i="3"/>
  <c r="C5060" i="3"/>
  <c r="D5060" i="3"/>
  <c r="C5058" i="3"/>
  <c r="D5058" i="3"/>
  <c r="B5058" i="3"/>
  <c r="D5051" i="3"/>
  <c r="C5051" i="3"/>
  <c r="B5051" i="3"/>
  <c r="C5045" i="3"/>
  <c r="D5045" i="3"/>
  <c r="D5067" i="3" s="1"/>
  <c r="B5045" i="3"/>
  <c r="B5067" i="3" s="1"/>
  <c r="C5039" i="3"/>
  <c r="C5061" i="3" s="1"/>
  <c r="D5039" i="3"/>
  <c r="D5061" i="3" s="1"/>
  <c r="B5039" i="3"/>
  <c r="B5061" i="3" s="1"/>
  <c r="D5013" i="3"/>
  <c r="E5013" i="3"/>
  <c r="F5013" i="3"/>
  <c r="G5013" i="3"/>
  <c r="C4989" i="3"/>
  <c r="D4989" i="3" s="1"/>
  <c r="E4989" i="3" s="1"/>
  <c r="F4989" i="3" s="1"/>
  <c r="G4989" i="3" s="1"/>
  <c r="E4281" i="3"/>
  <c r="F4281" i="3"/>
  <c r="G4281" i="3"/>
  <c r="D4281" i="3"/>
  <c r="C4281" i="3" s="1"/>
  <c r="D4270" i="3"/>
  <c r="E4270" i="3"/>
  <c r="F4270" i="3"/>
  <c r="G4270" i="3"/>
  <c r="C4270" i="3"/>
  <c r="B4788" i="3"/>
  <c r="D4347" i="3"/>
  <c r="C4347" i="3" s="1"/>
  <c r="B4347" i="3" s="1"/>
  <c r="D4256" i="3"/>
  <c r="D4257" i="3" s="1"/>
  <c r="E4347" i="3"/>
  <c r="E4256" i="3"/>
  <c r="E4257" i="3" s="1"/>
  <c r="F4347" i="3"/>
  <c r="F4256" i="3"/>
  <c r="F5094" i="3" s="1"/>
  <c r="G4347" i="3"/>
  <c r="G4256" i="3"/>
  <c r="G4248" i="3"/>
  <c r="G4254" i="3"/>
  <c r="F4254" i="3"/>
  <c r="H4347" i="3"/>
  <c r="H4348" i="3"/>
  <c r="I4347" i="3"/>
  <c r="I4348" i="3"/>
  <c r="J4347" i="3"/>
  <c r="J4348" i="3"/>
  <c r="L4347" i="3"/>
  <c r="L4348" i="3"/>
  <c r="M4347" i="3"/>
  <c r="M4348" i="3"/>
  <c r="N4347" i="3"/>
  <c r="N4348" i="3"/>
  <c r="D4415" i="3"/>
  <c r="E4415" i="3" s="1"/>
  <c r="F4415" i="3" s="1"/>
  <c r="G4415" i="3" s="1"/>
  <c r="H4415" i="3" s="1"/>
  <c r="I4415" i="3" s="1"/>
  <c r="J4415" i="3" s="1"/>
  <c r="K4415" i="3" s="1"/>
  <c r="L4415" i="3" s="1"/>
  <c r="M4415" i="3" s="1"/>
  <c r="N4415" i="3" s="1"/>
  <c r="D4238" i="3"/>
  <c r="E4238" i="3" s="1"/>
  <c r="F4238" i="3" s="1"/>
  <c r="G4238" i="3" s="1"/>
  <c r="H4238" i="3" s="1"/>
  <c r="I4238" i="3" s="1"/>
  <c r="J4238" i="3" s="1"/>
  <c r="K4238" i="3" s="1"/>
  <c r="L4238" i="3" s="1"/>
  <c r="M4238" i="3" s="1"/>
  <c r="D5082" i="3"/>
  <c r="D5080" i="3"/>
  <c r="E5082" i="3"/>
  <c r="E5080" i="3"/>
  <c r="F5082" i="3"/>
  <c r="F5080" i="3"/>
  <c r="G5082" i="3"/>
  <c r="G5080" i="3"/>
  <c r="B4349" i="3"/>
  <c r="B4974" i="3" s="1"/>
  <c r="B4242" i="3"/>
  <c r="D4242" i="3"/>
  <c r="E4242" i="3"/>
  <c r="F4242" i="3"/>
  <c r="G4242" i="3"/>
  <c r="B5094" i="3"/>
  <c r="D4278" i="3"/>
  <c r="E4278" i="3" s="1"/>
  <c r="F4278" i="3" s="1"/>
  <c r="G4278" i="3" s="1"/>
  <c r="H4278" i="3" s="1"/>
  <c r="I4278" i="3" s="1"/>
  <c r="J4278" i="3" s="1"/>
  <c r="K4278" i="3" s="1"/>
  <c r="L4278" i="3" s="1"/>
  <c r="M4278" i="3" s="1"/>
  <c r="N4278" i="3" s="1"/>
  <c r="B5082" i="3"/>
  <c r="B5080" i="3"/>
  <c r="D5079" i="3"/>
  <c r="E5079" i="3" s="1"/>
  <c r="F5079" i="3" s="1"/>
  <c r="G5079" i="3" s="1"/>
  <c r="D4260" i="3"/>
  <c r="E4260" i="3"/>
  <c r="F4260" i="3"/>
  <c r="G4260" i="3"/>
  <c r="B4259" i="3"/>
  <c r="B4260" i="3" s="1"/>
  <c r="B4257" i="3"/>
  <c r="E4248" i="3"/>
  <c r="F4248" i="3"/>
  <c r="D4254" i="3"/>
  <c r="E4254" i="3"/>
  <c r="B4254" i="3"/>
  <c r="D4251" i="3"/>
  <c r="E4251" i="3"/>
  <c r="F4251" i="3"/>
  <c r="G4251" i="3"/>
  <c r="B4251" i="3"/>
  <c r="D4488" i="3"/>
  <c r="E4488" i="3" s="1"/>
  <c r="F4488" i="3" s="1"/>
  <c r="G4488" i="3" s="1"/>
  <c r="H4488" i="3" s="1"/>
  <c r="I4488" i="3" s="1"/>
  <c r="J4488" i="3" s="1"/>
  <c r="K4488" i="3" s="1"/>
  <c r="L4488" i="3" s="1"/>
  <c r="M4488" i="3" s="1"/>
  <c r="N4488" i="3" s="1"/>
  <c r="C31" i="11"/>
  <c r="D31" i="11" s="1"/>
  <c r="E31" i="11" s="1"/>
  <c r="F31" i="11" s="1"/>
  <c r="G31" i="11" s="1"/>
  <c r="H31" i="11" s="1"/>
  <c r="I31" i="11" s="1"/>
  <c r="J31" i="11" s="1"/>
  <c r="K31" i="11" s="1"/>
  <c r="L31" i="11" s="1"/>
  <c r="M31" i="11" s="1"/>
  <c r="EB34" i="4"/>
  <c r="DZ629" i="2"/>
  <c r="F4131" i="3" s="1"/>
  <c r="B4168" i="3" s="1"/>
  <c r="D4168" i="3" s="1"/>
  <c r="EA629" i="2"/>
  <c r="EB635" i="2"/>
  <c r="DZ39" i="4"/>
  <c r="EA39" i="4"/>
  <c r="EB39" i="4"/>
  <c r="DU39" i="4"/>
  <c r="DV39" i="4"/>
  <c r="DW39" i="4"/>
  <c r="DX39" i="4"/>
  <c r="EB73" i="4"/>
  <c r="EB207" i="4" s="1"/>
  <c r="EB209" i="4" s="1"/>
  <c r="EB204" i="4" s="1"/>
  <c r="EB12" i="32" s="1"/>
  <c r="EB171" i="4"/>
  <c r="EB197" i="4" s="1"/>
  <c r="EB116" i="10" s="1"/>
  <c r="EB187" i="4"/>
  <c r="EB188" i="4"/>
  <c r="EB189" i="4"/>
  <c r="EB182" i="4"/>
  <c r="EB183" i="4"/>
  <c r="EB184" i="4"/>
  <c r="EB178" i="4"/>
  <c r="EB179" i="4"/>
  <c r="EB173" i="4"/>
  <c r="EB174" i="4"/>
  <c r="EB175" i="4"/>
  <c r="EB75" i="4"/>
  <c r="EB107" i="10" s="1"/>
  <c r="EB71" i="4"/>
  <c r="EB72" i="4"/>
  <c r="EB112" i="4"/>
  <c r="EB113" i="4"/>
  <c r="EB114" i="4"/>
  <c r="EB118" i="4"/>
  <c r="EB78" i="4"/>
  <c r="EB65" i="4"/>
  <c r="EB97" i="4" s="1"/>
  <c r="EB66" i="4"/>
  <c r="EB99" i="4" s="1"/>
  <c r="EB53" i="4"/>
  <c r="EB587" i="2"/>
  <c r="EB572" i="2"/>
  <c r="DU27" i="4"/>
  <c r="DY27" i="4" s="1"/>
  <c r="DV27" i="4"/>
  <c r="DW27" i="4"/>
  <c r="DX27" i="4"/>
  <c r="EA587" i="2"/>
  <c r="DZ587" i="2"/>
  <c r="DZ572" i="2"/>
  <c r="EA572" i="2"/>
  <c r="EB27" i="4"/>
  <c r="DW635" i="2"/>
  <c r="DW54" i="2"/>
  <c r="EB277" i="1"/>
  <c r="EB261" i="1"/>
  <c r="EB117" i="1"/>
  <c r="EB116" i="1"/>
  <c r="EB114" i="1"/>
  <c r="EB57" i="1"/>
  <c r="EB59" i="1" s="1"/>
  <c r="EB69" i="35" s="1"/>
  <c r="EB74" i="35" s="1"/>
  <c r="EA57" i="1"/>
  <c r="EA59" i="1" s="1"/>
  <c r="EA69" i="35" s="1"/>
  <c r="EA74" i="35" s="1"/>
  <c r="DZ57" i="1"/>
  <c r="DZ59" i="1" s="1"/>
  <c r="DZ69" i="35" s="1"/>
  <c r="DP57" i="1"/>
  <c r="DP59" i="1" s="1"/>
  <c r="DP66" i="1" s="1"/>
  <c r="DQ57" i="1"/>
  <c r="DQ59" i="1" s="1"/>
  <c r="DQ66" i="1" s="1"/>
  <c r="DQ68" i="1" s="1"/>
  <c r="DQ70" i="1" s="1"/>
  <c r="DR57" i="1"/>
  <c r="DR59" i="1" s="1"/>
  <c r="DR66" i="1" s="1"/>
  <c r="DR68" i="1" s="1"/>
  <c r="DR70" i="1" s="1"/>
  <c r="DS57" i="1"/>
  <c r="DS59" i="1" s="1"/>
  <c r="DS66" i="1" s="1"/>
  <c r="DS68" i="1" s="1"/>
  <c r="DS70" i="1" s="1"/>
  <c r="DU57" i="1"/>
  <c r="DU59" i="1" s="1"/>
  <c r="DU69" i="35" s="1"/>
  <c r="DV57" i="1"/>
  <c r="DV59" i="1" s="1"/>
  <c r="DV69" i="35" s="1"/>
  <c r="DV74" i="35" s="1"/>
  <c r="DW57" i="1"/>
  <c r="DW59" i="1" s="1"/>
  <c r="DW69" i="35" s="1"/>
  <c r="DW74" i="35" s="1"/>
  <c r="DX57" i="1"/>
  <c r="DX59" i="1" s="1"/>
  <c r="EB83" i="1"/>
  <c r="EB84" i="1"/>
  <c r="EB85" i="1"/>
  <c r="EB86" i="1"/>
  <c r="EB87" i="1"/>
  <c r="EB88" i="1"/>
  <c r="EB90" i="1"/>
  <c r="EB94" i="1"/>
  <c r="EB115" i="1" s="1"/>
  <c r="EB97" i="1"/>
  <c r="EB118" i="1" s="1"/>
  <c r="EB98" i="1"/>
  <c r="EB119" i="1" s="1"/>
  <c r="EB104" i="1"/>
  <c r="EB105" i="1"/>
  <c r="EB106" i="1"/>
  <c r="EB107" i="1"/>
  <c r="EB108" i="1"/>
  <c r="EB109" i="1"/>
  <c r="EB111" i="1"/>
  <c r="EB514" i="1"/>
  <c r="EB516" i="1" s="1"/>
  <c r="EB521" i="1"/>
  <c r="EB527" i="1" s="1"/>
  <c r="EB522" i="1"/>
  <c r="EB530" i="1"/>
  <c r="EB528" i="1"/>
  <c r="EB536" i="1"/>
  <c r="EB537" i="1"/>
  <c r="EB546" i="1"/>
  <c r="EB562" i="1"/>
  <c r="EB576" i="1"/>
  <c r="EB596" i="1"/>
  <c r="EB600" i="1"/>
  <c r="EB216" i="1"/>
  <c r="EB220" i="1" s="1"/>
  <c r="EB231" i="1" s="1"/>
  <c r="EB225" i="1"/>
  <c r="EB237" i="1"/>
  <c r="EA239" i="1"/>
  <c r="EA98" i="35" s="1"/>
  <c r="EB240" i="1"/>
  <c r="EA241" i="1"/>
  <c r="EB241" i="1" s="1"/>
  <c r="EC241" i="1" s="1"/>
  <c r="EA242" i="1"/>
  <c r="EB242" i="1" s="1"/>
  <c r="EC242" i="1" s="1"/>
  <c r="EA244" i="1"/>
  <c r="EB244" i="1" s="1"/>
  <c r="EC244" i="1" s="1"/>
  <c r="EA245" i="1"/>
  <c r="EA246" i="1"/>
  <c r="EA247" i="1"/>
  <c r="EA248" i="1"/>
  <c r="EA249" i="1"/>
  <c r="EB249" i="1" s="1"/>
  <c r="EA250" i="1"/>
  <c r="EB250" i="1" s="1"/>
  <c r="EC250" i="1" s="1"/>
  <c r="EB253" i="1"/>
  <c r="EA254" i="1"/>
  <c r="EA108" i="35" s="1"/>
  <c r="EA255" i="1"/>
  <c r="EA262" i="1"/>
  <c r="EA263" i="1"/>
  <c r="EA117" i="35" s="1"/>
  <c r="EA253" i="1"/>
  <c r="EA237" i="1"/>
  <c r="EA240" i="1"/>
  <c r="DZ266" i="1"/>
  <c r="DZ253" i="1"/>
  <c r="DZ107" i="35" s="1"/>
  <c r="DZ237" i="1"/>
  <c r="DZ240" i="1"/>
  <c r="EA272" i="1"/>
  <c r="EB272" i="1" s="1"/>
  <c r="EC272" i="1" s="1"/>
  <c r="EA273" i="1"/>
  <c r="EA166" i="35" s="1"/>
  <c r="EB278" i="1"/>
  <c r="DW595" i="1"/>
  <c r="DW434" i="18" s="1"/>
  <c r="DW599" i="1"/>
  <c r="DW241" i="18" s="1"/>
  <c r="DU595" i="1"/>
  <c r="DU434" i="18" s="1"/>
  <c r="DU599" i="1"/>
  <c r="DU241" i="18" s="1"/>
  <c r="DW561" i="1"/>
  <c r="DW446" i="18" s="1"/>
  <c r="DX443" i="18" s="1"/>
  <c r="DZ635" i="2"/>
  <c r="DW536" i="1"/>
  <c r="DW85" i="1"/>
  <c r="DW86" i="1"/>
  <c r="DW87" i="1"/>
  <c r="DW88" i="1"/>
  <c r="DW83" i="1"/>
  <c r="DW84" i="1"/>
  <c r="DW90" i="1"/>
  <c r="DW94" i="1"/>
  <c r="DW97" i="1"/>
  <c r="DW98" i="1"/>
  <c r="DW546" i="1"/>
  <c r="DW537" i="1"/>
  <c r="DZ85" i="1"/>
  <c r="DZ86" i="1"/>
  <c r="DZ87" i="1"/>
  <c r="DZ88" i="1"/>
  <c r="DZ83" i="1"/>
  <c r="DZ84" i="1"/>
  <c r="DZ90" i="1"/>
  <c r="DZ94" i="1"/>
  <c r="DZ97" i="1"/>
  <c r="DZ98" i="1"/>
  <c r="DZ537" i="1"/>
  <c r="DZ546" i="1"/>
  <c r="DU537" i="1"/>
  <c r="DU94" i="1"/>
  <c r="DU97" i="1"/>
  <c r="DU98" i="1"/>
  <c r="DU83" i="1"/>
  <c r="DU84" i="1"/>
  <c r="DU85" i="1"/>
  <c r="DU86" i="1"/>
  <c r="DU87" i="1"/>
  <c r="DU88" i="1"/>
  <c r="DU90" i="1"/>
  <c r="DU546" i="1"/>
  <c r="DU561" i="1"/>
  <c r="EA85" i="1"/>
  <c r="EA86" i="1"/>
  <c r="EA87" i="1"/>
  <c r="EA88" i="1"/>
  <c r="EA83" i="1"/>
  <c r="EA84" i="1"/>
  <c r="EA90" i="1"/>
  <c r="EA94" i="1"/>
  <c r="EA97" i="1"/>
  <c r="EA98" i="1"/>
  <c r="EA537" i="1"/>
  <c r="EA546" i="1"/>
  <c r="DV537" i="1"/>
  <c r="DV85" i="1"/>
  <c r="DV86" i="1"/>
  <c r="DV87" i="1"/>
  <c r="DV88" i="1"/>
  <c r="DV83" i="1"/>
  <c r="DV84" i="1"/>
  <c r="DV90" i="1"/>
  <c r="DV94" i="1"/>
  <c r="DV97" i="1"/>
  <c r="DV98" i="1"/>
  <c r="DV546" i="1"/>
  <c r="DU572" i="2"/>
  <c r="DV572" i="2"/>
  <c r="DW572" i="2"/>
  <c r="DX572" i="2"/>
  <c r="EA66" i="4"/>
  <c r="EA99" i="4" s="1"/>
  <c r="EA75" i="4"/>
  <c r="EA107" i="10" s="1"/>
  <c r="EA71" i="4"/>
  <c r="EA72" i="4"/>
  <c r="EA73" i="4"/>
  <c r="EA207" i="4" s="1"/>
  <c r="EA209" i="4" s="1"/>
  <c r="EA204" i="4" s="1"/>
  <c r="EA12" i="32" s="1"/>
  <c r="EA536" i="1"/>
  <c r="DZ536" i="1"/>
  <c r="DX536" i="1"/>
  <c r="DX85" i="1"/>
  <c r="DX86" i="1"/>
  <c r="DX87" i="1"/>
  <c r="DX88" i="1"/>
  <c r="DX83" i="1"/>
  <c r="DX84" i="1"/>
  <c r="DX90" i="1"/>
  <c r="DX94" i="1"/>
  <c r="DX97" i="1"/>
  <c r="DX98" i="1"/>
  <c r="DX546" i="1"/>
  <c r="DX537" i="1"/>
  <c r="EA196" i="4"/>
  <c r="EA115" i="10" s="1"/>
  <c r="EA188" i="4"/>
  <c r="EA189" i="4"/>
  <c r="EA182" i="4"/>
  <c r="EA171" i="4"/>
  <c r="EA197" i="4" s="1"/>
  <c r="EA112" i="4"/>
  <c r="EA113" i="4"/>
  <c r="EA114" i="4"/>
  <c r="EA115" i="4"/>
  <c r="EA118" i="4"/>
  <c r="DZ112" i="4"/>
  <c r="DZ113" i="4"/>
  <c r="DZ114" i="4"/>
  <c r="DZ115" i="4"/>
  <c r="DZ116" i="4"/>
  <c r="DZ117" i="4"/>
  <c r="DZ118" i="4"/>
  <c r="DZ108" i="4"/>
  <c r="DZ109" i="4"/>
  <c r="DV258" i="1"/>
  <c r="DV112" i="35" s="1"/>
  <c r="DV259" i="1"/>
  <c r="DV113" i="35" s="1"/>
  <c r="DV260" i="1"/>
  <c r="DV261" i="1"/>
  <c r="DV262" i="1"/>
  <c r="DV116" i="35" s="1"/>
  <c r="DV263" i="1"/>
  <c r="DV117" i="35" s="1"/>
  <c r="DV265" i="1"/>
  <c r="DY78" i="1"/>
  <c r="DY253" i="1" s="1"/>
  <c r="DU253" i="1"/>
  <c r="DV253" i="1"/>
  <c r="DV107" i="35" s="1"/>
  <c r="DW253" i="1"/>
  <c r="DX254" i="1"/>
  <c r="DX255" i="1"/>
  <c r="DU237" i="1"/>
  <c r="DV237" i="1"/>
  <c r="DW237" i="1"/>
  <c r="DX237" i="1"/>
  <c r="DY239" i="1"/>
  <c r="DX239" i="1" s="1"/>
  <c r="DU240" i="1"/>
  <c r="DV240" i="1"/>
  <c r="DW240" i="1"/>
  <c r="DX240" i="1"/>
  <c r="DV245" i="1"/>
  <c r="DV247" i="1"/>
  <c r="DV248" i="1"/>
  <c r="DV249" i="1"/>
  <c r="DW249" i="1" s="1"/>
  <c r="DV250" i="1"/>
  <c r="DW246" i="1"/>
  <c r="DW113" i="4"/>
  <c r="DW117" i="4"/>
  <c r="DW118" i="4"/>
  <c r="DW108" i="4"/>
  <c r="DW109" i="4"/>
  <c r="DV108" i="4"/>
  <c r="DV109" i="4"/>
  <c r="DU112" i="4"/>
  <c r="DU113" i="4"/>
  <c r="DU114" i="4"/>
  <c r="DU115" i="4"/>
  <c r="DU116" i="4"/>
  <c r="DU117" i="4"/>
  <c r="DU118" i="4"/>
  <c r="DU108" i="4"/>
  <c r="DU109" i="4"/>
  <c r="DU123" i="4"/>
  <c r="DY123" i="4" s="1"/>
  <c r="DO581" i="1"/>
  <c r="DO587" i="1"/>
  <c r="DT581" i="1"/>
  <c r="DP587" i="1"/>
  <c r="DQ587" i="1"/>
  <c r="DR587" i="1"/>
  <c r="DS587" i="1"/>
  <c r="DT173" i="10"/>
  <c r="DT208" i="10"/>
  <c r="DJ5" i="1"/>
  <c r="A247" i="11"/>
  <c r="A248" i="11" s="1"/>
  <c r="A249" i="11" s="1"/>
  <c r="A250" i="11" s="1"/>
  <c r="A251" i="11" s="1"/>
  <c r="B12" i="11"/>
  <c r="F7" i="11"/>
  <c r="B114" i="11" s="1"/>
  <c r="B141" i="11"/>
  <c r="B126" i="11"/>
  <c r="B108" i="11"/>
  <c r="B110" i="11" s="1"/>
  <c r="B127" i="11"/>
  <c r="B84" i="11"/>
  <c r="B65" i="11"/>
  <c r="B99" i="11"/>
  <c r="B47" i="11"/>
  <c r="B53" i="11"/>
  <c r="O218" i="11"/>
  <c r="P218" i="11"/>
  <c r="N224" i="11"/>
  <c r="P224" i="11"/>
  <c r="C150" i="11"/>
  <c r="D150" i="11" s="1"/>
  <c r="E150" i="11" s="1"/>
  <c r="F150" i="11" s="1"/>
  <c r="G150" i="11" s="1"/>
  <c r="H150" i="11" s="1"/>
  <c r="I150" i="11" s="1"/>
  <c r="J150" i="11" s="1"/>
  <c r="K150" i="11" s="1"/>
  <c r="L150" i="11" s="1"/>
  <c r="M150" i="11" s="1"/>
  <c r="N150" i="11" s="1"/>
  <c r="O150" i="11" s="1"/>
  <c r="P150" i="11" s="1"/>
  <c r="A152" i="1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C169" i="11"/>
  <c r="D169" i="11" s="1"/>
  <c r="E169" i="11" s="1"/>
  <c r="F169" i="11" s="1"/>
  <c r="G169" i="11" s="1"/>
  <c r="H169" i="11" s="1"/>
  <c r="I169" i="11" s="1"/>
  <c r="J169" i="11" s="1"/>
  <c r="K169" i="11" s="1"/>
  <c r="L169" i="11" s="1"/>
  <c r="M169" i="11" s="1"/>
  <c r="N169" i="11" s="1"/>
  <c r="O169" i="11" s="1"/>
  <c r="P169" i="11" s="1"/>
  <c r="A171" i="1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C190" i="11"/>
  <c r="D190" i="11" s="1"/>
  <c r="E190" i="11" s="1"/>
  <c r="F190" i="11" s="1"/>
  <c r="G190" i="11" s="1"/>
  <c r="H190" i="11" s="1"/>
  <c r="I190" i="11" s="1"/>
  <c r="J190" i="11" s="1"/>
  <c r="K190" i="11" s="1"/>
  <c r="L190" i="11" s="1"/>
  <c r="M190" i="11" s="1"/>
  <c r="N190" i="11" s="1"/>
  <c r="O190" i="11" s="1"/>
  <c r="P190" i="11" s="1"/>
  <c r="A192" i="1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B9" i="11"/>
  <c r="A238" i="11"/>
  <c r="A239" i="11" s="1"/>
  <c r="A240" i="11" s="1"/>
  <c r="A241" i="11" s="1"/>
  <c r="A242" i="11" s="1"/>
  <c r="B76" i="11"/>
  <c r="B81" i="11" s="1"/>
  <c r="B55" i="11"/>
  <c r="C55" i="11" s="1"/>
  <c r="C41" i="11"/>
  <c r="C108" i="11" s="1"/>
  <c r="C110" i="11" s="1"/>
  <c r="C189" i="6"/>
  <c r="D189" i="6" s="1"/>
  <c r="E189" i="6" s="1"/>
  <c r="F189" i="6" s="1"/>
  <c r="G189" i="6" s="1"/>
  <c r="H189" i="6" s="1"/>
  <c r="I189" i="6" s="1"/>
  <c r="J189" i="6" s="1"/>
  <c r="K189" i="6" s="1"/>
  <c r="C188" i="6"/>
  <c r="D188" i="6" s="1"/>
  <c r="E188" i="6" s="1"/>
  <c r="F188" i="6" s="1"/>
  <c r="G188" i="6" s="1"/>
  <c r="H188" i="6" s="1"/>
  <c r="I188" i="6" s="1"/>
  <c r="J188" i="6" s="1"/>
  <c r="K188" i="6" s="1"/>
  <c r="C187" i="6"/>
  <c r="D187" i="6" s="1"/>
  <c r="E187" i="6" s="1"/>
  <c r="F187" i="6" s="1"/>
  <c r="G187" i="6" s="1"/>
  <c r="H187" i="6" s="1"/>
  <c r="I187" i="6" s="1"/>
  <c r="J187" i="6" s="1"/>
  <c r="K187" i="6" s="1"/>
  <c r="C178" i="6"/>
  <c r="D178" i="6" s="1"/>
  <c r="E178" i="6" s="1"/>
  <c r="F178" i="6" s="1"/>
  <c r="G178" i="6" s="1"/>
  <c r="H178" i="6" s="1"/>
  <c r="I178" i="6" s="1"/>
  <c r="J178" i="6" s="1"/>
  <c r="K178" i="6" s="1"/>
  <c r="C179" i="6"/>
  <c r="D179" i="6" s="1"/>
  <c r="E179" i="6" s="1"/>
  <c r="F179" i="6" s="1"/>
  <c r="G179" i="6" s="1"/>
  <c r="H179" i="6" s="1"/>
  <c r="I179" i="6" s="1"/>
  <c r="J179" i="6" s="1"/>
  <c r="K179" i="6" s="1"/>
  <c r="G4143" i="3"/>
  <c r="G4144" i="3"/>
  <c r="G4145" i="3"/>
  <c r="G4146" i="3"/>
  <c r="F4146" i="3"/>
  <c r="F4145" i="3"/>
  <c r="F4144" i="3"/>
  <c r="F4143" i="3"/>
  <c r="C4143" i="3"/>
  <c r="D4143" i="3"/>
  <c r="E4143" i="3"/>
  <c r="C4144" i="3"/>
  <c r="D4144" i="3"/>
  <c r="E4144" i="3"/>
  <c r="C4145" i="3"/>
  <c r="D4145" i="3"/>
  <c r="E4145" i="3"/>
  <c r="C4146" i="3"/>
  <c r="D4146" i="3"/>
  <c r="E4146" i="3"/>
  <c r="B4146" i="3"/>
  <c r="B4145" i="3"/>
  <c r="B4144" i="3"/>
  <c r="B4143" i="3"/>
  <c r="C168" i="6"/>
  <c r="D168" i="6" s="1"/>
  <c r="E168" i="6" s="1"/>
  <c r="F168" i="6" s="1"/>
  <c r="G168" i="6" s="1"/>
  <c r="H168" i="6" s="1"/>
  <c r="I168" i="6" s="1"/>
  <c r="J168" i="6" s="1"/>
  <c r="K168" i="6" s="1"/>
  <c r="B22" i="11"/>
  <c r="B5969" i="3"/>
  <c r="D5970" i="3"/>
  <c r="C5966" i="3"/>
  <c r="C5967" i="3" s="1"/>
  <c r="B5966" i="3"/>
  <c r="E5966" i="3"/>
  <c r="E5967" i="3" s="1"/>
  <c r="D5966" i="3"/>
  <c r="EA174" i="4"/>
  <c r="EA175" i="4"/>
  <c r="EA179" i="4"/>
  <c r="EA183" i="4"/>
  <c r="DS530" i="1"/>
  <c r="DS521" i="1"/>
  <c r="DS529" i="1" s="1"/>
  <c r="DS528" i="1"/>
  <c r="DR530" i="1"/>
  <c r="DR521" i="1"/>
  <c r="DR527" i="1" s="1"/>
  <c r="DR528" i="1"/>
  <c r="DQ530" i="1"/>
  <c r="DQ521" i="1"/>
  <c r="DQ529" i="1" s="1"/>
  <c r="DQ528" i="1"/>
  <c r="DP530" i="1"/>
  <c r="DP521" i="1"/>
  <c r="DP527" i="1" s="1"/>
  <c r="DP528" i="1"/>
  <c r="DX530" i="1"/>
  <c r="DX521" i="1"/>
  <c r="DX529" i="1" s="1"/>
  <c r="DX528" i="1"/>
  <c r="DW530" i="1"/>
  <c r="DW521" i="1"/>
  <c r="DW527" i="1" s="1"/>
  <c r="DW528" i="1"/>
  <c r="DV530" i="1"/>
  <c r="DV521" i="1"/>
  <c r="DV527" i="1" s="1"/>
  <c r="DV528" i="1"/>
  <c r="DU530" i="1"/>
  <c r="DU521" i="1"/>
  <c r="DU527" i="1" s="1"/>
  <c r="DU528" i="1"/>
  <c r="DZ530" i="1"/>
  <c r="DZ521" i="1"/>
  <c r="DZ527" i="1" s="1"/>
  <c r="DZ528" i="1"/>
  <c r="EA530" i="1"/>
  <c r="EA521" i="1"/>
  <c r="EA527" i="1" s="1"/>
  <c r="EA528" i="1"/>
  <c r="EA543" i="2"/>
  <c r="EB543" i="2" s="1"/>
  <c r="EC543" i="2" s="1"/>
  <c r="EH5" i="10"/>
  <c r="EG5" i="10"/>
  <c r="EF5" i="10"/>
  <c r="EE5" i="10"/>
  <c r="EC5" i="10"/>
  <c r="EB5" i="10"/>
  <c r="EA5" i="10"/>
  <c r="DZ5" i="10"/>
  <c r="DX5" i="10"/>
  <c r="DW5" i="10"/>
  <c r="DV5" i="10"/>
  <c r="DU5" i="10"/>
  <c r="DS5" i="10"/>
  <c r="DR5" i="10"/>
  <c r="DQ5" i="10"/>
  <c r="DP5" i="10"/>
  <c r="DN5" i="10"/>
  <c r="DM5" i="10"/>
  <c r="DL5" i="10"/>
  <c r="DK5" i="10"/>
  <c r="DI5" i="10"/>
  <c r="DH5" i="10"/>
  <c r="DG5" i="10"/>
  <c r="DF5" i="10"/>
  <c r="DE5" i="10"/>
  <c r="DD5" i="10"/>
  <c r="DC5" i="10"/>
  <c r="DB5" i="10"/>
  <c r="DA5" i="10"/>
  <c r="CZ5" i="10"/>
  <c r="CY5" i="10"/>
  <c r="CX5" i="10"/>
  <c r="CW5" i="10"/>
  <c r="CV5" i="10"/>
  <c r="CU5" i="10"/>
  <c r="CT5" i="10"/>
  <c r="CS5" i="10"/>
  <c r="CR5" i="10"/>
  <c r="CQ5" i="10"/>
  <c r="CP5" i="10"/>
  <c r="CO5" i="10"/>
  <c r="CN5" i="10"/>
  <c r="CM5" i="10"/>
  <c r="CL5" i="10"/>
  <c r="CJ5" i="10"/>
  <c r="CI5" i="10"/>
  <c r="CH5" i="10"/>
  <c r="CG5" i="10"/>
  <c r="CE5" i="10"/>
  <c r="CD5" i="10"/>
  <c r="CC5" i="10"/>
  <c r="CB5" i="10"/>
  <c r="BZ5" i="10"/>
  <c r="BY5" i="10"/>
  <c r="BX5" i="10"/>
  <c r="BW5" i="10"/>
  <c r="BU5" i="10"/>
  <c r="BT5" i="10"/>
  <c r="BS5" i="10"/>
  <c r="BR5" i="10"/>
  <c r="BP5" i="10"/>
  <c r="BO5" i="10"/>
  <c r="BN5" i="10"/>
  <c r="BM5" i="10"/>
  <c r="BK5" i="10"/>
  <c r="BJ5" i="10"/>
  <c r="BI5" i="10"/>
  <c r="BH5" i="10"/>
  <c r="BG5" i="10"/>
  <c r="BF5" i="10"/>
  <c r="BE5" i="10"/>
  <c r="BD5" i="10"/>
  <c r="BC5" i="10"/>
  <c r="B16" i="9"/>
  <c r="C151" i="6"/>
  <c r="D151" i="6" s="1"/>
  <c r="E151" i="6" s="1"/>
  <c r="F151" i="6" s="1"/>
  <c r="G151" i="6" s="1"/>
  <c r="H151" i="6" s="1"/>
  <c r="I151" i="6" s="1"/>
  <c r="J151" i="6" s="1"/>
  <c r="K151" i="6" s="1"/>
  <c r="H133" i="6"/>
  <c r="DZ166" i="4"/>
  <c r="DZ13" i="32" s="1"/>
  <c r="DV166" i="4"/>
  <c r="DW166" i="4"/>
  <c r="DU166" i="4"/>
  <c r="DY159" i="4"/>
  <c r="DY160" i="4"/>
  <c r="B4233" i="3"/>
  <c r="C235" i="6"/>
  <c r="D235" i="6" s="1"/>
  <c r="C19" i="6"/>
  <c r="C204" i="6" s="1"/>
  <c r="B4228" i="3"/>
  <c r="DU277" i="1"/>
  <c r="DU278" i="1"/>
  <c r="DV277" i="1"/>
  <c r="DV196" i="35" s="1"/>
  <c r="DV278" i="1"/>
  <c r="DW277" i="1"/>
  <c r="DW278" i="1"/>
  <c r="DZ196" i="4"/>
  <c r="DZ115" i="10" s="1"/>
  <c r="EA278" i="1"/>
  <c r="EA279" i="1" s="1"/>
  <c r="DZ278" i="1"/>
  <c r="DZ279" i="1" s="1"/>
  <c r="EA178" i="4"/>
  <c r="DV189" i="4"/>
  <c r="DU189" i="4"/>
  <c r="DV188" i="4"/>
  <c r="DU188" i="4"/>
  <c r="DV187" i="4"/>
  <c r="DU187" i="4"/>
  <c r="DV184" i="4"/>
  <c r="DU184" i="4"/>
  <c r="DV183" i="4"/>
  <c r="DU183" i="4"/>
  <c r="DV182" i="4"/>
  <c r="DU182" i="4"/>
  <c r="DV179" i="4"/>
  <c r="DU179" i="4"/>
  <c r="DV178" i="4"/>
  <c r="DU178" i="4"/>
  <c r="DV175" i="4"/>
  <c r="DU175" i="4"/>
  <c r="DV174" i="4"/>
  <c r="DU174" i="4"/>
  <c r="DV173" i="4"/>
  <c r="DU173" i="4"/>
  <c r="DV171" i="4"/>
  <c r="DV197" i="4" s="1"/>
  <c r="DV116" i="10" s="1"/>
  <c r="DU171" i="4"/>
  <c r="DU197" i="4" s="1"/>
  <c r="DU116" i="10" s="1"/>
  <c r="DV216" i="1"/>
  <c r="DV220" i="1" s="1"/>
  <c r="DV231" i="1" s="1"/>
  <c r="DV225" i="1"/>
  <c r="DU225" i="1"/>
  <c r="DU216" i="1"/>
  <c r="DU220" i="1" s="1"/>
  <c r="DU231" i="1" s="1"/>
  <c r="DZ189" i="4"/>
  <c r="DX189" i="4"/>
  <c r="DY189" i="4" s="1"/>
  <c r="DW189" i="4"/>
  <c r="DZ188" i="4"/>
  <c r="DX188" i="4"/>
  <c r="DY188" i="4" s="1"/>
  <c r="DW188" i="4"/>
  <c r="EA187" i="4"/>
  <c r="DZ187" i="4"/>
  <c r="DX187" i="4"/>
  <c r="DY187" i="4" s="1"/>
  <c r="DW187" i="4"/>
  <c r="EA184" i="4"/>
  <c r="DZ184" i="4"/>
  <c r="DX184" i="4"/>
  <c r="DY184" i="4" s="1"/>
  <c r="DW184" i="4"/>
  <c r="DZ183" i="4"/>
  <c r="DX183" i="4"/>
  <c r="DY183" i="4" s="1"/>
  <c r="DW183" i="4"/>
  <c r="DZ182" i="4"/>
  <c r="DX182" i="4"/>
  <c r="DY182" i="4" s="1"/>
  <c r="DW182" i="4"/>
  <c r="DZ179" i="4"/>
  <c r="DX179" i="4"/>
  <c r="DW179" i="4"/>
  <c r="DZ178" i="4"/>
  <c r="DX178" i="4"/>
  <c r="DY178" i="4" s="1"/>
  <c r="DW178" i="4"/>
  <c r="EA173" i="4"/>
  <c r="DZ175" i="4"/>
  <c r="DZ174" i="4"/>
  <c r="DZ173" i="4"/>
  <c r="DZ171" i="4"/>
  <c r="DZ197" i="4" s="1"/>
  <c r="DX171" i="4"/>
  <c r="DX173" i="4"/>
  <c r="DY173" i="4" s="1"/>
  <c r="DX174" i="4"/>
  <c r="DX175" i="4"/>
  <c r="DY175" i="4" s="1"/>
  <c r="DW173" i="4"/>
  <c r="DW174" i="4"/>
  <c r="DW175" i="4"/>
  <c r="DW171" i="4"/>
  <c r="DW197" i="4" s="1"/>
  <c r="DU102" i="4"/>
  <c r="DV101" i="4"/>
  <c r="DU101" i="4"/>
  <c r="DU100" i="4"/>
  <c r="DW98" i="4"/>
  <c r="DV98" i="4"/>
  <c r="DU98" i="4"/>
  <c r="DZ102" i="4"/>
  <c r="DZ101" i="4"/>
  <c r="DZ100" i="4"/>
  <c r="DZ98" i="4"/>
  <c r="EA93" i="4"/>
  <c r="EA78" i="4"/>
  <c r="DZ78" i="4"/>
  <c r="DZ75" i="4"/>
  <c r="DZ167" i="4" s="1"/>
  <c r="DZ73" i="4"/>
  <c r="DZ72" i="4"/>
  <c r="DZ71" i="4"/>
  <c r="DV71" i="4"/>
  <c r="DW71" i="4"/>
  <c r="DX71" i="4"/>
  <c r="DV72" i="4"/>
  <c r="DW72" i="4"/>
  <c r="DX72" i="4"/>
  <c r="DV73" i="4"/>
  <c r="DV207" i="4" s="1"/>
  <c r="DV209" i="4" s="1"/>
  <c r="DV204" i="4" s="1"/>
  <c r="DW73" i="4"/>
  <c r="DW207" i="4" s="1"/>
  <c r="DW209" i="4" s="1"/>
  <c r="DW204" i="4" s="1"/>
  <c r="DX73" i="4"/>
  <c r="DV75" i="4"/>
  <c r="DW75" i="4"/>
  <c r="DX75" i="4"/>
  <c r="DX167" i="4" s="1"/>
  <c r="DV78" i="4"/>
  <c r="DW78" i="4"/>
  <c r="DX78" i="4"/>
  <c r="DU78" i="4"/>
  <c r="DU75" i="4"/>
  <c r="DU107" i="10" s="1"/>
  <c r="DU73" i="4"/>
  <c r="DU207" i="4" s="1"/>
  <c r="DU72" i="4"/>
  <c r="DU71" i="4"/>
  <c r="EA65" i="4"/>
  <c r="EA104" i="10" s="1"/>
  <c r="DZ65" i="4"/>
  <c r="DZ97" i="4" s="1"/>
  <c r="DZ66" i="4"/>
  <c r="DZ99" i="4" s="1"/>
  <c r="DX66" i="4"/>
  <c r="DX99" i="4" s="1"/>
  <c r="DW66" i="4"/>
  <c r="DW99" i="4" s="1"/>
  <c r="DV66" i="4"/>
  <c r="DV99" i="4" s="1"/>
  <c r="DU66" i="4"/>
  <c r="DU99" i="4" s="1"/>
  <c r="DV65" i="4"/>
  <c r="DV104" i="10" s="1"/>
  <c r="DW65" i="4"/>
  <c r="DW97" i="4" s="1"/>
  <c r="DX65" i="4"/>
  <c r="DX97" i="4" s="1"/>
  <c r="DU65" i="4"/>
  <c r="DU104" i="10" s="1"/>
  <c r="EH5" i="4"/>
  <c r="EG5" i="4"/>
  <c r="EF5" i="4"/>
  <c r="EE5" i="4"/>
  <c r="EC5" i="4"/>
  <c r="EB5" i="4"/>
  <c r="EA5" i="4"/>
  <c r="DZ5" i="4"/>
  <c r="DX5" i="4"/>
  <c r="DW5" i="4"/>
  <c r="DV5" i="4"/>
  <c r="DU5" i="4"/>
  <c r="DS5" i="4"/>
  <c r="DR5" i="4"/>
  <c r="DQ5" i="4"/>
  <c r="DP5" i="4"/>
  <c r="DN5" i="4"/>
  <c r="DM5" i="4"/>
  <c r="DL5" i="4"/>
  <c r="DK5" i="4"/>
  <c r="DI5" i="4"/>
  <c r="DH5" i="4"/>
  <c r="DG5" i="4"/>
  <c r="DF5" i="4"/>
  <c r="DE5" i="4"/>
  <c r="DD5" i="4"/>
  <c r="DC5" i="4"/>
  <c r="DB5" i="4"/>
  <c r="DA5" i="4"/>
  <c r="CZ5" i="4"/>
  <c r="CY5" i="4"/>
  <c r="CX5" i="4"/>
  <c r="CW5" i="4"/>
  <c r="CV5" i="4"/>
  <c r="CU5" i="4"/>
  <c r="CT5" i="4"/>
  <c r="CS5" i="4"/>
  <c r="CR5" i="4"/>
  <c r="CQ5" i="4"/>
  <c r="CP5" i="4"/>
  <c r="CO5" i="4"/>
  <c r="CN5" i="4"/>
  <c r="CM5" i="4"/>
  <c r="CL5" i="4"/>
  <c r="CJ5" i="4"/>
  <c r="CI5" i="4"/>
  <c r="CH5" i="4"/>
  <c r="CG5" i="4"/>
  <c r="CE5" i="4"/>
  <c r="CD5" i="4"/>
  <c r="CC5" i="4"/>
  <c r="CB5" i="4"/>
  <c r="BZ5" i="4"/>
  <c r="BY5" i="4"/>
  <c r="BX5" i="4"/>
  <c r="BW5" i="4"/>
  <c r="BU5" i="4"/>
  <c r="BT5" i="4"/>
  <c r="BS5" i="4"/>
  <c r="BR5" i="4"/>
  <c r="BP5" i="4"/>
  <c r="BO5" i="4"/>
  <c r="BN5" i="4"/>
  <c r="BM5" i="4"/>
  <c r="BK5" i="4"/>
  <c r="BJ5" i="4"/>
  <c r="BI5" i="4"/>
  <c r="BH5" i="4"/>
  <c r="BG5" i="4"/>
  <c r="BF5" i="4"/>
  <c r="BE5" i="4"/>
  <c r="BD5" i="4"/>
  <c r="BC5" i="4"/>
  <c r="EA53" i="4"/>
  <c r="DZ53" i="4"/>
  <c r="DX53" i="4"/>
  <c r="DW53" i="4"/>
  <c r="DW54" i="4" s="1"/>
  <c r="DV53" i="4"/>
  <c r="DV54" i="4" s="1"/>
  <c r="DU53" i="4"/>
  <c r="DU54" i="4" s="1"/>
  <c r="DS587" i="2"/>
  <c r="DX587" i="2"/>
  <c r="DW587" i="2"/>
  <c r="DV587" i="2"/>
  <c r="DU587" i="2"/>
  <c r="DV543" i="2"/>
  <c r="DW543" i="2" s="1"/>
  <c r="DX543" i="2" s="1"/>
  <c r="DU540" i="2"/>
  <c r="DV562" i="2"/>
  <c r="DW562" i="2" s="1"/>
  <c r="DX562" i="2" s="1"/>
  <c r="DZ562" i="2" s="1"/>
  <c r="EA562" i="2" s="1"/>
  <c r="EB562" i="2" s="1"/>
  <c r="EC562" i="2" s="1"/>
  <c r="DV635" i="2"/>
  <c r="DX635" i="2"/>
  <c r="DU635" i="2"/>
  <c r="DZ435" i="2"/>
  <c r="DZ263" i="10" s="1"/>
  <c r="DV435" i="2"/>
  <c r="DW435" i="2"/>
  <c r="DX435" i="2"/>
  <c r="DU435" i="2"/>
  <c r="DW575" i="1"/>
  <c r="DW576" i="1" s="1"/>
  <c r="DW596" i="1"/>
  <c r="EG5" i="2"/>
  <c r="EF5" i="2"/>
  <c r="EE5" i="2"/>
  <c r="EB5" i="2"/>
  <c r="EA5" i="2"/>
  <c r="DZ5" i="2"/>
  <c r="DX5" i="2"/>
  <c r="DW5" i="2"/>
  <c r="DV5" i="2"/>
  <c r="DU5" i="2"/>
  <c r="DS5" i="2"/>
  <c r="DR5" i="2"/>
  <c r="DQ5" i="2"/>
  <c r="DP5" i="2"/>
  <c r="DN5" i="2"/>
  <c r="DM5" i="2"/>
  <c r="DL5" i="2"/>
  <c r="DK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J5" i="2"/>
  <c r="CI5" i="2"/>
  <c r="CH5" i="2"/>
  <c r="CG5" i="2"/>
  <c r="CE5" i="2"/>
  <c r="CD5" i="2"/>
  <c r="CC5" i="2"/>
  <c r="CB5" i="2"/>
  <c r="BZ5" i="2"/>
  <c r="BY5" i="2"/>
  <c r="BX5" i="2"/>
  <c r="BW5" i="2"/>
  <c r="BU5" i="2"/>
  <c r="BT5" i="2"/>
  <c r="BS5" i="2"/>
  <c r="BR5" i="2"/>
  <c r="BP5" i="2"/>
  <c r="BO5" i="2"/>
  <c r="BN5" i="2"/>
  <c r="BM5" i="2"/>
  <c r="BK5" i="2"/>
  <c r="BJ5" i="2"/>
  <c r="BI5" i="2"/>
  <c r="BH5" i="2"/>
  <c r="BG5" i="2"/>
  <c r="BF5" i="2"/>
  <c r="BE5" i="2"/>
  <c r="BD5" i="2"/>
  <c r="BC5" i="2"/>
  <c r="DX54" i="2"/>
  <c r="DV54" i="2"/>
  <c r="DU54" i="2"/>
  <c r="DZ27" i="4"/>
  <c r="DX273" i="1"/>
  <c r="DV272" i="1"/>
  <c r="DW272" i="1" s="1"/>
  <c r="DX272" i="1" s="1"/>
  <c r="DY269" i="1"/>
  <c r="DY266" i="1"/>
  <c r="DU266" i="1"/>
  <c r="DX244" i="1"/>
  <c r="DX242" i="1"/>
  <c r="DX241" i="1"/>
  <c r="DX238" i="1"/>
  <c r="DY229" i="1"/>
  <c r="DY228" i="1"/>
  <c r="DY227" i="1"/>
  <c r="EA225" i="1"/>
  <c r="DZ225" i="1"/>
  <c r="DX225" i="1"/>
  <c r="DY225" i="1" s="1"/>
  <c r="DW225" i="1"/>
  <c r="DY224" i="1"/>
  <c r="DY223" i="1"/>
  <c r="DY222" i="1"/>
  <c r="DY219" i="1"/>
  <c r="DY218" i="1"/>
  <c r="EA216" i="1"/>
  <c r="EA220" i="1" s="1"/>
  <c r="EA231" i="1" s="1"/>
  <c r="DZ216" i="1"/>
  <c r="DZ220" i="1" s="1"/>
  <c r="DZ231" i="1" s="1"/>
  <c r="DX216" i="1"/>
  <c r="DX220" i="1" s="1"/>
  <c r="DY220" i="1" s="1"/>
  <c r="DW216" i="1"/>
  <c r="DW220" i="1" s="1"/>
  <c r="DW231" i="1" s="1"/>
  <c r="DY215" i="1"/>
  <c r="DY214" i="1"/>
  <c r="DY213" i="1"/>
  <c r="DY211" i="1"/>
  <c r="DW619" i="1"/>
  <c r="EA600" i="1"/>
  <c r="DY599" i="1"/>
  <c r="DZ600" i="1" s="1"/>
  <c r="DS600" i="1"/>
  <c r="DR600" i="1"/>
  <c r="DQ600" i="1"/>
  <c r="EA596" i="1"/>
  <c r="DS596" i="1"/>
  <c r="DR596" i="1"/>
  <c r="DQ596" i="1"/>
  <c r="DY595" i="1"/>
  <c r="DZ596" i="1" s="1"/>
  <c r="DY592" i="1"/>
  <c r="DY587" i="1"/>
  <c r="EA576" i="1"/>
  <c r="DS576" i="1"/>
  <c r="DR576" i="1"/>
  <c r="DQ576" i="1"/>
  <c r="DY575" i="1"/>
  <c r="DZ576" i="1" s="1"/>
  <c r="DU575" i="1"/>
  <c r="EA562" i="1"/>
  <c r="DS562" i="1"/>
  <c r="DR562" i="1"/>
  <c r="DQ562" i="1"/>
  <c r="DY561" i="1"/>
  <c r="DZ562" i="1" s="1"/>
  <c r="DZ433" i="36" s="1"/>
  <c r="DT561" i="1"/>
  <c r="DS539" i="1"/>
  <c r="DR539" i="1"/>
  <c r="DQ539" i="1"/>
  <c r="DP539" i="1"/>
  <c r="DV536" i="1"/>
  <c r="DU536" i="1"/>
  <c r="DY532" i="1"/>
  <c r="EA522" i="1"/>
  <c r="EA354" i="18" s="1"/>
  <c r="DZ522" i="1"/>
  <c r="DX522" i="1"/>
  <c r="DW522" i="1"/>
  <c r="DV522" i="1"/>
  <c r="DU522" i="1"/>
  <c r="DU17" i="35" s="1"/>
  <c r="DS522" i="1"/>
  <c r="DR522" i="1"/>
  <c r="DQ522" i="1"/>
  <c r="DP522" i="1"/>
  <c r="DY520" i="1"/>
  <c r="DT520" i="1"/>
  <c r="DY519" i="1"/>
  <c r="DT519" i="1"/>
  <c r="DY515" i="1"/>
  <c r="DT515" i="1"/>
  <c r="EA514" i="1"/>
  <c r="EA516" i="1" s="1"/>
  <c r="DZ514" i="1"/>
  <c r="DZ516" i="1" s="1"/>
  <c r="DX514" i="1"/>
  <c r="DX516" i="1" s="1"/>
  <c r="DW514" i="1"/>
  <c r="DW516" i="1" s="1"/>
  <c r="DV514" i="1"/>
  <c r="DV516" i="1" s="1"/>
  <c r="DU514" i="1"/>
  <c r="DU516" i="1" s="1"/>
  <c r="DS514" i="1"/>
  <c r="DS516" i="1" s="1"/>
  <c r="DR514" i="1"/>
  <c r="DR516" i="1" s="1"/>
  <c r="DQ514" i="1"/>
  <c r="DP514" i="1"/>
  <c r="DP516" i="1" s="1"/>
  <c r="DY513" i="1"/>
  <c r="DT513" i="1"/>
  <c r="DY512" i="1"/>
  <c r="DT512" i="1"/>
  <c r="DY511" i="1"/>
  <c r="DT511" i="1"/>
  <c r="DY510" i="1"/>
  <c r="DT510" i="1"/>
  <c r="EA119" i="1"/>
  <c r="DZ119" i="1"/>
  <c r="DX119" i="1"/>
  <c r="DW119" i="1"/>
  <c r="DV119" i="1"/>
  <c r="DU119" i="1"/>
  <c r="EA118" i="1"/>
  <c r="DZ118" i="1"/>
  <c r="DX118" i="1"/>
  <c r="DW118" i="1"/>
  <c r="DV118" i="1"/>
  <c r="DU118" i="1"/>
  <c r="DY117" i="1"/>
  <c r="DY116" i="1"/>
  <c r="EA115" i="1"/>
  <c r="DZ115" i="1"/>
  <c r="DX115" i="1"/>
  <c r="DW115" i="1"/>
  <c r="DY114" i="1"/>
  <c r="EA111" i="1"/>
  <c r="DZ111" i="1"/>
  <c r="DX111" i="1"/>
  <c r="DW111" i="1"/>
  <c r="EA109" i="1"/>
  <c r="DZ109" i="1"/>
  <c r="DX109" i="1"/>
  <c r="DW109" i="1"/>
  <c r="DV109" i="1"/>
  <c r="DU109" i="1"/>
  <c r="EA108" i="1"/>
  <c r="DZ108" i="1"/>
  <c r="DX108" i="1"/>
  <c r="DW108" i="1"/>
  <c r="DV108" i="1"/>
  <c r="DU108" i="1"/>
  <c r="EA107" i="1"/>
  <c r="DZ107" i="1"/>
  <c r="DX107" i="1"/>
  <c r="DW107" i="1"/>
  <c r="DV107" i="1"/>
  <c r="DU107" i="1"/>
  <c r="EA106" i="1"/>
  <c r="DZ106" i="1"/>
  <c r="DX106" i="1"/>
  <c r="DW106" i="1"/>
  <c r="DV106" i="1"/>
  <c r="DU106" i="1"/>
  <c r="EA105" i="1"/>
  <c r="DZ105" i="1"/>
  <c r="DX105" i="1"/>
  <c r="DW105" i="1"/>
  <c r="DV105" i="1"/>
  <c r="DU105" i="1"/>
  <c r="EA104" i="1"/>
  <c r="DZ104" i="1"/>
  <c r="DX104" i="1"/>
  <c r="DW104" i="1"/>
  <c r="DV104" i="1"/>
  <c r="DU104" i="1"/>
  <c r="DY102" i="1"/>
  <c r="DY96" i="1"/>
  <c r="DY95" i="1"/>
  <c r="DY93" i="1"/>
  <c r="DT78" i="1"/>
  <c r="DY69" i="1"/>
  <c r="DT69" i="1"/>
  <c r="DY67" i="1"/>
  <c r="DT67" i="1"/>
  <c r="DY65" i="1"/>
  <c r="DT65" i="1"/>
  <c r="DY64" i="1"/>
  <c r="DT64" i="1"/>
  <c r="DY63" i="1"/>
  <c r="DT63" i="1"/>
  <c r="DY62" i="1"/>
  <c r="DT62" i="1"/>
  <c r="DY61" i="1"/>
  <c r="DT61" i="1"/>
  <c r="DY56" i="1"/>
  <c r="DT56" i="1"/>
  <c r="DY55" i="1"/>
  <c r="DT55" i="1"/>
  <c r="DY54" i="1"/>
  <c r="DT54" i="1"/>
  <c r="DY53" i="1"/>
  <c r="DT53" i="1"/>
  <c r="DY52" i="1"/>
  <c r="DT52" i="1"/>
  <c r="DY51" i="1"/>
  <c r="DT51" i="1"/>
  <c r="DY50" i="1"/>
  <c r="DT50" i="1"/>
  <c r="DY47" i="1"/>
  <c r="DT47" i="1"/>
  <c r="BL5" i="1"/>
  <c r="EH5" i="2"/>
  <c r="EC5" i="2"/>
  <c r="DV629" i="2"/>
  <c r="DX629" i="2"/>
  <c r="E4131" i="3" s="1"/>
  <c r="DU34" i="4"/>
  <c r="DY34" i="4" s="1"/>
  <c r="DW629" i="2"/>
  <c r="DV37" i="4"/>
  <c r="DV632" i="2"/>
  <c r="DW632" i="2"/>
  <c r="DU187" i="10"/>
  <c r="DU37" i="4"/>
  <c r="DY37" i="4" s="1"/>
  <c r="DU632" i="2"/>
  <c r="DY632" i="2" s="1"/>
  <c r="DW34" i="4"/>
  <c r="DV633" i="2"/>
  <c r="EA133" i="4"/>
  <c r="DW133" i="4"/>
  <c r="DW93" i="4"/>
  <c r="DV133" i="4"/>
  <c r="DV93" i="4"/>
  <c r="EB133" i="4"/>
  <c r="EB93" i="4"/>
  <c r="DU133" i="4"/>
  <c r="DU93" i="4"/>
  <c r="DZ133" i="4"/>
  <c r="DZ93" i="4"/>
  <c r="DX133" i="4"/>
  <c r="DX93" i="4"/>
  <c r="DX633" i="2"/>
  <c r="EA632" i="2"/>
  <c r="EB633" i="2"/>
  <c r="EA633" i="2"/>
  <c r="DZ37" i="4"/>
  <c r="ED37" i="4" s="1"/>
  <c r="C4992" i="3" s="1"/>
  <c r="C4999" i="3" s="1"/>
  <c r="DX632" i="2"/>
  <c r="EA34" i="4"/>
  <c r="DX34" i="4"/>
  <c r="B4975" i="3"/>
  <c r="C140" i="6"/>
  <c r="C535" i="38" s="1"/>
  <c r="D165" i="39" s="1"/>
  <c r="B120" i="11"/>
  <c r="EA37" i="4"/>
  <c r="DU633" i="2"/>
  <c r="DY633" i="2" s="1"/>
  <c r="DZ34" i="4"/>
  <c r="ED34" i="4" s="1"/>
  <c r="DV34" i="4"/>
  <c r="EB37" i="4"/>
  <c r="EB629" i="2"/>
  <c r="H4131" i="3" s="1"/>
  <c r="B4288" i="3"/>
  <c r="B4301" i="3" s="1"/>
  <c r="DU629" i="2"/>
  <c r="DY629" i="2" s="1"/>
  <c r="DZ633" i="2"/>
  <c r="DX37" i="4"/>
  <c r="DW633" i="2"/>
  <c r="DW37" i="4"/>
  <c r="B4464" i="3"/>
  <c r="B4459" i="3"/>
  <c r="D4974" i="3"/>
  <c r="B4460" i="3"/>
  <c r="B4463" i="3" s="1"/>
  <c r="DW187" i="10"/>
  <c r="C5739" i="3"/>
  <c r="C5740" i="3" s="1"/>
  <c r="C5741" i="3" s="1"/>
  <c r="C5742" i="3" s="1"/>
  <c r="H5739" i="3"/>
  <c r="C5763" i="3" s="1"/>
  <c r="G5739" i="3"/>
  <c r="D5739" i="3"/>
  <c r="D5740" i="3" s="1"/>
  <c r="D5741" i="3" s="1"/>
  <c r="D5742" i="3" s="1"/>
  <c r="E5739" i="3"/>
  <c r="E5740" i="3" s="1"/>
  <c r="E5741" i="3" s="1"/>
  <c r="E5742" i="3" s="1"/>
  <c r="B5739" i="3"/>
  <c r="B5740" i="3" s="1"/>
  <c r="B5741" i="3" s="1"/>
  <c r="B5742" i="3" s="1"/>
  <c r="I5739" i="3"/>
  <c r="B4430" i="3"/>
  <c r="B4432" i="3" s="1"/>
  <c r="B4434" i="3" s="1"/>
  <c r="B4439" i="3" s="1"/>
  <c r="B5093" i="3"/>
  <c r="B5515" i="3"/>
  <c r="DX187" i="10"/>
  <c r="DY187" i="10"/>
  <c r="DV187" i="10"/>
  <c r="B5802" i="3"/>
  <c r="B5822" i="3" s="1"/>
  <c r="B5829" i="3" s="1"/>
  <c r="B4889" i="3"/>
  <c r="EC37" i="4"/>
  <c r="C27" i="9"/>
  <c r="B123" i="11"/>
  <c r="B5510" i="3"/>
  <c r="E5410" i="3"/>
  <c r="B5401" i="3"/>
  <c r="DZ495" i="2"/>
  <c r="DZ490" i="2"/>
  <c r="EJ5" i="18"/>
  <c r="EA490" i="2"/>
  <c r="EA495" i="2"/>
  <c r="EK5" i="18"/>
  <c r="EN5" i="10"/>
  <c r="EB495" i="2"/>
  <c r="EB490" i="2"/>
  <c r="EL5" i="18"/>
  <c r="N4251" i="3"/>
  <c r="EA33" i="4"/>
  <c r="EC495" i="2"/>
  <c r="EC490" i="2"/>
  <c r="EM5" i="18"/>
  <c r="EX5" i="4"/>
  <c r="EX5" i="2"/>
  <c r="FC5" i="2"/>
  <c r="EN5" i="18"/>
  <c r="FC5" i="4"/>
  <c r="FD5" i="4"/>
  <c r="EO5" i="18"/>
  <c r="FD5" i="2"/>
  <c r="EE259" i="18"/>
  <c r="EE44" i="18" s="1"/>
  <c r="FE5" i="2"/>
  <c r="FE5" i="4"/>
  <c r="FE5" i="10"/>
  <c r="EP5" i="18"/>
  <c r="EF259" i="18"/>
  <c r="EF44" i="18" s="1"/>
  <c r="FF5" i="10"/>
  <c r="EQ5" i="18"/>
  <c r="FF5" i="4"/>
  <c r="FF5" i="2"/>
  <c r="EC34" i="4"/>
  <c r="C4288" i="3"/>
  <c r="C4321" i="3" s="1"/>
  <c r="EG259" i="18"/>
  <c r="EG44" i="18" s="1"/>
  <c r="FG5" i="10"/>
  <c r="FG5" i="2"/>
  <c r="ER5" i="18"/>
  <c r="FG5" i="4"/>
  <c r="EH259" i="18"/>
  <c r="EH44" i="18" s="1"/>
  <c r="FH5" i="10"/>
  <c r="FH5" i="4"/>
  <c r="FH5" i="2"/>
  <c r="FI5" i="10"/>
  <c r="ES5" i="18"/>
  <c r="B5808" i="3"/>
  <c r="B4890" i="3"/>
  <c r="FI5" i="2"/>
  <c r="FI5" i="4"/>
  <c r="FL5" i="1"/>
  <c r="FM5" i="1" s="1"/>
  <c r="B4959" i="3"/>
  <c r="EF34" i="4"/>
  <c r="ED135" i="10"/>
  <c r="EG34" i="4"/>
  <c r="F4993" i="3"/>
  <c r="G4993" i="3"/>
  <c r="FD27" i="4"/>
  <c r="FD39" i="4"/>
  <c r="FE27" i="4"/>
  <c r="FE39" i="4"/>
  <c r="FF27" i="4"/>
  <c r="FJ27" i="4" s="1"/>
  <c r="FF39" i="4"/>
  <c r="FJ39" i="4" s="1"/>
  <c r="FG27" i="4"/>
  <c r="FG39" i="4"/>
  <c r="FH27" i="4"/>
  <c r="FH39" i="4"/>
  <c r="FI27" i="4"/>
  <c r="FI39" i="4"/>
  <c r="C4555" i="3"/>
  <c r="E154" i="11"/>
  <c r="H157" i="11"/>
  <c r="DX32" i="4"/>
  <c r="DX36" i="4" s="1"/>
  <c r="DW32" i="4"/>
  <c r="DW36" i="4" s="1"/>
  <c r="DV32" i="4"/>
  <c r="DV36" i="4" s="1"/>
  <c r="EB32" i="4"/>
  <c r="EB36" i="4" s="1"/>
  <c r="EA32" i="4"/>
  <c r="EA36" i="4" s="1"/>
  <c r="EA35" i="4"/>
  <c r="DU32" i="4"/>
  <c r="DY32" i="4" s="1"/>
  <c r="DZ32" i="4"/>
  <c r="ED32" i="4" s="1"/>
  <c r="EC39" i="4"/>
  <c r="B5511" i="3"/>
  <c r="B4183" i="3"/>
  <c r="C4889" i="3"/>
  <c r="C4243" i="3"/>
  <c r="C4242" i="3" s="1"/>
  <c r="C4947" i="3"/>
  <c r="B5500" i="3"/>
  <c r="EE495" i="2"/>
  <c r="EE490" i="2"/>
  <c r="EC32" i="4"/>
  <c r="EC36" i="4" s="1"/>
  <c r="EJ631" i="2"/>
  <c r="EN631" i="2" s="1"/>
  <c r="EE32" i="4"/>
  <c r="EI32" i="4" s="1"/>
  <c r="C5093" i="3"/>
  <c r="ED159" i="4"/>
  <c r="D5093" i="3"/>
  <c r="B5390" i="3"/>
  <c r="B5387" i="3"/>
  <c r="B5391" i="3" s="1"/>
  <c r="B5389" i="3"/>
  <c r="C5393" i="3"/>
  <c r="C5394" i="3"/>
  <c r="B5395" i="3"/>
  <c r="C5395" i="3" s="1"/>
  <c r="B5409" i="3"/>
  <c r="E5509" i="3"/>
  <c r="E5512" i="3" s="1"/>
  <c r="E5516" i="3" s="1"/>
  <c r="E5503" i="3"/>
  <c r="E5504" i="3"/>
  <c r="E5505" i="3"/>
  <c r="E5483" i="3" s="1"/>
  <c r="E5482" i="3"/>
  <c r="E5479" i="3"/>
  <c r="E5478" i="3"/>
  <c r="E5488" i="3" s="1"/>
  <c r="D5672" i="3"/>
  <c r="D5662" i="3"/>
  <c r="D5665" i="3"/>
  <c r="D5601" i="3" s="1"/>
  <c r="E5662" i="3"/>
  <c r="E5665" i="3"/>
  <c r="E5672" i="3"/>
  <c r="F5662" i="3"/>
  <c r="F5672" i="3"/>
  <c r="F5665" i="3"/>
  <c r="F5601" i="3" s="1"/>
  <c r="G5662" i="3"/>
  <c r="G5665" i="3"/>
  <c r="G5672" i="3"/>
  <c r="H5665" i="3"/>
  <c r="H5601" i="3" s="1"/>
  <c r="H5672" i="3"/>
  <c r="H5662" i="3"/>
  <c r="C5371" i="3"/>
  <c r="EF495" i="2"/>
  <c r="EK496" i="2" s="1"/>
  <c r="EF490" i="2"/>
  <c r="EK491" i="2" s="1"/>
  <c r="EK631" i="2"/>
  <c r="EF32" i="4"/>
  <c r="EF36" i="4" s="1"/>
  <c r="EG32" i="4"/>
  <c r="EG36" i="4" s="1"/>
  <c r="EG495" i="2"/>
  <c r="EL631" i="2"/>
  <c r="EH631" i="2"/>
  <c r="EM631" i="2"/>
  <c r="EG490" i="2"/>
  <c r="ES631" i="2"/>
  <c r="EX631" i="2"/>
  <c r="FC631" i="2"/>
  <c r="FD631" i="2"/>
  <c r="FE631" i="2"/>
  <c r="EL490" i="2"/>
  <c r="EL495" i="2"/>
  <c r="FF631" i="2"/>
  <c r="FG631" i="2"/>
  <c r="EF39" i="4"/>
  <c r="FI631" i="2"/>
  <c r="FH631" i="2"/>
  <c r="B157" i="6"/>
  <c r="DY570" i="1"/>
  <c r="DZ33" i="4"/>
  <c r="ED33" i="4" s="1"/>
  <c r="DZ35" i="4"/>
  <c r="ED35" i="4" s="1"/>
  <c r="EF33" i="4"/>
  <c r="EF37" i="4"/>
  <c r="EF35" i="4"/>
  <c r="D5291" i="3"/>
  <c r="C5291" i="3" s="1"/>
  <c r="F5291" i="3" s="1"/>
  <c r="B5300" i="3"/>
  <c r="EL163" i="18"/>
  <c r="EM163" i="18" s="1"/>
  <c r="EN163" i="18" s="1"/>
  <c r="EO163" i="18" s="1"/>
  <c r="EP163" i="18" s="1"/>
  <c r="EQ163" i="18" s="1"/>
  <c r="ER163" i="18" s="1"/>
  <c r="ES163" i="18" s="1"/>
  <c r="EF144" i="18"/>
  <c r="EG144" i="18" s="1"/>
  <c r="EH144" i="18" s="1"/>
  <c r="B4193" i="3"/>
  <c r="EB33" i="4"/>
  <c r="EE33" i="4"/>
  <c r="EI33" i="4" s="1"/>
  <c r="EB35" i="4"/>
  <c r="EE35" i="4"/>
  <c r="EI35" i="4" s="1"/>
  <c r="EC33" i="4"/>
  <c r="C4287" i="3"/>
  <c r="C4300" i="3" s="1"/>
  <c r="EC35" i="4"/>
  <c r="B14" i="6"/>
  <c r="C28" i="9"/>
  <c r="EG283" i="18"/>
  <c r="E5406" i="3"/>
  <c r="C5407" i="3"/>
  <c r="E5407" i="3" s="1"/>
  <c r="FD34" i="4"/>
  <c r="FE34" i="4"/>
  <c r="FF34" i="4"/>
  <c r="FJ34" i="4" s="1"/>
  <c r="FG34" i="4"/>
  <c r="FH34" i="4"/>
  <c r="FI34" i="4"/>
  <c r="EG35" i="4"/>
  <c r="E5093" i="3"/>
  <c r="FD35" i="4"/>
  <c r="FE35" i="4"/>
  <c r="FF35" i="4"/>
  <c r="FJ35" i="4" s="1"/>
  <c r="FG35" i="4"/>
  <c r="FI35" i="4"/>
  <c r="FH35" i="4"/>
  <c r="E5699" i="3"/>
  <c r="E5692" i="3"/>
  <c r="E5689" i="3"/>
  <c r="F5699" i="3"/>
  <c r="F5703" i="3" s="1"/>
  <c r="F5689" i="3"/>
  <c r="F5692" i="3"/>
  <c r="F5602" i="3" s="1"/>
  <c r="G5692" i="3"/>
  <c r="G5689" i="3"/>
  <c r="G5699" i="3"/>
  <c r="G5703" i="3" s="1"/>
  <c r="H5692" i="3"/>
  <c r="H5602" i="3" s="1"/>
  <c r="H5689" i="3"/>
  <c r="H5699" i="3"/>
  <c r="H5703" i="3" s="1"/>
  <c r="O224" i="11"/>
  <c r="G4991" i="3"/>
  <c r="G4998" i="3" s="1"/>
  <c r="FD495" i="2"/>
  <c r="FD490" i="2"/>
  <c r="FE495" i="2"/>
  <c r="FE490" i="2"/>
  <c r="FF495" i="2"/>
  <c r="FF490" i="2"/>
  <c r="FG490" i="2"/>
  <c r="FG495" i="2"/>
  <c r="FH490" i="2"/>
  <c r="FH495" i="2"/>
  <c r="FI495" i="2"/>
  <c r="FI490" i="2"/>
  <c r="FD32" i="4"/>
  <c r="FD36" i="4" s="1"/>
  <c r="FE32" i="4"/>
  <c r="FF32" i="4"/>
  <c r="FG32" i="4"/>
  <c r="FG36" i="4" s="1"/>
  <c r="FH32" i="4"/>
  <c r="FH36" i="4" s="1"/>
  <c r="FI32" i="4"/>
  <c r="FI36" i="4" s="1"/>
  <c r="EG33" i="4"/>
  <c r="DX333" i="2"/>
  <c r="DW333" i="2"/>
  <c r="DV333" i="2"/>
  <c r="DV33" i="4"/>
  <c r="DX33" i="4"/>
  <c r="DW33" i="4"/>
  <c r="DU33" i="4"/>
  <c r="DY33" i="4" s="1"/>
  <c r="B4287" i="3"/>
  <c r="B4320" i="3" s="1"/>
  <c r="DU35" i="4"/>
  <c r="DY35" i="4" s="1"/>
  <c r="DV35" i="4"/>
  <c r="DX35" i="4"/>
  <c r="DW35" i="4"/>
  <c r="EH135" i="10"/>
  <c r="EJ135" i="10"/>
  <c r="EK135" i="10"/>
  <c r="EL135" i="10"/>
  <c r="EI135" i="10"/>
  <c r="EM135" i="10"/>
  <c r="EN135" i="10"/>
  <c r="FE135" i="10"/>
  <c r="FF135" i="10"/>
  <c r="FG135" i="10"/>
  <c r="FH135" i="10"/>
  <c r="FI135" i="10"/>
  <c r="G4992" i="3"/>
  <c r="F4992" i="3"/>
  <c r="FD37" i="4"/>
  <c r="FE37" i="4"/>
  <c r="FF37" i="4"/>
  <c r="FJ37" i="4" s="1"/>
  <c r="FH37" i="4"/>
  <c r="FG37" i="4"/>
  <c r="FI37" i="4"/>
  <c r="E4889" i="3"/>
  <c r="D4889" i="3"/>
  <c r="F4889" i="3"/>
  <c r="F5093" i="3"/>
  <c r="FD33" i="4"/>
  <c r="G4889" i="3"/>
  <c r="G5093" i="3"/>
  <c r="FE33" i="4"/>
  <c r="FF33" i="4"/>
  <c r="FJ33" i="4" s="1"/>
  <c r="FG33" i="4"/>
  <c r="FH33" i="4"/>
  <c r="FI33" i="4"/>
  <c r="B5420" i="3"/>
  <c r="C5420" i="3"/>
  <c r="D5420" i="3" s="1"/>
  <c r="C135" i="6"/>
  <c r="B5285" i="3" a="1"/>
  <c r="D5263" i="3" a="1"/>
  <c r="C5257" i="3" a="1"/>
  <c r="B5284" i="3" a="1"/>
  <c r="D5262" i="3" a="1"/>
  <c r="B5286" i="3" a="1"/>
  <c r="B238" i="6" a="1"/>
  <c r="B5256" i="3" a="1"/>
  <c r="C5258" i="3" a="1"/>
  <c r="B5257" i="3" a="1"/>
  <c r="Q130" i="6" a="1"/>
  <c r="C5263" i="3" a="1"/>
  <c r="B5259" i="3" a="1"/>
  <c r="B237" i="6" a="1"/>
  <c r="C5259" i="3" a="1"/>
  <c r="Q137" i="6" a="1"/>
  <c r="C5261" i="3" a="1"/>
  <c r="C5256" i="3" a="1"/>
  <c r="D5261" i="3" a="1"/>
  <c r="Q132" i="6" a="1"/>
  <c r="B236" i="6" a="1"/>
  <c r="B5258" i="3" a="1"/>
  <c r="B5287" i="3" a="1"/>
  <c r="C5262" i="3" a="1"/>
  <c r="D3469" i="3" l="1"/>
  <c r="EE346" i="10"/>
  <c r="EG208" i="10"/>
  <c r="EB10" i="32"/>
  <c r="EC10" i="32"/>
  <c r="EA10" i="32"/>
  <c r="DZ10" i="32"/>
  <c r="DU354" i="10"/>
  <c r="EE394" i="10"/>
  <c r="EM261" i="2"/>
  <c r="EG57" i="35"/>
  <c r="FE368" i="36"/>
  <c r="EE57" i="35"/>
  <c r="EF57" i="35"/>
  <c r="EC57" i="35"/>
  <c r="EB57" i="35"/>
  <c r="DX431" i="36"/>
  <c r="EB344" i="2"/>
  <c r="EB10" i="2" s="1"/>
  <c r="EB32" i="2" s="1"/>
  <c r="EB344" i="36"/>
  <c r="FE507" i="36"/>
  <c r="FE506" i="36"/>
  <c r="DJ5" i="36"/>
  <c r="DJ5" i="35"/>
  <c r="DW107" i="4"/>
  <c r="DW112" i="10" s="1"/>
  <c r="DW141" i="10" s="1"/>
  <c r="DW107" i="35"/>
  <c r="DV114" i="4"/>
  <c r="DV114" i="35"/>
  <c r="EB107" i="4"/>
  <c r="EB130" i="4" s="1"/>
  <c r="EB107" i="35"/>
  <c r="EC158" i="35"/>
  <c r="EC157" i="35" s="1"/>
  <c r="EB160" i="35" s="1"/>
  <c r="EC77" i="35"/>
  <c r="EC165" i="35" s="1"/>
  <c r="EC162" i="35"/>
  <c r="EC76" i="35"/>
  <c r="EC79" i="35" s="1"/>
  <c r="DU444" i="2"/>
  <c r="DU444" i="36"/>
  <c r="DY444" i="36" s="1"/>
  <c r="EB9" i="36"/>
  <c r="EB243" i="36"/>
  <c r="EB252" i="36"/>
  <c r="EB563" i="36"/>
  <c r="EB545" i="36"/>
  <c r="EC10" i="36"/>
  <c r="EC32" i="36" s="1"/>
  <c r="EC389" i="36"/>
  <c r="EC380" i="36"/>
  <c r="EG69" i="4"/>
  <c r="EG74" i="4" s="1"/>
  <c r="EG152" i="4" s="1"/>
  <c r="EG69" i="35"/>
  <c r="EG74" i="35" s="1"/>
  <c r="EF206" i="2"/>
  <c r="EK214" i="2" s="1"/>
  <c r="EF206" i="36"/>
  <c r="EJ351" i="36"/>
  <c r="EN343" i="36"/>
  <c r="EJ342" i="36"/>
  <c r="EO351" i="36"/>
  <c r="EZ507" i="36"/>
  <c r="EZ508" i="36" s="1"/>
  <c r="EZ506" i="36"/>
  <c r="FG369" i="36"/>
  <c r="FB367" i="36"/>
  <c r="DU74" i="35"/>
  <c r="DU18" i="35"/>
  <c r="DW196" i="4"/>
  <c r="DW198" i="4" s="1"/>
  <c r="DW196" i="35"/>
  <c r="DX249" i="1"/>
  <c r="DX98" i="4"/>
  <c r="DY98" i="4" s="1"/>
  <c r="DX98" i="35"/>
  <c r="DY98" i="35" s="1"/>
  <c r="DV130" i="35"/>
  <c r="DV110" i="35"/>
  <c r="DV58" i="36"/>
  <c r="DV57" i="35"/>
  <c r="EC206" i="2"/>
  <c r="EC206" i="36"/>
  <c r="EG344" i="2"/>
  <c r="EL352" i="2" s="1"/>
  <c r="EG344" i="36"/>
  <c r="EH380" i="36"/>
  <c r="EH10" i="36"/>
  <c r="EH352" i="36"/>
  <c r="EH389" i="36"/>
  <c r="EM352" i="36"/>
  <c r="EG58" i="36"/>
  <c r="EG68" i="36"/>
  <c r="ER361" i="36"/>
  <c r="ER364" i="36"/>
  <c r="ER365" i="36" s="1"/>
  <c r="ER498" i="36"/>
  <c r="ES498" i="36" s="1"/>
  <c r="ER362" i="36"/>
  <c r="ES360" i="36"/>
  <c r="EK533" i="36"/>
  <c r="FF317" i="36"/>
  <c r="FF299" i="36"/>
  <c r="FF425" i="36" s="1"/>
  <c r="FF296" i="36"/>
  <c r="FF295" i="36"/>
  <c r="DX246" i="1"/>
  <c r="DW101" i="35"/>
  <c r="DV17" i="4"/>
  <c r="DV17" i="35"/>
  <c r="DV18" i="35" s="1"/>
  <c r="DX248" i="1"/>
  <c r="DV103" i="35"/>
  <c r="DU107" i="4"/>
  <c r="DU130" i="4" s="1"/>
  <c r="DU107" i="35"/>
  <c r="DU58" i="36"/>
  <c r="DU57" i="35"/>
  <c r="EC261" i="1"/>
  <c r="EB115" i="35"/>
  <c r="FM112" i="35"/>
  <c r="EG206" i="2"/>
  <c r="EL214" i="2" s="1"/>
  <c r="EG206" i="36"/>
  <c r="EH206" i="2"/>
  <c r="EH379" i="10" s="1"/>
  <c r="EH206" i="36"/>
  <c r="EH58" i="36"/>
  <c r="EH60" i="36" s="1"/>
  <c r="EH62" i="36" s="1"/>
  <c r="EH68" i="36"/>
  <c r="EH77" i="35"/>
  <c r="EH165" i="35" s="1"/>
  <c r="EH162" i="35"/>
  <c r="EH163" i="35" s="1"/>
  <c r="EH164" i="35" s="1"/>
  <c r="EH152" i="35"/>
  <c r="EH76" i="35"/>
  <c r="EH79" i="35" s="1"/>
  <c r="ER506" i="36"/>
  <c r="ER507" i="36"/>
  <c r="ER508" i="36" s="1"/>
  <c r="FE463" i="36"/>
  <c r="FE340" i="36"/>
  <c r="FE42" i="36"/>
  <c r="FE347" i="36"/>
  <c r="DT587" i="2"/>
  <c r="DT588" i="36"/>
  <c r="DY592" i="36" s="1"/>
  <c r="DW58" i="36"/>
  <c r="DW57" i="35"/>
  <c r="DW17" i="4"/>
  <c r="DW17" i="35"/>
  <c r="DW18" i="35" s="1"/>
  <c r="DX166" i="4"/>
  <c r="DX168" i="4" s="1"/>
  <c r="DX166" i="35"/>
  <c r="DV198" i="35"/>
  <c r="DV202" i="35"/>
  <c r="DV203" i="35" s="1"/>
  <c r="DW247" i="1"/>
  <c r="DX247" i="1" s="1"/>
  <c r="DV102" i="35"/>
  <c r="EA57" i="35"/>
  <c r="EA168" i="35"/>
  <c r="EA107" i="4"/>
  <c r="EA130" i="4" s="1"/>
  <c r="EA107" i="35"/>
  <c r="EB248" i="1"/>
  <c r="EB103" i="4" s="1"/>
  <c r="EB14" i="32" s="1"/>
  <c r="EA103" i="35"/>
  <c r="EB196" i="4"/>
  <c r="EB202" i="4" s="1"/>
  <c r="EB196" i="35"/>
  <c r="EC433" i="2"/>
  <c r="EC433" i="36"/>
  <c r="ED433" i="36" s="1"/>
  <c r="EC112" i="4"/>
  <c r="ED112" i="4" s="1"/>
  <c r="EC112" i="35"/>
  <c r="EE153" i="35"/>
  <c r="EE130" i="35"/>
  <c r="EE110" i="35"/>
  <c r="EH291" i="1"/>
  <c r="EH293" i="1" s="1"/>
  <c r="EH140" i="35"/>
  <c r="EG130" i="35"/>
  <c r="EG153" i="35"/>
  <c r="EG110" i="35"/>
  <c r="EQ363" i="36"/>
  <c r="FF298" i="36"/>
  <c r="FF424" i="36" s="1"/>
  <c r="EP514" i="36"/>
  <c r="EP515" i="36" s="1"/>
  <c r="EP511" i="36"/>
  <c r="EP518" i="36"/>
  <c r="EP516" i="36"/>
  <c r="EP512" i="36"/>
  <c r="EP513" i="36" s="1"/>
  <c r="DW261" i="1"/>
  <c r="DW115" i="35" s="1"/>
  <c r="DV115" i="35"/>
  <c r="EJ348" i="36"/>
  <c r="EN340" i="36"/>
  <c r="EJ339" i="36"/>
  <c r="EO348" i="36"/>
  <c r="EW505" i="36"/>
  <c r="EW368" i="36"/>
  <c r="EX367" i="36"/>
  <c r="DX17" i="4"/>
  <c r="DX17" i="35"/>
  <c r="DX18" i="35" s="1"/>
  <c r="DW245" i="1"/>
  <c r="DX245" i="1" s="1"/>
  <c r="DV100" i="35"/>
  <c r="DV118" i="4"/>
  <c r="DV118" i="35"/>
  <c r="DZ57" i="35"/>
  <c r="EB247" i="1"/>
  <c r="EB102" i="35" s="1"/>
  <c r="EA102" i="35"/>
  <c r="DX69" i="4"/>
  <c r="DX74" i="4" s="1"/>
  <c r="DX106" i="10" s="1"/>
  <c r="DX69" i="35"/>
  <c r="DX74" i="35" s="1"/>
  <c r="DZ74" i="35"/>
  <c r="ED69" i="35"/>
  <c r="EC113" i="4"/>
  <c r="ED113" i="4" s="1"/>
  <c r="EC113" i="35"/>
  <c r="ED113" i="35" s="1"/>
  <c r="EE344" i="2"/>
  <c r="EE427" i="10" s="1"/>
  <c r="EE344" i="36"/>
  <c r="EF69" i="4"/>
  <c r="EF74" i="4" s="1"/>
  <c r="EF158" i="4" s="1"/>
  <c r="EF69" i="35"/>
  <c r="EF74" i="35" s="1"/>
  <c r="EN57" i="36"/>
  <c r="EJ300" i="1"/>
  <c r="EJ302" i="1" s="1"/>
  <c r="EJ107" i="35"/>
  <c r="EQ499" i="36"/>
  <c r="EQ502" i="36"/>
  <c r="EQ503" i="36" s="1"/>
  <c r="EQ500" i="36"/>
  <c r="EQ501" i="36" s="1"/>
  <c r="EQ510" i="36"/>
  <c r="EX417" i="36"/>
  <c r="ET420" i="36"/>
  <c r="DX108" i="4"/>
  <c r="DY108" i="4" s="1"/>
  <c r="DX108" i="35"/>
  <c r="DY108" i="35" s="1"/>
  <c r="EJ35" i="36"/>
  <c r="EN28" i="36"/>
  <c r="EO35" i="36"/>
  <c r="FA368" i="36"/>
  <c r="FA505" i="36"/>
  <c r="DU196" i="4"/>
  <c r="DU198" i="4" s="1"/>
  <c r="DU117" i="10" s="1"/>
  <c r="DU196" i="35"/>
  <c r="EB262" i="1"/>
  <c r="EB116" i="35" s="1"/>
  <c r="EA116" i="35"/>
  <c r="EA101" i="4"/>
  <c r="EA101" i="35"/>
  <c r="DW76" i="35"/>
  <c r="DW79" i="35" s="1"/>
  <c r="DW158" i="35"/>
  <c r="DW77" i="35"/>
  <c r="DW162" i="35"/>
  <c r="EA162" i="35"/>
  <c r="EA158" i="35"/>
  <c r="EA76" i="35"/>
  <c r="EA79" i="35" s="1"/>
  <c r="EA77" i="35"/>
  <c r="EA165" i="35" s="1"/>
  <c r="EC114" i="4"/>
  <c r="ED114" i="4" s="1"/>
  <c r="EC114" i="35"/>
  <c r="ED114" i="35" s="1"/>
  <c r="DZ344" i="2"/>
  <c r="DZ380" i="2" s="1"/>
  <c r="DZ19" i="2" s="1"/>
  <c r="DZ344" i="36"/>
  <c r="EN202" i="36"/>
  <c r="EJ210" i="36"/>
  <c r="EJ192" i="36"/>
  <c r="EJ201" i="36"/>
  <c r="EO210" i="36"/>
  <c r="EJ69" i="36"/>
  <c r="EJ59" i="36"/>
  <c r="EN59" i="36" s="1"/>
  <c r="FD508" i="36"/>
  <c r="ES505" i="36"/>
  <c r="FG282" i="36"/>
  <c r="FG283" i="36" s="1"/>
  <c r="FG316" i="36" s="1"/>
  <c r="FG291" i="36"/>
  <c r="DZ130" i="35"/>
  <c r="DZ110" i="35"/>
  <c r="EA206" i="2"/>
  <c r="EA9" i="2" s="1"/>
  <c r="EA31" i="2" s="1"/>
  <c r="EA206" i="36"/>
  <c r="EO524" i="36"/>
  <c r="EO520" i="36"/>
  <c r="EO522" i="36"/>
  <c r="EO528" i="36"/>
  <c r="BL5" i="32"/>
  <c r="BL5" i="36"/>
  <c r="BL5" i="35"/>
  <c r="DX109" i="4"/>
  <c r="DY109" i="4" s="1"/>
  <c r="DX109" i="35"/>
  <c r="DY109" i="35" s="1"/>
  <c r="DX58" i="36"/>
  <c r="DX57" i="35"/>
  <c r="EA109" i="4"/>
  <c r="EA109" i="35"/>
  <c r="EA100" i="4"/>
  <c r="EA100" i="35"/>
  <c r="DV158" i="35"/>
  <c r="DV162" i="35"/>
  <c r="DV76" i="35"/>
  <c r="DV79" i="35" s="1"/>
  <c r="DV77" i="35"/>
  <c r="EB158" i="35"/>
  <c r="EB162" i="35"/>
  <c r="EB76" i="35"/>
  <c r="EB79" i="35" s="1"/>
  <c r="EB77" i="35"/>
  <c r="EB165" i="35" s="1"/>
  <c r="FH112" i="35"/>
  <c r="EC118" i="4"/>
  <c r="ED118" i="4" s="1"/>
  <c r="EC118" i="35"/>
  <c r="ED118" i="35" s="1"/>
  <c r="EF300" i="1"/>
  <c r="EF302" i="1" s="1"/>
  <c r="EF306" i="1" s="1"/>
  <c r="EF107" i="35"/>
  <c r="DZ206" i="2"/>
  <c r="DZ252" i="2" s="1"/>
  <c r="DZ206" i="36"/>
  <c r="EA344" i="2"/>
  <c r="EA10" i="2" s="1"/>
  <c r="EA32" i="2" s="1"/>
  <c r="EA344" i="36"/>
  <c r="EE206" i="2"/>
  <c r="EE379" i="10" s="1"/>
  <c r="EE206" i="36"/>
  <c r="EH300" i="1"/>
  <c r="EH302" i="1" s="1"/>
  <c r="EH306" i="1" s="1"/>
  <c r="EH107" i="35"/>
  <c r="EF10" i="36"/>
  <c r="EF380" i="36"/>
  <c r="EF389" i="36"/>
  <c r="EK352" i="36"/>
  <c r="EJ634" i="36"/>
  <c r="EJ213" i="36"/>
  <c r="EN205" i="36"/>
  <c r="EJ204" i="36"/>
  <c r="EO213" i="36"/>
  <c r="EJ34" i="36"/>
  <c r="EN27" i="36"/>
  <c r="EO34" i="36"/>
  <c r="EV506" i="36"/>
  <c r="EV507" i="36"/>
  <c r="EV508" i="36" s="1"/>
  <c r="FF453" i="36"/>
  <c r="FF455" i="36" s="1"/>
  <c r="FF319" i="36"/>
  <c r="FF367" i="36" s="1"/>
  <c r="EH10" i="32"/>
  <c r="EH578" i="2"/>
  <c r="EH580" i="2" s="1"/>
  <c r="EG10" i="32"/>
  <c r="EG578" i="2"/>
  <c r="EG580" i="2" s="1"/>
  <c r="EJ10" i="32"/>
  <c r="EJ578" i="2"/>
  <c r="EF10" i="32"/>
  <c r="EF578" i="2"/>
  <c r="EF580" i="2" s="1"/>
  <c r="EE10" i="32"/>
  <c r="EE578" i="2"/>
  <c r="EE256" i="1"/>
  <c r="EE300" i="1"/>
  <c r="EG256" i="1"/>
  <c r="EG300" i="1"/>
  <c r="EG302" i="1" s="1"/>
  <c r="EG306" i="1" s="1"/>
  <c r="E73" i="29"/>
  <c r="E72" i="29"/>
  <c r="F72" i="29" s="1"/>
  <c r="G72" i="29" s="1"/>
  <c r="EO116" i="2"/>
  <c r="K115" i="29"/>
  <c r="EM116" i="2"/>
  <c r="J115" i="29"/>
  <c r="N73" i="29"/>
  <c r="O73" i="29" s="1"/>
  <c r="P73" i="29" s="1"/>
  <c r="Q73" i="29" s="1"/>
  <c r="R73" i="29" s="1"/>
  <c r="M72" i="29"/>
  <c r="N72" i="29" s="1"/>
  <c r="O72" i="29" s="1"/>
  <c r="P72" i="29" s="1"/>
  <c r="R82" i="29"/>
  <c r="S83" i="29" s="1"/>
  <c r="T84" i="29" s="1"/>
  <c r="P71" i="29"/>
  <c r="EJ207" i="4"/>
  <c r="EN207" i="4" s="1"/>
  <c r="EN209" i="4" s="1"/>
  <c r="EJ1036" i="10"/>
  <c r="FF36" i="4"/>
  <c r="FJ36" i="4" s="1"/>
  <c r="FJ32" i="4"/>
  <c r="FJ631" i="2"/>
  <c r="ES120" i="4"/>
  <c r="FB117" i="4"/>
  <c r="EX189" i="4"/>
  <c r="C2486" i="3"/>
  <c r="DZ357" i="10"/>
  <c r="DV405" i="10"/>
  <c r="B2486" i="3"/>
  <c r="B2484" i="3" s="1"/>
  <c r="DW357" i="10"/>
  <c r="D2486" i="3"/>
  <c r="EO261" i="2"/>
  <c r="EF405" i="10"/>
  <c r="EB357" i="10"/>
  <c r="DX405" i="10"/>
  <c r="DZ405" i="10"/>
  <c r="EC405" i="10"/>
  <c r="EN32" i="4"/>
  <c r="DU357" i="10"/>
  <c r="EG204" i="4"/>
  <c r="EG12" i="32" s="1"/>
  <c r="EN103" i="4"/>
  <c r="EN14" i="32" s="1"/>
  <c r="EJ14" i="32"/>
  <c r="EN166" i="4"/>
  <c r="EH204" i="4"/>
  <c r="EH12" i="32" s="1"/>
  <c r="DJ5" i="10"/>
  <c r="DJ5" i="32"/>
  <c r="EF204" i="4"/>
  <c r="EF12" i="32" s="1"/>
  <c r="B2304" i="3"/>
  <c r="D2304" i="3" s="1"/>
  <c r="EG132" i="2"/>
  <c r="EB123" i="2"/>
  <c r="EB181" i="2" s="1"/>
  <c r="EB621" i="2" s="1"/>
  <c r="EA132" i="2"/>
  <c r="EC123" i="2"/>
  <c r="EC125" i="2" s="1"/>
  <c r="EB132" i="2"/>
  <c r="EF123" i="2"/>
  <c r="EF181" i="2" s="1"/>
  <c r="EF621" i="2" s="1"/>
  <c r="EE132" i="2"/>
  <c r="EH347" i="10"/>
  <c r="EH132" i="2"/>
  <c r="EJ132" i="2"/>
  <c r="DZ132" i="2"/>
  <c r="ED126" i="2"/>
  <c r="EC132" i="2"/>
  <c r="EF132" i="2"/>
  <c r="EC360" i="10"/>
  <c r="EB298" i="18"/>
  <c r="EG184" i="10"/>
  <c r="EG96" i="2"/>
  <c r="EH405" i="10"/>
  <c r="C2498" i="3"/>
  <c r="EG405" i="10"/>
  <c r="B2498" i="3"/>
  <c r="B2496" i="3" s="1"/>
  <c r="B47" i="30"/>
  <c r="D47" i="30" s="1"/>
  <c r="D2498" i="3"/>
  <c r="E173" i="11"/>
  <c r="E194" i="11" s="1"/>
  <c r="DZ105" i="10"/>
  <c r="DZ207" i="4"/>
  <c r="EE207" i="4"/>
  <c r="DU209" i="4"/>
  <c r="DU204" i="4" s="1"/>
  <c r="DX105" i="10"/>
  <c r="DX207" i="4"/>
  <c r="DX209" i="4" s="1"/>
  <c r="DX204" i="4" s="1"/>
  <c r="EO324" i="2"/>
  <c r="EO187" i="2"/>
  <c r="EA346" i="10"/>
  <c r="EA208" i="10"/>
  <c r="EF360" i="10"/>
  <c r="EO362" i="10"/>
  <c r="EO189" i="2"/>
  <c r="EO410" i="10"/>
  <c r="EO326" i="2"/>
  <c r="EK123" i="2"/>
  <c r="EK181" i="2" s="1"/>
  <c r="EK200" i="2" s="1"/>
  <c r="EP208" i="2" s="1"/>
  <c r="EO127" i="2"/>
  <c r="EK268" i="2"/>
  <c r="EK315" i="2" s="1"/>
  <c r="EK338" i="2" s="1"/>
  <c r="EP346" i="2" s="1"/>
  <c r="EO272" i="2"/>
  <c r="EI431" i="2"/>
  <c r="EJ428" i="2" s="1"/>
  <c r="EJ430" i="2" s="1"/>
  <c r="EJ429" i="2" s="1"/>
  <c r="EM187" i="2"/>
  <c r="B3035" i="3"/>
  <c r="B3036" i="3" s="1"/>
  <c r="EO414" i="10"/>
  <c r="B50" i="30"/>
  <c r="EN87" i="2"/>
  <c r="EN161" i="1"/>
  <c r="EN163" i="1" s="1"/>
  <c r="EE184" i="10"/>
  <c r="EA395" i="10"/>
  <c r="EF116" i="2"/>
  <c r="EC67" i="2"/>
  <c r="EC43" i="4" s="1"/>
  <c r="EC46" i="4" s="1"/>
  <c r="EM35" i="2"/>
  <c r="EI126" i="2"/>
  <c r="EM127" i="2"/>
  <c r="EJ202" i="2"/>
  <c r="EN166" i="1"/>
  <c r="EJ59" i="2"/>
  <c r="EN183" i="1"/>
  <c r="EB67" i="2"/>
  <c r="EB43" i="4" s="1"/>
  <c r="EM34" i="2"/>
  <c r="E3426" i="3"/>
  <c r="EM348" i="2"/>
  <c r="EH45" i="4"/>
  <c r="EM78" i="2"/>
  <c r="EH414" i="10"/>
  <c r="EM330" i="2"/>
  <c r="EI305" i="2"/>
  <c r="EJ302" i="2" s="1"/>
  <c r="EJ318" i="2" s="1"/>
  <c r="EJ341" i="2" s="1"/>
  <c r="EM306" i="2"/>
  <c r="EJ172" i="1"/>
  <c r="EN137" i="1"/>
  <c r="EN138" i="1" s="1"/>
  <c r="EN154" i="1" s="1"/>
  <c r="EJ205" i="2"/>
  <c r="EN167" i="1"/>
  <c r="EJ27" i="2"/>
  <c r="EJ34" i="2" s="1"/>
  <c r="EN186" i="1"/>
  <c r="EH410" i="10"/>
  <c r="EM326" i="2"/>
  <c r="EH366" i="10"/>
  <c r="EM195" i="2"/>
  <c r="EH362" i="10"/>
  <c r="EM189" i="2"/>
  <c r="EJ340" i="2"/>
  <c r="EO348" i="2" s="1"/>
  <c r="EN169" i="1"/>
  <c r="EJ28" i="2"/>
  <c r="EN187" i="1"/>
  <c r="EJ109" i="4"/>
  <c r="EN109" i="4" s="1"/>
  <c r="EN255" i="1"/>
  <c r="EM324" i="2"/>
  <c r="EM484" i="2"/>
  <c r="EH378" i="10"/>
  <c r="EM213" i="2"/>
  <c r="EJ343" i="2"/>
  <c r="EN170" i="1"/>
  <c r="EJ291" i="1"/>
  <c r="EJ293" i="1" s="1"/>
  <c r="EJ294" i="1" s="1"/>
  <c r="EJ147" i="35" s="1"/>
  <c r="EN288" i="1"/>
  <c r="EN291" i="1" s="1"/>
  <c r="EN293" i="1" s="1"/>
  <c r="EH435" i="10"/>
  <c r="EM390" i="2"/>
  <c r="EE67" i="2"/>
  <c r="EE43" i="4" s="1"/>
  <c r="EF133" i="10"/>
  <c r="EH375" i="10"/>
  <c r="EM210" i="2"/>
  <c r="EJ57" i="1"/>
  <c r="EN51" i="1"/>
  <c r="EI271" i="2"/>
  <c r="EJ268" i="2" s="1"/>
  <c r="EN268" i="2" s="1"/>
  <c r="EM272" i="2"/>
  <c r="EH387" i="10"/>
  <c r="EM253" i="2"/>
  <c r="DZ67" i="2"/>
  <c r="DZ43" i="4" s="1"/>
  <c r="EJ57" i="2"/>
  <c r="EN181" i="1"/>
  <c r="EJ107" i="4"/>
  <c r="EN253" i="1"/>
  <c r="EJ177" i="1"/>
  <c r="EN177" i="1" s="1"/>
  <c r="EN179" i="1" s="1"/>
  <c r="EJ147" i="1"/>
  <c r="EN147" i="1" s="1"/>
  <c r="EN149" i="1" s="1"/>
  <c r="FE36" i="4"/>
  <c r="FF635" i="2"/>
  <c r="EE461" i="18"/>
  <c r="EB348" i="10"/>
  <c r="ER357" i="10"/>
  <c r="ER405" i="10"/>
  <c r="B44" i="30"/>
  <c r="EF588" i="2"/>
  <c r="EF590" i="2" s="1"/>
  <c r="B46" i="30"/>
  <c r="D46" i="30" s="1"/>
  <c r="ES117" i="4"/>
  <c r="ES173" i="4"/>
  <c r="DZ588" i="2"/>
  <c r="DZ590" i="2" s="1"/>
  <c r="B2972" i="3"/>
  <c r="B2974" i="3" s="1"/>
  <c r="B2982" i="3" s="1"/>
  <c r="F3035" i="3"/>
  <c r="F3036" i="3" s="1"/>
  <c r="B43" i="30"/>
  <c r="EC394" i="10"/>
  <c r="EI260" i="2"/>
  <c r="EJ257" i="2" s="1"/>
  <c r="EJ259" i="2" s="1"/>
  <c r="DU400" i="10"/>
  <c r="DU394" i="10"/>
  <c r="EB394" i="10"/>
  <c r="DW394" i="10"/>
  <c r="EA394" i="10"/>
  <c r="DV394" i="10"/>
  <c r="DY115" i="2"/>
  <c r="G115" i="29"/>
  <c r="EK116" i="2"/>
  <c r="DU346" i="10"/>
  <c r="EL116" i="2"/>
  <c r="DW346" i="10"/>
  <c r="D115" i="29"/>
  <c r="EI115" i="2"/>
  <c r="DW112" i="2"/>
  <c r="DW180" i="2" s="1"/>
  <c r="DW199" i="2" s="1"/>
  <c r="DY260" i="2"/>
  <c r="DZ257" i="2" s="1"/>
  <c r="ED257" i="2" s="1"/>
  <c r="EF257" i="2"/>
  <c r="EF259" i="2" s="1"/>
  <c r="EC137" i="2"/>
  <c r="EC136" i="2" s="1"/>
  <c r="EB139" i="2"/>
  <c r="EH96" i="2"/>
  <c r="EE91" i="2"/>
  <c r="EF91" i="2"/>
  <c r="EJ96" i="2"/>
  <c r="B2978" i="3"/>
  <c r="FB142" i="2"/>
  <c r="EL187" i="2"/>
  <c r="D3035" i="3"/>
  <c r="D3036" i="3" s="1"/>
  <c r="EK187" i="2"/>
  <c r="C3035" i="3"/>
  <c r="C3036" i="3" s="1"/>
  <c r="EH360" i="10"/>
  <c r="E3035" i="3"/>
  <c r="E3036" i="3" s="1"/>
  <c r="EG435" i="10"/>
  <c r="EL390" i="2"/>
  <c r="EG423" i="10"/>
  <c r="EL348" i="2"/>
  <c r="EG362" i="10"/>
  <c r="EL189" i="2"/>
  <c r="EH428" i="2"/>
  <c r="EH602" i="2" s="1"/>
  <c r="EL432" i="2"/>
  <c r="EH257" i="2"/>
  <c r="EH314" i="2" s="1"/>
  <c r="EH337" i="2" s="1"/>
  <c r="EL261" i="2"/>
  <c r="D3425" i="3"/>
  <c r="EL210" i="2"/>
  <c r="EG387" i="10"/>
  <c r="EL253" i="2"/>
  <c r="EH302" i="2"/>
  <c r="EH304" i="2" s="1"/>
  <c r="EH303" i="2" s="1"/>
  <c r="EL306" i="2"/>
  <c r="EG426" i="10"/>
  <c r="EL351" i="2"/>
  <c r="EH123" i="2"/>
  <c r="EH181" i="2" s="1"/>
  <c r="EH621" i="2" s="1"/>
  <c r="EL127" i="2"/>
  <c r="EG45" i="4"/>
  <c r="EL78" i="2"/>
  <c r="EG67" i="2"/>
  <c r="EG43" i="4" s="1"/>
  <c r="EL484" i="2"/>
  <c r="EJ364" i="1"/>
  <c r="ED114" i="1"/>
  <c r="EC140" i="2"/>
  <c r="EH190" i="10"/>
  <c r="EL414" i="10"/>
  <c r="EF366" i="10"/>
  <c r="ED348" i="10"/>
  <c r="ED397" i="10"/>
  <c r="EC307" i="2"/>
  <c r="EC348" i="10"/>
  <c r="EC397" i="10"/>
  <c r="EA298" i="18"/>
  <c r="DW257" i="2"/>
  <c r="DW314" i="2" s="1"/>
  <c r="DW337" i="2" s="1"/>
  <c r="EC298" i="18"/>
  <c r="EG38" i="4"/>
  <c r="EG40" i="4" s="1"/>
  <c r="EL41" i="4" s="1"/>
  <c r="EE127" i="2"/>
  <c r="EF362" i="10"/>
  <c r="EG127" i="2"/>
  <c r="EG543" i="2"/>
  <c r="EH543" i="2" s="1"/>
  <c r="EH657" i="18" s="1"/>
  <c r="EH655" i="18" s="1"/>
  <c r="ED297" i="18"/>
  <c r="EE299" i="18" s="1"/>
  <c r="DU208" i="10"/>
  <c r="EA263" i="10"/>
  <c r="DV112" i="2"/>
  <c r="DV114" i="2" s="1"/>
  <c r="DV113" i="2" s="1"/>
  <c r="EF105" i="10"/>
  <c r="EF387" i="10"/>
  <c r="EK253" i="2"/>
  <c r="EF378" i="10"/>
  <c r="EK213" i="2"/>
  <c r="EF67" i="2"/>
  <c r="EF43" i="4" s="1"/>
  <c r="EK484" i="2"/>
  <c r="EG123" i="2"/>
  <c r="EG181" i="2" s="1"/>
  <c r="EG621" i="2" s="1"/>
  <c r="EK127" i="2"/>
  <c r="EK100" i="2"/>
  <c r="EK574" i="2"/>
  <c r="EE139" i="2"/>
  <c r="EF397" i="10"/>
  <c r="EK306" i="2"/>
  <c r="EK112" i="2"/>
  <c r="C1100" i="3" s="1"/>
  <c r="C1102" i="3" s="1"/>
  <c r="C1110" i="3" s="1"/>
  <c r="EK117" i="2"/>
  <c r="C1109" i="3" s="1"/>
  <c r="EF185" i="10"/>
  <c r="EK262" i="2"/>
  <c r="EK257" i="2"/>
  <c r="EF45" i="4"/>
  <c r="EK78" i="2"/>
  <c r="EG257" i="2"/>
  <c r="EG259" i="2" s="1"/>
  <c r="EK261" i="2"/>
  <c r="EL357" i="10"/>
  <c r="EK135" i="2"/>
  <c r="EK140" i="2"/>
  <c r="EK428" i="2"/>
  <c r="EK430" i="2" s="1"/>
  <c r="EK414" i="10"/>
  <c r="EK330" i="2"/>
  <c r="EK302" i="2"/>
  <c r="EK307" i="2"/>
  <c r="EG428" i="2"/>
  <c r="EG602" i="2" s="1"/>
  <c r="EG608" i="2" s="1"/>
  <c r="EG161" i="10" s="1"/>
  <c r="EK432" i="2"/>
  <c r="EF375" i="10"/>
  <c r="EK210" i="2"/>
  <c r="EL408" i="10"/>
  <c r="EK364" i="1"/>
  <c r="D50" i="6"/>
  <c r="F50" i="6" s="1"/>
  <c r="G50" i="6" s="1"/>
  <c r="EC261" i="2"/>
  <c r="EC262" i="2"/>
  <c r="EG263" i="10"/>
  <c r="ED658" i="2"/>
  <c r="DU576" i="1"/>
  <c r="EH261" i="2"/>
  <c r="EF641" i="2"/>
  <c r="EH537" i="1"/>
  <c r="EJ588" i="2"/>
  <c r="EJ590" i="2" s="1"/>
  <c r="EJ591" i="2" s="1"/>
  <c r="C4567" i="3"/>
  <c r="EI51" i="1"/>
  <c r="DX394" i="10"/>
  <c r="EJ360" i="10"/>
  <c r="J3737" i="3"/>
  <c r="EE348" i="2"/>
  <c r="EH330" i="2"/>
  <c r="D4504" i="3"/>
  <c r="EI376" i="18" s="1"/>
  <c r="DJ5" i="4"/>
  <c r="EI147" i="4"/>
  <c r="ED661" i="2"/>
  <c r="DW600" i="1"/>
  <c r="DX346" i="10"/>
  <c r="C3737" i="3"/>
  <c r="EI113" i="4"/>
  <c r="EA190" i="10"/>
  <c r="EF655" i="18"/>
  <c r="EB167" i="4"/>
  <c r="EC242" i="18"/>
  <c r="EG133" i="10"/>
  <c r="D5022" i="3"/>
  <c r="EG117" i="2"/>
  <c r="EB104" i="10"/>
  <c r="E5921" i="3"/>
  <c r="EI136" i="4"/>
  <c r="EB38" i="4"/>
  <c r="EB40" i="4" s="1"/>
  <c r="A4784" i="3"/>
  <c r="EH100" i="2"/>
  <c r="DV588" i="2"/>
  <c r="DV590" i="2" s="1"/>
  <c r="DV591" i="2" s="1"/>
  <c r="E5208" i="3"/>
  <c r="DX397" i="2"/>
  <c r="DX173" i="10" s="1"/>
  <c r="B3737" i="3"/>
  <c r="G3469" i="3"/>
  <c r="EF253" i="2"/>
  <c r="EE96" i="2"/>
  <c r="EJ390" i="2"/>
  <c r="EF133" i="4"/>
  <c r="EE104" i="10"/>
  <c r="EF208" i="10"/>
  <c r="EE210" i="2"/>
  <c r="EE208" i="10"/>
  <c r="EF263" i="10"/>
  <c r="EI85" i="4"/>
  <c r="I3737" i="3"/>
  <c r="D3426" i="3"/>
  <c r="EH110" i="10"/>
  <c r="EG105" i="10"/>
  <c r="EE105" i="10"/>
  <c r="EI530" i="1"/>
  <c r="EA397" i="2"/>
  <c r="EA173" i="10" s="1"/>
  <c r="H115" i="29"/>
  <c r="EG202" i="4"/>
  <c r="EE347" i="10"/>
  <c r="EJ405" i="10"/>
  <c r="EI80" i="4"/>
  <c r="EE190" i="10"/>
  <c r="DU256" i="1"/>
  <c r="EB347" i="10"/>
  <c r="EN183" i="4"/>
  <c r="EF110" i="10"/>
  <c r="DX208" i="10"/>
  <c r="H25" i="22"/>
  <c r="H46" i="22" s="1"/>
  <c r="EH184" i="10"/>
  <c r="EG375" i="10"/>
  <c r="DV115" i="4"/>
  <c r="F5022" i="3"/>
  <c r="DJ5" i="18"/>
  <c r="DO5" i="1"/>
  <c r="C5165" i="3"/>
  <c r="F4349" i="3"/>
  <c r="F4974" i="3" s="1"/>
  <c r="DJ5" i="2"/>
  <c r="DU112" i="2"/>
  <c r="DU114" i="2" s="1"/>
  <c r="EB397" i="10"/>
  <c r="EH574" i="2"/>
  <c r="EA285" i="18"/>
  <c r="EA284" i="18" s="1"/>
  <c r="DX38" i="4"/>
  <c r="DX40" i="4" s="1"/>
  <c r="ED629" i="2"/>
  <c r="DW649" i="2"/>
  <c r="D4131" i="3"/>
  <c r="J4346" i="3"/>
  <c r="DU188" i="10"/>
  <c r="DX649" i="2"/>
  <c r="EH491" i="2"/>
  <c r="DU189" i="10"/>
  <c r="EC442" i="2"/>
  <c r="ED442" i="2" s="1"/>
  <c r="ED447" i="2" s="1"/>
  <c r="EG347" i="10"/>
  <c r="E5676" i="3"/>
  <c r="DW230" i="1"/>
  <c r="DW492" i="18"/>
  <c r="EG54" i="4"/>
  <c r="D5081" i="3"/>
  <c r="G5081" i="3"/>
  <c r="Z5990" i="3"/>
  <c r="EN179" i="4"/>
  <c r="EA167" i="4"/>
  <c r="EA600" i="2"/>
  <c r="EA622" i="2" s="1"/>
  <c r="DW104" i="10"/>
  <c r="EI587" i="2"/>
  <c r="EA97" i="4"/>
  <c r="ED97" i="4" s="1"/>
  <c r="DZ107" i="10"/>
  <c r="DU36" i="4"/>
  <c r="DU38" i="4" s="1"/>
  <c r="C3731" i="3"/>
  <c r="I4282" i="3"/>
  <c r="EF107" i="10"/>
  <c r="DR523" i="1"/>
  <c r="G5007" i="3"/>
  <c r="F4257" i="3"/>
  <c r="DU588" i="2"/>
  <c r="DU590" i="2" s="1"/>
  <c r="EB57" i="4"/>
  <c r="EI54" i="2"/>
  <c r="EF643" i="2"/>
  <c r="DX107" i="10"/>
  <c r="EA116" i="4"/>
  <c r="DX171" i="2"/>
  <c r="DY171" i="2" s="1"/>
  <c r="DY349" i="10" s="1"/>
  <c r="EI251" i="2"/>
  <c r="EI387" i="10" s="1"/>
  <c r="EI492" i="1"/>
  <c r="EI504" i="1" s="1"/>
  <c r="EG190" i="10"/>
  <c r="EB261" i="2"/>
  <c r="DX448" i="18"/>
  <c r="EA529" i="1"/>
  <c r="EA526" i="1" s="1"/>
  <c r="ED116" i="1"/>
  <c r="DX262" i="2"/>
  <c r="DX257" i="2"/>
  <c r="DX314" i="2" s="1"/>
  <c r="DX337" i="2" s="1"/>
  <c r="EB246" i="1"/>
  <c r="EC104" i="10"/>
  <c r="EC616" i="1"/>
  <c r="DX190" i="10"/>
  <c r="D5094" i="3"/>
  <c r="EB121" i="18"/>
  <c r="DU397" i="2"/>
  <c r="DU173" i="10" s="1"/>
  <c r="EC643" i="2"/>
  <c r="DV257" i="2"/>
  <c r="DV314" i="2" s="1"/>
  <c r="DV337" i="2" s="1"/>
  <c r="C141" i="11"/>
  <c r="AQ5747" i="3"/>
  <c r="I5844" i="3"/>
  <c r="I5852" i="3"/>
  <c r="EB70" i="2"/>
  <c r="EG187" i="2"/>
  <c r="EG142" i="18" s="1"/>
  <c r="EG250" i="18" s="1"/>
  <c r="EG249" i="18" s="1"/>
  <c r="EC397" i="2"/>
  <c r="ED397" i="2" s="1"/>
  <c r="EJ442" i="2"/>
  <c r="EO443" i="2" s="1"/>
  <c r="EG634" i="2"/>
  <c r="EG636" i="2" s="1"/>
  <c r="EE492" i="18"/>
  <c r="EN175" i="4"/>
  <c r="F5081" i="3"/>
  <c r="EA133" i="18"/>
  <c r="EI196" i="18"/>
  <c r="C5106" i="3"/>
  <c r="DV479" i="18"/>
  <c r="DV484" i="18" s="1"/>
  <c r="F3737" i="3"/>
  <c r="EG104" i="10"/>
  <c r="DW38" i="4"/>
  <c r="DW40" i="4" s="1"/>
  <c r="EH397" i="10"/>
  <c r="EC208" i="10"/>
  <c r="ED635" i="2"/>
  <c r="EC187" i="2"/>
  <c r="EI166" i="4"/>
  <c r="EE611" i="1"/>
  <c r="DV38" i="4"/>
  <c r="DV40" i="4" s="1"/>
  <c r="EE242" i="18"/>
  <c r="EH496" i="2"/>
  <c r="EC116" i="2"/>
  <c r="EA643" i="2"/>
  <c r="DX117" i="2"/>
  <c r="DZ399" i="18"/>
  <c r="DZ394" i="18" s="1"/>
  <c r="EC171" i="2"/>
  <c r="DW80" i="18"/>
  <c r="C4183" i="3"/>
  <c r="EF54" i="4"/>
  <c r="EG484" i="2"/>
  <c r="G5669" i="3"/>
  <c r="EF127" i="2"/>
  <c r="ED528" i="1"/>
  <c r="E5154" i="3"/>
  <c r="E5157" i="3" s="1"/>
  <c r="DW397" i="2"/>
  <c r="DW173" i="10" s="1"/>
  <c r="EB499" i="18"/>
  <c r="EB511" i="18"/>
  <c r="EH423" i="10"/>
  <c r="G5696" i="3"/>
  <c r="B5302" i="3"/>
  <c r="B5306" i="3" s="1"/>
  <c r="EB133" i="10"/>
  <c r="DX112" i="2"/>
  <c r="DX114" i="2" s="1"/>
  <c r="DX113" i="2" s="1"/>
  <c r="EI27" i="2"/>
  <c r="EN182" i="4"/>
  <c r="EI340" i="2"/>
  <c r="C3431" i="3" s="1"/>
  <c r="DU167" i="4"/>
  <c r="DU168" i="4" s="1"/>
  <c r="DW208" i="10"/>
  <c r="EC70" i="2"/>
  <c r="EI114" i="4"/>
  <c r="EF66" i="1"/>
  <c r="EF68" i="1" s="1"/>
  <c r="EF70" i="1" s="1"/>
  <c r="EF72" i="1" s="1"/>
  <c r="D3571" i="3"/>
  <c r="F5676" i="3"/>
  <c r="D3524" i="3"/>
  <c r="EH34" i="2"/>
  <c r="EH479" i="2"/>
  <c r="FI38" i="4"/>
  <c r="FI40" i="4" s="1"/>
  <c r="ES60" i="18" s="1"/>
  <c r="EB245" i="1"/>
  <c r="DV397" i="2"/>
  <c r="DV173" i="10" s="1"/>
  <c r="EF491" i="2"/>
  <c r="F4297" i="3"/>
  <c r="G5148" i="3"/>
  <c r="EI483" i="2"/>
  <c r="EA60" i="2"/>
  <c r="EA138" i="10" s="1"/>
  <c r="EE662" i="2"/>
  <c r="EI100" i="4"/>
  <c r="EI102" i="4"/>
  <c r="EB255" i="1"/>
  <c r="DW260" i="1"/>
  <c r="EA57" i="4"/>
  <c r="I5854" i="3"/>
  <c r="DV408" i="18"/>
  <c r="EI128" i="2"/>
  <c r="EI353" i="10" s="1"/>
  <c r="ED65" i="4"/>
  <c r="DY109" i="1"/>
  <c r="D5151" i="3"/>
  <c r="T4759" i="3"/>
  <c r="U4767" i="3"/>
  <c r="U4768" i="3" s="1"/>
  <c r="C25" i="20"/>
  <c r="C7" i="20" s="1"/>
  <c r="DZ506" i="1"/>
  <c r="D3203" i="3"/>
  <c r="EH168" i="4"/>
  <c r="C25" i="22"/>
  <c r="C7" i="22" s="1"/>
  <c r="F4503" i="3"/>
  <c r="F4504" i="3" s="1"/>
  <c r="EC294" i="18"/>
  <c r="EC296" i="18" s="1"/>
  <c r="EC295" i="18" s="1"/>
  <c r="ED53" i="4"/>
  <c r="DY57" i="1"/>
  <c r="DW262" i="2"/>
  <c r="EE656" i="18"/>
  <c r="EE655" i="18" s="1"/>
  <c r="EI71" i="4"/>
  <c r="EF436" i="2"/>
  <c r="EH371" i="18"/>
  <c r="EI371" i="18" s="1"/>
  <c r="EJ371" i="18" s="1"/>
  <c r="EJ425" i="18" s="1"/>
  <c r="E3425" i="3"/>
  <c r="EC133" i="10"/>
  <c r="EC570" i="1"/>
  <c r="DZ202" i="4"/>
  <c r="DW101" i="4"/>
  <c r="B5081" i="3"/>
  <c r="E4348" i="3"/>
  <c r="C4564" i="3"/>
  <c r="EC263" i="10"/>
  <c r="EA91" i="4"/>
  <c r="EA92" i="4" s="1"/>
  <c r="G5949" i="3"/>
  <c r="EB570" i="1"/>
  <c r="DX538" i="18"/>
  <c r="DX560" i="18" s="1"/>
  <c r="DV470" i="18"/>
  <c r="DU470" i="18" s="1"/>
  <c r="DU465" i="18" s="1"/>
  <c r="DV79" i="18"/>
  <c r="DV78" i="18" s="1"/>
  <c r="DV190" i="18" s="1"/>
  <c r="C5921" i="3"/>
  <c r="EI28" i="2"/>
  <c r="EA242" i="18"/>
  <c r="EC572" i="1"/>
  <c r="ED572" i="1" s="1"/>
  <c r="C5072" i="3"/>
  <c r="D4564" i="3"/>
  <c r="A4797" i="3"/>
  <c r="A4836" i="3"/>
  <c r="I5848" i="3"/>
  <c r="EI528" i="1"/>
  <c r="EA324" i="2"/>
  <c r="EH67" i="2"/>
  <c r="ED58" i="2"/>
  <c r="ED136" i="10" s="1"/>
  <c r="ED572" i="2"/>
  <c r="EI117" i="4"/>
  <c r="DX588" i="2"/>
  <c r="DX590" i="2" s="1"/>
  <c r="DX591" i="2" s="1"/>
  <c r="A4809" i="3"/>
  <c r="C5593" i="3"/>
  <c r="B5593" i="3" s="1"/>
  <c r="F3537" i="3"/>
  <c r="EF348" i="2"/>
  <c r="EH133" i="10"/>
  <c r="N4282" i="3"/>
  <c r="M4304" i="3"/>
  <c r="N4314" i="3" s="1"/>
  <c r="A4773" i="3"/>
  <c r="A4803" i="3"/>
  <c r="B5162" i="3"/>
  <c r="B5173" i="3" s="1"/>
  <c r="B5570" i="3"/>
  <c r="B5571" i="3" s="1"/>
  <c r="C5611" i="3"/>
  <c r="G6027" i="3"/>
  <c r="G6042" i="3" s="1"/>
  <c r="DX479" i="18"/>
  <c r="DY479" i="18" s="1"/>
  <c r="DZ476" i="18" s="1"/>
  <c r="ED476" i="18" s="1"/>
  <c r="G3737" i="3"/>
  <c r="EB294" i="18"/>
  <c r="EB296" i="18" s="1"/>
  <c r="EB295" i="18" s="1"/>
  <c r="DZ395" i="10"/>
  <c r="EH326" i="2"/>
  <c r="ED136" i="1"/>
  <c r="EI53" i="4"/>
  <c r="EA70" i="2"/>
  <c r="EG642" i="2"/>
  <c r="EJ408" i="10"/>
  <c r="EH408" i="10"/>
  <c r="E5703" i="3"/>
  <c r="EH353" i="10"/>
  <c r="EE107" i="10"/>
  <c r="EF38" i="4"/>
  <c r="EF40" i="4" s="1"/>
  <c r="H5676" i="3"/>
  <c r="EA38" i="4"/>
  <c r="EA40" i="4" s="1"/>
  <c r="E5022" i="3"/>
  <c r="EA202" i="4"/>
  <c r="EA203" i="4" s="1"/>
  <c r="DQ527" i="1"/>
  <c r="G4247" i="3"/>
  <c r="J4304" i="3"/>
  <c r="J4314" i="3" s="1"/>
  <c r="E4564" i="3"/>
  <c r="C4834" i="3"/>
  <c r="I5845" i="3"/>
  <c r="EE472" i="18"/>
  <c r="EE467" i="18" s="1"/>
  <c r="EC574" i="18"/>
  <c r="EC511" i="18"/>
  <c r="DW228" i="18"/>
  <c r="DW227" i="18" s="1"/>
  <c r="EA347" i="10"/>
  <c r="EH127" i="2"/>
  <c r="EH395" i="10"/>
  <c r="DZ36" i="4"/>
  <c r="DZ38" i="4" s="1"/>
  <c r="E5669" i="3"/>
  <c r="C5006" i="3"/>
  <c r="EB190" i="10"/>
  <c r="E5094" i="3"/>
  <c r="E4349" i="3"/>
  <c r="E4504" i="3"/>
  <c r="EJ376" i="18" s="1"/>
  <c r="A4779" i="3"/>
  <c r="A4822" i="3"/>
  <c r="A4815" i="3"/>
  <c r="D4834" i="3"/>
  <c r="I5549" i="3"/>
  <c r="EE91" i="18"/>
  <c r="EE125" i="18" s="1"/>
  <c r="DZ511" i="18"/>
  <c r="EE511" i="18"/>
  <c r="EC543" i="18"/>
  <c r="B249" i="24"/>
  <c r="E8" i="25"/>
  <c r="B41" i="25" s="1"/>
  <c r="EE121" i="18"/>
  <c r="EC269" i="18"/>
  <c r="EG318" i="2"/>
  <c r="EG341" i="2" s="1"/>
  <c r="EL349" i="2" s="1"/>
  <c r="EF370" i="2"/>
  <c r="EH394" i="10"/>
  <c r="G5676" i="3"/>
  <c r="E3731" i="3"/>
  <c r="DS523" i="1"/>
  <c r="C4504" i="3"/>
  <c r="C4505" i="3" s="1"/>
  <c r="EA499" i="18"/>
  <c r="EB574" i="18"/>
  <c r="EA217" i="18"/>
  <c r="EA216" i="18" s="1"/>
  <c r="EG397" i="10"/>
  <c r="EC347" i="10"/>
  <c r="I153" i="19"/>
  <c r="EJ38" i="4"/>
  <c r="EJ40" i="4" s="1"/>
  <c r="EO41" i="4" s="1"/>
  <c r="DX111" i="18"/>
  <c r="DX106" i="18"/>
  <c r="DX108" i="18" s="1"/>
  <c r="DX107" i="18" s="1"/>
  <c r="EC428" i="2"/>
  <c r="EC430" i="2" s="1"/>
  <c r="EH357" i="10"/>
  <c r="EA91" i="2"/>
  <c r="C7" i="29" s="1"/>
  <c r="EA96" i="2"/>
  <c r="EC112" i="2"/>
  <c r="EC180" i="2" s="1"/>
  <c r="EC488" i="2" s="1"/>
  <c r="E115" i="29"/>
  <c r="EB116" i="2"/>
  <c r="E3469" i="3"/>
  <c r="EB208" i="10"/>
  <c r="EB397" i="2"/>
  <c r="EB346" i="10"/>
  <c r="EB171" i="2"/>
  <c r="EB117" i="2"/>
  <c r="DV107" i="4"/>
  <c r="DV112" i="10" s="1"/>
  <c r="DV141" i="10" s="1"/>
  <c r="DV256" i="1"/>
  <c r="DX259" i="1"/>
  <c r="DV113" i="4"/>
  <c r="EA116" i="10"/>
  <c r="EA198" i="4"/>
  <c r="DU131" i="18"/>
  <c r="DU137" i="18" s="1"/>
  <c r="DU427" i="18"/>
  <c r="DU435" i="18" s="1"/>
  <c r="DZ256" i="1"/>
  <c r="DZ107" i="4"/>
  <c r="DZ110" i="4" s="1"/>
  <c r="EA108" i="4"/>
  <c r="EB254" i="1"/>
  <c r="EB108" i="35" s="1"/>
  <c r="H4346" i="3"/>
  <c r="H4282" i="3"/>
  <c r="EB591" i="1"/>
  <c r="ED587" i="1"/>
  <c r="EB428" i="2"/>
  <c r="EB602" i="2" s="1"/>
  <c r="EF432" i="2"/>
  <c r="DW360" i="10"/>
  <c r="EB187" i="2"/>
  <c r="EE642" i="2"/>
  <c r="DZ642" i="2"/>
  <c r="ED632" i="2"/>
  <c r="EF187" i="2"/>
  <c r="EA360" i="10"/>
  <c r="EB257" i="2"/>
  <c r="EB259" i="2" s="1"/>
  <c r="EB258" i="2" s="1"/>
  <c r="EB262" i="2"/>
  <c r="EA261" i="2"/>
  <c r="EK129" i="10"/>
  <c r="EG232" i="2"/>
  <c r="EF233" i="2"/>
  <c r="EI138" i="2"/>
  <c r="EJ140" i="2" s="1"/>
  <c r="EH348" i="10"/>
  <c r="EH139" i="2"/>
  <c r="EH171" i="2"/>
  <c r="DZ353" i="10"/>
  <c r="DZ410" i="2"/>
  <c r="EI343" i="2"/>
  <c r="EI426" i="10" s="1"/>
  <c r="EH426" i="10"/>
  <c r="EH351" i="2"/>
  <c r="EH263" i="10"/>
  <c r="EA435" i="18"/>
  <c r="EB424" i="18"/>
  <c r="EB494" i="18" s="1"/>
  <c r="EA429" i="18"/>
  <c r="EF97" i="4"/>
  <c r="EF104" i="10"/>
  <c r="B5967" i="3"/>
  <c r="B5968" i="3" s="1"/>
  <c r="EE634" i="2"/>
  <c r="EI634" i="2" s="1"/>
  <c r="EI633" i="2"/>
  <c r="DX591" i="1"/>
  <c r="EH107" i="4"/>
  <c r="EH110" i="4" s="1"/>
  <c r="EH256" i="1"/>
  <c r="DX149" i="18"/>
  <c r="DX32" i="18" s="1"/>
  <c r="D5219" i="3"/>
  <c r="E5219" i="3" s="1"/>
  <c r="E5220" i="3" s="1"/>
  <c r="E5222" i="3" s="1"/>
  <c r="E5224" i="3" s="1"/>
  <c r="E5226" i="3" s="1"/>
  <c r="C5220" i="3"/>
  <c r="C5222" i="3" s="1"/>
  <c r="C5224" i="3" s="1"/>
  <c r="C5226" i="3" s="1"/>
  <c r="B4946" i="3"/>
  <c r="B4457" i="3"/>
  <c r="B4458" i="3" s="1"/>
  <c r="EB215" i="18"/>
  <c r="EB217" i="18" s="1"/>
  <c r="EB216" i="18" s="1"/>
  <c r="EF219" i="18"/>
  <c r="EC588" i="2"/>
  <c r="EC590" i="2" s="1"/>
  <c r="EC591" i="2" s="1"/>
  <c r="A4789" i="3"/>
  <c r="A4783" i="3"/>
  <c r="A4808" i="3"/>
  <c r="A4802" i="3"/>
  <c r="A4778" i="3"/>
  <c r="A4796" i="3"/>
  <c r="A4814" i="3"/>
  <c r="A4772" i="3"/>
  <c r="EL142" i="18"/>
  <c r="EM142" i="18" s="1"/>
  <c r="EM250" i="18" s="1"/>
  <c r="EK250" i="18"/>
  <c r="DU405" i="10"/>
  <c r="DU649" i="2"/>
  <c r="DY649" i="2" s="1"/>
  <c r="DZ529" i="1"/>
  <c r="DZ526" i="1" s="1"/>
  <c r="EB529" i="1"/>
  <c r="EB526" i="1" s="1"/>
  <c r="F5606" i="3"/>
  <c r="I3175" i="3"/>
  <c r="EI491" i="1"/>
  <c r="EI503" i="1" s="1"/>
  <c r="B4940" i="3"/>
  <c r="C3573" i="3"/>
  <c r="EE60" i="2"/>
  <c r="EE138" i="10" s="1"/>
  <c r="EC634" i="2"/>
  <c r="EC636" i="2" s="1"/>
  <c r="B5509" i="3"/>
  <c r="B5512" i="3" s="1"/>
  <c r="ED39" i="4"/>
  <c r="EA588" i="2"/>
  <c r="EA590" i="2" s="1"/>
  <c r="EA591" i="2" s="1"/>
  <c r="EB523" i="1"/>
  <c r="EB533" i="1" s="1"/>
  <c r="DX57" i="4"/>
  <c r="DU58" i="2"/>
  <c r="B4957" i="3"/>
  <c r="B4801" i="3" s="1"/>
  <c r="D5129" i="3"/>
  <c r="H5990" i="3"/>
  <c r="DX574" i="18"/>
  <c r="EA243" i="18"/>
  <c r="H25" i="21"/>
  <c r="H46" i="21" s="1"/>
  <c r="B3573" i="3"/>
  <c r="EB662" i="2"/>
  <c r="EG189" i="2"/>
  <c r="EE491" i="2"/>
  <c r="EB588" i="2"/>
  <c r="EB590" i="2" s="1"/>
  <c r="EB591" i="2" s="1"/>
  <c r="DS527" i="1"/>
  <c r="DS526" i="1" s="1"/>
  <c r="DU263" i="10"/>
  <c r="DZ104" i="10"/>
  <c r="DY94" i="1"/>
  <c r="ED256" i="1"/>
  <c r="EA543" i="18"/>
  <c r="C31" i="25"/>
  <c r="DU78" i="18"/>
  <c r="DU190" i="18" s="1"/>
  <c r="D3737" i="3"/>
  <c r="E5696" i="3"/>
  <c r="G5601" i="3"/>
  <c r="DX104" i="10"/>
  <c r="DZ523" i="1"/>
  <c r="DZ533" i="1" s="1"/>
  <c r="DU176" i="4"/>
  <c r="DU180" i="4" s="1"/>
  <c r="EA176" i="4"/>
  <c r="EA180" i="4" s="1"/>
  <c r="ED90" i="1"/>
  <c r="EG78" i="2"/>
  <c r="EC38" i="4"/>
  <c r="EC40" i="4" s="1"/>
  <c r="F154" i="11"/>
  <c r="G154" i="11" s="1"/>
  <c r="H154" i="11" s="1"/>
  <c r="I154" i="11" s="1"/>
  <c r="J154" i="11" s="1"/>
  <c r="K154" i="11" s="1"/>
  <c r="L154" i="11" s="1"/>
  <c r="M154" i="11" s="1"/>
  <c r="N154" i="11" s="1"/>
  <c r="O154" i="11" s="1"/>
  <c r="P154" i="11" s="1"/>
  <c r="EE570" i="1"/>
  <c r="EI570" i="1" s="1"/>
  <c r="N4400" i="3"/>
  <c r="N4399" i="3" s="1"/>
  <c r="E4750" i="3"/>
  <c r="C5922" i="3"/>
  <c r="EI83" i="1"/>
  <c r="DZ549" i="18"/>
  <c r="C3625" i="3"/>
  <c r="DW73" i="18"/>
  <c r="DW74" i="18" s="1"/>
  <c r="EE34" i="2"/>
  <c r="DZ149" i="4"/>
  <c r="DY635" i="2"/>
  <c r="EI84" i="1"/>
  <c r="DV538" i="18"/>
  <c r="DV560" i="18" s="1"/>
  <c r="EC539" i="18"/>
  <c r="EC563" i="18" s="1"/>
  <c r="DU574" i="18"/>
  <c r="DY574" i="18" s="1"/>
  <c r="EE195" i="2"/>
  <c r="EG100" i="2"/>
  <c r="E235" i="6"/>
  <c r="L4346" i="3"/>
  <c r="L4282" i="3"/>
  <c r="B4286" i="3"/>
  <c r="B4299" i="3" s="1"/>
  <c r="EA185" i="4"/>
  <c r="E4247" i="3"/>
  <c r="EC129" i="10"/>
  <c r="EJ366" i="10"/>
  <c r="B3283" i="3"/>
  <c r="DX263" i="1"/>
  <c r="DV117" i="4"/>
  <c r="ED536" i="1"/>
  <c r="EA166" i="4"/>
  <c r="EA13" i="32" s="1"/>
  <c r="EB273" i="1"/>
  <c r="EB239" i="1"/>
  <c r="EA98" i="4"/>
  <c r="ED587" i="2"/>
  <c r="DZ592" i="2" s="1"/>
  <c r="EB105" i="10"/>
  <c r="L4400" i="3"/>
  <c r="L4507" i="3"/>
  <c r="L4401" i="3"/>
  <c r="M4503" i="3"/>
  <c r="M4564" i="3" s="1"/>
  <c r="L4504" i="3"/>
  <c r="L4644" i="3" s="1"/>
  <c r="M4644" i="3" s="1"/>
  <c r="EG294" i="18"/>
  <c r="EG296" i="18" s="1"/>
  <c r="EF298" i="18"/>
  <c r="EG135" i="2"/>
  <c r="EG439" i="2" s="1"/>
  <c r="EF140" i="2"/>
  <c r="EE405" i="10"/>
  <c r="EB91" i="2"/>
  <c r="D21" i="29" s="1"/>
  <c r="EB96" i="2"/>
  <c r="EE360" i="10"/>
  <c r="EL360" i="10"/>
  <c r="EG360" i="10"/>
  <c r="F3469" i="3"/>
  <c r="F115" i="29"/>
  <c r="EH116" i="2"/>
  <c r="EC117" i="2"/>
  <c r="EC346" i="10"/>
  <c r="EE59" i="1"/>
  <c r="EE69" i="35" s="1"/>
  <c r="EI57" i="1"/>
  <c r="B4321" i="3"/>
  <c r="C4294" i="3"/>
  <c r="D4294" i="3" s="1"/>
  <c r="E4294" i="3" s="1"/>
  <c r="F4294" i="3" s="1"/>
  <c r="G4294" i="3" s="1"/>
  <c r="H4294" i="3" s="1"/>
  <c r="I4294" i="3" s="1"/>
  <c r="J4294" i="3" s="1"/>
  <c r="K4294" i="3" s="1"/>
  <c r="L4294" i="3" s="1"/>
  <c r="M4294" i="3" s="1"/>
  <c r="N4294" i="3" s="1"/>
  <c r="EF642" i="2"/>
  <c r="EA634" i="2"/>
  <c r="EA639" i="2" s="1"/>
  <c r="ED108" i="1"/>
  <c r="DU105" i="10"/>
  <c r="DV167" i="4"/>
  <c r="DV168" i="4" s="1"/>
  <c r="DV107" i="10"/>
  <c r="DX523" i="1"/>
  <c r="DX533" i="1" s="1"/>
  <c r="DX527" i="1"/>
  <c r="DY527" i="1" s="1"/>
  <c r="M4282" i="3"/>
  <c r="M4346" i="3"/>
  <c r="EC197" i="4"/>
  <c r="ED171" i="4"/>
  <c r="EG66" i="1"/>
  <c r="EG68" i="1" s="1"/>
  <c r="EG70" i="1" s="1"/>
  <c r="EG71" i="1" s="1"/>
  <c r="EI216" i="1"/>
  <c r="EH220" i="1"/>
  <c r="EI220" i="1" s="1"/>
  <c r="EM129" i="10"/>
  <c r="DX445" i="18"/>
  <c r="DX444" i="18" s="1"/>
  <c r="DX495" i="18"/>
  <c r="EB643" i="2"/>
  <c r="EG643" i="2"/>
  <c r="DY171" i="4"/>
  <c r="DX197" i="4"/>
  <c r="DY197" i="4" s="1"/>
  <c r="DY116" i="10" s="1"/>
  <c r="C140" i="13"/>
  <c r="DZ346" i="10"/>
  <c r="EA117" i="2"/>
  <c r="B215" i="11"/>
  <c r="EE116" i="2"/>
  <c r="DZ116" i="2"/>
  <c r="EG408" i="10"/>
  <c r="G4131" i="3"/>
  <c r="DV492" i="18"/>
  <c r="DU492" i="18"/>
  <c r="H135" i="6"/>
  <c r="I4131" i="3"/>
  <c r="EC641" i="2"/>
  <c r="A6023" i="3"/>
  <c r="A6038" i="3" s="1"/>
  <c r="A6037" i="3"/>
  <c r="EB91" i="18"/>
  <c r="EB136" i="18" s="1"/>
  <c r="EB371" i="18"/>
  <c r="EB375" i="18" s="1"/>
  <c r="EK212" i="18"/>
  <c r="EL113" i="18"/>
  <c r="DV360" i="10"/>
  <c r="EA187" i="2"/>
  <c r="EB263" i="10"/>
  <c r="DV116" i="4"/>
  <c r="EB634" i="2"/>
  <c r="EB636" i="2" s="1"/>
  <c r="E5081" i="3"/>
  <c r="D4401" i="3"/>
  <c r="G4401" i="3"/>
  <c r="G4399" i="3" s="1"/>
  <c r="G4507" i="3"/>
  <c r="G4405" i="3"/>
  <c r="J3731" i="3"/>
  <c r="EE354" i="18"/>
  <c r="DV397" i="10"/>
  <c r="F3197" i="3"/>
  <c r="G3197" i="3" s="1"/>
  <c r="H3197" i="3" s="1"/>
  <c r="H3201" i="3" s="1"/>
  <c r="E3199" i="3"/>
  <c r="B4848" i="3"/>
  <c r="B4850" i="3" s="1"/>
  <c r="B5763" i="3"/>
  <c r="G5740" i="3"/>
  <c r="B5764" i="3" s="1"/>
  <c r="DW262" i="1"/>
  <c r="EA102" i="4"/>
  <c r="F4405" i="3"/>
  <c r="F4400" i="3"/>
  <c r="F4507" i="3"/>
  <c r="E5763" i="3"/>
  <c r="J5745" i="3"/>
  <c r="L5745" i="3" s="1"/>
  <c r="L5739" i="3" s="1"/>
  <c r="DZ208" i="10"/>
  <c r="EB641" i="2"/>
  <c r="DY572" i="2"/>
  <c r="EA256" i="1"/>
  <c r="F4247" i="3"/>
  <c r="G21" i="13"/>
  <c r="C21" i="13"/>
  <c r="ED457" i="18"/>
  <c r="EE454" i="18" s="1"/>
  <c r="EE538" i="18" s="1"/>
  <c r="EE560" i="18" s="1"/>
  <c r="EC479" i="18"/>
  <c r="EB465" i="18"/>
  <c r="EB467" i="18" s="1"/>
  <c r="EB466" i="18" s="1"/>
  <c r="EA479" i="18"/>
  <c r="EB476" i="18" s="1"/>
  <c r="ED581" i="1"/>
  <c r="DV149" i="18"/>
  <c r="DV32" i="18" s="1"/>
  <c r="H3225" i="3"/>
  <c r="EE187" i="2"/>
  <c r="E5000" i="3"/>
  <c r="C126" i="11"/>
  <c r="EE641" i="2"/>
  <c r="G4348" i="3"/>
  <c r="H4304" i="3"/>
  <c r="H4314" i="3" s="1"/>
  <c r="H4251" i="3"/>
  <c r="A4835" i="3"/>
  <c r="B4216" i="3"/>
  <c r="B4217" i="3" s="1"/>
  <c r="DV80" i="18"/>
  <c r="DU80" i="18" s="1"/>
  <c r="EA405" i="18"/>
  <c r="EA408" i="18"/>
  <c r="DY576" i="18"/>
  <c r="EC470" i="18"/>
  <c r="DV228" i="18"/>
  <c r="DV227" i="18" s="1"/>
  <c r="EE171" i="2"/>
  <c r="EA146" i="18"/>
  <c r="EA269" i="18"/>
  <c r="EC273" i="18"/>
  <c r="EG210" i="2"/>
  <c r="EJ127" i="2"/>
  <c r="DX265" i="1"/>
  <c r="C65" i="11"/>
  <c r="DX58" i="2"/>
  <c r="EB230" i="1"/>
  <c r="F148" i="24"/>
  <c r="F155" i="24" s="1"/>
  <c r="C5643" i="3"/>
  <c r="C5616" i="3" s="1"/>
  <c r="F5947" i="3"/>
  <c r="C5866" i="3" s="1"/>
  <c r="EE57" i="4"/>
  <c r="I5990" i="3"/>
  <c r="H6028" i="3"/>
  <c r="H6043" i="3" s="1"/>
  <c r="EA407" i="18"/>
  <c r="DW527" i="18"/>
  <c r="DW572" i="18" s="1"/>
  <c r="DV349" i="18"/>
  <c r="H25" i="20"/>
  <c r="H46" i="20" s="1"/>
  <c r="EE348" i="10"/>
  <c r="EE423" i="10"/>
  <c r="DU16" i="4"/>
  <c r="EI168" i="1"/>
  <c r="D19" i="6"/>
  <c r="E19" i="6" s="1"/>
  <c r="C84" i="11"/>
  <c r="E5952" i="3"/>
  <c r="DU662" i="2"/>
  <c r="EI86" i="1"/>
  <c r="DU399" i="2"/>
  <c r="EI116" i="4"/>
  <c r="DZ461" i="18"/>
  <c r="DZ456" i="18" s="1"/>
  <c r="DZ455" i="18" s="1"/>
  <c r="DX285" i="18"/>
  <c r="DX284" i="18" s="1"/>
  <c r="DX408" i="18"/>
  <c r="EA494" i="18"/>
  <c r="EC353" i="18"/>
  <c r="DV574" i="18"/>
  <c r="DZ574" i="18"/>
  <c r="ED574" i="18" s="1"/>
  <c r="DU353" i="18"/>
  <c r="EE549" i="18"/>
  <c r="E3737" i="3"/>
  <c r="DZ283" i="18"/>
  <c r="ED283" i="18" s="1"/>
  <c r="EG113" i="18"/>
  <c r="EG212" i="18" s="1"/>
  <c r="DX158" i="18"/>
  <c r="DX36" i="18" s="1"/>
  <c r="EF146" i="18"/>
  <c r="EF254" i="18" s="1"/>
  <c r="EF253" i="18" s="1"/>
  <c r="EF305" i="18" s="1"/>
  <c r="EF52" i="18" s="1"/>
  <c r="EF269" i="18"/>
  <c r="EG269" i="18" s="1"/>
  <c r="EH269" i="18" s="1"/>
  <c r="EH268" i="18" s="1"/>
  <c r="EE351" i="2"/>
  <c r="DX16" i="4"/>
  <c r="EL129" i="10"/>
  <c r="EH173" i="1"/>
  <c r="EH189" i="1" s="1"/>
  <c r="EH188" i="1" s="1"/>
  <c r="ED142" i="1"/>
  <c r="ED144" i="1" s="1"/>
  <c r="B5352" i="3"/>
  <c r="D5676" i="3"/>
  <c r="C99" i="11"/>
  <c r="DZ185" i="4"/>
  <c r="EB242" i="18"/>
  <c r="EI237" i="1"/>
  <c r="DZ543" i="18"/>
  <c r="EA574" i="18"/>
  <c r="B3425" i="3"/>
  <c r="B3427" i="3" s="1"/>
  <c r="EB362" i="10"/>
  <c r="F3179" i="3"/>
  <c r="E3205" i="3"/>
  <c r="F3205" i="3" s="1"/>
  <c r="G3205" i="3" s="1"/>
  <c r="EJ120" i="4"/>
  <c r="DZ168" i="4"/>
  <c r="C53" i="11"/>
  <c r="DY97" i="1"/>
  <c r="ED83" i="1"/>
  <c r="EC57" i="4"/>
  <c r="H5650" i="3"/>
  <c r="EI88" i="1"/>
  <c r="DV262" i="2"/>
  <c r="DY410" i="18"/>
  <c r="DY472" i="18" s="1"/>
  <c r="DZ125" i="18"/>
  <c r="EA490" i="18"/>
  <c r="EA528" i="18" s="1"/>
  <c r="B35" i="25"/>
  <c r="ED288" i="18"/>
  <c r="EE140" i="2"/>
  <c r="EI131" i="4"/>
  <c r="EA138" i="1"/>
  <c r="EA154" i="1" s="1"/>
  <c r="EA153" i="1" s="1"/>
  <c r="EE574" i="18"/>
  <c r="EA250" i="18"/>
  <c r="EF220" i="18"/>
  <c r="ED131" i="4"/>
  <c r="DY105" i="2"/>
  <c r="EK360" i="10"/>
  <c r="C3279" i="3"/>
  <c r="C5080" i="3"/>
  <c r="C4147" i="3"/>
  <c r="C4150" i="3" s="1"/>
  <c r="F4348" i="3"/>
  <c r="D102" i="13"/>
  <c r="E102" i="13" s="1"/>
  <c r="C5230" i="3"/>
  <c r="C5232" i="3" s="1"/>
  <c r="C5234" i="3" s="1"/>
  <c r="C5236" i="3" s="1"/>
  <c r="C5238" i="3" s="1"/>
  <c r="ED606" i="1"/>
  <c r="EE122" i="18"/>
  <c r="B107" i="24"/>
  <c r="B110" i="24" s="1"/>
  <c r="B117" i="24" s="1"/>
  <c r="EB26" i="4"/>
  <c r="EB28" i="4" s="1"/>
  <c r="D178" i="19"/>
  <c r="D140" i="29"/>
  <c r="EI149" i="1"/>
  <c r="EC182" i="2"/>
  <c r="EC203" i="2" s="1"/>
  <c r="EC376" i="10" s="1"/>
  <c r="C4248" i="3"/>
  <c r="P4291" i="3"/>
  <c r="F5248" i="3"/>
  <c r="F5250" i="3" s="1"/>
  <c r="F5249" i="3" s="1"/>
  <c r="AQ5748" i="3"/>
  <c r="EE353" i="18"/>
  <c r="B129" i="24"/>
  <c r="EI97" i="1"/>
  <c r="C3524" i="3"/>
  <c r="DZ173" i="1"/>
  <c r="DZ189" i="1" s="1"/>
  <c r="DZ188" i="1" s="1"/>
  <c r="EB129" i="10"/>
  <c r="EH38" i="4"/>
  <c r="EH40" i="4" s="1"/>
  <c r="C4320" i="3"/>
  <c r="C4291" i="3"/>
  <c r="Q4291" i="3" s="1"/>
  <c r="B4855" i="3"/>
  <c r="K5746" i="3"/>
  <c r="P5753" i="3" s="1"/>
  <c r="F5905" i="3"/>
  <c r="DV616" i="1"/>
  <c r="EE89" i="4"/>
  <c r="EE87" i="4" s="1"/>
  <c r="EF89" i="4" s="1"/>
  <c r="K5739" i="3"/>
  <c r="P5745" i="3" s="1"/>
  <c r="B4941" i="3"/>
  <c r="DY72" i="4"/>
  <c r="ED78" i="4"/>
  <c r="G148" i="24"/>
  <c r="G155" i="24" s="1"/>
  <c r="Z5746" i="3"/>
  <c r="S5753" i="3" s="1"/>
  <c r="B6018" i="3"/>
  <c r="B6044" i="3" s="1"/>
  <c r="AA5990" i="3"/>
  <c r="G5990" i="3"/>
  <c r="DX611" i="1"/>
  <c r="EB374" i="18"/>
  <c r="EB378" i="18" s="1"/>
  <c r="EB429" i="18"/>
  <c r="EA273" i="18"/>
  <c r="EC139" i="2"/>
  <c r="EE138" i="1"/>
  <c r="EE154" i="1" s="1"/>
  <c r="EE153" i="1" s="1"/>
  <c r="I3177" i="3"/>
  <c r="D160" i="19"/>
  <c r="ED104" i="1"/>
  <c r="D4147" i="3"/>
  <c r="D4152" i="3" s="1"/>
  <c r="C5152" i="3"/>
  <c r="DZ606" i="18"/>
  <c r="DW296" i="18"/>
  <c r="DW295" i="18" s="1"/>
  <c r="EF353" i="18"/>
  <c r="EF355" i="18" s="1"/>
  <c r="M3444" i="3"/>
  <c r="D5921" i="3"/>
  <c r="AJ5747" i="3"/>
  <c r="U5754" i="3" s="1"/>
  <c r="B4904" i="3"/>
  <c r="H5855" i="3"/>
  <c r="F5952" i="3"/>
  <c r="B5867" i="3" s="1"/>
  <c r="C5998" i="3"/>
  <c r="C96" i="24"/>
  <c r="DY138" i="2"/>
  <c r="DZ140" i="2" s="1"/>
  <c r="EG348" i="2"/>
  <c r="EJ55" i="2"/>
  <c r="E206" i="6"/>
  <c r="E208" i="6" s="1"/>
  <c r="DX354" i="18"/>
  <c r="DW279" i="1"/>
  <c r="B6037" i="3"/>
  <c r="EK124" i="18"/>
  <c r="EK290" i="18" s="1"/>
  <c r="DZ376" i="18"/>
  <c r="EC447" i="18"/>
  <c r="DX305" i="18"/>
  <c r="DX52" i="18" s="1"/>
  <c r="C124" i="24"/>
  <c r="C147" i="24" s="1"/>
  <c r="C158" i="24" s="1"/>
  <c r="I3520" i="3"/>
  <c r="K3520" i="3" s="1"/>
  <c r="K3519" i="3" s="1"/>
  <c r="EC503" i="1"/>
  <c r="EJ326" i="2"/>
  <c r="C5118" i="3"/>
  <c r="H5611" i="3"/>
  <c r="K5747" i="3"/>
  <c r="P5754" i="3" s="1"/>
  <c r="DV305" i="18"/>
  <c r="DV52" i="18" s="1"/>
  <c r="EI555" i="1"/>
  <c r="EJ69" i="2"/>
  <c r="EO78" i="2" s="1"/>
  <c r="L151" i="6"/>
  <c r="EI44" i="18"/>
  <c r="B4934" i="3"/>
  <c r="D5230" i="3"/>
  <c r="D5232" i="3" s="1"/>
  <c r="D5234" i="3" s="1"/>
  <c r="D5236" i="3" s="1"/>
  <c r="D5238" i="3" s="1"/>
  <c r="C5146" i="3"/>
  <c r="E4749" i="3"/>
  <c r="G4749" i="3"/>
  <c r="G4873" i="3"/>
  <c r="H4873" i="3" s="1"/>
  <c r="B4876" i="3"/>
  <c r="EG184" i="1"/>
  <c r="EG58" i="2"/>
  <c r="EG136" i="10" s="1"/>
  <c r="EF78" i="2"/>
  <c r="EF70" i="2"/>
  <c r="F5696" i="3"/>
  <c r="B5165" i="3"/>
  <c r="D5650" i="3"/>
  <c r="P5747" i="3"/>
  <c r="Q5754" i="3" s="1"/>
  <c r="C5772" i="3"/>
  <c r="B5915" i="3"/>
  <c r="B5917" i="3"/>
  <c r="B5918" i="3"/>
  <c r="E5998" i="3"/>
  <c r="Q5990" i="3"/>
  <c r="DY468" i="18"/>
  <c r="ED469" i="18" s="1"/>
  <c r="EC469" i="18"/>
  <c r="DV353" i="18"/>
  <c r="DV604" i="18"/>
  <c r="DV606" i="18" s="1"/>
  <c r="J17" i="21"/>
  <c r="J25" i="21" s="1"/>
  <c r="I25" i="21"/>
  <c r="I47" i="21" s="1"/>
  <c r="EC232" i="2"/>
  <c r="EF17" i="4"/>
  <c r="EF129" i="10"/>
  <c r="FH38" i="4"/>
  <c r="FH40" i="4" s="1"/>
  <c r="ER60" i="18" s="1"/>
  <c r="D4466" i="3"/>
  <c r="G5248" i="3"/>
  <c r="G5250" i="3" s="1"/>
  <c r="G5249" i="3" s="1"/>
  <c r="B5909" i="3"/>
  <c r="B5914" i="3"/>
  <c r="EE283" i="18"/>
  <c r="EI283" i="18" s="1"/>
  <c r="EE288" i="18"/>
  <c r="D97" i="24"/>
  <c r="E97" i="24" s="1"/>
  <c r="F97" i="24" s="1"/>
  <c r="G97" i="24" s="1"/>
  <c r="H97" i="24" s="1"/>
  <c r="C98" i="24"/>
  <c r="C151" i="24" s="1"/>
  <c r="C150" i="24" s="1"/>
  <c r="F3202" i="3"/>
  <c r="G3198" i="3"/>
  <c r="H3198" i="3" s="1"/>
  <c r="I3198" i="3" s="1"/>
  <c r="I3202" i="3" s="1"/>
  <c r="FG38" i="4"/>
  <c r="FG40" i="4" s="1"/>
  <c r="EQ60" i="18" s="1"/>
  <c r="DY237" i="1"/>
  <c r="DY88" i="1"/>
  <c r="DY98" i="1"/>
  <c r="DY86" i="1"/>
  <c r="F4310" i="3"/>
  <c r="B5169" i="3"/>
  <c r="F25" i="21"/>
  <c r="F44" i="21" s="1"/>
  <c r="C7" i="21"/>
  <c r="EE499" i="18"/>
  <c r="EE508" i="18"/>
  <c r="EE509" i="18" s="1"/>
  <c r="EC117" i="18"/>
  <c r="EC158" i="18" s="1"/>
  <c r="EC36" i="18" s="1"/>
  <c r="EC122" i="18"/>
  <c r="EC142" i="18"/>
  <c r="DX249" i="18"/>
  <c r="DX257" i="18" s="1"/>
  <c r="DX42" i="18" s="1"/>
  <c r="EA219" i="18"/>
  <c r="EA220" i="18"/>
  <c r="EB220" i="18"/>
  <c r="EA77" i="18"/>
  <c r="EF103" i="18"/>
  <c r="EA103" i="18"/>
  <c r="G5602" i="3"/>
  <c r="H5549" i="3"/>
  <c r="D5918" i="3"/>
  <c r="D5917" i="3"/>
  <c r="EC435" i="18"/>
  <c r="ED427" i="18"/>
  <c r="EE424" i="18" s="1"/>
  <c r="EE494" i="18" s="1"/>
  <c r="EB443" i="18"/>
  <c r="EB495" i="18" s="1"/>
  <c r="EA448" i="18"/>
  <c r="EA447" i="18"/>
  <c r="ED166" i="18"/>
  <c r="B246" i="24" s="1"/>
  <c r="DW408" i="10"/>
  <c r="EC354" i="18"/>
  <c r="ED88" i="1"/>
  <c r="E5643" i="3"/>
  <c r="F5998" i="3"/>
  <c r="U5990" i="3"/>
  <c r="D6024" i="3"/>
  <c r="D6039" i="3" s="1"/>
  <c r="D6011" i="3"/>
  <c r="E6011" i="3" s="1"/>
  <c r="C6018" i="3"/>
  <c r="C6044" i="3" s="1"/>
  <c r="K22" i="24"/>
  <c r="DZ106" i="18"/>
  <c r="EG494" i="1"/>
  <c r="EG506" i="1" s="1"/>
  <c r="FD38" i="4"/>
  <c r="FD40" i="4" s="1"/>
  <c r="EN60" i="18" s="1"/>
  <c r="C5151" i="3"/>
  <c r="V4765" i="3"/>
  <c r="E4505" i="3"/>
  <c r="EC407" i="18"/>
  <c r="ED406" i="18"/>
  <c r="ED407" i="18" s="1"/>
  <c r="G3179" i="3"/>
  <c r="H3175" i="3"/>
  <c r="B4461" i="3"/>
  <c r="N4310" i="3"/>
  <c r="B140" i="13"/>
  <c r="G5643" i="3"/>
  <c r="G5998" i="3"/>
  <c r="AC5990" i="3"/>
  <c r="DW124" i="18"/>
  <c r="DW290" i="18" s="1"/>
  <c r="DW285" i="18" s="1"/>
  <c r="DW284" i="18" s="1"/>
  <c r="DW399" i="18"/>
  <c r="DW394" i="18" s="1"/>
  <c r="DW393" i="18" s="1"/>
  <c r="I3443" i="3"/>
  <c r="J3444" i="3" s="1"/>
  <c r="K3445" i="3" s="1"/>
  <c r="L3446" i="3" s="1"/>
  <c r="M3447" i="3" s="1"/>
  <c r="N3448" i="3" s="1"/>
  <c r="I3442" i="3"/>
  <c r="EJ176" i="4"/>
  <c r="EJ180" i="4" s="1"/>
  <c r="EI101" i="4"/>
  <c r="J5990" i="3"/>
  <c r="B4082" i="3"/>
  <c r="H3737" i="3"/>
  <c r="DZ207" i="18"/>
  <c r="EA305" i="18"/>
  <c r="EA52" i="18" s="1"/>
  <c r="K86" i="24"/>
  <c r="EF348" i="10"/>
  <c r="EF184" i="10"/>
  <c r="G3177" i="3"/>
  <c r="EJ101" i="2"/>
  <c r="EJ253" i="2"/>
  <c r="EJ491" i="2"/>
  <c r="AJ5748" i="3"/>
  <c r="U5755" i="3" s="1"/>
  <c r="EI78" i="4"/>
  <c r="K5990" i="3"/>
  <c r="E6025" i="3"/>
  <c r="E6040" i="3" s="1"/>
  <c r="B4215" i="3"/>
  <c r="B4218" i="3" s="1"/>
  <c r="DW207" i="18"/>
  <c r="DW206" i="18" s="1"/>
  <c r="DW211" i="18" s="1"/>
  <c r="EF423" i="10"/>
  <c r="EI144" i="4"/>
  <c r="H3177" i="3"/>
  <c r="E3195" i="3"/>
  <c r="EF649" i="2"/>
  <c r="EC439" i="2"/>
  <c r="EJ496" i="2"/>
  <c r="EJ537" i="1"/>
  <c r="EJ57" i="35" s="1"/>
  <c r="EJ133" i="4"/>
  <c r="T4767" i="3"/>
  <c r="T4768" i="3" s="1"/>
  <c r="I5849" i="3"/>
  <c r="I5853" i="3"/>
  <c r="EI98" i="1"/>
  <c r="EC324" i="2"/>
  <c r="EI108" i="4"/>
  <c r="EI118" i="4"/>
  <c r="EB470" i="18"/>
  <c r="EE217" i="18"/>
  <c r="EE216" i="18" s="1"/>
  <c r="DX207" i="18"/>
  <c r="DX206" i="18" s="1"/>
  <c r="DX211" i="18" s="1"/>
  <c r="DZ219" i="18"/>
  <c r="EE269" i="18"/>
  <c r="EC26" i="4"/>
  <c r="EC28" i="4" s="1"/>
  <c r="EE173" i="1"/>
  <c r="EE189" i="1" s="1"/>
  <c r="EE188" i="1" s="1"/>
  <c r="EE479" i="2"/>
  <c r="DY12" i="4"/>
  <c r="EI65" i="4"/>
  <c r="DZ499" i="18"/>
  <c r="DW217" i="18"/>
  <c r="DW216" i="18" s="1"/>
  <c r="DV158" i="18"/>
  <c r="DV36" i="18" s="1"/>
  <c r="C104" i="24"/>
  <c r="C107" i="24" s="1"/>
  <c r="C110" i="24" s="1"/>
  <c r="EI546" i="1"/>
  <c r="EF207" i="1"/>
  <c r="C3426" i="3"/>
  <c r="C3427" i="3" s="1"/>
  <c r="ED133" i="1"/>
  <c r="EF34" i="2"/>
  <c r="D3163" i="3"/>
  <c r="D3167" i="3" s="1"/>
  <c r="D3169" i="3" s="1"/>
  <c r="EJ277" i="1"/>
  <c r="EE213" i="2"/>
  <c r="EJ187" i="2"/>
  <c r="D5703" i="3"/>
  <c r="I5846" i="3"/>
  <c r="I5850" i="3"/>
  <c r="E5954" i="3"/>
  <c r="EI536" i="1"/>
  <c r="EA570" i="1"/>
  <c r="DZ570" i="1" s="1"/>
  <c r="EA591" i="1"/>
  <c r="V5990" i="3"/>
  <c r="D4214" i="3"/>
  <c r="D4218" i="3" s="1"/>
  <c r="E4666" i="3"/>
  <c r="F4666" i="3" s="1"/>
  <c r="G4666" i="3" s="1"/>
  <c r="H4667" i="3" s="1"/>
  <c r="EA469" i="18"/>
  <c r="EC458" i="18"/>
  <c r="DZ435" i="18"/>
  <c r="B4096" i="3"/>
  <c r="EE117" i="18"/>
  <c r="EI117" i="18" s="1"/>
  <c r="EI516" i="1"/>
  <c r="EI112" i="4"/>
  <c r="EC121" i="18"/>
  <c r="EF296" i="18"/>
  <c r="EF295" i="18" s="1"/>
  <c r="ED337" i="18"/>
  <c r="D3539" i="3"/>
  <c r="ED168" i="1"/>
  <c r="ED171" i="1"/>
  <c r="EB423" i="10"/>
  <c r="EI142" i="4"/>
  <c r="D3161" i="3"/>
  <c r="EC91" i="4"/>
  <c r="ED91" i="4" s="1"/>
  <c r="EI388" i="2"/>
  <c r="EI435" i="10" s="1"/>
  <c r="EJ484" i="2"/>
  <c r="AE5748" i="3"/>
  <c r="T5755" i="3" s="1"/>
  <c r="D5952" i="3"/>
  <c r="R5990" i="3"/>
  <c r="EL389" i="18"/>
  <c r="EL399" i="18" s="1"/>
  <c r="EA538" i="18"/>
  <c r="EA560" i="18" s="1"/>
  <c r="DX470" i="18"/>
  <c r="EE543" i="18"/>
  <c r="DW574" i="18"/>
  <c r="C4096" i="3"/>
  <c r="EG168" i="4"/>
  <c r="I3179" i="3"/>
  <c r="EJ195" i="2"/>
  <c r="E3283" i="3" s="1"/>
  <c r="EJ185" i="4"/>
  <c r="DY337" i="18"/>
  <c r="ED68" i="2"/>
  <c r="EI69" i="2"/>
  <c r="EI57" i="2"/>
  <c r="EG107" i="4"/>
  <c r="EG112" i="10" s="1"/>
  <c r="EG141" i="10" s="1"/>
  <c r="EE326" i="2"/>
  <c r="EH210" i="2"/>
  <c r="EJ324" i="2"/>
  <c r="EJ397" i="2"/>
  <c r="EJ140" i="4"/>
  <c r="EJ143" i="4" s="1"/>
  <c r="EJ145" i="4" s="1"/>
  <c r="EN174" i="4"/>
  <c r="EJ54" i="4"/>
  <c r="EJ432" i="2"/>
  <c r="EJ436" i="2"/>
  <c r="EJ414" i="10"/>
  <c r="EJ330" i="2"/>
  <c r="EJ261" i="2"/>
  <c r="EJ283" i="2"/>
  <c r="EO284" i="2" s="1"/>
  <c r="EJ272" i="2"/>
  <c r="EJ306" i="2"/>
  <c r="EJ189" i="2"/>
  <c r="EJ139" i="2"/>
  <c r="EJ171" i="2"/>
  <c r="EJ116" i="2"/>
  <c r="P54" i="20"/>
  <c r="DX306" i="18"/>
  <c r="DX53" i="18" s="1"/>
  <c r="DX296" i="18"/>
  <c r="DX295" i="18" s="1"/>
  <c r="EH104" i="10"/>
  <c r="EA116" i="2"/>
  <c r="ED66" i="4"/>
  <c r="DT57" i="1"/>
  <c r="G3731" i="3"/>
  <c r="ED109" i="1"/>
  <c r="EC167" i="4"/>
  <c r="EE45" i="4"/>
  <c r="EB324" i="2"/>
  <c r="EF121" i="18"/>
  <c r="DY120" i="18"/>
  <c r="DZ122" i="18" s="1"/>
  <c r="DX122" i="18"/>
  <c r="EF357" i="10"/>
  <c r="EF574" i="2"/>
  <c r="EC395" i="10"/>
  <c r="ED205" i="2"/>
  <c r="B330" i="38" s="1"/>
  <c r="H68" i="29"/>
  <c r="EE378" i="10"/>
  <c r="ED48" i="2"/>
  <c r="ED129" i="10" s="1"/>
  <c r="EF137" i="2"/>
  <c r="EF136" i="2" s="1"/>
  <c r="EI273" i="2"/>
  <c r="EI401" i="10" s="1"/>
  <c r="EF168" i="4"/>
  <c r="EI572" i="2"/>
  <c r="EI10" i="32" s="1"/>
  <c r="EE484" i="2"/>
  <c r="EH346" i="10"/>
  <c r="EA262" i="2"/>
  <c r="DY521" i="1"/>
  <c r="DZ230" i="1"/>
  <c r="EE70" i="2"/>
  <c r="DZ397" i="2"/>
  <c r="EF198" i="4"/>
  <c r="EF16" i="32" s="1"/>
  <c r="EE185" i="4"/>
  <c r="EF158" i="18"/>
  <c r="EF36" i="18" s="1"/>
  <c r="ED351" i="18"/>
  <c r="DY352" i="18"/>
  <c r="EB508" i="18"/>
  <c r="EB509" i="18" s="1"/>
  <c r="G3723" i="3"/>
  <c r="G3725" i="3" s="1"/>
  <c r="DX299" i="18"/>
  <c r="EF261" i="2"/>
  <c r="EG324" i="2"/>
  <c r="EF306" i="2"/>
  <c r="EG307" i="2"/>
  <c r="EF143" i="2"/>
  <c r="ED395" i="10"/>
  <c r="EE410" i="10"/>
  <c r="H3439" i="3"/>
  <c r="ED11" i="2"/>
  <c r="DZ268" i="2"/>
  <c r="ED268" i="2" s="1"/>
  <c r="EI59" i="2"/>
  <c r="EI137" i="10" s="1"/>
  <c r="EI205" i="2"/>
  <c r="EI378" i="10" s="1"/>
  <c r="DZ261" i="2"/>
  <c r="EC253" i="1"/>
  <c r="DX66" i="1"/>
  <c r="DX68" i="1" s="1"/>
  <c r="DX70" i="1" s="1"/>
  <c r="DX71" i="1" s="1"/>
  <c r="ED546" i="1"/>
  <c r="EF306" i="18"/>
  <c r="EF53" i="18" s="1"/>
  <c r="EI85" i="1"/>
  <c r="DW416" i="18"/>
  <c r="DX435" i="18"/>
  <c r="DW539" i="18"/>
  <c r="DW563" i="18" s="1"/>
  <c r="EC509" i="18"/>
  <c r="J3723" i="3"/>
  <c r="J3725" i="3" s="1"/>
  <c r="DW122" i="18"/>
  <c r="DW306" i="18"/>
  <c r="DW53" i="18" s="1"/>
  <c r="EF394" i="10"/>
  <c r="DZ187" i="2"/>
  <c r="EA662" i="2"/>
  <c r="EF299" i="18"/>
  <c r="EG306" i="2"/>
  <c r="DZ144" i="1"/>
  <c r="EH35" i="2"/>
  <c r="ED184" i="10"/>
  <c r="EF96" i="2"/>
  <c r="EF330" i="2"/>
  <c r="EH348" i="2"/>
  <c r="ED660" i="2"/>
  <c r="EH633" i="2"/>
  <c r="EI75" i="4"/>
  <c r="EG107" i="10"/>
  <c r="DW57" i="4"/>
  <c r="DY39" i="4"/>
  <c r="DY658" i="2"/>
  <c r="C4356" i="3"/>
  <c r="DU215" i="18"/>
  <c r="DY215" i="18" s="1"/>
  <c r="EI94" i="1"/>
  <c r="EB142" i="18"/>
  <c r="EF307" i="2"/>
  <c r="EB442" i="2"/>
  <c r="EC304" i="2"/>
  <c r="EC303" i="2" s="1"/>
  <c r="EG207" i="1"/>
  <c r="B5402" i="3"/>
  <c r="C5402" i="3" s="1"/>
  <c r="EI139" i="4"/>
  <c r="EG129" i="10"/>
  <c r="ED659" i="2"/>
  <c r="EH107" i="10"/>
  <c r="EI202" i="2"/>
  <c r="EH208" i="10"/>
  <c r="EI73" i="4"/>
  <c r="DZ133" i="10"/>
  <c r="DV208" i="10"/>
  <c r="ED514" i="1"/>
  <c r="DV529" i="1"/>
  <c r="DV526" i="1" s="1"/>
  <c r="ED106" i="1"/>
  <c r="EI87" i="1"/>
  <c r="EE107" i="4"/>
  <c r="EE110" i="4" s="1"/>
  <c r="DV117" i="2"/>
  <c r="DZ616" i="1"/>
  <c r="DX119" i="18"/>
  <c r="DX118" i="18" s="1"/>
  <c r="DU402" i="18"/>
  <c r="DY402" i="18" s="1"/>
  <c r="H3730" i="3"/>
  <c r="DV220" i="18"/>
  <c r="DW299" i="18"/>
  <c r="EB243" i="18"/>
  <c r="ED24" i="4"/>
  <c r="EF442" i="2"/>
  <c r="EC375" i="10"/>
  <c r="EF414" i="10"/>
  <c r="EE149" i="4"/>
  <c r="EH97" i="4"/>
  <c r="EJ410" i="10"/>
  <c r="EF189" i="2"/>
  <c r="EF190" i="10"/>
  <c r="EH105" i="10"/>
  <c r="DX196" i="4"/>
  <c r="EB115" i="4"/>
  <c r="DV523" i="1"/>
  <c r="DV533" i="1" s="1"/>
  <c r="DQ523" i="1"/>
  <c r="G4147" i="3"/>
  <c r="G4150" i="3" s="1"/>
  <c r="EB447" i="18"/>
  <c r="EB572" i="1"/>
  <c r="DW117" i="2"/>
  <c r="DW220" i="18"/>
  <c r="EA26" i="4"/>
  <c r="EA28" i="4" s="1"/>
  <c r="EI90" i="1"/>
  <c r="EF210" i="2"/>
  <c r="EI138" i="4"/>
  <c r="ED69" i="2"/>
  <c r="EI72" i="4"/>
  <c r="EC257" i="2"/>
  <c r="EC259" i="2" s="1"/>
  <c r="EC258" i="2" s="1"/>
  <c r="EE182" i="2"/>
  <c r="EE203" i="2" s="1"/>
  <c r="EE204" i="2" s="1"/>
  <c r="DZ492" i="18"/>
  <c r="EH197" i="4"/>
  <c r="EH116" i="10" s="1"/>
  <c r="EI433" i="2"/>
  <c r="EI190" i="10" s="1"/>
  <c r="ED75" i="4"/>
  <c r="EA523" i="1"/>
  <c r="EA533" i="1" s="1"/>
  <c r="DY87" i="1"/>
  <c r="ED94" i="1"/>
  <c r="ED97" i="1"/>
  <c r="ED85" i="1"/>
  <c r="ED240" i="1"/>
  <c r="EE168" i="4"/>
  <c r="DY606" i="1"/>
  <c r="EE447" i="18"/>
  <c r="EA508" i="18"/>
  <c r="EA509" i="18" s="1"/>
  <c r="EE298" i="18"/>
  <c r="EI635" i="2"/>
  <c r="EI115" i="4"/>
  <c r="EI99" i="4"/>
  <c r="DV122" i="18"/>
  <c r="DU122" i="18" s="1"/>
  <c r="DU117" i="18" s="1"/>
  <c r="EF139" i="2"/>
  <c r="DZ503" i="1"/>
  <c r="EH272" i="2"/>
  <c r="ED202" i="2"/>
  <c r="EF100" i="2"/>
  <c r="EG360" i="1"/>
  <c r="EH148" i="4"/>
  <c r="EH149" i="4" s="1"/>
  <c r="DW258" i="1"/>
  <c r="DV112" i="4"/>
  <c r="DZ120" i="4"/>
  <c r="DW382" i="18"/>
  <c r="DW488" i="18" s="1"/>
  <c r="DW522" i="18" s="1"/>
  <c r="DW387" i="18"/>
  <c r="D3730" i="3"/>
  <c r="D3741" i="3"/>
  <c r="DY587" i="2"/>
  <c r="DV592" i="2" s="1"/>
  <c r="EC105" i="10"/>
  <c r="ED73" i="4"/>
  <c r="EB459" i="18"/>
  <c r="EB458" i="18"/>
  <c r="EC459" i="18"/>
  <c r="EA465" i="18"/>
  <c r="EA539" i="18" s="1"/>
  <c r="EA563" i="18" s="1"/>
  <c r="DZ469" i="18"/>
  <c r="EA470" i="18"/>
  <c r="EB340" i="18"/>
  <c r="EB58" i="18"/>
  <c r="DX253" i="1"/>
  <c r="DY256" i="1"/>
  <c r="DU17" i="4"/>
  <c r="DY522" i="1"/>
  <c r="DV57" i="4"/>
  <c r="DV58" i="2"/>
  <c r="DY536" i="1"/>
  <c r="DV66" i="1"/>
  <c r="DV68" i="1" s="1"/>
  <c r="DV70" i="1" s="1"/>
  <c r="DV69" i="4"/>
  <c r="DV74" i="4" s="1"/>
  <c r="DV158" i="4" s="1"/>
  <c r="EA462" i="18"/>
  <c r="EA432" i="18"/>
  <c r="EE435" i="18"/>
  <c r="EF424" i="18"/>
  <c r="DU527" i="18"/>
  <c r="DU572" i="18" s="1"/>
  <c r="DZ509" i="18"/>
  <c r="EB604" i="18"/>
  <c r="EB606" i="18" s="1"/>
  <c r="EB353" i="18"/>
  <c r="DW604" i="18"/>
  <c r="DW606" i="18" s="1"/>
  <c r="DW353" i="18"/>
  <c r="EE304" i="2"/>
  <c r="EI302" i="2"/>
  <c r="EE439" i="2"/>
  <c r="EI439" i="2" s="1"/>
  <c r="DX54" i="4"/>
  <c r="EC54" i="4"/>
  <c r="DY53" i="4"/>
  <c r="DY54" i="4" s="1"/>
  <c r="DY75" i="4"/>
  <c r="B5089" i="3" s="1"/>
  <c r="DW167" i="4"/>
  <c r="DW168" i="4" s="1"/>
  <c r="DW107" i="10"/>
  <c r="DY530" i="1"/>
  <c r="EB263" i="1"/>
  <c r="EA117" i="4"/>
  <c r="EA266" i="1"/>
  <c r="DX595" i="18"/>
  <c r="DY595" i="18" s="1"/>
  <c r="DY348" i="18"/>
  <c r="E43" i="20"/>
  <c r="L50" i="20"/>
  <c r="R56" i="20"/>
  <c r="Q55" i="20"/>
  <c r="M51" i="20"/>
  <c r="U59" i="20"/>
  <c r="S57" i="20"/>
  <c r="T58" i="20"/>
  <c r="K49" i="20"/>
  <c r="V60" i="20"/>
  <c r="N52" i="20"/>
  <c r="DU348" i="10"/>
  <c r="DU171" i="2"/>
  <c r="DU349" i="10" s="1"/>
  <c r="DV135" i="2"/>
  <c r="EA353" i="10"/>
  <c r="ED128" i="2"/>
  <c r="ED353" i="10" s="1"/>
  <c r="EA67" i="2"/>
  <c r="ED483" i="2"/>
  <c r="EA133" i="10"/>
  <c r="EF484" i="2"/>
  <c r="EB426" i="10"/>
  <c r="EG351" i="2"/>
  <c r="EF479" i="2"/>
  <c r="DZ324" i="2"/>
  <c r="DU562" i="1"/>
  <c r="DU446" i="18"/>
  <c r="DV443" i="18" s="1"/>
  <c r="DV243" i="18"/>
  <c r="DV238" i="18"/>
  <c r="DV240" i="18" s="1"/>
  <c r="DV239" i="18" s="1"/>
  <c r="DU239" i="18"/>
  <c r="DZ242" i="18"/>
  <c r="EB616" i="1"/>
  <c r="EB611" i="1"/>
  <c r="DW591" i="1"/>
  <c r="DY581" i="1"/>
  <c r="EE124" i="18"/>
  <c r="EF389" i="18"/>
  <c r="EF124" i="18" s="1"/>
  <c r="EF119" i="18" s="1"/>
  <c r="EF118" i="18" s="1"/>
  <c r="EC408" i="18"/>
  <c r="EC402" i="18"/>
  <c r="EC490" i="18" s="1"/>
  <c r="EC528" i="18" s="1"/>
  <c r="EE142" i="18"/>
  <c r="DZ249" i="18"/>
  <c r="DZ250" i="18" s="1"/>
  <c r="EE253" i="18"/>
  <c r="EE254" i="18" s="1"/>
  <c r="EE146" i="18"/>
  <c r="EC220" i="18"/>
  <c r="EC215" i="18"/>
  <c r="DZ298" i="18"/>
  <c r="EA294" i="18"/>
  <c r="EA306" i="18" s="1"/>
  <c r="EA299" i="18"/>
  <c r="DV299" i="18"/>
  <c r="DU299" i="18" s="1"/>
  <c r="DU294" i="18" s="1"/>
  <c r="DV294" i="18"/>
  <c r="DV306" i="18" s="1"/>
  <c r="DV53" i="18" s="1"/>
  <c r="EE77" i="18"/>
  <c r="EF80" i="18" s="1"/>
  <c r="EE503" i="1"/>
  <c r="EE494" i="1"/>
  <c r="EE506" i="1" s="1"/>
  <c r="EK408" i="10"/>
  <c r="EE129" i="10"/>
  <c r="EE17" i="4"/>
  <c r="DZ70" i="2"/>
  <c r="DZ54" i="4"/>
  <c r="DV230" i="1"/>
  <c r="ED237" i="1"/>
  <c r="EJ357" i="10"/>
  <c r="ED348" i="18"/>
  <c r="DU604" i="18"/>
  <c r="DU606" i="18" s="1"/>
  <c r="EF57" i="4"/>
  <c r="DX360" i="10"/>
  <c r="EC133" i="18"/>
  <c r="EA405" i="10"/>
  <c r="EB140" i="2"/>
  <c r="EH262" i="2"/>
  <c r="EA362" i="10"/>
  <c r="EI87" i="2"/>
  <c r="ED291" i="1"/>
  <c r="ED293" i="1" s="1"/>
  <c r="ED140" i="4"/>
  <c r="EG143" i="4"/>
  <c r="EG145" i="4" s="1"/>
  <c r="EG146" i="4" s="1"/>
  <c r="EF143" i="4"/>
  <c r="EF145" i="4" s="1"/>
  <c r="EF146" i="4" s="1"/>
  <c r="EH344" i="2"/>
  <c r="EH442" i="2"/>
  <c r="EF213" i="2"/>
  <c r="EC318" i="2"/>
  <c r="EC341" i="2" s="1"/>
  <c r="ED59" i="2"/>
  <c r="ED137" i="10" s="1"/>
  <c r="DY99" i="4"/>
  <c r="DW467" i="18"/>
  <c r="DW466" i="18" s="1"/>
  <c r="EB596" i="18"/>
  <c r="EB250" i="18"/>
  <c r="EA171" i="2"/>
  <c r="DY22" i="4"/>
  <c r="DZ26" i="4"/>
  <c r="DZ28" i="4" s="1"/>
  <c r="EE26" i="4"/>
  <c r="EE28" i="4" s="1"/>
  <c r="EF494" i="1"/>
  <c r="EF506" i="1" s="1"/>
  <c r="EH307" i="2"/>
  <c r="EH213" i="2"/>
  <c r="EC17" i="4"/>
  <c r="EG662" i="2"/>
  <c r="EC662" i="2"/>
  <c r="EB405" i="18"/>
  <c r="EC461" i="18"/>
  <c r="EA91" i="18"/>
  <c r="EA92" i="18" s="1"/>
  <c r="EA459" i="18"/>
  <c r="DW479" i="18"/>
  <c r="EB349" i="18"/>
  <c r="G3730" i="3"/>
  <c r="EA276" i="18"/>
  <c r="EA47" i="18" s="1"/>
  <c r="EE357" i="10"/>
  <c r="DY25" i="4"/>
  <c r="EI137" i="1"/>
  <c r="ED139" i="4"/>
  <c r="EI505" i="1"/>
  <c r="EE600" i="2"/>
  <c r="EE622" i="2" s="1"/>
  <c r="EE133" i="10"/>
  <c r="EH115" i="10"/>
  <c r="ED72" i="4"/>
  <c r="ED117" i="1"/>
  <c r="DZ662" i="2"/>
  <c r="DV662" i="2"/>
  <c r="EC399" i="18"/>
  <c r="DX402" i="18"/>
  <c r="EA511" i="18"/>
  <c r="EB543" i="18"/>
  <c r="ED347" i="18"/>
  <c r="DW158" i="18"/>
  <c r="DW36" i="18" s="1"/>
  <c r="DZ408" i="10"/>
  <c r="EF149" i="4"/>
  <c r="DZ142" i="18"/>
  <c r="EE272" i="2"/>
  <c r="EE78" i="2"/>
  <c r="EA445" i="18"/>
  <c r="EA444" i="18" s="1"/>
  <c r="EA449" i="18" s="1"/>
  <c r="E3730" i="3"/>
  <c r="EE397" i="2"/>
  <c r="EF262" i="2"/>
  <c r="EF324" i="2"/>
  <c r="DW171" i="2"/>
  <c r="DW349" i="10" s="1"/>
  <c r="EG432" i="2"/>
  <c r="EG436" i="2"/>
  <c r="EB60" i="2"/>
  <c r="EB138" i="10" s="1"/>
  <c r="EI11" i="2"/>
  <c r="EI469" i="2"/>
  <c r="EJ171" i="1"/>
  <c r="EA105" i="10"/>
  <c r="H4147" i="3"/>
  <c r="H4150" i="3" s="1"/>
  <c r="EB490" i="18"/>
  <c r="EB528" i="18" s="1"/>
  <c r="EG261" i="2"/>
  <c r="EE408" i="10"/>
  <c r="EH306" i="2"/>
  <c r="ED242" i="18"/>
  <c r="EE261" i="2"/>
  <c r="EE324" i="2"/>
  <c r="EB408" i="18"/>
  <c r="EE470" i="18"/>
  <c r="ED595" i="18"/>
  <c r="EB492" i="18"/>
  <c r="EG262" i="2"/>
  <c r="EA207" i="1"/>
  <c r="EF408" i="10"/>
  <c r="ED500" i="1"/>
  <c r="EG230" i="1"/>
  <c r="EG394" i="10"/>
  <c r="EI177" i="1"/>
  <c r="EI179" i="1" s="1"/>
  <c r="EH189" i="2"/>
  <c r="Y54" i="23"/>
  <c r="DZ344" i="10"/>
  <c r="B3378" i="3"/>
  <c r="B3379" i="3" s="1"/>
  <c r="B7" i="29"/>
  <c r="B8" i="29" s="1"/>
  <c r="B3364" i="3"/>
  <c r="B3365" i="3" s="1"/>
  <c r="B3368" i="3" s="1"/>
  <c r="B3370" i="3" s="1"/>
  <c r="C3367" i="3" s="1"/>
  <c r="B21" i="29"/>
  <c r="B22" i="29" s="1"/>
  <c r="B25" i="29" s="1"/>
  <c r="B27" i="29" s="1"/>
  <c r="DW495" i="18"/>
  <c r="DW445" i="18"/>
  <c r="DW444" i="18" s="1"/>
  <c r="DZ443" i="18"/>
  <c r="DZ495" i="18" s="1"/>
  <c r="DZ448" i="18"/>
  <c r="DS72" i="1"/>
  <c r="DS71" i="1"/>
  <c r="EB550" i="1"/>
  <c r="EI48" i="2"/>
  <c r="ED177" i="1"/>
  <c r="ED179" i="1" s="1"/>
  <c r="EC179" i="1"/>
  <c r="EH17" i="4"/>
  <c r="EH129" i="10"/>
  <c r="EH324" i="2"/>
  <c r="EC408" i="10"/>
  <c r="EF272" i="2"/>
  <c r="EG268" i="2"/>
  <c r="EG600" i="2" s="1"/>
  <c r="EG622" i="2" s="1"/>
  <c r="EF395" i="10"/>
  <c r="EE189" i="2"/>
  <c r="EJ362" i="10"/>
  <c r="EE362" i="10"/>
  <c r="EF347" i="10"/>
  <c r="EF131" i="2"/>
  <c r="EH187" i="2"/>
  <c r="EH142" i="18" s="1"/>
  <c r="DU352" i="10"/>
  <c r="DU173" i="2"/>
  <c r="DU355" i="10" s="1"/>
  <c r="EF138" i="1"/>
  <c r="EF154" i="1" s="1"/>
  <c r="EF153" i="1" s="1"/>
  <c r="DZ17" i="4"/>
  <c r="EA410" i="10"/>
  <c r="EA257" i="2"/>
  <c r="EA314" i="2" s="1"/>
  <c r="EA337" i="2" s="1"/>
  <c r="DZ394" i="10"/>
  <c r="DZ171" i="2"/>
  <c r="C115" i="29"/>
  <c r="C3469" i="3"/>
  <c r="EC423" i="10"/>
  <c r="ED340" i="2"/>
  <c r="EF326" i="2"/>
  <c r="EF410" i="10"/>
  <c r="EK410" i="10"/>
  <c r="EH268" i="2"/>
  <c r="EG395" i="10"/>
  <c r="EG272" i="2"/>
  <c r="DX110" i="1"/>
  <c r="DX112" i="1" s="1"/>
  <c r="DX120" i="1" s="1"/>
  <c r="ED118" i="1"/>
  <c r="EC185" i="4"/>
  <c r="ED185" i="4" s="1"/>
  <c r="DY661" i="2"/>
  <c r="DW405" i="18"/>
  <c r="DW403" i="18" s="1"/>
  <c r="ED346" i="18"/>
  <c r="EA353" i="18"/>
  <c r="EA355" i="18" s="1"/>
  <c r="EA60" i="18" s="1"/>
  <c r="EA604" i="18"/>
  <c r="DX217" i="18"/>
  <c r="DX216" i="18" s="1"/>
  <c r="DX276" i="18"/>
  <c r="DX47" i="18" s="1"/>
  <c r="DU149" i="18"/>
  <c r="DV106" i="18"/>
  <c r="DV108" i="18" s="1"/>
  <c r="DV107" i="18" s="1"/>
  <c r="EA117" i="18"/>
  <c r="EA158" i="18" s="1"/>
  <c r="EA36" i="18" s="1"/>
  <c r="DZ121" i="18"/>
  <c r="DY131" i="18"/>
  <c r="ED132" i="18" s="1"/>
  <c r="EC132" i="18"/>
  <c r="EG145" i="18"/>
  <c r="EB253" i="18"/>
  <c r="EB254" i="18" s="1"/>
  <c r="EE219" i="18"/>
  <c r="EF215" i="18"/>
  <c r="DW276" i="18"/>
  <c r="DW47" i="18" s="1"/>
  <c r="EB219" i="18"/>
  <c r="DZ306" i="18"/>
  <c r="DZ53" i="18" s="1"/>
  <c r="DZ273" i="18"/>
  <c r="EE273" i="18"/>
  <c r="EA102" i="18"/>
  <c r="EE103" i="18"/>
  <c r="EA408" i="10"/>
  <c r="DZ360" i="10"/>
  <c r="EJ144" i="1"/>
  <c r="DY546" i="1"/>
  <c r="DW662" i="2"/>
  <c r="DV111" i="18"/>
  <c r="DW106" i="18"/>
  <c r="DW108" i="18" s="1"/>
  <c r="DW107" i="18" s="1"/>
  <c r="DW111" i="18"/>
  <c r="DW149" i="18"/>
  <c r="DW32" i="18" s="1"/>
  <c r="EB122" i="18"/>
  <c r="EA121" i="18"/>
  <c r="EA122" i="18"/>
  <c r="EB117" i="18"/>
  <c r="EB158" i="18" s="1"/>
  <c r="EB36" i="18" s="1"/>
  <c r="DW128" i="18"/>
  <c r="DW130" i="18" s="1"/>
  <c r="DV137" i="18"/>
  <c r="EC146" i="18"/>
  <c r="EH145" i="18"/>
  <c r="EC253" i="18"/>
  <c r="EC254" i="18" s="1"/>
  <c r="EC219" i="18"/>
  <c r="DX220" i="18"/>
  <c r="DY218" i="18"/>
  <c r="EC77" i="18"/>
  <c r="EC102" i="18"/>
  <c r="ED101" i="18"/>
  <c r="EE574" i="2"/>
  <c r="EE588" i="2"/>
  <c r="EE590" i="2" s="1"/>
  <c r="EE591" i="2" s="1"/>
  <c r="EI253" i="1"/>
  <c r="EG213" i="2"/>
  <c r="B3279" i="3"/>
  <c r="EA123" i="2"/>
  <c r="EA405" i="2" s="1"/>
  <c r="DZ347" i="10"/>
  <c r="EF426" i="10"/>
  <c r="EF351" i="2"/>
  <c r="EE397" i="10"/>
  <c r="EE442" i="2"/>
  <c r="EE307" i="2"/>
  <c r="EB270" i="2"/>
  <c r="EB269" i="2" s="1"/>
  <c r="EB600" i="2"/>
  <c r="EB622" i="2" s="1"/>
  <c r="EF428" i="2"/>
  <c r="EF602" i="2" s="1"/>
  <c r="EF608" i="2" s="1"/>
  <c r="EF161" i="10" s="1"/>
  <c r="EE436" i="2"/>
  <c r="DZ96" i="2"/>
  <c r="ED87" i="2"/>
  <c r="ED107" i="1"/>
  <c r="DU230" i="1"/>
  <c r="ED521" i="1"/>
  <c r="DW305" i="18"/>
  <c r="DW52" i="18" s="1"/>
  <c r="DZ435" i="10"/>
  <c r="ED388" i="2"/>
  <c r="ED435" i="10" s="1"/>
  <c r="DZ426" i="10"/>
  <c r="ED343" i="2"/>
  <c r="ED426" i="10" s="1"/>
  <c r="EA364" i="1"/>
  <c r="EI98" i="4"/>
  <c r="EE137" i="2"/>
  <c r="EE136" i="2" s="1"/>
  <c r="EF435" i="10"/>
  <c r="EF390" i="2"/>
  <c r="EF302" i="2"/>
  <c r="EF439" i="2" s="1"/>
  <c r="EF120" i="2"/>
  <c r="EF117" i="2"/>
  <c r="EF346" i="10"/>
  <c r="EF171" i="2"/>
  <c r="EF283" i="2"/>
  <c r="EG112" i="2"/>
  <c r="H3469" i="3"/>
  <c r="EF397" i="2"/>
  <c r="EJ278" i="1"/>
  <c r="EJ216" i="1"/>
  <c r="EJ220" i="1" s="1"/>
  <c r="EJ190" i="4" s="1"/>
  <c r="DV110" i="1"/>
  <c r="DV112" i="1" s="1"/>
  <c r="DV120" i="1" s="1"/>
  <c r="EI522" i="1"/>
  <c r="DU257" i="18"/>
  <c r="DU42" i="18" s="1"/>
  <c r="DU360" i="10"/>
  <c r="EB135" i="2"/>
  <c r="EB137" i="2" s="1"/>
  <c r="EB136" i="2" s="1"/>
  <c r="EA442" i="2"/>
  <c r="DZ442" i="2"/>
  <c r="DZ306" i="2"/>
  <c r="EH390" i="2"/>
  <c r="EC435" i="10"/>
  <c r="EG378" i="10"/>
  <c r="EH436" i="2"/>
  <c r="EC60" i="2"/>
  <c r="EC138" i="10" s="1"/>
  <c r="ED57" i="2"/>
  <c r="EF137" i="10"/>
  <c r="EF60" i="2"/>
  <c r="EF138" i="10" s="1"/>
  <c r="EE318" i="2"/>
  <c r="EE341" i="2" s="1"/>
  <c r="EH135" i="2"/>
  <c r="EH137" i="2" s="1"/>
  <c r="EG442" i="2"/>
  <c r="EL443" i="2" s="1"/>
  <c r="EH140" i="2"/>
  <c r="EG348" i="10"/>
  <c r="EG140" i="2"/>
  <c r="EG139" i="2"/>
  <c r="EF344" i="2"/>
  <c r="EK352" i="2" s="1"/>
  <c r="EF173" i="1"/>
  <c r="EF189" i="1" s="1"/>
  <c r="EF188" i="1" s="1"/>
  <c r="EH112" i="2"/>
  <c r="EG171" i="2"/>
  <c r="I3469" i="3"/>
  <c r="I115" i="29"/>
  <c r="EG346" i="10"/>
  <c r="EG116" i="2"/>
  <c r="EG397" i="2"/>
  <c r="EG283" i="2"/>
  <c r="EH117" i="2"/>
  <c r="DW185" i="4"/>
  <c r="ED84" i="1"/>
  <c r="EG366" i="10"/>
  <c r="EE435" i="10"/>
  <c r="EE390" i="2"/>
  <c r="EB410" i="10"/>
  <c r="EG326" i="2"/>
  <c r="EG410" i="10"/>
  <c r="EL410" i="10"/>
  <c r="DX408" i="10"/>
  <c r="EF230" i="1"/>
  <c r="EF349" i="18"/>
  <c r="ED491" i="1"/>
  <c r="ED494" i="1" s="1"/>
  <c r="DZ138" i="1"/>
  <c r="EH138" i="1"/>
  <c r="EH154" i="1" s="1"/>
  <c r="EH153" i="1" s="1"/>
  <c r="DJ587" i="1"/>
  <c r="ED504" i="1"/>
  <c r="ED505" i="1"/>
  <c r="EC138" i="1"/>
  <c r="EC154" i="1" s="1"/>
  <c r="EC153" i="1" s="1"/>
  <c r="EG253" i="2"/>
  <c r="ED144" i="4"/>
  <c r="EH207" i="1"/>
  <c r="EH176" i="4"/>
  <c r="EI176" i="4" s="1"/>
  <c r="DZ123" i="2"/>
  <c r="DZ125" i="2" s="1"/>
  <c r="EC431" i="2"/>
  <c r="DZ86" i="2"/>
  <c r="EJ168" i="1"/>
  <c r="EE220" i="18"/>
  <c r="EE133" i="18"/>
  <c r="EB273" i="18"/>
  <c r="EC506" i="1"/>
  <c r="EG173" i="1"/>
  <c r="EG189" i="1" s="1"/>
  <c r="EG188" i="1" s="1"/>
  <c r="EC143" i="4"/>
  <c r="EC145" i="4" s="1"/>
  <c r="EC146" i="4" s="1"/>
  <c r="EC606" i="18"/>
  <c r="EA549" i="18"/>
  <c r="DV217" i="18"/>
  <c r="DV216" i="18" s="1"/>
  <c r="DX137" i="18"/>
  <c r="EI142" i="1"/>
  <c r="EI144" i="1" s="1"/>
  <c r="EH397" i="2"/>
  <c r="D3723" i="3"/>
  <c r="D3725" i="3" s="1"/>
  <c r="I3723" i="3"/>
  <c r="I3725" i="3" s="1"/>
  <c r="DZ296" i="18"/>
  <c r="DZ295" i="18" s="1"/>
  <c r="ED339" i="18"/>
  <c r="EF523" i="1"/>
  <c r="EF533" i="1" s="1"/>
  <c r="ED23" i="4"/>
  <c r="ED25" i="4"/>
  <c r="EG304" i="2"/>
  <c r="EG303" i="2" s="1"/>
  <c r="DV140" i="2"/>
  <c r="DU302" i="2"/>
  <c r="DU304" i="2" s="1"/>
  <c r="DU303" i="2" s="1"/>
  <c r="EB315" i="2"/>
  <c r="EB338" i="2" s="1"/>
  <c r="EB421" i="10" s="1"/>
  <c r="EB283" i="2"/>
  <c r="EJ256" i="1"/>
  <c r="EF662" i="2"/>
  <c r="EF142" i="18"/>
  <c r="EF250" i="18" s="1"/>
  <c r="EF249" i="18" s="1"/>
  <c r="DU135" i="2"/>
  <c r="DY135" i="2" s="1"/>
  <c r="EG195" i="2"/>
  <c r="EI133" i="1"/>
  <c r="EI171" i="1"/>
  <c r="ED184" i="1"/>
  <c r="EF182" i="2"/>
  <c r="EF203" i="2" s="1"/>
  <c r="EJ161" i="1"/>
  <c r="EJ163" i="1" s="1"/>
  <c r="EJ138" i="1"/>
  <c r="G45" i="20"/>
  <c r="G45" i="22"/>
  <c r="E43" i="22"/>
  <c r="E5420" i="3"/>
  <c r="F5420" i="3" s="1"/>
  <c r="I157" i="11"/>
  <c r="J157" i="11" s="1"/>
  <c r="K157" i="11" s="1"/>
  <c r="L157" i="11" s="1"/>
  <c r="M157" i="11" s="1"/>
  <c r="N157" i="11" s="1"/>
  <c r="O157" i="11" s="1"/>
  <c r="P157" i="11" s="1"/>
  <c r="H176" i="11"/>
  <c r="G4999" i="3"/>
  <c r="G5006" i="3"/>
  <c r="E4999" i="3"/>
  <c r="E5006" i="3"/>
  <c r="F4994" i="3"/>
  <c r="F4991" i="3"/>
  <c r="C4247" i="3"/>
  <c r="D4247" i="3"/>
  <c r="B4300" i="3"/>
  <c r="H5696" i="3"/>
  <c r="E5602" i="3"/>
  <c r="EE36" i="4"/>
  <c r="EF496" i="2"/>
  <c r="E5601" i="3"/>
  <c r="D5669" i="3"/>
  <c r="E5007" i="3"/>
  <c r="EE238" i="18"/>
  <c r="EI238" i="18" s="1"/>
  <c r="G5745" i="3"/>
  <c r="ED516" i="1"/>
  <c r="DR72" i="1"/>
  <c r="DR71" i="1"/>
  <c r="C5408" i="3"/>
  <c r="EE243" i="18"/>
  <c r="D5763" i="3"/>
  <c r="I5745" i="3"/>
  <c r="C4260" i="3"/>
  <c r="DZ198" i="4"/>
  <c r="DZ116" i="10"/>
  <c r="DW66" i="1"/>
  <c r="DW68" i="1" s="1"/>
  <c r="DW70" i="1" s="1"/>
  <c r="DW236" i="1" s="1"/>
  <c r="DW69" i="4"/>
  <c r="DW74" i="4" s="1"/>
  <c r="DP68" i="1"/>
  <c r="DT66" i="1"/>
  <c r="C4286" i="3"/>
  <c r="C4293" i="3"/>
  <c r="D4293" i="3" s="1"/>
  <c r="E4293" i="3" s="1"/>
  <c r="F4293" i="3" s="1"/>
  <c r="G4293" i="3" s="1"/>
  <c r="H4293" i="3" s="1"/>
  <c r="I4293" i="3" s="1"/>
  <c r="J4293" i="3" s="1"/>
  <c r="K4293" i="3" s="1"/>
  <c r="L4293" i="3" s="1"/>
  <c r="M4293" i="3" s="1"/>
  <c r="N4293" i="3" s="1"/>
  <c r="D5300" i="3"/>
  <c r="D5306" i="3" s="1"/>
  <c r="F5669" i="3"/>
  <c r="E4183" i="3"/>
  <c r="B4935" i="3"/>
  <c r="DZ433" i="2"/>
  <c r="ED562" i="1"/>
  <c r="H5740" i="3"/>
  <c r="H5745" i="3"/>
  <c r="DU69" i="4"/>
  <c r="DY59" i="1"/>
  <c r="DU66" i="1"/>
  <c r="DU68" i="1" s="1"/>
  <c r="EA66" i="1"/>
  <c r="EA68" i="1" s="1"/>
  <c r="EA70" i="1" s="1"/>
  <c r="EA69" i="4"/>
  <c r="EA74" i="4" s="1"/>
  <c r="H5669" i="3"/>
  <c r="G5000" i="3"/>
  <c r="EG26" i="4"/>
  <c r="EG28" i="4" s="1"/>
  <c r="DU634" i="2"/>
  <c r="DU639" i="2" s="1"/>
  <c r="DW448" i="18"/>
  <c r="EI259" i="18"/>
  <c r="EJ259" i="18" s="1"/>
  <c r="DU97" i="4"/>
  <c r="ED57" i="1"/>
  <c r="DW256" i="1"/>
  <c r="DW562" i="1"/>
  <c r="D3731" i="3"/>
  <c r="DV102" i="4"/>
  <c r="D41" i="11"/>
  <c r="D65" i="11" s="1"/>
  <c r="DT539" i="1"/>
  <c r="EE54" i="4"/>
  <c r="DY78" i="4"/>
  <c r="DV105" i="10"/>
  <c r="ED71" i="4"/>
  <c r="DV176" i="4"/>
  <c r="DV180" i="4" s="1"/>
  <c r="DV185" i="4"/>
  <c r="DY84" i="1"/>
  <c r="EA103" i="4"/>
  <c r="EA14" i="32" s="1"/>
  <c r="M4400" i="3"/>
  <c r="E5212" i="3"/>
  <c r="E5213" i="3" s="1"/>
  <c r="G4297" i="3"/>
  <c r="D5152" i="3"/>
  <c r="U4765" i="3"/>
  <c r="B4976" i="3"/>
  <c r="DY105" i="1"/>
  <c r="DW110" i="1"/>
  <c r="DW112" i="1" s="1"/>
  <c r="DW120" i="1" s="1"/>
  <c r="DZ110" i="1"/>
  <c r="DZ112" i="1" s="1"/>
  <c r="DZ120" i="1" s="1"/>
  <c r="DU110" i="1"/>
  <c r="DU112" i="1" s="1"/>
  <c r="DU120" i="1" s="1"/>
  <c r="DY108" i="1"/>
  <c r="DT522" i="1"/>
  <c r="DX185" i="4"/>
  <c r="DY185" i="4" s="1"/>
  <c r="DU185" i="4"/>
  <c r="B4147" i="3"/>
  <c r="B4152" i="3" s="1"/>
  <c r="ED98" i="1"/>
  <c r="DY85" i="1"/>
  <c r="DZ57" i="4"/>
  <c r="ED87" i="1"/>
  <c r="ED119" i="1"/>
  <c r="ED99" i="4"/>
  <c r="EB185" i="4"/>
  <c r="B111" i="13"/>
  <c r="C109" i="13"/>
  <c r="D148" i="24"/>
  <c r="D155" i="24" s="1"/>
  <c r="P4304" i="3"/>
  <c r="EC220" i="1"/>
  <c r="DX77" i="18"/>
  <c r="DX80" i="18" s="1"/>
  <c r="EC103" i="18"/>
  <c r="DV488" i="18"/>
  <c r="DV522" i="18" s="1"/>
  <c r="DV473" i="18"/>
  <c r="DV384" i="18"/>
  <c r="DV383" i="18" s="1"/>
  <c r="B39" i="13"/>
  <c r="B43" i="13" s="1"/>
  <c r="B58" i="13" s="1"/>
  <c r="B46" i="13"/>
  <c r="DZ490" i="18"/>
  <c r="DZ528" i="18" s="1"/>
  <c r="ED402" i="18"/>
  <c r="DZ405" i="18"/>
  <c r="DY54" i="2"/>
  <c r="DU279" i="1"/>
  <c r="D97" i="13"/>
  <c r="E97" i="13" s="1"/>
  <c r="K4400" i="3"/>
  <c r="K4401" i="3"/>
  <c r="E4297" i="3"/>
  <c r="D4310" i="3"/>
  <c r="DW529" i="1"/>
  <c r="DW526" i="1" s="1"/>
  <c r="DT587" i="1"/>
  <c r="DW523" i="1"/>
  <c r="DW533" i="1" s="1"/>
  <c r="C76" i="11"/>
  <c r="D76" i="11" s="1"/>
  <c r="EA110" i="1"/>
  <c r="EA112" i="1" s="1"/>
  <c r="EA120" i="1" s="1"/>
  <c r="DY106" i="1"/>
  <c r="DY240" i="1"/>
  <c r="B24" i="13"/>
  <c r="G24" i="13" s="1"/>
  <c r="E101" i="13"/>
  <c r="E148" i="24"/>
  <c r="E155" i="24" s="1"/>
  <c r="B5152" i="3"/>
  <c r="D5477" i="3"/>
  <c r="D5480" i="3" s="1"/>
  <c r="D5484" i="3" s="1"/>
  <c r="EF472" i="18"/>
  <c r="EF467" i="18" s="1"/>
  <c r="EF405" i="18"/>
  <c r="D96" i="24"/>
  <c r="D104" i="24"/>
  <c r="D105" i="24" s="1"/>
  <c r="DY104" i="1"/>
  <c r="DV354" i="18"/>
  <c r="DW176" i="4"/>
  <c r="DW180" i="4" s="1"/>
  <c r="DT528" i="1"/>
  <c r="E5968" i="3"/>
  <c r="D4348" i="3"/>
  <c r="C4348" i="3" s="1"/>
  <c r="B4348" i="3" s="1"/>
  <c r="C97" i="13"/>
  <c r="C25" i="13" s="1"/>
  <c r="J5740" i="3"/>
  <c r="EC527" i="1"/>
  <c r="ED527" i="1" s="1"/>
  <c r="EC523" i="1"/>
  <c r="EC533" i="1" s="1"/>
  <c r="D5146" i="3"/>
  <c r="E5146" i="3" s="1"/>
  <c r="F5146" i="3" s="1"/>
  <c r="G5146" i="3" s="1"/>
  <c r="H5146" i="3" s="1"/>
  <c r="I5146" i="3" s="1"/>
  <c r="J5146" i="3" s="1"/>
  <c r="EC596" i="18"/>
  <c r="ED593" i="18"/>
  <c r="C5188" i="3"/>
  <c r="D5491" i="3"/>
  <c r="DV405" i="18"/>
  <c r="DV403" i="18" s="1"/>
  <c r="DV490" i="18"/>
  <c r="DV528" i="18" s="1"/>
  <c r="DV634" i="2"/>
  <c r="DY118" i="1"/>
  <c r="DY516" i="1"/>
  <c r="DY71" i="4"/>
  <c r="DU57" i="4"/>
  <c r="L4304" i="3"/>
  <c r="J4915" i="3"/>
  <c r="K4915" i="3" s="1"/>
  <c r="L4915" i="3" s="1"/>
  <c r="M4915" i="3" s="1"/>
  <c r="N4915" i="3" s="1"/>
  <c r="B5188" i="3"/>
  <c r="B5187" i="3" s="1"/>
  <c r="B5193" i="3" s="1"/>
  <c r="B5240" i="3"/>
  <c r="B5242" i="3" s="1"/>
  <c r="B4310" i="3"/>
  <c r="B5151" i="3"/>
  <c r="J5549" i="3"/>
  <c r="C5676" i="3"/>
  <c r="C5623" i="3" s="1"/>
  <c r="C155" i="24"/>
  <c r="D5954" i="3"/>
  <c r="E5918" i="3"/>
  <c r="DY660" i="2"/>
  <c r="EA611" i="1"/>
  <c r="C4216" i="3"/>
  <c r="C4217" i="3" s="1"/>
  <c r="DU416" i="18"/>
  <c r="DV413" i="18" s="1"/>
  <c r="EE428" i="18"/>
  <c r="DV461" i="18"/>
  <c r="DV456" i="18" s="1"/>
  <c r="DV455" i="18" s="1"/>
  <c r="DV124" i="18"/>
  <c r="EC290" i="18"/>
  <c r="EC285" i="18" s="1"/>
  <c r="EC284" i="18" s="1"/>
  <c r="EC448" i="18"/>
  <c r="ED576" i="18"/>
  <c r="DZ594" i="18"/>
  <c r="DZ596" i="18" s="1"/>
  <c r="DX459" i="18"/>
  <c r="DY347" i="18"/>
  <c r="DY523" i="18" s="1"/>
  <c r="DY529" i="18" s="1"/>
  <c r="DZ349" i="18"/>
  <c r="EB549" i="18"/>
  <c r="I3730" i="3"/>
  <c r="I3732" i="3" s="1"/>
  <c r="E3723" i="3"/>
  <c r="E3725" i="3" s="1"/>
  <c r="H3741" i="3"/>
  <c r="ED294" i="18"/>
  <c r="EA254" i="18"/>
  <c r="EC243" i="18"/>
  <c r="ED44" i="18"/>
  <c r="D42" i="20"/>
  <c r="DY339" i="18"/>
  <c r="EF128" i="18"/>
  <c r="EF176" i="4"/>
  <c r="EF180" i="4" s="1"/>
  <c r="EB146" i="18"/>
  <c r="E5650" i="3"/>
  <c r="V4767" i="3"/>
  <c r="V4768" i="3" s="1"/>
  <c r="AP5748" i="3"/>
  <c r="E5866" i="3"/>
  <c r="E5868" i="3" s="1"/>
  <c r="F5908" i="3"/>
  <c r="DX353" i="18"/>
  <c r="DY288" i="18"/>
  <c r="B148" i="24"/>
  <c r="D5771" i="3"/>
  <c r="EB91" i="4"/>
  <c r="EB92" i="4" s="1"/>
  <c r="C5914" i="3"/>
  <c r="D5953" i="3"/>
  <c r="E5914" i="3"/>
  <c r="F5871" i="3"/>
  <c r="W5990" i="3"/>
  <c r="DZ555" i="1"/>
  <c r="DZ556" i="1" s="1"/>
  <c r="DY346" i="18"/>
  <c r="DY151" i="18"/>
  <c r="DY58" i="18"/>
  <c r="J17" i="25" s="1"/>
  <c r="EB103" i="18"/>
  <c r="EB77" i="18"/>
  <c r="EB102" i="18"/>
  <c r="E5922" i="3"/>
  <c r="E5953" i="3"/>
  <c r="F5909" i="3"/>
  <c r="F5872" i="3" s="1"/>
  <c r="F5920" i="3"/>
  <c r="DX662" i="2"/>
  <c r="EE230" i="1"/>
  <c r="EE176" i="4"/>
  <c r="EE180" i="4" s="1"/>
  <c r="F5990" i="3"/>
  <c r="Y5990" i="3"/>
  <c r="L5990" i="3"/>
  <c r="C4215" i="3"/>
  <c r="C4218" i="3" s="1"/>
  <c r="DU382" i="18"/>
  <c r="DU488" i="18" s="1"/>
  <c r="DY397" i="18"/>
  <c r="EC428" i="18"/>
  <c r="EA495" i="18"/>
  <c r="EC499" i="18"/>
  <c r="DY593" i="18"/>
  <c r="DY564" i="18" s="1"/>
  <c r="DU479" i="18"/>
  <c r="DX349" i="18"/>
  <c r="DY592" i="18"/>
  <c r="DV596" i="18"/>
  <c r="B3625" i="3"/>
  <c r="E43" i="21"/>
  <c r="B153" i="24"/>
  <c r="B156" i="24" s="1"/>
  <c r="EA357" i="10"/>
  <c r="B3547" i="3"/>
  <c r="EB306" i="2"/>
  <c r="EC176" i="4"/>
  <c r="ED176" i="4" s="1"/>
  <c r="D5643" i="3"/>
  <c r="G4750" i="3"/>
  <c r="P5746" i="3"/>
  <c r="Q5753" i="3" s="1"/>
  <c r="AP5747" i="3"/>
  <c r="F5870" i="3"/>
  <c r="B5952" i="3"/>
  <c r="B5879" i="3" s="1"/>
  <c r="F5880" i="3"/>
  <c r="DY659" i="2"/>
  <c r="EI514" i="1"/>
  <c r="X5990" i="3"/>
  <c r="D4216" i="3"/>
  <c r="EB407" i="18"/>
  <c r="DZ407" i="18"/>
  <c r="EC472" i="18"/>
  <c r="EC467" i="18" s="1"/>
  <c r="EC466" i="18" s="1"/>
  <c r="EE462" i="18"/>
  <c r="EE469" i="18"/>
  <c r="EB538" i="18"/>
  <c r="EB560" i="18" s="1"/>
  <c r="EE349" i="18"/>
  <c r="DU349" i="18"/>
  <c r="DZ353" i="18"/>
  <c r="EC492" i="18"/>
  <c r="DV276" i="18"/>
  <c r="DV47" i="18" s="1"/>
  <c r="DZ299" i="18"/>
  <c r="D28" i="22"/>
  <c r="D29" i="22" s="1"/>
  <c r="C187" i="24"/>
  <c r="EB133" i="18"/>
  <c r="EF634" i="2"/>
  <c r="EF636" i="2" s="1"/>
  <c r="DX357" i="10"/>
  <c r="D3572" i="3"/>
  <c r="DY24" i="4"/>
  <c r="F5773" i="3"/>
  <c r="I5847" i="3"/>
  <c r="I5851" i="3"/>
  <c r="E5855" i="3"/>
  <c r="F5953" i="3"/>
  <c r="D5867" i="3" s="1"/>
  <c r="DV394" i="18"/>
  <c r="DV393" i="18" s="1"/>
  <c r="EF109" i="4"/>
  <c r="EI109" i="4" s="1"/>
  <c r="EI255" i="1"/>
  <c r="EC357" i="10"/>
  <c r="EA340" i="18"/>
  <c r="C5696" i="3"/>
  <c r="C5618" i="3" s="1"/>
  <c r="EE432" i="18"/>
  <c r="DZ371" i="18"/>
  <c r="EA375" i="18" s="1"/>
  <c r="DX91" i="18"/>
  <c r="DW91" i="18" s="1"/>
  <c r="DX92" i="18" s="1"/>
  <c r="ED605" i="18"/>
  <c r="B3730" i="3"/>
  <c r="DZ340" i="18"/>
  <c r="DZ146" i="18"/>
  <c r="DZ269" i="18"/>
  <c r="EB299" i="18"/>
  <c r="H5643" i="3"/>
  <c r="C5669" i="3"/>
  <c r="C5617" i="3" s="1"/>
  <c r="V4771" i="3"/>
  <c r="F5945" i="3"/>
  <c r="B5866" i="3" s="1"/>
  <c r="B5890" i="3" s="1"/>
  <c r="DZ459" i="18"/>
  <c r="EB469" i="18"/>
  <c r="DV459" i="18"/>
  <c r="DU459" i="18" s="1"/>
  <c r="DU454" i="18" s="1"/>
  <c r="DY594" i="18"/>
  <c r="ED592" i="18"/>
  <c r="EC349" i="18"/>
  <c r="DW596" i="18"/>
  <c r="DY351" i="18"/>
  <c r="EC549" i="18"/>
  <c r="C4082" i="3"/>
  <c r="DY210" i="18"/>
  <c r="D28" i="20"/>
  <c r="D29" i="20" s="1"/>
  <c r="K48" i="20" s="1"/>
  <c r="DZ58" i="18"/>
  <c r="DV346" i="10"/>
  <c r="DV171" i="2"/>
  <c r="DU408" i="10"/>
  <c r="EF122" i="18"/>
  <c r="DW26" i="4"/>
  <c r="DW28" i="4" s="1"/>
  <c r="EF26" i="4"/>
  <c r="EF28" i="4" s="1"/>
  <c r="EA307" i="2"/>
  <c r="DZ139" i="2"/>
  <c r="EG138" i="1"/>
  <c r="EG154" i="1" s="1"/>
  <c r="EG153" i="1" s="1"/>
  <c r="EG504" i="1"/>
  <c r="EA387" i="10"/>
  <c r="DY470" i="2"/>
  <c r="ED142" i="4"/>
  <c r="ED138" i="4"/>
  <c r="EA129" i="10"/>
  <c r="ED273" i="2"/>
  <c r="ED401" i="10" s="1"/>
  <c r="EG185" i="4"/>
  <c r="EG370" i="2"/>
  <c r="ED136" i="4"/>
  <c r="DZ143" i="4"/>
  <c r="DZ145" i="4" s="1"/>
  <c r="DZ146" i="4" s="1"/>
  <c r="F3167" i="3"/>
  <c r="G3163" i="3"/>
  <c r="G3167" i="3" s="1"/>
  <c r="E3201" i="3"/>
  <c r="E3203" i="3" s="1"/>
  <c r="D3199" i="3"/>
  <c r="D3207" i="3" s="1"/>
  <c r="EK362" i="10"/>
  <c r="EA270" i="2"/>
  <c r="EA269" i="2" s="1"/>
  <c r="EA315" i="2"/>
  <c r="EA338" i="2" s="1"/>
  <c r="EA506" i="1"/>
  <c r="D3493" i="3"/>
  <c r="ED141" i="4"/>
  <c r="I154" i="19"/>
  <c r="J154" i="19"/>
  <c r="DX26" i="4"/>
  <c r="DX28" i="4" s="1"/>
  <c r="DV26" i="4"/>
  <c r="DV28" i="4" s="1"/>
  <c r="DZ397" i="10"/>
  <c r="EG57" i="4"/>
  <c r="EG390" i="2"/>
  <c r="EA173" i="1"/>
  <c r="EA189" i="1" s="1"/>
  <c r="EA188" i="1" s="1"/>
  <c r="EG34" i="2"/>
  <c r="DV16" i="4"/>
  <c r="ED137" i="4"/>
  <c r="EA149" i="4"/>
  <c r="EE360" i="1"/>
  <c r="EE364" i="1"/>
  <c r="EI266" i="1"/>
  <c r="EH184" i="1"/>
  <c r="EH68" i="2"/>
  <c r="EI182" i="1"/>
  <c r="EI184" i="1" s="1"/>
  <c r="EH58" i="2"/>
  <c r="DZ137" i="10"/>
  <c r="DZ60" i="2"/>
  <c r="EC283" i="2"/>
  <c r="ED260" i="2"/>
  <c r="EB138" i="1"/>
  <c r="EB154" i="1" s="1"/>
  <c r="EB153" i="1" s="1"/>
  <c r="EG574" i="2"/>
  <c r="EG120" i="4"/>
  <c r="EN71" i="4"/>
  <c r="E5087" i="3" s="1"/>
  <c r="E3442" i="3"/>
  <c r="EG479" i="2"/>
  <c r="EH195" i="2"/>
  <c r="EI99" i="2"/>
  <c r="EJ574" i="2" s="1"/>
  <c r="DW140" i="2"/>
  <c r="EG588" i="2"/>
  <c r="ED28" i="2"/>
  <c r="EB143" i="4"/>
  <c r="EB145" i="4" s="1"/>
  <c r="EB146" i="4" s="1"/>
  <c r="EI103" i="4"/>
  <c r="EI14" i="32" s="1"/>
  <c r="EH588" i="2"/>
  <c r="EH590" i="2" s="1"/>
  <c r="EH591" i="2" s="1"/>
  <c r="EE100" i="2"/>
  <c r="EC99" i="2"/>
  <c r="EC91" i="2"/>
  <c r="EC96" i="2"/>
  <c r="F3225" i="3"/>
  <c r="G3225" i="3"/>
  <c r="EF268" i="2"/>
  <c r="EE315" i="2"/>
  <c r="EF112" i="2"/>
  <c r="EF114" i="2" s="1"/>
  <c r="EE283" i="2"/>
  <c r="EF364" i="1"/>
  <c r="EF360" i="1"/>
  <c r="EI136" i="1"/>
  <c r="EI161" i="1"/>
  <c r="EI163" i="1" s="1"/>
  <c r="EH283" i="2"/>
  <c r="EM284" i="2" s="1"/>
  <c r="EC268" i="2"/>
  <c r="EC315" i="2" s="1"/>
  <c r="EC338" i="2" s="1"/>
  <c r="EG364" i="1"/>
  <c r="EI66" i="4"/>
  <c r="EE35" i="2"/>
  <c r="DY87" i="2"/>
  <c r="EH78" i="2"/>
  <c r="EC149" i="4"/>
  <c r="EN365" i="1"/>
  <c r="D3195" i="3"/>
  <c r="G3175" i="3"/>
  <c r="ED115" i="2"/>
  <c r="EA143" i="4"/>
  <c r="EA145" i="4" s="1"/>
  <c r="EA146" i="4" s="1"/>
  <c r="EB149" i="4"/>
  <c r="ED148" i="4"/>
  <c r="EB364" i="1"/>
  <c r="EC364" i="1"/>
  <c r="H3179" i="3"/>
  <c r="I3225" i="3"/>
  <c r="EH494" i="1"/>
  <c r="EH506" i="1" s="1"/>
  <c r="DY15" i="4"/>
  <c r="EH364" i="1"/>
  <c r="E3165" i="3"/>
  <c r="EI606" i="1"/>
  <c r="ED149" i="1"/>
  <c r="DY469" i="2"/>
  <c r="F3175" i="3"/>
  <c r="EH120" i="4"/>
  <c r="EH185" i="4"/>
  <c r="EI185" i="4" s="1"/>
  <c r="EH202" i="4"/>
  <c r="AA54" i="23"/>
  <c r="Z54" i="23"/>
  <c r="D42" i="21"/>
  <c r="C41" i="21"/>
  <c r="C85" i="21" s="1"/>
  <c r="C87" i="21" s="1"/>
  <c r="C10" i="21" s="1"/>
  <c r="C5262" i="3"/>
  <c r="B237" i="6"/>
  <c r="D5263" i="3"/>
  <c r="D5262" i="3"/>
  <c r="C5263" i="3"/>
  <c r="B5259" i="3"/>
  <c r="C5259" i="3"/>
  <c r="C5256" i="3"/>
  <c r="B236" i="6"/>
  <c r="D5261" i="3"/>
  <c r="B3944" i="3"/>
  <c r="Q132" i="6"/>
  <c r="B5258" i="3"/>
  <c r="B5287" i="3"/>
  <c r="C5261" i="3"/>
  <c r="B5286" i="3"/>
  <c r="B5256" i="3"/>
  <c r="B5285" i="3"/>
  <c r="C5258" i="3"/>
  <c r="C5257" i="3"/>
  <c r="B238" i="6"/>
  <c r="B219" i="6" s="1"/>
  <c r="Q137" i="6"/>
  <c r="Q130" i="6"/>
  <c r="B5284" i="3"/>
  <c r="D5292" i="3" s="1"/>
  <c r="B5257" i="3"/>
  <c r="F5006" i="3"/>
  <c r="F4999" i="3"/>
  <c r="E5005" i="3"/>
  <c r="E4998" i="3"/>
  <c r="D5006" i="3"/>
  <c r="G5005" i="3"/>
  <c r="C5300" i="3"/>
  <c r="C5302" i="3" s="1"/>
  <c r="C5304" i="3" s="1"/>
  <c r="E5491" i="3"/>
  <c r="D4620" i="3"/>
  <c r="D5000" i="3"/>
  <c r="D5007" i="3"/>
  <c r="C5292" i="3"/>
  <c r="E5477" i="3"/>
  <c r="E5480" i="3" s="1"/>
  <c r="E5481" i="3" s="1"/>
  <c r="EE496" i="2"/>
  <c r="EG491" i="2"/>
  <c r="C4771" i="3"/>
  <c r="D4248" i="3"/>
  <c r="EG496" i="2"/>
  <c r="H4254" i="3"/>
  <c r="H4291" i="3"/>
  <c r="AJ5739" i="3"/>
  <c r="I4243" i="3"/>
  <c r="F5000" i="3"/>
  <c r="F5007" i="3"/>
  <c r="B4982" i="3"/>
  <c r="C4541" i="3"/>
  <c r="EN117" i="4"/>
  <c r="DW116" i="10"/>
  <c r="C5067" i="3"/>
  <c r="C5073" i="3"/>
  <c r="B4449" i="3"/>
  <c r="EB642" i="2"/>
  <c r="DW634" i="2"/>
  <c r="C4301" i="3"/>
  <c r="D4187" i="3"/>
  <c r="E4168" i="3"/>
  <c r="C4168" i="3"/>
  <c r="B5800" i="3"/>
  <c r="B5801" i="3" s="1"/>
  <c r="B5821" i="3" s="1"/>
  <c r="B5828" i="3" s="1"/>
  <c r="EC642" i="2"/>
  <c r="DX634" i="2"/>
  <c r="DV279" i="1"/>
  <c r="DV196" i="4"/>
  <c r="DX160" i="4"/>
  <c r="DZ157" i="4"/>
  <c r="ED157" i="4" s="1"/>
  <c r="E4147" i="3"/>
  <c r="E4151" i="3" s="1"/>
  <c r="F4147" i="3"/>
  <c r="F4152" i="3" s="1"/>
  <c r="B4177" i="3"/>
  <c r="C124" i="6"/>
  <c r="DY174" i="4"/>
  <c r="DX176" i="4"/>
  <c r="DY176" i="4" s="1"/>
  <c r="DZ176" i="4"/>
  <c r="DZ180" i="4" s="1"/>
  <c r="G5094" i="3"/>
  <c r="G4349" i="3"/>
  <c r="H4256" i="3"/>
  <c r="H4259" i="3" s="1"/>
  <c r="H4260" i="3" s="1"/>
  <c r="G5022" i="3"/>
  <c r="F4274" i="3"/>
  <c r="G4274" i="3" s="1"/>
  <c r="E4275" i="3"/>
  <c r="E4279" i="3" s="1"/>
  <c r="I5740" i="3"/>
  <c r="J4507" i="3"/>
  <c r="J4405" i="3"/>
  <c r="J4400" i="3"/>
  <c r="J4401" i="3"/>
  <c r="EE643" i="2"/>
  <c r="DZ643" i="2"/>
  <c r="ED59" i="1"/>
  <c r="DZ69" i="4"/>
  <c r="C4131" i="3"/>
  <c r="EA641" i="2"/>
  <c r="DV649" i="2"/>
  <c r="DW105" i="10"/>
  <c r="DY73" i="4"/>
  <c r="D5967" i="3"/>
  <c r="D5968" i="3" s="1"/>
  <c r="DZ641" i="2"/>
  <c r="B4131" i="3"/>
  <c r="DV97" i="4"/>
  <c r="DY65" i="4"/>
  <c r="DT530" i="1"/>
  <c r="EB279" i="1"/>
  <c r="EC277" i="1"/>
  <c r="EC196" i="35" s="1"/>
  <c r="G4456" i="3"/>
  <c r="F4466" i="3"/>
  <c r="DZ634" i="2"/>
  <c r="DZ66" i="1"/>
  <c r="G4257" i="3"/>
  <c r="H4257" i="3" s="1"/>
  <c r="I4257" i="3" s="1"/>
  <c r="BL5" i="2"/>
  <c r="BL5" i="10"/>
  <c r="BL5" i="18"/>
  <c r="BL5" i="4"/>
  <c r="BQ5" i="1"/>
  <c r="DQ516" i="1"/>
  <c r="DT516" i="1" s="1"/>
  <c r="DT514" i="1"/>
  <c r="ED27" i="4"/>
  <c r="DX263" i="10"/>
  <c r="DW250" i="1"/>
  <c r="DW103" i="35" s="1"/>
  <c r="DV103" i="4"/>
  <c r="G5610" i="3"/>
  <c r="G5650" i="3"/>
  <c r="DQ71" i="1"/>
  <c r="DQ72" i="1"/>
  <c r="DW243" i="18"/>
  <c r="DX243" i="18"/>
  <c r="DX238" i="18"/>
  <c r="DX240" i="18" s="1"/>
  <c r="DX239" i="18" s="1"/>
  <c r="DY119" i="1"/>
  <c r="DU354" i="18"/>
  <c r="B3731" i="3"/>
  <c r="DW263" i="10"/>
  <c r="DU120" i="4"/>
  <c r="EB66" i="1"/>
  <c r="EB68" i="1" s="1"/>
  <c r="EB70" i="1" s="1"/>
  <c r="EB69" i="4"/>
  <c r="EB74" i="4" s="1"/>
  <c r="C4689" i="3"/>
  <c r="C4690" i="3" s="1"/>
  <c r="D4692" i="3"/>
  <c r="D4689" i="3" s="1"/>
  <c r="ED633" i="2"/>
  <c r="DY179" i="4"/>
  <c r="E76" i="13"/>
  <c r="D77" i="13"/>
  <c r="E77" i="13" s="1"/>
  <c r="DR529" i="1"/>
  <c r="DR526" i="1" s="1"/>
  <c r="E25" i="13"/>
  <c r="B136" i="13"/>
  <c r="G5606" i="3"/>
  <c r="G5611" i="3"/>
  <c r="D5606" i="3"/>
  <c r="D5611" i="3"/>
  <c r="EC249" i="1"/>
  <c r="EA642" i="2"/>
  <c r="DX492" i="18"/>
  <c r="ED105" i="1"/>
  <c r="DT59" i="1"/>
  <c r="DP529" i="1"/>
  <c r="DV263" i="10"/>
  <c r="DT521" i="1"/>
  <c r="DW588" i="2"/>
  <c r="DW590" i="2" s="1"/>
  <c r="DW591" i="2" s="1"/>
  <c r="DY107" i="1"/>
  <c r="DU523" i="1"/>
  <c r="DW427" i="18"/>
  <c r="DW435" i="18" s="1"/>
  <c r="DY216" i="1"/>
  <c r="B77" i="11"/>
  <c r="C77" i="11" s="1"/>
  <c r="D77" i="11" s="1"/>
  <c r="E77" i="11" s="1"/>
  <c r="F77" i="11" s="1"/>
  <c r="G77" i="11" s="1"/>
  <c r="H77" i="11" s="1"/>
  <c r="I77" i="11" s="1"/>
  <c r="J77" i="11" s="1"/>
  <c r="K77" i="11" s="1"/>
  <c r="L77" i="11" s="1"/>
  <c r="M77" i="11" s="1"/>
  <c r="N77" i="11" s="1"/>
  <c r="O77" i="11" s="1"/>
  <c r="P77" i="11" s="1"/>
  <c r="DW58" i="2"/>
  <c r="DY528" i="1"/>
  <c r="G4273" i="3"/>
  <c r="G5155" i="3"/>
  <c r="D5570" i="3"/>
  <c r="D5571" i="3" s="1"/>
  <c r="F5562" i="3"/>
  <c r="C5562" i="3"/>
  <c r="B5585" i="3"/>
  <c r="ED537" i="1"/>
  <c r="ED530" i="1"/>
  <c r="ED86" i="1"/>
  <c r="ED522" i="1"/>
  <c r="DY514" i="1"/>
  <c r="DZ354" i="18"/>
  <c r="DW354" i="18"/>
  <c r="DV266" i="1"/>
  <c r="E4405" i="3"/>
  <c r="E4401" i="3"/>
  <c r="E4400" i="3"/>
  <c r="E5230" i="3"/>
  <c r="E5232" i="3" s="1"/>
  <c r="E5234" i="3" s="1"/>
  <c r="E5236" i="3" s="1"/>
  <c r="E5238" i="3" s="1"/>
  <c r="C5948" i="3"/>
  <c r="D5945" i="3"/>
  <c r="D5947" i="3"/>
  <c r="EA54" i="4"/>
  <c r="EB54" i="4"/>
  <c r="DU529" i="1"/>
  <c r="DP523" i="1"/>
  <c r="DY537" i="1"/>
  <c r="F3731" i="3"/>
  <c r="DV100" i="4"/>
  <c r="EB176" i="4"/>
  <c r="EB180" i="4" s="1"/>
  <c r="DX231" i="1"/>
  <c r="DY83" i="1"/>
  <c r="EA230" i="1"/>
  <c r="C5968" i="3"/>
  <c r="DY90" i="1"/>
  <c r="H3731" i="3"/>
  <c r="EB354" i="18"/>
  <c r="I4401" i="3"/>
  <c r="EH54" i="4"/>
  <c r="C5477" i="3"/>
  <c r="C5480" i="3" s="1"/>
  <c r="C5512" i="3"/>
  <c r="DY66" i="4"/>
  <c r="DW131" i="18"/>
  <c r="I4400" i="3"/>
  <c r="I4405" i="3"/>
  <c r="G5064" i="3"/>
  <c r="F5064" i="3"/>
  <c r="E75" i="13"/>
  <c r="D21" i="13"/>
  <c r="B4870" i="3"/>
  <c r="B5190" i="3"/>
  <c r="F4314" i="3"/>
  <c r="E4314" i="3"/>
  <c r="E4310" i="3"/>
  <c r="Z5745" i="3"/>
  <c r="S5752" i="3" s="1"/>
  <c r="U5745" i="3"/>
  <c r="F5771" i="3"/>
  <c r="AE5746" i="3"/>
  <c r="T5753" i="3" s="1"/>
  <c r="AQ5746" i="3"/>
  <c r="AP5746" i="3"/>
  <c r="G4880" i="3"/>
  <c r="B4883" i="3"/>
  <c r="C4880" i="3"/>
  <c r="D4880" i="3" s="1"/>
  <c r="E4880" i="3" s="1"/>
  <c r="E5905" i="3"/>
  <c r="D5905" i="3"/>
  <c r="D5914" i="3"/>
  <c r="D5909" i="3"/>
  <c r="D5922" i="3"/>
  <c r="D5915" i="3"/>
  <c r="E4751" i="3"/>
  <c r="G4751" i="3"/>
  <c r="C5953" i="3"/>
  <c r="C5952" i="3"/>
  <c r="C5954" i="3"/>
  <c r="M4401" i="3"/>
  <c r="D4400" i="3"/>
  <c r="D4405" i="3"/>
  <c r="N4507" i="3"/>
  <c r="D5250" i="3"/>
  <c r="D5249" i="3" s="1"/>
  <c r="E5283" i="3"/>
  <c r="B5073" i="3"/>
  <c r="H4401" i="3"/>
  <c r="E4466" i="3"/>
  <c r="L4564" i="3"/>
  <c r="K4834" i="3"/>
  <c r="G4314" i="3"/>
  <c r="G4310" i="3"/>
  <c r="C5491" i="3"/>
  <c r="D5602" i="3"/>
  <c r="D5696" i="3"/>
  <c r="C5650" i="3"/>
  <c r="C5622" i="3" s="1"/>
  <c r="B5773" i="3"/>
  <c r="P5748" i="3"/>
  <c r="K5748" i="3"/>
  <c r="P5755" i="3" s="1"/>
  <c r="AE5747" i="3"/>
  <c r="F5772" i="3"/>
  <c r="A4829" i="3"/>
  <c r="D5073" i="3"/>
  <c r="F4401" i="3"/>
  <c r="H4400" i="3"/>
  <c r="H4405" i="3"/>
  <c r="C77" i="13"/>
  <c r="D4275" i="3"/>
  <c r="D4279" i="3" s="1"/>
  <c r="K4282" i="3"/>
  <c r="K4405" i="3"/>
  <c r="K4507" i="3"/>
  <c r="EC69" i="4"/>
  <c r="EC74" i="4" s="1"/>
  <c r="EC66" i="1"/>
  <c r="EC68" i="1" s="1"/>
  <c r="EC70" i="1" s="1"/>
  <c r="F5650" i="3"/>
  <c r="L4834" i="3"/>
  <c r="C5703" i="3"/>
  <c r="C5624" i="3" s="1"/>
  <c r="AJ5746" i="3"/>
  <c r="L4505" i="3"/>
  <c r="K4564" i="3"/>
  <c r="I4147" i="3"/>
  <c r="E5606" i="3"/>
  <c r="E5611" i="3"/>
  <c r="U4771" i="3"/>
  <c r="F5770" i="3"/>
  <c r="AE5745" i="3"/>
  <c r="T5752" i="3" s="1"/>
  <c r="E5947" i="3"/>
  <c r="E5945" i="3"/>
  <c r="E5946" i="3"/>
  <c r="Z5747" i="3"/>
  <c r="S5754" i="3" s="1"/>
  <c r="G5913" i="3"/>
  <c r="D5946" i="3"/>
  <c r="F5643" i="3"/>
  <c r="U5747" i="3"/>
  <c r="C4873" i="3"/>
  <c r="B4886" i="3"/>
  <c r="B5954" i="3"/>
  <c r="C5917" i="3"/>
  <c r="C5915" i="3"/>
  <c r="E5610" i="3"/>
  <c r="U5748" i="3"/>
  <c r="U5746" i="3"/>
  <c r="Z5748" i="3"/>
  <c r="S5755" i="3" s="1"/>
  <c r="C5771" i="3"/>
  <c r="F5915" i="3"/>
  <c r="F5917" i="3"/>
  <c r="G5956" i="3"/>
  <c r="B5953" i="3"/>
  <c r="D5879" i="3" s="1"/>
  <c r="F5946" i="3"/>
  <c r="C5905" i="3"/>
  <c r="C5909" i="3"/>
  <c r="G5904" i="3"/>
  <c r="F5954" i="3"/>
  <c r="E5915" i="3"/>
  <c r="N5990" i="3"/>
  <c r="S5990" i="3"/>
  <c r="O5990" i="3"/>
  <c r="P5990" i="3"/>
  <c r="T5990" i="3"/>
  <c r="D5998" i="3"/>
  <c r="M5990" i="3"/>
  <c r="EI521" i="1"/>
  <c r="EE523" i="1"/>
  <c r="EE529" i="1"/>
  <c r="DW611" i="1"/>
  <c r="DW616" i="1"/>
  <c r="EI587" i="1"/>
  <c r="EE591" i="1"/>
  <c r="EI591" i="1" s="1"/>
  <c r="EP388" i="18"/>
  <c r="C6032" i="3"/>
  <c r="F6026" i="3"/>
  <c r="F6041" i="3" s="1"/>
  <c r="C6023" i="3"/>
  <c r="EC591" i="1"/>
  <c r="EE120" i="4"/>
  <c r="AB5990" i="3"/>
  <c r="DU611" i="1"/>
  <c r="AD5990" i="3"/>
  <c r="EK399" i="18"/>
  <c r="DW461" i="18"/>
  <c r="DV387" i="18"/>
  <c r="DV416" i="18"/>
  <c r="EB461" i="18"/>
  <c r="EB456" i="18" s="1"/>
  <c r="EB455" i="18" s="1"/>
  <c r="EB124" i="18"/>
  <c r="EB399" i="18"/>
  <c r="DV433" i="18"/>
  <c r="EA596" i="18"/>
  <c r="DX102" i="18"/>
  <c r="DY102" i="18" s="1"/>
  <c r="DY101" i="18"/>
  <c r="DX382" i="18"/>
  <c r="DX384" i="18" s="1"/>
  <c r="DX383" i="18" s="1"/>
  <c r="EE539" i="18"/>
  <c r="EI465" i="18"/>
  <c r="C4002" i="3"/>
  <c r="B3969" i="3"/>
  <c r="B4002" i="3" s="1"/>
  <c r="DX416" i="18"/>
  <c r="DX387" i="18"/>
  <c r="EA245" i="18"/>
  <c r="DZ240" i="18"/>
  <c r="DZ239" i="18" s="1"/>
  <c r="DX433" i="18"/>
  <c r="DX461" i="18"/>
  <c r="DX456" i="18" s="1"/>
  <c r="DX455" i="18" s="1"/>
  <c r="DZ136" i="18"/>
  <c r="DZ96" i="18"/>
  <c r="DX431" i="18"/>
  <c r="DX399" i="18"/>
  <c r="DX394" i="18" s="1"/>
  <c r="DX393" i="18" s="1"/>
  <c r="DX398" i="18" s="1"/>
  <c r="DY385" i="18"/>
  <c r="DV372" i="18"/>
  <c r="DW376" i="18" s="1"/>
  <c r="DX376" i="18"/>
  <c r="DU124" i="18"/>
  <c r="DU399" i="18"/>
  <c r="DU461" i="18"/>
  <c r="DZ538" i="18"/>
  <c r="ED454" i="18"/>
  <c r="EA379" i="18"/>
  <c r="DW374" i="18"/>
  <c r="EC91" i="18"/>
  <c r="EC371" i="18"/>
  <c r="ED553" i="1"/>
  <c r="EA399" i="18"/>
  <c r="EA461" i="18"/>
  <c r="EA456" i="18" s="1"/>
  <c r="EA455" i="18" s="1"/>
  <c r="DX527" i="18"/>
  <c r="DY605" i="18"/>
  <c r="EC429" i="18"/>
  <c r="DZ408" i="18"/>
  <c r="EC424" i="18"/>
  <c r="EC494" i="18" s="1"/>
  <c r="DV489" i="18"/>
  <c r="DZ195" i="18"/>
  <c r="DV435" i="18"/>
  <c r="DU596" i="18"/>
  <c r="DW459" i="18"/>
  <c r="EE458" i="18"/>
  <c r="DW470" i="18"/>
  <c r="DV465" i="18"/>
  <c r="EB479" i="18"/>
  <c r="ED345" i="18"/>
  <c r="DW349" i="18"/>
  <c r="DX604" i="18"/>
  <c r="DX606" i="18" s="1"/>
  <c r="EE593" i="18"/>
  <c r="EE596" i="18" s="1"/>
  <c r="EC454" i="18"/>
  <c r="EC538" i="18" s="1"/>
  <c r="EC560" i="18" s="1"/>
  <c r="B348" i="24"/>
  <c r="ED174" i="18"/>
  <c r="DX465" i="18"/>
  <c r="DX539" i="18" s="1"/>
  <c r="DX563" i="18" s="1"/>
  <c r="F3730" i="3"/>
  <c r="F3723" i="3"/>
  <c r="EI215" i="18"/>
  <c r="DZ254" i="18"/>
  <c r="H3723" i="3"/>
  <c r="H3725" i="3" s="1"/>
  <c r="DY44" i="18"/>
  <c r="EB448" i="18"/>
  <c r="ED446" i="18"/>
  <c r="DW424" i="18"/>
  <c r="EE407" i="18"/>
  <c r="DY427" i="18"/>
  <c r="EA554" i="1"/>
  <c r="DW454" i="18"/>
  <c r="DW538" i="18" s="1"/>
  <c r="DW560" i="18" s="1"/>
  <c r="EA458" i="18"/>
  <c r="DZ458" i="18"/>
  <c r="EE479" i="18"/>
  <c r="DY345" i="18"/>
  <c r="ED352" i="18"/>
  <c r="EA349" i="18"/>
  <c r="EA492" i="18"/>
  <c r="D4028" i="3"/>
  <c r="C3723" i="3"/>
  <c r="B3723" i="3"/>
  <c r="C3741" i="3"/>
  <c r="C3730" i="3"/>
  <c r="DW490" i="18"/>
  <c r="EC443" i="18"/>
  <c r="EA428" i="18"/>
  <c r="EB435" i="18"/>
  <c r="EF454" i="18"/>
  <c r="DZ479" i="18"/>
  <c r="EE604" i="18"/>
  <c r="EE606" i="18" s="1"/>
  <c r="J3730" i="3"/>
  <c r="EE276" i="18"/>
  <c r="DU106" i="18"/>
  <c r="DZ243" i="18"/>
  <c r="B170" i="24"/>
  <c r="C170" i="24" s="1"/>
  <c r="C169" i="24"/>
  <c r="DU305" i="18"/>
  <c r="DY253" i="18"/>
  <c r="D187" i="24"/>
  <c r="E183" i="24"/>
  <c r="J48" i="20"/>
  <c r="DW408" i="18"/>
  <c r="DV207" i="18"/>
  <c r="J48" i="22"/>
  <c r="DX233" i="18"/>
  <c r="DW240" i="18"/>
  <c r="D28" i="21"/>
  <c r="EC340" i="18"/>
  <c r="I25" i="20"/>
  <c r="I25" i="22"/>
  <c r="E95" i="24"/>
  <c r="D106" i="24"/>
  <c r="E106" i="24" s="1"/>
  <c r="F106" i="24" s="1"/>
  <c r="G106" i="24" s="1"/>
  <c r="H106" i="24" s="1"/>
  <c r="EA142" i="18"/>
  <c r="EC299" i="18"/>
  <c r="EF102" i="18"/>
  <c r="DZ431" i="2"/>
  <c r="EF185" i="4"/>
  <c r="EC128" i="18"/>
  <c r="EB269" i="18"/>
  <c r="DZ77" i="18"/>
  <c r="DZ103" i="18"/>
  <c r="D3541" i="3"/>
  <c r="C3543" i="3"/>
  <c r="EA132" i="18"/>
  <c r="EB304" i="2"/>
  <c r="EB318" i="2"/>
  <c r="EB341" i="2" s="1"/>
  <c r="D124" i="24"/>
  <c r="B101" i="24"/>
  <c r="B113" i="24" s="1"/>
  <c r="B184" i="24"/>
  <c r="EE128" i="18"/>
  <c r="EI128" i="18" s="1"/>
  <c r="EF273" i="18"/>
  <c r="EG273" i="18" s="1"/>
  <c r="EE132" i="18"/>
  <c r="DV408" i="10"/>
  <c r="G45" i="21"/>
  <c r="EE340" i="18"/>
  <c r="C168" i="24"/>
  <c r="EF256" i="1"/>
  <c r="EF107" i="4"/>
  <c r="EF153" i="4" s="1"/>
  <c r="EF340" i="18"/>
  <c r="EG340" i="18" s="1"/>
  <c r="D3579" i="3"/>
  <c r="D3577" i="3" s="1"/>
  <c r="DW405" i="10"/>
  <c r="C3545" i="3"/>
  <c r="B20" i="25"/>
  <c r="B24" i="25"/>
  <c r="DV357" i="10"/>
  <c r="EF120" i="4"/>
  <c r="DY23" i="4"/>
  <c r="DU26" i="4"/>
  <c r="EF527" i="1"/>
  <c r="EB128" i="18"/>
  <c r="EA139" i="2"/>
  <c r="EE306" i="2"/>
  <c r="DU403" i="10"/>
  <c r="DU397" i="10"/>
  <c r="DV302" i="2"/>
  <c r="DV304" i="2" s="1"/>
  <c r="DW348" i="10"/>
  <c r="EA140" i="2"/>
  <c r="EA135" i="2"/>
  <c r="EB405" i="10"/>
  <c r="K4532" i="3"/>
  <c r="EA306" i="2"/>
  <c r="DZ348" i="10"/>
  <c r="DW307" i="2"/>
  <c r="DX302" i="2"/>
  <c r="DX304" i="2" s="1"/>
  <c r="DX303" i="2" s="1"/>
  <c r="DW442" i="2"/>
  <c r="DW304" i="2"/>
  <c r="DW303" i="2" s="1"/>
  <c r="DX307" i="2"/>
  <c r="ED22" i="4"/>
  <c r="EC306" i="2"/>
  <c r="DX442" i="2"/>
  <c r="DV442" i="2"/>
  <c r="DX140" i="2"/>
  <c r="DW135" i="2"/>
  <c r="EA302" i="2"/>
  <c r="DV307" i="2"/>
  <c r="DU442" i="2"/>
  <c r="DX135" i="2"/>
  <c r="DX137" i="2" s="1"/>
  <c r="DY305" i="2"/>
  <c r="EA397" i="10"/>
  <c r="EB307" i="2"/>
  <c r="EB494" i="1"/>
  <c r="EB506" i="1" s="1"/>
  <c r="EB503" i="1"/>
  <c r="ED126" i="1"/>
  <c r="ED128" i="1" s="1"/>
  <c r="EA503" i="1"/>
  <c r="EG357" i="10"/>
  <c r="EG197" i="4"/>
  <c r="EG176" i="4"/>
  <c r="EG180" i="4" s="1"/>
  <c r="EC173" i="1"/>
  <c r="EC344" i="2"/>
  <c r="EF35" i="2"/>
  <c r="ED251" i="2"/>
  <c r="EG148" i="4"/>
  <c r="EG133" i="4"/>
  <c r="EG35" i="2"/>
  <c r="EE253" i="2"/>
  <c r="EH484" i="2"/>
  <c r="EH253" i="2"/>
  <c r="EB206" i="2"/>
  <c r="EB173" i="1"/>
  <c r="EB189" i="1" s="1"/>
  <c r="EB188" i="1" s="1"/>
  <c r="ED27" i="2"/>
  <c r="ED161" i="1"/>
  <c r="ED163" i="1" s="1"/>
  <c r="EG414" i="10"/>
  <c r="EG330" i="2"/>
  <c r="EE143" i="4"/>
  <c r="EI141" i="4"/>
  <c r="DW16" i="4"/>
  <c r="DX96" i="2"/>
  <c r="DY96" i="2" s="1"/>
  <c r="G3164" i="3"/>
  <c r="G3168" i="3" s="1"/>
  <c r="F3168" i="3"/>
  <c r="F3165" i="3"/>
  <c r="E3175" i="3"/>
  <c r="D3175" i="3"/>
  <c r="EE330" i="2"/>
  <c r="ED469" i="2"/>
  <c r="ED147" i="4"/>
  <c r="EI137" i="4"/>
  <c r="D3209" i="3"/>
  <c r="EA366" i="10"/>
  <c r="EF195" i="2"/>
  <c r="EH370" i="2"/>
  <c r="T82" i="29"/>
  <c r="U83" i="29" s="1"/>
  <c r="V84" i="29" s="1"/>
  <c r="J71" i="29"/>
  <c r="U82" i="29" s="1"/>
  <c r="V83" i="29" s="1"/>
  <c r="F3177" i="3"/>
  <c r="EI278" i="1"/>
  <c r="EI500" i="1"/>
  <c r="EG68" i="2"/>
  <c r="EH140" i="4"/>
  <c r="EI288" i="1"/>
  <c r="EI291" i="1" s="1"/>
  <c r="EI293" i="1" s="1"/>
  <c r="E71" i="29"/>
  <c r="EH69" i="4"/>
  <c r="EH66" i="1"/>
  <c r="B161" i="19"/>
  <c r="D161" i="19" s="1"/>
  <c r="EI126" i="1"/>
  <c r="EI128" i="1" s="1"/>
  <c r="J153" i="19"/>
  <c r="EB112" i="2"/>
  <c r="EA283" i="2"/>
  <c r="EA112" i="2"/>
  <c r="DZ283" i="2"/>
  <c r="EF94" i="2"/>
  <c r="D55" i="11"/>
  <c r="C236" i="6" a="1"/>
  <c r="D237" i="6" a="1"/>
  <c r="E238" i="6" a="1"/>
  <c r="D238" i="6" a="1"/>
  <c r="C238" i="6" a="1"/>
  <c r="D236" i="6" a="1"/>
  <c r="C237" i="6" a="1"/>
  <c r="C5287" i="3" a="1"/>
  <c r="C5285" i="3" a="1"/>
  <c r="C5286" i="3" a="1"/>
  <c r="D5286" i="3" a="1"/>
  <c r="D5284" i="3" a="1"/>
  <c r="C5284" i="3" a="1"/>
  <c r="D5287" i="3" a="1"/>
  <c r="D5285" i="3" a="1"/>
  <c r="EV576" i="2" l="1"/>
  <c r="EW576" i="2"/>
  <c r="EY189" i="4"/>
  <c r="FB120" i="4"/>
  <c r="FC120" i="4" s="1"/>
  <c r="FC117" i="4"/>
  <c r="DY346" i="10"/>
  <c r="EI208" i="10"/>
  <c r="B201" i="6"/>
  <c r="B201" i="41"/>
  <c r="B170" i="6"/>
  <c r="B175" i="6" s="1"/>
  <c r="B184" i="6" s="1"/>
  <c r="B170" i="41"/>
  <c r="B175" i="41" s="1"/>
  <c r="B184" i="41" s="1"/>
  <c r="C1111" i="3"/>
  <c r="C1117" i="3" s="1"/>
  <c r="C1123" i="3" s="1"/>
  <c r="E3470" i="3"/>
  <c r="EA243" i="2"/>
  <c r="EA18" i="2" s="1"/>
  <c r="ET576" i="2"/>
  <c r="EU576" i="2"/>
  <c r="EG584" i="2"/>
  <c r="EH584" i="2"/>
  <c r="EF584" i="2"/>
  <c r="EB198" i="4"/>
  <c r="EB16" i="32" s="1"/>
  <c r="EB115" i="10"/>
  <c r="EA379" i="10"/>
  <c r="EA252" i="2"/>
  <c r="EF354" i="10"/>
  <c r="DW189" i="10"/>
  <c r="EC189" i="10"/>
  <c r="DV403" i="10"/>
  <c r="DX403" i="10"/>
  <c r="EL398" i="2"/>
  <c r="EB354" i="10"/>
  <c r="EC354" i="10"/>
  <c r="EA354" i="10"/>
  <c r="EB403" i="10"/>
  <c r="DW354" i="10"/>
  <c r="EA403" i="10"/>
  <c r="EH403" i="10"/>
  <c r="DZ354" i="10"/>
  <c r="EE354" i="10"/>
  <c r="EB400" i="10"/>
  <c r="EC403" i="10"/>
  <c r="DX354" i="10"/>
  <c r="EB294" i="2"/>
  <c r="EG403" i="10"/>
  <c r="EA188" i="10"/>
  <c r="DW403" i="10"/>
  <c r="DV354" i="10"/>
  <c r="EH354" i="10"/>
  <c r="EF403" i="10"/>
  <c r="EO398" i="2"/>
  <c r="EC294" i="2"/>
  <c r="ED294" i="2" s="1"/>
  <c r="EM398" i="2"/>
  <c r="EH252" i="2"/>
  <c r="EH243" i="2"/>
  <c r="EM244" i="2" s="1"/>
  <c r="EA86" i="2"/>
  <c r="EA342" i="10" s="1"/>
  <c r="B1607" i="3"/>
  <c r="B1611" i="3" s="1"/>
  <c r="C1611" i="3" s="1"/>
  <c r="D1611" i="3" s="1"/>
  <c r="E1611" i="3" s="1"/>
  <c r="DZ9" i="2"/>
  <c r="DZ31" i="2" s="1"/>
  <c r="DU112" i="10"/>
  <c r="DU141" i="10" s="1"/>
  <c r="EE352" i="2"/>
  <c r="DU110" i="4"/>
  <c r="DZ379" i="10"/>
  <c r="EF379" i="10"/>
  <c r="EB112" i="10"/>
  <c r="EB141" i="10" s="1"/>
  <c r="DZ243" i="2"/>
  <c r="DZ18" i="2" s="1"/>
  <c r="EF252" i="2"/>
  <c r="EG243" i="2"/>
  <c r="EG18" i="2" s="1"/>
  <c r="EG9" i="2"/>
  <c r="EG31" i="2" s="1"/>
  <c r="EG252" i="2"/>
  <c r="EG427" i="10"/>
  <c r="EG379" i="10"/>
  <c r="EG214" i="2"/>
  <c r="EG380" i="2"/>
  <c r="EL381" i="2" s="1"/>
  <c r="DX18" i="4"/>
  <c r="EG10" i="2"/>
  <c r="EG14" i="2" s="1"/>
  <c r="EG389" i="2"/>
  <c r="EF243" i="2"/>
  <c r="EK244" i="2" s="1"/>
  <c r="EF9" i="2"/>
  <c r="EF13" i="2" s="1"/>
  <c r="EF214" i="2"/>
  <c r="DZ427" i="10"/>
  <c r="DZ10" i="2"/>
  <c r="DZ389" i="2"/>
  <c r="DW110" i="4"/>
  <c r="EA380" i="2"/>
  <c r="EA19" i="2" s="1"/>
  <c r="DW130" i="4"/>
  <c r="DU115" i="10"/>
  <c r="DU202" i="4"/>
  <c r="DU203" i="4" s="1"/>
  <c r="EA427" i="10"/>
  <c r="EA12" i="2"/>
  <c r="EA8" i="32" s="1"/>
  <c r="EA389" i="2"/>
  <c r="EB380" i="2"/>
  <c r="EB386" i="2" s="1"/>
  <c r="EH214" i="2"/>
  <c r="DW18" i="4"/>
  <c r="EC252" i="2"/>
  <c r="EC190" i="10"/>
  <c r="EA112" i="10"/>
  <c r="EA141" i="10" s="1"/>
  <c r="DY166" i="4"/>
  <c r="EC379" i="10"/>
  <c r="EC9" i="2"/>
  <c r="EC31" i="2" s="1"/>
  <c r="EC243" i="2"/>
  <c r="EC18" i="2" s="1"/>
  <c r="EB389" i="2"/>
  <c r="EI206" i="2"/>
  <c r="EI252" i="2" s="1"/>
  <c r="DW115" i="10"/>
  <c r="EB427" i="10"/>
  <c r="EE252" i="2"/>
  <c r="DV18" i="4"/>
  <c r="DV102" i="10" s="1"/>
  <c r="EG352" i="2"/>
  <c r="EC262" i="1"/>
  <c r="EC116" i="35" s="1"/>
  <c r="ED116" i="35" s="1"/>
  <c r="DW202" i="4"/>
  <c r="DW203" i="4" s="1"/>
  <c r="EB116" i="4"/>
  <c r="EE214" i="2"/>
  <c r="EE243" i="2"/>
  <c r="DY17" i="4"/>
  <c r="EE9" i="2"/>
  <c r="EE31" i="2" s="1"/>
  <c r="DX261" i="1"/>
  <c r="DX115" i="4" s="1"/>
  <c r="DW115" i="4"/>
  <c r="EB102" i="4"/>
  <c r="EA110" i="4"/>
  <c r="EH9" i="2"/>
  <c r="EH31" i="2" s="1"/>
  <c r="EE380" i="2"/>
  <c r="EE434" i="10" s="1"/>
  <c r="EE389" i="2"/>
  <c r="EC247" i="1"/>
  <c r="EC102" i="4" s="1"/>
  <c r="EE10" i="2"/>
  <c r="EE32" i="2" s="1"/>
  <c r="B2348" i="3"/>
  <c r="B350" i="38"/>
  <c r="ED347" i="10"/>
  <c r="B317" i="38"/>
  <c r="B326" i="38"/>
  <c r="B1706" i="3"/>
  <c r="EM214" i="2"/>
  <c r="EB157" i="35"/>
  <c r="EA160" i="35" s="1"/>
  <c r="EA157" i="35" s="1"/>
  <c r="DZ160" i="35" s="1"/>
  <c r="DZ158" i="35" s="1"/>
  <c r="ED158" i="35" s="1"/>
  <c r="EI107" i="35"/>
  <c r="FG453" i="36"/>
  <c r="FG319" i="36"/>
  <c r="FG367" i="36" s="1"/>
  <c r="FH367" i="36" s="1"/>
  <c r="FH316" i="36"/>
  <c r="FH319" i="36" s="1"/>
  <c r="EA29" i="2"/>
  <c r="EA29" i="36"/>
  <c r="EJ206" i="2"/>
  <c r="EO214" i="2" s="1"/>
  <c r="EJ206" i="36"/>
  <c r="EF190" i="4"/>
  <c r="EF191" i="4" s="1"/>
  <c r="EF192" i="4" s="1"/>
  <c r="EF190" i="35"/>
  <c r="EF191" i="35" s="1"/>
  <c r="EF192" i="35" s="1"/>
  <c r="EJ196" i="4"/>
  <c r="EK202" i="4" s="1"/>
  <c r="EK203" i="4" s="1"/>
  <c r="EJ196" i="35"/>
  <c r="EE74" i="35"/>
  <c r="EI69" i="35"/>
  <c r="DX113" i="4"/>
  <c r="DY113" i="4" s="1"/>
  <c r="DX113" i="35"/>
  <c r="DY113" i="35" s="1"/>
  <c r="EJ149" i="35"/>
  <c r="EN147" i="35"/>
  <c r="EN149" i="35" s="1"/>
  <c r="EJ146" i="35"/>
  <c r="EN146" i="35" s="1"/>
  <c r="EN300" i="1"/>
  <c r="F1706" i="3" s="1"/>
  <c r="C1681" i="3" s="1"/>
  <c r="C1683" i="3" s="1"/>
  <c r="C1687" i="3" s="1"/>
  <c r="DV81" i="35"/>
  <c r="DV96" i="35"/>
  <c r="DW164" i="35"/>
  <c r="DW165" i="35" s="1"/>
  <c r="DW163" i="35"/>
  <c r="EE10" i="36"/>
  <c r="EE380" i="36"/>
  <c r="EE352" i="36"/>
  <c r="EE389" i="36"/>
  <c r="EI344" i="36"/>
  <c r="EJ347" i="36"/>
  <c r="EN339" i="36"/>
  <c r="EJ327" i="36"/>
  <c r="EO347" i="36"/>
  <c r="DW102" i="4"/>
  <c r="DW102" i="35"/>
  <c r="FE348" i="36"/>
  <c r="EH44" i="35"/>
  <c r="EH46" i="35" s="1"/>
  <c r="EH48" i="35" s="1"/>
  <c r="EH70" i="36"/>
  <c r="EH76" i="36"/>
  <c r="ER500" i="36"/>
  <c r="ER501" i="36" s="1"/>
  <c r="ER502" i="36"/>
  <c r="ER503" i="36" s="1"/>
  <c r="ER510" i="36"/>
  <c r="ES510" i="36" s="1"/>
  <c r="ER499" i="36"/>
  <c r="EH32" i="36"/>
  <c r="EH14" i="36"/>
  <c r="EM14" i="36"/>
  <c r="EG77" i="35"/>
  <c r="EG165" i="35" s="1"/>
  <c r="EG152" i="35"/>
  <c r="EG154" i="35" s="1"/>
  <c r="EG158" i="35" s="1"/>
  <c r="EG76" i="35"/>
  <c r="EG79" i="35" s="1"/>
  <c r="EG162" i="35"/>
  <c r="EB18" i="36"/>
  <c r="EB249" i="36"/>
  <c r="EB235" i="36"/>
  <c r="EB245" i="36"/>
  <c r="EB247" i="36"/>
  <c r="EB130" i="35"/>
  <c r="EC107" i="4"/>
  <c r="EC130" i="4" s="1"/>
  <c r="EC107" i="35"/>
  <c r="DX118" i="4"/>
  <c r="DY118" i="4" s="1"/>
  <c r="DX118" i="35"/>
  <c r="DY118" i="35" s="1"/>
  <c r="EB101" i="4"/>
  <c r="EB101" i="35"/>
  <c r="EJ11" i="2"/>
  <c r="EN11" i="2" s="1"/>
  <c r="EJ48" i="36"/>
  <c r="EJ11" i="36"/>
  <c r="EN11" i="36" s="1"/>
  <c r="EJ469" i="36"/>
  <c r="EN34" i="36"/>
  <c r="ES34" i="36"/>
  <c r="EA10" i="36"/>
  <c r="EA32" i="36" s="1"/>
  <c r="EA380" i="36"/>
  <c r="EF381" i="36" s="1"/>
  <c r="EA389" i="36"/>
  <c r="DV163" i="35"/>
  <c r="DV164" i="35"/>
  <c r="DV165" i="35" s="1"/>
  <c r="EJ45" i="35"/>
  <c r="EN45" i="35" s="1"/>
  <c r="EN69" i="36"/>
  <c r="EJ78" i="36"/>
  <c r="EO78" i="36"/>
  <c r="DU202" i="35"/>
  <c r="DU198" i="35"/>
  <c r="DW100" i="4"/>
  <c r="DW100" i="35"/>
  <c r="EN348" i="36"/>
  <c r="ES348" i="36"/>
  <c r="ED112" i="35"/>
  <c r="EC248" i="1"/>
  <c r="EC103" i="35" s="1"/>
  <c r="EB103" i="35"/>
  <c r="FE473" i="36"/>
  <c r="FE464" i="36"/>
  <c r="EH63" i="36"/>
  <c r="EH64" i="36"/>
  <c r="EM64" i="36"/>
  <c r="EH19" i="36"/>
  <c r="EM23" i="36" s="1"/>
  <c r="EH384" i="36"/>
  <c r="EM385" i="36" s="1"/>
  <c r="EH386" i="36"/>
  <c r="EH382" i="36"/>
  <c r="EH372" i="36"/>
  <c r="EM381" i="36"/>
  <c r="DY17" i="35"/>
  <c r="EB31" i="36"/>
  <c r="FE508" i="36"/>
  <c r="DW433" i="2"/>
  <c r="DW433" i="36"/>
  <c r="DY433" i="36" s="1"/>
  <c r="DU190" i="4"/>
  <c r="DU191" i="4" s="1"/>
  <c r="DU192" i="4" s="1"/>
  <c r="DU190" i="35"/>
  <c r="DU191" i="35" s="1"/>
  <c r="DU192" i="35" s="1"/>
  <c r="EN57" i="35"/>
  <c r="DZ29" i="2"/>
  <c r="DZ29" i="36"/>
  <c r="DW114" i="4"/>
  <c r="DW114" i="35"/>
  <c r="FF368" i="36"/>
  <c r="FF505" i="36"/>
  <c r="EF19" i="36"/>
  <c r="EF384" i="36"/>
  <c r="EK385" i="36" s="1"/>
  <c r="EF386" i="36"/>
  <c r="EF382" i="36"/>
  <c r="EK383" i="36" s="1"/>
  <c r="EF372" i="36"/>
  <c r="EK381" i="36"/>
  <c r="EN107" i="35"/>
  <c r="EJ153" i="35"/>
  <c r="EN153" i="35" s="1"/>
  <c r="EJ110" i="35"/>
  <c r="EJ130" i="35"/>
  <c r="EN130" i="35" s="1"/>
  <c r="EC19" i="35"/>
  <c r="EI140" i="35"/>
  <c r="EH143" i="35"/>
  <c r="EA130" i="35"/>
  <c r="EA110" i="35"/>
  <c r="EH214" i="36"/>
  <c r="EH9" i="36"/>
  <c r="EH243" i="36"/>
  <c r="EH252" i="36"/>
  <c r="EH563" i="36"/>
  <c r="EH545" i="36"/>
  <c r="EM214" i="36"/>
  <c r="FF339" i="36"/>
  <c r="EG10" i="36"/>
  <c r="EG380" i="36"/>
  <c r="EG352" i="36"/>
  <c r="EG389" i="36"/>
  <c r="EL352" i="36"/>
  <c r="DY18" i="35"/>
  <c r="ED19" i="35" s="1"/>
  <c r="DZ19" i="35"/>
  <c r="EH381" i="36"/>
  <c r="EC386" i="36"/>
  <c r="EC19" i="36"/>
  <c r="EC384" i="36"/>
  <c r="EC382" i="36"/>
  <c r="EC372" i="36"/>
  <c r="EB380" i="36"/>
  <c r="EB10" i="36"/>
  <c r="EB12" i="36" s="1"/>
  <c r="EB389" i="36"/>
  <c r="EC198" i="35"/>
  <c r="ED196" i="35"/>
  <c r="EG190" i="4"/>
  <c r="EG191" i="4" s="1"/>
  <c r="EG192" i="4" s="1"/>
  <c r="EG190" i="35"/>
  <c r="EG191" i="35" s="1"/>
  <c r="EG192" i="35" s="1"/>
  <c r="EA190" i="4"/>
  <c r="EA191" i="4" s="1"/>
  <c r="EA192" i="4" s="1"/>
  <c r="EA190" i="35"/>
  <c r="EA191" i="35" s="1"/>
  <c r="EA192" i="35" s="1"/>
  <c r="EG29" i="2"/>
  <c r="EG29" i="36"/>
  <c r="DV190" i="4"/>
  <c r="DV191" i="4" s="1"/>
  <c r="DV192" i="4" s="1"/>
  <c r="DV190" i="35"/>
  <c r="DV191" i="35" s="1"/>
  <c r="DV192" i="35" s="1"/>
  <c r="DZ190" i="4"/>
  <c r="DZ191" i="4" s="1"/>
  <c r="DZ192" i="4" s="1"/>
  <c r="DZ190" i="35"/>
  <c r="DZ191" i="35" s="1"/>
  <c r="DZ192" i="35" s="1"/>
  <c r="DW116" i="4"/>
  <c r="DW116" i="35"/>
  <c r="DX117" i="4"/>
  <c r="DY117" i="4" s="1"/>
  <c r="DX117" i="35"/>
  <c r="DY117" i="35" s="1"/>
  <c r="EC255" i="1"/>
  <c r="EB109" i="35"/>
  <c r="EB110" i="35" s="1"/>
  <c r="DX102" i="4"/>
  <c r="DX102" i="35"/>
  <c r="EF352" i="36"/>
  <c r="DZ9" i="36"/>
  <c r="DZ252" i="36"/>
  <c r="DZ243" i="36"/>
  <c r="ED206" i="36"/>
  <c r="DZ563" i="36"/>
  <c r="DZ545" i="36"/>
  <c r="FG288" i="36"/>
  <c r="FG285" i="36"/>
  <c r="FH285" i="36" s="1"/>
  <c r="FG284" i="36"/>
  <c r="FH283" i="36"/>
  <c r="FG294" i="36"/>
  <c r="EJ209" i="36"/>
  <c r="EJ190" i="36"/>
  <c r="EN201" i="36"/>
  <c r="EJ42" i="36"/>
  <c r="EJ463" i="36"/>
  <c r="EO209" i="36"/>
  <c r="DW96" i="35"/>
  <c r="DW81" i="35"/>
  <c r="FA506" i="36"/>
  <c r="FA507" i="36"/>
  <c r="FA508" i="36" s="1"/>
  <c r="ET421" i="36"/>
  <c r="EU417" i="36"/>
  <c r="EU420" i="36" s="1"/>
  <c r="ET422" i="36"/>
  <c r="ET431" i="36"/>
  <c r="DX168" i="35"/>
  <c r="DY166" i="35"/>
  <c r="DY168" i="35" s="1"/>
  <c r="EC115" i="4"/>
  <c r="ED115" i="4" s="1"/>
  <c r="EC115" i="35"/>
  <c r="ED115" i="35" s="1"/>
  <c r="EA19" i="35"/>
  <c r="EG70" i="36"/>
  <c r="EG44" i="35"/>
  <c r="EI68" i="36"/>
  <c r="EG76" i="36"/>
  <c r="DY69" i="35"/>
  <c r="EJ350" i="36"/>
  <c r="EN342" i="36"/>
  <c r="EO350" i="36"/>
  <c r="EB117" i="4"/>
  <c r="EB117" i="35"/>
  <c r="EB120" i="35" s="1"/>
  <c r="DX107" i="4"/>
  <c r="DX112" i="10" s="1"/>
  <c r="DX141" i="10" s="1"/>
  <c r="DX107" i="35"/>
  <c r="DY107" i="35" s="1"/>
  <c r="EH29" i="2"/>
  <c r="EH29" i="36"/>
  <c r="DO5" i="36"/>
  <c r="DO5" i="35"/>
  <c r="EJ466" i="36"/>
  <c r="EJ212" i="36"/>
  <c r="EN204" i="36"/>
  <c r="EJ45" i="36"/>
  <c r="EO212" i="36"/>
  <c r="EF32" i="36"/>
  <c r="EK14" i="36"/>
  <c r="EB81" i="35"/>
  <c r="EB96" i="35"/>
  <c r="EA9" i="36"/>
  <c r="EA252" i="36"/>
  <c r="EA243" i="36"/>
  <c r="EA563" i="36"/>
  <c r="EA545" i="36"/>
  <c r="FG419" i="36"/>
  <c r="FH419" i="36" s="1"/>
  <c r="FG293" i="36"/>
  <c r="FH282" i="36"/>
  <c r="FH287" i="36" s="1"/>
  <c r="FI287" i="36" s="1"/>
  <c r="FJ287" i="36" s="1"/>
  <c r="FK287" i="36" s="1"/>
  <c r="FL287" i="36" s="1"/>
  <c r="FM287" i="36" s="1"/>
  <c r="EJ193" i="36"/>
  <c r="EO193" i="36"/>
  <c r="EX368" i="36"/>
  <c r="EX369" i="36"/>
  <c r="EX370" i="36" s="1"/>
  <c r="EH96" i="35"/>
  <c r="EH81" i="35"/>
  <c r="EL214" i="36"/>
  <c r="EG9" i="36"/>
  <c r="EG13" i="36" s="1"/>
  <c r="EG252" i="36"/>
  <c r="EG214" i="36"/>
  <c r="EG243" i="36"/>
  <c r="EG563" i="36"/>
  <c r="EG545" i="36"/>
  <c r="DY57" i="35"/>
  <c r="EG60" i="36"/>
  <c r="EI58" i="36"/>
  <c r="EC9" i="36"/>
  <c r="EC243" i="36"/>
  <c r="EC252" i="36"/>
  <c r="EC563" i="36"/>
  <c r="EC545" i="36"/>
  <c r="DU77" i="35"/>
  <c r="DU162" i="35"/>
  <c r="DU158" i="35"/>
  <c r="DU76" i="35"/>
  <c r="DY74" i="35"/>
  <c r="EN351" i="36"/>
  <c r="ES351" i="36"/>
  <c r="EC81" i="35"/>
  <c r="EC96" i="35"/>
  <c r="DW130" i="35"/>
  <c r="DW110" i="35"/>
  <c r="EE190" i="4"/>
  <c r="EE191" i="4" s="1"/>
  <c r="EE192" i="4" s="1"/>
  <c r="EE190" i="35"/>
  <c r="EE191" i="35" s="1"/>
  <c r="EE192" i="35" s="1"/>
  <c r="EB100" i="4"/>
  <c r="EB100" i="35"/>
  <c r="DW190" i="4"/>
  <c r="DW191" i="4" s="1"/>
  <c r="DW192" i="4" s="1"/>
  <c r="DW190" i="35"/>
  <c r="DW191" i="35" s="1"/>
  <c r="DW192" i="35" s="1"/>
  <c r="EH57" i="4"/>
  <c r="EI57" i="4" s="1"/>
  <c r="EH57" i="35"/>
  <c r="EN213" i="36"/>
  <c r="ES213" i="36"/>
  <c r="EH130" i="35"/>
  <c r="EH153" i="35"/>
  <c r="EH154" i="35" s="1"/>
  <c r="EH158" i="35" s="1"/>
  <c r="EH110" i="35"/>
  <c r="EF130" i="35"/>
  <c r="EF110" i="35"/>
  <c r="EF153" i="35"/>
  <c r="EB163" i="35"/>
  <c r="EB164" i="35" s="1"/>
  <c r="ES507" i="36"/>
  <c r="ES508" i="36" s="1"/>
  <c r="ES506" i="36"/>
  <c r="EA81" i="35"/>
  <c r="EA96" i="35"/>
  <c r="ED57" i="35"/>
  <c r="EB198" i="35"/>
  <c r="EB202" i="35"/>
  <c r="EC202" i="35"/>
  <c r="EC203" i="35" s="1"/>
  <c r="EB19" i="35"/>
  <c r="DY58" i="36"/>
  <c r="FC367" i="36"/>
  <c r="FB368" i="36"/>
  <c r="FB505" i="36"/>
  <c r="EC163" i="35"/>
  <c r="EC164" i="35"/>
  <c r="EC432" i="36"/>
  <c r="DW431" i="36"/>
  <c r="DY431" i="36"/>
  <c r="DX420" i="36"/>
  <c r="DX436" i="36"/>
  <c r="BQ5" i="32"/>
  <c r="BQ5" i="36"/>
  <c r="BQ5" i="35"/>
  <c r="EB29" i="2"/>
  <c r="EB29" i="36"/>
  <c r="EJ344" i="2"/>
  <c r="EJ344" i="36"/>
  <c r="DX100" i="4"/>
  <c r="DX100" i="35"/>
  <c r="EB190" i="4"/>
  <c r="EB191" i="4" s="1"/>
  <c r="EB192" i="4" s="1"/>
  <c r="EB190" i="35"/>
  <c r="EB191" i="35" s="1"/>
  <c r="EB192" i="35" s="1"/>
  <c r="EB98" i="4"/>
  <c r="EB98" i="35"/>
  <c r="EN210" i="36"/>
  <c r="EN192" i="36"/>
  <c r="ES210" i="36"/>
  <c r="EA120" i="35"/>
  <c r="EQ518" i="36"/>
  <c r="EQ516" i="36"/>
  <c r="EQ511" i="36"/>
  <c r="EQ514" i="36"/>
  <c r="EQ515" i="36" s="1"/>
  <c r="EQ512" i="36"/>
  <c r="EQ513" i="36" s="1"/>
  <c r="EF158" i="35"/>
  <c r="EF152" i="35"/>
  <c r="EF76" i="35"/>
  <c r="EF79" i="35" s="1"/>
  <c r="EF162" i="35"/>
  <c r="EF77" i="35"/>
  <c r="EF165" i="35" s="1"/>
  <c r="EF159" i="35"/>
  <c r="DZ77" i="35"/>
  <c r="DZ165" i="35" s="1"/>
  <c r="DZ162" i="35"/>
  <c r="ED74" i="35"/>
  <c r="DZ76" i="35"/>
  <c r="EX505" i="36"/>
  <c r="EW507" i="36"/>
  <c r="EW508" i="36" s="1"/>
  <c r="EW506" i="36"/>
  <c r="DV120" i="35"/>
  <c r="DX101" i="4"/>
  <c r="DY101" i="4" s="1"/>
  <c r="DX101" i="35"/>
  <c r="DY101" i="35" s="1"/>
  <c r="ES364" i="36"/>
  <c r="ES362" i="36"/>
  <c r="EF9" i="36"/>
  <c r="EF252" i="36"/>
  <c r="EF214" i="36"/>
  <c r="EF243" i="36"/>
  <c r="EF545" i="36"/>
  <c r="EF563" i="36"/>
  <c r="EK214" i="36"/>
  <c r="EF29" i="2"/>
  <c r="EF29" i="36"/>
  <c r="DX258" i="1"/>
  <c r="DW112" i="35"/>
  <c r="EE29" i="2"/>
  <c r="EE29" i="36"/>
  <c r="EB166" i="4"/>
  <c r="EB13" i="32" s="1"/>
  <c r="EB166" i="35"/>
  <c r="EJ652" i="36"/>
  <c r="EN634" i="36"/>
  <c r="EJ644" i="36"/>
  <c r="EJ611" i="36"/>
  <c r="EJ612" i="36" s="1"/>
  <c r="EE9" i="36"/>
  <c r="EE243" i="36"/>
  <c r="EI206" i="36"/>
  <c r="EE252" i="36"/>
  <c r="EE214" i="36"/>
  <c r="EE563" i="36"/>
  <c r="EE545" i="36"/>
  <c r="EO530" i="36"/>
  <c r="DZ10" i="36"/>
  <c r="DZ389" i="36"/>
  <c r="DZ380" i="36"/>
  <c r="ED344" i="36"/>
  <c r="ED389" i="36" s="1"/>
  <c r="EA163" i="35"/>
  <c r="EA164" i="35"/>
  <c r="EN35" i="36"/>
  <c r="ES35" i="36"/>
  <c r="DX77" i="35"/>
  <c r="DX76" i="35"/>
  <c r="DX79" i="35" s="1"/>
  <c r="DX162" i="35"/>
  <c r="DX158" i="35"/>
  <c r="DX157" i="35" s="1"/>
  <c r="DW160" i="35" s="1"/>
  <c r="DW157" i="35" s="1"/>
  <c r="DV160" i="35" s="1"/>
  <c r="DV157" i="35" s="1"/>
  <c r="DU160" i="35" s="1"/>
  <c r="EP522" i="36"/>
  <c r="EP523" i="36" s="1"/>
  <c r="EP520" i="36"/>
  <c r="EP521" i="36" s="1"/>
  <c r="EP519" i="36"/>
  <c r="EP524" i="36"/>
  <c r="EP528" i="36"/>
  <c r="FE11" i="35"/>
  <c r="FE12" i="35" s="1"/>
  <c r="FE43" i="36"/>
  <c r="DU130" i="35"/>
  <c r="DU110" i="35"/>
  <c r="ER363" i="36"/>
  <c r="DW198" i="35"/>
  <c r="DW202" i="35"/>
  <c r="DW203" i="35" s="1"/>
  <c r="DX202" i="35"/>
  <c r="DX203" i="35" s="1"/>
  <c r="ES500" i="36"/>
  <c r="ES502" i="36"/>
  <c r="D43" i="11"/>
  <c r="D153" i="11" s="1"/>
  <c r="D172" i="11" s="1"/>
  <c r="D193" i="11" s="1"/>
  <c r="B1697" i="3"/>
  <c r="B1698" i="3" s="1"/>
  <c r="EI300" i="1"/>
  <c r="EE302" i="1"/>
  <c r="EE580" i="2"/>
  <c r="EI578" i="2"/>
  <c r="EN302" i="1"/>
  <c r="F1708" i="3" s="1"/>
  <c r="B1708" i="3"/>
  <c r="EJ306" i="1"/>
  <c r="EJ580" i="2"/>
  <c r="EN578" i="2"/>
  <c r="EQ576" i="2"/>
  <c r="ER576" i="2"/>
  <c r="EC181" i="2"/>
  <c r="EC621" i="2" s="1"/>
  <c r="F74" i="29"/>
  <c r="F73" i="29"/>
  <c r="U85" i="29"/>
  <c r="O74" i="29"/>
  <c r="Q72" i="29"/>
  <c r="R72" i="29" s="1"/>
  <c r="S72" i="29" s="1"/>
  <c r="T72" i="29" s="1"/>
  <c r="U72" i="29" s="1"/>
  <c r="V72" i="29" s="1"/>
  <c r="S73" i="29"/>
  <c r="T73" i="29" s="1"/>
  <c r="U73" i="29" s="1"/>
  <c r="V73" i="29" s="1"/>
  <c r="Q71" i="29"/>
  <c r="FB186" i="2"/>
  <c r="E175" i="19"/>
  <c r="F175" i="19" s="1"/>
  <c r="C154" i="3"/>
  <c r="ED104" i="10"/>
  <c r="B150" i="3"/>
  <c r="C150" i="3"/>
  <c r="ED105" i="10"/>
  <c r="B154" i="3"/>
  <c r="EI13" i="32"/>
  <c r="C86" i="3"/>
  <c r="EN13" i="32"/>
  <c r="D86" i="3"/>
  <c r="ED107" i="10"/>
  <c r="B85" i="3"/>
  <c r="F66" i="3"/>
  <c r="F68" i="3" s="1"/>
  <c r="C85" i="3"/>
  <c r="EJ209" i="4"/>
  <c r="EJ204" i="4" s="1"/>
  <c r="EJ12" i="32" s="1"/>
  <c r="FF38" i="4"/>
  <c r="FF40" i="4" s="1"/>
  <c r="FJ40" i="4" s="1"/>
  <c r="FG635" i="2"/>
  <c r="FH635" i="2" s="1"/>
  <c r="FI635" i="2" s="1"/>
  <c r="FJ635" i="2"/>
  <c r="EX173" i="4"/>
  <c r="EX120" i="4"/>
  <c r="EX117" i="4"/>
  <c r="EB125" i="2"/>
  <c r="EB124" i="2" s="1"/>
  <c r="EB405" i="2"/>
  <c r="B2504" i="3"/>
  <c r="DZ117" i="10"/>
  <c r="DZ16" i="32"/>
  <c r="E142" i="19"/>
  <c r="F142" i="19" s="1"/>
  <c r="B39" i="3"/>
  <c r="EP576" i="2"/>
  <c r="ED10" i="32"/>
  <c r="EA117" i="10"/>
  <c r="EA16" i="32"/>
  <c r="E176" i="19"/>
  <c r="G176" i="19" s="1"/>
  <c r="DO5" i="4"/>
  <c r="DO5" i="32"/>
  <c r="ED378" i="10"/>
  <c r="B2368" i="3"/>
  <c r="B2355" i="3"/>
  <c r="C2304" i="3"/>
  <c r="EJ179" i="1"/>
  <c r="EC124" i="2"/>
  <c r="EF405" i="2"/>
  <c r="EH203" i="4"/>
  <c r="EH211" i="4"/>
  <c r="EH212" i="4" s="1"/>
  <c r="EI127" i="2"/>
  <c r="EI132" i="2"/>
  <c r="EE123" i="2"/>
  <c r="ED132" i="2"/>
  <c r="EG203" i="4"/>
  <c r="C4556" i="3" s="1"/>
  <c r="D4556" i="3" s="1"/>
  <c r="E4556" i="3" s="1"/>
  <c r="F4556" i="3" s="1"/>
  <c r="G4556" i="3" s="1"/>
  <c r="H4556" i="3" s="1"/>
  <c r="I4556" i="3" s="1"/>
  <c r="J4556" i="3" s="1"/>
  <c r="K4556" i="3" s="1"/>
  <c r="L4556" i="3" s="1"/>
  <c r="M4556" i="3" s="1"/>
  <c r="N4556" i="3" s="1"/>
  <c r="EG211" i="4"/>
  <c r="EG212" i="4" s="1"/>
  <c r="EN369" i="1"/>
  <c r="EN370" i="1" s="1"/>
  <c r="EN371" i="1" s="1"/>
  <c r="D5714" i="3"/>
  <c r="E172" i="19"/>
  <c r="F172" i="19" s="1"/>
  <c r="C43" i="11"/>
  <c r="C152" i="11" s="1"/>
  <c r="EE80" i="2"/>
  <c r="EF80" i="2"/>
  <c r="EK80" i="2"/>
  <c r="DY207" i="4"/>
  <c r="DY209" i="4" s="1"/>
  <c r="EI207" i="4"/>
  <c r="EI209" i="4" s="1"/>
  <c r="EE209" i="4"/>
  <c r="ED207" i="4"/>
  <c r="ED209" i="4" s="1"/>
  <c r="DZ209" i="4"/>
  <c r="DZ204" i="4" s="1"/>
  <c r="EF314" i="2"/>
  <c r="EF337" i="2" s="1"/>
  <c r="EF345" i="2" s="1"/>
  <c r="EF598" i="2"/>
  <c r="EF493" i="2" s="1"/>
  <c r="ER408" i="10"/>
  <c r="ER360" i="10"/>
  <c r="E3120" i="3"/>
  <c r="EI272" i="2"/>
  <c r="EE349" i="10"/>
  <c r="EB349" i="10"/>
  <c r="C3120" i="3"/>
  <c r="EK172" i="2"/>
  <c r="EO172" i="2"/>
  <c r="EK405" i="2"/>
  <c r="EJ348" i="2"/>
  <c r="EQ410" i="10"/>
  <c r="EP410" i="10"/>
  <c r="EP362" i="10"/>
  <c r="EO35" i="2"/>
  <c r="EO34" i="2"/>
  <c r="EO213" i="2"/>
  <c r="EO210" i="2"/>
  <c r="EM576" i="2"/>
  <c r="EO576" i="2"/>
  <c r="EJ351" i="2"/>
  <c r="EO351" i="2"/>
  <c r="EC352" i="10"/>
  <c r="EG188" i="10"/>
  <c r="D43" i="30"/>
  <c r="E43" i="30"/>
  <c r="E44" i="30"/>
  <c r="D44" i="30"/>
  <c r="E50" i="30"/>
  <c r="D50" i="30"/>
  <c r="EJ48" i="2"/>
  <c r="E138" i="19"/>
  <c r="E155" i="19"/>
  <c r="EJ315" i="2"/>
  <c r="EJ338" i="2" s="1"/>
  <c r="EC71" i="2"/>
  <c r="EC444" i="2"/>
  <c r="EC603" i="2"/>
  <c r="EC610" i="2" s="1"/>
  <c r="EJ110" i="4"/>
  <c r="EJ130" i="4"/>
  <c r="EJ304" i="2"/>
  <c r="EJ303" i="2" s="1"/>
  <c r="EJ307" i="2"/>
  <c r="G5087" i="3"/>
  <c r="EI306" i="2"/>
  <c r="EI397" i="10"/>
  <c r="EJ35" i="2"/>
  <c r="EJ213" i="2"/>
  <c r="ED67" i="2"/>
  <c r="EJ210" i="2"/>
  <c r="FE38" i="4"/>
  <c r="FE40" i="4" s="1"/>
  <c r="EO60" i="18" s="1"/>
  <c r="EJ342" i="2"/>
  <c r="EE71" i="2"/>
  <c r="C4099" i="3" s="1"/>
  <c r="EH168" i="2"/>
  <c r="EN256" i="1"/>
  <c r="EH389" i="2"/>
  <c r="EM352" i="2"/>
  <c r="EJ57" i="4"/>
  <c r="EN537" i="1"/>
  <c r="EH60" i="18"/>
  <c r="EM41" i="4"/>
  <c r="EH420" i="10"/>
  <c r="EM345" i="2"/>
  <c r="EJ59" i="1"/>
  <c r="EJ69" i="35" s="1"/>
  <c r="EN57" i="1"/>
  <c r="EN168" i="1"/>
  <c r="EJ469" i="2"/>
  <c r="EO479" i="2" s="1"/>
  <c r="EN172" i="1"/>
  <c r="EH349" i="10"/>
  <c r="EM172" i="2"/>
  <c r="EN171" i="1"/>
  <c r="E3427" i="3"/>
  <c r="EJ123" i="2"/>
  <c r="EI347" i="10"/>
  <c r="EI133" i="10"/>
  <c r="EJ147" i="4"/>
  <c r="EJ149" i="4" s="1"/>
  <c r="EN294" i="1"/>
  <c r="EI442" i="2"/>
  <c r="EI447" i="2" s="1"/>
  <c r="EM443" i="2"/>
  <c r="EI395" i="10"/>
  <c r="EB71" i="2"/>
  <c r="EJ232" i="1"/>
  <c r="EJ182" i="1"/>
  <c r="EJ149" i="1"/>
  <c r="EO360" i="10"/>
  <c r="EO408" i="10"/>
  <c r="EN96" i="2"/>
  <c r="C5284" i="3"/>
  <c r="DO5" i="10"/>
  <c r="EN257" i="2"/>
  <c r="EJ314" i="2"/>
  <c r="EJ337" i="2" s="1"/>
  <c r="DZ314" i="2"/>
  <c r="DZ337" i="2" s="1"/>
  <c r="DZ420" i="10" s="1"/>
  <c r="EH318" i="2"/>
  <c r="EH341" i="2" s="1"/>
  <c r="EI394" i="10"/>
  <c r="EH231" i="1"/>
  <c r="EH230" i="1" s="1"/>
  <c r="EH190" i="35" s="1"/>
  <c r="EJ262" i="2"/>
  <c r="G116" i="29"/>
  <c r="DZ598" i="2"/>
  <c r="DZ493" i="2" s="1"/>
  <c r="ED493" i="2" s="1"/>
  <c r="C36" i="29"/>
  <c r="G7" i="29"/>
  <c r="EH430" i="2"/>
  <c r="EH429" i="2" s="1"/>
  <c r="EH434" i="2" s="1"/>
  <c r="DZ262" i="2"/>
  <c r="DX73" i="18"/>
  <c r="DX79" i="18" s="1"/>
  <c r="DX78" i="18" s="1"/>
  <c r="DY112" i="2"/>
  <c r="DU180" i="2"/>
  <c r="DU199" i="2" s="1"/>
  <c r="I4314" i="3"/>
  <c r="DZ259" i="2"/>
  <c r="DZ258" i="2" s="1"/>
  <c r="C5287" i="3"/>
  <c r="DO5" i="18"/>
  <c r="EA399" i="2"/>
  <c r="EB394" i="2"/>
  <c r="EB451" i="2" s="1"/>
  <c r="DO5" i="2"/>
  <c r="DT5" i="1"/>
  <c r="C5285" i="3"/>
  <c r="C5286" i="3"/>
  <c r="EI424" i="18"/>
  <c r="DY394" i="10"/>
  <c r="C218" i="11"/>
  <c r="D116" i="29"/>
  <c r="E116" i="29"/>
  <c r="EJ117" i="2"/>
  <c r="B1109" i="3" s="1"/>
  <c r="EI346" i="10"/>
  <c r="C133" i="29"/>
  <c r="C3486" i="3"/>
  <c r="H116" i="29"/>
  <c r="B4290" i="3"/>
  <c r="B4323" i="3" s="1"/>
  <c r="B3469" i="3"/>
  <c r="C3470" i="3" s="1"/>
  <c r="DW114" i="2"/>
  <c r="DW113" i="2" s="1"/>
  <c r="EA120" i="4"/>
  <c r="DZ117" i="2"/>
  <c r="I5155" i="3"/>
  <c r="K5155" i="3" s="1"/>
  <c r="B115" i="29"/>
  <c r="C116" i="29" s="1"/>
  <c r="DZ112" i="2"/>
  <c r="ED112" i="2" s="1"/>
  <c r="C4977" i="3"/>
  <c r="EO405" i="10"/>
  <c r="ES175" i="4"/>
  <c r="EM410" i="10"/>
  <c r="EN40" i="4"/>
  <c r="EI574" i="2"/>
  <c r="EO357" i="10"/>
  <c r="DV576" i="2"/>
  <c r="ES179" i="4"/>
  <c r="ES174" i="4"/>
  <c r="ES183" i="4"/>
  <c r="EM414" i="10"/>
  <c r="EJ112" i="2"/>
  <c r="B1100" i="3" s="1"/>
  <c r="B1102" i="3" s="1"/>
  <c r="B1110" i="3" s="1"/>
  <c r="D4851" i="3"/>
  <c r="DY208" i="10"/>
  <c r="D3120" i="3"/>
  <c r="DV133" i="18"/>
  <c r="B3393" i="3"/>
  <c r="B3394" i="3" s="1"/>
  <c r="B3397" i="3" s="1"/>
  <c r="B3399" i="3" s="1"/>
  <c r="C3396" i="3" s="1"/>
  <c r="EG598" i="2"/>
  <c r="EG493" i="2" s="1"/>
  <c r="F3364" i="3"/>
  <c r="EE344" i="10"/>
  <c r="EB189" i="10"/>
  <c r="B36" i="29"/>
  <c r="B37" i="29" s="1"/>
  <c r="B40" i="29" s="1"/>
  <c r="B42" i="29" s="1"/>
  <c r="B47" i="29" s="1"/>
  <c r="DV128" i="18"/>
  <c r="DV130" i="18" s="1"/>
  <c r="DV129" i="18" s="1"/>
  <c r="F7" i="29"/>
  <c r="DU128" i="18"/>
  <c r="DY128" i="18" s="1"/>
  <c r="DZ112" i="10"/>
  <c r="DZ141" i="10" s="1"/>
  <c r="DZ130" i="4"/>
  <c r="G3364" i="3"/>
  <c r="EE90" i="2"/>
  <c r="EF344" i="10"/>
  <c r="EE294" i="18"/>
  <c r="EE296" i="18" s="1"/>
  <c r="ED298" i="18"/>
  <c r="C3393" i="3"/>
  <c r="B2983" i="3"/>
  <c r="C2983" i="3" s="1"/>
  <c r="E2978" i="3"/>
  <c r="E2979" i="3" s="1"/>
  <c r="B2979" i="3"/>
  <c r="ED641" i="2"/>
  <c r="EH259" i="2"/>
  <c r="EH258" i="2" s="1"/>
  <c r="C2490" i="3" s="1"/>
  <c r="C2492" i="3" s="1"/>
  <c r="C2495" i="3" s="1"/>
  <c r="EH598" i="2"/>
  <c r="EH618" i="2" s="1"/>
  <c r="EI110" i="10"/>
  <c r="EI641" i="2"/>
  <c r="I3120" i="3"/>
  <c r="EA168" i="4"/>
  <c r="C236" i="6"/>
  <c r="C4292" i="3"/>
  <c r="D3427" i="3"/>
  <c r="EM408" i="10"/>
  <c r="EG172" i="2"/>
  <c r="EL172" i="2"/>
  <c r="EG294" i="2"/>
  <c r="EL295" i="2" s="1"/>
  <c r="EL284" i="2"/>
  <c r="EH576" i="2"/>
  <c r="EL576" i="2"/>
  <c r="C35" i="25"/>
  <c r="E35" i="25" s="1"/>
  <c r="EF592" i="2"/>
  <c r="EA484" i="18"/>
  <c r="EI171" i="2"/>
  <c r="EI349" i="10" s="1"/>
  <c r="DX260" i="1"/>
  <c r="DV168" i="2"/>
  <c r="EG430" i="2"/>
  <c r="EG429" i="2" s="1"/>
  <c r="EG434" i="2" s="1"/>
  <c r="DV180" i="2"/>
  <c r="DV199" i="2" s="1"/>
  <c r="DW259" i="2"/>
  <c r="DW258" i="2" s="1"/>
  <c r="EG657" i="18"/>
  <c r="EG655" i="18" s="1"/>
  <c r="EI655" i="18" s="1"/>
  <c r="EG182" i="2"/>
  <c r="EG203" i="2" s="1"/>
  <c r="EL211" i="2" s="1"/>
  <c r="DW79" i="18"/>
  <c r="DW78" i="18" s="1"/>
  <c r="DW81" i="18" s="1"/>
  <c r="K4314" i="3"/>
  <c r="EG137" i="2"/>
  <c r="EG441" i="2" s="1"/>
  <c r="C5083" i="3"/>
  <c r="C5092" i="3" s="1"/>
  <c r="DW355" i="18"/>
  <c r="DW60" i="18" s="1"/>
  <c r="EI479" i="2"/>
  <c r="DX198" i="4"/>
  <c r="DX117" i="10" s="1"/>
  <c r="DX526" i="1"/>
  <c r="D4636" i="3"/>
  <c r="D4652" i="3" s="1"/>
  <c r="D4671" i="3" s="1"/>
  <c r="DW598" i="2"/>
  <c r="DW618" i="2" s="1"/>
  <c r="EN142" i="18"/>
  <c r="EN250" i="18" s="1"/>
  <c r="C4993" i="3"/>
  <c r="C5000" i="3" s="1"/>
  <c r="D4297" i="3"/>
  <c r="EI537" i="1"/>
  <c r="DZ465" i="18"/>
  <c r="DZ539" i="18" s="1"/>
  <c r="O4291" i="3"/>
  <c r="DZ470" i="18"/>
  <c r="ED470" i="18" s="1"/>
  <c r="EL250" i="18"/>
  <c r="C4297" i="3"/>
  <c r="DX116" i="10"/>
  <c r="DX400" i="10"/>
  <c r="EG141" i="18"/>
  <c r="DY592" i="2"/>
  <c r="DW592" i="2"/>
  <c r="G4886" i="3"/>
  <c r="EB109" i="4"/>
  <c r="EB576" i="2"/>
  <c r="EE576" i="2"/>
  <c r="EF71" i="2"/>
  <c r="C5730" i="3"/>
  <c r="ED576" i="2"/>
  <c r="C4635" i="3"/>
  <c r="C4651" i="3" s="1"/>
  <c r="EF576" i="2"/>
  <c r="M4314" i="3"/>
  <c r="EG576" i="2"/>
  <c r="EC576" i="2"/>
  <c r="EA576" i="2"/>
  <c r="G5741" i="3"/>
  <c r="G5742" i="3" s="1"/>
  <c r="B5766" i="3" s="1"/>
  <c r="EN38" i="4"/>
  <c r="E25" i="25"/>
  <c r="DZ576" i="2"/>
  <c r="EG314" i="2"/>
  <c r="EG337" i="2" s="1"/>
  <c r="EL345" i="2" s="1"/>
  <c r="EI67" i="2"/>
  <c r="EC400" i="10"/>
  <c r="EB462" i="18"/>
  <c r="C41" i="20"/>
  <c r="C85" i="20" s="1"/>
  <c r="C87" i="20" s="1"/>
  <c r="C10" i="20" s="1"/>
  <c r="F25" i="20"/>
  <c r="F7" i="20" s="1"/>
  <c r="F12" i="23" s="1"/>
  <c r="EB432" i="18"/>
  <c r="EC245" i="1"/>
  <c r="EE580" i="18"/>
  <c r="EF46" i="4"/>
  <c r="EG200" i="2"/>
  <c r="EL208" i="2" s="1"/>
  <c r="EK280" i="2"/>
  <c r="EK316" i="2" s="1"/>
  <c r="EK453" i="2" s="1"/>
  <c r="EK285" i="2"/>
  <c r="EK429" i="2"/>
  <c r="EK434" i="2" s="1"/>
  <c r="EK168" i="2"/>
  <c r="EK180" i="2"/>
  <c r="E2381" i="3" s="1"/>
  <c r="E2382" i="3" s="1"/>
  <c r="EK114" i="2"/>
  <c r="EF447" i="2"/>
  <c r="EK443" i="2"/>
  <c r="J3120" i="3"/>
  <c r="K3134" i="3" s="1"/>
  <c r="EK173" i="2"/>
  <c r="EJ576" i="2"/>
  <c r="EK576" i="2"/>
  <c r="EE592" i="2"/>
  <c r="EG280" i="2"/>
  <c r="EG291" i="2" s="1"/>
  <c r="EK284" i="2"/>
  <c r="EI45" i="4"/>
  <c r="EC639" i="2"/>
  <c r="EB344" i="10"/>
  <c r="DY262" i="2"/>
  <c r="DY400" i="10" s="1"/>
  <c r="D3279" i="3"/>
  <c r="EF60" i="18"/>
  <c r="EK41" i="4"/>
  <c r="EK439" i="2"/>
  <c r="EK454" i="2" s="1"/>
  <c r="EK182" i="2"/>
  <c r="EK203" i="2" s="1"/>
  <c r="EP211" i="2" s="1"/>
  <c r="EK137" i="2"/>
  <c r="EK314" i="2"/>
  <c r="EK259" i="2"/>
  <c r="EK394" i="2"/>
  <c r="EK399" i="2"/>
  <c r="EJ447" i="2"/>
  <c r="EK444" i="2"/>
  <c r="EG236" i="1"/>
  <c r="EG251" i="1" s="1"/>
  <c r="EK318" i="2"/>
  <c r="EK341" i="2" s="1"/>
  <c r="EP349" i="2" s="1"/>
  <c r="EK304" i="2"/>
  <c r="EK303" i="2" s="1"/>
  <c r="EK462" i="2"/>
  <c r="EP472" i="2" s="1"/>
  <c r="EF398" i="2"/>
  <c r="EK398" i="2"/>
  <c r="F25" i="22"/>
  <c r="G44" i="22" s="1"/>
  <c r="C41" i="22"/>
  <c r="C85" i="22" s="1"/>
  <c r="C87" i="22" s="1"/>
  <c r="C10" i="22" s="1"/>
  <c r="D4288" i="3"/>
  <c r="D4301" i="3" s="1"/>
  <c r="D6018" i="3"/>
  <c r="D6044" i="3" s="1"/>
  <c r="V4770" i="3"/>
  <c r="U4770" i="3"/>
  <c r="EC173" i="10"/>
  <c r="DW476" i="18"/>
  <c r="EE429" i="18"/>
  <c r="EF430" i="2"/>
  <c r="EF429" i="2" s="1"/>
  <c r="EI96" i="2"/>
  <c r="C21" i="29"/>
  <c r="C22" i="29" s="1"/>
  <c r="B5128" i="3"/>
  <c r="C5128" i="3" s="1"/>
  <c r="C5130" i="3" s="1"/>
  <c r="B5130" i="3" s="1"/>
  <c r="B5129" i="3" s="1"/>
  <c r="B5134" i="3" s="1"/>
  <c r="B4878" i="3"/>
  <c r="B5575" i="3"/>
  <c r="F4751" i="3"/>
  <c r="EC398" i="2"/>
  <c r="DV481" i="18"/>
  <c r="DW481" i="18"/>
  <c r="EH398" i="2"/>
  <c r="EE493" i="18"/>
  <c r="DY591" i="1"/>
  <c r="C3364" i="3"/>
  <c r="C3365" i="3" s="1"/>
  <c r="DY80" i="18"/>
  <c r="EE459" i="18"/>
  <c r="D4506" i="3"/>
  <c r="D5728" i="3" s="1"/>
  <c r="EF173" i="2"/>
  <c r="EF355" i="10" s="1"/>
  <c r="ED580" i="18"/>
  <c r="DX256" i="1"/>
  <c r="EI197" i="4"/>
  <c r="EI116" i="10" s="1"/>
  <c r="EA125" i="2"/>
  <c r="EL60" i="18"/>
  <c r="EE153" i="4"/>
  <c r="DX77" i="4"/>
  <c r="DX108" i="10" s="1"/>
  <c r="EI656" i="18"/>
  <c r="DV162" i="4"/>
  <c r="DV163" i="4" s="1"/>
  <c r="DX76" i="4"/>
  <c r="DX120" i="10" s="1"/>
  <c r="DV76" i="4"/>
  <c r="DV79" i="4" s="1"/>
  <c r="EB355" i="18"/>
  <c r="EB60" i="18" s="1"/>
  <c r="EG352" i="10"/>
  <c r="G4503" i="3"/>
  <c r="G4505" i="3" s="1"/>
  <c r="DU592" i="2"/>
  <c r="D206" i="6"/>
  <c r="D208" i="6" s="1"/>
  <c r="M4504" i="3"/>
  <c r="M4645" i="3" s="1"/>
  <c r="F3470" i="3"/>
  <c r="ED139" i="2"/>
  <c r="EG41" i="4"/>
  <c r="DX96" i="18"/>
  <c r="DY96" i="18" s="1"/>
  <c r="DZ135" i="2"/>
  <c r="DZ182" i="2" s="1"/>
  <c r="DZ203" i="2" s="1"/>
  <c r="DY348" i="10"/>
  <c r="ED435" i="18"/>
  <c r="E4506" i="3"/>
  <c r="C238" i="6"/>
  <c r="C219" i="6" s="1"/>
  <c r="C224" i="6" s="1"/>
  <c r="D4151" i="3"/>
  <c r="EI576" i="2"/>
  <c r="DV598" i="2"/>
  <c r="DV618" i="2" s="1"/>
  <c r="EC173" i="2"/>
  <c r="EI592" i="2"/>
  <c r="EH380" i="2"/>
  <c r="D4217" i="3"/>
  <c r="EE250" i="18"/>
  <c r="F3120" i="3"/>
  <c r="I116" i="29"/>
  <c r="EB539" i="18"/>
  <c r="EB563" i="18" s="1"/>
  <c r="A6024" i="3"/>
  <c r="A6025" i="3" s="1"/>
  <c r="EC314" i="2"/>
  <c r="EC337" i="2" s="1"/>
  <c r="EC339" i="2" s="1"/>
  <c r="D4153" i="3"/>
  <c r="EC598" i="2"/>
  <c r="EC618" i="2" s="1"/>
  <c r="C3430" i="3"/>
  <c r="C3432" i="3" s="1"/>
  <c r="EH172" i="2"/>
  <c r="DT527" i="1"/>
  <c r="D4150" i="3"/>
  <c r="EI375" i="10"/>
  <c r="C101" i="24"/>
  <c r="C113" i="24" s="1"/>
  <c r="EB592" i="2"/>
  <c r="EQ376" i="18"/>
  <c r="ED173" i="10"/>
  <c r="EA29" i="4"/>
  <c r="EC602" i="2"/>
  <c r="EC608" i="2" s="1"/>
  <c r="EC161" i="10" s="1"/>
  <c r="E3732" i="3"/>
  <c r="H118" i="29"/>
  <c r="ED171" i="2"/>
  <c r="EG398" i="2"/>
  <c r="EC349" i="10"/>
  <c r="DW576" i="2"/>
  <c r="DY36" i="4"/>
  <c r="EC280" i="2"/>
  <c r="EC417" i="2" s="1"/>
  <c r="EF236" i="1"/>
  <c r="EF251" i="1" s="1"/>
  <c r="DX576" i="2"/>
  <c r="EG60" i="18"/>
  <c r="EF71" i="1"/>
  <c r="DV259" i="2"/>
  <c r="DV258" i="2" s="1"/>
  <c r="EK405" i="10"/>
  <c r="EF81" i="1"/>
  <c r="EF89" i="1" s="1"/>
  <c r="EF91" i="1" s="1"/>
  <c r="EF99" i="1" s="1"/>
  <c r="EF539" i="1" s="1"/>
  <c r="DQ526" i="1"/>
  <c r="F235" i="6"/>
  <c r="B4977" i="3"/>
  <c r="B4978" i="3" s="1"/>
  <c r="EE394" i="2"/>
  <c r="EE599" i="2" s="1"/>
  <c r="ED570" i="1"/>
  <c r="DV81" i="18"/>
  <c r="DU81" i="18" s="1"/>
  <c r="ED402" i="2"/>
  <c r="EC239" i="1"/>
  <c r="DY576" i="2"/>
  <c r="EB41" i="4"/>
  <c r="G3470" i="3"/>
  <c r="D98" i="24"/>
  <c r="D151" i="24" s="1"/>
  <c r="D150" i="24" s="1"/>
  <c r="EC162" i="18"/>
  <c r="EA636" i="2"/>
  <c r="EF644" i="2" s="1"/>
  <c r="F4564" i="3"/>
  <c r="F4612" i="3" s="1"/>
  <c r="F4614" i="3" s="1"/>
  <c r="F4505" i="3"/>
  <c r="F4506" i="3" s="1"/>
  <c r="DX598" i="2"/>
  <c r="DX618" i="2" s="1"/>
  <c r="H3470" i="3"/>
  <c r="EG233" i="2"/>
  <c r="J3732" i="3"/>
  <c r="EE93" i="18"/>
  <c r="EA189" i="10"/>
  <c r="DV355" i="18"/>
  <c r="DV60" i="18" s="1"/>
  <c r="DX259" i="2"/>
  <c r="DX396" i="2" s="1"/>
  <c r="EI54" i="4"/>
  <c r="F173" i="11"/>
  <c r="G173" i="11" s="1"/>
  <c r="G194" i="11" s="1"/>
  <c r="G26" i="13"/>
  <c r="EF435" i="18"/>
  <c r="EG435" i="18" s="1"/>
  <c r="EH435" i="18" s="1"/>
  <c r="EG424" i="10"/>
  <c r="EG342" i="2"/>
  <c r="EG349" i="2"/>
  <c r="EJ191" i="4"/>
  <c r="EJ192" i="4" s="1"/>
  <c r="EC580" i="18"/>
  <c r="C237" i="6"/>
  <c r="DU296" i="18"/>
  <c r="DU295" i="18" s="1"/>
  <c r="DU306" i="18"/>
  <c r="DZ311" i="18" s="1"/>
  <c r="DX399" i="2"/>
  <c r="EF162" i="18"/>
  <c r="DV106" i="10"/>
  <c r="EB430" i="2"/>
  <c r="EB429" i="2" s="1"/>
  <c r="ED529" i="1"/>
  <c r="EF159" i="4"/>
  <c r="EF160" i="4" s="1"/>
  <c r="C157" i="41" s="1"/>
  <c r="D3732" i="3"/>
  <c r="DX158" i="4"/>
  <c r="DX157" i="4" s="1"/>
  <c r="DW160" i="4" s="1"/>
  <c r="ED533" i="1"/>
  <c r="EG400" i="10"/>
  <c r="DY397" i="2"/>
  <c r="DZ399" i="2" s="1"/>
  <c r="EA467" i="18"/>
  <c r="EA466" i="18" s="1"/>
  <c r="EH198" i="4"/>
  <c r="EJ45" i="4"/>
  <c r="DV191" i="18"/>
  <c r="DU191" i="18" s="1"/>
  <c r="DZ373" i="18"/>
  <c r="DZ411" i="18" s="1"/>
  <c r="B3106" i="3"/>
  <c r="B3111" i="3" s="1"/>
  <c r="EI256" i="1"/>
  <c r="EA580" i="18"/>
  <c r="H4751" i="3"/>
  <c r="DU18" i="4"/>
  <c r="DU102" i="10" s="1"/>
  <c r="DU40" i="4"/>
  <c r="DY40" i="4" s="1"/>
  <c r="DY38" i="4"/>
  <c r="EG454" i="2"/>
  <c r="EC189" i="1"/>
  <c r="EC188" i="1" s="1"/>
  <c r="C3732" i="3"/>
  <c r="EC405" i="18"/>
  <c r="ED405" i="18" s="1"/>
  <c r="F4834" i="3"/>
  <c r="DX592" i="2"/>
  <c r="DX162" i="4"/>
  <c r="EG639" i="2"/>
  <c r="EA344" i="10"/>
  <c r="DZ173" i="2"/>
  <c r="DX189" i="10"/>
  <c r="EI97" i="4"/>
  <c r="ED138" i="1"/>
  <c r="ED154" i="1" s="1"/>
  <c r="DX349" i="10"/>
  <c r="EC172" i="2"/>
  <c r="DW399" i="2"/>
  <c r="EG592" i="2"/>
  <c r="EH592" i="2"/>
  <c r="EH232" i="2"/>
  <c r="ED26" i="4"/>
  <c r="ED28" i="4" s="1"/>
  <c r="DW266" i="1"/>
  <c r="DX266" i="1" s="1"/>
  <c r="G4994" i="3"/>
  <c r="G5008" i="3" s="1"/>
  <c r="EI454" i="18"/>
  <c r="ED121" i="18"/>
  <c r="F7" i="21"/>
  <c r="G7" i="21" s="1"/>
  <c r="H4152" i="3"/>
  <c r="EE136" i="18"/>
  <c r="EC306" i="18"/>
  <c r="EC53" i="18" s="1"/>
  <c r="EG644" i="2"/>
  <c r="B3375" i="3"/>
  <c r="EG81" i="1"/>
  <c r="EG89" i="1" s="1"/>
  <c r="EG91" i="1" s="1"/>
  <c r="EG99" i="1" s="1"/>
  <c r="EG539" i="1" s="1"/>
  <c r="EG544" i="1" s="1"/>
  <c r="DV182" i="2"/>
  <c r="DZ133" i="18"/>
  <c r="ED133" i="18" s="1"/>
  <c r="EB460" i="18"/>
  <c r="H4151" i="3"/>
  <c r="B4153" i="3"/>
  <c r="EB203" i="4"/>
  <c r="EF29" i="4"/>
  <c r="EF91" i="18"/>
  <c r="EG91" i="18" s="1"/>
  <c r="EG93" i="18" s="1"/>
  <c r="G4152" i="3"/>
  <c r="D5220" i="3"/>
  <c r="D5222" i="3" s="1"/>
  <c r="D5224" i="3" s="1"/>
  <c r="D5226" i="3" s="1"/>
  <c r="D5240" i="3" s="1"/>
  <c r="D5242" i="3" s="1"/>
  <c r="C3378" i="3"/>
  <c r="C3379" i="3" s="1"/>
  <c r="EA398" i="2"/>
  <c r="EE636" i="2"/>
  <c r="EI636" i="2" s="1"/>
  <c r="DY220" i="18"/>
  <c r="EB598" i="2"/>
  <c r="EB618" i="2" s="1"/>
  <c r="EJ78" i="2"/>
  <c r="EI423" i="10"/>
  <c r="F4750" i="3"/>
  <c r="EC246" i="1"/>
  <c r="EI494" i="1"/>
  <c r="EI506" i="1" s="1"/>
  <c r="B4150" i="3"/>
  <c r="D4399" i="3"/>
  <c r="EE96" i="18"/>
  <c r="EE98" i="18" s="1"/>
  <c r="EG72" i="1"/>
  <c r="DY408" i="18"/>
  <c r="ED458" i="18"/>
  <c r="D4941" i="3"/>
  <c r="EE456" i="18"/>
  <c r="EE455" i="18" s="1"/>
  <c r="DW394" i="2"/>
  <c r="DW451" i="2" s="1"/>
  <c r="DW573" i="2" s="1"/>
  <c r="EB580" i="18"/>
  <c r="DW400" i="10"/>
  <c r="D3573" i="3"/>
  <c r="EB314" i="2"/>
  <c r="EB337" i="2" s="1"/>
  <c r="EB420" i="10" s="1"/>
  <c r="DZ181" i="2"/>
  <c r="DZ200" i="2" s="1"/>
  <c r="ED58" i="18"/>
  <c r="B72" i="24" s="1"/>
  <c r="B229" i="24" s="1"/>
  <c r="EE158" i="18"/>
  <c r="EE36" i="18" s="1"/>
  <c r="EA119" i="18"/>
  <c r="EA118" i="18" s="1"/>
  <c r="DV399" i="2"/>
  <c r="B4151" i="3"/>
  <c r="G4151" i="3"/>
  <c r="DU182" i="2"/>
  <c r="DX173" i="2"/>
  <c r="DX355" i="10" s="1"/>
  <c r="H4153" i="3"/>
  <c r="B3732" i="3"/>
  <c r="DZ117" i="18"/>
  <c r="ED117" i="18" s="1"/>
  <c r="EI348" i="2"/>
  <c r="H3202" i="3"/>
  <c r="H3203" i="3" s="1"/>
  <c r="DU137" i="2"/>
  <c r="DU136" i="2" s="1"/>
  <c r="DU440" i="2" s="1"/>
  <c r="EC493" i="18"/>
  <c r="EE408" i="18"/>
  <c r="F4399" i="3"/>
  <c r="G4153" i="3"/>
  <c r="DV77" i="4"/>
  <c r="DV108" i="10" s="1"/>
  <c r="EH43" i="4"/>
  <c r="EI43" i="4" s="1"/>
  <c r="EE402" i="18"/>
  <c r="EE490" i="18" s="1"/>
  <c r="EE528" i="18" s="1"/>
  <c r="DV110" i="4"/>
  <c r="DW72" i="1"/>
  <c r="EK60" i="18"/>
  <c r="EI390" i="2"/>
  <c r="EA181" i="2"/>
  <c r="EA621" i="2" s="1"/>
  <c r="EA623" i="2" s="1"/>
  <c r="EA649" i="2" s="1"/>
  <c r="EB445" i="18"/>
  <c r="EB444" i="18" s="1"/>
  <c r="EB449" i="18" s="1"/>
  <c r="DY302" i="2"/>
  <c r="DU439" i="2"/>
  <c r="DY439" i="2" s="1"/>
  <c r="DU405" i="18"/>
  <c r="DU403" i="18" s="1"/>
  <c r="DZ132" i="18"/>
  <c r="C4935" i="3"/>
  <c r="EM366" i="10"/>
  <c r="DW617" i="2"/>
  <c r="DU576" i="2"/>
  <c r="D5086" i="3"/>
  <c r="EE399" i="2"/>
  <c r="DY662" i="2"/>
  <c r="DZ305" i="18"/>
  <c r="DZ52" i="18" s="1"/>
  <c r="C104" i="6"/>
  <c r="D104" i="6" s="1"/>
  <c r="EE305" i="18"/>
  <c r="EE52" i="18" s="1"/>
  <c r="E4637" i="3"/>
  <c r="E4653" i="3" s="1"/>
  <c r="E4672" i="3" s="1"/>
  <c r="I3738" i="3"/>
  <c r="I3740" i="3" s="1"/>
  <c r="K72" i="24"/>
  <c r="K229" i="24" s="1"/>
  <c r="DX371" i="18"/>
  <c r="DX432" i="18" s="1"/>
  <c r="I5855" i="3"/>
  <c r="DV130" i="4"/>
  <c r="G5746" i="3"/>
  <c r="EI642" i="2"/>
  <c r="ED36" i="4"/>
  <c r="C4991" i="3" s="1"/>
  <c r="C4998" i="3" s="1"/>
  <c r="EE355" i="18"/>
  <c r="EE60" i="18" s="1"/>
  <c r="DZ580" i="18"/>
  <c r="DU394" i="2"/>
  <c r="DU257" i="2" s="1"/>
  <c r="DY257" i="2" s="1"/>
  <c r="DZ445" i="18"/>
  <c r="DZ444" i="18" s="1"/>
  <c r="DU490" i="18"/>
  <c r="DU528" i="18" s="1"/>
  <c r="EE46" i="4"/>
  <c r="EF639" i="2"/>
  <c r="I3519" i="3"/>
  <c r="EI105" i="10"/>
  <c r="EI100" i="2"/>
  <c r="EC41" i="4"/>
  <c r="DZ285" i="18"/>
  <c r="DZ284" i="18" s="1"/>
  <c r="DY111" i="18"/>
  <c r="DV394" i="2"/>
  <c r="DV451" i="2" s="1"/>
  <c r="DV573" i="2" s="1"/>
  <c r="EE441" i="2"/>
  <c r="D204" i="6"/>
  <c r="EA480" i="18"/>
  <c r="DZ270" i="2"/>
  <c r="DZ407" i="2" s="1"/>
  <c r="EA43" i="4"/>
  <c r="ED43" i="4" s="1"/>
  <c r="DW119" i="18"/>
  <c r="DW118" i="18" s="1"/>
  <c r="H3732" i="3"/>
  <c r="DY492" i="18"/>
  <c r="DW112" i="4"/>
  <c r="EE303" i="2"/>
  <c r="EE440" i="2" s="1"/>
  <c r="EE445" i="2" s="1"/>
  <c r="L4660" i="3"/>
  <c r="L4679" i="3" s="1"/>
  <c r="DY91" i="18"/>
  <c r="DY125" i="18" s="1"/>
  <c r="DX81" i="1"/>
  <c r="DX89" i="1" s="1"/>
  <c r="DX91" i="1" s="1"/>
  <c r="DX99" i="1" s="1"/>
  <c r="DX539" i="1" s="1"/>
  <c r="DX543" i="1" s="1"/>
  <c r="DX360" i="18" s="1"/>
  <c r="EB352" i="10"/>
  <c r="DX72" i="1"/>
  <c r="EB200" i="2"/>
  <c r="EB41" i="2" s="1"/>
  <c r="EB10" i="4" s="1"/>
  <c r="EA592" i="2"/>
  <c r="DZ315" i="2"/>
  <c r="ED315" i="2" s="1"/>
  <c r="F3169" i="3"/>
  <c r="DY470" i="18"/>
  <c r="DX236" i="1"/>
  <c r="DZ600" i="2"/>
  <c r="DZ622" i="2" s="1"/>
  <c r="DV429" i="18"/>
  <c r="EB306" i="18"/>
  <c r="F3732" i="3"/>
  <c r="L4506" i="3"/>
  <c r="L4544" i="3" s="1"/>
  <c r="L4436" i="3" s="1"/>
  <c r="M5745" i="3"/>
  <c r="N5745" i="3" s="1"/>
  <c r="N5739" i="3" s="1"/>
  <c r="H5763" i="3" s="1"/>
  <c r="I3470" i="3"/>
  <c r="EI188" i="1"/>
  <c r="DX180" i="2"/>
  <c r="ED604" i="18"/>
  <c r="ED606" i="18" s="1"/>
  <c r="EB256" i="1"/>
  <c r="EC256" i="1" s="1"/>
  <c r="D5087" i="3"/>
  <c r="EE402" i="2"/>
  <c r="N4503" i="3"/>
  <c r="N4505" i="3" s="1"/>
  <c r="E21" i="13"/>
  <c r="EI17" i="4"/>
  <c r="EI484" i="2"/>
  <c r="DX394" i="2"/>
  <c r="ED591" i="1"/>
  <c r="G3199" i="3"/>
  <c r="F116" i="29"/>
  <c r="H4750" i="3"/>
  <c r="DY42" i="18"/>
  <c r="EA71" i="2"/>
  <c r="EH153" i="4"/>
  <c r="EC374" i="18"/>
  <c r="EC378" i="18" s="1"/>
  <c r="DY249" i="18"/>
  <c r="EI34" i="2"/>
  <c r="C5306" i="3"/>
  <c r="FI41" i="4"/>
  <c r="ED57" i="4"/>
  <c r="EB398" i="2"/>
  <c r="C81" i="11"/>
  <c r="F3199" i="3"/>
  <c r="DV424" i="18"/>
  <c r="DV494" i="18" s="1"/>
  <c r="DV493" i="18" s="1"/>
  <c r="F3209" i="3"/>
  <c r="F3223" i="3" s="1"/>
  <c r="EC454" i="2"/>
  <c r="EE172" i="2"/>
  <c r="B3337" i="3"/>
  <c r="B3339" i="3" s="1"/>
  <c r="B3356" i="3" s="1"/>
  <c r="EC92" i="4"/>
  <c r="ED92" i="4" s="1"/>
  <c r="EE92" i="4" s="1"/>
  <c r="EF92" i="4" s="1"/>
  <c r="EG92" i="4" s="1"/>
  <c r="EH92" i="4" s="1"/>
  <c r="G3201" i="3"/>
  <c r="EC250" i="18"/>
  <c r="EB276" i="18"/>
  <c r="EB47" i="18" s="1"/>
  <c r="ED448" i="18"/>
  <c r="DY257" i="18"/>
  <c r="M4505" i="3"/>
  <c r="M4834" i="3"/>
  <c r="D4977" i="3"/>
  <c r="F3201" i="3"/>
  <c r="F3203" i="3" s="1"/>
  <c r="B3120" i="3"/>
  <c r="B3124" i="3" s="1"/>
  <c r="EH383" i="18"/>
  <c r="EB623" i="2"/>
  <c r="EB649" i="2" s="1"/>
  <c r="F5154" i="3"/>
  <c r="F5157" i="3" s="1"/>
  <c r="C108" i="24"/>
  <c r="C99" i="24" s="1"/>
  <c r="EB172" i="2"/>
  <c r="C5086" i="3"/>
  <c r="EH447" i="2"/>
  <c r="DV137" i="2"/>
  <c r="DV136" i="2" s="1"/>
  <c r="DV169" i="2" s="1"/>
  <c r="EA400" i="10"/>
  <c r="EG268" i="18"/>
  <c r="DY569" i="1"/>
  <c r="DX569" i="1" s="1"/>
  <c r="H3120" i="3"/>
  <c r="ED443" i="18"/>
  <c r="DW173" i="2"/>
  <c r="DW355" i="10" s="1"/>
  <c r="DZ154" i="1"/>
  <c r="DZ153" i="1" s="1"/>
  <c r="ED153" i="1" s="1"/>
  <c r="DX352" i="10"/>
  <c r="DX188" i="10"/>
  <c r="ED353" i="18"/>
  <c r="EB266" i="1"/>
  <c r="EC266" i="1" s="1"/>
  <c r="EB630" i="2"/>
  <c r="H4130" i="3" s="1"/>
  <c r="EB608" i="2"/>
  <c r="DZ40" i="4"/>
  <c r="ED40" i="4" s="1"/>
  <c r="ED38" i="4"/>
  <c r="ED173" i="1"/>
  <c r="ED189" i="1" s="1"/>
  <c r="DY57" i="4"/>
  <c r="EF41" i="4"/>
  <c r="D4621" i="3"/>
  <c r="D4619" i="3" s="1"/>
  <c r="D4612" i="3"/>
  <c r="D4614" i="3" s="1"/>
  <c r="D4843" i="3"/>
  <c r="D5184" i="3"/>
  <c r="D4609" i="3"/>
  <c r="EI571" i="36" s="1"/>
  <c r="EE571" i="36" s="1"/>
  <c r="EF571" i="36" s="1"/>
  <c r="EG571" i="36" s="1"/>
  <c r="EH571" i="36" s="1"/>
  <c r="D3738" i="3"/>
  <c r="D3740" i="3" s="1"/>
  <c r="EE639" i="2"/>
  <c r="EA162" i="18"/>
  <c r="C4153" i="3"/>
  <c r="EI104" i="10"/>
  <c r="ED506" i="1"/>
  <c r="DW384" i="18"/>
  <c r="DW383" i="18" s="1"/>
  <c r="DW414" i="18" s="1"/>
  <c r="DW419" i="18" s="1"/>
  <c r="E5184" i="3"/>
  <c r="E4609" i="3"/>
  <c r="EN571" i="36" s="1"/>
  <c r="EJ571" i="36" s="1"/>
  <c r="EK571" i="36" s="1"/>
  <c r="EL571" i="36" s="1"/>
  <c r="EM571" i="36" s="1"/>
  <c r="E4612" i="3"/>
  <c r="E4614" i="3" s="1"/>
  <c r="E4621" i="3"/>
  <c r="E4843" i="3"/>
  <c r="EC399" i="2"/>
  <c r="EB92" i="18"/>
  <c r="EG29" i="4"/>
  <c r="EA41" i="4"/>
  <c r="C4152" i="3"/>
  <c r="EI213" i="2"/>
  <c r="ED588" i="2"/>
  <c r="ED589" i="2" s="1"/>
  <c r="EI173" i="1"/>
  <c r="EI189" i="1" s="1"/>
  <c r="DW473" i="18"/>
  <c r="EE62" i="2"/>
  <c r="EE63" i="2" s="1"/>
  <c r="K5745" i="3"/>
  <c r="P5752" i="3" s="1"/>
  <c r="DV120" i="4"/>
  <c r="DZ187" i="10"/>
  <c r="C4151" i="3"/>
  <c r="H141" i="6"/>
  <c r="B806" i="3" s="1"/>
  <c r="B807" i="3" s="1"/>
  <c r="B809" i="3" s="1"/>
  <c r="B813" i="3" s="1"/>
  <c r="C813" i="3" s="1"/>
  <c r="B47" i="13"/>
  <c r="B49" i="13" s="1"/>
  <c r="B51" i="13" s="1"/>
  <c r="B53" i="13" s="1"/>
  <c r="EB125" i="18"/>
  <c r="EB439" i="2"/>
  <c r="EB454" i="2" s="1"/>
  <c r="EA96" i="18"/>
  <c r="EA97" i="18" s="1"/>
  <c r="D24" i="13"/>
  <c r="B5274" i="3"/>
  <c r="ED96" i="2"/>
  <c r="EH402" i="2"/>
  <c r="EB182" i="2"/>
  <c r="EB203" i="2" s="1"/>
  <c r="EB204" i="2" s="1"/>
  <c r="EB606" i="2" s="1"/>
  <c r="EB368" i="10" s="1"/>
  <c r="EB96" i="18"/>
  <c r="DY120" i="1"/>
  <c r="EG110" i="4"/>
  <c r="ED54" i="4"/>
  <c r="EJ258" i="2"/>
  <c r="D2490" i="3" s="1"/>
  <c r="D2492" i="3" s="1"/>
  <c r="D2495" i="3" s="1"/>
  <c r="EA136" i="18"/>
  <c r="C5240" i="3"/>
  <c r="C5242" i="3" s="1"/>
  <c r="DU636" i="2"/>
  <c r="DY636" i="2" s="1"/>
  <c r="B4948" i="3" s="1"/>
  <c r="D111" i="13"/>
  <c r="EN366" i="1"/>
  <c r="EI138" i="1"/>
  <c r="EI154" i="1" s="1"/>
  <c r="EI397" i="2"/>
  <c r="EI402" i="2" s="1"/>
  <c r="EG60" i="2"/>
  <c r="EG138" i="10" s="1"/>
  <c r="EJ279" i="1"/>
  <c r="EC273" i="1"/>
  <c r="E4974" i="3"/>
  <c r="DW491" i="18"/>
  <c r="EH180" i="2"/>
  <c r="C2381" i="3" s="1"/>
  <c r="C2382" i="3" s="1"/>
  <c r="ED492" i="18"/>
  <c r="EF461" i="18"/>
  <c r="EF456" i="18" s="1"/>
  <c r="D53" i="11"/>
  <c r="B3430" i="3"/>
  <c r="EB29" i="4"/>
  <c r="EA606" i="18"/>
  <c r="EG389" i="18"/>
  <c r="EG399" i="18" s="1"/>
  <c r="EA125" i="18"/>
  <c r="DU276" i="18"/>
  <c r="DY276" i="18" s="1"/>
  <c r="ED349" i="18"/>
  <c r="EF399" i="18"/>
  <c r="EF290" i="18"/>
  <c r="EF285" i="18" s="1"/>
  <c r="EF284" i="18" s="1"/>
  <c r="B26" i="13"/>
  <c r="M4399" i="3"/>
  <c r="DY634" i="2"/>
  <c r="DY639" i="2" s="1"/>
  <c r="B5770" i="3"/>
  <c r="Q5752" i="3"/>
  <c r="C4621" i="3"/>
  <c r="C4612" i="3"/>
  <c r="C4614" i="3" s="1"/>
  <c r="C5184" i="3"/>
  <c r="C4609" i="3"/>
  <c r="C4843" i="3"/>
  <c r="D5287" i="3"/>
  <c r="D5284" i="3"/>
  <c r="DZ432" i="18"/>
  <c r="ED149" i="4"/>
  <c r="DU481" i="18"/>
  <c r="DU476" i="18" s="1"/>
  <c r="DY476" i="18" s="1"/>
  <c r="EI436" i="2"/>
  <c r="EG153" i="4"/>
  <c r="EG154" i="4" s="1"/>
  <c r="EG158" i="4" s="1"/>
  <c r="EF200" i="2"/>
  <c r="EF373" i="10" s="1"/>
  <c r="ED662" i="2"/>
  <c r="EH113" i="18"/>
  <c r="EH212" i="18" s="1"/>
  <c r="ED642" i="2"/>
  <c r="DZ428" i="18"/>
  <c r="DU433" i="18"/>
  <c r="DU424" i="18"/>
  <c r="EM357" i="10"/>
  <c r="EA460" i="18"/>
  <c r="EC526" i="1"/>
  <c r="ED526" i="1" s="1"/>
  <c r="DY66" i="1"/>
  <c r="EG444" i="2"/>
  <c r="EE454" i="2"/>
  <c r="ED17" i="4"/>
  <c r="G3732" i="3"/>
  <c r="DY299" i="18"/>
  <c r="FH41" i="4"/>
  <c r="EB188" i="10"/>
  <c r="DZ462" i="18"/>
  <c r="G5952" i="3"/>
  <c r="F5968" i="3"/>
  <c r="DX180" i="4"/>
  <c r="DY180" i="4" s="1"/>
  <c r="EC355" i="18"/>
  <c r="EC60" i="18" s="1"/>
  <c r="EC114" i="2"/>
  <c r="EC168" i="2"/>
  <c r="EC254" i="1"/>
  <c r="EB108" i="4"/>
  <c r="EB399" i="2"/>
  <c r="EC394" i="2"/>
  <c r="EB173" i="10"/>
  <c r="EH130" i="4"/>
  <c r="EH112" i="10"/>
  <c r="EH141" i="10" s="1"/>
  <c r="DW251" i="1"/>
  <c r="DW71" i="1"/>
  <c r="ED243" i="18"/>
  <c r="DY459" i="18"/>
  <c r="DW81" i="1"/>
  <c r="DW89" i="1" s="1"/>
  <c r="DW91" i="1" s="1"/>
  <c r="DW99" i="1" s="1"/>
  <c r="DW539" i="1" s="1"/>
  <c r="DW540" i="1" s="1"/>
  <c r="ED503" i="1"/>
  <c r="EF603" i="2"/>
  <c r="EG130" i="4"/>
  <c r="EN428" i="2"/>
  <c r="B108" i="24"/>
  <c r="B99" i="24" s="1"/>
  <c r="EJ135" i="2"/>
  <c r="EI348" i="10"/>
  <c r="EI139" i="2"/>
  <c r="D236" i="6"/>
  <c r="D238" i="6"/>
  <c r="D219" i="6" s="1"/>
  <c r="D224" i="6" s="1"/>
  <c r="D237" i="6"/>
  <c r="C24" i="29"/>
  <c r="C26" i="29" s="1"/>
  <c r="B32" i="29"/>
  <c r="EM113" i="18"/>
  <c r="EL212" i="18"/>
  <c r="D7" i="29"/>
  <c r="D3364" i="3"/>
  <c r="D3378" i="3"/>
  <c r="M4609" i="3"/>
  <c r="FL571" i="36" s="1"/>
  <c r="M4843" i="3"/>
  <c r="M4621" i="3"/>
  <c r="M4612" i="3"/>
  <c r="M4614" i="3" s="1"/>
  <c r="M5184" i="3"/>
  <c r="ED592" i="2"/>
  <c r="EC592" i="2"/>
  <c r="EI153" i="1"/>
  <c r="DX262" i="1"/>
  <c r="EA352" i="10"/>
  <c r="L4399" i="3"/>
  <c r="C8" i="29"/>
  <c r="C11" i="29" s="1"/>
  <c r="EI78" i="2"/>
  <c r="C153" i="24"/>
  <c r="C156" i="24" s="1"/>
  <c r="C157" i="24" s="1"/>
  <c r="C159" i="24" s="1"/>
  <c r="C146" i="24"/>
  <c r="EC480" i="18"/>
  <c r="ED479" i="18"/>
  <c r="EE481" i="18" s="1"/>
  <c r="ED340" i="18"/>
  <c r="D5492" i="3"/>
  <c r="DV400" i="10"/>
  <c r="DV189" i="10"/>
  <c r="EC116" i="10"/>
  <c r="ED197" i="4"/>
  <c r="ED116" i="10" s="1"/>
  <c r="F19" i="6"/>
  <c r="F204" i="6" s="1"/>
  <c r="E204" i="6"/>
  <c r="F5763" i="3"/>
  <c r="O5739" i="3"/>
  <c r="EB639" i="2"/>
  <c r="DY110" i="1"/>
  <c r="DY112" i="1" s="1"/>
  <c r="EE69" i="4"/>
  <c r="EE74" i="4" s="1"/>
  <c r="EE76" i="4" s="1"/>
  <c r="EI59" i="1"/>
  <c r="EE66" i="1"/>
  <c r="EE68" i="1" s="1"/>
  <c r="EE70" i="1" s="1"/>
  <c r="EC188" i="10"/>
  <c r="H7" i="21"/>
  <c r="J48" i="21"/>
  <c r="EC204" i="2"/>
  <c r="EC606" i="2" s="1"/>
  <c r="EA172" i="2"/>
  <c r="DY382" i="18"/>
  <c r="DY473" i="18" s="1"/>
  <c r="D5481" i="3"/>
  <c r="EJ154" i="1"/>
  <c r="EJ153" i="1" s="1"/>
  <c r="DX596" i="18"/>
  <c r="DY596" i="18" s="1"/>
  <c r="ED143" i="4"/>
  <c r="ED299" i="18"/>
  <c r="D129" i="24"/>
  <c r="EB162" i="18"/>
  <c r="DT523" i="1"/>
  <c r="EG315" i="2"/>
  <c r="EG338" i="2" s="1"/>
  <c r="EL346" i="2" s="1"/>
  <c r="EH180" i="4"/>
  <c r="EI180" i="4" s="1"/>
  <c r="EJ173" i="1"/>
  <c r="C5089" i="3"/>
  <c r="ED167" i="4"/>
  <c r="L4314" i="3"/>
  <c r="EF304" i="2"/>
  <c r="EF441" i="2" s="1"/>
  <c r="ED375" i="10"/>
  <c r="G3738" i="3"/>
  <c r="G3740" i="3" s="1"/>
  <c r="DY122" i="18"/>
  <c r="C111" i="13"/>
  <c r="G5968" i="3"/>
  <c r="EC617" i="2"/>
  <c r="EF454" i="2"/>
  <c r="D3470" i="3"/>
  <c r="EI210" i="2"/>
  <c r="E3738" i="3"/>
  <c r="E3740" i="3" s="1"/>
  <c r="EA311" i="18"/>
  <c r="ED253" i="18"/>
  <c r="ED254" i="18" s="1"/>
  <c r="E5145" i="3"/>
  <c r="F5145" i="3" s="1"/>
  <c r="G5145" i="3" s="1"/>
  <c r="H5145" i="3" s="1"/>
  <c r="I5145" i="3" s="1"/>
  <c r="J5145" i="3" s="1"/>
  <c r="EB493" i="18"/>
  <c r="N3445" i="3"/>
  <c r="N3444" i="3"/>
  <c r="EF318" i="2"/>
  <c r="E5240" i="3"/>
  <c r="E5242" i="3" s="1"/>
  <c r="J3738" i="3"/>
  <c r="J3740" i="3" s="1"/>
  <c r="C504" i="3"/>
  <c r="B11" i="29"/>
  <c r="B13" i="29" s="1"/>
  <c r="B18" i="29" s="1"/>
  <c r="EG253" i="18"/>
  <c r="DY294" i="18"/>
  <c r="EE444" i="2"/>
  <c r="DY97" i="4"/>
  <c r="DZ447" i="18"/>
  <c r="D4287" i="3"/>
  <c r="D4320" i="3" s="1"/>
  <c r="EC199" i="2"/>
  <c r="ED459" i="18"/>
  <c r="ED122" i="18"/>
  <c r="H3454" i="3"/>
  <c r="EB305" i="18"/>
  <c r="EB52" i="18" s="1"/>
  <c r="DU437" i="18"/>
  <c r="DU440" i="18" s="1"/>
  <c r="EC305" i="18"/>
  <c r="EC52" i="18" s="1"/>
  <c r="EH253" i="18"/>
  <c r="DY349" i="18"/>
  <c r="ED408" i="18"/>
  <c r="DV448" i="18"/>
  <c r="EG405" i="2"/>
  <c r="EC44" i="2"/>
  <c r="EC13" i="4" s="1"/>
  <c r="DU217" i="18"/>
  <c r="EC119" i="18"/>
  <c r="EC118" i="18" s="1"/>
  <c r="I4399" i="3"/>
  <c r="D5302" i="3"/>
  <c r="D5301" i="3" s="1"/>
  <c r="EF62" i="2"/>
  <c r="EA296" i="18"/>
  <c r="EJ100" i="2"/>
  <c r="EJ402" i="2"/>
  <c r="EJ398" i="2"/>
  <c r="EM389" i="18"/>
  <c r="EL124" i="18"/>
  <c r="EL290" i="18" s="1"/>
  <c r="EL461" i="18"/>
  <c r="G3202" i="3"/>
  <c r="EC29" i="4"/>
  <c r="EJ443" i="2"/>
  <c r="J3443" i="3"/>
  <c r="K3444" i="3" s="1"/>
  <c r="L3445" i="3" s="1"/>
  <c r="M3446" i="3" s="1"/>
  <c r="N3447" i="3" s="1"/>
  <c r="J3442" i="3"/>
  <c r="K3443" i="3" s="1"/>
  <c r="L3444" i="3" s="1"/>
  <c r="M3445" i="3" s="1"/>
  <c r="N3446" i="3" s="1"/>
  <c r="EJ349" i="2"/>
  <c r="ED106" i="18"/>
  <c r="DZ108" i="18"/>
  <c r="M4660" i="3"/>
  <c r="M4679" i="3" s="1"/>
  <c r="N4644" i="3"/>
  <c r="N4660" i="3" s="1"/>
  <c r="N4679" i="3" s="1"/>
  <c r="I176" i="11"/>
  <c r="J176" i="11" s="1"/>
  <c r="J197" i="11" s="1"/>
  <c r="D3165" i="3"/>
  <c r="D3171" i="3" s="1"/>
  <c r="E3167" i="3"/>
  <c r="E3169" i="3" s="1"/>
  <c r="C105" i="24"/>
  <c r="C129" i="24"/>
  <c r="EH41" i="4"/>
  <c r="DV296" i="18"/>
  <c r="DV295" i="18" s="1"/>
  <c r="EJ434" i="2"/>
  <c r="K48" i="22"/>
  <c r="F43" i="22"/>
  <c r="I46" i="22"/>
  <c r="EJ284" i="2"/>
  <c r="EJ294" i="2"/>
  <c r="EJ172" i="2"/>
  <c r="H45" i="22"/>
  <c r="E42" i="22"/>
  <c r="D41" i="22"/>
  <c r="D85" i="22" s="1"/>
  <c r="E28" i="22"/>
  <c r="E29" i="22" s="1"/>
  <c r="K47" i="22" s="1"/>
  <c r="DY196" i="4"/>
  <c r="DY115" i="10" s="1"/>
  <c r="DX202" i="4"/>
  <c r="DX203" i="4" s="1"/>
  <c r="DX115" i="10"/>
  <c r="DV352" i="10"/>
  <c r="DY117" i="2"/>
  <c r="DV188" i="10"/>
  <c r="EI639" i="2"/>
  <c r="DX413" i="18"/>
  <c r="DX418" i="18" s="1"/>
  <c r="DW437" i="18"/>
  <c r="DW440" i="18" s="1"/>
  <c r="DW352" i="10"/>
  <c r="DW188" i="10"/>
  <c r="EE130" i="4"/>
  <c r="EE112" i="10"/>
  <c r="EE141" i="10" s="1"/>
  <c r="EI167" i="4"/>
  <c r="EI168" i="4" s="1"/>
  <c r="EI107" i="10"/>
  <c r="EC441" i="2"/>
  <c r="C4360" i="3"/>
  <c r="D4354" i="3"/>
  <c r="EH651" i="2"/>
  <c r="EH643" i="2"/>
  <c r="EC263" i="1"/>
  <c r="B3549" i="3"/>
  <c r="EF117" i="10"/>
  <c r="C4361" i="3"/>
  <c r="C4550" i="3" s="1"/>
  <c r="DZ173" i="10"/>
  <c r="EA394" i="2"/>
  <c r="DZ398" i="2"/>
  <c r="EG189" i="10"/>
  <c r="EF400" i="10"/>
  <c r="EF189" i="10"/>
  <c r="EK366" i="10"/>
  <c r="C3283" i="3"/>
  <c r="EA53" i="18"/>
  <c r="EF311" i="18"/>
  <c r="EF394" i="2"/>
  <c r="EF599" i="2" s="1"/>
  <c r="EE173" i="10"/>
  <c r="EH10" i="2"/>
  <c r="EH427" i="10"/>
  <c r="EH189" i="10"/>
  <c r="EH400" i="10"/>
  <c r="DX405" i="18"/>
  <c r="DX403" i="18" s="1"/>
  <c r="DX414" i="18" s="1"/>
  <c r="DX490" i="18"/>
  <c r="DX528" i="18" s="1"/>
  <c r="DX476" i="18"/>
  <c r="DX481" i="18"/>
  <c r="DZ71" i="2"/>
  <c r="ED70" i="2"/>
  <c r="EC276" i="18"/>
  <c r="EC47" i="18" s="1"/>
  <c r="EC217" i="18"/>
  <c r="EC216" i="18" s="1"/>
  <c r="EJ383" i="18"/>
  <c r="EE290" i="18"/>
  <c r="EE285" i="18" s="1"/>
  <c r="EE284" i="18" s="1"/>
  <c r="EE119" i="18"/>
  <c r="EE118" i="18" s="1"/>
  <c r="EH443" i="2"/>
  <c r="EB173" i="2"/>
  <c r="EA349" i="10"/>
  <c r="EN302" i="2"/>
  <c r="B5513" i="3"/>
  <c r="ED133" i="10"/>
  <c r="DV72" i="1"/>
  <c r="DV71" i="1"/>
  <c r="DV81" i="1"/>
  <c r="DV89" i="1" s="1"/>
  <c r="DV91" i="1" s="1"/>
  <c r="DV99" i="1" s="1"/>
  <c r="DV539" i="1" s="1"/>
  <c r="DV540" i="1" s="1"/>
  <c r="DV236" i="1"/>
  <c r="DV251" i="1" s="1"/>
  <c r="DV445" i="18"/>
  <c r="DV444" i="18" s="1"/>
  <c r="DV449" i="18" s="1"/>
  <c r="DV495" i="18"/>
  <c r="DY107" i="10"/>
  <c r="DY167" i="4"/>
  <c r="ED146" i="4"/>
  <c r="EI588" i="2"/>
  <c r="EI589" i="2" s="1"/>
  <c r="EE398" i="2"/>
  <c r="E3279" i="3"/>
  <c r="EM360" i="10"/>
  <c r="ED596" i="18"/>
  <c r="EH399" i="2"/>
  <c r="EH394" i="2"/>
  <c r="EH451" i="2" s="1"/>
  <c r="EG173" i="10"/>
  <c r="EG402" i="2"/>
  <c r="G3120" i="3"/>
  <c r="EF349" i="10"/>
  <c r="EF176" i="2"/>
  <c r="EF172" i="2"/>
  <c r="EN98" i="4"/>
  <c r="EE403" i="10"/>
  <c r="EI307" i="2"/>
  <c r="EI403" i="10" s="1"/>
  <c r="B3431" i="3"/>
  <c r="ED423" i="10"/>
  <c r="EF380" i="2"/>
  <c r="EF427" i="10"/>
  <c r="EF389" i="2"/>
  <c r="EI344" i="2"/>
  <c r="EF352" i="2"/>
  <c r="EF10" i="2"/>
  <c r="EE447" i="2"/>
  <c r="EE603" i="2"/>
  <c r="EF444" i="2"/>
  <c r="EE443" i="2"/>
  <c r="DZ128" i="18"/>
  <c r="ED128" i="18" s="1"/>
  <c r="DY137" i="18"/>
  <c r="EF352" i="10"/>
  <c r="EF188" i="10"/>
  <c r="EG354" i="10"/>
  <c r="EI140" i="2"/>
  <c r="EI354" i="10" s="1"/>
  <c r="EG399" i="2"/>
  <c r="EF399" i="2"/>
  <c r="EG394" i="2"/>
  <c r="EG599" i="2" s="1"/>
  <c r="EF402" i="2"/>
  <c r="EF173" i="10"/>
  <c r="EE102" i="18"/>
  <c r="ED77" i="18"/>
  <c r="EE80" i="18" s="1"/>
  <c r="EH141" i="18"/>
  <c r="EH250" i="18"/>
  <c r="EH249" i="18" s="1"/>
  <c r="EB557" i="1"/>
  <c r="EC550" i="1"/>
  <c r="EB420" i="2"/>
  <c r="EB396" i="10"/>
  <c r="EF217" i="18"/>
  <c r="EF216" i="18" s="1"/>
  <c r="EF276" i="18"/>
  <c r="EF47" i="18" s="1"/>
  <c r="DU168" i="2"/>
  <c r="DY168" i="2" s="1"/>
  <c r="EH315" i="2"/>
  <c r="EH338" i="2" s="1"/>
  <c r="EH405" i="2"/>
  <c r="EH600" i="2"/>
  <c r="EH622" i="2" s="1"/>
  <c r="EH623" i="2" s="1"/>
  <c r="DZ349" i="10"/>
  <c r="DZ172" i="2"/>
  <c r="EA173" i="2"/>
  <c r="EC192" i="2"/>
  <c r="EC183" i="2"/>
  <c r="EC230" i="2" s="1"/>
  <c r="EC384" i="10" s="1"/>
  <c r="EH173" i="10"/>
  <c r="DZ105" i="2"/>
  <c r="DZ342" i="10"/>
  <c r="EG180" i="2"/>
  <c r="B2381" i="3" s="1"/>
  <c r="B2382" i="3" s="1"/>
  <c r="EG168" i="2"/>
  <c r="EG114" i="2"/>
  <c r="EG113" i="2" s="1"/>
  <c r="DY149" i="18"/>
  <c r="DU32" i="18"/>
  <c r="DY32" i="18" s="1"/>
  <c r="EG258" i="2"/>
  <c r="B2490" i="3" s="1"/>
  <c r="B2492" i="3" s="1"/>
  <c r="B2495" i="3" s="1"/>
  <c r="B2497" i="3" s="1"/>
  <c r="ED431" i="2"/>
  <c r="EH352" i="10"/>
  <c r="EH188" i="10"/>
  <c r="EH173" i="2"/>
  <c r="EG349" i="10"/>
  <c r="EG173" i="2"/>
  <c r="EH444" i="2"/>
  <c r="EG447" i="2"/>
  <c r="EG443" i="2"/>
  <c r="EG603" i="2"/>
  <c r="DZ215" i="18"/>
  <c r="DZ220" i="18"/>
  <c r="ED220" i="18" s="1"/>
  <c r="ED219" i="18"/>
  <c r="EA598" i="2"/>
  <c r="EA259" i="2"/>
  <c r="B3382" i="3"/>
  <c r="B3384" i="3" s="1"/>
  <c r="EC180" i="4"/>
  <c r="ED180" i="4" s="1"/>
  <c r="DZ405" i="2"/>
  <c r="ED405" i="2" s="1"/>
  <c r="ED123" i="2"/>
  <c r="EH280" i="2"/>
  <c r="EH291" i="2" s="1"/>
  <c r="EG285" i="2"/>
  <c r="EG284" i="2"/>
  <c r="EG396" i="10"/>
  <c r="EH182" i="2"/>
  <c r="EH203" i="2" s="1"/>
  <c r="EM211" i="2" s="1"/>
  <c r="EH439" i="2"/>
  <c r="EH432" i="2"/>
  <c r="EA444" i="2"/>
  <c r="EB444" i="2"/>
  <c r="EF443" i="2"/>
  <c r="EF294" i="2"/>
  <c r="EF396" i="10"/>
  <c r="EI351" i="2"/>
  <c r="EH114" i="2"/>
  <c r="EH113" i="2" s="1"/>
  <c r="EI129" i="10"/>
  <c r="H197" i="11"/>
  <c r="EF113" i="2"/>
  <c r="EF170" i="2"/>
  <c r="F5881" i="3"/>
  <c r="F5921" i="3"/>
  <c r="J5741" i="3"/>
  <c r="E5764" i="3"/>
  <c r="EC456" i="18"/>
  <c r="EC455" i="18" s="1"/>
  <c r="EC460" i="18" s="1"/>
  <c r="EF77" i="4"/>
  <c r="EF152" i="4"/>
  <c r="EF154" i="4" s="1"/>
  <c r="EF162" i="4"/>
  <c r="EF106" i="10"/>
  <c r="E3378" i="3"/>
  <c r="E3364" i="3"/>
  <c r="E21" i="29"/>
  <c r="E7" i="29"/>
  <c r="EC344" i="10"/>
  <c r="ED91" i="2"/>
  <c r="EE257" i="2"/>
  <c r="ED394" i="10"/>
  <c r="EI261" i="2"/>
  <c r="ED261" i="2"/>
  <c r="EE262" i="2"/>
  <c r="EH60" i="2"/>
  <c r="EI58" i="2"/>
  <c r="EI136" i="10" s="1"/>
  <c r="EH136" i="10"/>
  <c r="EL362" i="10"/>
  <c r="ED145" i="4"/>
  <c r="DU484" i="18"/>
  <c r="DV476" i="18"/>
  <c r="EC80" i="18"/>
  <c r="EB80" i="18"/>
  <c r="DV119" i="18"/>
  <c r="DV118" i="18" s="1"/>
  <c r="DV290" i="18"/>
  <c r="DV285" i="18" s="1"/>
  <c r="DV284" i="18" s="1"/>
  <c r="DV414" i="18"/>
  <c r="DV419" i="18" s="1"/>
  <c r="ED523" i="1"/>
  <c r="R42" i="30"/>
  <c r="ED594" i="18"/>
  <c r="E4399" i="3"/>
  <c r="J5746" i="3"/>
  <c r="L5746" i="3" s="1"/>
  <c r="L5740" i="3" s="1"/>
  <c r="EE112" i="2"/>
  <c r="ED208" i="10"/>
  <c r="C4851" i="3"/>
  <c r="B218" i="11"/>
  <c r="ED346" i="10"/>
  <c r="ED116" i="2"/>
  <c r="C4848" i="3"/>
  <c r="J5155" i="3"/>
  <c r="EI116" i="2"/>
  <c r="EE117" i="2"/>
  <c r="EC184" i="10"/>
  <c r="EH101" i="2"/>
  <c r="EC447" i="2"/>
  <c r="EB99" i="2"/>
  <c r="EC436" i="2"/>
  <c r="EI184" i="10"/>
  <c r="EI101" i="2"/>
  <c r="B123" i="13"/>
  <c r="C24" i="13"/>
  <c r="DU74" i="4"/>
  <c r="DY74" i="4" s="1"/>
  <c r="DY69" i="4"/>
  <c r="B5085" i="3" s="1"/>
  <c r="C5409" i="3"/>
  <c r="E5408" i="3"/>
  <c r="EE38" i="4"/>
  <c r="EI36" i="4"/>
  <c r="D4991" i="3" s="1"/>
  <c r="F206" i="41"/>
  <c r="F208" i="41" s="1"/>
  <c r="EI283" i="2"/>
  <c r="EJ280" i="2" s="1"/>
  <c r="EH294" i="2"/>
  <c r="EM295" i="2" s="1"/>
  <c r="EH285" i="2"/>
  <c r="EH284" i="2"/>
  <c r="EH396" i="10"/>
  <c r="EC270" i="2"/>
  <c r="EC282" i="2" s="1"/>
  <c r="EC600" i="2"/>
  <c r="EC405" i="2"/>
  <c r="EI35" i="2"/>
  <c r="EC420" i="2"/>
  <c r="ED283" i="2"/>
  <c r="EE285" i="2" s="1"/>
  <c r="EC285" i="2"/>
  <c r="EC396" i="10"/>
  <c r="EH70" i="2"/>
  <c r="EH44" i="4"/>
  <c r="EK357" i="10"/>
  <c r="DU384" i="18"/>
  <c r="DU383" i="18" s="1"/>
  <c r="DU413" i="18"/>
  <c r="DU418" i="18" s="1"/>
  <c r="EG590" i="2"/>
  <c r="EG591" i="2" s="1"/>
  <c r="DY353" i="18"/>
  <c r="DX355" i="18"/>
  <c r="DX60" i="18" s="1"/>
  <c r="K4399" i="3"/>
  <c r="D141" i="11"/>
  <c r="D108" i="11"/>
  <c r="D110" i="11" s="1"/>
  <c r="D99" i="11"/>
  <c r="D84" i="11"/>
  <c r="D126" i="11"/>
  <c r="E41" i="11"/>
  <c r="H5746" i="3"/>
  <c r="C5764" i="3"/>
  <c r="H5741" i="3"/>
  <c r="ED433" i="2"/>
  <c r="ED190" i="10" s="1"/>
  <c r="DZ190" i="10"/>
  <c r="DP70" i="1"/>
  <c r="DT68" i="1"/>
  <c r="DY562" i="1"/>
  <c r="EF280" i="2"/>
  <c r="EE294" i="2"/>
  <c r="EF285" i="2"/>
  <c r="EE396" i="10"/>
  <c r="DY588" i="2"/>
  <c r="DY589" i="2" s="1"/>
  <c r="EH136" i="2"/>
  <c r="EH441" i="2"/>
  <c r="EF180" i="2"/>
  <c r="C3037" i="3" s="1"/>
  <c r="C3038" i="3" s="1"/>
  <c r="EF168" i="2"/>
  <c r="EF76" i="4"/>
  <c r="DX136" i="18"/>
  <c r="DX125" i="18"/>
  <c r="DX114" i="18"/>
  <c r="DU421" i="18"/>
  <c r="DV636" i="2"/>
  <c r="DV639" i="2"/>
  <c r="EC231" i="1"/>
  <c r="ED220" i="1"/>
  <c r="F3442" i="3"/>
  <c r="G3443" i="3" s="1"/>
  <c r="H3444" i="3" s="1"/>
  <c r="I3445" i="3" s="1"/>
  <c r="J3446" i="3" s="1"/>
  <c r="K3447" i="3" s="1"/>
  <c r="L3448" i="3" s="1"/>
  <c r="M3449" i="3" s="1"/>
  <c r="N3450" i="3" s="1"/>
  <c r="F3443" i="3"/>
  <c r="G3444" i="3" s="1"/>
  <c r="H3445" i="3" s="1"/>
  <c r="I3446" i="3" s="1"/>
  <c r="J3447" i="3" s="1"/>
  <c r="K3448" i="3" s="1"/>
  <c r="L3449" i="3" s="1"/>
  <c r="M3450" i="3" s="1"/>
  <c r="N3451" i="3" s="1"/>
  <c r="DY307" i="2"/>
  <c r="DY403" i="10" s="1"/>
  <c r="ED490" i="18"/>
  <c r="G5920" i="3"/>
  <c r="EH200" i="2"/>
  <c r="EM208" i="2" s="1"/>
  <c r="EC402" i="2"/>
  <c r="DU473" i="18"/>
  <c r="EA158" i="4"/>
  <c r="EA77" i="4"/>
  <c r="EA106" i="10"/>
  <c r="EA76" i="4"/>
  <c r="EA162" i="4"/>
  <c r="F4998" i="3"/>
  <c r="F5005" i="3"/>
  <c r="G5420" i="3"/>
  <c r="EF591" i="2"/>
  <c r="C2751" i="3"/>
  <c r="F5922" i="3"/>
  <c r="EG77" i="4"/>
  <c r="EG76" i="4"/>
  <c r="EG106" i="10"/>
  <c r="EG162" i="4"/>
  <c r="EE338" i="2"/>
  <c r="EE421" i="10" s="1"/>
  <c r="DZ138" i="10"/>
  <c r="ED60" i="2"/>
  <c r="ED138" i="10" s="1"/>
  <c r="DZ386" i="2"/>
  <c r="DZ434" i="10"/>
  <c r="B155" i="24"/>
  <c r="B157" i="24" s="1"/>
  <c r="B159" i="24" s="1"/>
  <c r="B146" i="24"/>
  <c r="EK259" i="18"/>
  <c r="EJ44" i="18"/>
  <c r="EA81" i="1"/>
  <c r="EA89" i="1" s="1"/>
  <c r="EA91" i="1" s="1"/>
  <c r="EA99" i="1" s="1"/>
  <c r="EA539" i="1" s="1"/>
  <c r="EA543" i="1" s="1"/>
  <c r="EA360" i="18" s="1"/>
  <c r="EA236" i="1"/>
  <c r="EA251" i="1" s="1"/>
  <c r="EA105" i="35" s="1"/>
  <c r="EA129" i="35" s="1"/>
  <c r="EA72" i="1"/>
  <c r="EA71" i="1"/>
  <c r="EC342" i="2"/>
  <c r="EC424" i="10"/>
  <c r="EC465" i="2"/>
  <c r="EF315" i="2"/>
  <c r="EF338" i="2" s="1"/>
  <c r="EF600" i="2"/>
  <c r="H3199" i="3"/>
  <c r="I3197" i="3"/>
  <c r="I3201" i="3" s="1"/>
  <c r="I3203" i="3" s="1"/>
  <c r="EF258" i="2"/>
  <c r="EF396" i="2"/>
  <c r="H3163" i="3"/>
  <c r="H3167" i="3" s="1"/>
  <c r="DV349" i="10"/>
  <c r="DV173" i="2"/>
  <c r="AM5748" i="3"/>
  <c r="AO5748" i="3"/>
  <c r="C4290" i="3"/>
  <c r="C4323" i="3" s="1"/>
  <c r="C4299" i="3"/>
  <c r="E5312" i="3" s="1"/>
  <c r="D5285" i="3"/>
  <c r="E238" i="6"/>
  <c r="E219" i="6" s="1"/>
  <c r="D5286" i="3"/>
  <c r="EA339" i="2"/>
  <c r="EA420" i="10"/>
  <c r="DV529" i="18"/>
  <c r="EE529" i="18"/>
  <c r="EC529" i="18"/>
  <c r="EA529" i="18"/>
  <c r="DZ529" i="18"/>
  <c r="EB529" i="18"/>
  <c r="DW529" i="18"/>
  <c r="DX529" i="18"/>
  <c r="DU529" i="18"/>
  <c r="EA294" i="2"/>
  <c r="EB280" i="2"/>
  <c r="EA396" i="10"/>
  <c r="EB285" i="2"/>
  <c r="EF284" i="2"/>
  <c r="EA285" i="2"/>
  <c r="EA420" i="2"/>
  <c r="EF87" i="4"/>
  <c r="D3545" i="3"/>
  <c r="H45" i="20"/>
  <c r="EE480" i="18"/>
  <c r="EF476" i="18"/>
  <c r="DW494" i="18"/>
  <c r="DU539" i="18"/>
  <c r="DU467" i="18"/>
  <c r="DY465" i="18"/>
  <c r="DW378" i="18"/>
  <c r="EB379" i="18"/>
  <c r="DW484" i="18"/>
  <c r="DX374" i="18"/>
  <c r="DX421" i="18" s="1"/>
  <c r="DU290" i="18"/>
  <c r="DU285" i="18" s="1"/>
  <c r="DU119" i="18"/>
  <c r="EE466" i="18"/>
  <c r="DX488" i="18"/>
  <c r="DY502" i="18" s="1"/>
  <c r="DX502" i="18" s="1"/>
  <c r="DX473" i="18"/>
  <c r="DW456" i="18"/>
  <c r="DW455" i="18" s="1"/>
  <c r="C6022" i="3"/>
  <c r="C6037" i="3" s="1"/>
  <c r="C6038" i="3"/>
  <c r="E6018" i="3"/>
  <c r="E6044" i="3" s="1"/>
  <c r="F6011" i="3"/>
  <c r="R5755" i="3"/>
  <c r="D4873" i="3"/>
  <c r="C4876" i="3"/>
  <c r="B53" i="41" s="1"/>
  <c r="C4886" i="3"/>
  <c r="EC71" i="1"/>
  <c r="EC72" i="1"/>
  <c r="EC81" i="1"/>
  <c r="EC236" i="1"/>
  <c r="A4830" i="3"/>
  <c r="DW133" i="18"/>
  <c r="DW136" i="18"/>
  <c r="DW137" i="18"/>
  <c r="DX133" i="18"/>
  <c r="DX128" i="18"/>
  <c r="DX130" i="18" s="1"/>
  <c r="EB132" i="18"/>
  <c r="DW129" i="18"/>
  <c r="DW103" i="4"/>
  <c r="C4941" i="3"/>
  <c r="ED643" i="2"/>
  <c r="EI643" i="2"/>
  <c r="EK376" i="18"/>
  <c r="F4638" i="3"/>
  <c r="BQ5" i="4"/>
  <c r="BV5" i="1"/>
  <c r="BQ5" i="18"/>
  <c r="BQ5" i="10"/>
  <c r="BQ5" i="2"/>
  <c r="DW106" i="10"/>
  <c r="DW158" i="4"/>
  <c r="DW162" i="4"/>
  <c r="DW76" i="4"/>
  <c r="DW77" i="4"/>
  <c r="DW108" i="10" s="1"/>
  <c r="E76" i="11"/>
  <c r="D81" i="11"/>
  <c r="D5764" i="3"/>
  <c r="I5741" i="3"/>
  <c r="I5746" i="3"/>
  <c r="C4620" i="3"/>
  <c r="EC429" i="2"/>
  <c r="DX441" i="2"/>
  <c r="DX136" i="2"/>
  <c r="F71" i="29"/>
  <c r="DZ124" i="2"/>
  <c r="DY16" i="4"/>
  <c r="EG149" i="4"/>
  <c r="EI148" i="4"/>
  <c r="EI149" i="4" s="1"/>
  <c r="DX182" i="2"/>
  <c r="DX439" i="2"/>
  <c r="DX603" i="2" s="1"/>
  <c r="DX610" i="2" s="1"/>
  <c r="DX168" i="2"/>
  <c r="EC421" i="10"/>
  <c r="DZ280" i="2"/>
  <c r="EA280" i="2"/>
  <c r="DZ294" i="2"/>
  <c r="EE284" i="2"/>
  <c r="DZ384" i="2"/>
  <c r="DZ396" i="10"/>
  <c r="DZ420" i="2"/>
  <c r="EB180" i="2"/>
  <c r="EB114" i="2"/>
  <c r="EB168" i="2"/>
  <c r="B3812" i="3"/>
  <c r="ED387" i="10"/>
  <c r="EI253" i="2"/>
  <c r="DZ443" i="2"/>
  <c r="EA439" i="2"/>
  <c r="EA137" i="2"/>
  <c r="EA182" i="2"/>
  <c r="EA203" i="2" s="1"/>
  <c r="EF211" i="2" s="1"/>
  <c r="DY26" i="4"/>
  <c r="DY28" i="4" s="1"/>
  <c r="DU28" i="4"/>
  <c r="DZ29" i="4" s="1"/>
  <c r="C172" i="24"/>
  <c r="D168" i="24"/>
  <c r="DY207" i="18"/>
  <c r="DV206" i="18"/>
  <c r="DU52" i="18"/>
  <c r="DY305" i="18"/>
  <c r="B111" i="24"/>
  <c r="B102" i="24" s="1"/>
  <c r="B3725" i="3"/>
  <c r="B3738" i="3"/>
  <c r="B3740" i="3" s="1"/>
  <c r="EE443" i="18"/>
  <c r="ED447" i="18"/>
  <c r="EE448" i="18"/>
  <c r="DY416" i="18"/>
  <c r="DX437" i="18"/>
  <c r="DY77" i="18"/>
  <c r="DZ80" i="18" s="1"/>
  <c r="DZ102" i="18"/>
  <c r="ED102" i="18" s="1"/>
  <c r="ED103" i="18"/>
  <c r="R5754" i="3"/>
  <c r="G5953" i="3"/>
  <c r="I4151" i="3"/>
  <c r="I4150" i="3"/>
  <c r="EC162" i="4"/>
  <c r="EC77" i="4"/>
  <c r="EC158" i="4"/>
  <c r="EC157" i="4" s="1"/>
  <c r="EB160" i="4" s="1"/>
  <c r="EC76" i="4"/>
  <c r="EC106" i="10"/>
  <c r="L4612" i="3"/>
  <c r="L4614" i="3" s="1"/>
  <c r="L5184" i="3"/>
  <c r="L4621" i="3"/>
  <c r="L4609" i="3"/>
  <c r="FK571" i="36" s="1"/>
  <c r="L4843" i="3"/>
  <c r="F5283" i="3"/>
  <c r="I4153" i="3"/>
  <c r="DY243" i="18"/>
  <c r="B5083" i="3"/>
  <c r="DY104" i="10"/>
  <c r="DY204" i="4"/>
  <c r="B4450" i="3"/>
  <c r="B4451" i="3" s="1"/>
  <c r="AP5739" i="3"/>
  <c r="AP5745" i="3" s="1"/>
  <c r="I4251" i="3"/>
  <c r="I4291" i="3"/>
  <c r="I4254" i="3"/>
  <c r="J4243" i="3"/>
  <c r="B224" i="6"/>
  <c r="B227" i="6"/>
  <c r="B5272" i="3"/>
  <c r="DV303" i="2"/>
  <c r="DY304" i="2"/>
  <c r="DY309" i="2" s="1"/>
  <c r="F3725" i="3"/>
  <c r="F3738" i="3"/>
  <c r="F3740" i="3" s="1"/>
  <c r="DU372" i="18"/>
  <c r="DV376" i="18" s="1"/>
  <c r="DU376" i="18" s="1"/>
  <c r="DY376" i="18" s="1"/>
  <c r="DU538" i="18"/>
  <c r="DY454" i="18"/>
  <c r="EE377" i="10"/>
  <c r="EE606" i="2"/>
  <c r="EF391" i="10"/>
  <c r="EF568" i="2"/>
  <c r="EF276" i="2"/>
  <c r="EF310" i="2"/>
  <c r="EF288" i="2"/>
  <c r="EF265" i="2"/>
  <c r="EC427" i="10"/>
  <c r="EC10" i="2"/>
  <c r="EH352" i="2"/>
  <c r="EC380" i="2"/>
  <c r="EC389" i="2"/>
  <c r="ED344" i="2"/>
  <c r="EA318" i="2"/>
  <c r="EA341" i="2" s="1"/>
  <c r="EA304" i="2"/>
  <c r="EA303" i="2" s="1"/>
  <c r="EA180" i="2"/>
  <c r="EA168" i="2"/>
  <c r="EA114" i="2"/>
  <c r="EF204" i="2"/>
  <c r="EF376" i="10"/>
  <c r="EH68" i="1"/>
  <c r="DW182" i="2"/>
  <c r="DW183" i="2" s="1"/>
  <c r="DW439" i="2"/>
  <c r="DW603" i="2" s="1"/>
  <c r="DW610" i="2" s="1"/>
  <c r="DW137" i="2"/>
  <c r="DW168" i="2"/>
  <c r="EA80" i="18"/>
  <c r="DX431" i="2"/>
  <c r="EE432" i="2"/>
  <c r="EA428" i="2"/>
  <c r="E98" i="24"/>
  <c r="E96" i="24"/>
  <c r="F95" i="24"/>
  <c r="E124" i="24"/>
  <c r="E104" i="24"/>
  <c r="F183" i="24"/>
  <c r="E187" i="24"/>
  <c r="DY106" i="18"/>
  <c r="K30" i="24"/>
  <c r="DU108" i="18"/>
  <c r="EC445" i="18"/>
  <c r="EC495" i="18"/>
  <c r="ED495" i="18" s="1"/>
  <c r="C3738" i="3"/>
  <c r="C3740" i="3" s="1"/>
  <c r="C3725" i="3"/>
  <c r="EC476" i="18"/>
  <c r="EB481" i="18"/>
  <c r="EB480" i="18"/>
  <c r="EC481" i="18"/>
  <c r="EB484" i="18"/>
  <c r="DZ382" i="18"/>
  <c r="DX467" i="18"/>
  <c r="DX466" i="18" s="1"/>
  <c r="EB290" i="18"/>
  <c r="EB285" i="18" s="1"/>
  <c r="EB119" i="18"/>
  <c r="ED528" i="18"/>
  <c r="EI120" i="4"/>
  <c r="D6032" i="3"/>
  <c r="G6026" i="3"/>
  <c r="G6041" i="3" s="1"/>
  <c r="D6023" i="3"/>
  <c r="H6027" i="3"/>
  <c r="H6042" i="3" s="1"/>
  <c r="E6024" i="3"/>
  <c r="E6039" i="3" s="1"/>
  <c r="F6025" i="3"/>
  <c r="F6040" i="3" s="1"/>
  <c r="B5868" i="3"/>
  <c r="D4346" i="3"/>
  <c r="D4282" i="3"/>
  <c r="DX170" i="2"/>
  <c r="DY231" i="1"/>
  <c r="DX230" i="1"/>
  <c r="DX190" i="35" s="1"/>
  <c r="DT529" i="1"/>
  <c r="DP526" i="1"/>
  <c r="DX250" i="1"/>
  <c r="DX103" i="4" s="1"/>
  <c r="EE29" i="4"/>
  <c r="H4456" i="3"/>
  <c r="G4466" i="3"/>
  <c r="DZ74" i="4"/>
  <c r="ED69" i="4"/>
  <c r="C5085" i="3" s="1"/>
  <c r="G4974" i="3"/>
  <c r="EN120" i="4"/>
  <c r="AJ5745" i="3"/>
  <c r="E5484" i="3"/>
  <c r="EH143" i="4"/>
  <c r="EH145" i="4" s="1"/>
  <c r="EH146" i="4" s="1"/>
  <c r="EI140" i="4"/>
  <c r="DZ560" i="18"/>
  <c r="ED538" i="18"/>
  <c r="EQ388" i="18"/>
  <c r="H4310" i="3"/>
  <c r="H4297" i="3"/>
  <c r="D5294" i="3"/>
  <c r="D5256" i="3"/>
  <c r="B5265" i="3" s="1"/>
  <c r="F5256" i="3"/>
  <c r="B5273" i="3"/>
  <c r="EH74" i="4"/>
  <c r="H3164" i="3"/>
  <c r="H3168" i="3" s="1"/>
  <c r="G3165" i="3"/>
  <c r="EH340" i="18"/>
  <c r="EH339" i="18" s="1"/>
  <c r="EH58" i="18" s="1"/>
  <c r="EG339" i="18"/>
  <c r="DX572" i="18"/>
  <c r="E24" i="13"/>
  <c r="E111" i="13"/>
  <c r="EG70" i="2"/>
  <c r="EG44" i="4"/>
  <c r="EI68" i="2"/>
  <c r="D3205" i="3"/>
  <c r="E3213" i="3"/>
  <c r="E3215" i="3" s="1"/>
  <c r="EE145" i="4"/>
  <c r="DV444" i="2"/>
  <c r="EA443" i="2"/>
  <c r="B185" i="24"/>
  <c r="C185" i="24" s="1"/>
  <c r="C184" i="24"/>
  <c r="DY240" i="18"/>
  <c r="DW239" i="18"/>
  <c r="D107" i="24"/>
  <c r="C173" i="24"/>
  <c r="D169" i="24"/>
  <c r="EA476" i="18"/>
  <c r="DZ484" i="18"/>
  <c r="DZ480" i="18"/>
  <c r="EA481" i="18"/>
  <c r="DZ481" i="18"/>
  <c r="DZ83" i="18"/>
  <c r="DZ291" i="18"/>
  <c r="DX195" i="18"/>
  <c r="DY604" i="18"/>
  <c r="DY606" i="18" s="1"/>
  <c r="H3738" i="3"/>
  <c r="H3740" i="3" s="1"/>
  <c r="DV418" i="18"/>
  <c r="DW413" i="18"/>
  <c r="DV437" i="18"/>
  <c r="DV421" i="18"/>
  <c r="C12" i="23"/>
  <c r="C5867" i="3"/>
  <c r="F5867" i="3" s="1"/>
  <c r="G5954" i="3"/>
  <c r="D5866" i="3"/>
  <c r="U5753" i="3"/>
  <c r="R5752" i="3"/>
  <c r="F4275" i="3"/>
  <c r="F4279" i="3" s="1"/>
  <c r="DU533" i="1"/>
  <c r="DY523" i="1"/>
  <c r="D4690" i="3"/>
  <c r="E4689" i="3"/>
  <c r="DY354" i="18"/>
  <c r="DU355" i="18"/>
  <c r="D124" i="6"/>
  <c r="DV198" i="4"/>
  <c r="DV202" i="4"/>
  <c r="DV203" i="4" s="1"/>
  <c r="DV115" i="10"/>
  <c r="DU591" i="2"/>
  <c r="DY590" i="2"/>
  <c r="DY591" i="2" s="1"/>
  <c r="D5259" i="3"/>
  <c r="B5266" i="3" s="1"/>
  <c r="F5259" i="3"/>
  <c r="G3169" i="3"/>
  <c r="T5754" i="3"/>
  <c r="ED277" i="1"/>
  <c r="EE277" i="1" s="1"/>
  <c r="EE196" i="35" s="1"/>
  <c r="EC196" i="4"/>
  <c r="EC279" i="1"/>
  <c r="ED279" i="1" s="1"/>
  <c r="E5492" i="3"/>
  <c r="EE342" i="2"/>
  <c r="EE466" i="2" s="1"/>
  <c r="EE424" i="10"/>
  <c r="EE44" i="2"/>
  <c r="EE465" i="2"/>
  <c r="EE376" i="10"/>
  <c r="C3369" i="3"/>
  <c r="EC443" i="2"/>
  <c r="DY442" i="2"/>
  <c r="DX444" i="2"/>
  <c r="DY140" i="2"/>
  <c r="DY354" i="10" s="1"/>
  <c r="ED140" i="2"/>
  <c r="ED354" i="10" s="1"/>
  <c r="EF110" i="4"/>
  <c r="EF112" i="10"/>
  <c r="EF141" i="10" s="1"/>
  <c r="EF130" i="4"/>
  <c r="EI107" i="4"/>
  <c r="EG272" i="18"/>
  <c r="EH273" i="18"/>
  <c r="EH272" i="18" s="1"/>
  <c r="B121" i="24"/>
  <c r="EB424" i="10"/>
  <c r="EB342" i="2"/>
  <c r="J47" i="22"/>
  <c r="H7" i="22"/>
  <c r="I47" i="22"/>
  <c r="DX228" i="18"/>
  <c r="DY233" i="18"/>
  <c r="DZ233" i="18" s="1"/>
  <c r="C174" i="24"/>
  <c r="D170" i="24"/>
  <c r="DW528" i="18"/>
  <c r="EB554" i="1"/>
  <c r="EA372" i="18"/>
  <c r="EA555" i="1"/>
  <c r="EA556" i="1" s="1"/>
  <c r="EA195" i="18"/>
  <c r="DY489" i="18"/>
  <c r="DV491" i="18"/>
  <c r="DU158" i="18"/>
  <c r="DY117" i="18"/>
  <c r="DW114" i="18"/>
  <c r="DW125" i="18"/>
  <c r="DV91" i="18"/>
  <c r="DW96" i="18"/>
  <c r="EB93" i="18"/>
  <c r="DX112" i="18"/>
  <c r="DU522" i="18"/>
  <c r="DW426" i="18"/>
  <c r="DV527" i="18"/>
  <c r="DW421" i="18"/>
  <c r="EE563" i="18"/>
  <c r="DW398" i="18"/>
  <c r="DY387" i="18"/>
  <c r="EI529" i="1"/>
  <c r="EE526" i="1"/>
  <c r="H4874" i="3"/>
  <c r="I4873" i="3"/>
  <c r="K4843" i="3"/>
  <c r="K4609" i="3"/>
  <c r="K5184" i="3"/>
  <c r="K4621" i="3"/>
  <c r="K4612" i="3"/>
  <c r="K4614" i="3" s="1"/>
  <c r="Q5755" i="3"/>
  <c r="C5492" i="3"/>
  <c r="H4399" i="3"/>
  <c r="F4880" i="3"/>
  <c r="G4881" i="3" s="1"/>
  <c r="ED354" i="18"/>
  <c r="DZ355" i="18"/>
  <c r="G5157" i="3"/>
  <c r="H5155" i="3"/>
  <c r="G4275" i="3"/>
  <c r="G4279" i="3" s="1"/>
  <c r="B138" i="13"/>
  <c r="C136" i="13"/>
  <c r="C138" i="13" s="1"/>
  <c r="J4257" i="3"/>
  <c r="I4256" i="3"/>
  <c r="I4259" i="3" s="1"/>
  <c r="I4260" i="3" s="1"/>
  <c r="DY68" i="1"/>
  <c r="DU70" i="1"/>
  <c r="DU113" i="2"/>
  <c r="F4150" i="3"/>
  <c r="F4153" i="3"/>
  <c r="F4151" i="3"/>
  <c r="DW636" i="2"/>
  <c r="EB644" i="2" s="1"/>
  <c r="DW639" i="2"/>
  <c r="DW429" i="18"/>
  <c r="DX429" i="18"/>
  <c r="DW433" i="18"/>
  <c r="DX424" i="18"/>
  <c r="DX494" i="18" s="1"/>
  <c r="DX493" i="18" s="1"/>
  <c r="EB428" i="18"/>
  <c r="ED66" i="1"/>
  <c r="DZ68" i="1"/>
  <c r="EG623" i="2"/>
  <c r="H3205" i="3"/>
  <c r="G3209" i="3"/>
  <c r="EC440" i="2"/>
  <c r="D147" i="24"/>
  <c r="EB441" i="2"/>
  <c r="EB303" i="2"/>
  <c r="J47" i="20"/>
  <c r="H7" i="20"/>
  <c r="H12" i="23" s="1"/>
  <c r="I47" i="20"/>
  <c r="EE47" i="18"/>
  <c r="DY435" i="18"/>
  <c r="DZ429" i="18"/>
  <c r="ED429" i="18" s="1"/>
  <c r="DZ424" i="18"/>
  <c r="DY433" i="18"/>
  <c r="EC432" i="18"/>
  <c r="EC375" i="18"/>
  <c r="ED371" i="18"/>
  <c r="EC462" i="18"/>
  <c r="DU456" i="18"/>
  <c r="ED428" i="18"/>
  <c r="EA493" i="18"/>
  <c r="DY393" i="18"/>
  <c r="DY398" i="18" s="1"/>
  <c r="EK371" i="18"/>
  <c r="EK383" i="18" s="1"/>
  <c r="EE533" i="1"/>
  <c r="EI533" i="1" s="1"/>
  <c r="EI523" i="1"/>
  <c r="I4152" i="3"/>
  <c r="B4887" i="3"/>
  <c r="B5195" i="3"/>
  <c r="B5198" i="3"/>
  <c r="C5946" i="3"/>
  <c r="B5948" i="3"/>
  <c r="C5945" i="3"/>
  <c r="C5947" i="3"/>
  <c r="C5878" i="3" s="1"/>
  <c r="A121" i="13"/>
  <c r="B57" i="13"/>
  <c r="EB76" i="4"/>
  <c r="EB77" i="4"/>
  <c r="EB106" i="10"/>
  <c r="EB162" i="4"/>
  <c r="EB158" i="4"/>
  <c r="DY58" i="2"/>
  <c r="E4346" i="3"/>
  <c r="E4282" i="3"/>
  <c r="E4150" i="3"/>
  <c r="E4152" i="3"/>
  <c r="E4153" i="3"/>
  <c r="DX639" i="2"/>
  <c r="DX636" i="2"/>
  <c r="EC644" i="2" s="1"/>
  <c r="B5806" i="3"/>
  <c r="B5807" i="3" s="1"/>
  <c r="B5810" i="3" s="1"/>
  <c r="D5800" i="3"/>
  <c r="B5820" i="3"/>
  <c r="B5827" i="3" s="1"/>
  <c r="DW449" i="18"/>
  <c r="B4303" i="3"/>
  <c r="F5008" i="3"/>
  <c r="F5001" i="3"/>
  <c r="D5295" i="3"/>
  <c r="B5292" i="3"/>
  <c r="C4008" i="3"/>
  <c r="EA421" i="10"/>
  <c r="DW444" i="2"/>
  <c r="EB443" i="2"/>
  <c r="DV539" i="18"/>
  <c r="DV563" i="18" s="1"/>
  <c r="DV467" i="18"/>
  <c r="DV466" i="18" s="1"/>
  <c r="EB379" i="10"/>
  <c r="EB243" i="2"/>
  <c r="EB9" i="2"/>
  <c r="ED206" i="2"/>
  <c r="B336" i="38" s="1"/>
  <c r="EB252" i="2"/>
  <c r="EG198" i="4"/>
  <c r="EG16" i="32" s="1"/>
  <c r="EG116" i="10"/>
  <c r="DY397" i="10"/>
  <c r="DZ302" i="2"/>
  <c r="ED306" i="2"/>
  <c r="DZ307" i="2"/>
  <c r="DV439" i="2"/>
  <c r="DV603" i="2" s="1"/>
  <c r="DV610" i="2" s="1"/>
  <c r="EF526" i="1"/>
  <c r="EI527" i="1"/>
  <c r="F43" i="20"/>
  <c r="E28" i="20"/>
  <c r="E29" i="20" s="1"/>
  <c r="I46" i="20"/>
  <c r="E42" i="20"/>
  <c r="O52" i="20"/>
  <c r="M50" i="20"/>
  <c r="N51" i="20"/>
  <c r="R55" i="20"/>
  <c r="P53" i="20"/>
  <c r="L49" i="20"/>
  <c r="D41" i="20"/>
  <c r="D85" i="20" s="1"/>
  <c r="U58" i="20"/>
  <c r="V59" i="20"/>
  <c r="S56" i="20"/>
  <c r="T57" i="20"/>
  <c r="W60" i="20"/>
  <c r="Q54" i="20"/>
  <c r="C3546" i="3"/>
  <c r="C3547" i="3" s="1"/>
  <c r="D3543" i="3"/>
  <c r="D29" i="21"/>
  <c r="E28" i="21" s="1"/>
  <c r="C117" i="24"/>
  <c r="DY394" i="18"/>
  <c r="J22" i="25"/>
  <c r="D23" i="25" s="1"/>
  <c r="D18" i="25"/>
  <c r="EC136" i="18"/>
  <c r="EC125" i="18"/>
  <c r="ED91" i="18"/>
  <c r="EC93" i="18"/>
  <c r="EC92" i="18"/>
  <c r="EC96" i="18"/>
  <c r="DV523" i="18"/>
  <c r="EB523" i="18"/>
  <c r="EA523" i="18"/>
  <c r="EE523" i="18"/>
  <c r="EC523" i="18"/>
  <c r="DZ523" i="18"/>
  <c r="DU523" i="18"/>
  <c r="DW523" i="18"/>
  <c r="DX523" i="18"/>
  <c r="DY500" i="18"/>
  <c r="EB245" i="18"/>
  <c r="EA240" i="18"/>
  <c r="EA239" i="18" s="1"/>
  <c r="R5753" i="3"/>
  <c r="C5481" i="3"/>
  <c r="C5484" i="3"/>
  <c r="DY529" i="1"/>
  <c r="DU526" i="1"/>
  <c r="C5570" i="3"/>
  <c r="C5571" i="3" s="1"/>
  <c r="EB236" i="1"/>
  <c r="EB251" i="1" s="1"/>
  <c r="EB105" i="35" s="1"/>
  <c r="EB129" i="35" s="1"/>
  <c r="EB72" i="1"/>
  <c r="EB81" i="1"/>
  <c r="EB71" i="1"/>
  <c r="DZ591" i="2"/>
  <c r="ED590" i="2"/>
  <c r="ED591" i="2" s="1"/>
  <c r="DZ639" i="2"/>
  <c r="DZ636" i="2"/>
  <c r="ED634" i="2"/>
  <c r="ED639" i="2" s="1"/>
  <c r="B5086" i="3"/>
  <c r="DY105" i="10"/>
  <c r="J4399" i="3"/>
  <c r="DW117" i="10"/>
  <c r="E55" i="11"/>
  <c r="F55" i="11" s="1"/>
  <c r="G55" i="11" s="1"/>
  <c r="H55" i="11" s="1"/>
  <c r="I55" i="11" s="1"/>
  <c r="J55" i="11" s="1"/>
  <c r="K55" i="11" s="1"/>
  <c r="L55" i="11" s="1"/>
  <c r="M55" i="11" s="1"/>
  <c r="N55" i="11" s="1"/>
  <c r="O55" i="11" s="1"/>
  <c r="P55" i="11" s="1"/>
  <c r="E236" i="6" a="1"/>
  <c r="E237" i="6" a="1"/>
  <c r="F238" i="6" a="1"/>
  <c r="E5286" i="3" a="1"/>
  <c r="E5285" i="3" a="1"/>
  <c r="E5284" i="3" a="1"/>
  <c r="E5287" i="3" a="1"/>
  <c r="FB360" i="10" l="1"/>
  <c r="EY173" i="4"/>
  <c r="EZ173" i="4" s="1"/>
  <c r="FA173" i="4" s="1"/>
  <c r="FB173" i="4" s="1"/>
  <c r="FC173" i="4" s="1"/>
  <c r="FD173" i="4" s="1"/>
  <c r="FE173" i="4" s="1"/>
  <c r="FF173" i="4" s="1"/>
  <c r="FG173" i="4" s="1"/>
  <c r="FH173" i="4" s="1"/>
  <c r="FI173" i="4" s="1"/>
  <c r="EZ189" i="4"/>
  <c r="FA189" i="4" s="1"/>
  <c r="FB189" i="4" s="1"/>
  <c r="FC189" i="4" s="1"/>
  <c r="FD189" i="4" s="1"/>
  <c r="FE189" i="4" s="1"/>
  <c r="FF189" i="4" s="1"/>
  <c r="FG189" i="4" s="1"/>
  <c r="EE120" i="2"/>
  <c r="EA386" i="10"/>
  <c r="EA249" i="2"/>
  <c r="I1291" i="3"/>
  <c r="C92" i="3"/>
  <c r="C117" i="3" s="1"/>
  <c r="B218" i="41"/>
  <c r="B220" i="41" s="1"/>
  <c r="ES41" i="4"/>
  <c r="C206" i="41"/>
  <c r="C208" i="41" s="1"/>
  <c r="D4948" i="3"/>
  <c r="B172" i="41"/>
  <c r="EB19" i="2"/>
  <c r="B1111" i="3"/>
  <c r="B1117" i="3" s="1"/>
  <c r="B1123" i="3" s="1"/>
  <c r="B1133" i="3" s="1"/>
  <c r="B1135" i="3" s="1"/>
  <c r="C1125" i="3"/>
  <c r="C1133" i="3"/>
  <c r="C1135" i="3" s="1"/>
  <c r="EB117" i="10"/>
  <c r="EA575" i="2"/>
  <c r="EG249" i="2"/>
  <c r="EL244" i="2"/>
  <c r="EB434" i="10"/>
  <c r="EB384" i="2"/>
  <c r="EB17" i="32"/>
  <c r="EG386" i="10"/>
  <c r="EC296" i="2"/>
  <c r="EF386" i="10"/>
  <c r="EH18" i="2"/>
  <c r="EH22" i="2" s="1"/>
  <c r="EH386" i="10"/>
  <c r="EH249" i="2"/>
  <c r="DZ203" i="4"/>
  <c r="DZ12" i="32"/>
  <c r="C3106" i="3"/>
  <c r="C3108" i="3" s="1"/>
  <c r="EB86" i="2"/>
  <c r="D1607" i="3" s="1"/>
  <c r="EW360" i="10"/>
  <c r="E1383" i="3"/>
  <c r="EC402" i="10"/>
  <c r="EF244" i="2"/>
  <c r="EB402" i="10"/>
  <c r="EF402" i="10"/>
  <c r="EH402" i="10"/>
  <c r="EF18" i="2"/>
  <c r="EF22" i="2" s="1"/>
  <c r="EB296" i="2"/>
  <c r="EG402" i="10"/>
  <c r="EF249" i="2"/>
  <c r="D70" i="37"/>
  <c r="EJ243" i="2"/>
  <c r="EO244" i="2" s="1"/>
  <c r="EJ252" i="2"/>
  <c r="EJ214" i="2"/>
  <c r="EH244" i="2"/>
  <c r="DZ386" i="10"/>
  <c r="EA434" i="10"/>
  <c r="ED380" i="2"/>
  <c r="ED434" i="10" s="1"/>
  <c r="EA386" i="2"/>
  <c r="EG12" i="2"/>
  <c r="EG8" i="32" s="1"/>
  <c r="EG32" i="2"/>
  <c r="DZ12" i="2"/>
  <c r="DZ8" i="32" s="1"/>
  <c r="EE244" i="2"/>
  <c r="EC386" i="10"/>
  <c r="DZ249" i="2"/>
  <c r="DW102" i="10"/>
  <c r="EC249" i="2"/>
  <c r="EA384" i="2"/>
  <c r="DX102" i="10"/>
  <c r="EF31" i="2"/>
  <c r="F1611" i="3"/>
  <c r="E1631" i="3"/>
  <c r="EA105" i="2"/>
  <c r="C1607" i="3"/>
  <c r="C1612" i="3" s="1"/>
  <c r="ED10" i="2"/>
  <c r="EG381" i="2"/>
  <c r="EG386" i="2"/>
  <c r="EA30" i="2"/>
  <c r="EA9" i="32" s="1"/>
  <c r="EA11" i="32" s="1"/>
  <c r="EA15" i="32" s="1"/>
  <c r="EG384" i="2"/>
  <c r="EL385" i="2" s="1"/>
  <c r="EG19" i="2"/>
  <c r="EG434" i="10"/>
  <c r="DZ32" i="2"/>
  <c r="E184" i="39"/>
  <c r="D286" i="39"/>
  <c r="D184" i="39"/>
  <c r="C184" i="39"/>
  <c r="F286" i="39"/>
  <c r="B184" i="39"/>
  <c r="E286" i="39"/>
  <c r="C286" i="39"/>
  <c r="B286" i="39"/>
  <c r="F184" i="39"/>
  <c r="EC112" i="10"/>
  <c r="EC141" i="10" s="1"/>
  <c r="EI379" i="10"/>
  <c r="DW190" i="10"/>
  <c r="EJ389" i="2"/>
  <c r="EA132" i="35"/>
  <c r="EA134" i="35" s="1"/>
  <c r="EJ380" i="2"/>
  <c r="EO381" i="2" s="1"/>
  <c r="EJ352" i="2"/>
  <c r="EE13" i="2"/>
  <c r="EI243" i="2"/>
  <c r="EI386" i="10" s="1"/>
  <c r="EE18" i="2"/>
  <c r="EE22" i="2" s="1"/>
  <c r="EE249" i="2"/>
  <c r="EE386" i="10"/>
  <c r="DY168" i="4"/>
  <c r="DX110" i="4"/>
  <c r="DY110" i="4" s="1"/>
  <c r="EB132" i="35"/>
  <c r="EB134" i="35" s="1"/>
  <c r="DY102" i="4"/>
  <c r="ED107" i="4"/>
  <c r="ED112" i="10" s="1"/>
  <c r="ED141" i="10" s="1"/>
  <c r="EI9" i="2"/>
  <c r="EP60" i="18"/>
  <c r="EH13" i="2"/>
  <c r="EE12" i="2"/>
  <c r="EE14" i="2"/>
  <c r="EC116" i="4"/>
  <c r="ED116" i="4" s="1"/>
  <c r="ED102" i="4"/>
  <c r="EB120" i="4"/>
  <c r="DY115" i="4"/>
  <c r="DX115" i="35"/>
  <c r="DY115" i="35" s="1"/>
  <c r="EE19" i="2"/>
  <c r="EE23" i="2" s="1"/>
  <c r="EJ115" i="10"/>
  <c r="EK211" i="4"/>
  <c r="EK212" i="4" s="1"/>
  <c r="EJ202" i="4"/>
  <c r="EJ211" i="4" s="1"/>
  <c r="EE384" i="2"/>
  <c r="EE385" i="2" s="1"/>
  <c r="EE386" i="2"/>
  <c r="EE381" i="2"/>
  <c r="EI29" i="2"/>
  <c r="EC102" i="35"/>
  <c r="ED102" i="35" s="1"/>
  <c r="EI153" i="35"/>
  <c r="EB168" i="4"/>
  <c r="B344" i="38"/>
  <c r="B332" i="38"/>
  <c r="B362" i="38" s="1"/>
  <c r="B351" i="38"/>
  <c r="EF154" i="35"/>
  <c r="DY100" i="4"/>
  <c r="EI130" i="35"/>
  <c r="ED103" i="35"/>
  <c r="EI29" i="36"/>
  <c r="EI110" i="35"/>
  <c r="DY102" i="35"/>
  <c r="DY100" i="35"/>
  <c r="EF14" i="36"/>
  <c r="DW120" i="4"/>
  <c r="DX130" i="4"/>
  <c r="DY130" i="4" s="1"/>
  <c r="EH385" i="36"/>
  <c r="EH23" i="36"/>
  <c r="DU157" i="35"/>
  <c r="DY157" i="35" s="1"/>
  <c r="DY107" i="4"/>
  <c r="DY112" i="10" s="1"/>
  <c r="DY141" i="10" s="1"/>
  <c r="EB122" i="35"/>
  <c r="ES512" i="36"/>
  <c r="ES516" i="36"/>
  <c r="ES514" i="36"/>
  <c r="EB30" i="36"/>
  <c r="EB576" i="36"/>
  <c r="EB570" i="36"/>
  <c r="FH368" i="36"/>
  <c r="FH369" i="36"/>
  <c r="DW105" i="4"/>
  <c r="DW129" i="4" s="1"/>
  <c r="DW132" i="4" s="1"/>
  <c r="DW134" i="4" s="1"/>
  <c r="DW114" i="10" s="1"/>
  <c r="DW123" i="10" s="1"/>
  <c r="DW105" i="35"/>
  <c r="DW129" i="35" s="1"/>
  <c r="DW132" i="35" s="1"/>
  <c r="DW134" i="35" s="1"/>
  <c r="EC108" i="4"/>
  <c r="ED108" i="4" s="1"/>
  <c r="EC108" i="35"/>
  <c r="ED108" i="35" s="1"/>
  <c r="EO352" i="2"/>
  <c r="EP529" i="36"/>
  <c r="EP530" i="36"/>
  <c r="DX112" i="4"/>
  <c r="DX112" i="35"/>
  <c r="ED162" i="35"/>
  <c r="ED77" i="35"/>
  <c r="ED165" i="35" s="1"/>
  <c r="EF160" i="35"/>
  <c r="EG157" i="35" s="1"/>
  <c r="EA122" i="35"/>
  <c r="DZ428" i="36"/>
  <c r="ED432" i="36"/>
  <c r="DY436" i="36"/>
  <c r="EJ464" i="36"/>
  <c r="EJ473" i="36"/>
  <c r="EN463" i="36"/>
  <c r="EO473" i="36"/>
  <c r="DZ12" i="36"/>
  <c r="ED9" i="36"/>
  <c r="DZ31" i="36"/>
  <c r="EG19" i="36"/>
  <c r="EG384" i="36"/>
  <c r="EG386" i="36"/>
  <c r="EG381" i="36"/>
  <c r="EG382" i="36"/>
  <c r="EG372" i="36"/>
  <c r="EL381" i="36"/>
  <c r="EH145" i="35"/>
  <c r="EI143" i="35"/>
  <c r="EK23" i="36"/>
  <c r="EN469" i="36"/>
  <c r="EJ479" i="36"/>
  <c r="EO479" i="36"/>
  <c r="EC130" i="35"/>
  <c r="ED130" i="35" s="1"/>
  <c r="ED107" i="35"/>
  <c r="EB239" i="36"/>
  <c r="EB222" i="36"/>
  <c r="EB237" i="36"/>
  <c r="EB241" i="36"/>
  <c r="EM80" i="36"/>
  <c r="EH71" i="36"/>
  <c r="EH80" i="36"/>
  <c r="EH74" i="36"/>
  <c r="EN182" i="1"/>
  <c r="EN184" i="1" s="1"/>
  <c r="EJ58" i="36"/>
  <c r="EJ68" i="36"/>
  <c r="DZ32" i="36"/>
  <c r="ED10" i="36"/>
  <c r="ED32" i="36" s="1"/>
  <c r="EN644" i="36"/>
  <c r="EN611" i="36"/>
  <c r="ES644" i="36"/>
  <c r="EF12" i="36"/>
  <c r="EF13" i="36"/>
  <c r="EF31" i="36"/>
  <c r="EK13" i="36"/>
  <c r="DZ163" i="35"/>
  <c r="ED163" i="35" s="1"/>
  <c r="DZ164" i="35"/>
  <c r="ED164" i="35" s="1"/>
  <c r="DV431" i="36"/>
  <c r="EB432" i="36"/>
  <c r="DX428" i="36"/>
  <c r="DW420" i="36"/>
  <c r="DX422" i="36" s="1"/>
  <c r="DW436" i="36"/>
  <c r="EN613" i="36"/>
  <c r="EN350" i="36"/>
  <c r="ES350" i="36"/>
  <c r="ET350" i="36" s="1"/>
  <c r="EV417" i="36"/>
  <c r="EV420" i="36" s="1"/>
  <c r="EU431" i="36"/>
  <c r="EU422" i="36"/>
  <c r="EU421" i="36"/>
  <c r="EJ43" i="36"/>
  <c r="EN42" i="36"/>
  <c r="EJ11" i="35"/>
  <c r="EG14" i="36"/>
  <c r="EB32" i="36"/>
  <c r="EG32" i="36"/>
  <c r="EL14" i="36"/>
  <c r="EH205" i="35"/>
  <c r="EH49" i="35"/>
  <c r="EH50" i="35"/>
  <c r="EM50" i="35"/>
  <c r="EE19" i="36"/>
  <c r="EE386" i="36"/>
  <c r="EI380" i="36"/>
  <c r="EE384" i="36"/>
  <c r="EE381" i="36"/>
  <c r="EE382" i="36"/>
  <c r="EE372" i="36"/>
  <c r="DV105" i="4"/>
  <c r="DV122" i="4" s="1"/>
  <c r="DV105" i="35"/>
  <c r="DV129" i="35" s="1"/>
  <c r="DV132" i="35" s="1"/>
  <c r="DV134" i="35" s="1"/>
  <c r="EC117" i="4"/>
  <c r="ED117" i="4" s="1"/>
  <c r="EC117" i="35"/>
  <c r="ED117" i="35" s="1"/>
  <c r="EC100" i="4"/>
  <c r="ED100" i="4" s="1"/>
  <c r="EC100" i="35"/>
  <c r="ED100" i="35" s="1"/>
  <c r="DT5" i="36"/>
  <c r="DT5" i="35"/>
  <c r="FE50" i="36"/>
  <c r="EJ650" i="36"/>
  <c r="EJ649" i="36"/>
  <c r="EJ648" i="36"/>
  <c r="EJ651" i="36"/>
  <c r="EN652" i="36"/>
  <c r="EN193" i="36"/>
  <c r="ES193" i="36"/>
  <c r="EN344" i="36"/>
  <c r="EJ10" i="36"/>
  <c r="EJ380" i="36"/>
  <c r="EJ389" i="36"/>
  <c r="EJ352" i="36"/>
  <c r="EO352" i="36"/>
  <c r="DY162" i="35"/>
  <c r="DY77" i="35"/>
  <c r="EC18" i="36"/>
  <c r="EC249" i="36"/>
  <c r="EC235" i="36"/>
  <c r="EC247" i="36"/>
  <c r="EC245" i="36"/>
  <c r="EG244" i="36"/>
  <c r="EG249" i="36"/>
  <c r="EG18" i="36"/>
  <c r="EG247" i="36"/>
  <c r="EL248" i="36" s="1"/>
  <c r="EG245" i="36"/>
  <c r="EG235" i="36"/>
  <c r="EL244" i="36"/>
  <c r="EN190" i="36"/>
  <c r="EN209" i="36"/>
  <c r="ES209" i="36"/>
  <c r="EB19" i="36"/>
  <c r="EB384" i="36"/>
  <c r="EB386" i="36"/>
  <c r="EB372" i="36"/>
  <c r="EB382" i="36"/>
  <c r="FF506" i="36"/>
  <c r="FF507" i="36"/>
  <c r="FF508" i="36" s="1"/>
  <c r="DU203" i="35"/>
  <c r="DY202" i="35"/>
  <c r="DY203" i="35" s="1"/>
  <c r="EJ17" i="35"/>
  <c r="EN17" i="35" s="1"/>
  <c r="EN48" i="36"/>
  <c r="EJ627" i="36"/>
  <c r="EN627" i="36" s="1"/>
  <c r="EJ328" i="36"/>
  <c r="EO328" i="36"/>
  <c r="EE32" i="36"/>
  <c r="EI10" i="36"/>
  <c r="EE14" i="36"/>
  <c r="EE77" i="35"/>
  <c r="EE165" i="35" s="1"/>
  <c r="EE158" i="35"/>
  <c r="EE152" i="35"/>
  <c r="EE162" i="35"/>
  <c r="EE163" i="35" s="1"/>
  <c r="EE76" i="35"/>
  <c r="EI74" i="35"/>
  <c r="DX116" i="4"/>
  <c r="DY116" i="4" s="1"/>
  <c r="DX116" i="35"/>
  <c r="DY116" i="35" s="1"/>
  <c r="EC29" i="2"/>
  <c r="ED29" i="2" s="1"/>
  <c r="EC29" i="36"/>
  <c r="ED29" i="36" s="1"/>
  <c r="EB168" i="35"/>
  <c r="DU79" i="35"/>
  <c r="DY76" i="35"/>
  <c r="EC31" i="36"/>
  <c r="EC12" i="36"/>
  <c r="EA18" i="36"/>
  <c r="EA249" i="36"/>
  <c r="EA247" i="36"/>
  <c r="EA235" i="36"/>
  <c r="EA245" i="36"/>
  <c r="EJ626" i="36"/>
  <c r="EJ191" i="36"/>
  <c r="EO191" i="36"/>
  <c r="FF42" i="36"/>
  <c r="FF463" i="36"/>
  <c r="FF347" i="36"/>
  <c r="FF340" i="36"/>
  <c r="EH18" i="36"/>
  <c r="EH249" i="36"/>
  <c r="EH244" i="36"/>
  <c r="EH247" i="36"/>
  <c r="EM248" i="36" s="1"/>
  <c r="EH245" i="36"/>
  <c r="EH235" i="36"/>
  <c r="EM244" i="36"/>
  <c r="EF360" i="36"/>
  <c r="EF376" i="36"/>
  <c r="EF374" i="36"/>
  <c r="EF378" i="36"/>
  <c r="EK373" i="36"/>
  <c r="EA19" i="36"/>
  <c r="EF23" i="36" s="1"/>
  <c r="EA386" i="36"/>
  <c r="EA384" i="36"/>
  <c r="EF385" i="36" s="1"/>
  <c r="EA382" i="36"/>
  <c r="EF383" i="36" s="1"/>
  <c r="EA372" i="36"/>
  <c r="EF373" i="36" s="1"/>
  <c r="EN347" i="36"/>
  <c r="EN327" i="36"/>
  <c r="ES347" i="36"/>
  <c r="EJ202" i="35"/>
  <c r="EK202" i="35"/>
  <c r="EJ198" i="35"/>
  <c r="EC103" i="4"/>
  <c r="EF202" i="35"/>
  <c r="EE198" i="35"/>
  <c r="DX114" i="4"/>
  <c r="DY114" i="4" s="1"/>
  <c r="DX114" i="35"/>
  <c r="DY114" i="35" s="1"/>
  <c r="EN69" i="35"/>
  <c r="EJ74" i="35"/>
  <c r="EO533" i="36"/>
  <c r="EI214" i="36"/>
  <c r="EI252" i="36"/>
  <c r="EI563" i="36"/>
  <c r="EI545" i="36"/>
  <c r="EI57" i="35"/>
  <c r="DY158" i="35"/>
  <c r="EJ46" i="36"/>
  <c r="EN45" i="36"/>
  <c r="EJ14" i="35"/>
  <c r="DX130" i="35"/>
  <c r="DX110" i="35"/>
  <c r="DY110" i="35" s="1"/>
  <c r="EG77" i="36"/>
  <c r="EL77" i="36"/>
  <c r="EC378" i="36"/>
  <c r="EC376" i="36"/>
  <c r="EC374" i="36"/>
  <c r="EC360" i="36"/>
  <c r="DX103" i="35"/>
  <c r="DY103" i="35" s="1"/>
  <c r="EH12" i="36"/>
  <c r="EH31" i="36"/>
  <c r="EH13" i="36"/>
  <c r="EM13" i="36"/>
  <c r="EG96" i="35"/>
  <c r="EG81" i="35"/>
  <c r="ER512" i="36"/>
  <c r="ER513" i="36" s="1"/>
  <c r="ER516" i="36"/>
  <c r="ER511" i="36"/>
  <c r="ER518" i="36"/>
  <c r="ER514" i="36"/>
  <c r="ER515" i="36" s="1"/>
  <c r="BV5" i="32"/>
  <c r="BV5" i="36"/>
  <c r="BV5" i="35"/>
  <c r="EE249" i="36"/>
  <c r="EI243" i="36"/>
  <c r="EE244" i="36"/>
  <c r="EE18" i="36"/>
  <c r="EE247" i="36"/>
  <c r="EE235" i="36"/>
  <c r="EE245" i="36"/>
  <c r="EX506" i="36"/>
  <c r="EX507" i="36"/>
  <c r="EX508" i="36" s="1"/>
  <c r="FC505" i="36"/>
  <c r="FB506" i="36"/>
  <c r="FB507" i="36"/>
  <c r="FB508" i="36" s="1"/>
  <c r="EA104" i="35"/>
  <c r="DU163" i="35"/>
  <c r="DU164" i="35"/>
  <c r="EG62" i="36"/>
  <c r="EI60" i="36"/>
  <c r="EG12" i="36"/>
  <c r="EG31" i="36"/>
  <c r="EL13" i="36"/>
  <c r="EA12" i="36"/>
  <c r="EA31" i="36"/>
  <c r="EN607" i="36"/>
  <c r="EN212" i="36"/>
  <c r="ES212" i="36"/>
  <c r="ET212" i="36" s="1"/>
  <c r="EI76" i="36"/>
  <c r="EI77" i="36" s="1"/>
  <c r="FO68" i="36"/>
  <c r="FG296" i="36"/>
  <c r="FH296" i="36" s="1"/>
  <c r="FH294" i="36"/>
  <c r="FG295" i="36"/>
  <c r="FG299" i="36"/>
  <c r="FG425" i="36" s="1"/>
  <c r="ED252" i="36"/>
  <c r="ED563" i="36"/>
  <c r="ED545" i="36"/>
  <c r="EH376" i="36"/>
  <c r="EH360" i="36"/>
  <c r="EH373" i="36"/>
  <c r="EH374" i="36"/>
  <c r="EH378" i="36"/>
  <c r="EM373" i="36"/>
  <c r="EN78" i="36"/>
  <c r="ES78" i="36"/>
  <c r="FG368" i="36"/>
  <c r="FG505" i="36"/>
  <c r="DY190" i="35"/>
  <c r="DX191" i="35"/>
  <c r="EC166" i="4"/>
  <c r="EC13" i="32" s="1"/>
  <c r="EC166" i="35"/>
  <c r="EC168" i="35" s="1"/>
  <c r="EC101" i="4"/>
  <c r="ED101" i="4" s="1"/>
  <c r="EC101" i="35"/>
  <c r="ED101" i="35" s="1"/>
  <c r="EF105" i="4"/>
  <c r="EF113" i="10" s="1"/>
  <c r="EF105" i="35"/>
  <c r="EF129" i="35" s="1"/>
  <c r="EF132" i="35" s="1"/>
  <c r="EF134" i="35" s="1"/>
  <c r="EG105" i="4"/>
  <c r="EG113" i="10" s="1"/>
  <c r="EG105" i="35"/>
  <c r="DX164" i="35"/>
  <c r="DX165" i="35" s="1"/>
  <c r="DX163" i="35"/>
  <c r="EE12" i="36"/>
  <c r="EE31" i="36"/>
  <c r="EI9" i="36"/>
  <c r="EE13" i="36"/>
  <c r="EK244" i="36"/>
  <c r="EF18" i="36"/>
  <c r="EF249" i="36"/>
  <c r="EF244" i="36"/>
  <c r="EF247" i="36"/>
  <c r="EK248" i="36" s="1"/>
  <c r="EF235" i="36"/>
  <c r="EF245" i="36"/>
  <c r="EF96" i="35"/>
  <c r="EF81" i="35"/>
  <c r="EQ524" i="36"/>
  <c r="EQ528" i="36"/>
  <c r="EQ522" i="36"/>
  <c r="EQ523" i="36" s="1"/>
  <c r="EQ520" i="36"/>
  <c r="EQ521" i="36" s="1"/>
  <c r="EQ519" i="36"/>
  <c r="EB104" i="35"/>
  <c r="EG46" i="35"/>
  <c r="EI44" i="35"/>
  <c r="FH288" i="36"/>
  <c r="FH284" i="36"/>
  <c r="FI280" i="36"/>
  <c r="DZ18" i="36"/>
  <c r="DZ249" i="36"/>
  <c r="ED243" i="36"/>
  <c r="DZ247" i="36"/>
  <c r="DZ235" i="36"/>
  <c r="DZ245" i="36"/>
  <c r="EE202" i="35"/>
  <c r="EN110" i="35"/>
  <c r="EH383" i="36"/>
  <c r="EM383" i="36"/>
  <c r="EI352" i="36"/>
  <c r="EI389" i="36"/>
  <c r="FH453" i="36"/>
  <c r="FG455" i="36"/>
  <c r="FH455" i="36" s="1"/>
  <c r="EC98" i="4"/>
  <c r="ED98" i="4" s="1"/>
  <c r="EC98" i="35"/>
  <c r="ED98" i="35" s="1"/>
  <c r="EI190" i="35"/>
  <c r="EH191" i="35"/>
  <c r="DX96" i="35"/>
  <c r="DX81" i="35"/>
  <c r="DZ386" i="36"/>
  <c r="ED380" i="36"/>
  <c r="DZ384" i="36"/>
  <c r="DZ19" i="36"/>
  <c r="DZ372" i="36"/>
  <c r="DZ382" i="36"/>
  <c r="DW120" i="35"/>
  <c r="ED76" i="35"/>
  <c r="DZ79" i="35"/>
  <c r="DY420" i="36"/>
  <c r="EC421" i="36"/>
  <c r="FC369" i="36"/>
  <c r="FC370" i="36" s="1"/>
  <c r="FC368" i="36"/>
  <c r="EB203" i="35"/>
  <c r="ED202" i="35"/>
  <c r="ED203" i="35" s="1"/>
  <c r="FG298" i="36"/>
  <c r="FG424" i="36" s="1"/>
  <c r="FH293" i="36"/>
  <c r="FH298" i="36" s="1"/>
  <c r="FH424" i="36" s="1"/>
  <c r="EJ467" i="36"/>
  <c r="EJ476" i="36"/>
  <c r="EN466" i="36"/>
  <c r="EO476" i="36"/>
  <c r="EG80" i="36"/>
  <c r="EG71" i="36"/>
  <c r="EI70" i="36"/>
  <c r="EG74" i="36"/>
  <c r="EL80" i="36"/>
  <c r="ET433" i="36"/>
  <c r="ET432" i="36"/>
  <c r="ET436" i="36"/>
  <c r="ET429" i="36"/>
  <c r="EU428" i="36"/>
  <c r="EU430" i="36" s="1"/>
  <c r="EC109" i="4"/>
  <c r="ED109" i="4" s="1"/>
  <c r="EC109" i="35"/>
  <c r="ED109" i="35" s="1"/>
  <c r="ED198" i="35"/>
  <c r="FE474" i="36"/>
  <c r="FG317" i="36"/>
  <c r="EH77" i="36"/>
  <c r="EM77" i="36"/>
  <c r="EJ9" i="36"/>
  <c r="EJ243" i="36"/>
  <c r="EJ214" i="36"/>
  <c r="EN206" i="36"/>
  <c r="EJ252" i="36"/>
  <c r="EJ563" i="36"/>
  <c r="EJ545" i="36"/>
  <c r="EO214" i="36"/>
  <c r="EX571" i="36"/>
  <c r="EY571" i="36" s="1"/>
  <c r="EZ571" i="36" s="1"/>
  <c r="FA571" i="36" s="1"/>
  <c r="FB571" i="36" s="1"/>
  <c r="FJ571" i="36"/>
  <c r="C3039" i="3"/>
  <c r="C3040" i="3" s="1"/>
  <c r="EF561" i="2"/>
  <c r="EF559" i="2" s="1"/>
  <c r="EF565" i="2" s="1"/>
  <c r="C2478" i="3"/>
  <c r="C2480" i="3" s="1"/>
  <c r="C2483" i="3" s="1"/>
  <c r="C2503" i="3" s="1"/>
  <c r="EH561" i="2"/>
  <c r="B2478" i="3"/>
  <c r="B2480" i="3" s="1"/>
  <c r="B2483" i="3" s="1"/>
  <c r="B2485" i="3" s="1"/>
  <c r="EG561" i="2"/>
  <c r="E153" i="11"/>
  <c r="F153" i="11" s="1"/>
  <c r="G153" i="11" s="1"/>
  <c r="H153" i="11" s="1"/>
  <c r="I153" i="11" s="1"/>
  <c r="J153" i="11" s="1"/>
  <c r="K153" i="11" s="1"/>
  <c r="L153" i="11" s="1"/>
  <c r="M153" i="11" s="1"/>
  <c r="N153" i="11" s="1"/>
  <c r="O153" i="11" s="1"/>
  <c r="P153" i="11" s="1"/>
  <c r="EE584" i="2"/>
  <c r="EI584" i="2" s="1"/>
  <c r="EI580" i="2"/>
  <c r="EI302" i="1"/>
  <c r="EE306" i="1"/>
  <c r="EI306" i="1" s="1"/>
  <c r="EJ584" i="2"/>
  <c r="EN584" i="2" s="1"/>
  <c r="EN580" i="2"/>
  <c r="EN306" i="1"/>
  <c r="F1712" i="3" s="1"/>
  <c r="B1721" i="3" s="1"/>
  <c r="B1712" i="3"/>
  <c r="EC200" i="2"/>
  <c r="EC462" i="2" s="1"/>
  <c r="I117" i="29"/>
  <c r="G175" i="19"/>
  <c r="P74" i="29"/>
  <c r="S78" i="29"/>
  <c r="G75" i="29"/>
  <c r="G74" i="29"/>
  <c r="H74" i="29" s="1"/>
  <c r="I74" i="29" s="1"/>
  <c r="H117" i="29"/>
  <c r="P75" i="29"/>
  <c r="S82" i="29"/>
  <c r="T83" i="29" s="1"/>
  <c r="U84" i="29" s="1"/>
  <c r="G117" i="29"/>
  <c r="V86" i="29"/>
  <c r="R71" i="29"/>
  <c r="D2701" i="3"/>
  <c r="D2717" i="3" s="1"/>
  <c r="FG41" i="4"/>
  <c r="C87" i="3"/>
  <c r="C110" i="3"/>
  <c r="C80" i="3"/>
  <c r="B80" i="3"/>
  <c r="B110" i="3"/>
  <c r="B2129" i="3"/>
  <c r="C2129" i="3" s="1"/>
  <c r="G129" i="3"/>
  <c r="H129" i="3"/>
  <c r="F129" i="3"/>
  <c r="D82" i="3"/>
  <c r="D126" i="3"/>
  <c r="D111" i="3"/>
  <c r="C111" i="3"/>
  <c r="C126" i="3"/>
  <c r="C82" i="3"/>
  <c r="ER414" i="10"/>
  <c r="EW414" i="10"/>
  <c r="ER410" i="10"/>
  <c r="EX183" i="4"/>
  <c r="EX174" i="4"/>
  <c r="EX175" i="4"/>
  <c r="EX179" i="4"/>
  <c r="EB407" i="2"/>
  <c r="EB412" i="2" s="1"/>
  <c r="EJ189" i="1"/>
  <c r="F176" i="19"/>
  <c r="G142" i="19"/>
  <c r="EH117" i="10"/>
  <c r="EH16" i="32"/>
  <c r="EH17" i="32" s="1"/>
  <c r="DY5" i="1"/>
  <c r="DT5" i="32"/>
  <c r="EG17" i="32"/>
  <c r="EA17" i="32"/>
  <c r="EE204" i="4"/>
  <c r="B2357" i="3"/>
  <c r="B2360" i="3" s="1"/>
  <c r="C4557" i="3"/>
  <c r="C4431" i="3" s="1"/>
  <c r="ED125" i="2"/>
  <c r="ED130" i="2" s="1"/>
  <c r="EE130" i="2" s="1"/>
  <c r="EF130" i="2" s="1"/>
  <c r="EF125" i="2" s="1"/>
  <c r="EI123" i="2"/>
  <c r="EE405" i="2"/>
  <c r="EI405" i="2" s="1"/>
  <c r="EE181" i="2"/>
  <c r="G172" i="19"/>
  <c r="F3134" i="3"/>
  <c r="B2499" i="3"/>
  <c r="C2494" i="3"/>
  <c r="C2496" i="3" s="1"/>
  <c r="C2497" i="3" s="1"/>
  <c r="EF420" i="10"/>
  <c r="D152" i="11"/>
  <c r="E152" i="11" s="1"/>
  <c r="F152" i="11" s="1"/>
  <c r="G152" i="11" s="1"/>
  <c r="H152" i="11" s="1"/>
  <c r="I152" i="11" s="1"/>
  <c r="J152" i="11" s="1"/>
  <c r="K152" i="11" s="1"/>
  <c r="L152" i="11" s="1"/>
  <c r="M152" i="11" s="1"/>
  <c r="N152" i="11" s="1"/>
  <c r="O152" i="11" s="1"/>
  <c r="P152" i="11" s="1"/>
  <c r="C171" i="11"/>
  <c r="T42" i="30"/>
  <c r="U42" i="30"/>
  <c r="EF618" i="2"/>
  <c r="EF339" i="2"/>
  <c r="EF347" i="2" s="1"/>
  <c r="EG80" i="2"/>
  <c r="EL80" i="2"/>
  <c r="EH71" i="2"/>
  <c r="EH79" i="2" s="1"/>
  <c r="EH80" i="2"/>
  <c r="EM80" i="2"/>
  <c r="ED204" i="4"/>
  <c r="ED12" i="32" s="1"/>
  <c r="E3134" i="3"/>
  <c r="FF41" i="4"/>
  <c r="DU541" i="2"/>
  <c r="DU617" i="2"/>
  <c r="EQ362" i="10"/>
  <c r="EK296" i="2"/>
  <c r="EO295" i="2"/>
  <c r="EB599" i="2"/>
  <c r="EJ129" i="10"/>
  <c r="EJ17" i="4"/>
  <c r="EN17" i="4" s="1"/>
  <c r="EN48" i="2"/>
  <c r="EN129" i="10" s="1"/>
  <c r="FE41" i="4"/>
  <c r="EC611" i="2"/>
  <c r="EE79" i="2"/>
  <c r="F155" i="19"/>
  <c r="G155" i="19"/>
  <c r="G138" i="19"/>
  <c r="F138" i="19"/>
  <c r="FD72" i="4"/>
  <c r="DZ400" i="10"/>
  <c r="EJ444" i="2"/>
  <c r="EI443" i="2"/>
  <c r="EJ146" i="4"/>
  <c r="EN146" i="4" s="1"/>
  <c r="EJ479" i="2"/>
  <c r="EN469" i="2"/>
  <c r="EH386" i="2"/>
  <c r="EM381" i="2"/>
  <c r="EJ188" i="1"/>
  <c r="EJ29" i="36" s="1"/>
  <c r="EN29" i="36" s="1"/>
  <c r="EN153" i="1"/>
  <c r="EN123" i="2"/>
  <c r="EJ181" i="2"/>
  <c r="EJ200" i="2" s="1"/>
  <c r="EJ462" i="2" s="1"/>
  <c r="EJ405" i="2"/>
  <c r="EN405" i="2" s="1"/>
  <c r="EH346" i="2"/>
  <c r="EM346" i="2"/>
  <c r="EH424" i="10"/>
  <c r="EM349" i="2"/>
  <c r="EN173" i="1"/>
  <c r="EN189" i="1" s="1"/>
  <c r="EJ66" i="1"/>
  <c r="EN59" i="1"/>
  <c r="EJ69" i="4"/>
  <c r="EJ74" i="4" s="1"/>
  <c r="EJ68" i="2"/>
  <c r="EJ184" i="1"/>
  <c r="EJ58" i="2"/>
  <c r="EJ60" i="2" s="1"/>
  <c r="EJ62" i="2" s="1"/>
  <c r="ED262" i="2"/>
  <c r="ED189" i="10" s="1"/>
  <c r="EI318" i="2"/>
  <c r="EH349" i="2"/>
  <c r="EH44" i="2"/>
  <c r="EH13" i="4" s="1"/>
  <c r="EH342" i="2"/>
  <c r="DU183" i="2"/>
  <c r="DZ189" i="10"/>
  <c r="EI231" i="1"/>
  <c r="EG136" i="2"/>
  <c r="EG169" i="2" s="1"/>
  <c r="DY73" i="18"/>
  <c r="DY79" i="18" s="1"/>
  <c r="DX74" i="18"/>
  <c r="DY74" i="18" s="1"/>
  <c r="C206" i="6"/>
  <c r="C208" i="6" s="1"/>
  <c r="DY114" i="2"/>
  <c r="DY119" i="2" s="1"/>
  <c r="DY357" i="10" s="1"/>
  <c r="DZ618" i="2"/>
  <c r="DT5" i="4"/>
  <c r="DT5" i="10"/>
  <c r="DT5" i="2"/>
  <c r="DT5" i="18"/>
  <c r="EI137" i="2"/>
  <c r="EI142" i="2" s="1"/>
  <c r="DY526" i="1"/>
  <c r="DW395" i="2"/>
  <c r="DZ188" i="10"/>
  <c r="ED117" i="2"/>
  <c r="ED352" i="10" s="1"/>
  <c r="DW396" i="2"/>
  <c r="DW401" i="2" s="1"/>
  <c r="DW264" i="10" s="1"/>
  <c r="EJ60" i="18"/>
  <c r="G3439" i="3"/>
  <c r="H3440" i="3" s="1"/>
  <c r="DZ352" i="10"/>
  <c r="C5007" i="3"/>
  <c r="EG295" i="2"/>
  <c r="DX79" i="4"/>
  <c r="DX96" i="4" s="1"/>
  <c r="E4994" i="3"/>
  <c r="E5001" i="3" s="1"/>
  <c r="DU130" i="18"/>
  <c r="DU129" i="18" s="1"/>
  <c r="DW371" i="18"/>
  <c r="DW390" i="18" s="1"/>
  <c r="DX544" i="1"/>
  <c r="DX540" i="1"/>
  <c r="EF268" i="1"/>
  <c r="EJ173" i="2"/>
  <c r="C126" i="6"/>
  <c r="DX183" i="2"/>
  <c r="DY371" i="18"/>
  <c r="DZ460" i="18" s="1"/>
  <c r="DX462" i="18"/>
  <c r="DX390" i="18"/>
  <c r="G5748" i="3"/>
  <c r="EC90" i="2"/>
  <c r="DY180" i="2"/>
  <c r="B3404" i="3"/>
  <c r="EE185" i="10"/>
  <c r="EG618" i="2"/>
  <c r="G68" i="29"/>
  <c r="G118" i="29" s="1"/>
  <c r="EE176" i="2"/>
  <c r="D101" i="24"/>
  <c r="D113" i="24" s="1"/>
  <c r="EF542" i="2"/>
  <c r="EG420" i="10"/>
  <c r="DZ114" i="2"/>
  <c r="DZ113" i="2" s="1"/>
  <c r="EE143" i="2"/>
  <c r="DZ180" i="2"/>
  <c r="DZ192" i="2" s="1"/>
  <c r="EE131" i="2"/>
  <c r="EX129" i="10"/>
  <c r="EM362" i="10"/>
  <c r="C39" i="29"/>
  <c r="C41" i="29" s="1"/>
  <c r="D3134" i="3"/>
  <c r="EE94" i="2"/>
  <c r="EN112" i="2"/>
  <c r="EJ180" i="2"/>
  <c r="D2381" i="3" s="1"/>
  <c r="D2382" i="3" s="1"/>
  <c r="EJ114" i="2"/>
  <c r="DU598" i="2"/>
  <c r="DY598" i="2" s="1"/>
  <c r="C3394" i="3"/>
  <c r="C3397" i="3" s="1"/>
  <c r="DY198" i="4"/>
  <c r="EH493" i="2"/>
  <c r="C37" i="29"/>
  <c r="C40" i="29" s="1"/>
  <c r="EO142" i="18"/>
  <c r="EP142" i="18" s="1"/>
  <c r="DW190" i="18"/>
  <c r="DW191" i="18" s="1"/>
  <c r="ED130" i="4"/>
  <c r="B33" i="11" s="1"/>
  <c r="EI294" i="18"/>
  <c r="EE306" i="18"/>
  <c r="EE53" i="18" s="1"/>
  <c r="EG317" i="2"/>
  <c r="D2983" i="3"/>
  <c r="C2984" i="3"/>
  <c r="B2984" i="3"/>
  <c r="EC630" i="2"/>
  <c r="I4130" i="3" s="1"/>
  <c r="EC493" i="2"/>
  <c r="DZ467" i="18"/>
  <c r="DZ466" i="18" s="1"/>
  <c r="I3134" i="3"/>
  <c r="EG373" i="10"/>
  <c r="J3134" i="3"/>
  <c r="DV395" i="2"/>
  <c r="EG183" i="2"/>
  <c r="EG247" i="2" s="1"/>
  <c r="EL248" i="2" s="1"/>
  <c r="D3037" i="3"/>
  <c r="D3038" i="3" s="1"/>
  <c r="E3039" i="3"/>
  <c r="B3010" i="3"/>
  <c r="G3037" i="3"/>
  <c r="G3038" i="3" s="1"/>
  <c r="D3039" i="3"/>
  <c r="EH617" i="2"/>
  <c r="EH619" i="2" s="1"/>
  <c r="E3037" i="3"/>
  <c r="E3038" i="3" s="1"/>
  <c r="E4288" i="3"/>
  <c r="E4321" i="3" s="1"/>
  <c r="D5083" i="3"/>
  <c r="E5083" i="3" s="1"/>
  <c r="E4636" i="3"/>
  <c r="E4652" i="3" s="1"/>
  <c r="E4671" i="3" s="1"/>
  <c r="DV617" i="2"/>
  <c r="DV619" i="2" s="1"/>
  <c r="DV631" i="2" s="1"/>
  <c r="ED465" i="18"/>
  <c r="D4635" i="3"/>
  <c r="D4647" i="3" s="1"/>
  <c r="C4647" i="3"/>
  <c r="EK451" i="2"/>
  <c r="EL401" i="2"/>
  <c r="EG425" i="10"/>
  <c r="EL350" i="2"/>
  <c r="F44" i="20"/>
  <c r="DU259" i="2"/>
  <c r="DU396" i="2" s="1"/>
  <c r="EG316" i="2"/>
  <c r="EG453" i="2" s="1"/>
  <c r="DZ168" i="2"/>
  <c r="ED168" i="2" s="1"/>
  <c r="G44" i="20"/>
  <c r="DU314" i="2"/>
  <c r="DZ137" i="2"/>
  <c r="DZ136" i="2" s="1"/>
  <c r="ED135" i="2"/>
  <c r="EI172" i="2"/>
  <c r="DV183" i="2"/>
  <c r="EG339" i="2"/>
  <c r="DW619" i="2"/>
  <c r="DW631" i="2" s="1"/>
  <c r="DW650" i="2" s="1"/>
  <c r="D3283" i="3"/>
  <c r="F4843" i="3"/>
  <c r="EB377" i="10"/>
  <c r="EA407" i="2"/>
  <c r="EA412" i="2" s="1"/>
  <c r="F5184" i="3"/>
  <c r="EA124" i="2"/>
  <c r="ED124" i="2" s="1"/>
  <c r="F7" i="22"/>
  <c r="G7" i="22" s="1"/>
  <c r="F44" i="22"/>
  <c r="F4621" i="3"/>
  <c r="F4623" i="3" s="1"/>
  <c r="C227" i="6"/>
  <c r="B3129" i="3"/>
  <c r="F4609" i="3"/>
  <c r="DV164" i="4"/>
  <c r="DV165" i="4" s="1"/>
  <c r="EC316" i="2"/>
  <c r="EC453" i="2" s="1"/>
  <c r="EG268" i="1"/>
  <c r="EE512" i="18"/>
  <c r="DY189" i="10"/>
  <c r="EA644" i="2"/>
  <c r="EC604" i="2"/>
  <c r="EI110" i="4"/>
  <c r="DU47" i="18"/>
  <c r="DY47" i="18" s="1"/>
  <c r="DV426" i="18"/>
  <c r="DV425" i="18" s="1"/>
  <c r="B3108" i="3"/>
  <c r="G3134" i="3"/>
  <c r="G5747" i="3"/>
  <c r="B5765" i="3"/>
  <c r="C25" i="29"/>
  <c r="C27" i="29" s="1"/>
  <c r="D24" i="29" s="1"/>
  <c r="D26" i="29" s="1"/>
  <c r="D22" i="29"/>
  <c r="E22" i="29" s="1"/>
  <c r="EK291" i="2"/>
  <c r="EK317" i="2" s="1"/>
  <c r="F4637" i="3"/>
  <c r="G4637" i="3" s="1"/>
  <c r="EK208" i="2"/>
  <c r="EK346" i="2"/>
  <c r="EK211" i="2"/>
  <c r="EK465" i="2"/>
  <c r="EP475" i="2" s="1"/>
  <c r="EK204" i="2"/>
  <c r="EP212" i="2" s="1"/>
  <c r="ER376" i="18"/>
  <c r="EK342" i="2"/>
  <c r="EP350" i="2" s="1"/>
  <c r="EG612" i="2"/>
  <c r="EL612" i="2" s="1"/>
  <c r="EL416" i="10" s="1"/>
  <c r="EH46" i="4"/>
  <c r="EF381" i="2"/>
  <c r="EK381" i="2"/>
  <c r="EF63" i="2"/>
  <c r="EK64" i="2"/>
  <c r="DZ338" i="2"/>
  <c r="DZ339" i="2" s="1"/>
  <c r="EK396" i="2"/>
  <c r="EK258" i="2"/>
  <c r="E2490" i="3" s="1"/>
  <c r="E2492" i="3" s="1"/>
  <c r="E2495" i="3" s="1"/>
  <c r="EK170" i="2"/>
  <c r="EK175" i="2" s="1"/>
  <c r="EK153" i="2" s="1"/>
  <c r="EK164" i="2" s="1"/>
  <c r="EK113" i="2"/>
  <c r="C1158" i="3" s="1"/>
  <c r="C1168" i="3" s="1"/>
  <c r="D4321" i="3"/>
  <c r="DY306" i="18"/>
  <c r="DY272" i="18" s="1"/>
  <c r="EK319" i="2"/>
  <c r="EK337" i="2"/>
  <c r="EP345" i="2" s="1"/>
  <c r="EK183" i="2"/>
  <c r="EK247" i="2" s="1"/>
  <c r="EP248" i="2" s="1"/>
  <c r="EK488" i="2"/>
  <c r="EK199" i="2"/>
  <c r="EK192" i="2"/>
  <c r="EG296" i="2"/>
  <c r="EK295" i="2"/>
  <c r="DY114" i="18"/>
  <c r="D87" i="22"/>
  <c r="D10" i="22" s="1"/>
  <c r="EK441" i="2"/>
  <c r="EK136" i="2"/>
  <c r="EC291" i="2"/>
  <c r="EC317" i="2" s="1"/>
  <c r="DZ621" i="2"/>
  <c r="DZ623" i="2" s="1"/>
  <c r="DZ119" i="18"/>
  <c r="DZ118" i="18" s="1"/>
  <c r="DZ123" i="18" s="1"/>
  <c r="EI394" i="2"/>
  <c r="E26" i="13"/>
  <c r="DY18" i="4"/>
  <c r="DY102" i="10" s="1"/>
  <c r="EQ655" i="18"/>
  <c r="L5728" i="3"/>
  <c r="F3218" i="3"/>
  <c r="DV120" i="10"/>
  <c r="G4504" i="3"/>
  <c r="EL376" i="18" s="1"/>
  <c r="G4564" i="3"/>
  <c r="G4834" i="3"/>
  <c r="H173" i="11"/>
  <c r="H194" i="11" s="1"/>
  <c r="DZ92" i="18"/>
  <c r="ED92" i="18" s="1"/>
  <c r="K25" i="24"/>
  <c r="DY136" i="18"/>
  <c r="J229" i="24"/>
  <c r="B230" i="24" s="1"/>
  <c r="H4503" i="3"/>
  <c r="H4505" i="3" s="1"/>
  <c r="F194" i="11"/>
  <c r="EE451" i="2"/>
  <c r="DY399" i="2"/>
  <c r="D4544" i="3"/>
  <c r="D4436" i="3" s="1"/>
  <c r="EI153" i="4"/>
  <c r="DU433" i="2"/>
  <c r="DU190" i="10" s="1"/>
  <c r="C10" i="29"/>
  <c r="C12" i="29" s="1"/>
  <c r="C13" i="29" s="1"/>
  <c r="EI657" i="18"/>
  <c r="C3134" i="3"/>
  <c r="M4506" i="3"/>
  <c r="M4544" i="3" s="1"/>
  <c r="M4436" i="3" s="1"/>
  <c r="D4154" i="3"/>
  <c r="A6039" i="3"/>
  <c r="C111" i="24"/>
  <c r="C102" i="24" s="1"/>
  <c r="C379" i="3"/>
  <c r="EI198" i="4"/>
  <c r="B98" i="41" s="1"/>
  <c r="EH345" i="2"/>
  <c r="EE77" i="4"/>
  <c r="EE165" i="4" s="1"/>
  <c r="DZ269" i="2"/>
  <c r="DZ406" i="2" s="1"/>
  <c r="EG540" i="1"/>
  <c r="EG538" i="1" s="1"/>
  <c r="EG58" i="35" s="1"/>
  <c r="EG59" i="35" s="1"/>
  <c r="EG61" i="35" s="1"/>
  <c r="DT526" i="1"/>
  <c r="EH434" i="10"/>
  <c r="EE173" i="2"/>
  <c r="EI173" i="2" s="1"/>
  <c r="EI355" i="10" s="1"/>
  <c r="EC420" i="10"/>
  <c r="EC461" i="2"/>
  <c r="EI380" i="2"/>
  <c r="EI386" i="2" s="1"/>
  <c r="EG543" i="1"/>
  <c r="EH19" i="2"/>
  <c r="ED349" i="10"/>
  <c r="EH384" i="2"/>
  <c r="EM385" i="2" s="1"/>
  <c r="ED172" i="2"/>
  <c r="EF65" i="18"/>
  <c r="EG208" i="2"/>
  <c r="E5728" i="3"/>
  <c r="E4544" i="3"/>
  <c r="E4436" i="3" s="1"/>
  <c r="EC355" i="10"/>
  <c r="DX258" i="2"/>
  <c r="E236" i="6"/>
  <c r="E237" i="6"/>
  <c r="DU53" i="18"/>
  <c r="DY53" i="18" s="1"/>
  <c r="DV396" i="2"/>
  <c r="DV401" i="2" s="1"/>
  <c r="DV264" i="10" s="1"/>
  <c r="EB373" i="10"/>
  <c r="F3213" i="3"/>
  <c r="EB462" i="2"/>
  <c r="EC445" i="2"/>
  <c r="F3210" i="3"/>
  <c r="F3219" i="3" s="1"/>
  <c r="ED314" i="2"/>
  <c r="EG345" i="2"/>
  <c r="EA123" i="18"/>
  <c r="ED337" i="2"/>
  <c r="EG421" i="10"/>
  <c r="EI402" i="18"/>
  <c r="EE405" i="18"/>
  <c r="EC512" i="18"/>
  <c r="DU451" i="2"/>
  <c r="DU573" i="2" s="1"/>
  <c r="EB282" i="2"/>
  <c r="EB287" i="2" s="1"/>
  <c r="DZ158" i="18"/>
  <c r="DZ162" i="18" s="1"/>
  <c r="C4619" i="3"/>
  <c r="B172" i="6"/>
  <c r="EL405" i="10"/>
  <c r="EB339" i="2"/>
  <c r="DW599" i="2"/>
  <c r="EH488" i="2"/>
  <c r="DY394" i="2"/>
  <c r="DX401" i="2"/>
  <c r="DX264" i="10" s="1"/>
  <c r="EH233" i="2"/>
  <c r="EE162" i="4"/>
  <c r="EE163" i="4" s="1"/>
  <c r="EE164" i="4" s="1"/>
  <c r="EC311" i="18"/>
  <c r="DV440" i="2"/>
  <c r="DV599" i="2"/>
  <c r="ED181" i="2"/>
  <c r="EH91" i="18"/>
  <c r="EH93" i="18" s="1"/>
  <c r="EF96" i="18"/>
  <c r="EF98" i="18" s="1"/>
  <c r="EA200" i="2"/>
  <c r="EA373" i="10" s="1"/>
  <c r="D227" i="6"/>
  <c r="B73" i="24"/>
  <c r="ED188" i="1"/>
  <c r="EF93" i="18"/>
  <c r="DU599" i="2"/>
  <c r="DZ394" i="2"/>
  <c r="DY173" i="10"/>
  <c r="ED398" i="2"/>
  <c r="EF125" i="18"/>
  <c r="EE460" i="18"/>
  <c r="EF460" i="18" s="1"/>
  <c r="EG460" i="18" s="1"/>
  <c r="H4154" i="3"/>
  <c r="B4154" i="3"/>
  <c r="G4154" i="3"/>
  <c r="D3365" i="3"/>
  <c r="E3365" i="3" s="1"/>
  <c r="C3368" i="3"/>
  <c r="C3370" i="3" s="1"/>
  <c r="C3375" i="3" s="1"/>
  <c r="EG346" i="2"/>
  <c r="DZ41" i="4"/>
  <c r="EG461" i="18"/>
  <c r="EB465" i="2"/>
  <c r="EG462" i="2"/>
  <c r="EL472" i="2" s="1"/>
  <c r="G5001" i="3"/>
  <c r="N4834" i="3"/>
  <c r="DZ355" i="10"/>
  <c r="EG124" i="18"/>
  <c r="EG290" i="18" s="1"/>
  <c r="EG285" i="18" s="1"/>
  <c r="EF79" i="2"/>
  <c r="EB44" i="2"/>
  <c r="EB13" i="4" s="1"/>
  <c r="ED270" i="2"/>
  <c r="ED275" i="2" s="1"/>
  <c r="EE275" i="2" s="1"/>
  <c r="EF275" i="2" s="1"/>
  <c r="EF270" i="2" s="1"/>
  <c r="DU491" i="18"/>
  <c r="EB45" i="2"/>
  <c r="EB14" i="4" s="1"/>
  <c r="EG41" i="2"/>
  <c r="EG10" i="4" s="1"/>
  <c r="N4564" i="3"/>
  <c r="EL366" i="10"/>
  <c r="DY137" i="2"/>
  <c r="DY142" i="2" s="1"/>
  <c r="DU603" i="2"/>
  <c r="DY603" i="2" s="1"/>
  <c r="DY610" i="2" s="1"/>
  <c r="DW157" i="4"/>
  <c r="DV160" i="4" s="1"/>
  <c r="DV157" i="4" s="1"/>
  <c r="DU160" i="4" s="1"/>
  <c r="N4504" i="3"/>
  <c r="N4506" i="3" s="1"/>
  <c r="EE106" i="10"/>
  <c r="EC40" i="2"/>
  <c r="EC9" i="4" s="1"/>
  <c r="M5739" i="3"/>
  <c r="G5763" i="3" s="1"/>
  <c r="EE158" i="4"/>
  <c r="EE157" i="4" s="1"/>
  <c r="EI157" i="4" s="1"/>
  <c r="DU441" i="2"/>
  <c r="DU170" i="2"/>
  <c r="EI69" i="4"/>
  <c r="EE152" i="4"/>
  <c r="EE154" i="4" s="1"/>
  <c r="EI173" i="10"/>
  <c r="DY383" i="18"/>
  <c r="DX163" i="4"/>
  <c r="DX164" i="4"/>
  <c r="DX165" i="4" s="1"/>
  <c r="ED598" i="2"/>
  <c r="ED495" i="2" s="1"/>
  <c r="EB493" i="2"/>
  <c r="EG494" i="2" s="1"/>
  <c r="G3203" i="3"/>
  <c r="E104" i="6"/>
  <c r="C5005" i="3"/>
  <c r="E4287" i="3"/>
  <c r="F4287" i="3" s="1"/>
  <c r="DW544" i="1"/>
  <c r="EF346" i="2"/>
  <c r="DX419" i="18"/>
  <c r="EB53" i="18"/>
  <c r="ED53" i="18" s="1"/>
  <c r="EB311" i="18"/>
  <c r="ED306" i="18"/>
  <c r="EH192" i="2"/>
  <c r="B3432" i="3"/>
  <c r="EJ399" i="2"/>
  <c r="EB97" i="18"/>
  <c r="ED52" i="18"/>
  <c r="FD11" i="2"/>
  <c r="D504" i="3" s="1"/>
  <c r="DX617" i="2"/>
  <c r="DX619" i="2" s="1"/>
  <c r="DX199" i="2"/>
  <c r="D26" i="13"/>
  <c r="ED305" i="18"/>
  <c r="EC484" i="18"/>
  <c r="ED374" i="18"/>
  <c r="ED484" i="18" s="1"/>
  <c r="EF451" i="2"/>
  <c r="EI10" i="2"/>
  <c r="EB603" i="2"/>
  <c r="EB604" i="2" s="1"/>
  <c r="EE93" i="4"/>
  <c r="DX599" i="2"/>
  <c r="DX451" i="2"/>
  <c r="DX573" i="2" s="1"/>
  <c r="EC372" i="10"/>
  <c r="EG62" i="2"/>
  <c r="DV170" i="2"/>
  <c r="DV175" i="2" s="1"/>
  <c r="D4300" i="3"/>
  <c r="DV441" i="2"/>
  <c r="D4286" i="3"/>
  <c r="D4292" i="3" s="1"/>
  <c r="D8" i="29"/>
  <c r="E8" i="29" s="1"/>
  <c r="EI590" i="2"/>
  <c r="EI591" i="2" s="1"/>
  <c r="DX572" i="1"/>
  <c r="DY572" i="1" s="1"/>
  <c r="DW569" i="1"/>
  <c r="DW543" i="1"/>
  <c r="DW360" i="18" s="1"/>
  <c r="ED71" i="2"/>
  <c r="B4099" i="3" s="1"/>
  <c r="EI66" i="1"/>
  <c r="EF401" i="2"/>
  <c r="EF264" i="10" s="1"/>
  <c r="EH199" i="2"/>
  <c r="EI203" i="2"/>
  <c r="EF341" i="2"/>
  <c r="EF465" i="2" s="1"/>
  <c r="EI441" i="2"/>
  <c r="EI446" i="2" s="1"/>
  <c r="C4154" i="3"/>
  <c r="H3169" i="3"/>
  <c r="EC377" i="10"/>
  <c r="EC619" i="2"/>
  <c r="EC647" i="2" s="1"/>
  <c r="EH389" i="18"/>
  <c r="EH124" i="18" s="1"/>
  <c r="EH290" i="18" s="1"/>
  <c r="EB376" i="10"/>
  <c r="EG609" i="2"/>
  <c r="EB161" i="10"/>
  <c r="EI253" i="18"/>
  <c r="EJ253" i="18" s="1"/>
  <c r="EK253" i="18" s="1"/>
  <c r="EL253" i="18" s="1"/>
  <c r="EM253" i="18" s="1"/>
  <c r="EN253" i="18" s="1"/>
  <c r="EO253" i="18" s="1"/>
  <c r="EP253" i="18" s="1"/>
  <c r="EQ253" i="18" s="1"/>
  <c r="ER253" i="18" s="1"/>
  <c r="ES253" i="18" s="1"/>
  <c r="DY514" i="18"/>
  <c r="DX514" i="18" s="1"/>
  <c r="DX530" i="18" s="1"/>
  <c r="DV415" i="18"/>
  <c r="DV420" i="18" s="1"/>
  <c r="DV483" i="18" s="1"/>
  <c r="DV478" i="18" s="1"/>
  <c r="DV477" i="18" s="1"/>
  <c r="DV482" i="18" s="1"/>
  <c r="C4623" i="3"/>
  <c r="C4419" i="3"/>
  <c r="E4418" i="3"/>
  <c r="E4616" i="3"/>
  <c r="D4623" i="3"/>
  <c r="D4419" i="3"/>
  <c r="F4543" i="3"/>
  <c r="E4438" i="3"/>
  <c r="D4438" i="3"/>
  <c r="E4543" i="3"/>
  <c r="D4616" i="3"/>
  <c r="D4418" i="3"/>
  <c r="EI130" i="4"/>
  <c r="E4419" i="3"/>
  <c r="E4623" i="3"/>
  <c r="E4619" i="3"/>
  <c r="EB110" i="4"/>
  <c r="DY270" i="18"/>
  <c r="DX270" i="18" s="1"/>
  <c r="EC270" i="18" s="1"/>
  <c r="DY490" i="18"/>
  <c r="DV543" i="1"/>
  <c r="DV360" i="18" s="1"/>
  <c r="C4438" i="3"/>
  <c r="D4543" i="3"/>
  <c r="E155" i="6"/>
  <c r="H155" i="6"/>
  <c r="L155" i="6"/>
  <c r="B160" i="6" s="1"/>
  <c r="D155" i="6"/>
  <c r="C155" i="6"/>
  <c r="C130" i="6"/>
  <c r="I155" i="6"/>
  <c r="J155" i="6"/>
  <c r="B155" i="6"/>
  <c r="F155" i="6"/>
  <c r="G155" i="6"/>
  <c r="B126" i="6"/>
  <c r="K155" i="6"/>
  <c r="DW268" i="1"/>
  <c r="C26" i="13"/>
  <c r="ED399" i="2"/>
  <c r="C4418" i="3"/>
  <c r="C4616" i="3"/>
  <c r="EG170" i="2"/>
  <c r="EG175" i="2" s="1"/>
  <c r="DY481" i="18"/>
  <c r="EJ394" i="2"/>
  <c r="EI398" i="2"/>
  <c r="EN135" i="2"/>
  <c r="EJ168" i="2"/>
  <c r="EN168" i="2" s="1"/>
  <c r="EJ439" i="2"/>
  <c r="EJ182" i="2"/>
  <c r="EJ137" i="2"/>
  <c r="DU426" i="18"/>
  <c r="DU425" i="18" s="1"/>
  <c r="DY424" i="18"/>
  <c r="DU494" i="18"/>
  <c r="DU493" i="18" s="1"/>
  <c r="DU512" i="18" s="1"/>
  <c r="EC599" i="2"/>
  <c r="EC451" i="2"/>
  <c r="EF610" i="2"/>
  <c r="EF604" i="2"/>
  <c r="EC396" i="2"/>
  <c r="EC401" i="2" s="1"/>
  <c r="EC264" i="10" s="1"/>
  <c r="EC113" i="2"/>
  <c r="EC561" i="2" s="1"/>
  <c r="EC170" i="2"/>
  <c r="DY405" i="18"/>
  <c r="EE476" i="18"/>
  <c r="EI476" i="18" s="1"/>
  <c r="ED480" i="18"/>
  <c r="M4623" i="3"/>
  <c r="M4619" i="3"/>
  <c r="M4419" i="3"/>
  <c r="M4418" i="3"/>
  <c r="M4616" i="3"/>
  <c r="EM212" i="18"/>
  <c r="EN113" i="18"/>
  <c r="I3199" i="3"/>
  <c r="K176" i="11"/>
  <c r="K197" i="11" s="1"/>
  <c r="ED173" i="2"/>
  <c r="ED355" i="10" s="1"/>
  <c r="M4438" i="3"/>
  <c r="N4543" i="3"/>
  <c r="EI444" i="2"/>
  <c r="I197" i="11"/>
  <c r="EE71" i="1"/>
  <c r="EE81" i="1"/>
  <c r="EE236" i="1"/>
  <c r="EE251" i="1" s="1"/>
  <c r="EE72" i="1"/>
  <c r="O5745" i="3"/>
  <c r="Q5745" i="3" s="1"/>
  <c r="Q5739" i="3" s="1"/>
  <c r="J5763" i="3" s="1"/>
  <c r="I5763" i="3"/>
  <c r="EI399" i="2"/>
  <c r="G5151" i="3"/>
  <c r="H5151" i="3" s="1"/>
  <c r="H5148" i="3" s="1"/>
  <c r="DV268" i="1"/>
  <c r="EI304" i="2"/>
  <c r="EI309" i="2" s="1"/>
  <c r="EF303" i="2"/>
  <c r="EA544" i="1"/>
  <c r="ED456" i="18"/>
  <c r="DY296" i="18"/>
  <c r="DY301" i="18" s="1"/>
  <c r="EH376" i="10"/>
  <c r="EJ346" i="2"/>
  <c r="EA540" i="1"/>
  <c r="EA538" i="1" s="1"/>
  <c r="EA58" i="35" s="1"/>
  <c r="EA59" i="35" s="1"/>
  <c r="EA61" i="35" s="1"/>
  <c r="ED29" i="4"/>
  <c r="DU216" i="18"/>
  <c r="DY216" i="18" s="1"/>
  <c r="DY217" i="18"/>
  <c r="E5150" i="3"/>
  <c r="E5148" i="3" s="1"/>
  <c r="E5151" i="3" s="1"/>
  <c r="EH316" i="2"/>
  <c r="EH319" i="2" s="1"/>
  <c r="EH367" i="2" s="1"/>
  <c r="EH432" i="10" s="1"/>
  <c r="G5152" i="3"/>
  <c r="H5152" i="3" s="1"/>
  <c r="H5150" i="3" s="1"/>
  <c r="ED455" i="18"/>
  <c r="ED460" i="18" s="1"/>
  <c r="EI338" i="2"/>
  <c r="ED182" i="2"/>
  <c r="M5746" i="3"/>
  <c r="N5746" i="3" s="1"/>
  <c r="N5740" i="3" s="1"/>
  <c r="EC45" i="2"/>
  <c r="EC46" i="2" s="1"/>
  <c r="C4327" i="3"/>
  <c r="EH211" i="2"/>
  <c r="DX175" i="2"/>
  <c r="EC434" i="2"/>
  <c r="EH465" i="2"/>
  <c r="EC466" i="2"/>
  <c r="EC467" i="2" s="1"/>
  <c r="DY268" i="18"/>
  <c r="EH204" i="2"/>
  <c r="C4359" i="3"/>
  <c r="D4359" i="3" s="1"/>
  <c r="E4359" i="3" s="1"/>
  <c r="F4359" i="3" s="1"/>
  <c r="G4359" i="3" s="1"/>
  <c r="H4359" i="3" s="1"/>
  <c r="I4359" i="3" s="1"/>
  <c r="J4359" i="3" s="1"/>
  <c r="K4359" i="3" s="1"/>
  <c r="L4359" i="3" s="1"/>
  <c r="M4359" i="3" s="1"/>
  <c r="N4359" i="3" s="1"/>
  <c r="EA295" i="18"/>
  <c r="ED295" i="18" s="1"/>
  <c r="ED296" i="18"/>
  <c r="ED301" i="18" s="1"/>
  <c r="DV544" i="1"/>
  <c r="EH170" i="2"/>
  <c r="EH175" i="2" s="1"/>
  <c r="EJ316" i="2"/>
  <c r="EJ291" i="2"/>
  <c r="EJ317" i="2" s="1"/>
  <c r="EJ285" i="2"/>
  <c r="EJ339" i="2"/>
  <c r="EJ350" i="2"/>
  <c r="EM461" i="18"/>
  <c r="EN389" i="18"/>
  <c r="EM124" i="18"/>
  <c r="EM290" i="18" s="1"/>
  <c r="EM399" i="18"/>
  <c r="DY103" i="4"/>
  <c r="EJ295" i="2"/>
  <c r="B3552" i="3"/>
  <c r="B3554" i="3" s="1"/>
  <c r="C3549" i="3"/>
  <c r="D3549" i="3" s="1"/>
  <c r="EA451" i="2"/>
  <c r="EA599" i="2"/>
  <c r="DY188" i="10"/>
  <c r="DY352" i="10"/>
  <c r="D4550" i="3"/>
  <c r="E4550" i="3" s="1"/>
  <c r="F4550" i="3" s="1"/>
  <c r="C4553" i="3"/>
  <c r="DY384" i="18"/>
  <c r="DY389" i="18" s="1"/>
  <c r="DY399" i="18" s="1"/>
  <c r="EC247" i="2"/>
  <c r="H3134" i="3"/>
  <c r="EH32" i="2"/>
  <c r="EH12" i="2"/>
  <c r="EH8" i="32" s="1"/>
  <c r="EG396" i="2"/>
  <c r="EG401" i="2" s="1"/>
  <c r="EG264" i="10" s="1"/>
  <c r="DY488" i="18"/>
  <c r="DY504" i="18"/>
  <c r="DX504" i="18" s="1"/>
  <c r="DW504" i="18" s="1"/>
  <c r="EB355" i="10"/>
  <c r="EE428" i="2"/>
  <c r="B5502" i="3"/>
  <c r="ED436" i="2"/>
  <c r="C5714" i="3"/>
  <c r="EI432" i="2"/>
  <c r="EH395" i="2"/>
  <c r="EH400" i="2" s="1"/>
  <c r="EG604" i="2"/>
  <c r="EG610" i="2"/>
  <c r="EF14" i="2"/>
  <c r="EF32" i="2"/>
  <c r="G7" i="20"/>
  <c r="G12" i="23" s="1"/>
  <c r="EH603" i="2"/>
  <c r="EI603" i="2" s="1"/>
  <c r="EI610" i="2" s="1"/>
  <c r="EH454" i="2"/>
  <c r="EI454" i="2" s="1"/>
  <c r="ED259" i="2"/>
  <c r="ED264" i="2" s="1"/>
  <c r="ED405" i="10" s="1"/>
  <c r="EA258" i="2"/>
  <c r="EG395" i="2"/>
  <c r="EG400" i="2" s="1"/>
  <c r="EA493" i="2"/>
  <c r="EF494" i="2" s="1"/>
  <c r="EA618" i="2"/>
  <c r="EI427" i="10"/>
  <c r="EI389" i="2"/>
  <c r="EI182" i="2"/>
  <c r="EG199" i="2"/>
  <c r="EG192" i="2"/>
  <c r="EG488" i="2"/>
  <c r="EG617" i="2"/>
  <c r="EH339" i="2"/>
  <c r="EH421" i="10"/>
  <c r="DY133" i="18"/>
  <c r="EH183" i="2"/>
  <c r="EG355" i="10"/>
  <c r="EC557" i="1"/>
  <c r="ED550" i="1"/>
  <c r="B3389" i="3"/>
  <c r="C3381" i="3"/>
  <c r="C3383" i="3" s="1"/>
  <c r="H6" i="25"/>
  <c r="K4" i="24"/>
  <c r="EF19" i="2"/>
  <c r="EF23" i="2" s="1"/>
  <c r="EF386" i="2"/>
  <c r="EF384" i="2"/>
  <c r="EF434" i="10"/>
  <c r="EI315" i="2"/>
  <c r="EF12" i="2"/>
  <c r="EF8" i="32" s="1"/>
  <c r="D3379" i="3"/>
  <c r="D3382" i="3" s="1"/>
  <c r="C3382" i="3"/>
  <c r="DZ217" i="18"/>
  <c r="DZ276" i="18"/>
  <c r="ED215" i="18"/>
  <c r="EH355" i="10"/>
  <c r="DY141" i="18"/>
  <c r="K32" i="24" s="1"/>
  <c r="DY150" i="18"/>
  <c r="EH599" i="2"/>
  <c r="EI599" i="2" s="1"/>
  <c r="EA355" i="10"/>
  <c r="EG451" i="2"/>
  <c r="EH396" i="2"/>
  <c r="EH401" i="2" s="1"/>
  <c r="EH264" i="10" s="1"/>
  <c r="EE610" i="2"/>
  <c r="DY444" i="2"/>
  <c r="DX426" i="18"/>
  <c r="DX425" i="18" s="1"/>
  <c r="DY182" i="2"/>
  <c r="EE296" i="2"/>
  <c r="EF296" i="2"/>
  <c r="DP71" i="1"/>
  <c r="DT71" i="1" s="1"/>
  <c r="DP72" i="1"/>
  <c r="DT72" i="1" s="1"/>
  <c r="DT70" i="1"/>
  <c r="EE280" i="2"/>
  <c r="EE291" i="2" s="1"/>
  <c r="ED396" i="10"/>
  <c r="EE40" i="4"/>
  <c r="EJ41" i="4" s="1"/>
  <c r="EI38" i="4"/>
  <c r="EE352" i="10"/>
  <c r="EE188" i="10"/>
  <c r="EI117" i="2"/>
  <c r="EE598" i="2"/>
  <c r="EE259" i="2"/>
  <c r="EE314" i="2"/>
  <c r="EI257" i="2"/>
  <c r="EF165" i="4"/>
  <c r="EF108" i="10"/>
  <c r="EA164" i="4"/>
  <c r="EA163" i="4"/>
  <c r="EF291" i="2"/>
  <c r="EF317" i="2" s="1"/>
  <c r="EF316" i="2"/>
  <c r="ED420" i="2"/>
  <c r="EE417" i="2" s="1"/>
  <c r="EI417" i="2" s="1"/>
  <c r="EC422" i="2"/>
  <c r="E5409" i="3"/>
  <c r="EH138" i="10"/>
  <c r="EI60" i="2"/>
  <c r="EI138" i="10" s="1"/>
  <c r="EH62" i="2"/>
  <c r="EM64" i="2" s="1"/>
  <c r="B42" i="11"/>
  <c r="ED344" i="10"/>
  <c r="I3163" i="3"/>
  <c r="I3167" i="3" s="1"/>
  <c r="EC425" i="10"/>
  <c r="EC612" i="2"/>
  <c r="EC416" i="10" s="1"/>
  <c r="EA79" i="4"/>
  <c r="EA120" i="10"/>
  <c r="C4663" i="3"/>
  <c r="C4670" i="3"/>
  <c r="EC230" i="1"/>
  <c r="EC190" i="35" s="1"/>
  <c r="ED231" i="1"/>
  <c r="EF199" i="2"/>
  <c r="EF617" i="2"/>
  <c r="EF488" i="2"/>
  <c r="EF192" i="2"/>
  <c r="EF183" i="2"/>
  <c r="EH317" i="2"/>
  <c r="EH295" i="2"/>
  <c r="EI294" i="2"/>
  <c r="EI295" i="2" s="1"/>
  <c r="I5409" i="3"/>
  <c r="DU162" i="4"/>
  <c r="DU158" i="4"/>
  <c r="DY158" i="4" s="1"/>
  <c r="DU106" i="10"/>
  <c r="DU77" i="4"/>
  <c r="DU108" i="10" s="1"/>
  <c r="DU76" i="4"/>
  <c r="DY76" i="4" s="1"/>
  <c r="DY120" i="10" s="1"/>
  <c r="EG101" i="2"/>
  <c r="EB184" i="10"/>
  <c r="EB436" i="2"/>
  <c r="EA99" i="2"/>
  <c r="EB100" i="2" s="1"/>
  <c r="EB402" i="2"/>
  <c r="EC574" i="2"/>
  <c r="EB447" i="2"/>
  <c r="EE189" i="10"/>
  <c r="EE400" i="10"/>
  <c r="EI262" i="2"/>
  <c r="EF175" i="2"/>
  <c r="G3144" i="3"/>
  <c r="DV355" i="10"/>
  <c r="DY173" i="2"/>
  <c r="DY355" i="10" s="1"/>
  <c r="EF622" i="2"/>
  <c r="EI600" i="2"/>
  <c r="EL259" i="18"/>
  <c r="EK44" i="18"/>
  <c r="EG79" i="4"/>
  <c r="EG120" i="10"/>
  <c r="H5420" i="3"/>
  <c r="EH462" i="2"/>
  <c r="EM472" i="2" s="1"/>
  <c r="EH373" i="10"/>
  <c r="EH41" i="2"/>
  <c r="EH10" i="4" s="1"/>
  <c r="EE79" i="4"/>
  <c r="EE120" i="10"/>
  <c r="EF79" i="4"/>
  <c r="EF120" i="10"/>
  <c r="ED600" i="2"/>
  <c r="EC622" i="2"/>
  <c r="EI396" i="10"/>
  <c r="EI284" i="2"/>
  <c r="C5163" i="3"/>
  <c r="J5156" i="3"/>
  <c r="EF169" i="2"/>
  <c r="G3139" i="3" s="1"/>
  <c r="EB466" i="2"/>
  <c r="EH296" i="2"/>
  <c r="C4296" i="3"/>
  <c r="EF395" i="2"/>
  <c r="EF400" i="2" s="1"/>
  <c r="EF41" i="2"/>
  <c r="EF10" i="4" s="1"/>
  <c r="EF462" i="2"/>
  <c r="EK472" i="2" s="1"/>
  <c r="EF421" i="10"/>
  <c r="EI230" i="1"/>
  <c r="EH190" i="4"/>
  <c r="EG165" i="4"/>
  <c r="EG108" i="10"/>
  <c r="EA165" i="4"/>
  <c r="EA108" i="10"/>
  <c r="EE402" i="10"/>
  <c r="EI285" i="2"/>
  <c r="EI402" i="10" s="1"/>
  <c r="H5747" i="3"/>
  <c r="H5742" i="3"/>
  <c r="C5765" i="3"/>
  <c r="EC407" i="2"/>
  <c r="EC412" i="2" s="1"/>
  <c r="EC269" i="2"/>
  <c r="EC406" i="2" s="1"/>
  <c r="EE114" i="2"/>
  <c r="EI112" i="2"/>
  <c r="EE168" i="2"/>
  <c r="EI168" i="2" s="1"/>
  <c r="EE180" i="2"/>
  <c r="B3037" i="3" s="1"/>
  <c r="B3038" i="3" s="1"/>
  <c r="EG44" i="2"/>
  <c r="EG13" i="4" s="1"/>
  <c r="EG465" i="2"/>
  <c r="EL475" i="2" s="1"/>
  <c r="EG211" i="2"/>
  <c r="EG204" i="2"/>
  <c r="EL212" i="2" s="1"/>
  <c r="EG376" i="10"/>
  <c r="EH169" i="2"/>
  <c r="I3139" i="3" s="1"/>
  <c r="EH440" i="2"/>
  <c r="EH445" i="2" s="1"/>
  <c r="E5765" i="3"/>
  <c r="J5747" i="3"/>
  <c r="L5747" i="3" s="1"/>
  <c r="J5742" i="3"/>
  <c r="EA105" i="4"/>
  <c r="EA268" i="1"/>
  <c r="FD41" i="4"/>
  <c r="F206" i="6"/>
  <c r="F208" i="6" s="1"/>
  <c r="EM60" i="18"/>
  <c r="B125" i="13"/>
  <c r="B127" i="13" s="1"/>
  <c r="B139" i="13"/>
  <c r="B141" i="13" s="1"/>
  <c r="B143" i="13" s="1"/>
  <c r="C123" i="13"/>
  <c r="EC100" i="2"/>
  <c r="C4311" i="3"/>
  <c r="ED80" i="18"/>
  <c r="DU414" i="18"/>
  <c r="DU419" i="18" s="1"/>
  <c r="DY403" i="18"/>
  <c r="E65" i="11"/>
  <c r="E99" i="11"/>
  <c r="E141" i="11"/>
  <c r="E53" i="11"/>
  <c r="F41" i="11"/>
  <c r="E108" i="11"/>
  <c r="E110" i="11" s="1"/>
  <c r="E84" i="11"/>
  <c r="E126" i="11"/>
  <c r="DY413" i="18"/>
  <c r="D5005" i="3"/>
  <c r="D4998" i="3"/>
  <c r="K47" i="20"/>
  <c r="H44" i="20"/>
  <c r="E5284" i="3"/>
  <c r="E5286" i="3"/>
  <c r="E5287" i="3"/>
  <c r="E5285" i="3"/>
  <c r="F238" i="6"/>
  <c r="F219" i="6" s="1"/>
  <c r="D3547" i="3"/>
  <c r="DX524" i="18"/>
  <c r="DW502" i="18"/>
  <c r="EC502" i="18"/>
  <c r="EB89" i="1"/>
  <c r="EB91" i="1" s="1"/>
  <c r="EB99" i="1" s="1"/>
  <c r="EB539" i="1" s="1"/>
  <c r="EB102" i="1"/>
  <c r="B25" i="24"/>
  <c r="ED93" i="18"/>
  <c r="ED125" i="18"/>
  <c r="ED136" i="18"/>
  <c r="B30" i="25"/>
  <c r="EE92" i="18"/>
  <c r="EI92" i="18" s="1"/>
  <c r="EB163" i="4"/>
  <c r="EB164" i="4" s="1"/>
  <c r="K4619" i="3"/>
  <c r="K4623" i="3"/>
  <c r="K4419" i="3"/>
  <c r="B122" i="24"/>
  <c r="B161" i="24"/>
  <c r="B162" i="24" s="1"/>
  <c r="EG46" i="4"/>
  <c r="EI44" i="4"/>
  <c r="EB105" i="4"/>
  <c r="EB268" i="1"/>
  <c r="D158" i="24"/>
  <c r="D146" i="24"/>
  <c r="DY429" i="18"/>
  <c r="J4873" i="3"/>
  <c r="I4874" i="3"/>
  <c r="EC245" i="18"/>
  <c r="EC240" i="18" s="1"/>
  <c r="EC239" i="18" s="1"/>
  <c r="EB240" i="18"/>
  <c r="EB239" i="18" s="1"/>
  <c r="DU587" i="18"/>
  <c r="DU500" i="18"/>
  <c r="EB31" i="2"/>
  <c r="EB12" i="2"/>
  <c r="ED9" i="2"/>
  <c r="EB165" i="4"/>
  <c r="EB108" i="10"/>
  <c r="EK425" i="18"/>
  <c r="EG157" i="4"/>
  <c r="C157" i="6"/>
  <c r="EF163" i="4"/>
  <c r="H5157" i="3"/>
  <c r="H5156" i="3"/>
  <c r="I5156" i="3"/>
  <c r="DY527" i="18"/>
  <c r="DY508" i="18" s="1"/>
  <c r="DV572" i="18"/>
  <c r="DY572" i="18" s="1"/>
  <c r="EB372" i="18"/>
  <c r="EC554" i="1"/>
  <c r="EB555" i="1"/>
  <c r="EB556" i="1" s="1"/>
  <c r="EB195" i="18"/>
  <c r="EE425" i="10"/>
  <c r="EE612" i="2"/>
  <c r="DV117" i="10"/>
  <c r="DU448" i="18"/>
  <c r="ED481" i="18"/>
  <c r="C189" i="24"/>
  <c r="D185" i="24"/>
  <c r="EI143" i="4"/>
  <c r="EI70" i="2"/>
  <c r="EI80" i="2" s="1"/>
  <c r="EG71" i="2"/>
  <c r="EI339" i="18"/>
  <c r="EG58" i="18"/>
  <c r="EI58" i="18" s="1"/>
  <c r="C72" i="24" s="1"/>
  <c r="ED560" i="18"/>
  <c r="EA602" i="2"/>
  <c r="EA430" i="2"/>
  <c r="EA424" i="10"/>
  <c r="EA342" i="2"/>
  <c r="EC165" i="4"/>
  <c r="EC108" i="10"/>
  <c r="DY437" i="18"/>
  <c r="DY440" i="18" s="1"/>
  <c r="DX440" i="18"/>
  <c r="DX439" i="18"/>
  <c r="EA136" i="2"/>
  <c r="EA441" i="2"/>
  <c r="EB406" i="2"/>
  <c r="A4831" i="3"/>
  <c r="D4886" i="3"/>
  <c r="E4873" i="3"/>
  <c r="EA512" i="18"/>
  <c r="EA422" i="10"/>
  <c r="EB500" i="18"/>
  <c r="EB587" i="18"/>
  <c r="DU60" i="18"/>
  <c r="DY355" i="18"/>
  <c r="DY60" i="18" s="1"/>
  <c r="D5890" i="3"/>
  <c r="F5866" i="3"/>
  <c r="F5868" i="3" s="1"/>
  <c r="ED379" i="10"/>
  <c r="EI214" i="2"/>
  <c r="B5946" i="3"/>
  <c r="B5945" i="3"/>
  <c r="B5947" i="3"/>
  <c r="G5947" i="3" s="1"/>
  <c r="G5948" i="3"/>
  <c r="C15" i="23"/>
  <c r="ED68" i="1"/>
  <c r="DZ70" i="1"/>
  <c r="G4282" i="3"/>
  <c r="G4346" i="3"/>
  <c r="DZ500" i="18"/>
  <c r="ED523" i="18"/>
  <c r="DZ587" i="18"/>
  <c r="EB18" i="2"/>
  <c r="EG22" i="2" s="1"/>
  <c r="EB386" i="10"/>
  <c r="EB249" i="2"/>
  <c r="EG244" i="2"/>
  <c r="B4309" i="3"/>
  <c r="B4332" i="3"/>
  <c r="B4336" i="3" s="1"/>
  <c r="EB79" i="4"/>
  <c r="EB120" i="10"/>
  <c r="DY113" i="2"/>
  <c r="DU169" i="2"/>
  <c r="K4257" i="3"/>
  <c r="J4256" i="3"/>
  <c r="J4259" i="3" s="1"/>
  <c r="J4260" i="3" s="1"/>
  <c r="K4438" i="3"/>
  <c r="L4543" i="3"/>
  <c r="EI526" i="1"/>
  <c r="DZ444" i="2"/>
  <c r="ED444" i="2" s="1"/>
  <c r="ED443" i="2"/>
  <c r="EE467" i="2"/>
  <c r="E124" i="6"/>
  <c r="D126" i="6"/>
  <c r="C5879" i="3"/>
  <c r="C5868" i="3"/>
  <c r="EE146" i="4"/>
  <c r="EI146" i="4" s="1"/>
  <c r="EI145" i="4"/>
  <c r="EK115" i="10"/>
  <c r="EH152" i="4"/>
  <c r="EH76" i="4"/>
  <c r="EH162" i="4"/>
  <c r="EH77" i="4"/>
  <c r="EH106" i="10"/>
  <c r="EI74" i="4"/>
  <c r="C75" i="3" s="1"/>
  <c r="C100" i="3" s="1"/>
  <c r="DV96" i="4"/>
  <c r="DV81" i="4"/>
  <c r="DV109" i="10" s="1"/>
  <c r="EC444" i="18"/>
  <c r="ED445" i="18"/>
  <c r="ED450" i="18" s="1"/>
  <c r="F187" i="24"/>
  <c r="G183" i="24"/>
  <c r="G187" i="24" s="1"/>
  <c r="EH70" i="1"/>
  <c r="EI68" i="1"/>
  <c r="EE368" i="10"/>
  <c r="EJ606" i="2"/>
  <c r="EJ368" i="10" s="1"/>
  <c r="DY538" i="18"/>
  <c r="DU560" i="18"/>
  <c r="E17" i="25"/>
  <c r="C4994" i="3"/>
  <c r="ED41" i="4"/>
  <c r="F5764" i="3"/>
  <c r="O5740" i="3"/>
  <c r="L4623" i="3"/>
  <c r="L4419" i="3"/>
  <c r="L4619" i="3"/>
  <c r="EC163" i="4"/>
  <c r="EC164" i="4"/>
  <c r="A6040" i="3"/>
  <c r="A6026" i="3"/>
  <c r="DY295" i="18"/>
  <c r="EA454" i="2"/>
  <c r="EA603" i="2"/>
  <c r="EA610" i="2" s="1"/>
  <c r="B3986" i="3"/>
  <c r="C3986" i="3" s="1"/>
  <c r="B3814" i="3"/>
  <c r="F76" i="11"/>
  <c r="E81" i="11"/>
  <c r="DX129" i="18"/>
  <c r="DX134" i="18" s="1"/>
  <c r="DV136" i="18"/>
  <c r="DV114" i="18"/>
  <c r="DV125" i="18"/>
  <c r="DU91" i="18"/>
  <c r="DV92" i="18" s="1"/>
  <c r="DU92" i="18" s="1"/>
  <c r="DV96" i="18"/>
  <c r="DW97" i="18" s="1"/>
  <c r="DW112" i="18"/>
  <c r="EA93" i="18"/>
  <c r="DZ60" i="18"/>
  <c r="ED355" i="18"/>
  <c r="ED60" i="18" s="1"/>
  <c r="DW92" i="18"/>
  <c r="DZ228" i="18"/>
  <c r="EA233" i="18"/>
  <c r="EE13" i="4"/>
  <c r="D6022" i="3"/>
  <c r="D6037" i="3" s="1"/>
  <c r="D6038" i="3"/>
  <c r="ED510" i="18"/>
  <c r="B3762" i="3"/>
  <c r="DY108" i="18"/>
  <c r="DY113" i="18" s="1"/>
  <c r="DU107" i="18"/>
  <c r="E129" i="24"/>
  <c r="E107" i="24"/>
  <c r="E105" i="24"/>
  <c r="DY303" i="2"/>
  <c r="I4154" i="3"/>
  <c r="DZ413" i="18"/>
  <c r="ED413" i="18" s="1"/>
  <c r="D172" i="24"/>
  <c r="E168" i="24"/>
  <c r="EC422" i="10"/>
  <c r="F5728" i="3"/>
  <c r="F4544" i="3"/>
  <c r="M4661" i="3"/>
  <c r="M4680" i="3" s="1"/>
  <c r="N4645" i="3"/>
  <c r="N4661" i="3" s="1"/>
  <c r="N4680" i="3" s="1"/>
  <c r="EG117" i="10"/>
  <c r="DX587" i="18"/>
  <c r="DX500" i="18"/>
  <c r="DX81" i="18"/>
  <c r="DY81" i="18" s="1"/>
  <c r="DX190" i="18"/>
  <c r="DY78" i="18"/>
  <c r="EE279" i="1"/>
  <c r="EE196" i="4"/>
  <c r="EC587" i="18"/>
  <c r="EC500" i="18"/>
  <c r="DZ204" i="2"/>
  <c r="DZ376" i="10"/>
  <c r="ED203" i="2"/>
  <c r="D5021" i="3"/>
  <c r="EI112" i="10"/>
  <c r="B218" i="6"/>
  <c r="B220" i="6" s="1"/>
  <c r="DZ97" i="18"/>
  <c r="EE500" i="18"/>
  <c r="EE587" i="18"/>
  <c r="EC98" i="18"/>
  <c r="EC97" i="18"/>
  <c r="ED96" i="18"/>
  <c r="EC123" i="18"/>
  <c r="C121" i="24"/>
  <c r="C119" i="24" s="1"/>
  <c r="F42" i="20"/>
  <c r="G43" i="20"/>
  <c r="Q53" i="20"/>
  <c r="O51" i="20"/>
  <c r="M49" i="20"/>
  <c r="N50" i="20"/>
  <c r="S55" i="20"/>
  <c r="P52" i="20"/>
  <c r="R54" i="20"/>
  <c r="W59" i="20"/>
  <c r="U57" i="20"/>
  <c r="V58" i="20"/>
  <c r="T56" i="20"/>
  <c r="X60" i="20"/>
  <c r="J46" i="20"/>
  <c r="E41" i="20"/>
  <c r="E85" i="20" s="1"/>
  <c r="I45" i="20"/>
  <c r="L48" i="20"/>
  <c r="E4154" i="3"/>
  <c r="EB440" i="2"/>
  <c r="I3205" i="3"/>
  <c r="I3209" i="3" s="1"/>
  <c r="H3209" i="3"/>
  <c r="H3213" i="3" s="1"/>
  <c r="F4154" i="3"/>
  <c r="DX227" i="18"/>
  <c r="DY227" i="18" s="1"/>
  <c r="DY228" i="18"/>
  <c r="ED243" i="2"/>
  <c r="D110" i="24"/>
  <c r="D108" i="24"/>
  <c r="D99" i="24" s="1"/>
  <c r="DZ162" i="4"/>
  <c r="DZ106" i="10"/>
  <c r="DZ77" i="4"/>
  <c r="DZ76" i="4"/>
  <c r="ED74" i="4"/>
  <c r="B75" i="3" s="1"/>
  <c r="B100" i="3" s="1"/>
  <c r="DX190" i="4"/>
  <c r="DY230" i="1"/>
  <c r="E147" i="24"/>
  <c r="ED427" i="10"/>
  <c r="ED389" i="2"/>
  <c r="EI352" i="2"/>
  <c r="EE45" i="2"/>
  <c r="EE46" i="2" s="1"/>
  <c r="DU398" i="18"/>
  <c r="DV398" i="18"/>
  <c r="B4445" i="3"/>
  <c r="B4446" i="3" s="1"/>
  <c r="DY52" i="18"/>
  <c r="EB170" i="2"/>
  <c r="EB113" i="2"/>
  <c r="EB561" i="2" s="1"/>
  <c r="EB396" i="2"/>
  <c r="EB401" i="2" s="1"/>
  <c r="EB264" i="10" s="1"/>
  <c r="EE295" i="2"/>
  <c r="EC368" i="10"/>
  <c r="F4654" i="3"/>
  <c r="F4673" i="3" s="1"/>
  <c r="G4638" i="3"/>
  <c r="EB291" i="2"/>
  <c r="EB317" i="2" s="1"/>
  <c r="EB316" i="2"/>
  <c r="EB417" i="2"/>
  <c r="DV512" i="18"/>
  <c r="EF540" i="1"/>
  <c r="EF544" i="1"/>
  <c r="EF361" i="18" s="1"/>
  <c r="EF543" i="1"/>
  <c r="EF360" i="18" s="1"/>
  <c r="B60" i="13"/>
  <c r="DV587" i="18"/>
  <c r="DV500" i="18"/>
  <c r="DW538" i="1"/>
  <c r="DY162" i="4"/>
  <c r="DY106" i="10"/>
  <c r="B5088" i="3"/>
  <c r="DY77" i="4"/>
  <c r="DY108" i="10" s="1"/>
  <c r="D87" i="20"/>
  <c r="D10" i="20" s="1"/>
  <c r="D15" i="23" s="1"/>
  <c r="EL371" i="18"/>
  <c r="EL425" i="18" s="1"/>
  <c r="G3218" i="3"/>
  <c r="G3223" i="3"/>
  <c r="G3210" i="3"/>
  <c r="DY158" i="18"/>
  <c r="DU36" i="18"/>
  <c r="EA500" i="18"/>
  <c r="EA587" i="18"/>
  <c r="F28" i="20"/>
  <c r="F29" i="20" s="1"/>
  <c r="ED307" i="2"/>
  <c r="ED403" i="10" s="1"/>
  <c r="DZ403" i="10"/>
  <c r="B4008" i="3"/>
  <c r="DU455" i="18"/>
  <c r="DY456" i="18"/>
  <c r="ED424" i="18"/>
  <c r="DZ494" i="18"/>
  <c r="DW425" i="18"/>
  <c r="K4616" i="3"/>
  <c r="K4418" i="3"/>
  <c r="DX123" i="18"/>
  <c r="EB98" i="18"/>
  <c r="DX97" i="18"/>
  <c r="EE295" i="18"/>
  <c r="EB425" i="10"/>
  <c r="EB612" i="2"/>
  <c r="EG350" i="2"/>
  <c r="DV538" i="1"/>
  <c r="DY195" i="18"/>
  <c r="DX291" i="18"/>
  <c r="DX234" i="18"/>
  <c r="DW195" i="18"/>
  <c r="DX213" i="18"/>
  <c r="DX83" i="18"/>
  <c r="DY239" i="18"/>
  <c r="U5752" i="3"/>
  <c r="D5868" i="3"/>
  <c r="E6032" i="3"/>
  <c r="E6023" i="3"/>
  <c r="H6026" i="3"/>
  <c r="H6041" i="3" s="1"/>
  <c r="G6025" i="3"/>
  <c r="G6040" i="3" s="1"/>
  <c r="F6024" i="3"/>
  <c r="F6039" i="3" s="1"/>
  <c r="DZ473" i="18"/>
  <c r="ED382" i="18"/>
  <c r="ED473" i="18" s="1"/>
  <c r="DZ384" i="18"/>
  <c r="F96" i="24"/>
  <c r="F124" i="24"/>
  <c r="G95" i="24"/>
  <c r="F104" i="24"/>
  <c r="F98" i="24"/>
  <c r="H95" i="24"/>
  <c r="DX420" i="2"/>
  <c r="DY431" i="2"/>
  <c r="DW431" i="2"/>
  <c r="EC432" i="2"/>
  <c r="C3398" i="3"/>
  <c r="AQ5739" i="3"/>
  <c r="AQ5745" i="3" s="1"/>
  <c r="J4254" i="3"/>
  <c r="J4251" i="3"/>
  <c r="J4291" i="3"/>
  <c r="K4243" i="3"/>
  <c r="L4418" i="3"/>
  <c r="L4616" i="3"/>
  <c r="EB183" i="2"/>
  <c r="EB230" i="2" s="1"/>
  <c r="EB192" i="2"/>
  <c r="EB488" i="2"/>
  <c r="EB617" i="2"/>
  <c r="EB619" i="2" s="1"/>
  <c r="EB199" i="2"/>
  <c r="EA316" i="2"/>
  <c r="EA417" i="2"/>
  <c r="EA291" i="2"/>
  <c r="EA317" i="2" s="1"/>
  <c r="EF434" i="2"/>
  <c r="DX440" i="2"/>
  <c r="DX169" i="2"/>
  <c r="DU118" i="18"/>
  <c r="DY119" i="18"/>
  <c r="EA296" i="2"/>
  <c r="EF295" i="2"/>
  <c r="DX512" i="18"/>
  <c r="F43" i="21"/>
  <c r="E42" i="21"/>
  <c r="I46" i="21"/>
  <c r="E29" i="21"/>
  <c r="F28" i="21" s="1"/>
  <c r="D41" i="21"/>
  <c r="D85" i="21" s="1"/>
  <c r="G44" i="21"/>
  <c r="K48" i="21"/>
  <c r="J47" i="21"/>
  <c r="H45" i="21"/>
  <c r="DY528" i="18"/>
  <c r="DY510" i="18" s="1"/>
  <c r="EC198" i="4"/>
  <c r="EC16" i="32" s="1"/>
  <c r="ED196" i="4"/>
  <c r="EC115" i="10"/>
  <c r="EC202" i="4"/>
  <c r="DV440" i="18"/>
  <c r="DV439" i="18"/>
  <c r="DW439" i="18"/>
  <c r="D5298" i="3"/>
  <c r="D5293" i="3"/>
  <c r="D5296" i="3"/>
  <c r="I4456" i="3"/>
  <c r="H4466" i="3"/>
  <c r="EB118" i="18"/>
  <c r="J46" i="22"/>
  <c r="F42" i="22"/>
  <c r="I45" i="22"/>
  <c r="G43" i="22"/>
  <c r="E41" i="22"/>
  <c r="E85" i="22" s="1"/>
  <c r="H44" i="22"/>
  <c r="L48" i="22"/>
  <c r="EA170" i="2"/>
  <c r="EA113" i="2"/>
  <c r="EA561" i="2" s="1"/>
  <c r="EA396" i="2"/>
  <c r="EC19" i="2"/>
  <c r="EC434" i="10"/>
  <c r="EC386" i="2"/>
  <c r="EC384" i="2"/>
  <c r="DZ373" i="10"/>
  <c r="DV211" i="18"/>
  <c r="DY206" i="18"/>
  <c r="DY211" i="18" s="1"/>
  <c r="DZ291" i="2"/>
  <c r="DZ417" i="2"/>
  <c r="DZ316" i="2"/>
  <c r="ED280" i="2"/>
  <c r="DZ412" i="2"/>
  <c r="EC419" i="2"/>
  <c r="EC287" i="2"/>
  <c r="EC281" i="2"/>
  <c r="EC293" i="2"/>
  <c r="F6018" i="3"/>
  <c r="F6044" i="3" s="1"/>
  <c r="G6011" i="3"/>
  <c r="DY285" i="18"/>
  <c r="DU284" i="18"/>
  <c r="DU466" i="18"/>
  <c r="DY467" i="18"/>
  <c r="EB422" i="2"/>
  <c r="EA422" i="2"/>
  <c r="B5295" i="3"/>
  <c r="B5294" i="3"/>
  <c r="DW418" i="18"/>
  <c r="DY418" i="18" s="1"/>
  <c r="DW415" i="18"/>
  <c r="DW420" i="18" s="1"/>
  <c r="DW483" i="18" s="1"/>
  <c r="DW478" i="18" s="1"/>
  <c r="DW477" i="18" s="1"/>
  <c r="DW482" i="18" s="1"/>
  <c r="D173" i="24"/>
  <c r="E169" i="24"/>
  <c r="ER388" i="18"/>
  <c r="EB284" i="18"/>
  <c r="ED285" i="18"/>
  <c r="E151" i="24"/>
  <c r="E150" i="24" s="1"/>
  <c r="E101" i="24"/>
  <c r="E113" i="24" s="1"/>
  <c r="DW441" i="2"/>
  <c r="DW136" i="2"/>
  <c r="DW170" i="2"/>
  <c r="DW175" i="2" s="1"/>
  <c r="I4297" i="3"/>
  <c r="I4310" i="3"/>
  <c r="B5092" i="3"/>
  <c r="B5084" i="3"/>
  <c r="M4543" i="3"/>
  <c r="L4438" i="3"/>
  <c r="EC120" i="10"/>
  <c r="EC79" i="4"/>
  <c r="EI443" i="18"/>
  <c r="EE495" i="18"/>
  <c r="EE445" i="18"/>
  <c r="ED252" i="2"/>
  <c r="D5765" i="3"/>
  <c r="I5747" i="3"/>
  <c r="I5742" i="3"/>
  <c r="DW79" i="4"/>
  <c r="DW120" i="10"/>
  <c r="DX522" i="18"/>
  <c r="DY522" i="18" s="1"/>
  <c r="DX491" i="18"/>
  <c r="DU563" i="18"/>
  <c r="DY563" i="18" s="1"/>
  <c r="DY548" i="18" s="1"/>
  <c r="DY539" i="18"/>
  <c r="DY550" i="18"/>
  <c r="ED285" i="2"/>
  <c r="ED402" i="10" s="1"/>
  <c r="EA402" i="10"/>
  <c r="EB512" i="18"/>
  <c r="E224" i="6"/>
  <c r="E227" i="6"/>
  <c r="DY70" i="1"/>
  <c r="DU81" i="1"/>
  <c r="DU236" i="1"/>
  <c r="DU71" i="1"/>
  <c r="DY71" i="1" s="1"/>
  <c r="DU72" i="1"/>
  <c r="DY72" i="1" s="1"/>
  <c r="EA291" i="18"/>
  <c r="EA83" i="18"/>
  <c r="EA196" i="18"/>
  <c r="EA656" i="18" s="1"/>
  <c r="EA655" i="18" s="1"/>
  <c r="EA289" i="18"/>
  <c r="DY533" i="1"/>
  <c r="EE644" i="2"/>
  <c r="DZ644" i="2"/>
  <c r="ED636" i="2"/>
  <c r="DW587" i="18"/>
  <c r="DW500" i="18"/>
  <c r="DZ304" i="2"/>
  <c r="DZ318" i="2"/>
  <c r="ED302" i="2"/>
  <c r="DZ439" i="2"/>
  <c r="ED462" i="18"/>
  <c r="EE375" i="18"/>
  <c r="EI375" i="18" s="1"/>
  <c r="ED432" i="18"/>
  <c r="EA376" i="18"/>
  <c r="EA373" i="18"/>
  <c r="D174" i="24"/>
  <c r="E170" i="24"/>
  <c r="B115" i="24"/>
  <c r="G3213" i="3"/>
  <c r="EE211" i="2"/>
  <c r="DY202" i="4"/>
  <c r="DY203" i="4" s="1"/>
  <c r="F4616" i="3"/>
  <c r="F4418" i="3"/>
  <c r="F4346" i="3"/>
  <c r="F4282" i="3"/>
  <c r="D153" i="24"/>
  <c r="D156" i="24" s="1"/>
  <c r="D157" i="24" s="1"/>
  <c r="C188" i="24"/>
  <c r="D184" i="24"/>
  <c r="I3164" i="3"/>
  <c r="H3165" i="3"/>
  <c r="B119" i="24"/>
  <c r="EH381" i="2"/>
  <c r="EF377" i="10"/>
  <c r="EF606" i="2"/>
  <c r="EA199" i="2"/>
  <c r="EA617" i="2"/>
  <c r="EA192" i="2"/>
  <c r="EA183" i="2"/>
  <c r="EA488" i="2"/>
  <c r="EC32" i="2"/>
  <c r="EC12" i="2"/>
  <c r="EC8" i="32" s="1"/>
  <c r="EH14" i="2"/>
  <c r="ED539" i="18"/>
  <c r="DZ563" i="18"/>
  <c r="ED563" i="18" s="1"/>
  <c r="EB157" i="4"/>
  <c r="EA160" i="4" s="1"/>
  <c r="EA157" i="4" s="1"/>
  <c r="DZ160" i="4" s="1"/>
  <c r="DZ158" i="4" s="1"/>
  <c r="ED158" i="4" s="1"/>
  <c r="DX415" i="18"/>
  <c r="DX420" i="18" s="1"/>
  <c r="DX483" i="18" s="1"/>
  <c r="DX478" i="18" s="1"/>
  <c r="DX477" i="18" s="1"/>
  <c r="DX482" i="18" s="1"/>
  <c r="F28" i="22"/>
  <c r="EA44" i="2"/>
  <c r="EA204" i="2"/>
  <c r="EA465" i="2"/>
  <c r="EA376" i="10"/>
  <c r="EG13" i="2"/>
  <c r="DW164" i="4"/>
  <c r="DW163" i="4"/>
  <c r="CA5" i="1"/>
  <c r="BV5" i="18"/>
  <c r="BV5" i="4"/>
  <c r="BV5" i="2"/>
  <c r="BV5" i="10"/>
  <c r="DW134" i="18"/>
  <c r="EC89" i="1"/>
  <c r="EC91" i="1" s="1"/>
  <c r="EC99" i="1" s="1"/>
  <c r="EC539" i="1" s="1"/>
  <c r="EC102" i="1"/>
  <c r="EC110" i="1" s="1"/>
  <c r="EC112" i="1" s="1"/>
  <c r="EC120" i="1" s="1"/>
  <c r="B53" i="6"/>
  <c r="C4878" i="3"/>
  <c r="DY374" i="18"/>
  <c r="DY421" i="18" s="1"/>
  <c r="EC379" i="18"/>
  <c r="DX373" i="18"/>
  <c r="DX378" i="18"/>
  <c r="DY378" i="18" s="1"/>
  <c r="DX484" i="18"/>
  <c r="DX449" i="18"/>
  <c r="DW493" i="18"/>
  <c r="ED529" i="18"/>
  <c r="F5284" i="3" a="1"/>
  <c r="F236" i="6" a="1"/>
  <c r="F5287" i="3" a="1"/>
  <c r="F5286" i="3" a="1"/>
  <c r="F237" i="6" a="1"/>
  <c r="F5285" i="3" a="1"/>
  <c r="EY179" i="4" l="1"/>
  <c r="EZ179" i="4" s="1"/>
  <c r="FA179" i="4" s="1"/>
  <c r="FB179" i="4" s="1"/>
  <c r="FC179" i="4" s="1"/>
  <c r="FD179" i="4" s="1"/>
  <c r="FE179" i="4" s="1"/>
  <c r="FF179" i="4" s="1"/>
  <c r="FG179" i="4" s="1"/>
  <c r="FH179" i="4" s="1"/>
  <c r="FI179" i="4" s="1"/>
  <c r="EY175" i="4"/>
  <c r="EZ175" i="4" s="1"/>
  <c r="FA175" i="4" s="1"/>
  <c r="FB175" i="4" s="1"/>
  <c r="FC175" i="4" s="1"/>
  <c r="FD175" i="4" s="1"/>
  <c r="FE175" i="4" s="1"/>
  <c r="FF175" i="4" s="1"/>
  <c r="FG175" i="4" s="1"/>
  <c r="FH175" i="4" s="1"/>
  <c r="FI175" i="4" s="1"/>
  <c r="EY174" i="4"/>
  <c r="EZ174" i="4" s="1"/>
  <c r="FA174" i="4" s="1"/>
  <c r="FB174" i="4" s="1"/>
  <c r="FC174" i="4" s="1"/>
  <c r="FD174" i="4" s="1"/>
  <c r="FE174" i="4" s="1"/>
  <c r="FF174" i="4" s="1"/>
  <c r="FG174" i="4" s="1"/>
  <c r="FH174" i="4" s="1"/>
  <c r="FI174" i="4" s="1"/>
  <c r="EY183" i="4"/>
  <c r="EZ183" i="4" s="1"/>
  <c r="FA183" i="4" s="1"/>
  <c r="FB183" i="4" s="1"/>
  <c r="FC183" i="4" s="1"/>
  <c r="FD183" i="4" s="1"/>
  <c r="FE183" i="4" s="1"/>
  <c r="FF183" i="4" s="1"/>
  <c r="FG183" i="4" s="1"/>
  <c r="FH183" i="4" s="1"/>
  <c r="FI183" i="4" s="1"/>
  <c r="EW410" i="10"/>
  <c r="FB325" i="2"/>
  <c r="FB410" i="10" s="1"/>
  <c r="EC94" i="2"/>
  <c r="EC568" i="2" s="1"/>
  <c r="ED568" i="2" s="1"/>
  <c r="ED19" i="2"/>
  <c r="EF104" i="35"/>
  <c r="EG23" i="2"/>
  <c r="B1125" i="3"/>
  <c r="EP207" i="2"/>
  <c r="EL207" i="2"/>
  <c r="DY199" i="2"/>
  <c r="DY186" i="2" s="1"/>
  <c r="B4913" i="3" s="1"/>
  <c r="EJ244" i="2"/>
  <c r="ED386" i="2"/>
  <c r="ED296" i="2"/>
  <c r="D3106" i="3"/>
  <c r="D3108" i="3" s="1"/>
  <c r="EB342" i="10"/>
  <c r="EC86" i="2"/>
  <c r="E1607" i="3" s="1"/>
  <c r="E1614" i="3" s="1"/>
  <c r="F1614" i="3" s="1"/>
  <c r="C3111" i="3"/>
  <c r="EE12" i="32"/>
  <c r="EJ249" i="2"/>
  <c r="EB105" i="2"/>
  <c r="EG385" i="2"/>
  <c r="ED384" i="2"/>
  <c r="EI31" i="2"/>
  <c r="EG575" i="2"/>
  <c r="DZ575" i="2"/>
  <c r="EG30" i="2"/>
  <c r="EE15" i="2"/>
  <c r="DZ30" i="2"/>
  <c r="DZ9" i="32" s="1"/>
  <c r="DZ11" i="32" s="1"/>
  <c r="DZ15" i="32" s="1"/>
  <c r="EI18" i="2"/>
  <c r="EA33" i="2"/>
  <c r="EA21" i="2"/>
  <c r="EA20" i="2" s="1"/>
  <c r="EA36" i="2"/>
  <c r="EI13" i="2"/>
  <c r="EJ386" i="2"/>
  <c r="D1612" i="3"/>
  <c r="E1612" i="3" s="1"/>
  <c r="F1612" i="3" s="1"/>
  <c r="G1611" i="3"/>
  <c r="F1631" i="3"/>
  <c r="ED32" i="2"/>
  <c r="EI14" i="2"/>
  <c r="D1613" i="3"/>
  <c r="EF122" i="4"/>
  <c r="EJ384" i="2"/>
  <c r="EJ385" i="2" s="1"/>
  <c r="EJ381" i="2"/>
  <c r="EI249" i="2"/>
  <c r="EJ203" i="4"/>
  <c r="C5021" i="3"/>
  <c r="B92" i="3"/>
  <c r="B117" i="3" s="1"/>
  <c r="EC168" i="4"/>
  <c r="EE30" i="2"/>
  <c r="EE21" i="2" s="1"/>
  <c r="EE20" i="2" s="1"/>
  <c r="EE8" i="32"/>
  <c r="EC120" i="4"/>
  <c r="ED120" i="4" s="1"/>
  <c r="EE575" i="2"/>
  <c r="EF129" i="4"/>
  <c r="EF132" i="4" s="1"/>
  <c r="EF134" i="4" s="1"/>
  <c r="EF114" i="10" s="1"/>
  <c r="EF123" i="10" s="1"/>
  <c r="EG129" i="4"/>
  <c r="EG132" i="4" s="1"/>
  <c r="DW122" i="10"/>
  <c r="DW113" i="10"/>
  <c r="DW122" i="4"/>
  <c r="EG122" i="4"/>
  <c r="DX120" i="4"/>
  <c r="DY120" i="4" s="1"/>
  <c r="DY112" i="4"/>
  <c r="EI19" i="36"/>
  <c r="EE385" i="36"/>
  <c r="DV104" i="4"/>
  <c r="DV113" i="10"/>
  <c r="DV129" i="4"/>
  <c r="DV132" i="4" s="1"/>
  <c r="DV122" i="10" s="1"/>
  <c r="E2701" i="3"/>
  <c r="E2717" i="3" s="1"/>
  <c r="E70" i="37"/>
  <c r="F70" i="37" s="1"/>
  <c r="G70" i="37" s="1"/>
  <c r="H70" i="37" s="1"/>
  <c r="I70" i="37" s="1"/>
  <c r="J70" i="37" s="1"/>
  <c r="K70" i="37" s="1"/>
  <c r="ED166" i="4"/>
  <c r="B86" i="3" s="1"/>
  <c r="ED19" i="36"/>
  <c r="EF163" i="35"/>
  <c r="EF164" i="35" s="1"/>
  <c r="DW122" i="35"/>
  <c r="EG104" i="35"/>
  <c r="CA5" i="32"/>
  <c r="CA5" i="36"/>
  <c r="CA5" i="35"/>
  <c r="EE105" i="4"/>
  <c r="EE129" i="4" s="1"/>
  <c r="EE105" i="35"/>
  <c r="EI71" i="36"/>
  <c r="EI79" i="36" s="1"/>
  <c r="EG79" i="36"/>
  <c r="EL79" i="36"/>
  <c r="ED79" i="35"/>
  <c r="DZ96" i="35"/>
  <c r="ED96" i="35" s="1"/>
  <c r="DZ81" i="35"/>
  <c r="ED81" i="35" s="1"/>
  <c r="ED386" i="36"/>
  <c r="ED384" i="36"/>
  <c r="ED382" i="36"/>
  <c r="ED18" i="36"/>
  <c r="EG129" i="35"/>
  <c r="EG132" i="35" s="1"/>
  <c r="EG134" i="35" s="1"/>
  <c r="EG122" i="35"/>
  <c r="DX192" i="35"/>
  <c r="DY191" i="35"/>
  <c r="DY192" i="35" s="1"/>
  <c r="EH375" i="36"/>
  <c r="EM375" i="36"/>
  <c r="DY163" i="35"/>
  <c r="EI244" i="36"/>
  <c r="EI249" i="36"/>
  <c r="EI247" i="36"/>
  <c r="EI245" i="36"/>
  <c r="EK377" i="36"/>
  <c r="EG239" i="36"/>
  <c r="EG241" i="36"/>
  <c r="EG236" i="36"/>
  <c r="EG237" i="36"/>
  <c r="EG222" i="36"/>
  <c r="EL236" i="36"/>
  <c r="EC237" i="36"/>
  <c r="EC241" i="36"/>
  <c r="EC239" i="36"/>
  <c r="EC222" i="36"/>
  <c r="EJ19" i="36"/>
  <c r="EJ381" i="36"/>
  <c r="EJ384" i="36"/>
  <c r="EJ386" i="36"/>
  <c r="EN380" i="36"/>
  <c r="EJ382" i="36"/>
  <c r="EJ372" i="36"/>
  <c r="EO381" i="36"/>
  <c r="EN649" i="36"/>
  <c r="EN654" i="36" s="1"/>
  <c r="DY130" i="35"/>
  <c r="ED31" i="36"/>
  <c r="ED12" i="36"/>
  <c r="DV122" i="35"/>
  <c r="DY5" i="18"/>
  <c r="DY5" i="36"/>
  <c r="DY5" i="35"/>
  <c r="FG339" i="36"/>
  <c r="FH317" i="36"/>
  <c r="ET434" i="36"/>
  <c r="FI282" i="36"/>
  <c r="FI283" i="36" s="1"/>
  <c r="FI291" i="36"/>
  <c r="FH295" i="36"/>
  <c r="FH299" i="36"/>
  <c r="FH425" i="36" s="1"/>
  <c r="EA576" i="36"/>
  <c r="EA30" i="36"/>
  <c r="EA570" i="36"/>
  <c r="EC362" i="36"/>
  <c r="EC364" i="36"/>
  <c r="EN14" i="35"/>
  <c r="EJ15" i="35"/>
  <c r="EN15" i="35" s="1"/>
  <c r="EJ76" i="35"/>
  <c r="EJ77" i="35"/>
  <c r="EJ165" i="35" s="1"/>
  <c r="EN165" i="35" s="1"/>
  <c r="EJ152" i="35"/>
  <c r="EN74" i="35"/>
  <c r="EJ162" i="35"/>
  <c r="EK211" i="35"/>
  <c r="EK212" i="35" s="1"/>
  <c r="EK203" i="35"/>
  <c r="EF362" i="36"/>
  <c r="EF364" i="36"/>
  <c r="EK361" i="36"/>
  <c r="EH22" i="36"/>
  <c r="EM22" i="36"/>
  <c r="EN626" i="36"/>
  <c r="EN628" i="36" s="1"/>
  <c r="EJ628" i="36"/>
  <c r="EG246" i="36"/>
  <c r="EL246" i="36"/>
  <c r="EN10" i="36"/>
  <c r="EJ14" i="36"/>
  <c r="EO14" i="36"/>
  <c r="EJ32" i="36"/>
  <c r="EJ661" i="36"/>
  <c r="EN650" i="36"/>
  <c r="EN655" i="36" s="1"/>
  <c r="ES655" i="36" s="1"/>
  <c r="EI386" i="36"/>
  <c r="EI381" i="36"/>
  <c r="EI382" i="36"/>
  <c r="EI384" i="36"/>
  <c r="EV428" i="36"/>
  <c r="EV430" i="36" s="1"/>
  <c r="EU429" i="36"/>
  <c r="EU434" i="36" s="1"/>
  <c r="EU436" i="36"/>
  <c r="EU433" i="36"/>
  <c r="EU432" i="36"/>
  <c r="EB421" i="36"/>
  <c r="EJ44" i="35"/>
  <c r="EJ70" i="36"/>
  <c r="EN68" i="36"/>
  <c r="EN76" i="36" s="1"/>
  <c r="EJ76" i="36"/>
  <c r="EG374" i="36"/>
  <c r="EG373" i="36"/>
  <c r="EG378" i="36"/>
  <c r="EG360" i="36"/>
  <c r="EG376" i="36"/>
  <c r="EL373" i="36"/>
  <c r="DZ576" i="36"/>
  <c r="DZ30" i="36"/>
  <c r="DZ21" i="36" s="1"/>
  <c r="DZ20" i="36" s="1"/>
  <c r="DZ570" i="36"/>
  <c r="ED428" i="36"/>
  <c r="DZ603" i="36"/>
  <c r="DZ430" i="36"/>
  <c r="DX120" i="35"/>
  <c r="DY120" i="35" s="1"/>
  <c r="DV361" i="18"/>
  <c r="DV44" i="35"/>
  <c r="EE211" i="35"/>
  <c r="EI202" i="35"/>
  <c r="EI203" i="35" s="1"/>
  <c r="EE203" i="35"/>
  <c r="EF246" i="36"/>
  <c r="EK246" i="36"/>
  <c r="EI31" i="36"/>
  <c r="EI12" i="36"/>
  <c r="EI13" i="36"/>
  <c r="FG506" i="36"/>
  <c r="FG507" i="36"/>
  <c r="FG508" i="36" s="1"/>
  <c r="EH362" i="36"/>
  <c r="EH361" i="36"/>
  <c r="EH364" i="36"/>
  <c r="EM361" i="36"/>
  <c r="EF122" i="35"/>
  <c r="EJ211" i="35"/>
  <c r="EN202" i="35"/>
  <c r="EN203" i="35" s="1"/>
  <c r="EJ203" i="35"/>
  <c r="DU81" i="35"/>
  <c r="DY81" i="35" s="1"/>
  <c r="DU96" i="35"/>
  <c r="DY96" i="35" s="1"/>
  <c r="DY79" i="35"/>
  <c r="EI14" i="36"/>
  <c r="EI32" i="36"/>
  <c r="EN352" i="36"/>
  <c r="EN389" i="36"/>
  <c r="ES352" i="36"/>
  <c r="EV422" i="36"/>
  <c r="EV421" i="36"/>
  <c r="EW417" i="36"/>
  <c r="EW420" i="36" s="1"/>
  <c r="EV431" i="36"/>
  <c r="DX430" i="36"/>
  <c r="DX429" i="36" s="1"/>
  <c r="DX434" i="36" s="1"/>
  <c r="DX603" i="36"/>
  <c r="EF576" i="36"/>
  <c r="EF15" i="36"/>
  <c r="EF30" i="36"/>
  <c r="EF21" i="36" s="1"/>
  <c r="EF570" i="36"/>
  <c r="EK15" i="36"/>
  <c r="EN58" i="36"/>
  <c r="EJ60" i="36"/>
  <c r="ES479" i="36"/>
  <c r="EN479" i="36"/>
  <c r="EG383" i="36"/>
  <c r="EL383" i="36"/>
  <c r="EC110" i="4"/>
  <c r="ED110" i="4" s="1"/>
  <c r="DW59" i="36"/>
  <c r="DW60" i="36" s="1"/>
  <c r="DW62" i="36" s="1"/>
  <c r="DW63" i="36" s="1"/>
  <c r="DW58" i="35"/>
  <c r="DW59" i="35" s="1"/>
  <c r="DW61" i="35" s="1"/>
  <c r="EN214" i="36"/>
  <c r="EN252" i="36"/>
  <c r="EN563" i="36"/>
  <c r="EN545" i="36"/>
  <c r="ES214" i="36"/>
  <c r="EN476" i="36"/>
  <c r="ES476" i="36"/>
  <c r="DY112" i="35"/>
  <c r="EF241" i="36"/>
  <c r="EF222" i="36"/>
  <c r="EF236" i="36"/>
  <c r="EF237" i="36"/>
  <c r="EF239" i="36"/>
  <c r="EK236" i="36"/>
  <c r="EH377" i="36"/>
  <c r="EM377" i="36"/>
  <c r="EE246" i="36"/>
  <c r="EN46" i="36"/>
  <c r="EJ51" i="36"/>
  <c r="EO51" i="36"/>
  <c r="FF348" i="36"/>
  <c r="EA241" i="36"/>
  <c r="EA222" i="36"/>
  <c r="EA237" i="36"/>
  <c r="EA239" i="36"/>
  <c r="ED166" i="35"/>
  <c r="ED168" i="35" s="1"/>
  <c r="EI162" i="35"/>
  <c r="EI77" i="35"/>
  <c r="FH505" i="36"/>
  <c r="EG22" i="36"/>
  <c r="EL22" i="36"/>
  <c r="EE23" i="36"/>
  <c r="EY350" i="36"/>
  <c r="FD350" i="36" s="1"/>
  <c r="EU350" i="36"/>
  <c r="ET342" i="36"/>
  <c r="EB227" i="36"/>
  <c r="EB224" i="36"/>
  <c r="EN473" i="36"/>
  <c r="ES473" i="36"/>
  <c r="EP533" i="36"/>
  <c r="EP534" i="36"/>
  <c r="EP535" i="36"/>
  <c r="EB21" i="36"/>
  <c r="EB20" i="36" s="1"/>
  <c r="EB33" i="36"/>
  <c r="EB36" i="36"/>
  <c r="ED190" i="35"/>
  <c r="EC191" i="35"/>
  <c r="EA361" i="18"/>
  <c r="EA44" i="35"/>
  <c r="DX361" i="18"/>
  <c r="DX44" i="35"/>
  <c r="EE383" i="36"/>
  <c r="EI191" i="35"/>
  <c r="EI192" i="35" s="1"/>
  <c r="EH192" i="35"/>
  <c r="EG248" i="36"/>
  <c r="DZ239" i="36"/>
  <c r="DZ222" i="36"/>
  <c r="ED235" i="36"/>
  <c r="DZ237" i="36"/>
  <c r="DZ241" i="36"/>
  <c r="DW104" i="35"/>
  <c r="EE30" i="36"/>
  <c r="EE576" i="36"/>
  <c r="EE15" i="36"/>
  <c r="EE570" i="36"/>
  <c r="EG576" i="36"/>
  <c r="EG30" i="36"/>
  <c r="EG21" i="36" s="1"/>
  <c r="EG15" i="36"/>
  <c r="EG570" i="36"/>
  <c r="EL15" i="36"/>
  <c r="EE241" i="36"/>
  <c r="EE239" i="36"/>
  <c r="EE222" i="36"/>
  <c r="EE237" i="36"/>
  <c r="EE236" i="36"/>
  <c r="EI235" i="36"/>
  <c r="EN328" i="36"/>
  <c r="ES328" i="36"/>
  <c r="EC120" i="35"/>
  <c r="EH222" i="36"/>
  <c r="EH239" i="36"/>
  <c r="EH237" i="36"/>
  <c r="EH236" i="36"/>
  <c r="EH241" i="36"/>
  <c r="EM236" i="36"/>
  <c r="EF248" i="36"/>
  <c r="EI76" i="35"/>
  <c r="EE79" i="35"/>
  <c r="EN11" i="35"/>
  <c r="EJ12" i="35"/>
  <c r="DV420" i="36"/>
  <c r="DW422" i="36" s="1"/>
  <c r="EA432" i="36"/>
  <c r="DW428" i="36"/>
  <c r="DU431" i="36"/>
  <c r="DV436" i="36"/>
  <c r="EN612" i="36"/>
  <c r="ES612" i="36"/>
  <c r="DV104" i="35"/>
  <c r="EG159" i="35"/>
  <c r="EG160" i="35" s="1"/>
  <c r="DV59" i="36"/>
  <c r="DV60" i="36" s="1"/>
  <c r="DV62" i="36" s="1"/>
  <c r="DV63" i="36" s="1"/>
  <c r="DV58" i="35"/>
  <c r="DV59" i="35" s="1"/>
  <c r="DV61" i="35" s="1"/>
  <c r="EJ18" i="36"/>
  <c r="EJ244" i="36"/>
  <c r="EJ249" i="36"/>
  <c r="EN243" i="36"/>
  <c r="EJ247" i="36"/>
  <c r="EJ245" i="36"/>
  <c r="EJ235" i="36"/>
  <c r="EO244" i="36"/>
  <c r="EJ468" i="36"/>
  <c r="EJ477" i="36"/>
  <c r="EN467" i="36"/>
  <c r="EO477" i="36"/>
  <c r="ED372" i="36"/>
  <c r="DZ374" i="36"/>
  <c r="DZ378" i="36"/>
  <c r="DZ360" i="36"/>
  <c r="DZ376" i="36"/>
  <c r="EY212" i="36"/>
  <c r="FD212" i="36" s="1"/>
  <c r="EU212" i="36"/>
  <c r="ET204" i="36"/>
  <c r="EE248" i="36"/>
  <c r="EH246" i="36"/>
  <c r="EM246" i="36"/>
  <c r="FF473" i="36"/>
  <c r="FF464" i="36"/>
  <c r="EE164" i="35"/>
  <c r="EE373" i="36"/>
  <c r="EE360" i="36"/>
  <c r="EE378" i="36"/>
  <c r="EE374" i="36"/>
  <c r="EE376" i="36"/>
  <c r="EI372" i="36"/>
  <c r="EN614" i="36"/>
  <c r="ES614" i="36" s="1"/>
  <c r="EX614" i="36" s="1"/>
  <c r="FC614" i="36" s="1"/>
  <c r="FH614" i="36" s="1"/>
  <c r="FI614" i="36" s="1"/>
  <c r="FJ614" i="36" s="1"/>
  <c r="FK614" i="36" s="1"/>
  <c r="FL614" i="36" s="1"/>
  <c r="FM614" i="36" s="1"/>
  <c r="EH75" i="36"/>
  <c r="EM75" i="36"/>
  <c r="EG385" i="36"/>
  <c r="EL385" i="36"/>
  <c r="EN464" i="36"/>
  <c r="EJ474" i="36"/>
  <c r="EO474" i="36"/>
  <c r="FH370" i="36"/>
  <c r="FI370" i="36" s="1"/>
  <c r="FJ370" i="36" s="1"/>
  <c r="FK370" i="36" s="1"/>
  <c r="FL370" i="36" s="1"/>
  <c r="FM370" i="36" s="1"/>
  <c r="DW361" i="18"/>
  <c r="DW44" i="35"/>
  <c r="EJ12" i="36"/>
  <c r="EN9" i="36"/>
  <c r="EJ13" i="36"/>
  <c r="EO13" i="36"/>
  <c r="EJ31" i="36"/>
  <c r="EG75" i="36"/>
  <c r="EL75" i="36"/>
  <c r="ED249" i="36"/>
  <c r="ED245" i="36"/>
  <c r="ED247" i="36"/>
  <c r="EI46" i="35"/>
  <c r="EI48" i="35" s="1"/>
  <c r="EG48" i="35"/>
  <c r="EQ529" i="36"/>
  <c r="EQ530" i="36"/>
  <c r="EG63" i="36"/>
  <c r="EI62" i="36"/>
  <c r="EG64" i="36"/>
  <c r="EL64" i="36"/>
  <c r="FC506" i="36"/>
  <c r="FC507" i="36"/>
  <c r="FC508" i="36" s="1"/>
  <c r="EI18" i="36"/>
  <c r="EE22" i="36"/>
  <c r="ES518" i="36"/>
  <c r="ER519" i="36"/>
  <c r="ER522" i="36"/>
  <c r="ER523" i="36" s="1"/>
  <c r="ER524" i="36"/>
  <c r="ER528" i="36"/>
  <c r="ES528" i="36" s="1"/>
  <c r="ER520" i="36"/>
  <c r="ER521" i="36" s="1"/>
  <c r="EF211" i="35"/>
  <c r="EF212" i="35" s="1"/>
  <c r="EF203" i="35"/>
  <c r="FF11" i="35"/>
  <c r="FF12" i="35" s="1"/>
  <c r="FF43" i="36"/>
  <c r="EE154" i="35"/>
  <c r="EI152" i="35"/>
  <c r="EI154" i="35" s="1"/>
  <c r="EN191" i="36"/>
  <c r="ES191" i="36"/>
  <c r="EJ662" i="36"/>
  <c r="EN651" i="36"/>
  <c r="EN656" i="36" s="1"/>
  <c r="ES656" i="36" s="1"/>
  <c r="EJ47" i="36"/>
  <c r="EJ50" i="36"/>
  <c r="EN43" i="36"/>
  <c r="EO50" i="36"/>
  <c r="EC110" i="35"/>
  <c r="ED110" i="35" s="1"/>
  <c r="EG23" i="36"/>
  <c r="EL23" i="36"/>
  <c r="EA62" i="35"/>
  <c r="EA68" i="35"/>
  <c r="EG68" i="35"/>
  <c r="EG62" i="35"/>
  <c r="EL63" i="35"/>
  <c r="EI80" i="36"/>
  <c r="EI74" i="36"/>
  <c r="EI75" i="36" s="1"/>
  <c r="ED421" i="36"/>
  <c r="DZ422" i="36"/>
  <c r="ED422" i="36" s="1"/>
  <c r="ED417" i="36"/>
  <c r="EF22" i="36"/>
  <c r="EK22" i="36"/>
  <c r="EN608" i="36"/>
  <c r="ES607" i="36"/>
  <c r="EX607" i="36" s="1"/>
  <c r="FC607" i="36" s="1"/>
  <c r="FH607" i="36" s="1"/>
  <c r="FI607" i="36" s="1"/>
  <c r="FJ607" i="36" s="1"/>
  <c r="DU165" i="35"/>
  <c r="DY164" i="35"/>
  <c r="DY165" i="35" s="1"/>
  <c r="EH576" i="36"/>
  <c r="EH15" i="36"/>
  <c r="EH30" i="36"/>
  <c r="EH570" i="36"/>
  <c r="EM15" i="36"/>
  <c r="EC14" i="32"/>
  <c r="ED103" i="4"/>
  <c r="ED14" i="32" s="1"/>
  <c r="EA374" i="36"/>
  <c r="EF375" i="36" s="1"/>
  <c r="EA378" i="36"/>
  <c r="EA360" i="36"/>
  <c r="EF361" i="36" s="1"/>
  <c r="EA376" i="36"/>
  <c r="EF377" i="36" s="1"/>
  <c r="EK375" i="36"/>
  <c r="EC576" i="36"/>
  <c r="EC30" i="36"/>
  <c r="EC570" i="36"/>
  <c r="EE157" i="35"/>
  <c r="EI157" i="35" s="1"/>
  <c r="EI158" i="35"/>
  <c r="EB378" i="36"/>
  <c r="EB376" i="36"/>
  <c r="EB360" i="36"/>
  <c r="EB374" i="36"/>
  <c r="EH248" i="36"/>
  <c r="EN648" i="36"/>
  <c r="EN653" i="36" s="1"/>
  <c r="ES653" i="36" s="1"/>
  <c r="EJ659" i="36"/>
  <c r="EH79" i="36"/>
  <c r="EM79" i="36"/>
  <c r="EH146" i="35"/>
  <c r="EI146" i="35" s="1"/>
  <c r="EI145" i="35"/>
  <c r="G4543" i="3"/>
  <c r="ES571" i="36"/>
  <c r="B2503" i="3"/>
  <c r="B2505" i="3" s="1"/>
  <c r="B2506" i="3" s="1"/>
  <c r="E2478" i="3"/>
  <c r="E2480" i="3" s="1"/>
  <c r="E2483" i="3" s="1"/>
  <c r="E2503" i="3" s="1"/>
  <c r="EK561" i="2"/>
  <c r="DZ561" i="2"/>
  <c r="E172" i="11"/>
  <c r="F172" i="11" s="1"/>
  <c r="F193" i="11" s="1"/>
  <c r="EH208" i="2"/>
  <c r="EC373" i="10"/>
  <c r="EC201" i="2"/>
  <c r="EC463" i="2" s="1"/>
  <c r="EC464" i="2" s="1"/>
  <c r="EC468" i="2" s="1"/>
  <c r="EC470" i="2" s="1"/>
  <c r="EC526" i="2" s="1"/>
  <c r="EC41" i="2"/>
  <c r="EC10" i="4" s="1"/>
  <c r="Q75" i="29"/>
  <c r="T79" i="29"/>
  <c r="H76" i="29"/>
  <c r="H75" i="29"/>
  <c r="I75" i="29" s="1"/>
  <c r="J75" i="29" s="1"/>
  <c r="Q74" i="29"/>
  <c r="T78" i="29"/>
  <c r="V85" i="29"/>
  <c r="Q76" i="29"/>
  <c r="S71" i="29"/>
  <c r="D2751" i="3"/>
  <c r="C107" i="3"/>
  <c r="C127" i="3"/>
  <c r="C128" i="3" s="1"/>
  <c r="C130" i="3" s="1"/>
  <c r="D107" i="3"/>
  <c r="D127" i="3"/>
  <c r="D128" i="3" s="1"/>
  <c r="D130" i="3" s="1"/>
  <c r="B105" i="3"/>
  <c r="B106" i="3" s="1"/>
  <c r="B113" i="3" s="1"/>
  <c r="B81" i="3"/>
  <c r="B88" i="3" s="1"/>
  <c r="C105" i="3"/>
  <c r="C113" i="3" s="1"/>
  <c r="C88" i="3"/>
  <c r="C89" i="3" s="1"/>
  <c r="C112" i="3"/>
  <c r="ER362" i="10"/>
  <c r="EW362" i="10"/>
  <c r="DZ73" i="18"/>
  <c r="DZ75" i="18" s="1"/>
  <c r="DY314" i="2"/>
  <c r="DU337" i="2"/>
  <c r="EE125" i="2"/>
  <c r="EE124" i="2" s="1"/>
  <c r="EI204" i="4"/>
  <c r="EI12" i="32" s="1"/>
  <c r="DY5" i="4"/>
  <c r="DY5" i="10"/>
  <c r="ED5" i="1"/>
  <c r="EC17" i="32"/>
  <c r="EG15" i="2"/>
  <c r="EB8" i="32"/>
  <c r="DY5" i="2"/>
  <c r="DY5" i="32"/>
  <c r="EI117" i="10"/>
  <c r="EI16" i="32"/>
  <c r="EI17" i="32" s="1"/>
  <c r="DY117" i="10"/>
  <c r="DY16" i="32"/>
  <c r="DZ17" i="32" s="1"/>
  <c r="B2358" i="3"/>
  <c r="B2364" i="3" s="1"/>
  <c r="EF422" i="10"/>
  <c r="DU175" i="2"/>
  <c r="EF540" i="2"/>
  <c r="EF549" i="2" s="1"/>
  <c r="EF548" i="2"/>
  <c r="G3154" i="3"/>
  <c r="G3257" i="3" s="1"/>
  <c r="EF153" i="2"/>
  <c r="EF164" i="2" s="1"/>
  <c r="I3154" i="3"/>
  <c r="I3153" i="3" s="1"/>
  <c r="EH153" i="2"/>
  <c r="EH164" i="2" s="1"/>
  <c r="H3154" i="3"/>
  <c r="H3257" i="3" s="1"/>
  <c r="EG153" i="2"/>
  <c r="EG164" i="2" s="1"/>
  <c r="EN211" i="4"/>
  <c r="EN212" i="4" s="1"/>
  <c r="EJ212" i="4"/>
  <c r="EE621" i="2"/>
  <c r="EE200" i="2"/>
  <c r="EJ208" i="2" s="1"/>
  <c r="EI181" i="2"/>
  <c r="EP193" i="2"/>
  <c r="C2499" i="3"/>
  <c r="D2494" i="3"/>
  <c r="D2496" i="3" s="1"/>
  <c r="D2497" i="3" s="1"/>
  <c r="C2482" i="3"/>
  <c r="B2487" i="3"/>
  <c r="EF619" i="2"/>
  <c r="EF647" i="2" s="1"/>
  <c r="D171" i="11"/>
  <c r="C192" i="11"/>
  <c r="FC129" i="10"/>
  <c r="V42" i="30"/>
  <c r="EJ63" i="2"/>
  <c r="EO64" i="2"/>
  <c r="ED400" i="10"/>
  <c r="FE72" i="4"/>
  <c r="FD98" i="4"/>
  <c r="EJ64" i="2"/>
  <c r="EH489" i="2"/>
  <c r="EM489" i="2"/>
  <c r="EJ29" i="2"/>
  <c r="EN188" i="1"/>
  <c r="EH422" i="10"/>
  <c r="EM347" i="2"/>
  <c r="EH475" i="2"/>
  <c r="EM475" i="2"/>
  <c r="EH193" i="2"/>
  <c r="EM193" i="2"/>
  <c r="EJ76" i="4"/>
  <c r="EJ79" i="4" s="1"/>
  <c r="EJ1033" i="10" s="1"/>
  <c r="EJ77" i="4"/>
  <c r="EH372" i="10"/>
  <c r="EM207" i="2"/>
  <c r="ES479" i="2"/>
  <c r="EN479" i="2"/>
  <c r="EJ68" i="1"/>
  <c r="EN66" i="1"/>
  <c r="EM212" i="2"/>
  <c r="EQ377" i="10" s="1"/>
  <c r="EH425" i="10"/>
  <c r="EM350" i="2"/>
  <c r="EJ44" i="4"/>
  <c r="EJ70" i="2"/>
  <c r="DW200" i="18"/>
  <c r="DW84" i="18" s="1"/>
  <c r="DY130" i="18"/>
  <c r="DY135" i="18" s="1"/>
  <c r="DZ135" i="18" s="1"/>
  <c r="EA135" i="18" s="1"/>
  <c r="EH350" i="2"/>
  <c r="DX460" i="18"/>
  <c r="DX388" i="18"/>
  <c r="DY462" i="18"/>
  <c r="F4438" i="3"/>
  <c r="DX44" i="4"/>
  <c r="DW432" i="18"/>
  <c r="EI136" i="2"/>
  <c r="EG440" i="2"/>
  <c r="EG445" i="2" s="1"/>
  <c r="ED114" i="2"/>
  <c r="ED119" i="2" s="1"/>
  <c r="ED357" i="10" s="1"/>
  <c r="DW373" i="18"/>
  <c r="DX377" i="18" s="1"/>
  <c r="DX375" i="18"/>
  <c r="DV371" i="18"/>
  <c r="DW375" i="18" s="1"/>
  <c r="DW462" i="18"/>
  <c r="ED618" i="2"/>
  <c r="DX81" i="4"/>
  <c r="DX109" i="10" s="1"/>
  <c r="DU618" i="2"/>
  <c r="DY618" i="2" s="1"/>
  <c r="EG319" i="2"/>
  <c r="EG367" i="2" s="1"/>
  <c r="EG432" i="10" s="1"/>
  <c r="ED188" i="10"/>
  <c r="ED180" i="2"/>
  <c r="D4171" i="3" s="1"/>
  <c r="EA406" i="2"/>
  <c r="ED406" i="2" s="1"/>
  <c r="DZ375" i="18"/>
  <c r="ED375" i="18" s="1"/>
  <c r="DY432" i="18"/>
  <c r="DY390" i="18"/>
  <c r="ED467" i="18"/>
  <c r="DX538" i="1"/>
  <c r="H69" i="29"/>
  <c r="C3399" i="3"/>
  <c r="C3404" i="3" s="1"/>
  <c r="E4301" i="3"/>
  <c r="E5008" i="3"/>
  <c r="G3454" i="3"/>
  <c r="F236" i="6"/>
  <c r="DZ396" i="2"/>
  <c r="DZ401" i="2" s="1"/>
  <c r="DZ264" i="10" s="1"/>
  <c r="DZ170" i="2"/>
  <c r="ED137" i="2"/>
  <c r="ED142" i="2" s="1"/>
  <c r="EB90" i="2"/>
  <c r="EC176" i="2"/>
  <c r="F3439" i="3"/>
  <c r="F3454" i="3" s="1"/>
  <c r="EC120" i="2"/>
  <c r="EC131" i="2"/>
  <c r="EC143" i="2"/>
  <c r="F68" i="29"/>
  <c r="G69" i="29" s="1"/>
  <c r="EC185" i="10"/>
  <c r="ED90" i="2"/>
  <c r="ED176" i="2" s="1"/>
  <c r="EG619" i="2"/>
  <c r="EG457" i="2" s="1"/>
  <c r="DY183" i="2"/>
  <c r="DZ395" i="2"/>
  <c r="EO250" i="18"/>
  <c r="DY433" i="2"/>
  <c r="DY190" i="10" s="1"/>
  <c r="EG327" i="2"/>
  <c r="EG626" i="2" s="1"/>
  <c r="DZ169" i="2"/>
  <c r="B3139" i="3" s="1"/>
  <c r="B3144" i="3" s="1"/>
  <c r="B3142" i="3" s="1"/>
  <c r="B3152" i="3" s="1"/>
  <c r="DZ183" i="2"/>
  <c r="DZ247" i="2" s="1"/>
  <c r="DZ617" i="2"/>
  <c r="DZ619" i="2" s="1"/>
  <c r="F4129" i="3" s="1"/>
  <c r="EC573" i="2"/>
  <c r="DZ199" i="2"/>
  <c r="F237" i="6"/>
  <c r="F4288" i="3"/>
  <c r="F4321" i="3" s="1"/>
  <c r="DZ488" i="2"/>
  <c r="ED488" i="2" s="1"/>
  <c r="EE311" i="18"/>
  <c r="EG573" i="2"/>
  <c r="EI421" i="10"/>
  <c r="EI325" i="2"/>
  <c r="ED323" i="2"/>
  <c r="EK455" i="2"/>
  <c r="EK573" i="2"/>
  <c r="EJ113" i="2"/>
  <c r="B1158" i="3" s="1"/>
  <c r="B1168" i="3" s="1"/>
  <c r="EJ396" i="2"/>
  <c r="EJ401" i="2" s="1"/>
  <c r="F3037" i="3"/>
  <c r="F3038" i="3" s="1"/>
  <c r="EJ488" i="2"/>
  <c r="EJ192" i="2"/>
  <c r="EJ199" i="2"/>
  <c r="EF95" i="2"/>
  <c r="EF392" i="10" s="1"/>
  <c r="EE288" i="2"/>
  <c r="EF107" i="2"/>
  <c r="EF308" i="2" s="1"/>
  <c r="EE265" i="2"/>
  <c r="EE391" i="10"/>
  <c r="EE568" i="2"/>
  <c r="EE276" i="2"/>
  <c r="EE310" i="2"/>
  <c r="C42" i="29"/>
  <c r="C47" i="29" s="1"/>
  <c r="EH494" i="2"/>
  <c r="DY259" i="2"/>
  <c r="DY264" i="2" s="1"/>
  <c r="DY405" i="10" s="1"/>
  <c r="B2990" i="3"/>
  <c r="B2991" i="3" s="1"/>
  <c r="D2984" i="3"/>
  <c r="F4636" i="3"/>
  <c r="F4652" i="3" s="1"/>
  <c r="F4671" i="3" s="1"/>
  <c r="D5092" i="3"/>
  <c r="EC513" i="18"/>
  <c r="D3040" i="3"/>
  <c r="EG230" i="2"/>
  <c r="EG384" i="10" s="1"/>
  <c r="D4651" i="3"/>
  <c r="D4663" i="3" s="1"/>
  <c r="D4682" i="3" s="1"/>
  <c r="D4565" i="3" s="1"/>
  <c r="DU258" i="2"/>
  <c r="DU395" i="2" s="1"/>
  <c r="DX395" i="2"/>
  <c r="B3017" i="3"/>
  <c r="D3017" i="3" s="1"/>
  <c r="D3010" i="3"/>
  <c r="E4635" i="3"/>
  <c r="F4635" i="3" s="1"/>
  <c r="G3039" i="3"/>
  <c r="G3040" i="3" s="1"/>
  <c r="B3007" i="3"/>
  <c r="B3046" i="3"/>
  <c r="B3047" i="3" s="1"/>
  <c r="B3008" i="3" s="1"/>
  <c r="E3040" i="3"/>
  <c r="C4682" i="3"/>
  <c r="C4565" i="3" s="1"/>
  <c r="ER655" i="18"/>
  <c r="EM405" i="10"/>
  <c r="DW647" i="2"/>
  <c r="EG422" i="10"/>
  <c r="EL347" i="2"/>
  <c r="ED200" i="2"/>
  <c r="B322" i="38" s="1"/>
  <c r="EG63" i="2"/>
  <c r="EL64" i="2"/>
  <c r="D4129" i="3"/>
  <c r="EC319" i="2"/>
  <c r="EC367" i="2" s="1"/>
  <c r="EH368" i="2" s="1"/>
  <c r="EG347" i="2"/>
  <c r="EG416" i="10"/>
  <c r="DZ462" i="2"/>
  <c r="DZ41" i="2"/>
  <c r="DZ10" i="4" s="1"/>
  <c r="DV647" i="2"/>
  <c r="C4129" i="3"/>
  <c r="DW457" i="2"/>
  <c r="F4625" i="3"/>
  <c r="F4619" i="3"/>
  <c r="F4419" i="3"/>
  <c r="F4939" i="3" s="1"/>
  <c r="F4940" i="3" s="1"/>
  <c r="EI46" i="4"/>
  <c r="F4653" i="3"/>
  <c r="F4672" i="3" s="1"/>
  <c r="ED119" i="18"/>
  <c r="DV457" i="2"/>
  <c r="EC327" i="2"/>
  <c r="EC626" i="2" s="1"/>
  <c r="EI434" i="10"/>
  <c r="ED338" i="2"/>
  <c r="EC298" i="2"/>
  <c r="EC424" i="2" s="1"/>
  <c r="DZ421" i="10"/>
  <c r="EG472" i="2"/>
  <c r="EE346" i="2"/>
  <c r="G4506" i="3"/>
  <c r="G5728" i="3" s="1"/>
  <c r="ED621" i="2"/>
  <c r="N4646" i="3"/>
  <c r="N4662" i="3" s="1"/>
  <c r="N4681" i="3" s="1"/>
  <c r="EI384" i="2"/>
  <c r="D25" i="29"/>
  <c r="D27" i="29" s="1"/>
  <c r="E24" i="29" s="1"/>
  <c r="E26" i="29" s="1"/>
  <c r="I5151" i="3"/>
  <c r="J5151" i="3" s="1"/>
  <c r="J5148" i="3" s="1"/>
  <c r="B26" i="24"/>
  <c r="C33" i="11"/>
  <c r="I173" i="11"/>
  <c r="I194" i="11" s="1"/>
  <c r="EE355" i="10"/>
  <c r="EK193" i="2"/>
  <c r="EK440" i="2"/>
  <c r="EK445" i="2" s="1"/>
  <c r="EK461" i="2"/>
  <c r="EP471" i="2" s="1"/>
  <c r="EK207" i="2"/>
  <c r="EK201" i="2"/>
  <c r="EP209" i="2" s="1"/>
  <c r="EK169" i="2"/>
  <c r="EK349" i="2"/>
  <c r="EK489" i="2"/>
  <c r="DW514" i="18"/>
  <c r="DV514" i="18" s="1"/>
  <c r="FE11" i="2"/>
  <c r="E504" i="3" s="1"/>
  <c r="EK466" i="2"/>
  <c r="EK212" i="2"/>
  <c r="EK45" i="2"/>
  <c r="EK14" i="4" s="1"/>
  <c r="EF385" i="2"/>
  <c r="EK385" i="2"/>
  <c r="EK345" i="2"/>
  <c r="EK339" i="2"/>
  <c r="EP347" i="2" s="1"/>
  <c r="EK395" i="2"/>
  <c r="EK400" i="2" s="1"/>
  <c r="EK475" i="2"/>
  <c r="EK401" i="2"/>
  <c r="M5728" i="3"/>
  <c r="G4621" i="3"/>
  <c r="G4619" i="3" s="1"/>
  <c r="I4503" i="3"/>
  <c r="I4505" i="3" s="1"/>
  <c r="H4564" i="3"/>
  <c r="H4621" i="3" s="1"/>
  <c r="G4612" i="3"/>
  <c r="G4614" i="3" s="1"/>
  <c r="G4418" i="3" s="1"/>
  <c r="G5184" i="3"/>
  <c r="G4843" i="3"/>
  <c r="G4609" i="3"/>
  <c r="G4438" i="3" s="1"/>
  <c r="H4504" i="3"/>
  <c r="H4640" i="3" s="1"/>
  <c r="G4639" i="3"/>
  <c r="H4639" i="3" s="1"/>
  <c r="H4834" i="3"/>
  <c r="C32" i="29"/>
  <c r="DX525" i="18"/>
  <c r="DX531" i="18" s="1"/>
  <c r="DW270" i="18"/>
  <c r="DV270" i="18" s="1"/>
  <c r="B98" i="6"/>
  <c r="DY396" i="2"/>
  <c r="DY401" i="2" s="1"/>
  <c r="DY264" i="10" s="1"/>
  <c r="ED420" i="10"/>
  <c r="EH385" i="2"/>
  <c r="EE108" i="10"/>
  <c r="DY461" i="18"/>
  <c r="EI381" i="2"/>
  <c r="DY441" i="2"/>
  <c r="DY446" i="2" s="1"/>
  <c r="EG489" i="2"/>
  <c r="EC514" i="18"/>
  <c r="EC530" i="18" s="1"/>
  <c r="EA44" i="4"/>
  <c r="C4625" i="3"/>
  <c r="M4625" i="3"/>
  <c r="F3206" i="3"/>
  <c r="N4843" i="3"/>
  <c r="N4609" i="3"/>
  <c r="F3214" i="3"/>
  <c r="F3215" i="3" s="1"/>
  <c r="G3214" i="3"/>
  <c r="G3215" i="3" s="1"/>
  <c r="B4711" i="3"/>
  <c r="N4621" i="3"/>
  <c r="N4619" i="3" s="1"/>
  <c r="D4625" i="3"/>
  <c r="N4612" i="3"/>
  <c r="N4614" i="3" s="1"/>
  <c r="N4418" i="3" s="1"/>
  <c r="N5184" i="3"/>
  <c r="G4625" i="3"/>
  <c r="N4625" i="3"/>
  <c r="E4625" i="3"/>
  <c r="L4625" i="3"/>
  <c r="ES376" i="18"/>
  <c r="R5745" i="3"/>
  <c r="R5739" i="3" s="1"/>
  <c r="EI254" i="18"/>
  <c r="T5739" i="3"/>
  <c r="T5745" i="3" s="1"/>
  <c r="V5745" i="3" s="1"/>
  <c r="DW44" i="4"/>
  <c r="D3368" i="3"/>
  <c r="DY451" i="2"/>
  <c r="DY573" i="2" s="1"/>
  <c r="EE162" i="18"/>
  <c r="ED158" i="18"/>
  <c r="ED145" i="18" s="1"/>
  <c r="B340" i="24" s="1"/>
  <c r="DZ36" i="18"/>
  <c r="ED36" i="18" s="1"/>
  <c r="B10" i="25" s="1"/>
  <c r="EB293" i="2"/>
  <c r="EB298" i="2" s="1"/>
  <c r="EB424" i="2" s="1"/>
  <c r="EB419" i="2"/>
  <c r="EB281" i="2"/>
  <c r="EF123" i="18"/>
  <c r="EG123" i="18" s="1"/>
  <c r="EH123" i="18" s="1"/>
  <c r="EB422" i="10"/>
  <c r="EG96" i="18"/>
  <c r="EG98" i="18" s="1"/>
  <c r="I3165" i="3"/>
  <c r="D4132" i="3"/>
  <c r="EF97" i="18"/>
  <c r="EI91" i="18"/>
  <c r="C25" i="24" s="1"/>
  <c r="C26" i="24" s="1"/>
  <c r="EG119" i="18"/>
  <c r="E4286" i="3"/>
  <c r="E4290" i="3" s="1"/>
  <c r="DU610" i="2"/>
  <c r="E4320" i="3"/>
  <c r="EF455" i="18"/>
  <c r="EF457" i="18" s="1"/>
  <c r="EI376" i="10"/>
  <c r="EC14" i="4"/>
  <c r="EC15" i="4" s="1"/>
  <c r="EB610" i="2"/>
  <c r="EG611" i="2" s="1"/>
  <c r="E4300" i="3"/>
  <c r="FD29" i="2"/>
  <c r="DY599" i="2"/>
  <c r="EI19" i="2"/>
  <c r="EB467" i="2"/>
  <c r="DZ599" i="2"/>
  <c r="ED394" i="2"/>
  <c r="DZ451" i="2"/>
  <c r="EA41" i="2"/>
  <c r="EA10" i="4" s="1"/>
  <c r="EA462" i="2"/>
  <c r="EF472" i="2" s="1"/>
  <c r="DY617" i="2"/>
  <c r="B4911" i="3" s="1"/>
  <c r="D4299" i="3"/>
  <c r="D4303" i="3" s="1"/>
  <c r="EF208" i="2"/>
  <c r="DY491" i="18"/>
  <c r="EI211" i="2"/>
  <c r="I5152" i="3"/>
  <c r="I5150" i="3" s="1"/>
  <c r="EB15" i="4"/>
  <c r="EC504" i="18"/>
  <c r="D11" i="29"/>
  <c r="EE374" i="18"/>
  <c r="EE379" i="18" s="1"/>
  <c r="E5152" i="3"/>
  <c r="F5150" i="3"/>
  <c r="F5152" i="3" s="1"/>
  <c r="DY124" i="18"/>
  <c r="DX277" i="18"/>
  <c r="DX48" i="18" s="1"/>
  <c r="FD469" i="2"/>
  <c r="FD479" i="2" s="1"/>
  <c r="EE270" i="2"/>
  <c r="EB46" i="2"/>
  <c r="DY494" i="18"/>
  <c r="DY493" i="18"/>
  <c r="DY512" i="18" s="1"/>
  <c r="EI32" i="2"/>
  <c r="FD48" i="2"/>
  <c r="EI12" i="2"/>
  <c r="EH461" i="2"/>
  <c r="C10" i="25"/>
  <c r="F104" i="6"/>
  <c r="EH461" i="18"/>
  <c r="EH207" i="2"/>
  <c r="EI451" i="2"/>
  <c r="ED272" i="18"/>
  <c r="ED311" i="18"/>
  <c r="DX457" i="2"/>
  <c r="E4129" i="3"/>
  <c r="DX631" i="2"/>
  <c r="DX647" i="2"/>
  <c r="EH201" i="2"/>
  <c r="I4129" i="3"/>
  <c r="I4133" i="3" s="1"/>
  <c r="I4137" i="3" s="1"/>
  <c r="I4158" i="3" s="1"/>
  <c r="H3144" i="3"/>
  <c r="D4290" i="3"/>
  <c r="D4296" i="3" s="1"/>
  <c r="EF44" i="2"/>
  <c r="EF13" i="4" s="1"/>
  <c r="EI13" i="4" s="1"/>
  <c r="EH399" i="18"/>
  <c r="EF349" i="2"/>
  <c r="EH40" i="2"/>
  <c r="EH9" i="4" s="1"/>
  <c r="EI194" i="2"/>
  <c r="EI366" i="10" s="1"/>
  <c r="D4939" i="3"/>
  <c r="D4940" i="3" s="1"/>
  <c r="ED18" i="2"/>
  <c r="EC640" i="2"/>
  <c r="DW572" i="1"/>
  <c r="DV569" i="1"/>
  <c r="EB445" i="2"/>
  <c r="EC457" i="2"/>
  <c r="EH347" i="2"/>
  <c r="EF475" i="2"/>
  <c r="ED269" i="2"/>
  <c r="C4939" i="3"/>
  <c r="C4940" i="3" s="1"/>
  <c r="DZ501" i="18"/>
  <c r="DY414" i="18"/>
  <c r="DY419" i="18" s="1"/>
  <c r="DY425" i="18"/>
  <c r="E4939" i="3"/>
  <c r="E4940" i="3" s="1"/>
  <c r="EF342" i="2"/>
  <c r="EK425" i="10" s="1"/>
  <c r="EF424" i="10"/>
  <c r="EI341" i="2"/>
  <c r="D4424" i="3"/>
  <c r="EF489" i="2"/>
  <c r="EE268" i="1"/>
  <c r="EE270" i="1" s="1"/>
  <c r="EF269" i="1" s="1"/>
  <c r="EF270" i="1" s="1"/>
  <c r="EG269" i="1" s="1"/>
  <c r="EG270" i="1" s="1"/>
  <c r="EH269" i="1" s="1"/>
  <c r="C4425" i="3"/>
  <c r="E4424" i="3"/>
  <c r="EJ451" i="2"/>
  <c r="EN394" i="2"/>
  <c r="D159" i="24"/>
  <c r="EH457" i="2"/>
  <c r="E4425" i="3"/>
  <c r="D4425" i="3"/>
  <c r="C4424" i="3"/>
  <c r="DV44" i="4"/>
  <c r="EC455" i="2"/>
  <c r="D3367" i="3"/>
  <c r="D3369" i="3" s="1"/>
  <c r="EH640" i="2"/>
  <c r="EJ136" i="2"/>
  <c r="EJ170" i="2"/>
  <c r="EJ175" i="2" s="1"/>
  <c r="EJ153" i="2" s="1"/>
  <c r="EJ164" i="2" s="1"/>
  <c r="EJ441" i="2"/>
  <c r="ED240" i="18"/>
  <c r="ED245" i="18" s="1"/>
  <c r="EE245" i="18" s="1"/>
  <c r="EE240" i="18" s="1"/>
  <c r="EJ203" i="2"/>
  <c r="EJ183" i="2"/>
  <c r="EJ247" i="2" s="1"/>
  <c r="EJ454" i="2"/>
  <c r="EN439" i="2"/>
  <c r="EC175" i="2"/>
  <c r="E3144" i="3"/>
  <c r="EC169" i="2"/>
  <c r="E3139" i="3" s="1"/>
  <c r="EC395" i="2"/>
  <c r="EC400" i="2" s="1"/>
  <c r="EH472" i="2"/>
  <c r="I3144" i="3"/>
  <c r="EF327" i="2"/>
  <c r="EF412" i="10" s="1"/>
  <c r="EO113" i="18"/>
  <c r="EN212" i="18"/>
  <c r="M4425" i="3"/>
  <c r="DY426" i="18"/>
  <c r="DY431" i="18" s="1"/>
  <c r="DZ431" i="18" s="1"/>
  <c r="DZ426" i="18" s="1"/>
  <c r="EH377" i="10"/>
  <c r="EI296" i="2"/>
  <c r="M4424" i="3"/>
  <c r="M5740" i="3"/>
  <c r="G5764" i="3" s="1"/>
  <c r="L176" i="11"/>
  <c r="EE89" i="1"/>
  <c r="EE91" i="1" s="1"/>
  <c r="EE99" i="1" s="1"/>
  <c r="EE65" i="18" s="1"/>
  <c r="EE102" i="1"/>
  <c r="E153" i="24"/>
  <c r="E156" i="24" s="1"/>
  <c r="E157" i="24" s="1"/>
  <c r="EI465" i="2"/>
  <c r="ED407" i="2"/>
  <c r="ED412" i="2" s="1"/>
  <c r="EH453" i="2"/>
  <c r="EF440" i="2"/>
  <c r="EF445" i="2" s="1"/>
  <c r="EI303" i="2"/>
  <c r="G4653" i="3"/>
  <c r="G4672" i="3" s="1"/>
  <c r="H4637" i="3"/>
  <c r="EH212" i="2"/>
  <c r="EH466" i="2"/>
  <c r="EM476" i="2" s="1"/>
  <c r="EH45" i="2"/>
  <c r="EJ327" i="2"/>
  <c r="B4452" i="3"/>
  <c r="B4453" i="3" s="1"/>
  <c r="EH23" i="2"/>
  <c r="EJ453" i="2"/>
  <c r="EJ319" i="2"/>
  <c r="EJ296" i="2"/>
  <c r="EO389" i="18"/>
  <c r="EN399" i="18"/>
  <c r="EN124" i="18"/>
  <c r="EN290" i="18" s="1"/>
  <c r="EN461" i="18"/>
  <c r="EH575" i="2"/>
  <c r="EH30" i="2"/>
  <c r="EH9" i="32" s="1"/>
  <c r="EH11" i="32" s="1"/>
  <c r="EH15" i="32" s="1"/>
  <c r="EC501" i="18"/>
  <c r="DU150" i="18"/>
  <c r="DY143" i="18"/>
  <c r="EH610" i="2"/>
  <c r="EH611" i="2" s="1"/>
  <c r="EH604" i="2"/>
  <c r="ED239" i="18"/>
  <c r="EF575" i="2"/>
  <c r="EF15" i="2"/>
  <c r="EF30" i="2"/>
  <c r="EG372" i="10"/>
  <c r="EG461" i="2"/>
  <c r="EL471" i="2" s="1"/>
  <c r="EG40" i="2"/>
  <c r="EG9" i="4" s="1"/>
  <c r="EG201" i="2"/>
  <c r="EL209" i="2" s="1"/>
  <c r="C3384" i="3"/>
  <c r="EH230" i="2"/>
  <c r="EH247" i="2"/>
  <c r="ED258" i="2"/>
  <c r="DZ47" i="18"/>
  <c r="ED47" i="18" s="1"/>
  <c r="C6" i="25" s="1"/>
  <c r="C7" i="25" s="1"/>
  <c r="ED276" i="18"/>
  <c r="ED268" i="18" s="1"/>
  <c r="EE550" i="1"/>
  <c r="ED557" i="1"/>
  <c r="B5504" i="3"/>
  <c r="B5479" i="3"/>
  <c r="B5481" i="3"/>
  <c r="B5477" i="3"/>
  <c r="B5480" i="3" s="1"/>
  <c r="B5478" i="3"/>
  <c r="B5488" i="3" s="1"/>
  <c r="DY92" i="18"/>
  <c r="ED217" i="18"/>
  <c r="DZ216" i="18"/>
  <c r="ED216" i="18" s="1"/>
  <c r="E3379" i="3"/>
  <c r="EE430" i="2"/>
  <c r="EE602" i="2"/>
  <c r="EI428" i="2"/>
  <c r="EA513" i="18"/>
  <c r="EG475" i="2"/>
  <c r="EC408" i="2"/>
  <c r="EC411" i="2"/>
  <c r="I5420" i="3"/>
  <c r="EH327" i="2"/>
  <c r="EM328" i="2" s="1"/>
  <c r="EF461" i="2"/>
  <c r="EF40" i="2"/>
  <c r="EF372" i="10"/>
  <c r="EF201" i="2"/>
  <c r="DT74" i="1"/>
  <c r="DT73" i="1"/>
  <c r="I3168" i="3"/>
  <c r="I3169" i="3" s="1"/>
  <c r="EF623" i="2"/>
  <c r="EI622" i="2"/>
  <c r="EB574" i="2"/>
  <c r="EA447" i="2"/>
  <c r="EF101" i="2"/>
  <c r="EA402" i="2"/>
  <c r="EA184" i="10"/>
  <c r="EA436" i="2"/>
  <c r="DZ99" i="2"/>
  <c r="EA100" i="2" s="1"/>
  <c r="EB434" i="2"/>
  <c r="EF453" i="2"/>
  <c r="EF455" i="2" s="1"/>
  <c r="EF319" i="2"/>
  <c r="EF367" i="2" s="1"/>
  <c r="EF432" i="10" s="1"/>
  <c r="EA113" i="10"/>
  <c r="EA129" i="4"/>
  <c r="EA132" i="4" s="1"/>
  <c r="EA122" i="4"/>
  <c r="EF81" i="4"/>
  <c r="EF109" i="10" s="1"/>
  <c r="EF96" i="4"/>
  <c r="EF104" i="4" s="1"/>
  <c r="ED230" i="1"/>
  <c r="EC190" i="4"/>
  <c r="F22" i="29"/>
  <c r="E25" i="29"/>
  <c r="DU157" i="4"/>
  <c r="DY157" i="4" s="1"/>
  <c r="DW512" i="18"/>
  <c r="EB513" i="18" s="1"/>
  <c r="F126" i="11"/>
  <c r="F65" i="11"/>
  <c r="G41" i="11"/>
  <c r="F141" i="11"/>
  <c r="F84" i="11"/>
  <c r="F108" i="11"/>
  <c r="F110" i="11" s="1"/>
  <c r="F53" i="11"/>
  <c r="F99" i="11"/>
  <c r="E3292" i="3"/>
  <c r="EM377" i="10"/>
  <c r="E5766" i="3"/>
  <c r="J5748" i="3"/>
  <c r="L5748" i="3" s="1"/>
  <c r="EE617" i="2"/>
  <c r="EE192" i="2"/>
  <c r="EI180" i="2"/>
  <c r="EE488" i="2"/>
  <c r="EE183" i="2"/>
  <c r="EE199" i="2"/>
  <c r="EG96" i="4"/>
  <c r="EG104" i="4" s="1"/>
  <c r="EG81" i="4"/>
  <c r="EG109" i="10" s="1"/>
  <c r="DU163" i="4"/>
  <c r="DY163" i="4" s="1"/>
  <c r="DU164" i="4"/>
  <c r="DU165" i="4" s="1"/>
  <c r="H3462" i="3"/>
  <c r="K3462" i="3"/>
  <c r="I3462" i="3"/>
  <c r="M3462" i="3"/>
  <c r="J3462" i="3"/>
  <c r="L3462" i="3"/>
  <c r="N3462" i="3"/>
  <c r="B57" i="11"/>
  <c r="C42" i="11"/>
  <c r="B43" i="11"/>
  <c r="B151" i="11" s="1"/>
  <c r="D5409" i="3"/>
  <c r="E5411" i="3"/>
  <c r="E5412" i="3" s="1"/>
  <c r="E5415" i="3" s="1"/>
  <c r="EI352" i="10"/>
  <c r="EI188" i="10"/>
  <c r="M5747" i="3"/>
  <c r="L5741" i="3"/>
  <c r="EE96" i="4"/>
  <c r="EE81" i="4"/>
  <c r="EE109" i="10" s="1"/>
  <c r="EF230" i="2"/>
  <c r="EF384" i="10" s="1"/>
  <c r="EF247" i="2"/>
  <c r="EK248" i="2" s="1"/>
  <c r="EE317" i="2"/>
  <c r="EI291" i="2"/>
  <c r="F5083" i="3"/>
  <c r="E5092" i="3"/>
  <c r="EN291" i="2"/>
  <c r="EN280" i="2"/>
  <c r="EM259" i="18"/>
  <c r="EL44" i="18"/>
  <c r="EI62" i="2"/>
  <c r="EI63" i="2" s="1"/>
  <c r="EH63" i="2"/>
  <c r="EI314" i="2"/>
  <c r="EE337" i="2"/>
  <c r="EJ345" i="2" s="1"/>
  <c r="EI40" i="4"/>
  <c r="B206" i="41" s="1"/>
  <c r="B208" i="41" s="1"/>
  <c r="EE41" i="4"/>
  <c r="EA501" i="18"/>
  <c r="DU415" i="18"/>
  <c r="EG606" i="2"/>
  <c r="EG377" i="10"/>
  <c r="EI204" i="2"/>
  <c r="EG45" i="2"/>
  <c r="EG212" i="2"/>
  <c r="EG466" i="2"/>
  <c r="EE113" i="2"/>
  <c r="EI114" i="2"/>
  <c r="EI119" i="2" s="1"/>
  <c r="EI357" i="10" s="1"/>
  <c r="EE170" i="2"/>
  <c r="H5748" i="3"/>
  <c r="C5766" i="3"/>
  <c r="ED622" i="2"/>
  <c r="EC623" i="2"/>
  <c r="EE258" i="2"/>
  <c r="EE396" i="2"/>
  <c r="EI259" i="2"/>
  <c r="EI264" i="2" s="1"/>
  <c r="EI405" i="10" s="1"/>
  <c r="EA327" i="2"/>
  <c r="EA626" i="2" s="1"/>
  <c r="D123" i="13"/>
  <c r="C139" i="13"/>
  <c r="C141" i="13" s="1"/>
  <c r="C143" i="13" s="1"/>
  <c r="C125" i="13"/>
  <c r="C127" i="13" s="1"/>
  <c r="EH191" i="4"/>
  <c r="EI190" i="4"/>
  <c r="EF563" i="2"/>
  <c r="EF560" i="2"/>
  <c r="B5166" i="3"/>
  <c r="EI400" i="10"/>
  <c r="EI189" i="10"/>
  <c r="DU79" i="4"/>
  <c r="DY79" i="4" s="1"/>
  <c r="DU120" i="10"/>
  <c r="EA81" i="4"/>
  <c r="EA109" i="10" s="1"/>
  <c r="EA96" i="4"/>
  <c r="EA104" i="4" s="1"/>
  <c r="EI598" i="2"/>
  <c r="EE618" i="2"/>
  <c r="EI618" i="2" s="1"/>
  <c r="EE493" i="2"/>
  <c r="EE316" i="2"/>
  <c r="EE319" i="2" s="1"/>
  <c r="EI280" i="2"/>
  <c r="F5284" i="3"/>
  <c r="F5286" i="3"/>
  <c r="F5287" i="3"/>
  <c r="F5285" i="3"/>
  <c r="DY498" i="18"/>
  <c r="DY526" i="18"/>
  <c r="D10" i="29"/>
  <c r="C18" i="29"/>
  <c r="H43" i="20"/>
  <c r="G42" i="20"/>
  <c r="O50" i="20"/>
  <c r="Q52" i="20"/>
  <c r="F41" i="20"/>
  <c r="F85" i="20" s="1"/>
  <c r="S54" i="20"/>
  <c r="R53" i="20"/>
  <c r="P51" i="20"/>
  <c r="N49" i="20"/>
  <c r="W58" i="20"/>
  <c r="U56" i="20"/>
  <c r="Y60" i="20"/>
  <c r="V57" i="20"/>
  <c r="X59" i="20"/>
  <c r="T55" i="20"/>
  <c r="K46" i="20"/>
  <c r="M48" i="20"/>
  <c r="J45" i="20"/>
  <c r="I44" i="20"/>
  <c r="L47" i="20"/>
  <c r="EC117" i="10"/>
  <c r="ED198" i="4"/>
  <c r="ED16" i="32" s="1"/>
  <c r="DV58" i="4"/>
  <c r="DV59" i="4" s="1"/>
  <c r="DV61" i="4" s="1"/>
  <c r="DV59" i="2"/>
  <c r="DV60" i="2" s="1"/>
  <c r="DV62" i="2" s="1"/>
  <c r="DV63" i="2" s="1"/>
  <c r="DV545" i="1"/>
  <c r="DV45" i="35" s="1"/>
  <c r="ED511" i="18"/>
  <c r="EN184" i="4"/>
  <c r="EN185" i="4"/>
  <c r="EI77" i="4"/>
  <c r="EI162" i="4"/>
  <c r="EI106" i="10"/>
  <c r="DZ81" i="1"/>
  <c r="DZ236" i="1"/>
  <c r="DZ71" i="1"/>
  <c r="ED71" i="1" s="1"/>
  <c r="ED70" i="1"/>
  <c r="DZ72" i="1"/>
  <c r="ED72" i="1" s="1"/>
  <c r="EB376" i="18"/>
  <c r="EB373" i="18"/>
  <c r="EB471" i="18" s="1"/>
  <c r="EG159" i="4"/>
  <c r="DY587" i="18"/>
  <c r="B3763" i="3"/>
  <c r="DW165" i="4"/>
  <c r="EC575" i="2"/>
  <c r="EC30" i="2"/>
  <c r="EH15" i="2"/>
  <c r="EA201" i="2"/>
  <c r="EA372" i="10"/>
  <c r="EA461" i="2"/>
  <c r="EA40" i="2"/>
  <c r="EF207" i="2"/>
  <c r="DZ341" i="2"/>
  <c r="ED318" i="2"/>
  <c r="DU251" i="1"/>
  <c r="DU105" i="35" s="1"/>
  <c r="DY236" i="1"/>
  <c r="DY251" i="1" s="1"/>
  <c r="EE444" i="18"/>
  <c r="DY466" i="18"/>
  <c r="DZ453" i="2"/>
  <c r="ED316" i="2"/>
  <c r="DZ319" i="2"/>
  <c r="EB123" i="18"/>
  <c r="ED118" i="18"/>
  <c r="ED123" i="18" s="1"/>
  <c r="EB384" i="10"/>
  <c r="L4424" i="3"/>
  <c r="EC421" i="2"/>
  <c r="DY420" i="2"/>
  <c r="EF269" i="2"/>
  <c r="EF282" i="2"/>
  <c r="DY455" i="18"/>
  <c r="EB453" i="2"/>
  <c r="EB319" i="2"/>
  <c r="EB367" i="2" s="1"/>
  <c r="EB432" i="10" s="1"/>
  <c r="F3220" i="3"/>
  <c r="E110" i="24"/>
  <c r="E108" i="24"/>
  <c r="E99" i="24" s="1"/>
  <c r="F4425" i="3"/>
  <c r="G4550" i="3"/>
  <c r="EL115" i="10"/>
  <c r="EB247" i="2"/>
  <c r="EG248" i="2" s="1"/>
  <c r="F4300" i="3"/>
  <c r="F4320" i="3"/>
  <c r="F4286" i="3"/>
  <c r="G4287" i="3"/>
  <c r="ED542" i="18"/>
  <c r="B3770" i="3"/>
  <c r="EE416" i="10"/>
  <c r="EJ612" i="2"/>
  <c r="EJ416" i="10" s="1"/>
  <c r="EK105" i="10"/>
  <c r="F224" i="6"/>
  <c r="F227" i="6"/>
  <c r="DX411" i="18"/>
  <c r="DY373" i="18"/>
  <c r="DZ471" i="18" s="1"/>
  <c r="G43" i="21"/>
  <c r="J46" i="21"/>
  <c r="F29" i="21"/>
  <c r="K47" i="21"/>
  <c r="L48" i="21"/>
  <c r="F42" i="21"/>
  <c r="E41" i="21"/>
  <c r="E85" i="21" s="1"/>
  <c r="H44" i="21"/>
  <c r="I45" i="21"/>
  <c r="DY234" i="18"/>
  <c r="K80" i="24"/>
  <c r="DY213" i="18"/>
  <c r="DY291" i="18"/>
  <c r="DZ289" i="18"/>
  <c r="DZ196" i="18"/>
  <c r="DY83" i="18"/>
  <c r="DZ422" i="10"/>
  <c r="ED339" i="2"/>
  <c r="L4425" i="3"/>
  <c r="DY284" i="18"/>
  <c r="EB416" i="10"/>
  <c r="EG613" i="2"/>
  <c r="EH613" i="2" s="1"/>
  <c r="EH612" i="2" s="1"/>
  <c r="DY36" i="18"/>
  <c r="B5091" i="3"/>
  <c r="B5095" i="3" s="1"/>
  <c r="B5090" i="3"/>
  <c r="B62" i="13"/>
  <c r="EF538" i="1"/>
  <c r="EF58" i="35" s="1"/>
  <c r="EF59" i="35" s="1"/>
  <c r="EF61" i="35" s="1"/>
  <c r="EB327" i="2"/>
  <c r="I10" i="25"/>
  <c r="DZ163" i="4"/>
  <c r="ED163" i="4" s="1"/>
  <c r="DZ164" i="4"/>
  <c r="ED164" i="4" s="1"/>
  <c r="ED386" i="10"/>
  <c r="ED249" i="2"/>
  <c r="EI244" i="2"/>
  <c r="C4132" i="3"/>
  <c r="DV650" i="2"/>
  <c r="DZ606" i="2"/>
  <c r="ED204" i="2"/>
  <c r="DZ377" i="10"/>
  <c r="EE212" i="2"/>
  <c r="DX200" i="18"/>
  <c r="DY190" i="18"/>
  <c r="DX191" i="18"/>
  <c r="DY191" i="18" s="1"/>
  <c r="E172" i="24"/>
  <c r="F168" i="24"/>
  <c r="A6027" i="3"/>
  <c r="A6041" i="3"/>
  <c r="EH165" i="4"/>
  <c r="EH108" i="10"/>
  <c r="L4257" i="3"/>
  <c r="K4256" i="3"/>
  <c r="K4259" i="3" s="1"/>
  <c r="K4260" i="3" s="1"/>
  <c r="F4873" i="3"/>
  <c r="E4886" i="3"/>
  <c r="ED12" i="2"/>
  <c r="ED8" i="32" s="1"/>
  <c r="ED31" i="2"/>
  <c r="K4873" i="3"/>
  <c r="J4874" i="3"/>
  <c r="DY129" i="18"/>
  <c r="DY134" i="18" s="1"/>
  <c r="EC543" i="1"/>
  <c r="EC360" i="18" s="1"/>
  <c r="EC544" i="1"/>
  <c r="EC361" i="18" s="1"/>
  <c r="EC540" i="1"/>
  <c r="EA619" i="2"/>
  <c r="EA401" i="2"/>
  <c r="EA264" i="10" s="1"/>
  <c r="DZ108" i="10"/>
  <c r="DZ165" i="4"/>
  <c r="DY560" i="18"/>
  <c r="EA377" i="10"/>
  <c r="EA45" i="2"/>
  <c r="EA14" i="4" s="1"/>
  <c r="EA606" i="2"/>
  <c r="EA368" i="10" s="1"/>
  <c r="EA466" i="2"/>
  <c r="EA467" i="2" s="1"/>
  <c r="DZ303" i="2"/>
  <c r="ED304" i="2"/>
  <c r="ED309" i="2" s="1"/>
  <c r="DZ441" i="2"/>
  <c r="ED441" i="2" s="1"/>
  <c r="ED446" i="2" s="1"/>
  <c r="E11" i="29"/>
  <c r="F8" i="29"/>
  <c r="E87" i="22"/>
  <c r="E10" i="22" s="1"/>
  <c r="E6022" i="3"/>
  <c r="E6037" i="3" s="1"/>
  <c r="E6038" i="3"/>
  <c r="EJ105" i="10"/>
  <c r="EF212" i="2"/>
  <c r="DY74" i="1"/>
  <c r="DY73" i="1"/>
  <c r="ED466" i="18"/>
  <c r="C3144" i="3"/>
  <c r="EA175" i="2"/>
  <c r="EC128" i="10"/>
  <c r="H124" i="24"/>
  <c r="H104" i="24"/>
  <c r="H96" i="24"/>
  <c r="H98" i="24"/>
  <c r="H101" i="24" s="1"/>
  <c r="H113" i="24" s="1"/>
  <c r="F6032" i="3"/>
  <c r="H6025" i="3"/>
  <c r="H6040" i="3" s="1"/>
  <c r="G6024" i="3"/>
  <c r="G6039" i="3" s="1"/>
  <c r="F6023" i="3"/>
  <c r="DY145" i="18"/>
  <c r="DY159" i="18"/>
  <c r="EM371" i="18"/>
  <c r="EE14" i="4"/>
  <c r="EE15" i="4" s="1"/>
  <c r="E158" i="24"/>
  <c r="E146" i="24"/>
  <c r="EH270" i="18"/>
  <c r="EC277" i="18"/>
  <c r="EC48" i="18" s="1"/>
  <c r="I3213" i="3"/>
  <c r="H3218" i="3"/>
  <c r="H3210" i="3"/>
  <c r="H3214" i="3" s="1"/>
  <c r="H3215" i="3" s="1"/>
  <c r="H3223" i="3"/>
  <c r="E87" i="20"/>
  <c r="E10" i="20" s="1"/>
  <c r="E15" i="23" s="1"/>
  <c r="EE501" i="18"/>
  <c r="EF202" i="4"/>
  <c r="EE198" i="4"/>
  <c r="EE16" i="32" s="1"/>
  <c r="EF17" i="32" s="1"/>
  <c r="EE115" i="10"/>
  <c r="B113" i="13"/>
  <c r="DY107" i="18"/>
  <c r="DY112" i="18" s="1"/>
  <c r="DU112" i="18"/>
  <c r="O5746" i="3"/>
  <c r="Q5746" i="3" s="1"/>
  <c r="I5764" i="3"/>
  <c r="EH236" i="1"/>
  <c r="EH71" i="1"/>
  <c r="EI71" i="1" s="1"/>
  <c r="EH72" i="1"/>
  <c r="EI72" i="1" s="1"/>
  <c r="EH81" i="1"/>
  <c r="EI70" i="1"/>
  <c r="EC449" i="18"/>
  <c r="ED444" i="18"/>
  <c r="ED449" i="18" s="1"/>
  <c r="EB81" i="4"/>
  <c r="EB109" i="10" s="1"/>
  <c r="EB96" i="4"/>
  <c r="EB104" i="4" s="1"/>
  <c r="EB501" i="18"/>
  <c r="EB408" i="2"/>
  <c r="EB411" i="2"/>
  <c r="EA440" i="2"/>
  <c r="ED136" i="2"/>
  <c r="C229" i="24"/>
  <c r="C73" i="24"/>
  <c r="D189" i="24"/>
  <c r="E185" i="24"/>
  <c r="EJ425" i="10"/>
  <c r="EB575" i="2"/>
  <c r="EB30" i="2"/>
  <c r="EB110" i="1"/>
  <c r="ED102" i="1"/>
  <c r="H3139" i="3"/>
  <c r="EG193" i="2"/>
  <c r="DZ428" i="2"/>
  <c r="B5714" i="3"/>
  <c r="ED432" i="2"/>
  <c r="D5024" i="3"/>
  <c r="D5023" i="3"/>
  <c r="E184" i="24"/>
  <c r="D188" i="24"/>
  <c r="F4424" i="3"/>
  <c r="DY81" i="1"/>
  <c r="DU89" i="1"/>
  <c r="ED113" i="2"/>
  <c r="EA169" i="2"/>
  <c r="EA395" i="2"/>
  <c r="EA13" i="4"/>
  <c r="DV504" i="18"/>
  <c r="DW525" i="18"/>
  <c r="EB504" i="18"/>
  <c r="B5087" i="3"/>
  <c r="DW81" i="4"/>
  <c r="DW109" i="10" s="1"/>
  <c r="DW96" i="4"/>
  <c r="DW104" i="4" s="1"/>
  <c r="DZ317" i="2"/>
  <c r="DZ327" i="2" s="1"/>
  <c r="ED291" i="2"/>
  <c r="ED548" i="18"/>
  <c r="ED549" i="18" s="1"/>
  <c r="B3773" i="3"/>
  <c r="EK606" i="2"/>
  <c r="EK368" i="10" s="1"/>
  <c r="EF368" i="10"/>
  <c r="E174" i="24"/>
  <c r="F170" i="24"/>
  <c r="EA86" i="18"/>
  <c r="D5766" i="3"/>
  <c r="I5748" i="3"/>
  <c r="EC81" i="4"/>
  <c r="EC109" i="10" s="1"/>
  <c r="EC96" i="4"/>
  <c r="EP250" i="18"/>
  <c r="EQ142" i="18"/>
  <c r="ES388" i="18"/>
  <c r="G6018" i="3"/>
  <c r="G6044" i="3" s="1"/>
  <c r="H6011" i="3"/>
  <c r="H6018" i="3" s="1"/>
  <c r="H6044" i="3" s="1"/>
  <c r="F29" i="22"/>
  <c r="EG58" i="4"/>
  <c r="EG59" i="4" s="1"/>
  <c r="EG61" i="4" s="1"/>
  <c r="EL63" i="4" s="1"/>
  <c r="EG545" i="1"/>
  <c r="ES655" i="18"/>
  <c r="N4544" i="3"/>
  <c r="N4436" i="3" s="1"/>
  <c r="N5728" i="3"/>
  <c r="EA453" i="2"/>
  <c r="EA455" i="2" s="1"/>
  <c r="EA319" i="2"/>
  <c r="EA367" i="2" s="1"/>
  <c r="EA432" i="10" s="1"/>
  <c r="F101" i="24"/>
  <c r="F113" i="24" s="1"/>
  <c r="F151" i="24"/>
  <c r="F150" i="24" s="1"/>
  <c r="DX196" i="18"/>
  <c r="G3224" i="3"/>
  <c r="G3206" i="3"/>
  <c r="G3219" i="3"/>
  <c r="G3220" i="3" s="1"/>
  <c r="EL383" i="18"/>
  <c r="EG85" i="4"/>
  <c r="EF91" i="4"/>
  <c r="EG89" i="4"/>
  <c r="B4447" i="3"/>
  <c r="C4444" i="3" s="1"/>
  <c r="DY190" i="4"/>
  <c r="DX191" i="4"/>
  <c r="I3223" i="3"/>
  <c r="I3218" i="3"/>
  <c r="I3210" i="3"/>
  <c r="C122" i="24"/>
  <c r="C161" i="24"/>
  <c r="C162" i="24" s="1"/>
  <c r="C115" i="24"/>
  <c r="ED97" i="18"/>
  <c r="F4436" i="3"/>
  <c r="EA98" i="18"/>
  <c r="DW123" i="18"/>
  <c r="B3831" i="3"/>
  <c r="EH79" i="4"/>
  <c r="EH120" i="10"/>
  <c r="EI76" i="4"/>
  <c r="EI120" i="10" s="1"/>
  <c r="EG455" i="2"/>
  <c r="EA612" i="2"/>
  <c r="EA416" i="10" s="1"/>
  <c r="EA425" i="10"/>
  <c r="EI340" i="18"/>
  <c r="EJ339" i="18"/>
  <c r="DY448" i="18"/>
  <c r="DU443" i="18"/>
  <c r="EB544" i="1"/>
  <c r="EB540" i="1"/>
  <c r="EB543" i="1"/>
  <c r="EB360" i="18" s="1"/>
  <c r="C4948" i="3"/>
  <c r="ED644" i="2"/>
  <c r="EI644" i="2"/>
  <c r="F169" i="24"/>
  <c r="E173" i="24"/>
  <c r="B5296" i="3"/>
  <c r="B5298" i="3"/>
  <c r="EC292" i="2"/>
  <c r="EC418" i="2"/>
  <c r="EC203" i="4"/>
  <c r="ED202" i="4"/>
  <c r="ED203" i="4" s="1"/>
  <c r="EA545" i="1"/>
  <c r="EA45" i="35" s="1"/>
  <c r="EA58" i="4"/>
  <c r="EA59" i="4" s="1"/>
  <c r="EA61" i="4" s="1"/>
  <c r="EB201" i="2"/>
  <c r="EB372" i="10"/>
  <c r="EB461" i="2"/>
  <c r="EB40" i="2"/>
  <c r="EG207" i="2"/>
  <c r="K4291" i="3"/>
  <c r="K4254" i="3"/>
  <c r="L4243" i="3"/>
  <c r="K4251" i="3"/>
  <c r="DZ649" i="2"/>
  <c r="F129" i="24"/>
  <c r="F105" i="24"/>
  <c r="F107" i="24"/>
  <c r="DV195" i="18"/>
  <c r="DW196" i="18" s="1"/>
  <c r="DW83" i="18"/>
  <c r="DW213" i="18"/>
  <c r="DW291" i="18"/>
  <c r="DW234" i="18"/>
  <c r="DX289" i="18"/>
  <c r="K4424" i="3"/>
  <c r="DW545" i="1"/>
  <c r="DW45" i="35" s="1"/>
  <c r="DW58" i="4"/>
  <c r="DW59" i="4" s="1"/>
  <c r="DW61" i="4" s="1"/>
  <c r="DW59" i="2"/>
  <c r="DW60" i="2" s="1"/>
  <c r="DW62" i="2" s="1"/>
  <c r="DW63" i="2" s="1"/>
  <c r="DX564" i="18"/>
  <c r="DX550" i="18" s="1"/>
  <c r="EE128" i="10"/>
  <c r="DV112" i="18"/>
  <c r="DU114" i="18"/>
  <c r="DU96" i="18"/>
  <c r="DU123" i="18" s="1"/>
  <c r="DU125" i="18"/>
  <c r="DZ93" i="18"/>
  <c r="DU136" i="18"/>
  <c r="DV134" i="18"/>
  <c r="DU134" i="18"/>
  <c r="ED587" i="18"/>
  <c r="B5878" i="3"/>
  <c r="G5945" i="3"/>
  <c r="H5149" i="3"/>
  <c r="EB83" i="18"/>
  <c r="EB197" i="18"/>
  <c r="EB291" i="18"/>
  <c r="EB196" i="18"/>
  <c r="EB656" i="18" s="1"/>
  <c r="EB655" i="18" s="1"/>
  <c r="EH460" i="18"/>
  <c r="EH455" i="18" s="1"/>
  <c r="EG455" i="18"/>
  <c r="EF124" i="2"/>
  <c r="EF407" i="2"/>
  <c r="EF412" i="2" s="1"/>
  <c r="EB289" i="18"/>
  <c r="ED284" i="18"/>
  <c r="I4466" i="3"/>
  <c r="J4456" i="3"/>
  <c r="EB647" i="2"/>
  <c r="H4129" i="3"/>
  <c r="EB640" i="2"/>
  <c r="EB457" i="2"/>
  <c r="J4297" i="3"/>
  <c r="J4310" i="3"/>
  <c r="G96" i="24"/>
  <c r="G104" i="24"/>
  <c r="G98" i="24"/>
  <c r="G124" i="24"/>
  <c r="ED494" i="18"/>
  <c r="DZ493" i="18"/>
  <c r="DY170" i="2"/>
  <c r="DY175" i="2" s="1"/>
  <c r="EB169" i="2"/>
  <c r="EB395" i="2"/>
  <c r="EB400" i="2" s="1"/>
  <c r="C5088" i="3"/>
  <c r="ED77" i="4"/>
  <c r="ED106" i="10"/>
  <c r="ED162" i="4"/>
  <c r="EB233" i="18"/>
  <c r="EA611" i="2"/>
  <c r="EF611" i="2"/>
  <c r="C5008" i="3"/>
  <c r="C5001" i="3"/>
  <c r="EH154" i="4"/>
  <c r="EH158" i="4" s="1"/>
  <c r="EI158" i="4" s="1"/>
  <c r="EI152" i="4"/>
  <c r="EI154" i="4" s="1"/>
  <c r="E126" i="6"/>
  <c r="F124" i="6"/>
  <c r="B3757" i="3"/>
  <c r="B3794" i="3" s="1"/>
  <c r="ED500" i="18"/>
  <c r="ED501" i="18" s="1"/>
  <c r="D5878" i="3"/>
  <c r="G5946" i="3"/>
  <c r="EA429" i="2"/>
  <c r="EA282" i="2"/>
  <c r="EF164" i="4"/>
  <c r="K4425" i="3"/>
  <c r="EB502" i="18"/>
  <c r="DW524" i="18"/>
  <c r="DV502" i="18"/>
  <c r="EA230" i="2"/>
  <c r="EA247" i="2"/>
  <c r="DZ449" i="18"/>
  <c r="DZ378" i="18"/>
  <c r="ED378" i="18" s="1"/>
  <c r="DY484" i="18"/>
  <c r="ED379" i="18"/>
  <c r="CA5" i="10"/>
  <c r="CA5" i="4"/>
  <c r="CA5" i="18"/>
  <c r="CA5" i="2"/>
  <c r="CF5" i="1"/>
  <c r="EF193" i="2"/>
  <c r="EA377" i="18"/>
  <c r="EA411" i="18"/>
  <c r="EA471" i="18"/>
  <c r="DZ454" i="2"/>
  <c r="ED454" i="2" s="1"/>
  <c r="ED439" i="2"/>
  <c r="DZ603" i="2"/>
  <c r="DW440" i="2"/>
  <c r="DY136" i="2"/>
  <c r="DW169" i="2"/>
  <c r="DY169" i="2" s="1"/>
  <c r="C5294" i="3"/>
  <c r="DY439" i="18"/>
  <c r="ED115" i="10"/>
  <c r="EE202" i="4"/>
  <c r="EE211" i="4" s="1"/>
  <c r="D87" i="21"/>
  <c r="D10" i="21" s="1"/>
  <c r="DY118" i="18"/>
  <c r="DZ408" i="2"/>
  <c r="EB432" i="2"/>
  <c r="DW420" i="2"/>
  <c r="DX428" i="2"/>
  <c r="DV431" i="2"/>
  <c r="F147" i="24"/>
  <c r="G28" i="20"/>
  <c r="H4638" i="3"/>
  <c r="G4654" i="3"/>
  <c r="G4673" i="3" s="1"/>
  <c r="D3144" i="3"/>
  <c r="EB175" i="2"/>
  <c r="FD117" i="4"/>
  <c r="FE117" i="4" s="1"/>
  <c r="FE120" i="4" s="1"/>
  <c r="DZ79" i="4"/>
  <c r="DZ120" i="10"/>
  <c r="ED76" i="4"/>
  <c r="ED120" i="10" s="1"/>
  <c r="D117" i="24"/>
  <c r="D111" i="24"/>
  <c r="D102" i="24" s="1"/>
  <c r="ED98" i="18"/>
  <c r="EE123" i="18"/>
  <c r="EE97" i="18"/>
  <c r="E171" i="19"/>
  <c r="EI141" i="10"/>
  <c r="ED194" i="2"/>
  <c r="ED366" i="10" s="1"/>
  <c r="ED376" i="10"/>
  <c r="E3368" i="3"/>
  <c r="F3365" i="3"/>
  <c r="K62" i="24"/>
  <c r="I6" i="25"/>
  <c r="F81" i="11"/>
  <c r="G76" i="11"/>
  <c r="C17" i="25"/>
  <c r="E26" i="25"/>
  <c r="EL105" i="10"/>
  <c r="H5764" i="3"/>
  <c r="EA630" i="2"/>
  <c r="G4130" i="3" s="1"/>
  <c r="EA604" i="2"/>
  <c r="EA608" i="2"/>
  <c r="EG79" i="2"/>
  <c r="EI71" i="2"/>
  <c r="EI79" i="2" s="1"/>
  <c r="EC372" i="18"/>
  <c r="EC195" i="18"/>
  <c r="ED554" i="1"/>
  <c r="EC555" i="1"/>
  <c r="EC556" i="1" s="1"/>
  <c r="ED556" i="1" s="1"/>
  <c r="EB129" i="4"/>
  <c r="EB132" i="4" s="1"/>
  <c r="EB113" i="10"/>
  <c r="EB122" i="4"/>
  <c r="ED94" i="2" l="1"/>
  <c r="N4317" i="3" s="1"/>
  <c r="EC391" i="10"/>
  <c r="EC288" i="2"/>
  <c r="EC265" i="2"/>
  <c r="EC276" i="2"/>
  <c r="EC310" i="2"/>
  <c r="Z42" i="30"/>
  <c r="AB42" i="30" s="1"/>
  <c r="D379" i="3"/>
  <c r="E3106" i="3"/>
  <c r="E3111" i="3" s="1"/>
  <c r="EC342" i="10"/>
  <c r="DZ40" i="2"/>
  <c r="DZ9" i="4" s="1"/>
  <c r="DY337" i="2"/>
  <c r="D3111" i="3"/>
  <c r="E2751" i="3"/>
  <c r="ED86" i="2"/>
  <c r="EE86" i="2" s="1"/>
  <c r="EC105" i="2"/>
  <c r="ED105" i="2" s="1"/>
  <c r="EI385" i="2"/>
  <c r="EG9" i="32"/>
  <c r="EG11" i="32" s="1"/>
  <c r="EG15" i="32" s="1"/>
  <c r="DZ21" i="2"/>
  <c r="DZ20" i="2" s="1"/>
  <c r="DZ33" i="2"/>
  <c r="DZ36" i="2"/>
  <c r="EG21" i="2"/>
  <c r="EG20" i="2" s="1"/>
  <c r="EG33" i="2"/>
  <c r="EE375" i="36"/>
  <c r="EF122" i="10"/>
  <c r="G1614" i="3"/>
  <c r="H1614" i="3" s="1"/>
  <c r="H1611" i="3"/>
  <c r="G1631" i="3"/>
  <c r="E1613" i="3"/>
  <c r="G1612" i="3"/>
  <c r="F1632" i="3"/>
  <c r="EO385" i="2"/>
  <c r="EE36" i="2"/>
  <c r="EE33" i="2"/>
  <c r="EI22" i="2"/>
  <c r="EI21" i="2"/>
  <c r="DV134" i="4"/>
  <c r="DV114" i="10" s="1"/>
  <c r="DV123" i="10" s="1"/>
  <c r="EE9" i="32"/>
  <c r="EE11" i="32" s="1"/>
  <c r="EE15" i="32" s="1"/>
  <c r="EI23" i="36"/>
  <c r="ED408" i="10"/>
  <c r="B311" i="38"/>
  <c r="B314" i="38" s="1"/>
  <c r="EE122" i="4"/>
  <c r="EE113" i="10"/>
  <c r="EE104" i="4"/>
  <c r="ED13" i="32"/>
  <c r="ED168" i="4"/>
  <c r="EE238" i="36"/>
  <c r="ED21" i="36"/>
  <c r="FI369" i="36"/>
  <c r="FJ369" i="36" s="1"/>
  <c r="FK369" i="36" s="1"/>
  <c r="FL369" i="36" s="1"/>
  <c r="FM369" i="36" s="1"/>
  <c r="EE377" i="36"/>
  <c r="ED80" i="35"/>
  <c r="EG24" i="36"/>
  <c r="EG20" i="36"/>
  <c r="EL24" i="36"/>
  <c r="FI316" i="36"/>
  <c r="FI285" i="36"/>
  <c r="FI288" i="36"/>
  <c r="FI284" i="36"/>
  <c r="FJ280" i="36"/>
  <c r="FI294" i="36"/>
  <c r="FI317" i="36" s="1"/>
  <c r="EX653" i="36"/>
  <c r="ES648" i="36"/>
  <c r="ES659" i="36" s="1"/>
  <c r="ES663" i="36" s="1"/>
  <c r="FF50" i="36"/>
  <c r="EI63" i="36"/>
  <c r="EI64" i="36"/>
  <c r="EJ576" i="36"/>
  <c r="EJ15" i="36"/>
  <c r="EJ570" i="36"/>
  <c r="EO15" i="36"/>
  <c r="FF474" i="36"/>
  <c r="EJ478" i="36"/>
  <c r="EN468" i="36"/>
  <c r="EJ470" i="36"/>
  <c r="EO478" i="36"/>
  <c r="EN18" i="36"/>
  <c r="EJ22" i="36"/>
  <c r="EO22" i="36"/>
  <c r="EH240" i="36"/>
  <c r="EM240" i="36"/>
  <c r="EE223" i="36"/>
  <c r="EE227" i="36"/>
  <c r="EE498" i="36"/>
  <c r="EE224" i="36"/>
  <c r="EI222" i="36"/>
  <c r="ED237" i="36"/>
  <c r="ED239" i="36"/>
  <c r="ED241" i="36"/>
  <c r="EY342" i="36"/>
  <c r="ET343" i="36"/>
  <c r="EF240" i="36"/>
  <c r="EK240" i="36"/>
  <c r="EV436" i="36"/>
  <c r="EV433" i="36"/>
  <c r="EV432" i="36"/>
  <c r="EW428" i="36"/>
  <c r="EW430" i="36" s="1"/>
  <c r="EX430" i="36" s="1"/>
  <c r="EX435" i="36" s="1"/>
  <c r="EV429" i="36"/>
  <c r="EI576" i="36"/>
  <c r="EI30" i="36"/>
  <c r="EI15" i="36"/>
  <c r="EI570" i="36"/>
  <c r="EN77" i="36"/>
  <c r="ES77" i="36"/>
  <c r="EJ376" i="36"/>
  <c r="EJ374" i="36"/>
  <c r="EJ373" i="36"/>
  <c r="EJ360" i="36"/>
  <c r="EJ378" i="36"/>
  <c r="EO373" i="36"/>
  <c r="EN372" i="36"/>
  <c r="EG240" i="36"/>
  <c r="EL240" i="36"/>
  <c r="EC21" i="36"/>
  <c r="EC20" i="36" s="1"/>
  <c r="EC36" i="36"/>
  <c r="EC33" i="36"/>
  <c r="EN47" i="36"/>
  <c r="EJ49" i="36"/>
  <c r="ES522" i="36"/>
  <c r="ES520" i="36"/>
  <c r="ES524" i="36"/>
  <c r="DW46" i="35"/>
  <c r="DW48" i="35" s="1"/>
  <c r="ED360" i="36"/>
  <c r="DZ362" i="36"/>
  <c r="DZ364" i="36"/>
  <c r="EA63" i="35"/>
  <c r="DV68" i="35"/>
  <c r="DV62" i="35"/>
  <c r="EE96" i="35"/>
  <c r="EI96" i="35" s="1"/>
  <c r="EE81" i="35"/>
  <c r="EI81" i="35" s="1"/>
  <c r="EI79" i="35"/>
  <c r="EH498" i="36"/>
  <c r="EH224" i="36"/>
  <c r="EH227" i="36"/>
  <c r="EH223" i="36"/>
  <c r="EM223" i="36"/>
  <c r="EE240" i="36"/>
  <c r="DZ498" i="36"/>
  <c r="DZ224" i="36"/>
  <c r="DZ227" i="36"/>
  <c r="ED222" i="36"/>
  <c r="EA46" i="35"/>
  <c r="EA48" i="35" s="1"/>
  <c r="EZ350" i="36"/>
  <c r="FE350" i="36" s="1"/>
  <c r="EV350" i="36"/>
  <c r="EU342" i="36"/>
  <c r="EF238" i="36"/>
  <c r="EK238" i="36"/>
  <c r="EW431" i="36"/>
  <c r="EW422" i="36"/>
  <c r="EX422" i="36" s="1"/>
  <c r="EW421" i="36"/>
  <c r="EX420" i="36"/>
  <c r="EH365" i="36"/>
  <c r="EM365" i="36"/>
  <c r="EO80" i="36"/>
  <c r="EJ71" i="36"/>
  <c r="EJ80" i="36"/>
  <c r="EN70" i="36"/>
  <c r="EJ74" i="36"/>
  <c r="EN162" i="35"/>
  <c r="EN77" i="35"/>
  <c r="FI419" i="36"/>
  <c r="FI293" i="36"/>
  <c r="FI298" i="36" s="1"/>
  <c r="FI424" i="36" s="1"/>
  <c r="EJ383" i="36"/>
  <c r="EO383" i="36"/>
  <c r="EF68" i="35"/>
  <c r="EF63" i="35"/>
  <c r="EF62" i="35"/>
  <c r="EK63" i="35"/>
  <c r="EX656" i="36"/>
  <c r="ES651" i="36"/>
  <c r="ES662" i="36" s="1"/>
  <c r="EJ237" i="36"/>
  <c r="EJ236" i="36"/>
  <c r="EJ241" i="36"/>
  <c r="EJ222" i="36"/>
  <c r="EJ239" i="36"/>
  <c r="EN235" i="36"/>
  <c r="EO236" i="36"/>
  <c r="ED120" i="35"/>
  <c r="EF20" i="36"/>
  <c r="EK24" i="36"/>
  <c r="DZ429" i="36"/>
  <c r="DZ282" i="36"/>
  <c r="ED430" i="36"/>
  <c r="ED435" i="36" s="1"/>
  <c r="EG377" i="36"/>
  <c r="EL377" i="36"/>
  <c r="EJ46" i="35"/>
  <c r="EN46" i="35" s="1"/>
  <c r="EN44" i="35"/>
  <c r="EJ154" i="35"/>
  <c r="EN152" i="35"/>
  <c r="EN154" i="35" s="1"/>
  <c r="EA33" i="36"/>
  <c r="EA36" i="36"/>
  <c r="ED576" i="36"/>
  <c r="ED30" i="36"/>
  <c r="ED570" i="36"/>
  <c r="EN386" i="36"/>
  <c r="EN384" i="36"/>
  <c r="EN381" i="36"/>
  <c r="EN382" i="36"/>
  <c r="ES381" i="36"/>
  <c r="EI385" i="36"/>
  <c r="EE129" i="35"/>
  <c r="EE122" i="35"/>
  <c r="CF5" i="32"/>
  <c r="CF5" i="36"/>
  <c r="CF5" i="35"/>
  <c r="EB44" i="35"/>
  <c r="EB362" i="36"/>
  <c r="EB364" i="36"/>
  <c r="FN607" i="36"/>
  <c r="FK607" i="36"/>
  <c r="FL607" i="36" s="1"/>
  <c r="FM607" i="36" s="1"/>
  <c r="EN662" i="36"/>
  <c r="EJ25" i="35"/>
  <c r="EI21" i="36"/>
  <c r="EI22" i="36"/>
  <c r="EQ535" i="36"/>
  <c r="EQ534" i="36"/>
  <c r="EQ533" i="36"/>
  <c r="EE361" i="36"/>
  <c r="EE362" i="36"/>
  <c r="EE364" i="36"/>
  <c r="EJ246" i="36"/>
  <c r="EO246" i="36"/>
  <c r="DU420" i="36"/>
  <c r="DZ421" i="36" s="1"/>
  <c r="DV428" i="36"/>
  <c r="DU428" i="36"/>
  <c r="DZ432" i="36"/>
  <c r="DU436" i="36"/>
  <c r="ED191" i="35"/>
  <c r="ED192" i="35" s="1"/>
  <c r="EC192" i="35"/>
  <c r="EN51" i="36"/>
  <c r="ES51" i="36"/>
  <c r="EF498" i="36"/>
  <c r="EF227" i="36"/>
  <c r="EF224" i="36"/>
  <c r="EF223" i="36"/>
  <c r="EK223" i="36"/>
  <c r="EF36" i="36"/>
  <c r="EF33" i="36"/>
  <c r="EK36" i="36"/>
  <c r="DY80" i="35"/>
  <c r="DY93" i="35" s="1"/>
  <c r="EH363" i="36"/>
  <c r="EM363" i="36"/>
  <c r="ED603" i="36"/>
  <c r="DZ609" i="36"/>
  <c r="EE610" i="36" s="1"/>
  <c r="DZ631" i="36"/>
  <c r="ED631" i="36" s="1"/>
  <c r="DZ605" i="36"/>
  <c r="EG362" i="36"/>
  <c r="EG364" i="36"/>
  <c r="EG361" i="36"/>
  <c r="EL361" i="36"/>
  <c r="EI383" i="36"/>
  <c r="EN14" i="36"/>
  <c r="ES14" i="36"/>
  <c r="EN32" i="36"/>
  <c r="EK365" i="36"/>
  <c r="EA21" i="36"/>
  <c r="EA20" i="36" s="1"/>
  <c r="ED374" i="36"/>
  <c r="ED378" i="36"/>
  <c r="ED376" i="36"/>
  <c r="EJ248" i="36"/>
  <c r="EO248" i="36"/>
  <c r="DW430" i="36"/>
  <c r="DW429" i="36" s="1"/>
  <c r="DW434" i="36" s="1"/>
  <c r="DW603" i="36"/>
  <c r="EE21" i="36"/>
  <c r="EE36" i="36"/>
  <c r="EE33" i="36"/>
  <c r="EA498" i="36"/>
  <c r="EA227" i="36"/>
  <c r="EA224" i="36"/>
  <c r="EB225" i="36" s="1"/>
  <c r="EI360" i="36"/>
  <c r="EJ79" i="35"/>
  <c r="EN76" i="35"/>
  <c r="EJ385" i="36"/>
  <c r="EO385" i="36"/>
  <c r="EG224" i="36"/>
  <c r="EG223" i="36"/>
  <c r="EG498" i="36"/>
  <c r="EG227" i="36"/>
  <c r="EL223" i="36"/>
  <c r="EI246" i="36"/>
  <c r="ER529" i="36"/>
  <c r="ER530" i="36"/>
  <c r="EG205" i="35"/>
  <c r="EG49" i="35"/>
  <c r="EH199" i="35"/>
  <c r="EG199" i="35"/>
  <c r="EG200" i="35" s="1"/>
  <c r="EG126" i="35" s="1"/>
  <c r="EL50" i="35"/>
  <c r="ES613" i="36"/>
  <c r="EX613" i="36" s="1"/>
  <c r="FC613" i="36" s="1"/>
  <c r="FH613" i="36" s="1"/>
  <c r="FI613" i="36" s="1"/>
  <c r="FJ613" i="36" s="1"/>
  <c r="FK613" i="36" s="1"/>
  <c r="FL613" i="36" s="1"/>
  <c r="FM613" i="36" s="1"/>
  <c r="ET466" i="36"/>
  <c r="ET45" i="36"/>
  <c r="ET205" i="36"/>
  <c r="EY204" i="36"/>
  <c r="EN249" i="36"/>
  <c r="EN244" i="36"/>
  <c r="EN247" i="36"/>
  <c r="EN245" i="36"/>
  <c r="ES244" i="36"/>
  <c r="EH157" i="35"/>
  <c r="EH159" i="35" s="1"/>
  <c r="EI159" i="35" s="1"/>
  <c r="EG163" i="35"/>
  <c r="EI241" i="36"/>
  <c r="EI237" i="36"/>
  <c r="EI236" i="36"/>
  <c r="EI239" i="36"/>
  <c r="EK363" i="36"/>
  <c r="FG42" i="36"/>
  <c r="FG463" i="36"/>
  <c r="FG347" i="36"/>
  <c r="FG340" i="36"/>
  <c r="FH339" i="36"/>
  <c r="EG238" i="36"/>
  <c r="EL238" i="36"/>
  <c r="EI248" i="36"/>
  <c r="DU129" i="35"/>
  <c r="DU104" i="35"/>
  <c r="DU122" i="35"/>
  <c r="DX58" i="4"/>
  <c r="DX59" i="4" s="1"/>
  <c r="DX61" i="4" s="1"/>
  <c r="DX68" i="4" s="1"/>
  <c r="DX59" i="36"/>
  <c r="DX60" i="36" s="1"/>
  <c r="DX62" i="36" s="1"/>
  <c r="DX63" i="36" s="1"/>
  <c r="DX58" i="35"/>
  <c r="DX59" i="35" s="1"/>
  <c r="DX61" i="35" s="1"/>
  <c r="ED5" i="2"/>
  <c r="ED5" i="36"/>
  <c r="ED5" i="35"/>
  <c r="EA362" i="36"/>
  <c r="EF363" i="36" s="1"/>
  <c r="EA364" i="36"/>
  <c r="EF365" i="36" s="1"/>
  <c r="EH21" i="36"/>
  <c r="EH36" i="36"/>
  <c r="EH33" i="36"/>
  <c r="EM36" i="36"/>
  <c r="EI205" i="35"/>
  <c r="EI49" i="35"/>
  <c r="EZ212" i="36"/>
  <c r="FE212" i="36" s="1"/>
  <c r="EV212" i="36"/>
  <c r="EU204" i="36"/>
  <c r="EN477" i="36"/>
  <c r="ES477" i="36"/>
  <c r="EA421" i="36"/>
  <c r="FH507" i="36"/>
  <c r="FH508" i="36" s="1"/>
  <c r="FH506" i="36"/>
  <c r="EN60" i="36"/>
  <c r="EJ62" i="36"/>
  <c r="DX605" i="36"/>
  <c r="DX609" i="36"/>
  <c r="EC610" i="36" s="1"/>
  <c r="DX631" i="36"/>
  <c r="DX649" i="36" s="1"/>
  <c r="DX652" i="36" s="1"/>
  <c r="EJ212" i="35"/>
  <c r="EN211" i="35"/>
  <c r="EN212" i="35" s="1"/>
  <c r="EE212" i="35"/>
  <c r="EI211" i="35"/>
  <c r="EI212" i="35" s="1"/>
  <c r="EG375" i="36"/>
  <c r="EL375" i="36"/>
  <c r="ES650" i="36"/>
  <c r="ES661" i="36" s="1"/>
  <c r="ES654" i="36"/>
  <c r="ES649" i="36" s="1"/>
  <c r="ES660" i="36" s="1"/>
  <c r="EX655" i="36"/>
  <c r="EJ629" i="36"/>
  <c r="EJ333" i="36"/>
  <c r="EJ633" i="36"/>
  <c r="EJ660" i="36"/>
  <c r="EJ23" i="36"/>
  <c r="EN19" i="36"/>
  <c r="EO23" i="36"/>
  <c r="EJ663" i="36"/>
  <c r="EN663" i="36" s="1"/>
  <c r="EN659" i="36"/>
  <c r="EJ22" i="35"/>
  <c r="EN50" i="36"/>
  <c r="ES50" i="36"/>
  <c r="EN13" i="36"/>
  <c r="EN12" i="36"/>
  <c r="ES13" i="36"/>
  <c r="EN31" i="36"/>
  <c r="EN474" i="36"/>
  <c r="ES474" i="36"/>
  <c r="EI374" i="36"/>
  <c r="EI373" i="36"/>
  <c r="EI378" i="36"/>
  <c r="EI376" i="36"/>
  <c r="EN12" i="35"/>
  <c r="EJ16" i="35"/>
  <c r="EH238" i="36"/>
  <c r="EM238" i="36"/>
  <c r="EG33" i="36"/>
  <c r="EG36" i="36"/>
  <c r="EL36" i="36"/>
  <c r="EB498" i="36"/>
  <c r="DW68" i="35"/>
  <c r="DW62" i="35"/>
  <c r="DV46" i="35"/>
  <c r="DV48" i="35" s="1"/>
  <c r="DZ36" i="36"/>
  <c r="DZ33" i="36"/>
  <c r="EJ77" i="36"/>
  <c r="EO77" i="36"/>
  <c r="EN661" i="36"/>
  <c r="EJ24" i="35"/>
  <c r="EN24" i="35" s="1"/>
  <c r="EN629" i="36"/>
  <c r="ES629" i="36"/>
  <c r="EC498" i="36"/>
  <c r="EC227" i="36"/>
  <c r="EC224" i="36"/>
  <c r="EC225" i="36" s="1"/>
  <c r="C2502" i="3"/>
  <c r="FM571" i="36"/>
  <c r="ET571" i="36"/>
  <c r="EU571" i="36" s="1"/>
  <c r="EV571" i="36" s="1"/>
  <c r="EW571" i="36" s="1"/>
  <c r="EO571" i="36"/>
  <c r="EP571" i="36" s="1"/>
  <c r="EQ571" i="36" s="1"/>
  <c r="ER571" i="36" s="1"/>
  <c r="B3039" i="3"/>
  <c r="B3040" i="3" s="1"/>
  <c r="EE561" i="2"/>
  <c r="EE559" i="2" s="1"/>
  <c r="EE565" i="2" s="1"/>
  <c r="D2478" i="3"/>
  <c r="D2480" i="3" s="1"/>
  <c r="D2483" i="3" s="1"/>
  <c r="D2503" i="3" s="1"/>
  <c r="EJ561" i="2"/>
  <c r="E193" i="11"/>
  <c r="G172" i="11"/>
  <c r="G193" i="11" s="1"/>
  <c r="EC374" i="10"/>
  <c r="EC42" i="2"/>
  <c r="EC11" i="4" s="1"/>
  <c r="EC12" i="4" s="1"/>
  <c r="EC16" i="4" s="1"/>
  <c r="EC18" i="4" s="1"/>
  <c r="EC102" i="10" s="1"/>
  <c r="EC190" i="2"/>
  <c r="EC625" i="2" s="1"/>
  <c r="EC627" i="2" s="1"/>
  <c r="EC648" i="2" s="1"/>
  <c r="R74" i="29"/>
  <c r="U78" i="29"/>
  <c r="R76" i="29"/>
  <c r="R100" i="29" s="1"/>
  <c r="U80" i="29"/>
  <c r="I77" i="29"/>
  <c r="I76" i="29"/>
  <c r="J76" i="29" s="1"/>
  <c r="K76" i="29" s="1"/>
  <c r="R75" i="29"/>
  <c r="R99" i="29" s="1"/>
  <c r="U79" i="29"/>
  <c r="O99" i="29"/>
  <c r="P99" i="29"/>
  <c r="Q99" i="29"/>
  <c r="Q100" i="29"/>
  <c r="P100" i="29"/>
  <c r="O100" i="29"/>
  <c r="R77" i="29"/>
  <c r="V81" i="29" s="1"/>
  <c r="T71" i="29"/>
  <c r="DZ79" i="18"/>
  <c r="DZ78" i="18" s="1"/>
  <c r="DZ81" i="18" s="1"/>
  <c r="EA73" i="18"/>
  <c r="EA75" i="18" s="1"/>
  <c r="EE73" i="18"/>
  <c r="EE79" i="18" s="1"/>
  <c r="EE78" i="18" s="1"/>
  <c r="DZ74" i="18"/>
  <c r="C114" i="3"/>
  <c r="B82" i="3"/>
  <c r="B111" i="3"/>
  <c r="B126" i="3"/>
  <c r="B87" i="3"/>
  <c r="B89" i="3" s="1"/>
  <c r="C78" i="3"/>
  <c r="C79" i="3" s="1"/>
  <c r="C83" i="3" s="1"/>
  <c r="C91" i="3"/>
  <c r="C93" i="3" s="1"/>
  <c r="DY323" i="2"/>
  <c r="DY408" i="10" s="1"/>
  <c r="EE407" i="2"/>
  <c r="EE412" i="2" s="1"/>
  <c r="EI5" i="1"/>
  <c r="ED5" i="10"/>
  <c r="ED5" i="18"/>
  <c r="ED5" i="4"/>
  <c r="ED5" i="32"/>
  <c r="EE17" i="32"/>
  <c r="EC21" i="2"/>
  <c r="EC20" i="2" s="1"/>
  <c r="EC9" i="32"/>
  <c r="EC11" i="32" s="1"/>
  <c r="EC15" i="32" s="1"/>
  <c r="EF21" i="2"/>
  <c r="EF24" i="2" s="1"/>
  <c r="EF9" i="32"/>
  <c r="EF11" i="32" s="1"/>
  <c r="EF15" i="32" s="1"/>
  <c r="EB21" i="2"/>
  <c r="EB20" i="2" s="1"/>
  <c r="EB9" i="32"/>
  <c r="EB11" i="32" s="1"/>
  <c r="EB15" i="32" s="1"/>
  <c r="EI8" i="32"/>
  <c r="ED17" i="32"/>
  <c r="G3153" i="3"/>
  <c r="EF545" i="2"/>
  <c r="I3257" i="3"/>
  <c r="I3188" i="3" s="1"/>
  <c r="I3183" i="3" s="1"/>
  <c r="I3181" i="3" s="1"/>
  <c r="I3186" i="3" s="1"/>
  <c r="DZ175" i="2"/>
  <c r="B3154" i="3" s="1"/>
  <c r="EF541" i="2"/>
  <c r="H3153" i="3"/>
  <c r="D3154" i="3"/>
  <c r="D3153" i="3" s="1"/>
  <c r="EB153" i="2"/>
  <c r="EB164" i="2" s="1"/>
  <c r="C3154" i="3"/>
  <c r="C3153" i="3" s="1"/>
  <c r="EA153" i="2"/>
  <c r="EA164" i="2" s="1"/>
  <c r="E3154" i="3"/>
  <c r="E3153" i="3" s="1"/>
  <c r="EC153" i="2"/>
  <c r="EC164" i="2" s="1"/>
  <c r="EE212" i="4"/>
  <c r="EF203" i="4"/>
  <c r="EF211" i="4"/>
  <c r="EF212" i="4" s="1"/>
  <c r="EI200" i="2"/>
  <c r="EI208" i="2" s="1"/>
  <c r="EE373" i="10"/>
  <c r="EE41" i="2"/>
  <c r="EE462" i="2"/>
  <c r="EE472" i="2" s="1"/>
  <c r="EE208" i="2"/>
  <c r="EE623" i="2"/>
  <c r="EE649" i="2" s="1"/>
  <c r="EI649" i="2" s="1"/>
  <c r="EI621" i="2"/>
  <c r="EI623" i="2" s="1"/>
  <c r="EK467" i="2"/>
  <c r="EP477" i="2" s="1"/>
  <c r="EP476" i="2"/>
  <c r="C2484" i="3"/>
  <c r="C2504" i="3" s="1"/>
  <c r="D2499" i="3"/>
  <c r="E2494" i="3"/>
  <c r="E2496" i="3" s="1"/>
  <c r="E2497" i="3" s="1"/>
  <c r="EF457" i="2"/>
  <c r="FE469" i="2"/>
  <c r="F2701" i="3"/>
  <c r="F2717" i="3" s="1"/>
  <c r="E171" i="11"/>
  <c r="D192" i="11"/>
  <c r="Y42" i="30"/>
  <c r="X42" i="30"/>
  <c r="EJ80" i="2"/>
  <c r="EO80" i="2"/>
  <c r="DZ130" i="18"/>
  <c r="DZ129" i="18" s="1"/>
  <c r="DU371" i="18"/>
  <c r="DV375" i="18" s="1"/>
  <c r="DU375" i="18" s="1"/>
  <c r="DY375" i="18" s="1"/>
  <c r="DX471" i="18"/>
  <c r="EC559" i="2"/>
  <c r="EC560" i="2" s="1"/>
  <c r="DW411" i="18"/>
  <c r="DX409" i="18"/>
  <c r="DV390" i="18"/>
  <c r="DV432" i="18"/>
  <c r="DW388" i="18"/>
  <c r="DV462" i="18"/>
  <c r="DV373" i="18"/>
  <c r="DW377" i="18" s="1"/>
  <c r="DX244" i="18"/>
  <c r="DW302" i="18"/>
  <c r="DW223" i="18"/>
  <c r="DW667" i="18"/>
  <c r="FF72" i="4"/>
  <c r="FE98" i="4"/>
  <c r="EP377" i="10"/>
  <c r="EH471" i="2"/>
  <c r="EM471" i="2"/>
  <c r="EJ108" i="10"/>
  <c r="EJ165" i="4"/>
  <c r="EN165" i="4" s="1"/>
  <c r="EJ70" i="1"/>
  <c r="EN68" i="1"/>
  <c r="EJ96" i="4"/>
  <c r="EJ81" i="4"/>
  <c r="EN29" i="2"/>
  <c r="EH209" i="2"/>
  <c r="EM209" i="2"/>
  <c r="EH248" i="2"/>
  <c r="EM248" i="2"/>
  <c r="ED192" i="2"/>
  <c r="DW460" i="18"/>
  <c r="H100" i="29"/>
  <c r="DX59" i="2"/>
  <c r="DX60" i="2" s="1"/>
  <c r="DX62" i="2" s="1"/>
  <c r="DX63" i="2" s="1"/>
  <c r="DX545" i="1"/>
  <c r="DZ372" i="10"/>
  <c r="ED170" i="2"/>
  <c r="ED175" i="2" s="1"/>
  <c r="ED153" i="2" s="1"/>
  <c r="ED164" i="2" s="1"/>
  <c r="N100" i="29"/>
  <c r="EC505" i="2"/>
  <c r="EC507" i="2" s="1"/>
  <c r="D3396" i="3"/>
  <c r="D3398" i="3" s="1"/>
  <c r="EA408" i="2"/>
  <c r="EA601" i="2" s="1"/>
  <c r="L99" i="29"/>
  <c r="K99" i="29"/>
  <c r="M100" i="29"/>
  <c r="ED396" i="2"/>
  <c r="ED401" i="2" s="1"/>
  <c r="ED264" i="10" s="1"/>
  <c r="L100" i="29"/>
  <c r="DU619" i="2"/>
  <c r="DU457" i="2" s="1"/>
  <c r="ED490" i="2"/>
  <c r="N99" i="29"/>
  <c r="E3439" i="3"/>
  <c r="E3454" i="3" s="1"/>
  <c r="G99" i="29"/>
  <c r="EB120" i="2"/>
  <c r="EB131" i="2"/>
  <c r="D39" i="29"/>
  <c r="D41" i="29" s="1"/>
  <c r="EB185" i="10"/>
  <c r="EC542" i="2"/>
  <c r="EC540" i="2" s="1"/>
  <c r="EC541" i="2" s="1"/>
  <c r="M99" i="29"/>
  <c r="EB176" i="2"/>
  <c r="EB143" i="2"/>
  <c r="E68" i="29"/>
  <c r="E118" i="29" s="1"/>
  <c r="EB94" i="2"/>
  <c r="EA90" i="2"/>
  <c r="EE542" i="2"/>
  <c r="EG647" i="2"/>
  <c r="EG640" i="2"/>
  <c r="EJ193" i="2"/>
  <c r="ED185" i="10"/>
  <c r="G3440" i="3"/>
  <c r="J3461" i="3" s="1"/>
  <c r="B3477" i="3"/>
  <c r="J5154" i="3"/>
  <c r="C5162" i="3" s="1"/>
  <c r="C4845" i="3"/>
  <c r="C5710" i="3"/>
  <c r="ED120" i="2"/>
  <c r="B212" i="11"/>
  <c r="B124" i="29"/>
  <c r="ED143" i="2"/>
  <c r="B292" i="38" s="1"/>
  <c r="ED131" i="2"/>
  <c r="DZ201" i="2"/>
  <c r="DZ374" i="10" s="1"/>
  <c r="ED199" i="2"/>
  <c r="ED372" i="10" s="1"/>
  <c r="DZ461" i="2"/>
  <c r="ED461" i="2" s="1"/>
  <c r="DY360" i="10"/>
  <c r="DY258" i="2"/>
  <c r="F118" i="29"/>
  <c r="ED310" i="2"/>
  <c r="B4317" i="3"/>
  <c r="B4330" i="3" s="1"/>
  <c r="B4333" i="3" s="1"/>
  <c r="ED183" i="2"/>
  <c r="ED247" i="2" s="1"/>
  <c r="DZ457" i="2"/>
  <c r="EG328" i="2"/>
  <c r="DZ647" i="2"/>
  <c r="ED617" i="2"/>
  <c r="C4911" i="3" s="1"/>
  <c r="EG412" i="10"/>
  <c r="DZ230" i="2"/>
  <c r="DZ384" i="10" s="1"/>
  <c r="F4301" i="3"/>
  <c r="G4288" i="3"/>
  <c r="H4288" i="3" s="1"/>
  <c r="EJ207" i="2"/>
  <c r="EJ489" i="2"/>
  <c r="EJ573" i="2"/>
  <c r="EH455" i="2"/>
  <c r="EH573" i="2"/>
  <c r="EB455" i="2"/>
  <c r="EB573" i="2"/>
  <c r="ED373" i="10"/>
  <c r="ED188" i="2"/>
  <c r="ED362" i="10" s="1"/>
  <c r="EF573" i="2"/>
  <c r="FD129" i="10"/>
  <c r="ES98" i="4"/>
  <c r="EF566" i="2"/>
  <c r="ED451" i="2"/>
  <c r="DZ573" i="2"/>
  <c r="ED421" i="10"/>
  <c r="ED325" i="2"/>
  <c r="ED410" i="10" s="1"/>
  <c r="EA573" i="2"/>
  <c r="F3039" i="3"/>
  <c r="F3040" i="3" s="1"/>
  <c r="EJ395" i="2"/>
  <c r="EJ400" i="2" s="1"/>
  <c r="EF274" i="2"/>
  <c r="EF382" i="2"/>
  <c r="EF299" i="2"/>
  <c r="EF425" i="2" s="1"/>
  <c r="EF263" i="2"/>
  <c r="EJ201" i="2"/>
  <c r="EJ461" i="2"/>
  <c r="EC432" i="10"/>
  <c r="D4670" i="3"/>
  <c r="G4636" i="3"/>
  <c r="H4636" i="3" s="1"/>
  <c r="G4544" i="3"/>
  <c r="G4436" i="3" s="1"/>
  <c r="E4651" i="3"/>
  <c r="E4670" i="3" s="1"/>
  <c r="EH328" i="2"/>
  <c r="EG505" i="2"/>
  <c r="EG507" i="2" s="1"/>
  <c r="E4647" i="3"/>
  <c r="EG231" i="2"/>
  <c r="DY395" i="2"/>
  <c r="C4566" i="3"/>
  <c r="C4568" i="3" s="1"/>
  <c r="B3014" i="3"/>
  <c r="C3014" i="3" s="1"/>
  <c r="B3009" i="3"/>
  <c r="B3011" i="3" s="1"/>
  <c r="D3007" i="3"/>
  <c r="C3008" i="3"/>
  <c r="B3015" i="3"/>
  <c r="EG476" i="2"/>
  <c r="EL476" i="2"/>
  <c r="I4504" i="3"/>
  <c r="I4506" i="3" s="1"/>
  <c r="EI97" i="18"/>
  <c r="EB458" i="2"/>
  <c r="EC412" i="10"/>
  <c r="EI346" i="2"/>
  <c r="J173" i="11"/>
  <c r="K173" i="11" s="1"/>
  <c r="G4419" i="3"/>
  <c r="G4939" i="3" s="1"/>
  <c r="G4940" i="3" s="1"/>
  <c r="DX526" i="18"/>
  <c r="J4503" i="3"/>
  <c r="FE48" i="2"/>
  <c r="EB270" i="18"/>
  <c r="EB277" i="18" s="1"/>
  <c r="EB48" i="18" s="1"/>
  <c r="I5148" i="3"/>
  <c r="I5149" i="3" s="1"/>
  <c r="G4623" i="3"/>
  <c r="FE29" i="2"/>
  <c r="EB514" i="18"/>
  <c r="EB530" i="18" s="1"/>
  <c r="H4612" i="3"/>
  <c r="H4614" i="3" s="1"/>
  <c r="H4616" i="3" s="1"/>
  <c r="H4843" i="3"/>
  <c r="EM376" i="18"/>
  <c r="FF11" i="2"/>
  <c r="F504" i="3" s="1"/>
  <c r="H4609" i="3"/>
  <c r="H5184" i="3"/>
  <c r="H4625" i="3"/>
  <c r="DW277" i="18"/>
  <c r="DW48" i="18" s="1"/>
  <c r="EK471" i="2"/>
  <c r="EK350" i="2"/>
  <c r="DW530" i="18"/>
  <c r="DW531" i="18" s="1"/>
  <c r="DW532" i="18" s="1"/>
  <c r="EK463" i="2"/>
  <c r="EP473" i="2" s="1"/>
  <c r="EK209" i="2"/>
  <c r="EK190" i="2"/>
  <c r="EP191" i="2" s="1"/>
  <c r="EK327" i="2"/>
  <c r="EP328" i="2" s="1"/>
  <c r="EK347" i="2"/>
  <c r="N4419" i="3"/>
  <c r="I4564" i="3"/>
  <c r="G4616" i="3"/>
  <c r="I4834" i="3"/>
  <c r="N4438" i="3"/>
  <c r="N4616" i="3"/>
  <c r="N4424" i="3" s="1"/>
  <c r="H4543" i="3"/>
  <c r="H4506" i="3"/>
  <c r="H5728" i="3" s="1"/>
  <c r="G4655" i="3"/>
  <c r="G4674" i="3" s="1"/>
  <c r="E4299" i="3"/>
  <c r="E5059" i="3"/>
  <c r="M5763" i="3"/>
  <c r="EI23" i="2"/>
  <c r="N4623" i="3"/>
  <c r="N4425" i="3" s="1"/>
  <c r="FD17" i="4"/>
  <c r="E4292" i="3"/>
  <c r="EH96" i="18"/>
  <c r="EI96" i="18" s="1"/>
  <c r="D4311" i="3"/>
  <c r="J5152" i="3"/>
  <c r="J5150" i="3" s="1"/>
  <c r="J5149" i="3" s="1"/>
  <c r="S5745" i="3"/>
  <c r="S5739" i="3" s="1"/>
  <c r="L5763" i="3" s="1"/>
  <c r="EG101" i="18"/>
  <c r="EG77" i="18" s="1"/>
  <c r="EG80" i="18" s="1"/>
  <c r="D3370" i="3"/>
  <c r="E3367" i="3" s="1"/>
  <c r="ED146" i="18"/>
  <c r="EB128" i="10"/>
  <c r="B36" i="25"/>
  <c r="ED462" i="2"/>
  <c r="EE484" i="18"/>
  <c r="EF374" i="18"/>
  <c r="EF379" i="18" s="1"/>
  <c r="ED162" i="18"/>
  <c r="EB418" i="2"/>
  <c r="EB292" i="2"/>
  <c r="EB611" i="2"/>
  <c r="EI93" i="18"/>
  <c r="EG118" i="18"/>
  <c r="EG120" i="18" s="1"/>
  <c r="EE378" i="18"/>
  <c r="EI378" i="18" s="1"/>
  <c r="ED41" i="2"/>
  <c r="EJ91" i="18"/>
  <c r="B266" i="24" s="1"/>
  <c r="ED10" i="4"/>
  <c r="EA431" i="18"/>
  <c r="EA426" i="18" s="1"/>
  <c r="EA425" i="18" s="1"/>
  <c r="EA430" i="18" s="1"/>
  <c r="EE539" i="1"/>
  <c r="EE540" i="1" s="1"/>
  <c r="B4903" i="3"/>
  <c r="B4905" i="3" s="1"/>
  <c r="ED599" i="2"/>
  <c r="F5148" i="3"/>
  <c r="F5151" i="3" s="1"/>
  <c r="EF245" i="18"/>
  <c r="EF240" i="18" s="1"/>
  <c r="ED21" i="2"/>
  <c r="EF248" i="2"/>
  <c r="EI575" i="2"/>
  <c r="EI15" i="2"/>
  <c r="EE269" i="2"/>
  <c r="EE406" i="2" s="1"/>
  <c r="EE282" i="2"/>
  <c r="EE293" i="2" s="1"/>
  <c r="EC458" i="2"/>
  <c r="EH374" i="10"/>
  <c r="D4323" i="3"/>
  <c r="D4327" i="3" s="1"/>
  <c r="G104" i="6"/>
  <c r="EH42" i="2"/>
  <c r="EH43" i="2" s="1"/>
  <c r="EH463" i="2"/>
  <c r="C36" i="25"/>
  <c r="ED273" i="18"/>
  <c r="EA434" i="2"/>
  <c r="EH190" i="2"/>
  <c r="I4136" i="3"/>
  <c r="DX650" i="2"/>
  <c r="E4132" i="3"/>
  <c r="EI44" i="2"/>
  <c r="I4138" i="3"/>
  <c r="I4159" i="3" s="1"/>
  <c r="EH458" i="2"/>
  <c r="ED411" i="2"/>
  <c r="EI440" i="2"/>
  <c r="EI445" i="2" s="1"/>
  <c r="EA411" i="2"/>
  <c r="EJ455" i="2"/>
  <c r="DY123" i="18"/>
  <c r="EI455" i="18"/>
  <c r="EI460" i="18" s="1"/>
  <c r="EJ460" i="18" s="1"/>
  <c r="EJ455" i="18" s="1"/>
  <c r="EG36" i="2"/>
  <c r="DU569" i="1"/>
  <c r="DV572" i="1"/>
  <c r="EF425" i="10"/>
  <c r="EF466" i="2"/>
  <c r="EK476" i="2" s="1"/>
  <c r="EF45" i="2"/>
  <c r="EF350" i="2"/>
  <c r="EF612" i="2"/>
  <c r="EF613" i="2" s="1"/>
  <c r="EI342" i="2"/>
  <c r="ED623" i="2"/>
  <c r="EI329" i="2"/>
  <c r="EI414" i="10" s="1"/>
  <c r="EI424" i="10"/>
  <c r="EF626" i="2"/>
  <c r="EA412" i="10"/>
  <c r="D32" i="29"/>
  <c r="EJ440" i="2"/>
  <c r="EJ445" i="2" s="1"/>
  <c r="EJ169" i="2"/>
  <c r="E159" i="24"/>
  <c r="B4462" i="3"/>
  <c r="B4465" i="3" s="1"/>
  <c r="EJ204" i="2"/>
  <c r="EJ211" i="2"/>
  <c r="EJ465" i="2"/>
  <c r="EF328" i="2"/>
  <c r="EP113" i="18"/>
  <c r="EO212" i="18"/>
  <c r="EE110" i="1"/>
  <c r="EI102" i="1"/>
  <c r="L197" i="11"/>
  <c r="M176" i="11"/>
  <c r="EG458" i="2"/>
  <c r="EA15" i="4"/>
  <c r="DX586" i="18"/>
  <c r="EF607" i="2"/>
  <c r="EF505" i="2"/>
  <c r="EF507" i="2" s="1"/>
  <c r="EA445" i="2"/>
  <c r="EO461" i="18"/>
  <c r="EO399" i="18"/>
  <c r="EP389" i="18"/>
  <c r="EO124" i="18"/>
  <c r="EO290" i="18" s="1"/>
  <c r="B66" i="11"/>
  <c r="EH14" i="4"/>
  <c r="EH15" i="4" s="1"/>
  <c r="EH46" i="2"/>
  <c r="EH476" i="2"/>
  <c r="EH467" i="2"/>
  <c r="H4653" i="3"/>
  <c r="H4672" i="3" s="1"/>
  <c r="I4637" i="3"/>
  <c r="EH21" i="2"/>
  <c r="EH20" i="2" s="1"/>
  <c r="EH33" i="2"/>
  <c r="E27" i="29"/>
  <c r="F24" i="29" s="1"/>
  <c r="E3382" i="3"/>
  <c r="F3379" i="3"/>
  <c r="EH231" i="2"/>
  <c r="EH505" i="2"/>
  <c r="EH384" i="10"/>
  <c r="ED289" i="18"/>
  <c r="D3381" i="3"/>
  <c r="D3383" i="3" s="1"/>
  <c r="D3384" i="3" s="1"/>
  <c r="E3381" i="3" s="1"/>
  <c r="C3389" i="3"/>
  <c r="EF550" i="1"/>
  <c r="EE557" i="1"/>
  <c r="EG190" i="2"/>
  <c r="EG42" i="2"/>
  <c r="EG374" i="10"/>
  <c r="EG463" i="2"/>
  <c r="C33" i="25"/>
  <c r="ED269" i="18"/>
  <c r="EE608" i="2"/>
  <c r="EE161" i="10" s="1"/>
  <c r="EE604" i="2"/>
  <c r="EI602" i="2"/>
  <c r="EF33" i="2"/>
  <c r="EF36" i="2"/>
  <c r="EE429" i="2"/>
  <c r="EI430" i="2"/>
  <c r="EI435" i="2" s="1"/>
  <c r="DU151" i="18"/>
  <c r="DU143" i="18"/>
  <c r="DU251" i="18" s="1"/>
  <c r="DV150" i="18"/>
  <c r="DU33" i="18"/>
  <c r="DU34" i="18" s="1"/>
  <c r="EE367" i="2"/>
  <c r="EI319" i="2"/>
  <c r="EI493" i="2"/>
  <c r="EE494" i="2"/>
  <c r="DU96" i="4"/>
  <c r="DY96" i="4" s="1"/>
  <c r="DU81" i="4"/>
  <c r="C57" i="11"/>
  <c r="D42" i="11"/>
  <c r="C66" i="11"/>
  <c r="C3562" i="3"/>
  <c r="C3565" i="3" s="1"/>
  <c r="EI192" i="2"/>
  <c r="ED574" i="2"/>
  <c r="EE101" i="2"/>
  <c r="DZ184" i="10"/>
  <c r="DZ447" i="2"/>
  <c r="DZ436" i="2"/>
  <c r="DZ402" i="2"/>
  <c r="EA574" i="2"/>
  <c r="DY99" i="2"/>
  <c r="DZ100" i="2" s="1"/>
  <c r="ED100" i="2" s="1"/>
  <c r="EH192" i="4"/>
  <c r="EI191" i="4"/>
  <c r="EI192" i="4" s="1"/>
  <c r="EE401" i="2"/>
  <c r="EE264" i="10" s="1"/>
  <c r="EI396" i="2"/>
  <c r="EI401" i="2" s="1"/>
  <c r="EI264" i="10" s="1"/>
  <c r="EI317" i="2"/>
  <c r="EE193" i="2"/>
  <c r="EF9" i="4"/>
  <c r="EE395" i="2"/>
  <c r="EI258" i="2"/>
  <c r="EG14" i="4"/>
  <c r="EG15" i="4" s="1"/>
  <c r="EG46" i="2"/>
  <c r="EI617" i="2"/>
  <c r="B169" i="41" s="1"/>
  <c r="EE619" i="2"/>
  <c r="F25" i="29"/>
  <c r="G22" i="29"/>
  <c r="ED408" i="2"/>
  <c r="EC601" i="2"/>
  <c r="EC414" i="2"/>
  <c r="EC413" i="2"/>
  <c r="EC452" i="2"/>
  <c r="G3259" i="3"/>
  <c r="G3260" i="3" s="1"/>
  <c r="G3262" i="3" s="1"/>
  <c r="G3245" i="3"/>
  <c r="G3244" i="3" s="1"/>
  <c r="G3234" i="3" s="1"/>
  <c r="G3229" i="3" s="1"/>
  <c r="G3239" i="3" s="1"/>
  <c r="W3120" i="3" s="1"/>
  <c r="G3188" i="3"/>
  <c r="G3183" i="3" s="1"/>
  <c r="G3181" i="3" s="1"/>
  <c r="G3185" i="3" s="1"/>
  <c r="EI377" i="10"/>
  <c r="EI606" i="2"/>
  <c r="EI368" i="10" s="1"/>
  <c r="G5083" i="3"/>
  <c r="F5092" i="3"/>
  <c r="L5742" i="3"/>
  <c r="M5748" i="3"/>
  <c r="G4635" i="3"/>
  <c r="F4651" i="3"/>
  <c r="F4647" i="3"/>
  <c r="EH626" i="2"/>
  <c r="EM412" i="10"/>
  <c r="EH412" i="10"/>
  <c r="EG368" i="2"/>
  <c r="F153" i="24"/>
  <c r="F156" i="24" s="1"/>
  <c r="F157" i="24" s="1"/>
  <c r="EI30" i="2"/>
  <c r="G141" i="11"/>
  <c r="G53" i="11"/>
  <c r="G108" i="11"/>
  <c r="G110" i="11" s="1"/>
  <c r="G65" i="11"/>
  <c r="H41" i="11"/>
  <c r="G84" i="11"/>
  <c r="G126" i="11"/>
  <c r="G99" i="11"/>
  <c r="EG467" i="2"/>
  <c r="EL477" i="2" s="1"/>
  <c r="D4566" i="3"/>
  <c r="EC649" i="2"/>
  <c r="ED649" i="2" s="1"/>
  <c r="EE175" i="2"/>
  <c r="F3144" i="3"/>
  <c r="EI170" i="2"/>
  <c r="EI175" i="2" s="1"/>
  <c r="EI153" i="2" s="1"/>
  <c r="EI164" i="2" s="1"/>
  <c r="EL606" i="2"/>
  <c r="EL368" i="10" s="1"/>
  <c r="EG607" i="2"/>
  <c r="EH607" i="2" s="1"/>
  <c r="EH606" i="2" s="1"/>
  <c r="EG368" i="10"/>
  <c r="EI60" i="18"/>
  <c r="B206" i="6"/>
  <c r="B208" i="6" s="1"/>
  <c r="D4994" i="3"/>
  <c r="EN41" i="4"/>
  <c r="EI41" i="4"/>
  <c r="EE207" i="2"/>
  <c r="EE372" i="10"/>
  <c r="EI199" i="2"/>
  <c r="EE40" i="2"/>
  <c r="EE461" i="2"/>
  <c r="EE201" i="2"/>
  <c r="ED190" i="4"/>
  <c r="EC191" i="4"/>
  <c r="EA122" i="10"/>
  <c r="EA134" i="4"/>
  <c r="EA114" i="10" s="1"/>
  <c r="EA123" i="10" s="1"/>
  <c r="EN99" i="4"/>
  <c r="EN66" i="4"/>
  <c r="D125" i="13"/>
  <c r="D127" i="13" s="1"/>
  <c r="E123" i="13"/>
  <c r="DU420" i="18"/>
  <c r="DU483" i="18" s="1"/>
  <c r="DU478" i="18" s="1"/>
  <c r="DY415" i="18"/>
  <c r="DY420" i="18" s="1"/>
  <c r="DY483" i="18" s="1"/>
  <c r="EE345" i="2"/>
  <c r="EE339" i="2"/>
  <c r="EJ347" i="2" s="1"/>
  <c r="EI337" i="2"/>
  <c r="EI323" i="2" s="1"/>
  <c r="EE420" i="10"/>
  <c r="EM44" i="18"/>
  <c r="EN259" i="18"/>
  <c r="F5765" i="3"/>
  <c r="O5741" i="3"/>
  <c r="EE230" i="2"/>
  <c r="EE247" i="2"/>
  <c r="EI183" i="2"/>
  <c r="EI247" i="2" s="1"/>
  <c r="J5420" i="3"/>
  <c r="DY164" i="4"/>
  <c r="DY165" i="4" s="1"/>
  <c r="EE453" i="2"/>
  <c r="EE573" i="2" s="1"/>
  <c r="EI316" i="2"/>
  <c r="EF567" i="2"/>
  <c r="EF570" i="2"/>
  <c r="EF569" i="2"/>
  <c r="EI113" i="2"/>
  <c r="EE169" i="2"/>
  <c r="N5747" i="3"/>
  <c r="N5741" i="3" s="1"/>
  <c r="H5765" i="3" s="1"/>
  <c r="M5741" i="3"/>
  <c r="G5765" i="3" s="1"/>
  <c r="C151" i="11"/>
  <c r="B166" i="11"/>
  <c r="B210" i="11" s="1"/>
  <c r="B170" i="11"/>
  <c r="EI488" i="2"/>
  <c r="EE489" i="2"/>
  <c r="EF190" i="2"/>
  <c r="EF42" i="2"/>
  <c r="EF11" i="4" s="1"/>
  <c r="EF374" i="10"/>
  <c r="EF463" i="2"/>
  <c r="EF464" i="2" s="1"/>
  <c r="EN202" i="4"/>
  <c r="DZ626" i="2"/>
  <c r="DZ412" i="10"/>
  <c r="G171" i="19"/>
  <c r="F171" i="19"/>
  <c r="G124" i="6"/>
  <c r="F126" i="6"/>
  <c r="EB421" i="2"/>
  <c r="EA502" i="18"/>
  <c r="DU502" i="18"/>
  <c r="DV524" i="18"/>
  <c r="K4310" i="3"/>
  <c r="K4297" i="3"/>
  <c r="K46" i="22"/>
  <c r="J45" i="22"/>
  <c r="H43" i="22"/>
  <c r="G42" i="22"/>
  <c r="I44" i="22"/>
  <c r="F41" i="22"/>
  <c r="F85" i="22" s="1"/>
  <c r="M48" i="22"/>
  <c r="L47" i="22"/>
  <c r="EQ250" i="18"/>
  <c r="ER142" i="18"/>
  <c r="W5745" i="3"/>
  <c r="X5745" i="3" s="1"/>
  <c r="V5739" i="3"/>
  <c r="E188" i="24"/>
  <c r="F184" i="24"/>
  <c r="DZ430" i="2"/>
  <c r="ED428" i="2"/>
  <c r="DZ602" i="2"/>
  <c r="EN371" i="18"/>
  <c r="EN425" i="18" s="1"/>
  <c r="EH416" i="10"/>
  <c r="EM612" i="2"/>
  <c r="EM416" i="10" s="1"/>
  <c r="ED422" i="10"/>
  <c r="DZ342" i="2"/>
  <c r="DZ424" i="10"/>
  <c r="ED341" i="2"/>
  <c r="EE349" i="2"/>
  <c r="DZ44" i="2"/>
  <c r="DZ465" i="2"/>
  <c r="EA190" i="2"/>
  <c r="EA374" i="10"/>
  <c r="EA42" i="2"/>
  <c r="EA463" i="2"/>
  <c r="EA464" i="2" s="1"/>
  <c r="EF209" i="2"/>
  <c r="DV68" i="4"/>
  <c r="DV62" i="4"/>
  <c r="G29" i="20"/>
  <c r="H28" i="20" s="1"/>
  <c r="ED195" i="18"/>
  <c r="EC83" i="18"/>
  <c r="EC196" i="18"/>
  <c r="EC656" i="18" s="1"/>
  <c r="EC655" i="18" s="1"/>
  <c r="EC197" i="18"/>
  <c r="EC291" i="18"/>
  <c r="DZ96" i="4"/>
  <c r="ED96" i="4" s="1"/>
  <c r="DZ81" i="4"/>
  <c r="ED79" i="4"/>
  <c r="DW526" i="18"/>
  <c r="ED493" i="18"/>
  <c r="ED512" i="18" s="1"/>
  <c r="ED513" i="18" s="1"/>
  <c r="DZ512" i="18"/>
  <c r="EB86" i="18"/>
  <c r="DV123" i="18"/>
  <c r="DZ98" i="18"/>
  <c r="DX566" i="18"/>
  <c r="DX516" i="18"/>
  <c r="DX532" i="18"/>
  <c r="DV97" i="18"/>
  <c r="DU97" i="18" s="1"/>
  <c r="DY97" i="18" s="1"/>
  <c r="F174" i="24"/>
  <c r="G170" i="24"/>
  <c r="G174" i="24" s="1"/>
  <c r="EB112" i="1"/>
  <c r="EB120" i="1" s="1"/>
  <c r="ED120" i="1" s="1"/>
  <c r="ED110" i="1"/>
  <c r="ED112" i="1" s="1"/>
  <c r="H3224" i="3"/>
  <c r="I3214" i="3"/>
  <c r="I3215" i="3" s="1"/>
  <c r="H3206" i="3"/>
  <c r="H3219" i="3"/>
  <c r="H3220" i="3" s="1"/>
  <c r="EM425" i="18"/>
  <c r="H105" i="24"/>
  <c r="H107" i="24"/>
  <c r="H129" i="24"/>
  <c r="L4873" i="3"/>
  <c r="K4874" i="3"/>
  <c r="M4257" i="3"/>
  <c r="L4256" i="3"/>
  <c r="L4259" i="3" s="1"/>
  <c r="L4260" i="3" s="1"/>
  <c r="A6028" i="3"/>
  <c r="A6043" i="3" s="1"/>
  <c r="A6042" i="3"/>
  <c r="DV277" i="18"/>
  <c r="DV48" i="18" s="1"/>
  <c r="DU270" i="18"/>
  <c r="EA270" i="18"/>
  <c r="DX422" i="2"/>
  <c r="DZ367" i="2"/>
  <c r="ED319" i="2"/>
  <c r="K6" i="25"/>
  <c r="D121" i="24"/>
  <c r="D119" i="24" s="1"/>
  <c r="C5298" i="3"/>
  <c r="C5293" i="3"/>
  <c r="C5296" i="3"/>
  <c r="DY440" i="2"/>
  <c r="F173" i="24"/>
  <c r="G169" i="24"/>
  <c r="G173" i="24" s="1"/>
  <c r="DX192" i="4"/>
  <c r="DY191" i="4"/>
  <c r="DY192" i="4" s="1"/>
  <c r="EC376" i="18"/>
  <c r="ED376" i="18" s="1"/>
  <c r="ED372" i="18"/>
  <c r="EC373" i="18"/>
  <c r="ED471" i="18" s="1"/>
  <c r="F158" i="24"/>
  <c r="F146" i="24"/>
  <c r="EA287" i="2"/>
  <c r="EA419" i="2"/>
  <c r="EA293" i="2"/>
  <c r="EA298" i="2" s="1"/>
  <c r="EA424" i="2" s="1"/>
  <c r="EA281" i="2"/>
  <c r="EB9" i="4"/>
  <c r="I3219" i="3"/>
  <c r="I3206" i="3"/>
  <c r="I3224" i="3"/>
  <c r="G168" i="24"/>
  <c r="G172" i="24" s="1"/>
  <c r="F172" i="24"/>
  <c r="EN196" i="4"/>
  <c r="EO202" i="4" s="1"/>
  <c r="EM115" i="10"/>
  <c r="H3188" i="3"/>
  <c r="H3183" i="3" s="1"/>
  <c r="H3181" i="3" s="1"/>
  <c r="H3185" i="3" s="1"/>
  <c r="H3259" i="3"/>
  <c r="H3260" i="3" s="1"/>
  <c r="H3262" i="3" s="1"/>
  <c r="H3245" i="3"/>
  <c r="ED417" i="2"/>
  <c r="ED421" i="2"/>
  <c r="DZ422" i="2"/>
  <c r="ED422" i="2" s="1"/>
  <c r="EI108" i="10"/>
  <c r="D5090" i="3"/>
  <c r="H4623" i="3"/>
  <c r="H4619" i="3"/>
  <c r="H4419" i="3"/>
  <c r="DX221" i="18"/>
  <c r="FD120" i="4"/>
  <c r="FF117" i="4"/>
  <c r="FG117" i="4" s="1"/>
  <c r="FG120" i="4" s="1"/>
  <c r="G129" i="24"/>
  <c r="G105" i="24"/>
  <c r="G107" i="24"/>
  <c r="ED603" i="2"/>
  <c r="ED610" i="2" s="1"/>
  <c r="DZ610" i="2"/>
  <c r="EH81" i="4"/>
  <c r="EH96" i="4"/>
  <c r="EI96" i="4" s="1"/>
  <c r="EI79" i="4"/>
  <c r="J4466" i="3"/>
  <c r="K4456" i="3"/>
  <c r="ED317" i="2"/>
  <c r="ED327" i="2" s="1"/>
  <c r="ED412" i="10" s="1"/>
  <c r="C3139" i="3"/>
  <c r="ED169" i="2"/>
  <c r="DY542" i="18"/>
  <c r="ED543" i="18" s="1"/>
  <c r="DY561" i="18"/>
  <c r="DY544" i="18" s="1"/>
  <c r="DX544" i="18" s="1"/>
  <c r="DZ425" i="18"/>
  <c r="EB538" i="1"/>
  <c r="EB58" i="35" s="1"/>
  <c r="EB59" i="35" s="1"/>
  <c r="EB61" i="35" s="1"/>
  <c r="DU445" i="18"/>
  <c r="DU495" i="18"/>
  <c r="DY495" i="18" s="1"/>
  <c r="DY443" i="18"/>
  <c r="G28" i="22"/>
  <c r="F6038" i="3"/>
  <c r="F6022" i="3"/>
  <c r="F6037" i="3" s="1"/>
  <c r="ED303" i="2"/>
  <c r="DZ440" i="2"/>
  <c r="ED606" i="2"/>
  <c r="ED377" i="10"/>
  <c r="EI212" i="2"/>
  <c r="EB626" i="2"/>
  <c r="EB412" i="10"/>
  <c r="G42" i="21"/>
  <c r="L47" i="21"/>
  <c r="M48" i="21"/>
  <c r="H43" i="21"/>
  <c r="K46" i="21"/>
  <c r="F41" i="21"/>
  <c r="F85" i="21" s="1"/>
  <c r="J45" i="21"/>
  <c r="I44" i="21"/>
  <c r="DY411" i="18"/>
  <c r="DZ377" i="18"/>
  <c r="G4286" i="3"/>
  <c r="O4287" i="3"/>
  <c r="H4287" i="3"/>
  <c r="G4320" i="3"/>
  <c r="O4320" i="3" s="1"/>
  <c r="G4300" i="3"/>
  <c r="O4300" i="3" s="1"/>
  <c r="K5763" i="3"/>
  <c r="DZ455" i="2"/>
  <c r="ED453" i="2"/>
  <c r="EC36" i="2"/>
  <c r="EC33" i="2"/>
  <c r="EH36" i="2"/>
  <c r="ED73" i="1"/>
  <c r="ED74" i="1"/>
  <c r="ED117" i="10"/>
  <c r="G28" i="21"/>
  <c r="G29" i="21" s="1"/>
  <c r="CF5" i="18"/>
  <c r="CF5" i="10"/>
  <c r="CF5" i="4"/>
  <c r="CF5" i="2"/>
  <c r="CK5" i="1"/>
  <c r="D3139" i="3"/>
  <c r="H4133" i="3"/>
  <c r="H4136" i="3" s="1"/>
  <c r="DZ413" i="2"/>
  <c r="DZ414" i="2"/>
  <c r="DZ601" i="2"/>
  <c r="DZ452" i="2"/>
  <c r="DZ485" i="2" s="1"/>
  <c r="EE554" i="1"/>
  <c r="ED555" i="1"/>
  <c r="EG134" i="4"/>
  <c r="EG114" i="10" s="1"/>
  <c r="EG123" i="10" s="1"/>
  <c r="EG122" i="10"/>
  <c r="F3368" i="3"/>
  <c r="G3365" i="3"/>
  <c r="DW85" i="18"/>
  <c r="DU514" i="18"/>
  <c r="DV530" i="18"/>
  <c r="EA514" i="18"/>
  <c r="EA530" i="18" s="1"/>
  <c r="DX86" i="18"/>
  <c r="DU91" i="1"/>
  <c r="DY89" i="1"/>
  <c r="EH251" i="1"/>
  <c r="EH105" i="35" s="1"/>
  <c r="EI236" i="1"/>
  <c r="EI251" i="1" s="1"/>
  <c r="EI268" i="1" s="1"/>
  <c r="EI270" i="1" s="1"/>
  <c r="EJ269" i="1" s="1"/>
  <c r="DW159" i="18"/>
  <c r="DX159" i="18"/>
  <c r="DV159" i="18"/>
  <c r="DU159" i="18"/>
  <c r="EA161" i="10"/>
  <c r="EF609" i="2"/>
  <c r="H4654" i="3"/>
  <c r="H4673" i="3" s="1"/>
  <c r="I4638" i="3"/>
  <c r="DW428" i="2"/>
  <c r="DV420" i="2"/>
  <c r="DW422" i="2" s="1"/>
  <c r="DU431" i="2"/>
  <c r="EA432" i="2"/>
  <c r="DW656" i="18"/>
  <c r="DW655" i="18" s="1"/>
  <c r="EG471" i="2"/>
  <c r="E4323" i="3"/>
  <c r="E4296" i="3"/>
  <c r="H76" i="11"/>
  <c r="G81" i="11"/>
  <c r="DX430" i="2"/>
  <c r="DX429" i="2" s="1"/>
  <c r="DX602" i="2"/>
  <c r="EE203" i="4"/>
  <c r="EI202" i="4"/>
  <c r="EI203" i="4" s="1"/>
  <c r="EC233" i="18"/>
  <c r="ED165" i="4"/>
  <c r="ED108" i="10"/>
  <c r="G147" i="24"/>
  <c r="EC289" i="18"/>
  <c r="EI195" i="2"/>
  <c r="DV234" i="18"/>
  <c r="DV213" i="18"/>
  <c r="DV83" i="18"/>
  <c r="DU195" i="18"/>
  <c r="DV196" i="18" s="1"/>
  <c r="DV291" i="18"/>
  <c r="DV200" i="18"/>
  <c r="DW289" i="18"/>
  <c r="EA197" i="18"/>
  <c r="C4953" i="3"/>
  <c r="C4949" i="3"/>
  <c r="D4953" i="3"/>
  <c r="EB44" i="4"/>
  <c r="EB361" i="18"/>
  <c r="EG62" i="4"/>
  <c r="EG68" i="4"/>
  <c r="DV525" i="18"/>
  <c r="EA504" i="18"/>
  <c r="DU504" i="18"/>
  <c r="EA46" i="2"/>
  <c r="EE239" i="18"/>
  <c r="E189" i="24"/>
  <c r="F185" i="24"/>
  <c r="R5746" i="3"/>
  <c r="Q5740" i="3"/>
  <c r="ED575" i="2"/>
  <c r="ED30" i="2"/>
  <c r="ED9" i="32" s="1"/>
  <c r="ED11" i="32" s="1"/>
  <c r="F4886" i="3"/>
  <c r="G4874" i="3"/>
  <c r="DZ368" i="10"/>
  <c r="EE607" i="2"/>
  <c r="F4290" i="3"/>
  <c r="F4292" i="3"/>
  <c r="F4299" i="3"/>
  <c r="E111" i="24"/>
  <c r="E102" i="24" s="1"/>
  <c r="E117" i="24"/>
  <c r="EB505" i="2"/>
  <c r="EG160" i="4"/>
  <c r="D157" i="41" s="1"/>
  <c r="G101" i="24"/>
  <c r="G113" i="24" s="1"/>
  <c r="G151" i="24"/>
  <c r="G150" i="24" s="1"/>
  <c r="DW62" i="4"/>
  <c r="DW68" i="4"/>
  <c r="L4291" i="3"/>
  <c r="M4243" i="3"/>
  <c r="L4254" i="3"/>
  <c r="L4251" i="3"/>
  <c r="EB190" i="2"/>
  <c r="EB374" i="10"/>
  <c r="EB42" i="2"/>
  <c r="EB11" i="4" s="1"/>
  <c r="EB463" i="2"/>
  <c r="EG209" i="2"/>
  <c r="B5308" i="3"/>
  <c r="EK339" i="18"/>
  <c r="EJ58" i="18"/>
  <c r="D72" i="24" s="1"/>
  <c r="C113" i="13"/>
  <c r="B112" i="13"/>
  <c r="EA647" i="2"/>
  <c r="EA640" i="2"/>
  <c r="EF640" i="2"/>
  <c r="G4129" i="3"/>
  <c r="EA457" i="2"/>
  <c r="ED619" i="2"/>
  <c r="H10" i="25"/>
  <c r="K10" i="25" s="1"/>
  <c r="DZ86" i="18"/>
  <c r="EE449" i="18"/>
  <c r="DX251" i="1"/>
  <c r="DX105" i="35" s="1"/>
  <c r="DY105" i="35" s="1"/>
  <c r="DY268" i="1"/>
  <c r="DY270" i="1" s="1"/>
  <c r="EA9" i="4"/>
  <c r="ED236" i="1"/>
  <c r="ED251" i="1" s="1"/>
  <c r="DZ251" i="1"/>
  <c r="DZ105" i="35" s="1"/>
  <c r="F87" i="20"/>
  <c r="F10" i="20" s="1"/>
  <c r="F15" i="23" s="1"/>
  <c r="D12" i="29"/>
  <c r="D13" i="29" s="1"/>
  <c r="DW362" i="18"/>
  <c r="DW363" i="18" s="1"/>
  <c r="DW365" i="18" s="1"/>
  <c r="DW45" i="4"/>
  <c r="DW46" i="4" s="1"/>
  <c r="DW48" i="4" s="1"/>
  <c r="EA63" i="4"/>
  <c r="EA62" i="4"/>
  <c r="EA68" i="4"/>
  <c r="EF459" i="18"/>
  <c r="EG454" i="18"/>
  <c r="EF458" i="18"/>
  <c r="EF462" i="18"/>
  <c r="EF538" i="18"/>
  <c r="D4332" i="3"/>
  <c r="D4309" i="3"/>
  <c r="EB135" i="18"/>
  <c r="EA130" i="18"/>
  <c r="EA129" i="18" s="1"/>
  <c r="EA134" i="18" s="1"/>
  <c r="EG87" i="4"/>
  <c r="EG86" i="4" s="1"/>
  <c r="DX656" i="18"/>
  <c r="DX655" i="18" s="1"/>
  <c r="EB33" i="2"/>
  <c r="EB36" i="2"/>
  <c r="EI74" i="1"/>
  <c r="EI73" i="1"/>
  <c r="H4656" i="3"/>
  <c r="H4675" i="3" s="1"/>
  <c r="I4640" i="3"/>
  <c r="G6032" i="3"/>
  <c r="H6023" i="3" s="1"/>
  <c r="G6023" i="3"/>
  <c r="H6024" i="3"/>
  <c r="H6039" i="3" s="1"/>
  <c r="EC538" i="1"/>
  <c r="EC58" i="35" s="1"/>
  <c r="EC59" i="35" s="1"/>
  <c r="EC61" i="35" s="1"/>
  <c r="EF545" i="1"/>
  <c r="EF362" i="18" s="1"/>
  <c r="EF363" i="18" s="1"/>
  <c r="EF365" i="18" s="1"/>
  <c r="EF58" i="4"/>
  <c r="EF59" i="4" s="1"/>
  <c r="EF61" i="4" s="1"/>
  <c r="EK63" i="4" s="1"/>
  <c r="DZ656" i="18"/>
  <c r="H4550" i="3"/>
  <c r="DU105" i="4"/>
  <c r="DU268" i="1"/>
  <c r="DU270" i="1" s="1"/>
  <c r="DV269" i="1" s="1"/>
  <c r="DV270" i="1" s="1"/>
  <c r="DW269" i="1" s="1"/>
  <c r="DW270" i="1" s="1"/>
  <c r="DX269" i="1" s="1"/>
  <c r="EF471" i="2"/>
  <c r="EB377" i="18"/>
  <c r="EB411" i="18"/>
  <c r="ED81" i="1"/>
  <c r="DZ89" i="1"/>
  <c r="DV362" i="18"/>
  <c r="DV363" i="18" s="1"/>
  <c r="DV365" i="18" s="1"/>
  <c r="DV45" i="4"/>
  <c r="DV46" i="4" s="1"/>
  <c r="DV48" i="4" s="1"/>
  <c r="C11" i="25"/>
  <c r="C5091" i="3"/>
  <c r="C5090" i="3"/>
  <c r="C5087" i="3"/>
  <c r="EB122" i="10"/>
  <c r="EB134" i="4"/>
  <c r="EB114" i="10" s="1"/>
  <c r="EB123" i="10" s="1"/>
  <c r="EA384" i="10"/>
  <c r="EA505" i="2"/>
  <c r="EA507" i="2" s="1"/>
  <c r="EF231" i="2"/>
  <c r="EF406" i="2"/>
  <c r="F110" i="24"/>
  <c r="F108" i="24"/>
  <c r="F99" i="24" s="1"/>
  <c r="EA45" i="4"/>
  <c r="EA46" i="4" s="1"/>
  <c r="EA362" i="18"/>
  <c r="EA363" i="18" s="1"/>
  <c r="EA365" i="18" s="1"/>
  <c r="EF93" i="4"/>
  <c r="EA400" i="2"/>
  <c r="ED395" i="2"/>
  <c r="ED400" i="2" s="1"/>
  <c r="EF368" i="2"/>
  <c r="C230" i="24"/>
  <c r="EB452" i="2"/>
  <c r="EB413" i="2"/>
  <c r="EB414" i="2"/>
  <c r="EC410" i="2"/>
  <c r="EB601" i="2"/>
  <c r="EH89" i="1"/>
  <c r="EI81" i="1"/>
  <c r="EE117" i="10"/>
  <c r="EM383" i="18"/>
  <c r="EE132" i="4"/>
  <c r="F11" i="29"/>
  <c r="G8" i="29"/>
  <c r="DX302" i="18"/>
  <c r="DX84" i="18"/>
  <c r="DX667" i="18"/>
  <c r="DY667" i="18" s="1"/>
  <c r="DX223" i="18"/>
  <c r="DY200" i="18"/>
  <c r="DX201" i="18"/>
  <c r="E10" i="25"/>
  <c r="B11" i="25"/>
  <c r="B14" i="25" s="1"/>
  <c r="E87" i="21"/>
  <c r="E10" i="21" s="1"/>
  <c r="H4655" i="3"/>
  <c r="H4674" i="3" s="1"/>
  <c r="I4639" i="3"/>
  <c r="B4912" i="3"/>
  <c r="B4302" i="3" s="1"/>
  <c r="B4289" i="3"/>
  <c r="B4322" i="3" s="1"/>
  <c r="EF419" i="2"/>
  <c r="EF281" i="2"/>
  <c r="EF287" i="2"/>
  <c r="EF293" i="2"/>
  <c r="EF298" i="2" s="1"/>
  <c r="EF424" i="2" s="1"/>
  <c r="DX300" i="18"/>
  <c r="I4317" i="3" l="1"/>
  <c r="ED288" i="2"/>
  <c r="E4317" i="3"/>
  <c r="E4330" i="3" s="1"/>
  <c r="E4807" i="3" s="1"/>
  <c r="M4317" i="3"/>
  <c r="ED265" i="2"/>
  <c r="C5711" i="3"/>
  <c r="C5712" i="3" s="1"/>
  <c r="G4317" i="3"/>
  <c r="F4317" i="3"/>
  <c r="F4330" i="3" s="1"/>
  <c r="D4317" i="3"/>
  <c r="B5311" i="3"/>
  <c r="EE107" i="2"/>
  <c r="EE299" i="2" s="1"/>
  <c r="EE425" i="2" s="1"/>
  <c r="H4317" i="3"/>
  <c r="K4317" i="3"/>
  <c r="L4317" i="3"/>
  <c r="C4317" i="3"/>
  <c r="C4330" i="3" s="1"/>
  <c r="C4807" i="3" s="1"/>
  <c r="J4317" i="3"/>
  <c r="ED276" i="2"/>
  <c r="EE95" i="2"/>
  <c r="EE392" i="10" s="1"/>
  <c r="ED391" i="10"/>
  <c r="EA143" i="2"/>
  <c r="AC42" i="30"/>
  <c r="ED40" i="2"/>
  <c r="E3108" i="3"/>
  <c r="FE17" i="4"/>
  <c r="E379" i="3"/>
  <c r="B174" i="41"/>
  <c r="B183" i="41" s="1"/>
  <c r="B171" i="41"/>
  <c r="ED342" i="10"/>
  <c r="EE24" i="2"/>
  <c r="H1612" i="3"/>
  <c r="G1632" i="3"/>
  <c r="F1613" i="3"/>
  <c r="G1613" i="3" s="1"/>
  <c r="EE105" i="2"/>
  <c r="F1607" i="3"/>
  <c r="F1615" i="3" s="1"/>
  <c r="G1615" i="3" s="1"/>
  <c r="I1611" i="3"/>
  <c r="H1631" i="3"/>
  <c r="EI24" i="2"/>
  <c r="I1614" i="3"/>
  <c r="H1634" i="3"/>
  <c r="DX62" i="4"/>
  <c r="ED15" i="32"/>
  <c r="EI240" i="36"/>
  <c r="EI377" i="36"/>
  <c r="EI375" i="36"/>
  <c r="EE363" i="36"/>
  <c r="ED20" i="36"/>
  <c r="EI24" i="36"/>
  <c r="EI238" i="36"/>
  <c r="EA225" i="36"/>
  <c r="EE104" i="35"/>
  <c r="ED333" i="36"/>
  <c r="EI334" i="36" s="1"/>
  <c r="EE365" i="36"/>
  <c r="DV422" i="36"/>
  <c r="EJ643" i="36"/>
  <c r="EJ635" i="36"/>
  <c r="EJ609" i="36"/>
  <c r="EJ610" i="36" s="1"/>
  <c r="EN633" i="36"/>
  <c r="EJ63" i="36"/>
  <c r="EJ64" i="36"/>
  <c r="EN62" i="36"/>
  <c r="EO64" i="36"/>
  <c r="EU45" i="36"/>
  <c r="EU466" i="36"/>
  <c r="EU205" i="36"/>
  <c r="EZ204" i="36"/>
  <c r="DX68" i="35"/>
  <c r="DX62" i="35"/>
  <c r="ET14" i="35"/>
  <c r="ET15" i="35" s="1"/>
  <c r="ET46" i="36"/>
  <c r="EG226" i="36"/>
  <c r="EG225" i="36"/>
  <c r="EL226" i="36"/>
  <c r="EA510" i="36"/>
  <c r="EA502" i="36"/>
  <c r="EA500" i="36"/>
  <c r="EE132" i="35"/>
  <c r="ED36" i="36"/>
  <c r="ED33" i="36"/>
  <c r="EJ238" i="36"/>
  <c r="EO238" i="36"/>
  <c r="EW433" i="36"/>
  <c r="EX433" i="36" s="1"/>
  <c r="EW436" i="36"/>
  <c r="EW432" i="36"/>
  <c r="EX431" i="36"/>
  <c r="EW429" i="36"/>
  <c r="EW434" i="36" s="1"/>
  <c r="EI498" i="36"/>
  <c r="EH500" i="36"/>
  <c r="EH499" i="36"/>
  <c r="EH510" i="36"/>
  <c r="EH502" i="36"/>
  <c r="EM499" i="36"/>
  <c r="EN376" i="36"/>
  <c r="EN374" i="36"/>
  <c r="EN373" i="36"/>
  <c r="EN378" i="36"/>
  <c r="ES373" i="36"/>
  <c r="EN478" i="36"/>
  <c r="ES478" i="36"/>
  <c r="FJ282" i="36"/>
  <c r="FJ283" i="36" s="1"/>
  <c r="FJ316" i="36" s="1"/>
  <c r="FN280" i="36"/>
  <c r="FJ291" i="36"/>
  <c r="EH129" i="35"/>
  <c r="EH132" i="35" s="1"/>
  <c r="EH134" i="35" s="1"/>
  <c r="EH104" i="35"/>
  <c r="EH122" i="35"/>
  <c r="EI122" i="35" s="1"/>
  <c r="EN22" i="35"/>
  <c r="EJ26" i="35"/>
  <c r="EJ631" i="36"/>
  <c r="EN631" i="36" s="1"/>
  <c r="EN333" i="36" s="1"/>
  <c r="EN334" i="36" s="1"/>
  <c r="EJ334" i="36"/>
  <c r="EO334" i="36"/>
  <c r="FA212" i="36"/>
  <c r="FF212" i="36" s="1"/>
  <c r="EW212" i="36"/>
  <c r="EV204" i="36"/>
  <c r="EN246" i="36"/>
  <c r="ES246" i="36"/>
  <c r="ET476" i="36"/>
  <c r="ET467" i="36"/>
  <c r="ES530" i="36"/>
  <c r="ER533" i="36"/>
  <c r="ER535" i="36"/>
  <c r="ER534" i="36"/>
  <c r="ED609" i="36"/>
  <c r="EI610" i="36" s="1"/>
  <c r="ED605" i="36"/>
  <c r="EJ30" i="36"/>
  <c r="EJ79" i="36"/>
  <c r="EN71" i="36"/>
  <c r="EN30" i="36" s="1"/>
  <c r="EO79" i="36"/>
  <c r="ED362" i="36"/>
  <c r="ED364" i="36"/>
  <c r="EN49" i="36"/>
  <c r="EJ52" i="36"/>
  <c r="EO52" i="36"/>
  <c r="DZ129" i="35"/>
  <c r="DZ104" i="35"/>
  <c r="DZ122" i="35"/>
  <c r="EI5" i="2"/>
  <c r="EI5" i="35"/>
  <c r="EI5" i="36"/>
  <c r="DV205" i="35"/>
  <c r="DV49" i="35"/>
  <c r="EH24" i="36"/>
  <c r="EH20" i="36"/>
  <c r="EM24" i="36"/>
  <c r="FH327" i="36"/>
  <c r="FH347" i="36"/>
  <c r="FH42" i="36"/>
  <c r="FH43" i="36" s="1"/>
  <c r="EN248" i="36"/>
  <c r="ES248" i="36"/>
  <c r="EF226" i="36"/>
  <c r="EF225" i="36"/>
  <c r="EK226" i="36"/>
  <c r="DZ500" i="36"/>
  <c r="ED498" i="36"/>
  <c r="DZ502" i="36"/>
  <c r="DZ510" i="36"/>
  <c r="DW205" i="35"/>
  <c r="DW49" i="35"/>
  <c r="EN16" i="35"/>
  <c r="EJ18" i="35"/>
  <c r="EX654" i="36"/>
  <c r="FC655" i="36"/>
  <c r="DU124" i="35"/>
  <c r="DV123" i="35" s="1"/>
  <c r="DV124" i="35" s="1"/>
  <c r="DW123" i="35" s="1"/>
  <c r="DW124" i="35" s="1"/>
  <c r="DX123" i="35" s="1"/>
  <c r="FG348" i="36"/>
  <c r="FH340" i="36"/>
  <c r="FH348" i="36" s="1"/>
  <c r="EE24" i="36"/>
  <c r="EE20" i="36"/>
  <c r="EF228" i="36"/>
  <c r="EK228" i="36"/>
  <c r="EN383" i="36"/>
  <c r="ES383" i="36"/>
  <c r="DZ293" i="36"/>
  <c r="DZ281" i="36"/>
  <c r="DZ419" i="36"/>
  <c r="ED419" i="36" s="1"/>
  <c r="DZ287" i="36"/>
  <c r="ED282" i="36"/>
  <c r="ED287" i="36" s="1"/>
  <c r="EN237" i="36"/>
  <c r="EN241" i="36"/>
  <c r="EN239" i="36"/>
  <c r="EN236" i="36"/>
  <c r="ES236" i="36"/>
  <c r="FC656" i="36"/>
  <c r="EZ342" i="36"/>
  <c r="EU343" i="36"/>
  <c r="EJ362" i="36"/>
  <c r="EJ361" i="36"/>
  <c r="EJ364" i="36"/>
  <c r="EN360" i="36"/>
  <c r="EO361" i="36"/>
  <c r="EC62" i="35"/>
  <c r="EC68" i="35"/>
  <c r="EC63" i="35"/>
  <c r="EB62" i="35"/>
  <c r="EB68" i="35"/>
  <c r="EB63" i="35"/>
  <c r="EG63" i="35"/>
  <c r="EJ96" i="35"/>
  <c r="EN96" i="35" s="1"/>
  <c r="EJ81" i="35"/>
  <c r="EN81" i="35" s="1"/>
  <c r="EN79" i="35"/>
  <c r="DW631" i="36"/>
  <c r="DW649" i="36" s="1"/>
  <c r="DW609" i="36"/>
  <c r="EB610" i="36" s="1"/>
  <c r="DW605" i="36"/>
  <c r="EG365" i="36"/>
  <c r="EL365" i="36"/>
  <c r="EF502" i="36"/>
  <c r="EF510" i="36"/>
  <c r="EF499" i="36"/>
  <c r="EF500" i="36"/>
  <c r="EK499" i="36"/>
  <c r="DU603" i="36"/>
  <c r="DY428" i="36"/>
  <c r="DU430" i="36"/>
  <c r="ED429" i="36"/>
  <c r="ED434" i="36" s="1"/>
  <c r="DZ434" i="36"/>
  <c r="EJ240" i="36"/>
  <c r="EO240" i="36"/>
  <c r="FA350" i="36"/>
  <c r="FF350" i="36" s="1"/>
  <c r="EW350" i="36"/>
  <c r="EV342" i="36"/>
  <c r="EI227" i="36"/>
  <c r="EI224" i="36"/>
  <c r="EI223" i="36"/>
  <c r="FI453" i="36"/>
  <c r="FI455" i="36" s="1"/>
  <c r="FI319" i="36"/>
  <c r="FI367" i="36" s="1"/>
  <c r="EB510" i="36"/>
  <c r="EB502" i="36"/>
  <c r="EB500" i="36"/>
  <c r="EN576" i="36"/>
  <c r="EN15" i="36"/>
  <c r="EN570" i="36"/>
  <c r="ES15" i="36"/>
  <c r="EN23" i="36"/>
  <c r="ES23" i="36"/>
  <c r="DX654" i="36"/>
  <c r="DX655" i="36"/>
  <c r="DX653" i="36"/>
  <c r="DX656" i="36"/>
  <c r="FG473" i="36"/>
  <c r="FG464" i="36"/>
  <c r="FH463" i="36"/>
  <c r="FH473" i="36" s="1"/>
  <c r="EY466" i="36"/>
  <c r="EY45" i="36"/>
  <c r="FD204" i="36"/>
  <c r="EY205" i="36"/>
  <c r="EI199" i="35"/>
  <c r="EI200" i="35" s="1"/>
  <c r="EI126" i="35" s="1"/>
  <c r="EH200" i="35"/>
  <c r="EH126" i="35" s="1"/>
  <c r="EG228" i="36"/>
  <c r="EL228" i="36"/>
  <c r="EI362" i="36"/>
  <c r="EI364" i="36"/>
  <c r="EI361" i="36"/>
  <c r="EG363" i="36"/>
  <c r="EL363" i="36"/>
  <c r="DV430" i="36"/>
  <c r="DV429" i="36" s="1"/>
  <c r="DV434" i="36" s="1"/>
  <c r="DV603" i="36"/>
  <c r="EN385" i="36"/>
  <c r="ES385" i="36"/>
  <c r="EJ158" i="35"/>
  <c r="EJ159" i="35"/>
  <c r="EJ227" i="36"/>
  <c r="EJ224" i="36"/>
  <c r="EJ498" i="36"/>
  <c r="EJ223" i="36"/>
  <c r="EN222" i="36"/>
  <c r="EO223" i="36"/>
  <c r="EY417" i="36"/>
  <c r="EX421" i="36"/>
  <c r="EJ375" i="36"/>
  <c r="EO375" i="36"/>
  <c r="EI33" i="36"/>
  <c r="EI36" i="36"/>
  <c r="EE226" i="36"/>
  <c r="EE225" i="36"/>
  <c r="EN21" i="36"/>
  <c r="EN22" i="36"/>
  <c r="ES22" i="36"/>
  <c r="DX45" i="4"/>
  <c r="DX46" i="4" s="1"/>
  <c r="DX48" i="4" s="1"/>
  <c r="DX49" i="4" s="1"/>
  <c r="DX45" i="35"/>
  <c r="DX46" i="35" s="1"/>
  <c r="DX48" i="35" s="1"/>
  <c r="DU132" i="35"/>
  <c r="FG11" i="35"/>
  <c r="FG43" i="36"/>
  <c r="EG164" i="35"/>
  <c r="EI164" i="35" s="1"/>
  <c r="EI165" i="35" s="1"/>
  <c r="EI163" i="35"/>
  <c r="EG510" i="36"/>
  <c r="EG499" i="36"/>
  <c r="EG500" i="36"/>
  <c r="EG502" i="36"/>
  <c r="EL499" i="36"/>
  <c r="EJ75" i="36"/>
  <c r="EO75" i="36"/>
  <c r="EA205" i="35"/>
  <c r="EA50" i="35"/>
  <c r="EA49" i="35"/>
  <c r="EF50" i="35"/>
  <c r="EH228" i="36"/>
  <c r="EM228" i="36"/>
  <c r="EJ377" i="36"/>
  <c r="EO377" i="36"/>
  <c r="ET351" i="36"/>
  <c r="ET344" i="36"/>
  <c r="EE499" i="36"/>
  <c r="EE502" i="36"/>
  <c r="EE510" i="36"/>
  <c r="EE500" i="36"/>
  <c r="FC653" i="36"/>
  <c r="DX129" i="35"/>
  <c r="DX132" i="35" s="1"/>
  <c r="DX134" i="35" s="1"/>
  <c r="DX104" i="35"/>
  <c r="DY104" i="35" s="1"/>
  <c r="DX122" i="35"/>
  <c r="DY122" i="35" s="1"/>
  <c r="CK5" i="32"/>
  <c r="CK5" i="36"/>
  <c r="CK5" i="35"/>
  <c r="EC502" i="36"/>
  <c r="EC510" i="36"/>
  <c r="EC500" i="36"/>
  <c r="EN660" i="36"/>
  <c r="EJ23" i="35"/>
  <c r="EN23" i="35" s="1"/>
  <c r="ET213" i="36"/>
  <c r="ET206" i="36"/>
  <c r="EI105" i="35"/>
  <c r="EF24" i="36"/>
  <c r="EN80" i="36"/>
  <c r="EN74" i="36"/>
  <c r="ES80" i="36"/>
  <c r="ED227" i="36"/>
  <c r="ED224" i="36"/>
  <c r="EH225" i="36"/>
  <c r="EH226" i="36"/>
  <c r="EM226" i="36"/>
  <c r="EV434" i="36"/>
  <c r="FD342" i="36"/>
  <c r="FD343" i="36" s="1"/>
  <c r="EY343" i="36"/>
  <c r="EE228" i="36"/>
  <c r="EN470" i="36"/>
  <c r="EJ526" i="36"/>
  <c r="EJ480" i="36"/>
  <c r="EO480" i="36"/>
  <c r="FI296" i="36"/>
  <c r="FI299" i="36"/>
  <c r="FI425" i="36" s="1"/>
  <c r="FI295" i="36"/>
  <c r="C2505" i="3"/>
  <c r="C2506" i="3" s="1"/>
  <c r="I4543" i="3"/>
  <c r="FC571" i="36"/>
  <c r="FD571" i="36" s="1"/>
  <c r="FE571" i="36" s="1"/>
  <c r="FF571" i="36" s="1"/>
  <c r="FG571" i="36" s="1"/>
  <c r="EC43" i="2"/>
  <c r="EC47" i="2" s="1"/>
  <c r="EC49" i="2" s="1"/>
  <c r="EC54" i="2" s="1"/>
  <c r="EC62" i="2" s="1"/>
  <c r="H172" i="11"/>
  <c r="H193" i="11" s="1"/>
  <c r="EC364" i="10"/>
  <c r="DZ190" i="18"/>
  <c r="DZ200" i="18" s="1"/>
  <c r="DZ300" i="18" s="1"/>
  <c r="EA79" i="18"/>
  <c r="EA78" i="18" s="1"/>
  <c r="EA190" i="18" s="1"/>
  <c r="EA74" i="18"/>
  <c r="EB73" i="18"/>
  <c r="EC73" i="18" s="1"/>
  <c r="EF73" i="18"/>
  <c r="EF74" i="18" s="1"/>
  <c r="S75" i="29"/>
  <c r="V79" i="29"/>
  <c r="J78" i="29"/>
  <c r="J77" i="29"/>
  <c r="K77" i="29" s="1"/>
  <c r="L77" i="29" s="1"/>
  <c r="S76" i="29"/>
  <c r="V80" i="29"/>
  <c r="S74" i="29"/>
  <c r="T74" i="29" s="1"/>
  <c r="U74" i="29" s="1"/>
  <c r="V74" i="29" s="1"/>
  <c r="V78" i="29"/>
  <c r="S77" i="29"/>
  <c r="T77" i="29" s="1"/>
  <c r="U77" i="29" s="1"/>
  <c r="V77" i="29" s="1"/>
  <c r="U71" i="29"/>
  <c r="C116" i="3"/>
  <c r="C118" i="3" s="1"/>
  <c r="C103" i="3"/>
  <c r="C104" i="3" s="1"/>
  <c r="C108" i="3" s="1"/>
  <c r="B91" i="3"/>
  <c r="B93" i="3" s="1"/>
  <c r="B78" i="3"/>
  <c r="B79" i="3" s="1"/>
  <c r="B83" i="3" s="1"/>
  <c r="B107" i="3"/>
  <c r="B127" i="3"/>
  <c r="B128" i="3" s="1"/>
  <c r="B112" i="3"/>
  <c r="B114" i="3" s="1"/>
  <c r="ED324" i="2"/>
  <c r="EF20" i="2"/>
  <c r="EI20" i="2" s="1"/>
  <c r="EB568" i="2"/>
  <c r="EI5" i="10"/>
  <c r="EI5" i="32"/>
  <c r="EI5" i="4"/>
  <c r="EI5" i="18"/>
  <c r="ED20" i="2"/>
  <c r="EG24" i="2"/>
  <c r="EI9" i="32"/>
  <c r="EI11" i="32" s="1"/>
  <c r="EI15" i="32" s="1"/>
  <c r="DZ153" i="2"/>
  <c r="DZ164" i="2" s="1"/>
  <c r="I3245" i="3"/>
  <c r="I3244" i="3" s="1"/>
  <c r="I3234" i="3" s="1"/>
  <c r="I3229" i="3" s="1"/>
  <c r="I3239" i="3" s="1"/>
  <c r="Y3120" i="3" s="1"/>
  <c r="I3259" i="3"/>
  <c r="I3260" i="3" s="1"/>
  <c r="I3262" i="3" s="1"/>
  <c r="E3257" i="3"/>
  <c r="E3188" i="3" s="1"/>
  <c r="E3183" i="3" s="1"/>
  <c r="E3181" i="3" s="1"/>
  <c r="E3185" i="3" s="1"/>
  <c r="EE540" i="2"/>
  <c r="EE549" i="2" s="1"/>
  <c r="EE548" i="2"/>
  <c r="F3154" i="3"/>
  <c r="F3257" i="3" s="1"/>
  <c r="EE153" i="2"/>
  <c r="EE164" i="2" s="1"/>
  <c r="EI211" i="4"/>
  <c r="EI212" i="4" s="1"/>
  <c r="EB559" i="2"/>
  <c r="EB563" i="2" s="1"/>
  <c r="EE10" i="4"/>
  <c r="EI10" i="4" s="1"/>
  <c r="EI41" i="2"/>
  <c r="EI373" i="10"/>
  <c r="EI188" i="2"/>
  <c r="EI362" i="10" s="1"/>
  <c r="EO203" i="4"/>
  <c r="EO211" i="4"/>
  <c r="EI462" i="2"/>
  <c r="EI472" i="2" s="1"/>
  <c r="EJ472" i="2"/>
  <c r="DY460" i="18"/>
  <c r="DY388" i="18"/>
  <c r="DV388" i="18"/>
  <c r="DU390" i="18"/>
  <c r="DU388" i="18"/>
  <c r="FE479" i="2"/>
  <c r="DU373" i="18"/>
  <c r="DY409" i="18" s="1"/>
  <c r="DV460" i="18"/>
  <c r="E2499" i="3"/>
  <c r="F2494" i="3"/>
  <c r="F2496" i="3" s="1"/>
  <c r="F2497" i="3" s="1"/>
  <c r="C2485" i="3"/>
  <c r="EA410" i="2"/>
  <c r="FG11" i="2"/>
  <c r="G2701" i="3"/>
  <c r="G2717" i="3" s="1"/>
  <c r="F2751" i="3"/>
  <c r="E192" i="11"/>
  <c r="F171" i="11"/>
  <c r="DW471" i="18"/>
  <c r="DV411" i="18"/>
  <c r="DW409" i="18"/>
  <c r="EC563" i="2"/>
  <c r="DU462" i="18"/>
  <c r="DU460" i="18"/>
  <c r="DU432" i="18"/>
  <c r="DX362" i="18"/>
  <c r="DX363" i="18" s="1"/>
  <c r="DX365" i="18" s="1"/>
  <c r="EE566" i="2"/>
  <c r="FG72" i="4"/>
  <c r="FF98" i="4"/>
  <c r="FF120" i="4"/>
  <c r="EB72" i="2"/>
  <c r="EB219" i="2" s="1"/>
  <c r="EB217" i="2" s="1"/>
  <c r="EB485" i="2"/>
  <c r="EC72" i="2"/>
  <c r="EC219" i="2" s="1"/>
  <c r="EC217" i="2" s="1"/>
  <c r="EC485" i="2"/>
  <c r="EH625" i="2"/>
  <c r="EH627" i="2" s="1"/>
  <c r="EM191" i="2"/>
  <c r="EJ236" i="1"/>
  <c r="EN70" i="1"/>
  <c r="EJ72" i="1"/>
  <c r="EN72" i="1" s="1"/>
  <c r="EJ71" i="1"/>
  <c r="EN71" i="1" s="1"/>
  <c r="EJ81" i="1"/>
  <c r="EH477" i="2"/>
  <c r="EM477" i="2"/>
  <c r="EN269" i="1"/>
  <c r="EH464" i="2"/>
  <c r="EH468" i="2" s="1"/>
  <c r="EM478" i="2" s="1"/>
  <c r="EM473" i="2"/>
  <c r="G116" i="19"/>
  <c r="F116" i="19"/>
  <c r="EI193" i="2"/>
  <c r="EB391" i="10"/>
  <c r="EB310" i="2"/>
  <c r="EC107" i="2"/>
  <c r="EC297" i="2" s="1"/>
  <c r="EC423" i="2" s="1"/>
  <c r="B4129" i="3"/>
  <c r="DU631" i="2"/>
  <c r="DU650" i="2" s="1"/>
  <c r="DY650" i="2" s="1"/>
  <c r="DZ640" i="2"/>
  <c r="C4903" i="3"/>
  <c r="EB410" i="2"/>
  <c r="EB187" i="10" s="1"/>
  <c r="EA414" i="2"/>
  <c r="EA452" i="2"/>
  <c r="EA176" i="2"/>
  <c r="DY619" i="2"/>
  <c r="DU647" i="2"/>
  <c r="DY647" i="2" s="1"/>
  <c r="EB276" i="2"/>
  <c r="F3440" i="3"/>
  <c r="I3460" i="3" s="1"/>
  <c r="ED230" i="2"/>
  <c r="ED384" i="10" s="1"/>
  <c r="EC545" i="2"/>
  <c r="EA94" i="2"/>
  <c r="G4301" i="3"/>
  <c r="O4301" i="3" s="1"/>
  <c r="D3439" i="3"/>
  <c r="D3454" i="3" s="1"/>
  <c r="EF92" i="2"/>
  <c r="C5173" i="3"/>
  <c r="EA131" i="2"/>
  <c r="EA185" i="10"/>
  <c r="EA413" i="2"/>
  <c r="G4321" i="3"/>
  <c r="O4321" i="3" s="1"/>
  <c r="EB542" i="2"/>
  <c r="EB540" i="2" s="1"/>
  <c r="D68" i="29"/>
  <c r="E69" i="29" s="1"/>
  <c r="DZ90" i="2"/>
  <c r="B4807" i="3"/>
  <c r="EC565" i="2"/>
  <c r="EC570" i="2" s="1"/>
  <c r="F69" i="29"/>
  <c r="EB265" i="2"/>
  <c r="EB288" i="2"/>
  <c r="EC95" i="2"/>
  <c r="EC392" i="10" s="1"/>
  <c r="EA120" i="2"/>
  <c r="ED455" i="2"/>
  <c r="G3461" i="3"/>
  <c r="M3461" i="3"/>
  <c r="B126" i="29"/>
  <c r="C126" i="29" s="1"/>
  <c r="D126" i="29" s="1"/>
  <c r="D130" i="29" s="1"/>
  <c r="J5157" i="3"/>
  <c r="H3461" i="3"/>
  <c r="EI207" i="2"/>
  <c r="DZ190" i="2"/>
  <c r="DZ364" i="10" s="1"/>
  <c r="ED186" i="2"/>
  <c r="EI248" i="2"/>
  <c r="ED201" i="2"/>
  <c r="ED374" i="10" s="1"/>
  <c r="DZ42" i="2"/>
  <c r="DZ11" i="4" s="1"/>
  <c r="DZ12" i="4" s="1"/>
  <c r="B3479" i="3"/>
  <c r="C3479" i="3" s="1"/>
  <c r="D3479" i="3" s="1"/>
  <c r="D3483" i="3" s="1"/>
  <c r="DZ463" i="2"/>
  <c r="DZ464" i="2" s="1"/>
  <c r="K3461" i="3"/>
  <c r="I3461" i="3"/>
  <c r="N3461" i="3"/>
  <c r="L3461" i="3"/>
  <c r="E4663" i="3"/>
  <c r="E4682" i="3" s="1"/>
  <c r="E4565" i="3" s="1"/>
  <c r="EB507" i="2"/>
  <c r="EG508" i="2" s="1"/>
  <c r="B224" i="11"/>
  <c r="C4857" i="3"/>
  <c r="DZ458" i="2"/>
  <c r="B4319" i="3"/>
  <c r="B4324" i="3" s="1"/>
  <c r="B4343" i="3" s="1"/>
  <c r="B4945" i="3" s="1"/>
  <c r="B4947" i="3" s="1"/>
  <c r="B4771" i="3" s="1"/>
  <c r="O4288" i="3"/>
  <c r="H4418" i="3"/>
  <c r="G4652" i="3"/>
  <c r="G4671" i="3" s="1"/>
  <c r="EH507" i="2"/>
  <c r="EH508" i="2" s="1"/>
  <c r="EJ209" i="2"/>
  <c r="ES182" i="4"/>
  <c r="EK328" i="2"/>
  <c r="ED573" i="2"/>
  <c r="EJ471" i="2"/>
  <c r="EJ190" i="2"/>
  <c r="EJ463" i="2"/>
  <c r="EJ464" i="2" s="1"/>
  <c r="EC395" i="18"/>
  <c r="EA395" i="18" s="1"/>
  <c r="EA396" i="18" s="1"/>
  <c r="C4592" i="3"/>
  <c r="C4594" i="3" s="1"/>
  <c r="C4606" i="3" s="1"/>
  <c r="C4849" i="3"/>
  <c r="C4850" i="3" s="1"/>
  <c r="EC19" i="4"/>
  <c r="C4570" i="3"/>
  <c r="C4572" i="3" s="1"/>
  <c r="C4575" i="3" s="1"/>
  <c r="C5189" i="3"/>
  <c r="C5190" i="3" s="1"/>
  <c r="EC208" i="18"/>
  <c r="DZ208" i="18" s="1"/>
  <c r="DZ209" i="18" s="1"/>
  <c r="C4757" i="3"/>
  <c r="C4580" i="3"/>
  <c r="EE419" i="2"/>
  <c r="B3016" i="3"/>
  <c r="B3018" i="3" s="1"/>
  <c r="C3015" i="3"/>
  <c r="C3016" i="3" s="1"/>
  <c r="B3022" i="3"/>
  <c r="C3009" i="3"/>
  <c r="D3014" i="3"/>
  <c r="EN376" i="18"/>
  <c r="I4641" i="3"/>
  <c r="I4657" i="3" s="1"/>
  <c r="I4676" i="3" s="1"/>
  <c r="G4425" i="3"/>
  <c r="H4438" i="3"/>
  <c r="EG270" i="18"/>
  <c r="H4544" i="3"/>
  <c r="H4436" i="3" s="1"/>
  <c r="EB431" i="18"/>
  <c r="EB426" i="18" s="1"/>
  <c r="EB425" i="18" s="1"/>
  <c r="EB430" i="18" s="1"/>
  <c r="EC48" i="4"/>
  <c r="EC205" i="4" s="1"/>
  <c r="G4424" i="3"/>
  <c r="EG464" i="2"/>
  <c r="EL474" i="2" s="1"/>
  <c r="EL473" i="2"/>
  <c r="J194" i="11"/>
  <c r="EG245" i="18"/>
  <c r="EH245" i="18" s="1"/>
  <c r="J4834" i="3"/>
  <c r="EE287" i="2"/>
  <c r="K4504" i="3"/>
  <c r="K4643" i="3" s="1"/>
  <c r="J4504" i="3"/>
  <c r="EO376" i="18" s="1"/>
  <c r="J4564" i="3"/>
  <c r="J4621" i="3" s="1"/>
  <c r="FE129" i="10"/>
  <c r="EE281" i="2"/>
  <c r="DW564" i="18"/>
  <c r="DW550" i="18" s="1"/>
  <c r="I4843" i="3"/>
  <c r="I4609" i="3"/>
  <c r="I4621" i="3"/>
  <c r="I4619" i="3" s="1"/>
  <c r="I4625" i="3"/>
  <c r="I4612" i="3"/>
  <c r="I4614" i="3" s="1"/>
  <c r="I4418" i="3" s="1"/>
  <c r="I5184" i="3"/>
  <c r="EH118" i="18"/>
  <c r="EH101" i="18"/>
  <c r="EH102" i="18" s="1"/>
  <c r="FF48" i="2"/>
  <c r="FF469" i="2"/>
  <c r="FF29" i="2"/>
  <c r="Q4503" i="3"/>
  <c r="E5065" i="3"/>
  <c r="E5071" i="3" s="1"/>
  <c r="EK412" i="10"/>
  <c r="EK473" i="2"/>
  <c r="EK191" i="2"/>
  <c r="EK464" i="2"/>
  <c r="EP474" i="2" s="1"/>
  <c r="E4303" i="3"/>
  <c r="E4309" i="3" s="1"/>
  <c r="E4311" i="3"/>
  <c r="EH98" i="18"/>
  <c r="D3375" i="3"/>
  <c r="EK460" i="18"/>
  <c r="EL460" i="18" s="1"/>
  <c r="EE544" i="1"/>
  <c r="EE361" i="18" s="1"/>
  <c r="X5739" i="3"/>
  <c r="P5763" i="3" s="1"/>
  <c r="EG102" i="18"/>
  <c r="EG103" i="18"/>
  <c r="EE543" i="1"/>
  <c r="EE360" i="18" s="1"/>
  <c r="EG374" i="18"/>
  <c r="EH374" i="18" s="1"/>
  <c r="EK91" i="18"/>
  <c r="EK93" i="18" s="1"/>
  <c r="E4327" i="3"/>
  <c r="EJ93" i="18"/>
  <c r="EG289" i="18"/>
  <c r="D25" i="24"/>
  <c r="D26" i="24" s="1"/>
  <c r="EH11" i="4"/>
  <c r="EH12" i="4" s="1"/>
  <c r="EH16" i="4" s="1"/>
  <c r="EH18" i="4" s="1"/>
  <c r="EH473" i="2"/>
  <c r="E32" i="29"/>
  <c r="EI36" i="2"/>
  <c r="EG473" i="2"/>
  <c r="D4890" i="3"/>
  <c r="EH364" i="10"/>
  <c r="EH191" i="2"/>
  <c r="H104" i="6"/>
  <c r="EH24" i="2"/>
  <c r="I4140" i="3"/>
  <c r="I4161" i="3" s="1"/>
  <c r="I4157" i="3"/>
  <c r="EC471" i="18"/>
  <c r="G153" i="24"/>
  <c r="G156" i="24" s="1"/>
  <c r="G157" i="24" s="1"/>
  <c r="EH506" i="2"/>
  <c r="D4959" i="3"/>
  <c r="D4967" i="3" s="1"/>
  <c r="B3346" i="3"/>
  <c r="DU572" i="1"/>
  <c r="DT569" i="1"/>
  <c r="DS569" i="1" s="1"/>
  <c r="F159" i="24"/>
  <c r="EI33" i="2"/>
  <c r="EI425" i="10"/>
  <c r="EI612" i="2"/>
  <c r="EI416" i="10" s="1"/>
  <c r="EF416" i="10"/>
  <c r="EK612" i="2"/>
  <c r="EK416" i="10" s="1"/>
  <c r="EF14" i="4"/>
  <c r="EF15" i="4" s="1"/>
  <c r="EI15" i="4" s="1"/>
  <c r="EF46" i="2"/>
  <c r="EI46" i="2" s="1"/>
  <c r="EF467" i="2"/>
  <c r="EI466" i="2"/>
  <c r="EF476" i="2"/>
  <c r="EI45" i="2"/>
  <c r="D3389" i="3"/>
  <c r="DY289" i="18"/>
  <c r="W5739" i="3"/>
  <c r="O5763" i="3" s="1"/>
  <c r="EJ475" i="2"/>
  <c r="EC631" i="2"/>
  <c r="I4132" i="3" s="1"/>
  <c r="I4139" i="3" s="1"/>
  <c r="I4160" i="3" s="1"/>
  <c r="EJ466" i="2"/>
  <c r="EJ476" i="2" s="1"/>
  <c r="EJ212" i="2"/>
  <c r="EJ45" i="2"/>
  <c r="EJ14" i="4" s="1"/>
  <c r="B3292" i="3"/>
  <c r="EJ377" i="10"/>
  <c r="ED196" i="18"/>
  <c r="EI110" i="1"/>
  <c r="EI112" i="1" s="1"/>
  <c r="EE112" i="1"/>
  <c r="EE120" i="1" s="1"/>
  <c r="EI120" i="1" s="1"/>
  <c r="EN137" i="4"/>
  <c r="EQ113" i="18"/>
  <c r="EP212" i="18"/>
  <c r="M197" i="11"/>
  <c r="N176" i="11"/>
  <c r="EF12" i="4"/>
  <c r="EL425" i="10"/>
  <c r="EQ389" i="18"/>
  <c r="EP124" i="18"/>
  <c r="EP290" i="18" s="1"/>
  <c r="EP461" i="18"/>
  <c r="EP399" i="18"/>
  <c r="I4653" i="3"/>
  <c r="I4672" i="3" s="1"/>
  <c r="J4637" i="3"/>
  <c r="EE248" i="2"/>
  <c r="EJ248" i="2"/>
  <c r="EH51" i="2"/>
  <c r="EH128" i="10"/>
  <c r="EF473" i="2"/>
  <c r="I3185" i="3"/>
  <c r="EI263" i="10"/>
  <c r="EE434" i="2"/>
  <c r="EI429" i="2"/>
  <c r="EI434" i="2" s="1"/>
  <c r="EG11" i="4"/>
  <c r="EG12" i="4" s="1"/>
  <c r="EG16" i="4" s="1"/>
  <c r="EG18" i="4" s="1"/>
  <c r="EG43" i="2"/>
  <c r="EG625" i="2"/>
  <c r="EG627" i="2" s="1"/>
  <c r="EG333" i="2" s="1"/>
  <c r="EG364" i="10"/>
  <c r="DW150" i="18"/>
  <c r="DX150" i="18" s="1"/>
  <c r="DV143" i="18"/>
  <c r="DV251" i="18" s="1"/>
  <c r="DV151" i="18"/>
  <c r="DV33" i="18"/>
  <c r="DV34" i="18" s="1"/>
  <c r="F3382" i="3"/>
  <c r="G3379" i="3"/>
  <c r="DU258" i="18"/>
  <c r="DZ251" i="18"/>
  <c r="EE251" i="18" s="1"/>
  <c r="EI604" i="2"/>
  <c r="EI608" i="2"/>
  <c r="EI161" i="10" s="1"/>
  <c r="EN383" i="18"/>
  <c r="DY478" i="18"/>
  <c r="DU477" i="18"/>
  <c r="EC192" i="4"/>
  <c r="ED191" i="4"/>
  <c r="ED192" i="4" s="1"/>
  <c r="G5092" i="3"/>
  <c r="EG128" i="10"/>
  <c r="EG51" i="2"/>
  <c r="EI410" i="10"/>
  <c r="EI326" i="2"/>
  <c r="DU109" i="10"/>
  <c r="DY81" i="4"/>
  <c r="K5420" i="3"/>
  <c r="EN44" i="18"/>
  <c r="EO259" i="18"/>
  <c r="E125" i="13"/>
  <c r="E127" i="13" s="1"/>
  <c r="F123" i="13"/>
  <c r="F125" i="13" s="1"/>
  <c r="F127" i="13" s="1"/>
  <c r="D4592" i="3"/>
  <c r="D4594" i="3" s="1"/>
  <c r="D4606" i="3" s="1"/>
  <c r="D5189" i="3"/>
  <c r="D4580" i="3"/>
  <c r="EH395" i="18"/>
  <c r="D4757" i="3"/>
  <c r="D4570" i="3"/>
  <c r="D4572" i="3" s="1"/>
  <c r="D4575" i="3" s="1"/>
  <c r="C4574" i="3"/>
  <c r="C4627" i="3"/>
  <c r="D4490" i="3"/>
  <c r="C4417" i="3"/>
  <c r="C4763" i="3"/>
  <c r="EE560" i="2"/>
  <c r="EE563" i="2"/>
  <c r="EE209" i="2"/>
  <c r="EE374" i="10"/>
  <c r="EI201" i="2"/>
  <c r="EE463" i="2"/>
  <c r="EE42" i="2"/>
  <c r="EE43" i="2" s="1"/>
  <c r="EE190" i="2"/>
  <c r="D5008" i="3"/>
  <c r="D5001" i="3"/>
  <c r="H4652" i="3"/>
  <c r="H4671" i="3" s="1"/>
  <c r="I4636" i="3"/>
  <c r="ED414" i="2"/>
  <c r="ED413" i="2"/>
  <c r="DY184" i="10"/>
  <c r="ED101" i="2"/>
  <c r="DX99" i="2"/>
  <c r="DZ574" i="2"/>
  <c r="DZ400" i="2"/>
  <c r="DY447" i="2"/>
  <c r="DY402" i="2"/>
  <c r="DZ411" i="2"/>
  <c r="DY436" i="2"/>
  <c r="EI490" i="2"/>
  <c r="EI491" i="2" s="1"/>
  <c r="EL491" i="2" s="1"/>
  <c r="EM491" i="2" s="1"/>
  <c r="EI489" i="2"/>
  <c r="F3139" i="3"/>
  <c r="EI169" i="2"/>
  <c r="EF666" i="18"/>
  <c r="EI461" i="2"/>
  <c r="EI471" i="2" s="1"/>
  <c r="EE471" i="2"/>
  <c r="EC331" i="2"/>
  <c r="F4670" i="3"/>
  <c r="F4663" i="3"/>
  <c r="F4682" i="3" s="1"/>
  <c r="F4565" i="3" s="1"/>
  <c r="EI98" i="18"/>
  <c r="EJ96" i="18"/>
  <c r="EF43" i="2"/>
  <c r="EI494" i="2"/>
  <c r="EI495" i="2"/>
  <c r="EI496" i="2" s="1"/>
  <c r="EL496" i="2" s="1"/>
  <c r="EM496" i="2" s="1"/>
  <c r="B185" i="11"/>
  <c r="B191" i="11"/>
  <c r="C170" i="11"/>
  <c r="EE231" i="2"/>
  <c r="EE505" i="2"/>
  <c r="EI230" i="2"/>
  <c r="EE384" i="10"/>
  <c r="EI345" i="2"/>
  <c r="EI420" i="10"/>
  <c r="EI40" i="2"/>
  <c r="EE9" i="4"/>
  <c r="H4635" i="3"/>
  <c r="G4651" i="3"/>
  <c r="G4647" i="3"/>
  <c r="H22" i="29"/>
  <c r="G25" i="29"/>
  <c r="EE400" i="2"/>
  <c r="EI395" i="2"/>
  <c r="EI400" i="2" s="1"/>
  <c r="EE455" i="2"/>
  <c r="EI455" i="2" s="1"/>
  <c r="EI453" i="2"/>
  <c r="EI573" i="2" s="1"/>
  <c r="EE327" i="2"/>
  <c r="EJ328" i="2" s="1"/>
  <c r="EE422" i="10"/>
  <c r="EI339" i="2"/>
  <c r="EE347" i="2"/>
  <c r="EI372" i="10"/>
  <c r="EI186" i="2"/>
  <c r="M5742" i="3"/>
  <c r="G5766" i="3" s="1"/>
  <c r="N5748" i="3"/>
  <c r="N5742" i="3" s="1"/>
  <c r="H5766" i="3" s="1"/>
  <c r="EI324" i="2"/>
  <c r="EI408" i="10"/>
  <c r="D151" i="11"/>
  <c r="C166" i="11"/>
  <c r="C210" i="11" s="1"/>
  <c r="O5747" i="3"/>
  <c r="Q5747" i="3" s="1"/>
  <c r="I5765" i="3"/>
  <c r="EM606" i="2"/>
  <c r="EM368" i="10" s="1"/>
  <c r="EH368" i="10"/>
  <c r="EG477" i="2"/>
  <c r="EF86" i="2"/>
  <c r="EE342" i="10"/>
  <c r="EE88" i="2"/>
  <c r="F3106" i="3"/>
  <c r="F5766" i="3"/>
  <c r="O5742" i="3"/>
  <c r="EE640" i="2"/>
  <c r="EI619" i="2"/>
  <c r="EE457" i="2"/>
  <c r="EE458" i="2" s="1"/>
  <c r="EE647" i="2"/>
  <c r="D66" i="11"/>
  <c r="D57" i="11"/>
  <c r="E42" i="11"/>
  <c r="EF625" i="2"/>
  <c r="EF627" i="2" s="1"/>
  <c r="EF364" i="10"/>
  <c r="EH127" i="10"/>
  <c r="EH47" i="2"/>
  <c r="EH49" i="2" s="1"/>
  <c r="G3235" i="3"/>
  <c r="G3233" i="3" s="1"/>
  <c r="H53" i="11"/>
  <c r="H126" i="11"/>
  <c r="H65" i="11"/>
  <c r="I41" i="11"/>
  <c r="H84" i="11"/>
  <c r="H99" i="11"/>
  <c r="H141" i="11"/>
  <c r="H108" i="11"/>
  <c r="H110" i="11" s="1"/>
  <c r="EG121" i="18"/>
  <c r="EG122" i="18"/>
  <c r="EG158" i="18"/>
  <c r="EG125" i="18"/>
  <c r="EH117" i="18"/>
  <c r="EH119" i="18" s="1"/>
  <c r="EI119" i="18" s="1"/>
  <c r="B169" i="6"/>
  <c r="EE432" i="10"/>
  <c r="EI367" i="2"/>
  <c r="G10" i="20"/>
  <c r="G15" i="23" s="1"/>
  <c r="E10" i="29"/>
  <c r="D18" i="29"/>
  <c r="H4140" i="3"/>
  <c r="H4161" i="3" s="1"/>
  <c r="H4157" i="3"/>
  <c r="EG91" i="4"/>
  <c r="EH85" i="4"/>
  <c r="D4166" i="3"/>
  <c r="C4912" i="3"/>
  <c r="B5310" i="3" s="1"/>
  <c r="C4289" i="3"/>
  <c r="H4425" i="3"/>
  <c r="ED367" i="2"/>
  <c r="DZ432" i="10"/>
  <c r="EE368" i="2"/>
  <c r="DZ505" i="2"/>
  <c r="DZ513" i="18"/>
  <c r="EE513" i="18"/>
  <c r="EA11" i="4"/>
  <c r="DZ425" i="10"/>
  <c r="DZ612" i="2"/>
  <c r="ED342" i="2"/>
  <c r="EE350" i="2"/>
  <c r="DZ466" i="2"/>
  <c r="DZ467" i="2" s="1"/>
  <c r="DZ45" i="2"/>
  <c r="DZ46" i="2" s="1"/>
  <c r="G184" i="24"/>
  <c r="G188" i="24" s="1"/>
  <c r="F188" i="24"/>
  <c r="EN204" i="4"/>
  <c r="EN12" i="32" s="1"/>
  <c r="H4424" i="3"/>
  <c r="B12" i="25"/>
  <c r="EH89" i="4"/>
  <c r="EB130" i="18"/>
  <c r="EB129" i="18" s="1"/>
  <c r="EB134" i="18" s="1"/>
  <c r="EC135" i="18"/>
  <c r="EC130" i="18" s="1"/>
  <c r="EC129" i="18" s="1"/>
  <c r="EC134" i="18" s="1"/>
  <c r="DW49" i="4"/>
  <c r="DW205" i="4"/>
  <c r="DW103" i="10"/>
  <c r="ED9" i="4"/>
  <c r="EA458" i="2"/>
  <c r="EF458" i="2"/>
  <c r="DU83" i="18"/>
  <c r="DV86" i="18" s="1"/>
  <c r="DU86" i="18" s="1"/>
  <c r="DU213" i="18"/>
  <c r="DU234" i="18"/>
  <c r="DU291" i="18"/>
  <c r="DU200" i="18"/>
  <c r="DV201" i="18" s="1"/>
  <c r="DU201" i="18" s="1"/>
  <c r="DV289" i="18"/>
  <c r="DZ197" i="18"/>
  <c r="DU289" i="18"/>
  <c r="J4638" i="3"/>
  <c r="I4654" i="3"/>
  <c r="I4673" i="3" s="1"/>
  <c r="EE298" i="2"/>
  <c r="EE424" i="2" s="1"/>
  <c r="H3235" i="3"/>
  <c r="H3244" i="3"/>
  <c r="H3234" i="3" s="1"/>
  <c r="H3229" i="3" s="1"/>
  <c r="H3239" i="3" s="1"/>
  <c r="X3120" i="3" s="1"/>
  <c r="EB12" i="4"/>
  <c r="EB16" i="4" s="1"/>
  <c r="EB18" i="4" s="1"/>
  <c r="N4257" i="3"/>
  <c r="N4256" i="3" s="1"/>
  <c r="N4259" i="3" s="1"/>
  <c r="N4260" i="3" s="1"/>
  <c r="M4256" i="3"/>
  <c r="M4259" i="3" s="1"/>
  <c r="M4260" i="3" s="1"/>
  <c r="DX554" i="18"/>
  <c r="DX588" i="18"/>
  <c r="ED81" i="4"/>
  <c r="ED109" i="10" s="1"/>
  <c r="DZ109" i="10"/>
  <c r="F87" i="22"/>
  <c r="F10" i="22" s="1"/>
  <c r="G10" i="22" s="1"/>
  <c r="DY84" i="18"/>
  <c r="DY85" i="18" s="1"/>
  <c r="DX87" i="18"/>
  <c r="DX85" i="18"/>
  <c r="I4550" i="3"/>
  <c r="L4297" i="3"/>
  <c r="L4310" i="3"/>
  <c r="DU530" i="18"/>
  <c r="DZ514" i="18"/>
  <c r="I4288" i="3"/>
  <c r="H4321" i="3"/>
  <c r="H4301" i="3"/>
  <c r="EA331" i="2"/>
  <c r="EF411" i="2"/>
  <c r="EF408" i="2"/>
  <c r="DV49" i="4"/>
  <c r="DV103" i="10"/>
  <c r="DV205" i="4"/>
  <c r="EA468" i="2"/>
  <c r="EF474" i="2"/>
  <c r="EF68" i="4"/>
  <c r="EF62" i="4"/>
  <c r="EF63" i="4"/>
  <c r="J4640" i="3"/>
  <c r="I4656" i="3"/>
  <c r="I4675" i="3" s="1"/>
  <c r="F26" i="29"/>
  <c r="F27" i="29" s="1"/>
  <c r="EA43" i="2"/>
  <c r="G4133" i="3"/>
  <c r="G4136" i="3" s="1"/>
  <c r="B4175" i="3"/>
  <c r="B4166" i="3"/>
  <c r="DV656" i="18"/>
  <c r="DV655" i="18" s="1"/>
  <c r="DU196" i="18"/>
  <c r="DZ72" i="2"/>
  <c r="ED368" i="10"/>
  <c r="EI607" i="2"/>
  <c r="EE611" i="2"/>
  <c r="DZ611" i="2"/>
  <c r="EB43" i="2"/>
  <c r="D122" i="24"/>
  <c r="D115" i="24"/>
  <c r="D161" i="24"/>
  <c r="D162" i="24" s="1"/>
  <c r="EA625" i="2"/>
  <c r="EA364" i="10"/>
  <c r="EF191" i="2"/>
  <c r="DZ630" i="2"/>
  <c r="DZ608" i="2"/>
  <c r="ED602" i="2"/>
  <c r="DZ604" i="2"/>
  <c r="Y5739" i="3"/>
  <c r="N5763" i="3"/>
  <c r="EF506" i="2"/>
  <c r="D229" i="24"/>
  <c r="D73" i="24"/>
  <c r="EH157" i="4"/>
  <c r="D157" i="6"/>
  <c r="EG163" i="4"/>
  <c r="F4303" i="3"/>
  <c r="F4311" i="3"/>
  <c r="G158" i="24"/>
  <c r="G146" i="24"/>
  <c r="ED601" i="2"/>
  <c r="DZ331" i="2"/>
  <c r="F87" i="21"/>
  <c r="F10" i="21" s="1"/>
  <c r="G10" i="21" s="1"/>
  <c r="DZ445" i="2"/>
  <c r="ED440" i="2"/>
  <c r="ED445" i="2" s="1"/>
  <c r="ED611" i="2"/>
  <c r="EI611" i="2"/>
  <c r="EC377" i="18"/>
  <c r="ED377" i="18" s="1"/>
  <c r="ED373" i="18"/>
  <c r="EC411" i="18"/>
  <c r="ED465" i="2"/>
  <c r="EI475" i="2" s="1"/>
  <c r="EE475" i="2"/>
  <c r="E3369" i="3"/>
  <c r="E3370" i="3" s="1"/>
  <c r="ED457" i="2"/>
  <c r="H4138" i="3"/>
  <c r="H4159" i="3" s="1"/>
  <c r="H4137" i="3"/>
  <c r="H4158" i="3" s="1"/>
  <c r="EF286" i="2"/>
  <c r="EF418" i="2"/>
  <c r="EF292" i="2"/>
  <c r="EF297" i="2" s="1"/>
  <c r="EF423" i="2" s="1"/>
  <c r="ED89" i="1"/>
  <c r="DZ91" i="1"/>
  <c r="EB625" i="2"/>
  <c r="EB627" i="2" s="1"/>
  <c r="EB364" i="10"/>
  <c r="EG191" i="2"/>
  <c r="F189" i="24"/>
  <c r="G185" i="24"/>
  <c r="G189" i="24" s="1"/>
  <c r="DV428" i="2"/>
  <c r="DU428" i="2"/>
  <c r="DU420" i="2"/>
  <c r="DZ421" i="2" s="1"/>
  <c r="DZ432" i="2"/>
  <c r="DY91" i="1"/>
  <c r="DU99" i="1"/>
  <c r="EE408" i="2"/>
  <c r="EE411" i="2"/>
  <c r="I4655" i="3"/>
  <c r="I4674" i="3" s="1"/>
  <c r="J4639" i="3"/>
  <c r="EH91" i="1"/>
  <c r="EI89" i="1"/>
  <c r="DU113" i="10"/>
  <c r="DU104" i="4"/>
  <c r="DU129" i="4"/>
  <c r="DU122" i="4"/>
  <c r="B4820" i="3"/>
  <c r="B4345" i="3"/>
  <c r="DZ655" i="18"/>
  <c r="ED656" i="18"/>
  <c r="EF508" i="2"/>
  <c r="D4336" i="3"/>
  <c r="DX105" i="4"/>
  <c r="DX268" i="1"/>
  <c r="DX270" i="1" s="1"/>
  <c r="EL339" i="18"/>
  <c r="EK58" i="18"/>
  <c r="E72" i="24" s="1"/>
  <c r="EA128" i="10"/>
  <c r="DX604" i="2"/>
  <c r="DX630" i="2"/>
  <c r="DX608" i="2"/>
  <c r="DZ159" i="18"/>
  <c r="DU37" i="18"/>
  <c r="DU160" i="18"/>
  <c r="G3368" i="3"/>
  <c r="CK5" i="18"/>
  <c r="CK5" i="2"/>
  <c r="CK5" i="10"/>
  <c r="CK5" i="4"/>
  <c r="H4300" i="3"/>
  <c r="I4287" i="3"/>
  <c r="H4320" i="3"/>
  <c r="I3220" i="3"/>
  <c r="EE538" i="1"/>
  <c r="EE58" i="35" s="1"/>
  <c r="K4466" i="3"/>
  <c r="L4456" i="3"/>
  <c r="EH109" i="10"/>
  <c r="EI81" i="4"/>
  <c r="EI109" i="10" s="1"/>
  <c r="EA418" i="2"/>
  <c r="EA292" i="2"/>
  <c r="EF270" i="18"/>
  <c r="EF277" i="18" s="1"/>
  <c r="EF48" i="18" s="1"/>
  <c r="EA277" i="18"/>
  <c r="EA48" i="18" s="1"/>
  <c r="EG506" i="2"/>
  <c r="DZ13" i="4"/>
  <c r="ED44" i="2"/>
  <c r="EO371" i="18"/>
  <c r="DZ282" i="2"/>
  <c r="ED430" i="2"/>
  <c r="ED435" i="2" s="1"/>
  <c r="ED263" i="10" s="1"/>
  <c r="DZ429" i="2"/>
  <c r="I5728" i="3"/>
  <c r="I4544" i="3"/>
  <c r="EC187" i="10"/>
  <c r="EC58" i="4"/>
  <c r="EC59" i="4" s="1"/>
  <c r="EC61" i="4" s="1"/>
  <c r="EC545" i="1"/>
  <c r="EC362" i="18" s="1"/>
  <c r="EC363" i="18" s="1"/>
  <c r="EC365" i="18" s="1"/>
  <c r="EG456" i="18"/>
  <c r="EG457" i="18" s="1"/>
  <c r="EG538" i="18" s="1"/>
  <c r="DY302" i="18"/>
  <c r="DY223" i="18"/>
  <c r="G11" i="29"/>
  <c r="EB331" i="2"/>
  <c r="F111" i="24"/>
  <c r="F102" i="24" s="1"/>
  <c r="F117" i="24"/>
  <c r="G6038" i="3"/>
  <c r="G6022" i="3"/>
  <c r="G6037" i="3" s="1"/>
  <c r="DZ105" i="4"/>
  <c r="DZ268" i="1"/>
  <c r="DZ270" i="1" s="1"/>
  <c r="EA269" i="1" s="1"/>
  <c r="EA270" i="1" s="1"/>
  <c r="EB269" i="1" s="1"/>
  <c r="EB270" i="1" s="1"/>
  <c r="EC269" i="1" s="1"/>
  <c r="E121" i="24"/>
  <c r="E119" i="24" s="1"/>
  <c r="F4323" i="3"/>
  <c r="F4327" i="3" s="1"/>
  <c r="F4296" i="3"/>
  <c r="ED33" i="2"/>
  <c r="B4189" i="3"/>
  <c r="C4253" i="3"/>
  <c r="C4959" i="3"/>
  <c r="ED36" i="2"/>
  <c r="C4890" i="3"/>
  <c r="C4883" i="3" s="1"/>
  <c r="B5501" i="3"/>
  <c r="DU525" i="18"/>
  <c r="DZ504" i="18"/>
  <c r="H81" i="11"/>
  <c r="I76" i="11"/>
  <c r="EB464" i="2"/>
  <c r="DV37" i="18"/>
  <c r="DV38" i="18" s="1"/>
  <c r="EA159" i="18"/>
  <c r="DV160" i="18"/>
  <c r="EH105" i="4"/>
  <c r="EH268" i="1"/>
  <c r="EH270" i="1" s="1"/>
  <c r="DW86" i="18"/>
  <c r="EE372" i="18"/>
  <c r="EE555" i="1"/>
  <c r="EE556" i="1" s="1"/>
  <c r="EE195" i="18"/>
  <c r="H28" i="21"/>
  <c r="DY445" i="18"/>
  <c r="DY450" i="18" s="1"/>
  <c r="DU444" i="18"/>
  <c r="DX561" i="18"/>
  <c r="DW544" i="18"/>
  <c r="EC544" i="18"/>
  <c r="EC561" i="18" s="1"/>
  <c r="DU277" i="18"/>
  <c r="DU48" i="18" s="1"/>
  <c r="DZ270" i="18"/>
  <c r="DW516" i="18"/>
  <c r="DW566" i="18"/>
  <c r="EC86" i="18"/>
  <c r="ED86" i="18" s="1"/>
  <c r="ER250" i="18"/>
  <c r="ES142" i="18"/>
  <c r="ES250" i="18" s="1"/>
  <c r="DV526" i="18"/>
  <c r="H124" i="6"/>
  <c r="G126" i="6"/>
  <c r="E3383" i="3"/>
  <c r="E3384" i="3" s="1"/>
  <c r="EE134" i="4"/>
  <c r="EE122" i="10"/>
  <c r="E11" i="25"/>
  <c r="E12" i="25" s="1"/>
  <c r="C12" i="25"/>
  <c r="H6022" i="3"/>
  <c r="H6037" i="3" s="1"/>
  <c r="H6038" i="3"/>
  <c r="EC251" i="1"/>
  <c r="EC105" i="35" s="1"/>
  <c r="ED268" i="1"/>
  <c r="ED270" i="1" s="1"/>
  <c r="EA421" i="2"/>
  <c r="DX160" i="18"/>
  <c r="DX308" i="18" s="1"/>
  <c r="DX307" i="18" s="1"/>
  <c r="DX54" i="18" s="1"/>
  <c r="DX55" i="18" s="1"/>
  <c r="DX37" i="18"/>
  <c r="DX38" i="18" s="1"/>
  <c r="EC159" i="18"/>
  <c r="G4292" i="3"/>
  <c r="H4292" i="3" s="1"/>
  <c r="I4292" i="3" s="1"/>
  <c r="J4292" i="3" s="1"/>
  <c r="K4292" i="3" s="1"/>
  <c r="L4292" i="3" s="1"/>
  <c r="M4292" i="3" s="1"/>
  <c r="N4292" i="3" s="1"/>
  <c r="G4290" i="3"/>
  <c r="G4299" i="3"/>
  <c r="O4286" i="3"/>
  <c r="DZ430" i="18"/>
  <c r="H108" i="24"/>
  <c r="H99" i="24" s="1"/>
  <c r="H110" i="24"/>
  <c r="DW534" i="18"/>
  <c r="DW599" i="18"/>
  <c r="ED197" i="18"/>
  <c r="ED83" i="18"/>
  <c r="B26" i="22"/>
  <c r="B26" i="21"/>
  <c r="B80" i="24"/>
  <c r="B26" i="20"/>
  <c r="ED291" i="18"/>
  <c r="ED329" i="2"/>
  <c r="ED424" i="10"/>
  <c r="EI349" i="2"/>
  <c r="DU524" i="18"/>
  <c r="DZ502" i="18"/>
  <c r="ED626" i="2"/>
  <c r="B4331" i="3"/>
  <c r="B4335" i="3" s="1"/>
  <c r="B4308" i="3"/>
  <c r="ED647" i="2"/>
  <c r="B5307" i="3"/>
  <c r="J5764" i="3"/>
  <c r="T5740" i="3"/>
  <c r="EE190" i="18"/>
  <c r="DZ134" i="18"/>
  <c r="M4251" i="3"/>
  <c r="M4254" i="3"/>
  <c r="M4291" i="3"/>
  <c r="S5746" i="3"/>
  <c r="S5740" i="3" s="1"/>
  <c r="R5740" i="3"/>
  <c r="DV84" i="18"/>
  <c r="DV85" i="18" s="1"/>
  <c r="DV667" i="18"/>
  <c r="DW300" i="18"/>
  <c r="DW221" i="18"/>
  <c r="DV223" i="18"/>
  <c r="DV302" i="18"/>
  <c r="DW244" i="18"/>
  <c r="DW201" i="18"/>
  <c r="DW430" i="2"/>
  <c r="DW429" i="2" s="1"/>
  <c r="DW602" i="2"/>
  <c r="DW37" i="18"/>
  <c r="DW38" i="18" s="1"/>
  <c r="DW160" i="18"/>
  <c r="DW308" i="18" s="1"/>
  <c r="DW307" i="18" s="1"/>
  <c r="DW54" i="18" s="1"/>
  <c r="DW55" i="18" s="1"/>
  <c r="EB159" i="18"/>
  <c r="DV564" i="18"/>
  <c r="DV550" i="18" s="1"/>
  <c r="DV531" i="18"/>
  <c r="DV532" i="18" s="1"/>
  <c r="L46" i="21"/>
  <c r="K45" i="21"/>
  <c r="M47" i="21"/>
  <c r="I43" i="21"/>
  <c r="H42" i="21"/>
  <c r="G41" i="21"/>
  <c r="G85" i="21" s="1"/>
  <c r="J44" i="21"/>
  <c r="N48" i="21"/>
  <c r="EB545" i="1"/>
  <c r="EB45" i="35" s="1"/>
  <c r="EB46" i="35" s="1"/>
  <c r="EB48" i="35" s="1"/>
  <c r="EB58" i="4"/>
  <c r="EB59" i="4" s="1"/>
  <c r="EB61" i="4" s="1"/>
  <c r="G110" i="24"/>
  <c r="G108" i="24"/>
  <c r="G99" i="24" s="1"/>
  <c r="EN115" i="10"/>
  <c r="L4874" i="3"/>
  <c r="M4873" i="3"/>
  <c r="DX534" i="18"/>
  <c r="DX599" i="18"/>
  <c r="L46" i="20"/>
  <c r="H42" i="20"/>
  <c r="H29" i="20"/>
  <c r="I28" i="20" s="1"/>
  <c r="K45" i="20"/>
  <c r="I43" i="20"/>
  <c r="S53" i="20"/>
  <c r="P50" i="20"/>
  <c r="R52" i="20"/>
  <c r="O49" i="20"/>
  <c r="U55" i="20"/>
  <c r="Q51" i="20"/>
  <c r="Y59" i="20"/>
  <c r="X58" i="20"/>
  <c r="T54" i="20"/>
  <c r="V56" i="20"/>
  <c r="Z60" i="20"/>
  <c r="W57" i="20"/>
  <c r="G41" i="20"/>
  <c r="G85" i="20" s="1"/>
  <c r="N48" i="20"/>
  <c r="M47" i="20"/>
  <c r="J44" i="20"/>
  <c r="G29" i="22"/>
  <c r="K194" i="11"/>
  <c r="L173" i="11"/>
  <c r="B5312" i="3" l="1"/>
  <c r="B5314" i="3" s="1"/>
  <c r="E4319" i="3"/>
  <c r="E4324" i="3" s="1"/>
  <c r="E4343" i="3" s="1"/>
  <c r="E4489" i="3" s="1"/>
  <c r="F4319" i="3"/>
  <c r="F4324" i="3" s="1"/>
  <c r="D4319" i="3"/>
  <c r="D4324" i="3" s="1"/>
  <c r="D4343" i="3" s="1"/>
  <c r="D4945" i="3" s="1"/>
  <c r="EE274" i="2"/>
  <c r="EE286" i="2"/>
  <c r="G4319" i="3"/>
  <c r="G4324" i="3" s="1"/>
  <c r="D4330" i="3"/>
  <c r="D4333" i="3" s="1"/>
  <c r="D4820" i="3" s="1"/>
  <c r="EE382" i="2"/>
  <c r="EE308" i="2"/>
  <c r="EE263" i="2"/>
  <c r="C4338" i="3"/>
  <c r="C4333" i="3"/>
  <c r="C4820" i="3" s="1"/>
  <c r="C4319" i="3"/>
  <c r="C4334" i="3" s="1"/>
  <c r="F379" i="3"/>
  <c r="FG469" i="2"/>
  <c r="FG479" i="2" s="1"/>
  <c r="G504" i="3"/>
  <c r="B186" i="41"/>
  <c r="EI365" i="36"/>
  <c r="EI20" i="36"/>
  <c r="DX103" i="10"/>
  <c r="DX140" i="10" s="1"/>
  <c r="DX142" i="10" s="1"/>
  <c r="J1611" i="3"/>
  <c r="I1631" i="3"/>
  <c r="H1615" i="3"/>
  <c r="EF105" i="2"/>
  <c r="G1607" i="3"/>
  <c r="G1616" i="3" s="1"/>
  <c r="H1616" i="3" s="1"/>
  <c r="H1613" i="3"/>
  <c r="G1633" i="3"/>
  <c r="J1614" i="3"/>
  <c r="I1634" i="3"/>
  <c r="I1612" i="3"/>
  <c r="H1632" i="3"/>
  <c r="DX205" i="4"/>
  <c r="EH55" i="2"/>
  <c r="EB79" i="18"/>
  <c r="EB78" i="18" s="1"/>
  <c r="EB81" i="18" s="1"/>
  <c r="EE503" i="36"/>
  <c r="EI104" i="35"/>
  <c r="C4913" i="3"/>
  <c r="B310" i="38"/>
  <c r="EH50" i="2"/>
  <c r="EX429" i="36"/>
  <c r="EX434" i="36" s="1"/>
  <c r="EI363" i="36"/>
  <c r="DY129" i="35"/>
  <c r="EN80" i="35"/>
  <c r="D2502" i="3"/>
  <c r="FJ453" i="36"/>
  <c r="FJ455" i="36" s="1"/>
  <c r="FJ319" i="36"/>
  <c r="FJ367" i="36" s="1"/>
  <c r="EB205" i="35"/>
  <c r="EB49" i="35"/>
  <c r="EB50" i="35"/>
  <c r="EF199" i="35"/>
  <c r="EF200" i="35" s="1"/>
  <c r="EF126" i="35" s="1"/>
  <c r="EG50" i="35"/>
  <c r="EE199" i="35"/>
  <c r="EE200" i="35" s="1"/>
  <c r="EE126" i="35" s="1"/>
  <c r="EY351" i="36"/>
  <c r="EY344" i="36"/>
  <c r="EE512" i="36"/>
  <c r="EE511" i="36"/>
  <c r="EE518" i="36"/>
  <c r="EE514" i="36"/>
  <c r="EE516" i="36"/>
  <c r="EJ510" i="36"/>
  <c r="EJ502" i="36"/>
  <c r="EJ499" i="36"/>
  <c r="EJ500" i="36"/>
  <c r="EN498" i="36"/>
  <c r="EO499" i="36"/>
  <c r="EY476" i="36"/>
  <c r="EY467" i="36"/>
  <c r="FB350" i="36"/>
  <c r="FG350" i="36" s="1"/>
  <c r="EW342" i="36"/>
  <c r="EX342" i="36" s="1"/>
  <c r="EX350" i="36" s="1"/>
  <c r="DU605" i="36"/>
  <c r="DU609" i="36"/>
  <c r="DZ610" i="36" s="1"/>
  <c r="DU631" i="36"/>
  <c r="DY603" i="36"/>
  <c r="EJ365" i="36"/>
  <c r="EO365" i="36"/>
  <c r="DZ298" i="36"/>
  <c r="DZ424" i="36" s="1"/>
  <c r="ED293" i="36"/>
  <c r="ED298" i="36" s="1"/>
  <c r="ED424" i="36" s="1"/>
  <c r="EV45" i="36"/>
  <c r="EV466" i="36"/>
  <c r="EV205" i="36"/>
  <c r="FA204" i="36"/>
  <c r="EH503" i="36"/>
  <c r="EM503" i="36"/>
  <c r="ET16" i="35"/>
  <c r="EN63" i="36"/>
  <c r="EN64" i="36"/>
  <c r="ES64" i="36"/>
  <c r="EC129" i="35"/>
  <c r="EC132" i="35" s="1"/>
  <c r="EC134" i="35" s="1"/>
  <c r="EC104" i="35"/>
  <c r="ED104" i="35" s="1"/>
  <c r="EC122" i="35"/>
  <c r="ED122" i="35" s="1"/>
  <c r="EJ225" i="36"/>
  <c r="EJ226" i="36"/>
  <c r="EO226" i="36"/>
  <c r="EK225" i="36"/>
  <c r="DV605" i="36"/>
  <c r="DV631" i="36"/>
  <c r="DV649" i="36" s="1"/>
  <c r="DV652" i="36" s="1"/>
  <c r="DV609" i="36"/>
  <c r="EA610" i="36" s="1"/>
  <c r="EB518" i="36"/>
  <c r="EB514" i="36"/>
  <c r="EB516" i="36"/>
  <c r="EB512" i="36"/>
  <c r="EN240" i="36"/>
  <c r="ES240" i="36"/>
  <c r="ED105" i="35"/>
  <c r="EN79" i="36"/>
  <c r="ES79" i="36"/>
  <c r="EW204" i="36"/>
  <c r="FB212" i="36"/>
  <c r="FG212" i="36" s="1"/>
  <c r="EI510" i="36"/>
  <c r="EH512" i="36"/>
  <c r="EH514" i="36"/>
  <c r="EH511" i="36"/>
  <c r="EH518" i="36"/>
  <c r="EH516" i="36"/>
  <c r="EM511" i="36"/>
  <c r="EE59" i="35"/>
  <c r="FD351" i="36"/>
  <c r="FD344" i="36"/>
  <c r="EJ228" i="36"/>
  <c r="EO228" i="36"/>
  <c r="FH464" i="36"/>
  <c r="FH474" i="36" s="1"/>
  <c r="FG474" i="36"/>
  <c r="FI368" i="36"/>
  <c r="FI505" i="36"/>
  <c r="EF501" i="36"/>
  <c r="EK501" i="36"/>
  <c r="DW652" i="36"/>
  <c r="DW654" i="36" s="1"/>
  <c r="EJ363" i="36"/>
  <c r="EO363" i="36"/>
  <c r="DZ132" i="35"/>
  <c r="ES533" i="36"/>
  <c r="EA514" i="36"/>
  <c r="EA512" i="36"/>
  <c r="EA518" i="36"/>
  <c r="EA516" i="36"/>
  <c r="EN75" i="36"/>
  <c r="ES75" i="36"/>
  <c r="ET352" i="36"/>
  <c r="ET10" i="36"/>
  <c r="FG50" i="36"/>
  <c r="EN24" i="36"/>
  <c r="ES24" i="36"/>
  <c r="EU351" i="36"/>
  <c r="EU344" i="36"/>
  <c r="EN238" i="36"/>
  <c r="ES238" i="36"/>
  <c r="DX124" i="35"/>
  <c r="DY124" i="35" s="1"/>
  <c r="DZ123" i="35" s="1"/>
  <c r="ED123" i="35" s="1"/>
  <c r="DZ516" i="36"/>
  <c r="DZ512" i="36"/>
  <c r="DZ514" i="36"/>
  <c r="ED510" i="36"/>
  <c r="DZ518" i="36"/>
  <c r="EJ33" i="36"/>
  <c r="EJ36" i="36"/>
  <c r="EO36" i="36"/>
  <c r="EJ21" i="36"/>
  <c r="FN291" i="36"/>
  <c r="EH501" i="36"/>
  <c r="EM501" i="36"/>
  <c r="FE204" i="36"/>
  <c r="EZ466" i="36"/>
  <c r="EZ45" i="36"/>
  <c r="EZ205" i="36"/>
  <c r="EN643" i="36"/>
  <c r="EN609" i="36"/>
  <c r="ES643" i="36"/>
  <c r="EG503" i="36"/>
  <c r="EL503" i="36"/>
  <c r="FH11" i="35"/>
  <c r="FG12" i="35"/>
  <c r="EY420" i="36"/>
  <c r="FC417" i="36"/>
  <c r="EJ160" i="35"/>
  <c r="EN158" i="35"/>
  <c r="EN33" i="36"/>
  <c r="EN36" i="36"/>
  <c r="ES36" i="36"/>
  <c r="EF516" i="36"/>
  <c r="EF518" i="36"/>
  <c r="EF512" i="36"/>
  <c r="EF514" i="36"/>
  <c r="EF511" i="36"/>
  <c r="EK511" i="36"/>
  <c r="FE342" i="36"/>
  <c r="FE343" i="36" s="1"/>
  <c r="EZ343" i="36"/>
  <c r="FH50" i="36"/>
  <c r="ET477" i="36"/>
  <c r="ET468" i="36"/>
  <c r="EI499" i="36"/>
  <c r="EI500" i="36"/>
  <c r="EI502" i="36"/>
  <c r="EU213" i="36"/>
  <c r="EU206" i="36"/>
  <c r="EJ527" i="36"/>
  <c r="EN526" i="36"/>
  <c r="EO527" i="36"/>
  <c r="EC514" i="36"/>
  <c r="EC518" i="36"/>
  <c r="EC512" i="36"/>
  <c r="EC516" i="36"/>
  <c r="EG501" i="36"/>
  <c r="EL501" i="36"/>
  <c r="EY213" i="36"/>
  <c r="EY206" i="36"/>
  <c r="EI226" i="36"/>
  <c r="EF503" i="36"/>
  <c r="EK503" i="36"/>
  <c r="FC654" i="36"/>
  <c r="FH655" i="36"/>
  <c r="ED502" i="36"/>
  <c r="ED500" i="36"/>
  <c r="EN52" i="36"/>
  <c r="ES52" i="36"/>
  <c r="FJ285" i="36"/>
  <c r="FJ288" i="36"/>
  <c r="FK280" i="36"/>
  <c r="FN283" i="36"/>
  <c r="FJ284" i="36"/>
  <c r="FJ294" i="36"/>
  <c r="FJ317" i="36" s="1"/>
  <c r="EN375" i="36"/>
  <c r="ES375" i="36"/>
  <c r="EU476" i="36"/>
  <c r="EU467" i="36"/>
  <c r="EJ637" i="36"/>
  <c r="EN635" i="36"/>
  <c r="EN640" i="36" s="1"/>
  <c r="EJ640" i="36"/>
  <c r="EN480" i="36"/>
  <c r="ES480" i="36"/>
  <c r="FH653" i="36"/>
  <c r="DU134" i="35"/>
  <c r="DY134" i="35" s="1"/>
  <c r="DY132" i="35"/>
  <c r="EN227" i="36"/>
  <c r="EN224" i="36"/>
  <c r="EN223" i="36"/>
  <c r="ES223" i="36"/>
  <c r="FD466" i="36"/>
  <c r="FD45" i="36"/>
  <c r="FD205" i="36"/>
  <c r="EI228" i="36"/>
  <c r="DY430" i="36"/>
  <c r="DY435" i="36" s="1"/>
  <c r="DU429" i="36"/>
  <c r="FH656" i="36"/>
  <c r="FH328" i="36"/>
  <c r="FI328" i="36" s="1"/>
  <c r="FJ328" i="36" s="1"/>
  <c r="FK328" i="36" s="1"/>
  <c r="FL328" i="36" s="1"/>
  <c r="FM328" i="36" s="1"/>
  <c r="FH627" i="36"/>
  <c r="FH628" i="36" s="1"/>
  <c r="EJ28" i="35"/>
  <c r="EN26" i="35"/>
  <c r="EN28" i="35" s="1"/>
  <c r="EN377" i="36"/>
  <c r="ES377" i="36"/>
  <c r="EY428" i="36"/>
  <c r="EX432" i="36"/>
  <c r="EX603" i="36"/>
  <c r="EX436" i="36"/>
  <c r="EI132" i="35"/>
  <c r="EE134" i="35"/>
  <c r="EI134" i="35" s="1"/>
  <c r="EU14" i="35"/>
  <c r="EU15" i="35" s="1"/>
  <c r="EU16" i="35" s="1"/>
  <c r="EU18" i="35" s="1"/>
  <c r="EU46" i="36"/>
  <c r="ET563" i="36"/>
  <c r="ET214" i="36"/>
  <c r="ET9" i="36"/>
  <c r="ET545" i="36"/>
  <c r="ET251" i="36"/>
  <c r="ET241" i="36"/>
  <c r="ET249" i="36"/>
  <c r="EE501" i="36"/>
  <c r="EG518" i="36"/>
  <c r="EG512" i="36"/>
  <c r="EG516" i="36"/>
  <c r="EG514" i="36"/>
  <c r="EG511" i="36"/>
  <c r="EL511" i="36"/>
  <c r="DX205" i="35"/>
  <c r="DX49" i="35"/>
  <c r="EC50" i="35"/>
  <c r="EY14" i="35"/>
  <c r="EY46" i="36"/>
  <c r="FA342" i="36"/>
  <c r="EV343" i="36"/>
  <c r="EN364" i="36"/>
  <c r="EN362" i="36"/>
  <c r="EN361" i="36"/>
  <c r="ES361" i="36"/>
  <c r="DZ292" i="36"/>
  <c r="ED281" i="36"/>
  <c r="ED286" i="36" s="1"/>
  <c r="DZ418" i="36"/>
  <c r="ED418" i="36" s="1"/>
  <c r="DZ286" i="36"/>
  <c r="EN18" i="35"/>
  <c r="EJ19" i="35"/>
  <c r="EJ48" i="35"/>
  <c r="EO19" i="35"/>
  <c r="FN282" i="36"/>
  <c r="FJ419" i="36"/>
  <c r="FN419" i="36" s="1"/>
  <c r="FJ293" i="36"/>
  <c r="EI129" i="35"/>
  <c r="ET51" i="36"/>
  <c r="ET47" i="36"/>
  <c r="I4438" i="3"/>
  <c r="FH571" i="36"/>
  <c r="EC131" i="10"/>
  <c r="EC127" i="10"/>
  <c r="EB75" i="18"/>
  <c r="EB74" i="18"/>
  <c r="EG73" i="18"/>
  <c r="EG74" i="18" s="1"/>
  <c r="EF79" i="18"/>
  <c r="EF78" i="18" s="1"/>
  <c r="EF81" i="18" s="1"/>
  <c r="I172" i="11"/>
  <c r="J172" i="11" s="1"/>
  <c r="K172" i="11" s="1"/>
  <c r="L172" i="11" s="1"/>
  <c r="DZ192" i="18"/>
  <c r="DZ191" i="18"/>
  <c r="EA81" i="18"/>
  <c r="T76" i="29"/>
  <c r="S100" i="29"/>
  <c r="K79" i="29"/>
  <c r="K78" i="29"/>
  <c r="L78" i="29" s="1"/>
  <c r="M78" i="29" s="1"/>
  <c r="T75" i="29"/>
  <c r="S99" i="29"/>
  <c r="O98" i="29"/>
  <c r="P98" i="29"/>
  <c r="Q98" i="29"/>
  <c r="R98" i="29"/>
  <c r="S98" i="29"/>
  <c r="T98" i="29"/>
  <c r="U98" i="29"/>
  <c r="V98" i="29"/>
  <c r="V82" i="29"/>
  <c r="O97" i="29"/>
  <c r="Q97" i="29"/>
  <c r="P97" i="29"/>
  <c r="S97" i="29"/>
  <c r="T97" i="29"/>
  <c r="U97" i="29"/>
  <c r="R97" i="29"/>
  <c r="V97" i="29"/>
  <c r="V71" i="29"/>
  <c r="B103" i="3"/>
  <c r="B104" i="3" s="1"/>
  <c r="B108" i="3" s="1"/>
  <c r="B116" i="3"/>
  <c r="B118" i="3" s="1"/>
  <c r="B131" i="3"/>
  <c r="C131" i="3" s="1"/>
  <c r="D131" i="3" s="1"/>
  <c r="B130" i="3"/>
  <c r="FF479" i="2"/>
  <c r="FJ469" i="2"/>
  <c r="I3235" i="3"/>
  <c r="I3233" i="3" s="1"/>
  <c r="I3228" i="3" s="1"/>
  <c r="I3238" i="3" s="1"/>
  <c r="Y3119" i="3" s="1"/>
  <c r="EA288" i="2"/>
  <c r="F3153" i="3"/>
  <c r="EB560" i="2"/>
  <c r="E3245" i="3"/>
  <c r="E3235" i="3" s="1"/>
  <c r="EI189" i="2"/>
  <c r="EE541" i="2"/>
  <c r="EE545" i="2"/>
  <c r="EB565" i="2"/>
  <c r="EB566" i="2" s="1"/>
  <c r="EA559" i="2"/>
  <c r="EA563" i="2" s="1"/>
  <c r="EO212" i="4"/>
  <c r="FG29" i="2"/>
  <c r="DV377" i="18"/>
  <c r="DU377" i="18" s="1"/>
  <c r="DY377" i="18" s="1"/>
  <c r="DV471" i="18"/>
  <c r="DU409" i="18"/>
  <c r="DY471" i="18"/>
  <c r="DV409" i="18"/>
  <c r="DU411" i="18"/>
  <c r="DU471" i="18"/>
  <c r="FH11" i="2"/>
  <c r="FG48" i="2"/>
  <c r="EA187" i="10"/>
  <c r="C2487" i="3"/>
  <c r="D2482" i="3"/>
  <c r="F2499" i="3"/>
  <c r="G2494" i="3"/>
  <c r="G2496" i="3" s="1"/>
  <c r="G2497" i="3" s="1"/>
  <c r="G2751" i="3"/>
  <c r="G171" i="11"/>
  <c r="F192" i="11"/>
  <c r="EB357" i="2"/>
  <c r="EB355" i="2" s="1"/>
  <c r="EB430" i="10" s="1"/>
  <c r="EC286" i="2"/>
  <c r="EC357" i="2"/>
  <c r="EC355" i="2" s="1"/>
  <c r="EC372" i="2" s="1"/>
  <c r="FH72" i="4"/>
  <c r="FG98" i="4"/>
  <c r="FH117" i="4"/>
  <c r="EH474" i="2"/>
  <c r="EM474" i="2"/>
  <c r="EN74" i="1"/>
  <c r="EN73" i="1"/>
  <c r="EN236" i="1"/>
  <c r="EN251" i="1" s="1"/>
  <c r="EN268" i="1" s="1"/>
  <c r="EN270" i="1" s="1"/>
  <c r="EO269" i="1" s="1"/>
  <c r="EJ251" i="1"/>
  <c r="EJ105" i="35" s="1"/>
  <c r="EA72" i="2"/>
  <c r="EA219" i="2" s="1"/>
  <c r="EA217" i="2" s="1"/>
  <c r="EA382" i="10" s="1"/>
  <c r="EA485" i="2"/>
  <c r="EJ89" i="1"/>
  <c r="EN81" i="1"/>
  <c r="EC308" i="2"/>
  <c r="C5170" i="3"/>
  <c r="B4132" i="3"/>
  <c r="EC382" i="2"/>
  <c r="EC299" i="2"/>
  <c r="EC425" i="2" s="1"/>
  <c r="EC274" i="2"/>
  <c r="DX274" i="2" s="1"/>
  <c r="EC263" i="2"/>
  <c r="DY631" i="2"/>
  <c r="ED452" i="2"/>
  <c r="B320" i="38" s="1"/>
  <c r="EC50" i="4"/>
  <c r="ED410" i="2"/>
  <c r="ED187" i="10" s="1"/>
  <c r="EE569" i="2"/>
  <c r="B4949" i="3"/>
  <c r="C4952" i="3"/>
  <c r="DZ185" i="10"/>
  <c r="EE567" i="2"/>
  <c r="EE666" i="18" s="1"/>
  <c r="DX90" i="2"/>
  <c r="ED640" i="2"/>
  <c r="EE570" i="2"/>
  <c r="DZ94" i="2"/>
  <c r="M3460" i="3"/>
  <c r="F3460" i="3"/>
  <c r="N3460" i="3"/>
  <c r="J3460" i="3"/>
  <c r="L3460" i="3"/>
  <c r="G3460" i="3"/>
  <c r="H3460" i="3"/>
  <c r="K3460" i="3"/>
  <c r="ED232" i="2"/>
  <c r="EI231" i="2"/>
  <c r="DY457" i="2"/>
  <c r="ED458" i="2" s="1"/>
  <c r="EA276" i="2"/>
  <c r="EA568" i="2"/>
  <c r="EA265" i="2"/>
  <c r="EB95" i="2"/>
  <c r="EB392" i="10" s="1"/>
  <c r="EA391" i="10"/>
  <c r="EF97" i="2"/>
  <c r="EA310" i="2"/>
  <c r="EB107" i="2"/>
  <c r="EB263" i="2" s="1"/>
  <c r="C3439" i="3"/>
  <c r="C3454" i="3" s="1"/>
  <c r="M98" i="29"/>
  <c r="DZ143" i="2"/>
  <c r="EC103" i="10"/>
  <c r="EC140" i="10" s="1"/>
  <c r="EC142" i="10" s="1"/>
  <c r="EC49" i="4"/>
  <c r="DZ120" i="2"/>
  <c r="EB541" i="2"/>
  <c r="EA542" i="2"/>
  <c r="EA540" i="2" s="1"/>
  <c r="EA545" i="2" s="1"/>
  <c r="B209" i="11"/>
  <c r="B221" i="11" s="1"/>
  <c r="C221" i="11" s="1"/>
  <c r="D221" i="11" s="1"/>
  <c r="EE92" i="2"/>
  <c r="C68" i="29"/>
  <c r="C118" i="29" s="1"/>
  <c r="DZ176" i="2"/>
  <c r="J4641" i="3"/>
  <c r="K4641" i="3" s="1"/>
  <c r="ED464" i="2"/>
  <c r="C3483" i="3"/>
  <c r="C3484" i="3" s="1"/>
  <c r="DZ131" i="2"/>
  <c r="EB545" i="2"/>
  <c r="J97" i="29"/>
  <c r="K97" i="29"/>
  <c r="B4337" i="3"/>
  <c r="E3440" i="3"/>
  <c r="J3459" i="3" s="1"/>
  <c r="D118" i="29"/>
  <c r="ED190" i="2"/>
  <c r="ED364" i="10" s="1"/>
  <c r="ED360" i="10"/>
  <c r="EC569" i="2"/>
  <c r="EC566" i="2"/>
  <c r="EI187" i="2"/>
  <c r="EC567" i="2"/>
  <c r="EC666" i="18" s="1"/>
  <c r="DW586" i="18"/>
  <c r="M97" i="29"/>
  <c r="N98" i="29"/>
  <c r="F98" i="29"/>
  <c r="L98" i="29"/>
  <c r="L97" i="29"/>
  <c r="N97" i="29"/>
  <c r="E4333" i="3"/>
  <c r="E97" i="29"/>
  <c r="I97" i="29"/>
  <c r="J98" i="29"/>
  <c r="K98" i="29"/>
  <c r="C130" i="29"/>
  <c r="C131" i="29" s="1"/>
  <c r="ED463" i="2"/>
  <c r="DZ625" i="2"/>
  <c r="DZ627" i="2" s="1"/>
  <c r="DZ648" i="2" s="1"/>
  <c r="B4334" i="3"/>
  <c r="ED187" i="2"/>
  <c r="B4351" i="3"/>
  <c r="B130" i="29"/>
  <c r="B133" i="29" s="1"/>
  <c r="C134" i="29" s="1"/>
  <c r="B4489" i="3"/>
  <c r="B3483" i="3"/>
  <c r="B3486" i="3" s="1"/>
  <c r="C3487" i="3" s="1"/>
  <c r="EB392" i="18"/>
  <c r="ED42" i="2"/>
  <c r="ED11" i="4"/>
  <c r="EI209" i="2"/>
  <c r="DZ43" i="2"/>
  <c r="EA205" i="18"/>
  <c r="EA207" i="18" s="1"/>
  <c r="EA385" i="18"/>
  <c r="EA416" i="18" s="1"/>
  <c r="EA417" i="18" s="1"/>
  <c r="EB395" i="18"/>
  <c r="EB396" i="18" s="1"/>
  <c r="EC213" i="18"/>
  <c r="ED395" i="18"/>
  <c r="EE395" i="18" s="1"/>
  <c r="EC109" i="18"/>
  <c r="EC110" i="18" s="1"/>
  <c r="ES196" i="4"/>
  <c r="ET202" i="4" s="1"/>
  <c r="C4855" i="3"/>
  <c r="E4566" i="3"/>
  <c r="E4570" i="3" s="1"/>
  <c r="E4572" i="3" s="1"/>
  <c r="E4575" i="3" s="1"/>
  <c r="EC396" i="18"/>
  <c r="EK455" i="18"/>
  <c r="EJ191" i="2"/>
  <c r="D5186" i="3"/>
  <c r="D5188" i="3" s="1"/>
  <c r="D5187" i="3" s="1"/>
  <c r="D5193" i="3" s="1"/>
  <c r="DZ395" i="18"/>
  <c r="DZ397" i="18" s="1"/>
  <c r="EC385" i="18"/>
  <c r="EC416" i="18" s="1"/>
  <c r="EC421" i="18" s="1"/>
  <c r="EM425" i="10"/>
  <c r="EO115" i="10"/>
  <c r="EC431" i="18"/>
  <c r="EC426" i="18" s="1"/>
  <c r="EC425" i="18" s="1"/>
  <c r="EC430" i="18" s="1"/>
  <c r="C4576" i="3"/>
  <c r="DZ257" i="18"/>
  <c r="DZ42" i="18" s="1"/>
  <c r="EA208" i="18"/>
  <c r="EA257" i="18" s="1"/>
  <c r="EA42" i="18" s="1"/>
  <c r="DZ109" i="18"/>
  <c r="EA106" i="18" s="1"/>
  <c r="EA108" i="18" s="1"/>
  <c r="DZ213" i="18"/>
  <c r="EB208" i="18"/>
  <c r="EC210" i="18" s="1"/>
  <c r="EC209" i="18"/>
  <c r="DZ206" i="18"/>
  <c r="DZ211" i="18" s="1"/>
  <c r="DZ210" i="18"/>
  <c r="ED208" i="18"/>
  <c r="ED213" i="18" s="1"/>
  <c r="C4582" i="3"/>
  <c r="C4605" i="3" s="1"/>
  <c r="C4607" i="3" s="1"/>
  <c r="EG468" i="2"/>
  <c r="EL478" i="2" s="1"/>
  <c r="C5187" i="3"/>
  <c r="C5193" i="3" s="1"/>
  <c r="C5195" i="3" s="1"/>
  <c r="D3016" i="3"/>
  <c r="C3018" i="3"/>
  <c r="D3018" i="3" s="1"/>
  <c r="D3009" i="3"/>
  <c r="C3011" i="3"/>
  <c r="D3011" i="3" s="1"/>
  <c r="C3022" i="3"/>
  <c r="B3023" i="3"/>
  <c r="B3025" i="3" s="1"/>
  <c r="K4625" i="3"/>
  <c r="J4612" i="3"/>
  <c r="J4614" i="3" s="1"/>
  <c r="J4418" i="3" s="1"/>
  <c r="J4609" i="3"/>
  <c r="J5184" i="3"/>
  <c r="J4625" i="3"/>
  <c r="J4843" i="3"/>
  <c r="EP376" i="18"/>
  <c r="K4506" i="3"/>
  <c r="K4544" i="3" s="1"/>
  <c r="K4436" i="3" s="1"/>
  <c r="I4419" i="3"/>
  <c r="R4506" i="3"/>
  <c r="FF17" i="4"/>
  <c r="I4623" i="3"/>
  <c r="FF129" i="10"/>
  <c r="J4506" i="3"/>
  <c r="J4642" i="3"/>
  <c r="J4658" i="3" s="1"/>
  <c r="J4677" i="3" s="1"/>
  <c r="R4507" i="3"/>
  <c r="EN342" i="2"/>
  <c r="EN350" i="2" s="1"/>
  <c r="EE292" i="2"/>
  <c r="EE297" i="2" s="1"/>
  <c r="EE423" i="2" s="1"/>
  <c r="EE418" i="2"/>
  <c r="EE420" i="2" s="1"/>
  <c r="I4616" i="3"/>
  <c r="I4424" i="3" s="1"/>
  <c r="J4543" i="3"/>
  <c r="EI101" i="18"/>
  <c r="EI103" i="18" s="1"/>
  <c r="E25" i="24"/>
  <c r="E26" i="24" s="1"/>
  <c r="EH103" i="18"/>
  <c r="EH77" i="18"/>
  <c r="EH80" i="18" s="1"/>
  <c r="EI80" i="18" s="1"/>
  <c r="EH289" i="18"/>
  <c r="EI118" i="18"/>
  <c r="EI123" i="18" s="1"/>
  <c r="EJ123" i="18" s="1"/>
  <c r="EK123" i="18" s="1"/>
  <c r="EL91" i="18"/>
  <c r="EL93" i="18" s="1"/>
  <c r="E4313" i="3"/>
  <c r="E4332" i="3"/>
  <c r="E4336" i="3" s="1"/>
  <c r="EF477" i="2"/>
  <c r="EK477" i="2"/>
  <c r="EK474" i="2"/>
  <c r="EK468" i="2"/>
  <c r="EP478" i="2" s="1"/>
  <c r="EG379" i="18"/>
  <c r="EG631" i="2"/>
  <c r="EG650" i="2" s="1"/>
  <c r="EI102" i="18"/>
  <c r="I3241" i="3"/>
  <c r="G159" i="24"/>
  <c r="EF51" i="2"/>
  <c r="EG648" i="2"/>
  <c r="EH102" i="10"/>
  <c r="D4971" i="3"/>
  <c r="EF16" i="4"/>
  <c r="EF18" i="4" s="1"/>
  <c r="EH48" i="4"/>
  <c r="EH103" i="10" s="1"/>
  <c r="EH19" i="4"/>
  <c r="I104" i="6"/>
  <c r="EI467" i="2"/>
  <c r="DV40" i="18"/>
  <c r="EG628" i="2"/>
  <c r="EI14" i="4"/>
  <c r="DS572" i="1"/>
  <c r="DT572" i="1" s="1"/>
  <c r="DR569" i="1"/>
  <c r="EF468" i="2"/>
  <c r="EF470" i="2" s="1"/>
  <c r="EF526" i="2" s="1"/>
  <c r="EF128" i="10"/>
  <c r="ED129" i="18"/>
  <c r="ED134" i="18" s="1"/>
  <c r="EC650" i="2"/>
  <c r="EC651" i="2" s="1"/>
  <c r="EC653" i="2" s="1"/>
  <c r="EJ467" i="2"/>
  <c r="EJ468" i="2" s="1"/>
  <c r="EJ470" i="2" s="1"/>
  <c r="EJ526" i="2" s="1"/>
  <c r="ED130" i="18"/>
  <c r="ED135" i="18" s="1"/>
  <c r="EE135" i="18" s="1"/>
  <c r="EE130" i="18" s="1"/>
  <c r="EQ212" i="18"/>
  <c r="ER113" i="18"/>
  <c r="O176" i="11"/>
  <c r="N197" i="11"/>
  <c r="EE464" i="2"/>
  <c r="EJ474" i="2" s="1"/>
  <c r="EJ473" i="2"/>
  <c r="EH470" i="2"/>
  <c r="EM480" i="2" s="1"/>
  <c r="EH478" i="2"/>
  <c r="K4637" i="3"/>
  <c r="J4653" i="3"/>
  <c r="J4672" i="3" s="1"/>
  <c r="EQ399" i="18"/>
  <c r="EQ124" i="18"/>
  <c r="EQ290" i="18" s="1"/>
  <c r="ER389" i="18"/>
  <c r="EQ461" i="18"/>
  <c r="DX143" i="18"/>
  <c r="DX251" i="18" s="1"/>
  <c r="DX33" i="18"/>
  <c r="DX34" i="18" s="1"/>
  <c r="DX40" i="18" s="1"/>
  <c r="DX151" i="18"/>
  <c r="DX165" i="18" s="1"/>
  <c r="EG127" i="10"/>
  <c r="EG47" i="2"/>
  <c r="EG49" i="2" s="1"/>
  <c r="EG131" i="10" s="1"/>
  <c r="EG102" i="10"/>
  <c r="DV258" i="18"/>
  <c r="EA251" i="18"/>
  <c r="EF251" i="18" s="1"/>
  <c r="DV586" i="18"/>
  <c r="DW33" i="18"/>
  <c r="DW151" i="18"/>
  <c r="DW165" i="18" s="1"/>
  <c r="DW143" i="18"/>
  <c r="DW251" i="18" s="1"/>
  <c r="EJ263" i="10"/>
  <c r="DU43" i="18"/>
  <c r="DU45" i="18" s="1"/>
  <c r="DU260" i="18"/>
  <c r="DU279" i="18" s="1"/>
  <c r="DU278" i="18" s="1"/>
  <c r="EG48" i="4"/>
  <c r="H3379" i="3"/>
  <c r="G3382" i="3"/>
  <c r="EI43" i="2"/>
  <c r="EE127" i="10"/>
  <c r="EE47" i="2"/>
  <c r="B4813" i="3"/>
  <c r="DY86" i="18"/>
  <c r="EK364" i="10"/>
  <c r="C3281" i="3"/>
  <c r="D166" i="11"/>
  <c r="D210" i="11" s="1"/>
  <c r="E151" i="11"/>
  <c r="EI360" i="10"/>
  <c r="D4913" i="3"/>
  <c r="D4567" i="3"/>
  <c r="EI232" i="2"/>
  <c r="EI384" i="10"/>
  <c r="D4582" i="3"/>
  <c r="D4605" i="3" s="1"/>
  <c r="D4607" i="3" s="1"/>
  <c r="O5748" i="3"/>
  <c r="Q5748" i="3" s="1"/>
  <c r="I5766" i="3"/>
  <c r="EE507" i="2"/>
  <c r="EI505" i="2"/>
  <c r="EI507" i="2" s="1"/>
  <c r="DX436" i="2"/>
  <c r="DX402" i="2"/>
  <c r="DX447" i="2"/>
  <c r="DX184" i="10"/>
  <c r="DW99" i="2"/>
  <c r="EC101" i="2"/>
  <c r="L5420" i="3"/>
  <c r="EH379" i="18"/>
  <c r="EI374" i="18"/>
  <c r="EF631" i="2"/>
  <c r="EF650" i="2" s="1"/>
  <c r="EF333" i="2"/>
  <c r="EF648" i="2"/>
  <c r="EE191" i="2"/>
  <c r="EE364" i="10"/>
  <c r="EE625" i="2"/>
  <c r="C4933" i="3"/>
  <c r="C4934" i="3" s="1"/>
  <c r="C4420" i="3"/>
  <c r="E5186" i="3"/>
  <c r="E5188" i="3" s="1"/>
  <c r="EG36" i="18"/>
  <c r="EG162" i="18"/>
  <c r="G3243" i="3"/>
  <c r="G3228" i="3"/>
  <c r="E66" i="11"/>
  <c r="E57" i="11"/>
  <c r="EI457" i="2"/>
  <c r="EI458" i="2" s="1"/>
  <c r="F3108" i="3"/>
  <c r="F3111" i="3"/>
  <c r="C185" i="11"/>
  <c r="C191" i="11"/>
  <c r="D170" i="11"/>
  <c r="EE11" i="4"/>
  <c r="EI11" i="4" s="1"/>
  <c r="EI42" i="2"/>
  <c r="H4286" i="3"/>
  <c r="H4319" i="3" s="1"/>
  <c r="EI640" i="2"/>
  <c r="EH120" i="18"/>
  <c r="EH125" i="18" s="1"/>
  <c r="EI369" i="2"/>
  <c r="EJ369" i="2" s="1"/>
  <c r="EI432" i="10"/>
  <c r="EH131" i="10"/>
  <c r="EH52" i="2"/>
  <c r="I4652" i="3"/>
  <c r="I4671" i="3" s="1"/>
  <c r="J4636" i="3"/>
  <c r="EE473" i="2"/>
  <c r="EI463" i="2"/>
  <c r="EI128" i="10"/>
  <c r="DY477" i="18"/>
  <c r="DY482" i="18" s="1"/>
  <c r="DU482" i="18"/>
  <c r="EI327" i="2"/>
  <c r="EI422" i="10"/>
  <c r="EI347" i="2"/>
  <c r="G4670" i="3"/>
  <c r="G4663" i="3"/>
  <c r="G4682" i="3" s="1"/>
  <c r="G4565" i="3" s="1"/>
  <c r="B216" i="11"/>
  <c r="B48" i="11"/>
  <c r="B206" i="11"/>
  <c r="EF127" i="10"/>
  <c r="EF47" i="2"/>
  <c r="EF49" i="2" s="1"/>
  <c r="EF131" i="10" s="1"/>
  <c r="F4566" i="3"/>
  <c r="EI190" i="2"/>
  <c r="EI364" i="10" s="1"/>
  <c r="EI374" i="10"/>
  <c r="EH396" i="18"/>
  <c r="EI395" i="18"/>
  <c r="DY109" i="10"/>
  <c r="DY80" i="4"/>
  <c r="EH333" i="2"/>
  <c r="EH632" i="2"/>
  <c r="EH628" i="2"/>
  <c r="EC382" i="10"/>
  <c r="EC235" i="2"/>
  <c r="R5747" i="3"/>
  <c r="Q5741" i="3"/>
  <c r="I4635" i="3"/>
  <c r="H4651" i="3"/>
  <c r="H4647" i="3"/>
  <c r="EO44" i="18"/>
  <c r="EP259" i="18"/>
  <c r="B174" i="6"/>
  <c r="B183" i="6" s="1"/>
  <c r="B186" i="6" s="1"/>
  <c r="B195" i="6" s="1"/>
  <c r="B200" i="6" s="1"/>
  <c r="B171" i="6"/>
  <c r="I141" i="11"/>
  <c r="I126" i="11"/>
  <c r="I65" i="11"/>
  <c r="I84" i="11"/>
  <c r="I99" i="11"/>
  <c r="J41" i="11"/>
  <c r="I108" i="11"/>
  <c r="I110" i="11" s="1"/>
  <c r="I53" i="11"/>
  <c r="EG86" i="2"/>
  <c r="EF342" i="10"/>
  <c r="G3106" i="3"/>
  <c r="EF88" i="2"/>
  <c r="EE626" i="2"/>
  <c r="EI626" i="2" s="1"/>
  <c r="EJ412" i="10"/>
  <c r="EE412" i="10"/>
  <c r="EE328" i="2"/>
  <c r="H25" i="29"/>
  <c r="I22" i="29"/>
  <c r="EI9" i="4"/>
  <c r="EK96" i="18"/>
  <c r="EJ98" i="18"/>
  <c r="EJ101" i="18"/>
  <c r="F3259" i="3"/>
  <c r="F3260" i="3" s="1"/>
  <c r="F3262" i="3" s="1"/>
  <c r="F3188" i="3"/>
  <c r="F3183" i="3" s="1"/>
  <c r="F3181" i="3" s="1"/>
  <c r="F3185" i="3" s="1"/>
  <c r="F3245" i="3"/>
  <c r="DV599" i="18"/>
  <c r="DV534" i="18"/>
  <c r="F3367" i="3"/>
  <c r="E3375" i="3"/>
  <c r="G24" i="29"/>
  <c r="F32" i="29"/>
  <c r="ED467" i="2"/>
  <c r="EE477" i="2"/>
  <c r="DZ468" i="2"/>
  <c r="EP371" i="18"/>
  <c r="EP425" i="18" s="1"/>
  <c r="E229" i="24"/>
  <c r="E73" i="24"/>
  <c r="EB19" i="4"/>
  <c r="EB102" i="10"/>
  <c r="EG19" i="4"/>
  <c r="DW121" i="10"/>
  <c r="DW140" i="10"/>
  <c r="DW142" i="10" s="1"/>
  <c r="C4322" i="3"/>
  <c r="C4326" i="3" s="1"/>
  <c r="C4295" i="3"/>
  <c r="EG93" i="4"/>
  <c r="EE200" i="18"/>
  <c r="EE192" i="18"/>
  <c r="T5746" i="3"/>
  <c r="V5746" i="3" s="1"/>
  <c r="M5764" i="3"/>
  <c r="EE289" i="18"/>
  <c r="H111" i="24"/>
  <c r="H102" i="24" s="1"/>
  <c r="H117" i="24"/>
  <c r="G4303" i="3"/>
  <c r="G4330" i="3"/>
  <c r="O4299" i="3"/>
  <c r="G4311" i="3"/>
  <c r="EH159" i="18"/>
  <c r="EH37" i="18" s="1"/>
  <c r="EC37" i="18"/>
  <c r="EC38" i="18" s="1"/>
  <c r="EC160" i="18"/>
  <c r="EE114" i="10"/>
  <c r="EE123" i="10" s="1"/>
  <c r="DY444" i="18"/>
  <c r="DY449" i="18" s="1"/>
  <c r="DU449" i="18"/>
  <c r="EF159" i="18"/>
  <c r="EA160" i="18"/>
  <c r="EA37" i="18"/>
  <c r="EA38" i="18" s="1"/>
  <c r="B5503" i="3"/>
  <c r="B5505" i="3"/>
  <c r="F5505" i="3" s="1"/>
  <c r="C5082" i="3"/>
  <c r="C4304" i="3"/>
  <c r="C5013" i="3"/>
  <c r="C4256" i="3"/>
  <c r="C4254" i="3"/>
  <c r="C4251" i="3"/>
  <c r="EG462" i="18"/>
  <c r="EG459" i="18"/>
  <c r="EH454" i="18"/>
  <c r="EG458" i="18"/>
  <c r="EM339" i="18"/>
  <c r="EL58" i="18"/>
  <c r="F72" i="24" s="1"/>
  <c r="B4956" i="3"/>
  <c r="B4495" i="3"/>
  <c r="B4344" i="3"/>
  <c r="ED331" i="2"/>
  <c r="EH159" i="4"/>
  <c r="EI159" i="4" s="1"/>
  <c r="B152" i="41" s="1"/>
  <c r="B154" i="41" s="1"/>
  <c r="B156" i="41" s="1"/>
  <c r="Y5745" i="3"/>
  <c r="AA5745" i="3" s="1"/>
  <c r="Q5763" i="3"/>
  <c r="DZ219" i="2"/>
  <c r="DZ217" i="2" s="1"/>
  <c r="DZ357" i="2"/>
  <c r="DZ355" i="2" s="1"/>
  <c r="C4166" i="3"/>
  <c r="DZ14" i="4"/>
  <c r="ED14" i="4" s="1"/>
  <c r="ED45" i="2"/>
  <c r="ED80" i="4"/>
  <c r="ED110" i="10" s="1"/>
  <c r="C4302" i="3"/>
  <c r="G117" i="24"/>
  <c r="G111" i="24"/>
  <c r="G102" i="24" s="1"/>
  <c r="B81" i="24"/>
  <c r="B83" i="24"/>
  <c r="B84" i="24"/>
  <c r="EG630" i="2"/>
  <c r="EG334" i="2"/>
  <c r="EH99" i="1"/>
  <c r="EI91" i="1"/>
  <c r="EA627" i="2"/>
  <c r="K4640" i="3"/>
  <c r="J4656" i="3"/>
  <c r="J4675" i="3" s="1"/>
  <c r="D4185" i="3"/>
  <c r="E4166" i="3"/>
  <c r="EB68" i="4"/>
  <c r="EB63" i="4"/>
  <c r="EB62" i="4"/>
  <c r="EG63" i="4"/>
  <c r="K4659" i="3"/>
  <c r="K4678" i="3" s="1"/>
  <c r="L4643" i="3"/>
  <c r="L5764" i="3"/>
  <c r="B8" i="22"/>
  <c r="C26" i="22"/>
  <c r="G4296" i="3"/>
  <c r="G4323" i="3"/>
  <c r="O4290" i="3"/>
  <c r="DY48" i="18"/>
  <c r="EB468" i="2"/>
  <c r="EG474" i="2"/>
  <c r="C4884" i="3"/>
  <c r="C4887" i="3"/>
  <c r="F121" i="24"/>
  <c r="F119" i="24" s="1"/>
  <c r="EC62" i="4"/>
  <c r="EC68" i="4"/>
  <c r="EC63" i="4"/>
  <c r="DZ434" i="2"/>
  <c r="ED429" i="2"/>
  <c r="ED434" i="2" s="1"/>
  <c r="DX129" i="4"/>
  <c r="DX132" i="4" s="1"/>
  <c r="DX113" i="10"/>
  <c r="DX104" i="4"/>
  <c r="DY104" i="4" s="1"/>
  <c r="DX122" i="4"/>
  <c r="DY122" i="4" s="1"/>
  <c r="DU124" i="4"/>
  <c r="DV123" i="4" s="1"/>
  <c r="DV124" i="4" s="1"/>
  <c r="DW123" i="4" s="1"/>
  <c r="DW124" i="4" s="1"/>
  <c r="DX123" i="4" s="1"/>
  <c r="K4639" i="3"/>
  <c r="J4655" i="3"/>
  <c r="J4674" i="3" s="1"/>
  <c r="DY428" i="2"/>
  <c r="DU430" i="2"/>
  <c r="ED91" i="1"/>
  <c r="DZ99" i="1"/>
  <c r="G4140" i="3"/>
  <c r="G4161" i="3" s="1"/>
  <c r="G4157" i="3"/>
  <c r="J4654" i="3"/>
  <c r="J4673" i="3" s="1"/>
  <c r="K4638" i="3"/>
  <c r="I124" i="6"/>
  <c r="J124" i="6" s="1"/>
  <c r="J126" i="6" s="1"/>
  <c r="H126" i="6"/>
  <c r="DX562" i="18"/>
  <c r="DX546" i="18" s="1"/>
  <c r="DX571" i="18"/>
  <c r="DX573" i="18" s="1"/>
  <c r="DX565" i="18" s="1"/>
  <c r="C4971" i="3"/>
  <c r="C4967" i="3"/>
  <c r="C4969" i="3"/>
  <c r="K5764" i="3"/>
  <c r="J4550" i="3"/>
  <c r="EB45" i="4"/>
  <c r="EB46" i="4" s="1"/>
  <c r="EB48" i="4" s="1"/>
  <c r="EB362" i="18"/>
  <c r="EB363" i="18" s="1"/>
  <c r="EB365" i="18" s="1"/>
  <c r="H29" i="21"/>
  <c r="I28" i="21" s="1"/>
  <c r="EG159" i="18"/>
  <c r="EB37" i="18"/>
  <c r="EB38" i="18" s="1"/>
  <c r="EB160" i="18"/>
  <c r="DY201" i="18"/>
  <c r="N4297" i="3"/>
  <c r="M4310" i="3"/>
  <c r="M4297" i="3"/>
  <c r="ED414" i="10"/>
  <c r="EI330" i="2"/>
  <c r="F3381" i="3"/>
  <c r="E3389" i="3"/>
  <c r="EE376" i="18"/>
  <c r="EE373" i="18"/>
  <c r="EE471" i="18" s="1"/>
  <c r="EF471" i="18" s="1"/>
  <c r="J76" i="11"/>
  <c r="I81" i="11"/>
  <c r="M4456" i="3"/>
  <c r="L4466" i="3"/>
  <c r="DU308" i="18"/>
  <c r="DU165" i="18"/>
  <c r="DU132" i="4"/>
  <c r="DV430" i="2"/>
  <c r="DV429" i="2" s="1"/>
  <c r="DV602" i="2"/>
  <c r="ED411" i="18"/>
  <c r="B4171" i="3"/>
  <c r="ED608" i="2"/>
  <c r="ED604" i="2"/>
  <c r="EB47" i="2"/>
  <c r="EB49" i="2" s="1"/>
  <c r="EB127" i="10"/>
  <c r="EG50" i="2"/>
  <c r="G4138" i="3"/>
  <c r="G4159" i="3" s="1"/>
  <c r="G4137" i="3"/>
  <c r="G4158" i="3" s="1"/>
  <c r="DV140" i="10"/>
  <c r="DV142" i="10" s="1"/>
  <c r="DV121" i="10"/>
  <c r="I4301" i="3"/>
  <c r="I4321" i="3"/>
  <c r="J4288" i="3"/>
  <c r="H3233" i="3"/>
  <c r="EA12" i="4"/>
  <c r="EN203" i="4"/>
  <c r="ED612" i="2"/>
  <c r="ED425" i="10"/>
  <c r="EI350" i="2"/>
  <c r="DU526" i="18"/>
  <c r="DV308" i="18"/>
  <c r="DV307" i="18" s="1"/>
  <c r="DV54" i="18" s="1"/>
  <c r="DV55" i="18" s="1"/>
  <c r="DV165" i="18"/>
  <c r="E4130" i="3"/>
  <c r="DX648" i="2"/>
  <c r="B8" i="21"/>
  <c r="C26" i="21"/>
  <c r="EE270" i="18"/>
  <c r="EE277" i="18" s="1"/>
  <c r="DZ277" i="18"/>
  <c r="EE83" i="18"/>
  <c r="EE197" i="18"/>
  <c r="EE291" i="18"/>
  <c r="EF195" i="18"/>
  <c r="H42" i="22"/>
  <c r="L46" i="22"/>
  <c r="K45" i="22"/>
  <c r="I43" i="22"/>
  <c r="G41" i="22"/>
  <c r="G85" i="22" s="1"/>
  <c r="J44" i="22"/>
  <c r="N48" i="22"/>
  <c r="M47" i="22"/>
  <c r="DZ667" i="18"/>
  <c r="DZ201" i="18"/>
  <c r="DZ202" i="18"/>
  <c r="DZ302" i="18"/>
  <c r="DZ84" i="18"/>
  <c r="DZ223" i="18"/>
  <c r="DZ244" i="18"/>
  <c r="DV422" i="2"/>
  <c r="EM460" i="18"/>
  <c r="EL455" i="18"/>
  <c r="DZ287" i="2"/>
  <c r="DZ419" i="2"/>
  <c r="ED419" i="2" s="1"/>
  <c r="DZ293" i="2"/>
  <c r="ED282" i="2"/>
  <c r="ED287" i="2" s="1"/>
  <c r="DZ281" i="2"/>
  <c r="ED46" i="2"/>
  <c r="DZ128" i="10"/>
  <c r="EE51" i="2"/>
  <c r="DY37" i="18"/>
  <c r="DU38" i="18"/>
  <c r="EC63" i="2"/>
  <c r="EH64" i="2"/>
  <c r="DY105" i="4"/>
  <c r="DY113" i="10" s="1"/>
  <c r="E4945" i="3"/>
  <c r="F4333" i="3"/>
  <c r="F4334" i="3"/>
  <c r="F4338" i="3"/>
  <c r="F4807" i="3"/>
  <c r="DZ161" i="10"/>
  <c r="EE609" i="2"/>
  <c r="EA200" i="18"/>
  <c r="EA191" i="18"/>
  <c r="EA192" i="18"/>
  <c r="EA47" i="2"/>
  <c r="EA49" i="2" s="1"/>
  <c r="EA127" i="10"/>
  <c r="EF50" i="2"/>
  <c r="EM105" i="10"/>
  <c r="EN138" i="4"/>
  <c r="EN73" i="4"/>
  <c r="D154" i="3" s="1"/>
  <c r="DZ416" i="10"/>
  <c r="EE613" i="2"/>
  <c r="DZ507" i="2"/>
  <c r="ED505" i="2"/>
  <c r="EE506" i="2"/>
  <c r="EE504" i="18"/>
  <c r="I4436" i="3"/>
  <c r="EE545" i="1"/>
  <c r="EE58" i="4"/>
  <c r="E4189" i="3"/>
  <c r="C4189" i="3"/>
  <c r="C4190" i="3" s="1"/>
  <c r="B4190" i="3"/>
  <c r="EA470" i="2"/>
  <c r="ED466" i="2"/>
  <c r="EI476" i="2" s="1"/>
  <c r="EE476" i="2"/>
  <c r="M46" i="20"/>
  <c r="I29" i="20"/>
  <c r="J43" i="20"/>
  <c r="I42" i="20"/>
  <c r="Q50" i="20"/>
  <c r="P49" i="20"/>
  <c r="H41" i="20"/>
  <c r="H85" i="20" s="1"/>
  <c r="T53" i="20"/>
  <c r="R51" i="20"/>
  <c r="S52" i="20"/>
  <c r="W56" i="20"/>
  <c r="X57" i="20"/>
  <c r="Z59" i="20"/>
  <c r="AA60" i="20"/>
  <c r="U54" i="20"/>
  <c r="V55" i="20"/>
  <c r="Y58" i="20"/>
  <c r="O48" i="20"/>
  <c r="L45" i="20"/>
  <c r="K44" i="20"/>
  <c r="N47" i="20"/>
  <c r="N4873" i="3"/>
  <c r="M4874" i="3"/>
  <c r="DW554" i="18"/>
  <c r="DW588" i="18"/>
  <c r="EC562" i="18"/>
  <c r="EC546" i="18" s="1"/>
  <c r="DZ129" i="4"/>
  <c r="DZ104" i="4"/>
  <c r="DZ113" i="10"/>
  <c r="DZ122" i="4"/>
  <c r="EO383" i="18"/>
  <c r="ED13" i="4"/>
  <c r="I4300" i="3"/>
  <c r="J4287" i="3"/>
  <c r="I4320" i="3"/>
  <c r="ED159" i="18"/>
  <c r="EE159" i="18"/>
  <c r="DZ37" i="18"/>
  <c r="DZ160" i="18"/>
  <c r="ED655" i="18"/>
  <c r="ED657" i="18" s="1"/>
  <c r="EE452" i="2"/>
  <c r="EE485" i="2" s="1"/>
  <c r="EE413" i="2"/>
  <c r="EE414" i="2"/>
  <c r="EE409" i="2"/>
  <c r="EE601" i="2"/>
  <c r="EE410" i="2"/>
  <c r="DU602" i="2"/>
  <c r="EB648" i="2"/>
  <c r="EB631" i="2"/>
  <c r="H28" i="22"/>
  <c r="F4313" i="3"/>
  <c r="F4309" i="3"/>
  <c r="F4332" i="3"/>
  <c r="EC75" i="18"/>
  <c r="EH73" i="18"/>
  <c r="ED73" i="18"/>
  <c r="EC74" i="18"/>
  <c r="EC79" i="18"/>
  <c r="EC78" i="18" s="1"/>
  <c r="F4328" i="3"/>
  <c r="F4343" i="3"/>
  <c r="EF413" i="2"/>
  <c r="EF414" i="2"/>
  <c r="EF601" i="2"/>
  <c r="EF409" i="2"/>
  <c r="EF410" i="2"/>
  <c r="EF452" i="2"/>
  <c r="EE514" i="18"/>
  <c r="EE530" i="18" s="1"/>
  <c r="DZ530" i="18"/>
  <c r="J4623" i="3"/>
  <c r="J4619" i="3"/>
  <c r="J4419" i="3"/>
  <c r="DU84" i="18"/>
  <c r="DU85" i="18" s="1"/>
  <c r="DU302" i="18"/>
  <c r="DU223" i="18"/>
  <c r="DU667" i="18"/>
  <c r="DV221" i="18"/>
  <c r="DV300" i="18"/>
  <c r="DV244" i="18"/>
  <c r="DU221" i="18"/>
  <c r="DY221" i="18"/>
  <c r="DU300" i="18"/>
  <c r="DY300" i="18"/>
  <c r="DY244" i="18"/>
  <c r="EH87" i="4"/>
  <c r="EI87" i="4" s="1"/>
  <c r="EI89" i="4"/>
  <c r="D230" i="24"/>
  <c r="DU656" i="18"/>
  <c r="DY196" i="18"/>
  <c r="DU661" i="18" s="1"/>
  <c r="ED432" i="10"/>
  <c r="ED369" i="2"/>
  <c r="EI368" i="2"/>
  <c r="DV516" i="18"/>
  <c r="DV566" i="18"/>
  <c r="B5316" i="3"/>
  <c r="G87" i="20"/>
  <c r="G87" i="21"/>
  <c r="DW604" i="2"/>
  <c r="DW630" i="2"/>
  <c r="DW608" i="2"/>
  <c r="DW87" i="18"/>
  <c r="EE502" i="18"/>
  <c r="B8" i="20"/>
  <c r="B13" i="23" s="1"/>
  <c r="C26" i="20"/>
  <c r="EC105" i="4"/>
  <c r="EC268" i="1"/>
  <c r="EC270" i="1" s="1"/>
  <c r="EB544" i="18"/>
  <c r="EB561" i="18" s="1"/>
  <c r="DV544" i="18"/>
  <c r="DW561" i="18"/>
  <c r="EH104" i="4"/>
  <c r="EI104" i="4" s="1"/>
  <c r="EH129" i="4"/>
  <c r="EH113" i="10"/>
  <c r="EH122" i="4"/>
  <c r="EI105" i="4"/>
  <c r="EI113" i="10" s="1"/>
  <c r="E122" i="24"/>
  <c r="E115" i="24"/>
  <c r="E161" i="24"/>
  <c r="E162" i="24" s="1"/>
  <c r="DZ221" i="18"/>
  <c r="EO425" i="18"/>
  <c r="DX161" i="10"/>
  <c r="EC609" i="2"/>
  <c r="DY99" i="1"/>
  <c r="DU539" i="1"/>
  <c r="EG164" i="4"/>
  <c r="EB382" i="10"/>
  <c r="EB235" i="2"/>
  <c r="F4130" i="3"/>
  <c r="ED630" i="2"/>
  <c r="DU564" i="18"/>
  <c r="DU550" i="18" s="1"/>
  <c r="DU531" i="18"/>
  <c r="DU532" i="18" s="1"/>
  <c r="E12" i="29"/>
  <c r="E13" i="29" s="1"/>
  <c r="M173" i="11"/>
  <c r="L194" i="11"/>
  <c r="F4325" i="3" l="1"/>
  <c r="D4489" i="3"/>
  <c r="E4337" i="3"/>
  <c r="E4325" i="3"/>
  <c r="D4351" i="3"/>
  <c r="G4325" i="3"/>
  <c r="E4328" i="3"/>
  <c r="E4351" i="3"/>
  <c r="E4334" i="3"/>
  <c r="D4334" i="3"/>
  <c r="D4337" i="3"/>
  <c r="D4345" i="3"/>
  <c r="D4344" i="3" s="1"/>
  <c r="D4338" i="3"/>
  <c r="E4338" i="3"/>
  <c r="D4807" i="3"/>
  <c r="O4319" i="3"/>
  <c r="D4341" i="3"/>
  <c r="C4341" i="3"/>
  <c r="D4325" i="3"/>
  <c r="C4345" i="3"/>
  <c r="C4495" i="3" s="1"/>
  <c r="C4559" i="3" s="1"/>
  <c r="C4561" i="3" s="1"/>
  <c r="C4560" i="3" s="1"/>
  <c r="C4324" i="3"/>
  <c r="C4337" i="3" s="1"/>
  <c r="C4325" i="3"/>
  <c r="DX176" i="2"/>
  <c r="FG129" i="10"/>
  <c r="G379" i="3"/>
  <c r="DX121" i="10"/>
  <c r="FH469" i="2"/>
  <c r="FH479" i="2" s="1"/>
  <c r="H504" i="3"/>
  <c r="B195" i="41"/>
  <c r="B200" i="41" s="1"/>
  <c r="ET211" i="4"/>
  <c r="ET212" i="4" s="1"/>
  <c r="EB190" i="18"/>
  <c r="EB192" i="18" s="1"/>
  <c r="I1613" i="3"/>
  <c r="H1633" i="3"/>
  <c r="I1616" i="3"/>
  <c r="J1612" i="3"/>
  <c r="I1632" i="3"/>
  <c r="I1615" i="3"/>
  <c r="EG105" i="2"/>
  <c r="H1607" i="3"/>
  <c r="H1617" i="3" s="1"/>
  <c r="I1617" i="3" s="1"/>
  <c r="K1614" i="3"/>
  <c r="J1634" i="3"/>
  <c r="K1611" i="3"/>
  <c r="J1631" i="3"/>
  <c r="EG79" i="18"/>
  <c r="EG78" i="18" s="1"/>
  <c r="EG81" i="18" s="1"/>
  <c r="EF190" i="18"/>
  <c r="EF191" i="18" s="1"/>
  <c r="B103" i="37"/>
  <c r="EI503" i="36"/>
  <c r="EI133" i="35"/>
  <c r="FI327" i="36"/>
  <c r="FJ327" i="36" s="1"/>
  <c r="FJ339" i="36" s="1"/>
  <c r="DY133" i="35"/>
  <c r="ED74" i="18"/>
  <c r="EY51" i="36"/>
  <c r="EY47" i="36"/>
  <c r="EY49" i="36" s="1"/>
  <c r="ET13" i="36"/>
  <c r="ET12" i="36"/>
  <c r="EX631" i="36"/>
  <c r="EX605" i="36"/>
  <c r="EX609" i="36"/>
  <c r="EX610" i="36" s="1"/>
  <c r="FH633" i="36"/>
  <c r="FH629" i="36"/>
  <c r="FD213" i="36"/>
  <c r="FD206" i="36"/>
  <c r="EJ645" i="36"/>
  <c r="EN637" i="36"/>
  <c r="FK282" i="36"/>
  <c r="FK283" i="36" s="1"/>
  <c r="FK316" i="36" s="1"/>
  <c r="FK291" i="36"/>
  <c r="FH654" i="36"/>
  <c r="FI655" i="36"/>
  <c r="EF513" i="36"/>
  <c r="EK513" i="36"/>
  <c r="FD10" i="36"/>
  <c r="FD352" i="36"/>
  <c r="DV654" i="36"/>
  <c r="DV653" i="36"/>
  <c r="DV655" i="36"/>
  <c r="DV656" i="36"/>
  <c r="FF204" i="36"/>
  <c r="FA466" i="36"/>
  <c r="FA45" i="36"/>
  <c r="FA205" i="36"/>
  <c r="EJ129" i="35"/>
  <c r="EN105" i="35"/>
  <c r="EJ104" i="35"/>
  <c r="EN104" i="35" s="1"/>
  <c r="EJ122" i="35"/>
  <c r="ET49" i="36"/>
  <c r="DZ124" i="35"/>
  <c r="EA123" i="35" s="1"/>
  <c r="EA124" i="35" s="1"/>
  <c r="EB123" i="35" s="1"/>
  <c r="EB124" i="35" s="1"/>
  <c r="EC123" i="35" s="1"/>
  <c r="EC124" i="35" s="1"/>
  <c r="ED124" i="35" s="1"/>
  <c r="EE123" i="35" s="1"/>
  <c r="ED292" i="36"/>
  <c r="ED297" i="36" s="1"/>
  <c r="ED423" i="36" s="1"/>
  <c r="DZ297" i="36"/>
  <c r="DZ423" i="36" s="1"/>
  <c r="EY15" i="35"/>
  <c r="EY16" i="35" s="1"/>
  <c r="EG513" i="36"/>
  <c r="EL513" i="36"/>
  <c r="EU477" i="36"/>
  <c r="EU468" i="36"/>
  <c r="EU563" i="36"/>
  <c r="EU214" i="36"/>
  <c r="EU9" i="36"/>
  <c r="EU545" i="36"/>
  <c r="EU251" i="36"/>
  <c r="EU241" i="36"/>
  <c r="EU249" i="36"/>
  <c r="EF524" i="36"/>
  <c r="EF522" i="36"/>
  <c r="EF528" i="36"/>
  <c r="EF519" i="36"/>
  <c r="EF520" i="36"/>
  <c r="EK519" i="36"/>
  <c r="EY431" i="36"/>
  <c r="EY422" i="36"/>
  <c r="EZ417" i="36"/>
  <c r="EZ420" i="36" s="1"/>
  <c r="EY421" i="36"/>
  <c r="EZ213" i="36"/>
  <c r="EZ206" i="36"/>
  <c r="EJ20" i="36"/>
  <c r="EN20" i="36" s="1"/>
  <c r="EJ24" i="36"/>
  <c r="EO24" i="36"/>
  <c r="ED129" i="35"/>
  <c r="FI507" i="36"/>
  <c r="FI508" i="36" s="1"/>
  <c r="FI506" i="36"/>
  <c r="EH515" i="36"/>
  <c r="EM515" i="36"/>
  <c r="EV213" i="36"/>
  <c r="EV206" i="36"/>
  <c r="DY605" i="36"/>
  <c r="DY609" i="36"/>
  <c r="ED610" i="36" s="1"/>
  <c r="EE515" i="36"/>
  <c r="EG524" i="36"/>
  <c r="EG519" i="36"/>
  <c r="EG520" i="36"/>
  <c r="EG522" i="36"/>
  <c r="EG528" i="36"/>
  <c r="EL519" i="36"/>
  <c r="FC428" i="36"/>
  <c r="EY430" i="36"/>
  <c r="FD14" i="35"/>
  <c r="FD46" i="36"/>
  <c r="FH12" i="35"/>
  <c r="EZ14" i="35"/>
  <c r="EZ15" i="35" s="1"/>
  <c r="EZ16" i="35" s="1"/>
  <c r="EZ18" i="35" s="1"/>
  <c r="EZ46" i="36"/>
  <c r="DZ134" i="35"/>
  <c r="ED134" i="35" s="1"/>
  <c r="ED132" i="35"/>
  <c r="EH513" i="36"/>
  <c r="EM513" i="36"/>
  <c r="EV476" i="36"/>
  <c r="EV467" i="36"/>
  <c r="DU649" i="36"/>
  <c r="DY631" i="36"/>
  <c r="DY333" i="36" s="1"/>
  <c r="ED334" i="36" s="1"/>
  <c r="EE522" i="36"/>
  <c r="EE524" i="36"/>
  <c r="EE528" i="36"/>
  <c r="EE520" i="36"/>
  <c r="EE519" i="36"/>
  <c r="EJ199" i="35"/>
  <c r="EJ200" i="35" s="1"/>
  <c r="EJ126" i="35" s="1"/>
  <c r="EJ205" i="35"/>
  <c r="EL199" i="35"/>
  <c r="EL200" i="35" s="1"/>
  <c r="EL126" i="35" s="1"/>
  <c r="EM199" i="35"/>
  <c r="EK199" i="35"/>
  <c r="EK200" i="35" s="1"/>
  <c r="EK126" i="35" s="1"/>
  <c r="EJ49" i="35"/>
  <c r="EJ50" i="35"/>
  <c r="EO50" i="35"/>
  <c r="EU51" i="36"/>
  <c r="EU47" i="36"/>
  <c r="EU49" i="36" s="1"/>
  <c r="EU52" i="36" s="1"/>
  <c r="FD476" i="36"/>
  <c r="FD467" i="36"/>
  <c r="FI653" i="36"/>
  <c r="EC520" i="36"/>
  <c r="EC522" i="36"/>
  <c r="EC524" i="36"/>
  <c r="EC528" i="36"/>
  <c r="EC530" i="36" s="1"/>
  <c r="EC533" i="36" s="1"/>
  <c r="EZ351" i="36"/>
  <c r="EZ344" i="36"/>
  <c r="EZ476" i="36"/>
  <c r="EZ467" i="36"/>
  <c r="EA528" i="36"/>
  <c r="EA530" i="36" s="1"/>
  <c r="EA533" i="36" s="1"/>
  <c r="EA522" i="36"/>
  <c r="EA524" i="36"/>
  <c r="EA520" i="36"/>
  <c r="EE61" i="35"/>
  <c r="EI514" i="36"/>
  <c r="EI516" i="36"/>
  <c r="EI511" i="36"/>
  <c r="EI512" i="36"/>
  <c r="EV14" i="35"/>
  <c r="EV46" i="36"/>
  <c r="EN500" i="36"/>
  <c r="EN502" i="36"/>
  <c r="EN499" i="36"/>
  <c r="ES499" i="36"/>
  <c r="EN363" i="36"/>
  <c r="ES363" i="36"/>
  <c r="ET363" i="36" s="1"/>
  <c r="EU19" i="35"/>
  <c r="EU53" i="35"/>
  <c r="EU54" i="35" s="1"/>
  <c r="FI656" i="36"/>
  <c r="EI501" i="36"/>
  <c r="FE351" i="36"/>
  <c r="FE344" i="36"/>
  <c r="FE466" i="36"/>
  <c r="FE45" i="36"/>
  <c r="FE205" i="36"/>
  <c r="ET18" i="35"/>
  <c r="EJ501" i="36"/>
  <c r="EO501" i="36"/>
  <c r="EE513" i="36"/>
  <c r="FJ298" i="36"/>
  <c r="FJ424" i="36" s="1"/>
  <c r="FN293" i="36"/>
  <c r="EN48" i="35"/>
  <c r="EN19" i="35"/>
  <c r="ES19" i="35"/>
  <c r="EN365" i="36"/>
  <c r="ES365" i="36"/>
  <c r="ES29" i="35"/>
  <c r="EN29" i="35"/>
  <c r="DY429" i="36"/>
  <c r="DY434" i="36" s="1"/>
  <c r="DU434" i="36"/>
  <c r="FJ295" i="36"/>
  <c r="FN294" i="36"/>
  <c r="FJ299" i="36"/>
  <c r="FJ425" i="36" s="1"/>
  <c r="FJ296" i="36"/>
  <c r="EY563" i="36"/>
  <c r="EY9" i="36"/>
  <c r="EY545" i="36"/>
  <c r="EY214" i="36"/>
  <c r="EY251" i="36"/>
  <c r="EY241" i="36"/>
  <c r="EY249" i="36"/>
  <c r="DZ524" i="36"/>
  <c r="ED518" i="36"/>
  <c r="DZ528" i="36"/>
  <c r="DZ522" i="36"/>
  <c r="DZ520" i="36"/>
  <c r="EU352" i="36"/>
  <c r="EU10" i="36"/>
  <c r="EU14" i="36" s="1"/>
  <c r="EW466" i="36"/>
  <c r="EX466" i="36" s="1"/>
  <c r="EX476" i="36" s="1"/>
  <c r="EW45" i="36"/>
  <c r="EX45" i="36" s="1"/>
  <c r="EW205" i="36"/>
  <c r="FB204" i="36"/>
  <c r="FC204" i="36" s="1"/>
  <c r="EX204" i="36"/>
  <c r="EX212" i="36" s="1"/>
  <c r="FB342" i="36"/>
  <c r="FC342" i="36" s="1"/>
  <c r="FC350" i="36" s="1"/>
  <c r="EW343" i="36"/>
  <c r="EY352" i="36"/>
  <c r="EY10" i="36"/>
  <c r="EV351" i="36"/>
  <c r="EV344" i="36"/>
  <c r="ET252" i="36"/>
  <c r="ET253" i="36"/>
  <c r="ET27" i="36"/>
  <c r="EJ29" i="35"/>
  <c r="EO29" i="35"/>
  <c r="EN226" i="36"/>
  <c r="EO225" i="36"/>
  <c r="ES226" i="36"/>
  <c r="ET470" i="36"/>
  <c r="ET478" i="36"/>
  <c r="ED516" i="36"/>
  <c r="ED514" i="36"/>
  <c r="ED512" i="36"/>
  <c r="ET14" i="36"/>
  <c r="DW655" i="36"/>
  <c r="DW656" i="36"/>
  <c r="DW653" i="36"/>
  <c r="EB524" i="36"/>
  <c r="EB520" i="36"/>
  <c r="EB528" i="36"/>
  <c r="EB530" i="36" s="1"/>
  <c r="EB533" i="36" s="1"/>
  <c r="EB522" i="36"/>
  <c r="EJ503" i="36"/>
  <c r="EO503" i="36"/>
  <c r="FJ368" i="36"/>
  <c r="FJ505" i="36"/>
  <c r="FF342" i="36"/>
  <c r="FA343" i="36"/>
  <c r="EG515" i="36"/>
  <c r="EL515" i="36"/>
  <c r="EN228" i="36"/>
  <c r="ES228" i="36"/>
  <c r="EN527" i="36"/>
  <c r="ES527" i="36"/>
  <c r="EF515" i="36"/>
  <c r="EK515" i="36"/>
  <c r="EK157" i="35"/>
  <c r="EJ163" i="35"/>
  <c r="EN610" i="36"/>
  <c r="ES610" i="36"/>
  <c r="EI518" i="36"/>
  <c r="EH522" i="36"/>
  <c r="EH528" i="36"/>
  <c r="EH520" i="36"/>
  <c r="EH519" i="36"/>
  <c r="EH524" i="36"/>
  <c r="EM519" i="36"/>
  <c r="EY477" i="36"/>
  <c r="EY468" i="36"/>
  <c r="EJ512" i="36"/>
  <c r="EJ518" i="36"/>
  <c r="EJ511" i="36"/>
  <c r="EJ514" i="36"/>
  <c r="EJ516" i="36"/>
  <c r="EN510" i="36"/>
  <c r="EO511" i="36"/>
  <c r="K4543" i="3"/>
  <c r="FI571" i="36"/>
  <c r="K193" i="11"/>
  <c r="J193" i="11"/>
  <c r="I193" i="11"/>
  <c r="EO270" i="1"/>
  <c r="EP269" i="1" s="1"/>
  <c r="EP270" i="1" s="1"/>
  <c r="EQ269" i="1" s="1"/>
  <c r="EQ270" i="1" s="1"/>
  <c r="ER269" i="1" s="1"/>
  <c r="ER270" i="1" s="1"/>
  <c r="ES269" i="1"/>
  <c r="ES270" i="1" s="1"/>
  <c r="ET269" i="1" s="1"/>
  <c r="U75" i="29"/>
  <c r="T99" i="29"/>
  <c r="L80" i="29"/>
  <c r="L79" i="29"/>
  <c r="M79" i="29" s="1"/>
  <c r="N79" i="29" s="1"/>
  <c r="U76" i="29"/>
  <c r="T100" i="29"/>
  <c r="E141" i="19"/>
  <c r="F141" i="19" s="1"/>
  <c r="EN1036" i="10"/>
  <c r="ES115" i="10"/>
  <c r="ES99" i="4"/>
  <c r="I3243" i="3"/>
  <c r="DZ391" i="10"/>
  <c r="E3244" i="3"/>
  <c r="E3234" i="3" s="1"/>
  <c r="E3229" i="3" s="1"/>
  <c r="EB570" i="2"/>
  <c r="EA560" i="2"/>
  <c r="EB569" i="2"/>
  <c r="EB567" i="2"/>
  <c r="EB666" i="18" s="1"/>
  <c r="FG17" i="4"/>
  <c r="ED561" i="2"/>
  <c r="EB372" i="2"/>
  <c r="EB376" i="2" s="1"/>
  <c r="FI11" i="2"/>
  <c r="FH48" i="2"/>
  <c r="FH29" i="2"/>
  <c r="G2499" i="3"/>
  <c r="H2494" i="3"/>
  <c r="H2496" i="3" s="1"/>
  <c r="H2497" i="3" s="1"/>
  <c r="D2484" i="3"/>
  <c r="D2504" i="3" s="1"/>
  <c r="D2505" i="3" s="1"/>
  <c r="D5164" i="3"/>
  <c r="H171" i="11"/>
  <c r="G192" i="11"/>
  <c r="EH86" i="4"/>
  <c r="EI86" i="4" s="1"/>
  <c r="EC430" i="10"/>
  <c r="FI72" i="4"/>
  <c r="FI98" i="4" s="1"/>
  <c r="FH98" i="4"/>
  <c r="EA235" i="2"/>
  <c r="EA239" i="2" s="1"/>
  <c r="FI117" i="4"/>
  <c r="EA357" i="2"/>
  <c r="EA355" i="2" s="1"/>
  <c r="ED355" i="2" s="1"/>
  <c r="ED430" i="10" s="1"/>
  <c r="EJ105" i="4"/>
  <c r="EJ268" i="1"/>
  <c r="EJ270" i="1" s="1"/>
  <c r="EK269" i="1" s="1"/>
  <c r="EK270" i="1" s="1"/>
  <c r="EL269" i="1" s="1"/>
  <c r="EL270" i="1" s="1"/>
  <c r="EM269" i="1" s="1"/>
  <c r="EM270" i="1" s="1"/>
  <c r="ED72" i="2"/>
  <c r="ED219" i="2" s="1"/>
  <c r="ED485" i="2"/>
  <c r="B340" i="38" s="1"/>
  <c r="B342" i="38" s="1"/>
  <c r="B343" i="38" s="1"/>
  <c r="EF72" i="2"/>
  <c r="EF357" i="2" s="1"/>
  <c r="EF485" i="2"/>
  <c r="EF486" i="2" s="1"/>
  <c r="EJ91" i="1"/>
  <c r="EN89" i="1"/>
  <c r="B5170" i="3"/>
  <c r="EB297" i="2"/>
  <c r="EB423" i="2" s="1"/>
  <c r="EB286" i="2"/>
  <c r="DX82" i="2"/>
  <c r="DX341" i="10" s="1"/>
  <c r="DX343" i="10" s="1"/>
  <c r="DX143" i="2"/>
  <c r="EB308" i="2"/>
  <c r="EE97" i="2"/>
  <c r="DZ310" i="2"/>
  <c r="DZ265" i="2"/>
  <c r="EA107" i="2"/>
  <c r="EA263" i="2" s="1"/>
  <c r="DZ568" i="2"/>
  <c r="DZ276" i="2"/>
  <c r="DZ288" i="2"/>
  <c r="DX94" i="2"/>
  <c r="DY90" i="2"/>
  <c r="DX120" i="2"/>
  <c r="DX185" i="10"/>
  <c r="EA95" i="2"/>
  <c r="EA392" i="10" s="1"/>
  <c r="E4820" i="3"/>
  <c r="E4345" i="3"/>
  <c r="E4495" i="3" s="1"/>
  <c r="E4341" i="3"/>
  <c r="EB274" i="2"/>
  <c r="DW274" i="2" s="1"/>
  <c r="EB382" i="2"/>
  <c r="EB299" i="2"/>
  <c r="EB425" i="2" s="1"/>
  <c r="EC121" i="10"/>
  <c r="EA433" i="18"/>
  <c r="EB382" i="18"/>
  <c r="EB384" i="18" s="1"/>
  <c r="J4657" i="3"/>
  <c r="J4676" i="3" s="1"/>
  <c r="EA421" i="18"/>
  <c r="EA390" i="18"/>
  <c r="EA386" i="18"/>
  <c r="D3440" i="3"/>
  <c r="I3458" i="3" s="1"/>
  <c r="D69" i="29"/>
  <c r="E3459" i="3"/>
  <c r="EA541" i="2"/>
  <c r="B211" i="11"/>
  <c r="EA565" i="2"/>
  <c r="EA570" i="2" s="1"/>
  <c r="ED625" i="2"/>
  <c r="ED627" i="2" s="1"/>
  <c r="DZ631" i="2"/>
  <c r="F4132" i="3" s="1"/>
  <c r="B4178" i="3" s="1"/>
  <c r="C209" i="11"/>
  <c r="D209" i="11" s="1"/>
  <c r="E209" i="11" s="1"/>
  <c r="I3459" i="3"/>
  <c r="F3459" i="3"/>
  <c r="L3459" i="3"/>
  <c r="M3459" i="3"/>
  <c r="N3459" i="3"/>
  <c r="G3459" i="3"/>
  <c r="K3459" i="3"/>
  <c r="H3459" i="3"/>
  <c r="J4438" i="3"/>
  <c r="EI473" i="2"/>
  <c r="EB489" i="18"/>
  <c r="EB527" i="18" s="1"/>
  <c r="EB572" i="18" s="1"/>
  <c r="EB578" i="18" s="1"/>
  <c r="EB397" i="18"/>
  <c r="EB394" i="18"/>
  <c r="EB393" i="18" s="1"/>
  <c r="EB404" i="18" s="1"/>
  <c r="EB403" i="18" s="1"/>
  <c r="EC386" i="18"/>
  <c r="DZ47" i="2"/>
  <c r="DZ49" i="2" s="1"/>
  <c r="ED416" i="18"/>
  <c r="ED417" i="18" s="1"/>
  <c r="EJ395" i="18"/>
  <c r="EK392" i="18" s="1"/>
  <c r="EE392" i="18"/>
  <c r="EE489" i="18" s="1"/>
  <c r="EE527" i="18" s="1"/>
  <c r="EE572" i="18" s="1"/>
  <c r="EB413" i="18"/>
  <c r="EA437" i="18"/>
  <c r="EA440" i="18" s="1"/>
  <c r="DZ127" i="10"/>
  <c r="E4580" i="3"/>
  <c r="ED43" i="2"/>
  <c r="ED127" i="10" s="1"/>
  <c r="EE50" i="2"/>
  <c r="EC114" i="18"/>
  <c r="EB385" i="18"/>
  <c r="EB433" i="18" s="1"/>
  <c r="DZ227" i="18"/>
  <c r="DZ229" i="18" s="1"/>
  <c r="ED109" i="18"/>
  <c r="EE106" i="18" s="1"/>
  <c r="EC390" i="18"/>
  <c r="EC437" i="18"/>
  <c r="EC440" i="18" s="1"/>
  <c r="K4642" i="3"/>
  <c r="L4642" i="3" s="1"/>
  <c r="EC397" i="18"/>
  <c r="EC392" i="18"/>
  <c r="E4757" i="3"/>
  <c r="EC417" i="18"/>
  <c r="EC137" i="18"/>
  <c r="ED396" i="18"/>
  <c r="E4592" i="3"/>
  <c r="E4594" i="3" s="1"/>
  <c r="E4606" i="3" s="1"/>
  <c r="EC433" i="18"/>
  <c r="E5189" i="3"/>
  <c r="F5186" i="3" s="1"/>
  <c r="F5188" i="3" s="1"/>
  <c r="DZ110" i="18"/>
  <c r="C4628" i="3"/>
  <c r="C4629" i="3" s="1"/>
  <c r="C4423" i="3"/>
  <c r="C4426" i="3" s="1"/>
  <c r="C4957" i="3" s="1"/>
  <c r="D5190" i="3"/>
  <c r="DZ149" i="18"/>
  <c r="DZ153" i="18" s="1"/>
  <c r="ED385" i="18"/>
  <c r="ED390" i="18" s="1"/>
  <c r="DZ489" i="18"/>
  <c r="DZ527" i="18" s="1"/>
  <c r="DZ572" i="18" s="1"/>
  <c r="EM91" i="18"/>
  <c r="G25" i="24" s="1"/>
  <c r="DZ111" i="18"/>
  <c r="EA392" i="18"/>
  <c r="EA394" i="18" s="1"/>
  <c r="EA393" i="18" s="1"/>
  <c r="DZ137" i="18"/>
  <c r="I4425" i="3"/>
  <c r="DZ396" i="18"/>
  <c r="EA397" i="18"/>
  <c r="DZ385" i="18"/>
  <c r="DZ416" i="18" s="1"/>
  <c r="DZ418" i="18" s="1"/>
  <c r="EA206" i="18"/>
  <c r="EA211" i="18" s="1"/>
  <c r="EA213" i="18"/>
  <c r="ED426" i="18"/>
  <c r="ED431" i="18" s="1"/>
  <c r="EE431" i="18" s="1"/>
  <c r="EF431" i="18" s="1"/>
  <c r="EG431" i="18" s="1"/>
  <c r="ES66" i="4"/>
  <c r="E151" i="3" s="1"/>
  <c r="C4577" i="3"/>
  <c r="ED425" i="18"/>
  <c r="ED430" i="18" s="1"/>
  <c r="D4496" i="3"/>
  <c r="D4428" i="3" s="1"/>
  <c r="D4459" i="3" s="1"/>
  <c r="EE205" i="18"/>
  <c r="EI205" i="18" s="1"/>
  <c r="DZ393" i="18"/>
  <c r="DZ398" i="18" s="1"/>
  <c r="ES184" i="4"/>
  <c r="EX184" i="4" s="1"/>
  <c r="EY184" i="4" s="1"/>
  <c r="EZ184" i="4" s="1"/>
  <c r="FA184" i="4" s="1"/>
  <c r="FB184" i="4" s="1"/>
  <c r="FC184" i="4" s="1"/>
  <c r="ES185" i="4"/>
  <c r="EP115" i="10"/>
  <c r="EK369" i="2"/>
  <c r="EK370" i="2" s="1"/>
  <c r="K5728" i="3"/>
  <c r="B10" i="22"/>
  <c r="B11" i="22" s="1"/>
  <c r="C11" i="22" s="1"/>
  <c r="D11" i="22" s="1"/>
  <c r="E11" i="22" s="1"/>
  <c r="F11" i="22" s="1"/>
  <c r="G11" i="22" s="1"/>
  <c r="EB209" i="18"/>
  <c r="EC257" i="18"/>
  <c r="EC42" i="18" s="1"/>
  <c r="DZ114" i="18"/>
  <c r="EA109" i="18"/>
  <c r="EA110" i="18" s="1"/>
  <c r="EA210" i="18"/>
  <c r="C5729" i="3"/>
  <c r="C5727" i="3" s="1"/>
  <c r="EA209" i="18"/>
  <c r="EB213" i="18"/>
  <c r="C4437" i="3"/>
  <c r="C4975" i="3" s="1"/>
  <c r="C5025" i="3" s="1"/>
  <c r="EB205" i="18"/>
  <c r="EB207" i="18" s="1"/>
  <c r="EB206" i="18" s="1"/>
  <c r="EG470" i="2"/>
  <c r="EL480" i="2" s="1"/>
  <c r="DZ107" i="18"/>
  <c r="DZ112" i="18" s="1"/>
  <c r="EB109" i="18"/>
  <c r="EC111" i="18" s="1"/>
  <c r="D4542" i="3"/>
  <c r="C5198" i="3"/>
  <c r="EB210" i="18"/>
  <c r="B10" i="20"/>
  <c r="B11" i="20" s="1"/>
  <c r="J4616" i="3"/>
  <c r="EB257" i="18"/>
  <c r="EB42" i="18" s="1"/>
  <c r="EC205" i="18"/>
  <c r="EC207" i="18" s="1"/>
  <c r="EC206" i="18" s="1"/>
  <c r="EC227" i="18" s="1"/>
  <c r="B86" i="24"/>
  <c r="B87" i="24" s="1"/>
  <c r="B10" i="21"/>
  <c r="B11" i="21" s="1"/>
  <c r="C11" i="21" s="1"/>
  <c r="D11" i="21" s="1"/>
  <c r="E11" i="21" s="1"/>
  <c r="F11" i="21" s="1"/>
  <c r="G11" i="21" s="1"/>
  <c r="ED209" i="18"/>
  <c r="R4503" i="3"/>
  <c r="O4506" i="3"/>
  <c r="D5321" i="3"/>
  <c r="J4544" i="3"/>
  <c r="J4436" i="3" s="1"/>
  <c r="J5728" i="3"/>
  <c r="Q4507" i="3"/>
  <c r="S4507" i="3" s="1"/>
  <c r="Q4506" i="3"/>
  <c r="S4506" i="3" s="1"/>
  <c r="F25" i="24"/>
  <c r="F26" i="24" s="1"/>
  <c r="EN425" i="10"/>
  <c r="EI77" i="18"/>
  <c r="E4340" i="3"/>
  <c r="EJ118" i="18"/>
  <c r="EJ289" i="18" s="1"/>
  <c r="EK470" i="2"/>
  <c r="EP480" i="2" s="1"/>
  <c r="EK478" i="2"/>
  <c r="EH121" i="18"/>
  <c r="EI370" i="2"/>
  <c r="B193" i="6"/>
  <c r="B198" i="6" s="1"/>
  <c r="EC654" i="2"/>
  <c r="EC652" i="2"/>
  <c r="EC655" i="2"/>
  <c r="EH50" i="4"/>
  <c r="I3230" i="3"/>
  <c r="I3240" i="3" s="1"/>
  <c r="Y3121" i="3" s="1"/>
  <c r="EH122" i="18"/>
  <c r="EI122" i="18" s="1"/>
  <c r="EF48" i="4"/>
  <c r="EF68" i="18" s="1"/>
  <c r="EI120" i="18"/>
  <c r="EI121" i="18" s="1"/>
  <c r="EF478" i="2"/>
  <c r="EI477" i="2"/>
  <c r="EH158" i="18"/>
  <c r="EH36" i="18" s="1"/>
  <c r="EF102" i="10"/>
  <c r="EH140" i="10"/>
  <c r="EH142" i="10" s="1"/>
  <c r="EH121" i="10"/>
  <c r="EH205" i="4"/>
  <c r="EH49" i="4"/>
  <c r="DY129" i="4"/>
  <c r="DQ569" i="1"/>
  <c r="DR572" i="1"/>
  <c r="B192" i="6"/>
  <c r="B197" i="6" s="1"/>
  <c r="EJ477" i="2"/>
  <c r="I4286" i="3"/>
  <c r="J4286" i="3" s="1"/>
  <c r="EI191" i="2"/>
  <c r="EF135" i="18"/>
  <c r="EF130" i="18" s="1"/>
  <c r="EE508" i="2"/>
  <c r="EL377" i="10"/>
  <c r="D3292" i="3"/>
  <c r="EN204" i="2"/>
  <c r="C3292" i="3"/>
  <c r="EK377" i="10"/>
  <c r="EE474" i="2"/>
  <c r="O197" i="11"/>
  <c r="P176" i="11"/>
  <c r="P197" i="11" s="1"/>
  <c r="ER212" i="18"/>
  <c r="ES113" i="18"/>
  <c r="ES212" i="18" s="1"/>
  <c r="DZ15" i="4"/>
  <c r="ED15" i="4" s="1"/>
  <c r="EE468" i="2"/>
  <c r="EJ478" i="2" s="1"/>
  <c r="L4637" i="3"/>
  <c r="K4653" i="3"/>
  <c r="K4672" i="3" s="1"/>
  <c r="EI233" i="2"/>
  <c r="EJ232" i="2"/>
  <c r="EH526" i="2"/>
  <c r="EH480" i="2"/>
  <c r="EJ370" i="2"/>
  <c r="EJ367" i="2"/>
  <c r="EJ368" i="2" s="1"/>
  <c r="ER124" i="18"/>
  <c r="ER290" i="18" s="1"/>
  <c r="ER461" i="18"/>
  <c r="ER399" i="18"/>
  <c r="ES389" i="18"/>
  <c r="EI464" i="2"/>
  <c r="EI474" i="2" s="1"/>
  <c r="H4290" i="3"/>
  <c r="H4323" i="3" s="1"/>
  <c r="H4327" i="3" s="1"/>
  <c r="H4299" i="3"/>
  <c r="H4303" i="3" s="1"/>
  <c r="EE12" i="4"/>
  <c r="EI12" i="4" s="1"/>
  <c r="DV87" i="18"/>
  <c r="DU87" i="18" s="1"/>
  <c r="DY87" i="18" s="1"/>
  <c r="DW34" i="18"/>
  <c r="DY33" i="18"/>
  <c r="DV43" i="18"/>
  <c r="DV260" i="18"/>
  <c r="DV279" i="18" s="1"/>
  <c r="DV278" i="18" s="1"/>
  <c r="DV49" i="18" s="1"/>
  <c r="DV50" i="18" s="1"/>
  <c r="I3379" i="3"/>
  <c r="H3382" i="3"/>
  <c r="EK263" i="10"/>
  <c r="EG103" i="10"/>
  <c r="EG205" i="4"/>
  <c r="EG49" i="4"/>
  <c r="DW258" i="18"/>
  <c r="EB251" i="18"/>
  <c r="DY251" i="18"/>
  <c r="DX258" i="18"/>
  <c r="EC251" i="18"/>
  <c r="EH251" i="18" s="1"/>
  <c r="DX124" i="4"/>
  <c r="DY124" i="4" s="1"/>
  <c r="DZ123" i="4" s="1"/>
  <c r="ED123" i="4" s="1"/>
  <c r="G4566" i="3"/>
  <c r="G4570" i="3" s="1"/>
  <c r="G4572" i="3" s="1"/>
  <c r="G4575" i="3" s="1"/>
  <c r="EG342" i="10"/>
  <c r="EG88" i="2"/>
  <c r="H3106" i="3"/>
  <c r="H3111" i="3" s="1"/>
  <c r="EH86" i="2"/>
  <c r="EK118" i="18"/>
  <c r="EL123" i="18"/>
  <c r="F4592" i="3"/>
  <c r="F4594" i="3" s="1"/>
  <c r="F4606" i="3" s="1"/>
  <c r="EK395" i="18"/>
  <c r="F5189" i="3"/>
  <c r="F4580" i="3"/>
  <c r="F4757" i="3"/>
  <c r="F4570" i="3"/>
  <c r="F4572" i="3" s="1"/>
  <c r="F4575" i="3" s="1"/>
  <c r="D191" i="11"/>
  <c r="E170" i="11"/>
  <c r="D185" i="11"/>
  <c r="B3281" i="3"/>
  <c r="EJ364" i="10"/>
  <c r="EJ374" i="18"/>
  <c r="EI379" i="18"/>
  <c r="DU586" i="18"/>
  <c r="DY586" i="18" s="1"/>
  <c r="EJ103" i="18"/>
  <c r="EJ77" i="18"/>
  <c r="EJ102" i="18"/>
  <c r="DY93" i="4"/>
  <c r="DY110" i="10"/>
  <c r="D5195" i="3"/>
  <c r="D5198" i="3"/>
  <c r="Q5742" i="3"/>
  <c r="R5748" i="3"/>
  <c r="D4568" i="3"/>
  <c r="H4670" i="3"/>
  <c r="H4663" i="3"/>
  <c r="H4682" i="3" s="1"/>
  <c r="H4565" i="3" s="1"/>
  <c r="C206" i="11"/>
  <c r="C216" i="11"/>
  <c r="C222" i="11" s="1"/>
  <c r="C48" i="11"/>
  <c r="C54" i="11" s="1"/>
  <c r="M5420" i="3"/>
  <c r="N5420" i="3" s="1"/>
  <c r="D4437" i="3"/>
  <c r="D5729" i="3"/>
  <c r="E4542" i="3"/>
  <c r="EK98" i="18"/>
  <c r="EL96" i="18"/>
  <c r="EK101" i="18"/>
  <c r="J53" i="11"/>
  <c r="J99" i="11"/>
  <c r="J108" i="11"/>
  <c r="J110" i="11" s="1"/>
  <c r="J141" i="11"/>
  <c r="J84" i="11"/>
  <c r="J65" i="11"/>
  <c r="J126" i="11"/>
  <c r="K41" i="11"/>
  <c r="EP44" i="18"/>
  <c r="EQ259" i="18"/>
  <c r="J4635" i="3"/>
  <c r="I4651" i="3"/>
  <c r="I4647" i="3"/>
  <c r="J5765" i="3"/>
  <c r="T5741" i="3"/>
  <c r="EJ392" i="18"/>
  <c r="EI396" i="18"/>
  <c r="EI412" i="10"/>
  <c r="EI328" i="2"/>
  <c r="C4457" i="3"/>
  <c r="C4458" i="3" s="1"/>
  <c r="C4946" i="3"/>
  <c r="F151" i="11"/>
  <c r="E166" i="11"/>
  <c r="E210" i="11" s="1"/>
  <c r="S5747" i="3"/>
  <c r="S5741" i="3" s="1"/>
  <c r="L5765" i="3" s="1"/>
  <c r="R5741" i="3"/>
  <c r="K5765" i="3" s="1"/>
  <c r="EH634" i="2"/>
  <c r="EH642" i="2"/>
  <c r="EH608" i="2"/>
  <c r="EC433" i="10"/>
  <c r="EC376" i="2"/>
  <c r="EC360" i="2"/>
  <c r="EC378" i="2"/>
  <c r="EC374" i="2"/>
  <c r="G3230" i="3"/>
  <c r="G3240" i="3" s="1"/>
  <c r="W3121" i="3" s="1"/>
  <c r="G3238" i="3"/>
  <c r="W3119" i="3" s="1"/>
  <c r="EF651" i="2"/>
  <c r="EF653" i="2" s="1"/>
  <c r="DX100" i="2"/>
  <c r="DX445" i="2"/>
  <c r="DW436" i="2"/>
  <c r="DX574" i="2"/>
  <c r="DX400" i="2"/>
  <c r="EB101" i="2"/>
  <c r="DW447" i="2"/>
  <c r="DV99" i="2"/>
  <c r="DW100" i="2" s="1"/>
  <c r="DW184" i="10"/>
  <c r="DW402" i="2"/>
  <c r="DX434" i="2"/>
  <c r="EE397" i="18"/>
  <c r="EE385" i="18"/>
  <c r="EE416" i="18" s="1"/>
  <c r="EF392" i="18"/>
  <c r="EF394" i="18" s="1"/>
  <c r="EE396" i="18"/>
  <c r="EE49" i="2"/>
  <c r="EI47" i="2"/>
  <c r="G3108" i="3"/>
  <c r="EC385" i="10"/>
  <c r="EC222" i="2"/>
  <c r="EC241" i="2"/>
  <c r="EC239" i="2"/>
  <c r="EC237" i="2"/>
  <c r="EH630" i="2"/>
  <c r="EH334" i="2"/>
  <c r="B49" i="11"/>
  <c r="B67" i="11" s="1"/>
  <c r="B54" i="11"/>
  <c r="C45" i="11"/>
  <c r="C47" i="11" s="1"/>
  <c r="B46" i="11"/>
  <c r="B59" i="11" s="1"/>
  <c r="B50" i="11"/>
  <c r="G3111" i="3"/>
  <c r="EE627" i="2"/>
  <c r="EI625" i="2"/>
  <c r="EI627" i="2" s="1"/>
  <c r="EF630" i="2"/>
  <c r="EF334" i="2"/>
  <c r="EA221" i="18"/>
  <c r="F3244" i="3"/>
  <c r="F3234" i="3" s="1"/>
  <c r="F3229" i="3" s="1"/>
  <c r="F3239" i="3" s="1"/>
  <c r="V3120" i="3" s="1"/>
  <c r="F3235" i="3"/>
  <c r="I25" i="29"/>
  <c r="J22" i="29"/>
  <c r="B217" i="11"/>
  <c r="B222" i="11"/>
  <c r="K4636" i="3"/>
  <c r="J4652" i="3"/>
  <c r="J4671" i="3" s="1"/>
  <c r="EI127" i="10"/>
  <c r="EB49" i="4"/>
  <c r="EB205" i="4"/>
  <c r="EB103" i="10"/>
  <c r="EB50" i="4"/>
  <c r="EG50" i="4"/>
  <c r="DU534" i="18"/>
  <c r="DY534" i="18" s="1"/>
  <c r="DY532" i="18"/>
  <c r="DU599" i="18"/>
  <c r="ED128" i="10"/>
  <c r="EI51" i="2"/>
  <c r="EF417" i="2"/>
  <c r="EF420" i="2" s="1"/>
  <c r="EE421" i="2"/>
  <c r="EE422" i="2"/>
  <c r="K4656" i="3"/>
  <c r="K4675" i="3" s="1"/>
  <c r="L4640" i="3"/>
  <c r="B152" i="6"/>
  <c r="B154" i="6" s="1"/>
  <c r="B156" i="6" s="1"/>
  <c r="D4491" i="3"/>
  <c r="B4498" i="3"/>
  <c r="B4497" i="3"/>
  <c r="B4499" i="3" s="1"/>
  <c r="F73" i="24"/>
  <c r="F229" i="24"/>
  <c r="EF160" i="18"/>
  <c r="EF37" i="18"/>
  <c r="EF38" i="18" s="1"/>
  <c r="H121" i="24"/>
  <c r="H119" i="24" s="1"/>
  <c r="EB385" i="10"/>
  <c r="EB222" i="2"/>
  <c r="EB237" i="2"/>
  <c r="EB239" i="2"/>
  <c r="EB241" i="2"/>
  <c r="DU544" i="18"/>
  <c r="EA544" i="18"/>
  <c r="EA561" i="18" s="1"/>
  <c r="DV561" i="18"/>
  <c r="EF331" i="2"/>
  <c r="EF332" i="2" s="1"/>
  <c r="ED79" i="18"/>
  <c r="ED75" i="18"/>
  <c r="EE74" i="18"/>
  <c r="EE72" i="2"/>
  <c r="ED37" i="18"/>
  <c r="B10" i="24" s="1"/>
  <c r="DZ38" i="18"/>
  <c r="ED38" i="18" s="1"/>
  <c r="J42" i="20"/>
  <c r="N46" i="20"/>
  <c r="K43" i="20"/>
  <c r="T52" i="20"/>
  <c r="R50" i="20"/>
  <c r="Q49" i="20"/>
  <c r="U53" i="20"/>
  <c r="S51" i="20"/>
  <c r="W55" i="20"/>
  <c r="Z58" i="20"/>
  <c r="AB60" i="20"/>
  <c r="V54" i="20"/>
  <c r="AA59" i="20"/>
  <c r="X56" i="20"/>
  <c r="Y57" i="20"/>
  <c r="P48" i="20"/>
  <c r="I41" i="20"/>
  <c r="I85" i="20" s="1"/>
  <c r="M45" i="20"/>
  <c r="O47" i="20"/>
  <c r="L44" i="20"/>
  <c r="E5086" i="3"/>
  <c r="EN105" i="10"/>
  <c r="E158" i="19"/>
  <c r="DZ418" i="2"/>
  <c r="ED418" i="2" s="1"/>
  <c r="DZ292" i="2"/>
  <c r="ED281" i="2"/>
  <c r="G4328" i="3"/>
  <c r="O4324" i="3"/>
  <c r="G4343" i="3"/>
  <c r="EA300" i="18"/>
  <c r="EF83" i="18"/>
  <c r="EG195" i="18"/>
  <c r="EF197" i="18"/>
  <c r="EF291" i="18"/>
  <c r="H3243" i="3"/>
  <c r="H3228" i="3"/>
  <c r="EB54" i="2"/>
  <c r="EB131" i="10"/>
  <c r="EG52" i="2"/>
  <c r="M4466" i="3"/>
  <c r="N4456" i="3"/>
  <c r="N4466" i="3" s="1"/>
  <c r="B4474" i="3" s="1"/>
  <c r="DX552" i="18"/>
  <c r="DX585" i="18"/>
  <c r="DX589" i="18" s="1"/>
  <c r="DX567" i="18"/>
  <c r="DY430" i="2"/>
  <c r="DY435" i="2" s="1"/>
  <c r="DY263" i="10" s="1"/>
  <c r="DU429" i="2"/>
  <c r="F122" i="24"/>
  <c r="F115" i="24"/>
  <c r="F161" i="24"/>
  <c r="F162" i="24" s="1"/>
  <c r="B4958" i="3"/>
  <c r="B4964" i="3"/>
  <c r="EN339" i="18"/>
  <c r="EM58" i="18"/>
  <c r="G72" i="24" s="1"/>
  <c r="EH456" i="18"/>
  <c r="EI456" i="18" s="1"/>
  <c r="EC308" i="18"/>
  <c r="EC161" i="18"/>
  <c r="EE84" i="18"/>
  <c r="EE85" i="18" s="1"/>
  <c r="EE202" i="18"/>
  <c r="EE302" i="18"/>
  <c r="EE223" i="18"/>
  <c r="EE667" i="18"/>
  <c r="EE244" i="18"/>
  <c r="EF244" i="18" s="1"/>
  <c r="J28" i="20"/>
  <c r="EQ371" i="18"/>
  <c r="EQ425" i="18" s="1"/>
  <c r="J4425" i="3"/>
  <c r="DZ161" i="18"/>
  <c r="DZ308" i="18"/>
  <c r="EA16" i="4"/>
  <c r="EA18" i="4" s="1"/>
  <c r="ED12" i="4"/>
  <c r="J43" i="21"/>
  <c r="O48" i="21"/>
  <c r="I42" i="21"/>
  <c r="I29" i="21"/>
  <c r="J28" i="21" s="1"/>
  <c r="M46" i="21"/>
  <c r="L45" i="21"/>
  <c r="K44" i="21"/>
  <c r="N47" i="21"/>
  <c r="H41" i="21"/>
  <c r="H85" i="21" s="1"/>
  <c r="E18" i="29"/>
  <c r="F10" i="29"/>
  <c r="EB562" i="18"/>
  <c r="EB546" i="18" s="1"/>
  <c r="EE37" i="18"/>
  <c r="EI159" i="18"/>
  <c r="EE160" i="18"/>
  <c r="F3383" i="3"/>
  <c r="F3384" i="3" s="1"/>
  <c r="O4304" i="3"/>
  <c r="D4314" i="3"/>
  <c r="C4310" i="3"/>
  <c r="C4314" i="3"/>
  <c r="Q4304" i="3"/>
  <c r="C4303" i="3"/>
  <c r="ED468" i="2"/>
  <c r="DZ470" i="2"/>
  <c r="D26" i="20"/>
  <c r="C8" i="20"/>
  <c r="C13" i="23" s="1"/>
  <c r="C86" i="20"/>
  <c r="DW161" i="10"/>
  <c r="EB609" i="2"/>
  <c r="DY212" i="18"/>
  <c r="DW661" i="18"/>
  <c r="DW660" i="18" s="1"/>
  <c r="DX661" i="18"/>
  <c r="DX660" i="18" s="1"/>
  <c r="DV661" i="18"/>
  <c r="DV660" i="18" s="1"/>
  <c r="EE187" i="10"/>
  <c r="ED163" i="18"/>
  <c r="ED160" i="18"/>
  <c r="N4874" i="3"/>
  <c r="EA54" i="2"/>
  <c r="EA131" i="10"/>
  <c r="EF52" i="2"/>
  <c r="E4947" i="3"/>
  <c r="E4950" i="3"/>
  <c r="DZ298" i="2"/>
  <c r="DZ424" i="2" s="1"/>
  <c r="ED293" i="2"/>
  <c r="ED298" i="2" s="1"/>
  <c r="ED424" i="2" s="1"/>
  <c r="DX651" i="2"/>
  <c r="DX653" i="2" s="1"/>
  <c r="EG471" i="18"/>
  <c r="J81" i="11"/>
  <c r="K76" i="11"/>
  <c r="DX600" i="18"/>
  <c r="DX601" i="18" s="1"/>
  <c r="EB470" i="2"/>
  <c r="EG478" i="2"/>
  <c r="EA648" i="2"/>
  <c r="EF628" i="2"/>
  <c r="EA631" i="2"/>
  <c r="C5081" i="3"/>
  <c r="C5084" i="3"/>
  <c r="DU566" i="18"/>
  <c r="DU516" i="18"/>
  <c r="DY531" i="18"/>
  <c r="DZ132" i="4"/>
  <c r="G87" i="22"/>
  <c r="EE129" i="18"/>
  <c r="G26" i="29"/>
  <c r="G27" i="29" s="1"/>
  <c r="EI122" i="4"/>
  <c r="EC113" i="10"/>
  <c r="EC104" i="4"/>
  <c r="ED104" i="4" s="1"/>
  <c r="EC129" i="4"/>
  <c r="EC132" i="4" s="1"/>
  <c r="EC122" i="4"/>
  <c r="ED122" i="4" s="1"/>
  <c r="D4130" i="3"/>
  <c r="DW648" i="2"/>
  <c r="DY656" i="18"/>
  <c r="DZ658" i="18" s="1"/>
  <c r="EA658" i="18" s="1"/>
  <c r="EB658" i="18" s="1"/>
  <c r="EC658" i="18" s="1"/>
  <c r="ED658" i="18" s="1"/>
  <c r="EE658" i="18" s="1"/>
  <c r="EF658" i="18" s="1"/>
  <c r="EG658" i="18" s="1"/>
  <c r="EH658" i="18" s="1"/>
  <c r="EI658" i="18" s="1"/>
  <c r="EJ658" i="18" s="1"/>
  <c r="EK658" i="18" s="1"/>
  <c r="EL658" i="18" s="1"/>
  <c r="EM658" i="18" s="1"/>
  <c r="DU655" i="18"/>
  <c r="ED530" i="18"/>
  <c r="F4336" i="3"/>
  <c r="F4340" i="3"/>
  <c r="EE331" i="2"/>
  <c r="EE332" i="2" s="1"/>
  <c r="EE486" i="2"/>
  <c r="EC547" i="18"/>
  <c r="H87" i="20"/>
  <c r="DZ87" i="18"/>
  <c r="DZ85" i="18"/>
  <c r="H29" i="22"/>
  <c r="I28" i="22" s="1"/>
  <c r="EE86" i="18"/>
  <c r="E4133" i="3"/>
  <c r="ED416" i="10"/>
  <c r="EI613" i="2"/>
  <c r="DU307" i="18"/>
  <c r="DU314" i="18"/>
  <c r="EE377" i="18"/>
  <c r="EE411" i="18"/>
  <c r="DZ661" i="18"/>
  <c r="O4323" i="3"/>
  <c r="G4327" i="3"/>
  <c r="M4643" i="3"/>
  <c r="L4659" i="3"/>
  <c r="L4678" i="3" s="1"/>
  <c r="C4331" i="3"/>
  <c r="C4312" i="3"/>
  <c r="C4308" i="3"/>
  <c r="K4657" i="3"/>
  <c r="K4676" i="3" s="1"/>
  <c r="L4641" i="3"/>
  <c r="F3369" i="3"/>
  <c r="F3370" i="3" s="1"/>
  <c r="B4176" i="3"/>
  <c r="B4179" i="3" s="1"/>
  <c r="B4167" i="3"/>
  <c r="F4133" i="3"/>
  <c r="F4137" i="3" s="1"/>
  <c r="F4158" i="3" s="1"/>
  <c r="H4325" i="3"/>
  <c r="H4324" i="3"/>
  <c r="G121" i="24"/>
  <c r="D4947" i="3"/>
  <c r="EI638" i="36" s="1"/>
  <c r="EI639" i="36" s="1"/>
  <c r="J4320" i="3"/>
  <c r="J4300" i="3"/>
  <c r="K4287" i="3"/>
  <c r="EE59" i="4"/>
  <c r="ED507" i="2"/>
  <c r="EI508" i="2" s="1"/>
  <c r="EI506" i="2"/>
  <c r="E221" i="11"/>
  <c r="ED277" i="18"/>
  <c r="ED270" i="18" s="1"/>
  <c r="ED271" i="18" s="1"/>
  <c r="DZ48" i="18"/>
  <c r="ED161" i="10"/>
  <c r="EI609" i="2"/>
  <c r="DV608" i="2"/>
  <c r="DV604" i="2"/>
  <c r="DV630" i="2"/>
  <c r="EB308" i="18"/>
  <c r="EB161" i="18"/>
  <c r="DX134" i="4"/>
  <c r="DX114" i="10" s="1"/>
  <c r="DX123" i="10" s="1"/>
  <c r="DX122" i="10"/>
  <c r="EH539" i="1"/>
  <c r="EI99" i="1"/>
  <c r="B5317" i="3"/>
  <c r="B5320" i="3"/>
  <c r="F4351" i="3"/>
  <c r="F4945" i="3"/>
  <c r="F4489" i="3"/>
  <c r="DU660" i="18"/>
  <c r="EH74" i="18"/>
  <c r="EH79" i="18"/>
  <c r="EH78" i="18" s="1"/>
  <c r="EI73" i="18"/>
  <c r="DU49" i="18"/>
  <c r="EH132" i="4"/>
  <c r="EI129" i="4"/>
  <c r="EA526" i="2"/>
  <c r="EF480" i="2"/>
  <c r="EE362" i="18"/>
  <c r="EE363" i="18" s="1"/>
  <c r="EE365" i="18" s="1"/>
  <c r="EA223" i="18"/>
  <c r="EA84" i="18"/>
  <c r="EA201" i="18"/>
  <c r="EA202" i="18"/>
  <c r="EA302" i="18"/>
  <c r="EA667" i="18"/>
  <c r="EA244" i="18"/>
  <c r="E4492" i="3"/>
  <c r="DY38" i="18"/>
  <c r="DU40" i="18"/>
  <c r="EE48" i="18"/>
  <c r="J4301" i="3"/>
  <c r="J4321" i="3"/>
  <c r="K4288" i="3"/>
  <c r="C4171" i="3"/>
  <c r="B4200" i="3"/>
  <c r="EF376" i="18"/>
  <c r="I126" i="6"/>
  <c r="C8" i="22"/>
  <c r="D26" i="22"/>
  <c r="C86" i="22"/>
  <c r="DZ372" i="2"/>
  <c r="DZ430" i="10"/>
  <c r="G4807" i="3"/>
  <c r="G4333" i="3"/>
  <c r="G4334" i="3"/>
  <c r="G4338" i="3"/>
  <c r="W5746" i="3"/>
  <c r="V5740" i="3"/>
  <c r="E230" i="24"/>
  <c r="DW562" i="18"/>
  <c r="DW546" i="18" s="1"/>
  <c r="DW571" i="18"/>
  <c r="DW573" i="18" s="1"/>
  <c r="DW565" i="18" s="1"/>
  <c r="H4132" i="3"/>
  <c r="H4139" i="3" s="1"/>
  <c r="H4160" i="3" s="1"/>
  <c r="EB650" i="2"/>
  <c r="EB651" i="2" s="1"/>
  <c r="K4550" i="3"/>
  <c r="DV588" i="18"/>
  <c r="DV554" i="18"/>
  <c r="DU608" i="2"/>
  <c r="DY602" i="2"/>
  <c r="DU604" i="2"/>
  <c r="DU630" i="2"/>
  <c r="ED333" i="2"/>
  <c r="DY539" i="1"/>
  <c r="DU540" i="1"/>
  <c r="DU544" i="1"/>
  <c r="DU543" i="1"/>
  <c r="EF187" i="10"/>
  <c r="EC81" i="18"/>
  <c r="ED81" i="18" s="1"/>
  <c r="ED78" i="18"/>
  <c r="EE81" i="18" s="1"/>
  <c r="EC190" i="18"/>
  <c r="ED105" i="4"/>
  <c r="ED113" i="10" s="1"/>
  <c r="F4820" i="3"/>
  <c r="F4345" i="3"/>
  <c r="F4341" i="3"/>
  <c r="F4337" i="3"/>
  <c r="H11" i="25"/>
  <c r="K10" i="24"/>
  <c r="EM455" i="18"/>
  <c r="EN460" i="18"/>
  <c r="EF289" i="18"/>
  <c r="C8" i="21"/>
  <c r="D26" i="21"/>
  <c r="C86" i="21"/>
  <c r="DU122" i="10"/>
  <c r="DU134" i="4"/>
  <c r="DY132" i="4"/>
  <c r="EG37" i="18"/>
  <c r="EG38" i="18" s="1"/>
  <c r="EG160" i="18"/>
  <c r="EG161" i="18" s="1"/>
  <c r="L4638" i="3"/>
  <c r="K4654" i="3"/>
  <c r="K4673" i="3" s="1"/>
  <c r="ED99" i="1"/>
  <c r="DZ539" i="1"/>
  <c r="L4639" i="3"/>
  <c r="K4655" i="3"/>
  <c r="K4674" i="3" s="1"/>
  <c r="ED217" i="2"/>
  <c r="ED382" i="10" s="1"/>
  <c r="DZ235" i="2"/>
  <c r="DZ382" i="10"/>
  <c r="AB5745" i="3"/>
  <c r="AA5739" i="3"/>
  <c r="C5022" i="3"/>
  <c r="C4257" i="3"/>
  <c r="C4349" i="3"/>
  <c r="C5094" i="3"/>
  <c r="C5095" i="3" s="1"/>
  <c r="EA161" i="18"/>
  <c r="EA308" i="18"/>
  <c r="G4313" i="3"/>
  <c r="G4332" i="3"/>
  <c r="G4309" i="3"/>
  <c r="EP383" i="18"/>
  <c r="N173" i="11"/>
  <c r="M194" i="11"/>
  <c r="M172" i="11"/>
  <c r="L193" i="11"/>
  <c r="D4956" i="3" l="1"/>
  <c r="ET270" i="1"/>
  <c r="EU269" i="1" s="1"/>
  <c r="EU270" i="1" s="1"/>
  <c r="EV269" i="1" s="1"/>
  <c r="EV270" i="1" s="1"/>
  <c r="EW269" i="1" s="1"/>
  <c r="EW270" i="1" s="1"/>
  <c r="EX269" i="1"/>
  <c r="EX270" i="1" s="1"/>
  <c r="D4495" i="3"/>
  <c r="D4498" i="3" s="1"/>
  <c r="C4795" i="3"/>
  <c r="D4350" i="3"/>
  <c r="D4355" i="3" s="1"/>
  <c r="D4356" i="3" s="1"/>
  <c r="D4362" i="3"/>
  <c r="D4364" i="3" s="1"/>
  <c r="C4362" i="3"/>
  <c r="C4364" i="3" s="1"/>
  <c r="D4328" i="3"/>
  <c r="C4956" i="3"/>
  <c r="C4343" i="3"/>
  <c r="C4489" i="3" s="1"/>
  <c r="C4498" i="3" s="1"/>
  <c r="C4497" i="3"/>
  <c r="C4328" i="3"/>
  <c r="EF200" i="18"/>
  <c r="EF84" i="18" s="1"/>
  <c r="EF87" i="18" s="1"/>
  <c r="EF192" i="18"/>
  <c r="FH129" i="10"/>
  <c r="H379" i="3"/>
  <c r="FI48" i="2"/>
  <c r="I379" i="3" s="1"/>
  <c r="I504" i="3"/>
  <c r="B192" i="41"/>
  <c r="B197" i="41" s="1"/>
  <c r="B193" i="41"/>
  <c r="B198" i="41" s="1"/>
  <c r="B82" i="6"/>
  <c r="B82" i="41"/>
  <c r="EG190" i="18"/>
  <c r="EG191" i="18" s="1"/>
  <c r="EB200" i="18"/>
  <c r="EB221" i="18" s="1"/>
  <c r="EB191" i="18"/>
  <c r="J1615" i="3"/>
  <c r="I1635" i="3"/>
  <c r="I3106" i="3"/>
  <c r="I3111" i="3" s="1"/>
  <c r="I1607" i="3"/>
  <c r="I1618" i="3" s="1"/>
  <c r="J1618" i="3" s="1"/>
  <c r="L1611" i="3"/>
  <c r="K1631" i="3"/>
  <c r="K1612" i="3"/>
  <c r="J1632" i="3"/>
  <c r="L1614" i="3"/>
  <c r="K1634" i="3"/>
  <c r="J1616" i="3"/>
  <c r="J1617" i="3"/>
  <c r="J1613" i="3"/>
  <c r="I1633" i="3"/>
  <c r="DY185" i="10"/>
  <c r="ED17" i="2"/>
  <c r="C137" i="6"/>
  <c r="EY429" i="36"/>
  <c r="EY434" i="36" s="1"/>
  <c r="P4543" i="3"/>
  <c r="FI627" i="36"/>
  <c r="FI628" i="36" s="1"/>
  <c r="FI629" i="36" s="1"/>
  <c r="FI339" i="36"/>
  <c r="FI42" i="36" s="1"/>
  <c r="ED133" i="35"/>
  <c r="DU44" i="35"/>
  <c r="DY44" i="35" s="1"/>
  <c r="EE521" i="36"/>
  <c r="FC212" i="36"/>
  <c r="FC45" i="36"/>
  <c r="FC46" i="36" s="1"/>
  <c r="FJ340" i="36"/>
  <c r="FJ463" i="36"/>
  <c r="FJ42" i="36"/>
  <c r="FK453" i="36"/>
  <c r="FK455" i="36" s="1"/>
  <c r="FK319" i="36"/>
  <c r="FK367" i="36" s="1"/>
  <c r="EN512" i="36"/>
  <c r="EN516" i="36"/>
  <c r="EN511" i="36"/>
  <c r="EN514" i="36"/>
  <c r="ES511" i="36"/>
  <c r="EV352" i="36"/>
  <c r="EV10" i="36"/>
  <c r="EN205" i="35"/>
  <c r="EN50" i="35"/>
  <c r="EN49" i="35"/>
  <c r="ES50" i="35"/>
  <c r="FE213" i="36"/>
  <c r="FE206" i="36"/>
  <c r="EZ421" i="36"/>
  <c r="EZ422" i="36"/>
  <c r="FA417" i="36"/>
  <c r="FA420" i="36" s="1"/>
  <c r="EZ431" i="36"/>
  <c r="FA351" i="36"/>
  <c r="FA344" i="36"/>
  <c r="FG204" i="36"/>
  <c r="FB466" i="36"/>
  <c r="FC466" i="36" s="1"/>
  <c r="FC476" i="36" s="1"/>
  <c r="FB45" i="36"/>
  <c r="FB205" i="36"/>
  <c r="FE14" i="35"/>
  <c r="FE15" i="35" s="1"/>
  <c r="FE16" i="35" s="1"/>
  <c r="FE18" i="35" s="1"/>
  <c r="FE46" i="36"/>
  <c r="EV47" i="36"/>
  <c r="EV49" i="36" s="1"/>
  <c r="EV52" i="36" s="1"/>
  <c r="EV51" i="36"/>
  <c r="DU652" i="36"/>
  <c r="DU654" i="36" s="1"/>
  <c r="DY649" i="36"/>
  <c r="EZ51" i="36"/>
  <c r="EZ47" i="36"/>
  <c r="EZ49" i="36" s="1"/>
  <c r="EZ52" i="36" s="1"/>
  <c r="EU470" i="36"/>
  <c r="EU478" i="36"/>
  <c r="EI123" i="35"/>
  <c r="EE124" i="35"/>
  <c r="EF123" i="35" s="1"/>
  <c r="EF124" i="35" s="1"/>
  <c r="EG123" i="35" s="1"/>
  <c r="EG124" i="35" s="1"/>
  <c r="EH123" i="35" s="1"/>
  <c r="EH124" i="35" s="1"/>
  <c r="EI124" i="35" s="1"/>
  <c r="EJ123" i="35" s="1"/>
  <c r="EN123" i="35" s="1"/>
  <c r="FA213" i="36"/>
  <c r="FA206" i="36"/>
  <c r="FI654" i="36"/>
  <c r="FJ655" i="36"/>
  <c r="FD563" i="36"/>
  <c r="FD9" i="36"/>
  <c r="FD545" i="36"/>
  <c r="FD214" i="36"/>
  <c r="FD251" i="36"/>
  <c r="FD241" i="36"/>
  <c r="FD249" i="36"/>
  <c r="ET576" i="36"/>
  <c r="ET54" i="36"/>
  <c r="ET15" i="36"/>
  <c r="ET570" i="36"/>
  <c r="EJ515" i="36"/>
  <c r="EO515" i="36"/>
  <c r="FF343" i="36"/>
  <c r="EW213" i="36"/>
  <c r="EW206" i="36"/>
  <c r="ED528" i="36"/>
  <c r="DZ530" i="36"/>
  <c r="EY13" i="36"/>
  <c r="EY12" i="36"/>
  <c r="FE476" i="36"/>
  <c r="FE467" i="36"/>
  <c r="EY363" i="36"/>
  <c r="FD363" i="36" s="1"/>
  <c r="EU363" i="36"/>
  <c r="ET362" i="36"/>
  <c r="EV15" i="35"/>
  <c r="EZ19" i="35"/>
  <c r="EZ53" i="35"/>
  <c r="EG529" i="36"/>
  <c r="EG530" i="36"/>
  <c r="EL529" i="36"/>
  <c r="EX205" i="36"/>
  <c r="EY436" i="36"/>
  <c r="EY432" i="36"/>
  <c r="EY433" i="36"/>
  <c r="EZ428" i="36"/>
  <c r="EZ430" i="36" s="1"/>
  <c r="FA14" i="35"/>
  <c r="FA15" i="35" s="1"/>
  <c r="FA16" i="35" s="1"/>
  <c r="FA18" i="35" s="1"/>
  <c r="FA46" i="36"/>
  <c r="EJ164" i="35"/>
  <c r="FJ506" i="36"/>
  <c r="FJ507" i="36"/>
  <c r="FJ508" i="36" s="1"/>
  <c r="EY14" i="36"/>
  <c r="EW14" i="35"/>
  <c r="EW15" i="35" s="1"/>
  <c r="EW16" i="35" s="1"/>
  <c r="EW18" i="35" s="1"/>
  <c r="EW46" i="36"/>
  <c r="EX46" i="36" s="1"/>
  <c r="EX51" i="36" s="1"/>
  <c r="ED520" i="36"/>
  <c r="ED524" i="36"/>
  <c r="ED522" i="36"/>
  <c r="FE352" i="36"/>
  <c r="FE10" i="36"/>
  <c r="EI513" i="36"/>
  <c r="EV477" i="36"/>
  <c r="EV468" i="36"/>
  <c r="EG523" i="36"/>
  <c r="EL523" i="36"/>
  <c r="EV563" i="36"/>
  <c r="EV545" i="36"/>
  <c r="EV9" i="36"/>
  <c r="EV214" i="36"/>
  <c r="EV251" i="36"/>
  <c r="EV241" i="36"/>
  <c r="EV249" i="36"/>
  <c r="EU27" i="36"/>
  <c r="EU253" i="36"/>
  <c r="EU252" i="36"/>
  <c r="ET52" i="36"/>
  <c r="FA476" i="36"/>
  <c r="FA467" i="36"/>
  <c r="EY52" i="36"/>
  <c r="EJ519" i="36"/>
  <c r="EJ524" i="36"/>
  <c r="EJ522" i="36"/>
  <c r="EJ528" i="36"/>
  <c r="EJ520" i="36"/>
  <c r="EN518" i="36"/>
  <c r="EO519" i="36"/>
  <c r="EH521" i="36"/>
  <c r="EM521" i="36"/>
  <c r="EK159" i="35"/>
  <c r="EK160" i="35" s="1"/>
  <c r="FK327" i="36"/>
  <c r="FN327" i="36"/>
  <c r="FJ627" i="36"/>
  <c r="FJ628" i="36" s="1"/>
  <c r="ET34" i="36"/>
  <c r="ET31" i="36"/>
  <c r="EW476" i="36"/>
  <c r="EW467" i="36"/>
  <c r="EX467" i="36" s="1"/>
  <c r="EX477" i="36" s="1"/>
  <c r="EG521" i="36"/>
  <c r="EL521" i="36"/>
  <c r="EF521" i="36"/>
  <c r="EK521" i="36"/>
  <c r="EN122" i="35"/>
  <c r="FF466" i="36"/>
  <c r="FF45" i="36"/>
  <c r="FF205" i="36"/>
  <c r="FD14" i="36"/>
  <c r="EJ513" i="36"/>
  <c r="EO513" i="36"/>
  <c r="EH530" i="36"/>
  <c r="EH529" i="36"/>
  <c r="EM529" i="36"/>
  <c r="ET526" i="36"/>
  <c r="ET480" i="36"/>
  <c r="EW344" i="36"/>
  <c r="EW351" i="36"/>
  <c r="EZ477" i="36"/>
  <c r="EZ468" i="36"/>
  <c r="EE529" i="36"/>
  <c r="EE530" i="36"/>
  <c r="EI528" i="36"/>
  <c r="FD51" i="36"/>
  <c r="FD47" i="36"/>
  <c r="FD49" i="36" s="1"/>
  <c r="FD52" i="36" s="1"/>
  <c r="EZ563" i="36"/>
  <c r="EZ9" i="36"/>
  <c r="EZ214" i="36"/>
  <c r="EZ545" i="36"/>
  <c r="EZ251" i="36"/>
  <c r="EZ241" i="36"/>
  <c r="EZ249" i="36"/>
  <c r="EU13" i="36"/>
  <c r="EU12" i="36"/>
  <c r="EY18" i="35"/>
  <c r="FK285" i="36"/>
  <c r="FK284" i="36"/>
  <c r="FL280" i="36"/>
  <c r="FK288" i="36"/>
  <c r="FK294" i="36"/>
  <c r="FK317" i="36" s="1"/>
  <c r="FH643" i="36"/>
  <c r="EY470" i="36"/>
  <c r="EY478" i="36"/>
  <c r="EH523" i="36"/>
  <c r="EM523" i="36"/>
  <c r="FG342" i="36"/>
  <c r="FG343" i="36" s="1"/>
  <c r="FB343" i="36"/>
  <c r="EN503" i="36"/>
  <c r="ES503" i="36"/>
  <c r="EI515" i="36"/>
  <c r="FJ653" i="36"/>
  <c r="FD15" i="35"/>
  <c r="EF529" i="36"/>
  <c r="EF530" i="36"/>
  <c r="EK529" i="36"/>
  <c r="FK419" i="36"/>
  <c r="FK293" i="36"/>
  <c r="FK298" i="36" s="1"/>
  <c r="FK424" i="36" s="1"/>
  <c r="EI522" i="36"/>
  <c r="EI519" i="36"/>
  <c r="EI520" i="36"/>
  <c r="EI524" i="36"/>
  <c r="EX343" i="36"/>
  <c r="EX351" i="36" s="1"/>
  <c r="EY253" i="36"/>
  <c r="EY27" i="36"/>
  <c r="EY252" i="36"/>
  <c r="ET53" i="35"/>
  <c r="ET19" i="35"/>
  <c r="FJ656" i="36"/>
  <c r="EN501" i="36"/>
  <c r="ES501" i="36"/>
  <c r="EE68" i="35"/>
  <c r="EE62" i="35"/>
  <c r="EZ352" i="36"/>
  <c r="EZ10" i="36"/>
  <c r="EZ14" i="36" s="1"/>
  <c r="FD477" i="36"/>
  <c r="FD468" i="36"/>
  <c r="EN199" i="35"/>
  <c r="EN200" i="35" s="1"/>
  <c r="EN126" i="35" s="1"/>
  <c r="EM200" i="35"/>
  <c r="EM126" i="35" s="1"/>
  <c r="EE523" i="36"/>
  <c r="EF523" i="36"/>
  <c r="EK523" i="36"/>
  <c r="EJ132" i="35"/>
  <c r="EN129" i="35"/>
  <c r="EN645" i="36"/>
  <c r="ES645" i="36"/>
  <c r="C3861" i="3"/>
  <c r="E3861" i="3" s="1"/>
  <c r="V76" i="29"/>
  <c r="V100" i="29" s="1"/>
  <c r="U100" i="29"/>
  <c r="M81" i="29"/>
  <c r="M80" i="29"/>
  <c r="N80" i="29" s="1"/>
  <c r="O80" i="29" s="1"/>
  <c r="V75" i="29"/>
  <c r="V99" i="29" s="1"/>
  <c r="U99" i="29"/>
  <c r="O96" i="29"/>
  <c r="Q96" i="29"/>
  <c r="R96" i="29"/>
  <c r="S96" i="29"/>
  <c r="T96" i="29"/>
  <c r="U96" i="29"/>
  <c r="P96" i="29"/>
  <c r="V96" i="29"/>
  <c r="G141" i="19"/>
  <c r="ET115" i="10"/>
  <c r="EU211" i="4"/>
  <c r="EU212" i="4" s="1"/>
  <c r="EB378" i="2"/>
  <c r="EB433" i="10"/>
  <c r="EB360" i="2"/>
  <c r="EB362" i="2" s="1"/>
  <c r="EB374" i="2"/>
  <c r="E3233" i="3"/>
  <c r="E3228" i="3" s="1"/>
  <c r="DZ559" i="2"/>
  <c r="DZ563" i="2" s="1"/>
  <c r="FI469" i="2"/>
  <c r="FI479" i="2" s="1"/>
  <c r="FH17" i="4"/>
  <c r="FI29" i="2"/>
  <c r="D2485" i="3"/>
  <c r="D2506" i="3"/>
  <c r="E2502" i="3"/>
  <c r="H2499" i="3"/>
  <c r="I2494" i="3"/>
  <c r="EA237" i="2"/>
  <c r="I171" i="11"/>
  <c r="H192" i="11"/>
  <c r="EA385" i="10"/>
  <c r="EA241" i="2"/>
  <c r="EA222" i="2"/>
  <c r="EA227" i="2" s="1"/>
  <c r="EF219" i="2"/>
  <c r="EF217" i="2" s="1"/>
  <c r="ED357" i="2"/>
  <c r="EF73" i="2"/>
  <c r="EJ99" i="1"/>
  <c r="EN91" i="1"/>
  <c r="EH527" i="2"/>
  <c r="EM527" i="2"/>
  <c r="EJ104" i="4"/>
  <c r="EN104" i="4" s="1"/>
  <c r="EJ129" i="4"/>
  <c r="EJ132" i="4" s="1"/>
  <c r="EJ122" i="4"/>
  <c r="EA430" i="10"/>
  <c r="EA372" i="2"/>
  <c r="ED372" i="2" s="1"/>
  <c r="B4169" i="3"/>
  <c r="C4169" i="3" s="1"/>
  <c r="DY94" i="2"/>
  <c r="E4956" i="3"/>
  <c r="E4964" i="3" s="1"/>
  <c r="DX310" i="2"/>
  <c r="E4350" i="3"/>
  <c r="E4362" i="3"/>
  <c r="E4364" i="3" s="1"/>
  <c r="E4344" i="3"/>
  <c r="EB473" i="18"/>
  <c r="B3806" i="3"/>
  <c r="B3990" i="3" s="1"/>
  <c r="C3990" i="3" s="1"/>
  <c r="DX391" i="10"/>
  <c r="DY82" i="2"/>
  <c r="DZ82" i="2" s="1"/>
  <c r="DW82" i="2"/>
  <c r="DX83" i="2" s="1"/>
  <c r="DX91" i="2" s="1"/>
  <c r="DX344" i="10" s="1"/>
  <c r="B223" i="11"/>
  <c r="DX265" i="2"/>
  <c r="DX568" i="2"/>
  <c r="DY568" i="2" s="1"/>
  <c r="EA286" i="2"/>
  <c r="EA297" i="2"/>
  <c r="EA423" i="2" s="1"/>
  <c r="I5154" i="3"/>
  <c r="I5157" i="3" s="1"/>
  <c r="DY120" i="2"/>
  <c r="B68" i="29"/>
  <c r="EA308" i="2"/>
  <c r="EA382" i="2"/>
  <c r="EF383" i="2" s="1"/>
  <c r="EA299" i="2"/>
  <c r="EA425" i="2" s="1"/>
  <c r="EA274" i="2"/>
  <c r="DV274" i="2" s="1"/>
  <c r="DY176" i="2"/>
  <c r="DZ542" i="2"/>
  <c r="DY143" i="2"/>
  <c r="B3439" i="3"/>
  <c r="B5710" i="3"/>
  <c r="L3458" i="3"/>
  <c r="D215" i="11"/>
  <c r="C211" i="11"/>
  <c r="DZ32" i="18"/>
  <c r="EI50" i="2"/>
  <c r="H3458" i="3"/>
  <c r="D4958" i="3"/>
  <c r="EI628" i="2"/>
  <c r="D4964" i="3"/>
  <c r="D211" i="11"/>
  <c r="EB398" i="18"/>
  <c r="K3458" i="3"/>
  <c r="DZ650" i="2"/>
  <c r="D3458" i="3"/>
  <c r="ED631" i="2"/>
  <c r="F3458" i="3"/>
  <c r="EJ396" i="18"/>
  <c r="M3458" i="3"/>
  <c r="N3458" i="3"/>
  <c r="G3458" i="3"/>
  <c r="C215" i="11"/>
  <c r="C217" i="11" s="1"/>
  <c r="J3458" i="3"/>
  <c r="E3458" i="3"/>
  <c r="M96" i="29"/>
  <c r="D96" i="29"/>
  <c r="L96" i="29"/>
  <c r="I96" i="29"/>
  <c r="H96" i="29"/>
  <c r="G96" i="29"/>
  <c r="J96" i="29"/>
  <c r="F96" i="29"/>
  <c r="N96" i="29"/>
  <c r="K96" i="29"/>
  <c r="E96" i="29"/>
  <c r="EI392" i="18"/>
  <c r="EJ397" i="18"/>
  <c r="ED47" i="2"/>
  <c r="EA566" i="2"/>
  <c r="EA569" i="2"/>
  <c r="EA567" i="2"/>
  <c r="EA666" i="18" s="1"/>
  <c r="EA664" i="18" s="1"/>
  <c r="EA665" i="18" s="1"/>
  <c r="D4559" i="3"/>
  <c r="E4582" i="3"/>
  <c r="E4605" i="3" s="1"/>
  <c r="E4607" i="3" s="1"/>
  <c r="F4542" i="3" s="1"/>
  <c r="EB390" i="18"/>
  <c r="EC438" i="18"/>
  <c r="ED437" i="18"/>
  <c r="ED440" i="18" s="1"/>
  <c r="ED433" i="18"/>
  <c r="EA438" i="18"/>
  <c r="ED137" i="18"/>
  <c r="K4658" i="3"/>
  <c r="K4677" i="3" s="1"/>
  <c r="EM93" i="18"/>
  <c r="EE413" i="18"/>
  <c r="EI413" i="18" s="1"/>
  <c r="EN91" i="18"/>
  <c r="EN93" i="18" s="1"/>
  <c r="ED421" i="18"/>
  <c r="EB488" i="18"/>
  <c r="EB522" i="18" s="1"/>
  <c r="EE394" i="18"/>
  <c r="EE393" i="18" s="1"/>
  <c r="EE398" i="18" s="1"/>
  <c r="EC382" i="18"/>
  <c r="EC488" i="18" s="1"/>
  <c r="EC522" i="18" s="1"/>
  <c r="EB383" i="18"/>
  <c r="EB388" i="18" s="1"/>
  <c r="EB386" i="18"/>
  <c r="EB387" i="18"/>
  <c r="EB416" i="18"/>
  <c r="EC413" i="18" s="1"/>
  <c r="EC387" i="18"/>
  <c r="C4801" i="3"/>
  <c r="B22" i="24"/>
  <c r="B24" i="24" s="1"/>
  <c r="E5187" i="3"/>
  <c r="E5193" i="3" s="1"/>
  <c r="E5198" i="3" s="1"/>
  <c r="C4965" i="3"/>
  <c r="EF426" i="18"/>
  <c r="E5190" i="3"/>
  <c r="ED110" i="18"/>
  <c r="B31" i="25"/>
  <c r="B32" i="25" s="1"/>
  <c r="B334" i="24"/>
  <c r="ED114" i="18"/>
  <c r="D4497" i="3"/>
  <c r="D4499" i="3" s="1"/>
  <c r="EA489" i="18"/>
  <c r="EA527" i="18" s="1"/>
  <c r="EA572" i="18" s="1"/>
  <c r="EA578" i="18" s="1"/>
  <c r="ED397" i="18"/>
  <c r="EC394" i="18"/>
  <c r="EC489" i="18"/>
  <c r="EC527" i="18" s="1"/>
  <c r="EC572" i="18" s="1"/>
  <c r="EC578" i="18" s="1"/>
  <c r="EA661" i="18"/>
  <c r="EA660" i="18" s="1"/>
  <c r="EH162" i="18"/>
  <c r="EE382" i="18"/>
  <c r="EE473" i="18" s="1"/>
  <c r="EH160" i="18"/>
  <c r="EH161" i="18" s="1"/>
  <c r="ED386" i="18"/>
  <c r="EC661" i="18"/>
  <c r="EC660" i="18" s="1"/>
  <c r="C4918" i="3"/>
  <c r="EK367" i="2"/>
  <c r="EK368" i="2" s="1"/>
  <c r="EB137" i="18"/>
  <c r="EQ221" i="4"/>
  <c r="DZ383" i="18"/>
  <c r="DZ388" i="18" s="1"/>
  <c r="DZ417" i="18"/>
  <c r="DZ488" i="18"/>
  <c r="DZ524" i="18" s="1"/>
  <c r="DZ564" i="18" s="1"/>
  <c r="DZ586" i="18" s="1"/>
  <c r="EB114" i="18"/>
  <c r="EA413" i="18"/>
  <c r="DZ433" i="18"/>
  <c r="EA382" i="18"/>
  <c r="EA473" i="18" s="1"/>
  <c r="EA387" i="18"/>
  <c r="DZ387" i="18"/>
  <c r="DZ386" i="18"/>
  <c r="F5084" i="3"/>
  <c r="F5085" i="3" s="1"/>
  <c r="ED42" i="18"/>
  <c r="B62" i="24" s="1"/>
  <c r="B63" i="24" s="1"/>
  <c r="DZ437" i="18"/>
  <c r="DZ421" i="18"/>
  <c r="DZ390" i="18"/>
  <c r="EA418" i="18"/>
  <c r="EE207" i="18"/>
  <c r="EA227" i="18"/>
  <c r="DZ404" i="18"/>
  <c r="DZ403" i="18" s="1"/>
  <c r="EE426" i="18"/>
  <c r="EE425" i="18" s="1"/>
  <c r="EE430" i="18" s="1"/>
  <c r="EF430" i="18" s="1"/>
  <c r="EA111" i="18"/>
  <c r="EA107" i="18"/>
  <c r="EA112" i="18" s="1"/>
  <c r="EA114" i="18"/>
  <c r="EL369" i="2"/>
  <c r="EM369" i="2" s="1"/>
  <c r="EK232" i="2"/>
  <c r="EK230" i="2" s="1"/>
  <c r="EQ115" i="10"/>
  <c r="ER115" i="10"/>
  <c r="EA149" i="18"/>
  <c r="EB106" i="18"/>
  <c r="EB108" i="18" s="1"/>
  <c r="EB107" i="18" s="1"/>
  <c r="EB112" i="18" s="1"/>
  <c r="EA137" i="18"/>
  <c r="EG526" i="2"/>
  <c r="EL527" i="2" s="1"/>
  <c r="J4424" i="3"/>
  <c r="EC149" i="18"/>
  <c r="EC32" i="18" s="1"/>
  <c r="ED257" i="18"/>
  <c r="ED249" i="18" s="1"/>
  <c r="ED250" i="18" s="1"/>
  <c r="P4544" i="3"/>
  <c r="C3862" i="3"/>
  <c r="E3862" i="3" s="1"/>
  <c r="EC106" i="18"/>
  <c r="EC108" i="18" s="1"/>
  <c r="EC107" i="18" s="1"/>
  <c r="EC112" i="18" s="1"/>
  <c r="EB111" i="18"/>
  <c r="EB110" i="18"/>
  <c r="EB149" i="18"/>
  <c r="EB153" i="18" s="1"/>
  <c r="ED210" i="18"/>
  <c r="B15" i="23"/>
  <c r="C4788" i="3"/>
  <c r="EB227" i="18"/>
  <c r="EB211" i="18"/>
  <c r="EB661" i="18"/>
  <c r="EB660" i="18" s="1"/>
  <c r="ED206" i="18"/>
  <c r="ED211" i="18" s="1"/>
  <c r="C4464" i="3"/>
  <c r="C4468" i="3" s="1"/>
  <c r="C4429" i="3"/>
  <c r="C4435" i="3" s="1"/>
  <c r="EC211" i="18"/>
  <c r="ED207" i="18"/>
  <c r="ED212" i="18" s="1"/>
  <c r="B88" i="24"/>
  <c r="EJ80" i="18"/>
  <c r="EI125" i="18"/>
  <c r="C335" i="24"/>
  <c r="EJ117" i="18"/>
  <c r="EJ119" i="18" s="1"/>
  <c r="EJ120" i="18" s="1"/>
  <c r="DZ16" i="4"/>
  <c r="ED16" i="4" s="1"/>
  <c r="EK480" i="2"/>
  <c r="EK526" i="2"/>
  <c r="DV314" i="18"/>
  <c r="I4299" i="3"/>
  <c r="I4330" i="3" s="1"/>
  <c r="EE478" i="2"/>
  <c r="EF205" i="4"/>
  <c r="H4311" i="3"/>
  <c r="EF49" i="4"/>
  <c r="EI158" i="18"/>
  <c r="EI160" i="18" s="1"/>
  <c r="EI161" i="18" s="1"/>
  <c r="EF103" i="10"/>
  <c r="EF140" i="10" s="1"/>
  <c r="EF142" i="10" s="1"/>
  <c r="EG135" i="18"/>
  <c r="EH135" i="18" s="1"/>
  <c r="I4290" i="3"/>
  <c r="I4323" i="3" s="1"/>
  <c r="I4327" i="3" s="1"/>
  <c r="I4319" i="3"/>
  <c r="I4324" i="3" s="1"/>
  <c r="DP569" i="1"/>
  <c r="DP572" i="1" s="1"/>
  <c r="DQ572" i="1"/>
  <c r="EI468" i="2"/>
  <c r="EI478" i="2" s="1"/>
  <c r="EE16" i="4"/>
  <c r="EE18" i="4" s="1"/>
  <c r="DZ124" i="4"/>
  <c r="EA123" i="4" s="1"/>
  <c r="EA124" i="4" s="1"/>
  <c r="EB123" i="4" s="1"/>
  <c r="EB124" i="4" s="1"/>
  <c r="EC123" i="4" s="1"/>
  <c r="EC124" i="4" s="1"/>
  <c r="H4296" i="3"/>
  <c r="EN14" i="4"/>
  <c r="EN45" i="2"/>
  <c r="EN466" i="2"/>
  <c r="EN476" i="2" s="1"/>
  <c r="EN212" i="2"/>
  <c r="EN377" i="10"/>
  <c r="H4330" i="3"/>
  <c r="H4333" i="3" s="1"/>
  <c r="ES461" i="18"/>
  <c r="ES124" i="18"/>
  <c r="ES290" i="18" s="1"/>
  <c r="ES399" i="18"/>
  <c r="EJ230" i="2"/>
  <c r="EJ233" i="2"/>
  <c r="L4653" i="3"/>
  <c r="L4672" i="3" s="1"/>
  <c r="M4637" i="3"/>
  <c r="EE470" i="2"/>
  <c r="EJ480" i="2" s="1"/>
  <c r="ED251" i="18"/>
  <c r="ED252" i="18" s="1"/>
  <c r="EG251" i="18"/>
  <c r="EI251" i="18" s="1"/>
  <c r="DW43" i="18"/>
  <c r="DW45" i="18" s="1"/>
  <c r="DW260" i="18"/>
  <c r="DW279" i="18" s="1"/>
  <c r="DW278" i="18" s="1"/>
  <c r="DW49" i="18" s="1"/>
  <c r="DW50" i="18" s="1"/>
  <c r="DY258" i="18"/>
  <c r="DY260" i="18" s="1"/>
  <c r="EB547" i="18"/>
  <c r="J3379" i="3"/>
  <c r="I3382" i="3"/>
  <c r="DX43" i="18"/>
  <c r="DX45" i="18" s="1"/>
  <c r="DX260" i="18"/>
  <c r="DV45" i="18"/>
  <c r="EG121" i="10"/>
  <c r="EG140" i="10"/>
  <c r="EG142" i="10" s="1"/>
  <c r="K6" i="24"/>
  <c r="K8" i="24" s="1"/>
  <c r="K12" i="24" s="1"/>
  <c r="K16" i="24" s="1"/>
  <c r="H7" i="25"/>
  <c r="H8" i="25" s="1"/>
  <c r="H14" i="25" s="1"/>
  <c r="H17" i="25" s="1"/>
  <c r="B18" i="25" s="1"/>
  <c r="F3233" i="3"/>
  <c r="F3243" i="3" s="1"/>
  <c r="EL263" i="10"/>
  <c r="EM263" i="10"/>
  <c r="DY34" i="18"/>
  <c r="DW40" i="18"/>
  <c r="DY40" i="18" s="1"/>
  <c r="J25" i="29"/>
  <c r="K22" i="29"/>
  <c r="EC431" i="10"/>
  <c r="EC362" i="2"/>
  <c r="G151" i="11"/>
  <c r="EJ489" i="18"/>
  <c r="EJ394" i="18"/>
  <c r="EJ393" i="18" s="1"/>
  <c r="K126" i="11"/>
  <c r="K65" i="11"/>
  <c r="K141" i="11"/>
  <c r="K99" i="11"/>
  <c r="K84" i="11"/>
  <c r="L41" i="11"/>
  <c r="K108" i="11"/>
  <c r="K110" i="11" s="1"/>
  <c r="K53" i="11"/>
  <c r="EK103" i="18"/>
  <c r="EK77" i="18"/>
  <c r="EK80" i="18" s="1"/>
  <c r="EK102" i="18"/>
  <c r="H4566" i="3"/>
  <c r="D216" i="11"/>
  <c r="D222" i="11" s="1"/>
  <c r="D48" i="11"/>
  <c r="D54" i="11" s="1"/>
  <c r="D206" i="11"/>
  <c r="EI86" i="2"/>
  <c r="EJ86" i="2" s="1"/>
  <c r="J1607" i="3" s="1"/>
  <c r="EH342" i="10"/>
  <c r="EH88" i="2"/>
  <c r="EF655" i="2"/>
  <c r="EF654" i="2"/>
  <c r="EF652" i="2"/>
  <c r="C4995" i="3"/>
  <c r="T5747" i="3"/>
  <c r="V5747" i="3" s="1"/>
  <c r="M5765" i="3"/>
  <c r="EL98" i="18"/>
  <c r="EM96" i="18"/>
  <c r="EL101" i="18"/>
  <c r="E191" i="11"/>
  <c r="F170" i="11"/>
  <c r="E185" i="11"/>
  <c r="H3108" i="3"/>
  <c r="EK489" i="18"/>
  <c r="EK394" i="18"/>
  <c r="EK393" i="18" s="1"/>
  <c r="EE108" i="18"/>
  <c r="EI106" i="18"/>
  <c r="C56" i="11"/>
  <c r="C58" i="11"/>
  <c r="EE131" i="10"/>
  <c r="EI49" i="2"/>
  <c r="EI131" i="10" s="1"/>
  <c r="S5748" i="3"/>
  <c r="S5742" i="3" s="1"/>
  <c r="L5766" i="3" s="1"/>
  <c r="R5742" i="3"/>
  <c r="K5766" i="3" s="1"/>
  <c r="C5726" i="3"/>
  <c r="F5190" i="3"/>
  <c r="F5187" i="3"/>
  <c r="F5193" i="3" s="1"/>
  <c r="G5186" i="3"/>
  <c r="G5188" i="3" s="1"/>
  <c r="EC498" i="2"/>
  <c r="EC227" i="2"/>
  <c r="EC383" i="10"/>
  <c r="EH609" i="2"/>
  <c r="EH161" i="10"/>
  <c r="J5766" i="3"/>
  <c r="T5742" i="3"/>
  <c r="EK397" i="18"/>
  <c r="EK396" i="18"/>
  <c r="EL392" i="18"/>
  <c r="EQ383" i="18"/>
  <c r="B58" i="11"/>
  <c r="B56" i="11"/>
  <c r="I4670" i="3"/>
  <c r="I4663" i="3"/>
  <c r="I4682" i="3" s="1"/>
  <c r="I4565" i="3" s="1"/>
  <c r="L4636" i="3"/>
  <c r="K4652" i="3"/>
  <c r="K4671" i="3" s="1"/>
  <c r="B68" i="11"/>
  <c r="B69" i="11" s="1"/>
  <c r="EE418" i="18"/>
  <c r="EE421" i="18"/>
  <c r="EF413" i="18"/>
  <c r="EE437" i="18"/>
  <c r="EE417" i="18"/>
  <c r="EH639" i="2"/>
  <c r="EH636" i="2"/>
  <c r="EH644" i="2" s="1"/>
  <c r="J4651" i="3"/>
  <c r="K4635" i="3"/>
  <c r="J4647" i="3"/>
  <c r="C11" i="20"/>
  <c r="B16" i="23"/>
  <c r="EK374" i="18"/>
  <c r="EJ379" i="18"/>
  <c r="EL118" i="18"/>
  <c r="EM123" i="18"/>
  <c r="EE628" i="2"/>
  <c r="EE333" i="2"/>
  <c r="EE631" i="2"/>
  <c r="EE648" i="2"/>
  <c r="EE387" i="18"/>
  <c r="EE390" i="18"/>
  <c r="B3977" i="3" s="1"/>
  <c r="EF382" i="18"/>
  <c r="EE433" i="18"/>
  <c r="EE386" i="18"/>
  <c r="DW445" i="2"/>
  <c r="DV436" i="2"/>
  <c r="EA101" i="2"/>
  <c r="DV184" i="10"/>
  <c r="DU99" i="2"/>
  <c r="DU434" i="2" s="1"/>
  <c r="DW574" i="2"/>
  <c r="DV402" i="2"/>
  <c r="DW400" i="2"/>
  <c r="DV447" i="2"/>
  <c r="DW434" i="2"/>
  <c r="ER259" i="18"/>
  <c r="EQ44" i="18"/>
  <c r="D4975" i="3"/>
  <c r="D4464" i="3"/>
  <c r="D4788" i="3"/>
  <c r="F4582" i="3"/>
  <c r="F4605" i="3" s="1"/>
  <c r="EK289" i="18"/>
  <c r="G4592" i="3"/>
  <c r="G4594" i="3" s="1"/>
  <c r="G4606" i="3" s="1"/>
  <c r="EL395" i="18"/>
  <c r="G4757" i="3"/>
  <c r="G4580" i="3"/>
  <c r="G5189" i="3"/>
  <c r="C50" i="11"/>
  <c r="D45" i="11"/>
  <c r="D47" i="11" s="1"/>
  <c r="C46" i="11"/>
  <c r="C59" i="11" s="1"/>
  <c r="C49" i="11"/>
  <c r="C67" i="11" s="1"/>
  <c r="E4490" i="3"/>
  <c r="E4491" i="3" s="1"/>
  <c r="E4493" i="3" s="1"/>
  <c r="D4763" i="3"/>
  <c r="D4627" i="3"/>
  <c r="D4574" i="3"/>
  <c r="D4576" i="3" s="1"/>
  <c r="D4417" i="3"/>
  <c r="EH105" i="2"/>
  <c r="EI105" i="2" s="1"/>
  <c r="EB654" i="2"/>
  <c r="EB652" i="2"/>
  <c r="EB653" i="2"/>
  <c r="B4984" i="3"/>
  <c r="B4350" i="3"/>
  <c r="DY122" i="10"/>
  <c r="F4950" i="3"/>
  <c r="F4947" i="3"/>
  <c r="ES638" i="36" s="1"/>
  <c r="ES639" i="36" s="1"/>
  <c r="EA398" i="18"/>
  <c r="EA404" i="18"/>
  <c r="E215" i="11"/>
  <c r="F221" i="11"/>
  <c r="D4771" i="3"/>
  <c r="EI637" i="2"/>
  <c r="EI638" i="2" s="1"/>
  <c r="D4952" i="3"/>
  <c r="D4949" i="3"/>
  <c r="E4138" i="3"/>
  <c r="E4159" i="3" s="1"/>
  <c r="E4136" i="3"/>
  <c r="E4139" i="3"/>
  <c r="E4160" i="3" s="1"/>
  <c r="DW651" i="2"/>
  <c r="H24" i="29"/>
  <c r="G32" i="29"/>
  <c r="C4332" i="3"/>
  <c r="C4309" i="3"/>
  <c r="C4313" i="3"/>
  <c r="D4313" i="3"/>
  <c r="DZ309" i="18"/>
  <c r="DZ307" i="18"/>
  <c r="I87" i="20"/>
  <c r="B47" i="24"/>
  <c r="B11" i="24"/>
  <c r="B48" i="24" s="1"/>
  <c r="F230" i="24"/>
  <c r="EJ157" i="4"/>
  <c r="DZ385" i="10"/>
  <c r="DZ241" i="2"/>
  <c r="DZ239" i="2"/>
  <c r="DZ222" i="2"/>
  <c r="ED235" i="2"/>
  <c r="DZ237" i="2"/>
  <c r="M4638" i="3"/>
  <c r="L4654" i="3"/>
  <c r="L4673" i="3" s="1"/>
  <c r="EC191" i="18"/>
  <c r="EC200" i="18"/>
  <c r="EC192" i="18"/>
  <c r="ED190" i="18"/>
  <c r="L4550" i="3"/>
  <c r="EI78" i="18"/>
  <c r="EH81" i="18"/>
  <c r="EI81" i="18" s="1"/>
  <c r="EH190" i="18"/>
  <c r="EH544" i="1"/>
  <c r="EI544" i="1" s="1"/>
  <c r="EH540" i="1"/>
  <c r="EH543" i="1"/>
  <c r="EI543" i="1" s="1"/>
  <c r="EI539" i="1"/>
  <c r="EB309" i="18"/>
  <c r="EB307" i="18"/>
  <c r="L4287" i="3"/>
  <c r="K4300" i="3"/>
  <c r="K4320" i="3"/>
  <c r="F4138" i="3"/>
  <c r="F4159" i="3" s="1"/>
  <c r="B4170" i="3"/>
  <c r="F4136" i="3"/>
  <c r="E4137" i="3"/>
  <c r="E4158" i="3" s="1"/>
  <c r="D4133" i="3"/>
  <c r="D4137" i="3" s="1"/>
  <c r="D4158" i="3" s="1"/>
  <c r="ED648" i="2"/>
  <c r="DX654" i="2"/>
  <c r="DX652" i="2"/>
  <c r="DX655" i="2"/>
  <c r="EH457" i="18"/>
  <c r="DX569" i="18"/>
  <c r="DX556" i="18"/>
  <c r="ED292" i="2"/>
  <c r="EE357" i="2"/>
  <c r="EE219" i="2"/>
  <c r="EE73" i="2"/>
  <c r="M4639" i="3"/>
  <c r="L4655" i="3"/>
  <c r="L4674" i="3" s="1"/>
  <c r="C4974" i="3"/>
  <c r="C4976" i="3" s="1"/>
  <c r="C4978" i="3" s="1"/>
  <c r="DY134" i="4"/>
  <c r="DY114" i="10" s="1"/>
  <c r="DY123" i="10" s="1"/>
  <c r="DU114" i="10"/>
  <c r="DU123" i="10" s="1"/>
  <c r="DU161" i="10"/>
  <c r="DZ609" i="2"/>
  <c r="G4341" i="3"/>
  <c r="G4820" i="3"/>
  <c r="G4345" i="3"/>
  <c r="G4344" i="3" s="1"/>
  <c r="G4337" i="3"/>
  <c r="EG376" i="18"/>
  <c r="EH376" i="18" s="1"/>
  <c r="EF372" i="18"/>
  <c r="G122" i="24"/>
  <c r="G115" i="24"/>
  <c r="G161" i="24"/>
  <c r="G162" i="24" s="1"/>
  <c r="B4197" i="3"/>
  <c r="D4167" i="3"/>
  <c r="C4167" i="3" s="1"/>
  <c r="C4335" i="3"/>
  <c r="C4339" i="3"/>
  <c r="C4813" i="3"/>
  <c r="DY307" i="18"/>
  <c r="DY308" i="18" s="1"/>
  <c r="DU54" i="18"/>
  <c r="EH471" i="18"/>
  <c r="F3389" i="3"/>
  <c r="G3381" i="3"/>
  <c r="F12" i="29"/>
  <c r="F13" i="29" s="1"/>
  <c r="DY429" i="2"/>
  <c r="EG197" i="18"/>
  <c r="EH195" i="18"/>
  <c r="EH284" i="18" s="1"/>
  <c r="EG83" i="18"/>
  <c r="EB383" i="10"/>
  <c r="EB227" i="2"/>
  <c r="DU360" i="18"/>
  <c r="DY543" i="1"/>
  <c r="EI88" i="4"/>
  <c r="EH91" i="4"/>
  <c r="DZ360" i="2"/>
  <c r="DZ378" i="2"/>
  <c r="DZ433" i="10"/>
  <c r="DZ376" i="2"/>
  <c r="DY660" i="18"/>
  <c r="DV648" i="2"/>
  <c r="C4130" i="3"/>
  <c r="ED48" i="18"/>
  <c r="G119" i="24"/>
  <c r="B4180" i="3"/>
  <c r="ED49" i="2"/>
  <c r="DZ131" i="10"/>
  <c r="DZ54" i="2"/>
  <c r="EE52" i="2"/>
  <c r="B3764" i="3"/>
  <c r="ED514" i="18"/>
  <c r="ED515" i="18" s="1"/>
  <c r="EC122" i="10"/>
  <c r="EC134" i="4"/>
  <c r="EC114" i="10" s="1"/>
  <c r="EC123" i="10" s="1"/>
  <c r="ED129" i="4"/>
  <c r="EB526" i="2"/>
  <c r="EG480" i="2"/>
  <c r="ED161" i="18"/>
  <c r="ED151" i="18"/>
  <c r="E26" i="20"/>
  <c r="D8" i="20"/>
  <c r="D13" i="23" s="1"/>
  <c r="D86" i="20"/>
  <c r="EJ159" i="18"/>
  <c r="EI163" i="18"/>
  <c r="EG244" i="18"/>
  <c r="G229" i="24"/>
  <c r="G73" i="24"/>
  <c r="H72" i="24"/>
  <c r="EF86" i="18"/>
  <c r="EF355" i="2"/>
  <c r="EF358" i="2"/>
  <c r="EJ73" i="18"/>
  <c r="EI75" i="18"/>
  <c r="EI79" i="18"/>
  <c r="EN455" i="18"/>
  <c r="EO460" i="18"/>
  <c r="EB655" i="2"/>
  <c r="EH134" i="4"/>
  <c r="EH122" i="10"/>
  <c r="EI132" i="4"/>
  <c r="L76" i="11"/>
  <c r="K81" i="11"/>
  <c r="EE308" i="18"/>
  <c r="EE161" i="18"/>
  <c r="O47" i="21"/>
  <c r="P48" i="21"/>
  <c r="K43" i="21"/>
  <c r="J29" i="21"/>
  <c r="J42" i="21"/>
  <c r="N46" i="21"/>
  <c r="I41" i="21"/>
  <c r="I85" i="21" s="1"/>
  <c r="M45" i="21"/>
  <c r="L44" i="21"/>
  <c r="DY599" i="18"/>
  <c r="O4303" i="3"/>
  <c r="DU44" i="4"/>
  <c r="DU361" i="18"/>
  <c r="DY361" i="18" s="1"/>
  <c r="DY544" i="1"/>
  <c r="EH38" i="18"/>
  <c r="EI36" i="18"/>
  <c r="DW552" i="18"/>
  <c r="DW585" i="18"/>
  <c r="DW589" i="18" s="1"/>
  <c r="DW567" i="18"/>
  <c r="N5764" i="3"/>
  <c r="Y5740" i="3"/>
  <c r="EA87" i="18"/>
  <c r="EA85" i="18"/>
  <c r="DY661" i="18"/>
  <c r="DZ235" i="18"/>
  <c r="DZ234" i="18"/>
  <c r="EA226" i="18"/>
  <c r="DZ230" i="18"/>
  <c r="DZ231" i="18"/>
  <c r="DZ258" i="18"/>
  <c r="H4343" i="3"/>
  <c r="H4328" i="3"/>
  <c r="EB409" i="18"/>
  <c r="N4643" i="3"/>
  <c r="N4659" i="3" s="1"/>
  <c r="N4678" i="3" s="1"/>
  <c r="M4659" i="3"/>
  <c r="M4678" i="3" s="1"/>
  <c r="DZ660" i="18"/>
  <c r="M46" i="22"/>
  <c r="J43" i="22"/>
  <c r="I29" i="22"/>
  <c r="J28" i="22" s="1"/>
  <c r="I42" i="22"/>
  <c r="H41" i="22"/>
  <c r="H85" i="22" s="1"/>
  <c r="K44" i="22"/>
  <c r="L45" i="22"/>
  <c r="O48" i="22"/>
  <c r="N47" i="22"/>
  <c r="E4498" i="3"/>
  <c r="E4559" i="3"/>
  <c r="DZ122" i="10"/>
  <c r="DZ134" i="4"/>
  <c r="ED132" i="4"/>
  <c r="EI37" i="18"/>
  <c r="EE38" i="18"/>
  <c r="ER371" i="18"/>
  <c r="ER425" i="18" s="1"/>
  <c r="EF221" i="18"/>
  <c r="EG221" i="18" s="1"/>
  <c r="EN58" i="18"/>
  <c r="EO339" i="18"/>
  <c r="H122" i="24"/>
  <c r="H115" i="24"/>
  <c r="EH431" i="18"/>
  <c r="EG417" i="2"/>
  <c r="EF422" i="2"/>
  <c r="EF421" i="2"/>
  <c r="DZ540" i="1"/>
  <c r="DZ544" i="1"/>
  <c r="DZ543" i="1"/>
  <c r="ED539" i="1"/>
  <c r="G4340" i="3"/>
  <c r="G4336" i="3"/>
  <c r="C5556" i="3"/>
  <c r="B5582" i="3"/>
  <c r="G26" i="24"/>
  <c r="H25" i="24"/>
  <c r="F3375" i="3"/>
  <c r="G3367" i="3"/>
  <c r="J4319" i="3"/>
  <c r="J4299" i="3"/>
  <c r="K4286" i="3"/>
  <c r="J4290" i="3"/>
  <c r="EF55" i="2"/>
  <c r="EA62" i="2"/>
  <c r="H87" i="21"/>
  <c r="EC307" i="18"/>
  <c r="EC309" i="18"/>
  <c r="H4313" i="3"/>
  <c r="H4309" i="3"/>
  <c r="H4332" i="3"/>
  <c r="EB62" i="2"/>
  <c r="EG55" i="2"/>
  <c r="G4489" i="3"/>
  <c r="G4945" i="3"/>
  <c r="G4351" i="3"/>
  <c r="H4351" i="3" s="1"/>
  <c r="DZ578" i="18"/>
  <c r="EE578" i="18"/>
  <c r="EI74" i="18"/>
  <c r="DV562" i="18"/>
  <c r="DV546" i="18" s="1"/>
  <c r="DV571" i="18"/>
  <c r="DV573" i="18" s="1"/>
  <c r="DV565" i="18" s="1"/>
  <c r="DV600" i="18" s="1"/>
  <c r="DV601" i="18" s="1"/>
  <c r="C5023" i="3"/>
  <c r="C5024" i="3"/>
  <c r="C5026" i="3"/>
  <c r="C5027" i="3"/>
  <c r="F4495" i="3"/>
  <c r="F4362" i="3"/>
  <c r="F4364" i="3" s="1"/>
  <c r="F4956" i="3"/>
  <c r="F4350" i="3"/>
  <c r="EE61" i="4"/>
  <c r="EA307" i="18"/>
  <c r="EA309" i="18"/>
  <c r="DY540" i="1"/>
  <c r="DU538" i="1"/>
  <c r="DY67" i="4"/>
  <c r="B4130" i="3"/>
  <c r="DU648" i="2"/>
  <c r="DY630" i="2"/>
  <c r="X5746" i="3"/>
  <c r="X5740" i="3" s="1"/>
  <c r="W5740" i="3"/>
  <c r="D8" i="22"/>
  <c r="E26" i="22"/>
  <c r="D86" i="22"/>
  <c r="E4354" i="3"/>
  <c r="D4360" i="3"/>
  <c r="D4361" i="3" s="1"/>
  <c r="D4363" i="3" s="1"/>
  <c r="DY516" i="18"/>
  <c r="DY566" i="18"/>
  <c r="R5763" i="3"/>
  <c r="AD5739" i="3"/>
  <c r="D8" i="21"/>
  <c r="E26" i="21"/>
  <c r="D86" i="21"/>
  <c r="DW600" i="18"/>
  <c r="DW601" i="18" s="1"/>
  <c r="DU50" i="18"/>
  <c r="F4492" i="3"/>
  <c r="DV161" i="10"/>
  <c r="EA609" i="2"/>
  <c r="L4657" i="3"/>
  <c r="L4676" i="3" s="1"/>
  <c r="M4641" i="3"/>
  <c r="DY655" i="18"/>
  <c r="DY657" i="18" s="1"/>
  <c r="EE134" i="18"/>
  <c r="EF134" i="18" s="1"/>
  <c r="DZ526" i="2"/>
  <c r="ED470" i="2"/>
  <c r="B4960" i="3"/>
  <c r="B4966" i="3"/>
  <c r="B4777" i="3"/>
  <c r="H3238" i="3"/>
  <c r="X3119" i="3" s="1"/>
  <c r="H3230" i="3"/>
  <c r="H3240" i="3" s="1"/>
  <c r="X3121" i="3" s="1"/>
  <c r="J29" i="20"/>
  <c r="K28" i="20" s="1"/>
  <c r="F4139" i="3"/>
  <c r="F4160" i="3" s="1"/>
  <c r="EA562" i="18"/>
  <c r="EA546" i="18" s="1"/>
  <c r="M4640" i="3"/>
  <c r="L4656" i="3"/>
  <c r="L4675" i="3" s="1"/>
  <c r="AC5745" i="3"/>
  <c r="AC5739" i="3" s="1"/>
  <c r="AB5739" i="3"/>
  <c r="B4194" i="3"/>
  <c r="B4195" i="3" s="1"/>
  <c r="B4198" i="3" s="1"/>
  <c r="DY608" i="2"/>
  <c r="DY604" i="2"/>
  <c r="K4301" i="3"/>
  <c r="K4321" i="3"/>
  <c r="L4288" i="3"/>
  <c r="EF527" i="2"/>
  <c r="F4344" i="3"/>
  <c r="M4642" i="3"/>
  <c r="L4658" i="3"/>
  <c r="L4677" i="3" s="1"/>
  <c r="DU588" i="18"/>
  <c r="DY588" i="18" s="1"/>
  <c r="DU554" i="18"/>
  <c r="G4132" i="3"/>
  <c r="G4139" i="3" s="1"/>
  <c r="G4160" i="3" s="1"/>
  <c r="EA650" i="2"/>
  <c r="E4771" i="3"/>
  <c r="E4952" i="3"/>
  <c r="EA19" i="4"/>
  <c r="EA48" i="4"/>
  <c r="EA102" i="10"/>
  <c r="EF19" i="4"/>
  <c r="EH163" i="4"/>
  <c r="EG284" i="18"/>
  <c r="F158" i="19"/>
  <c r="G158" i="19"/>
  <c r="DU561" i="18"/>
  <c r="DZ544" i="18"/>
  <c r="EF161" i="18"/>
  <c r="EF308" i="18"/>
  <c r="F209" i="11"/>
  <c r="E211" i="11"/>
  <c r="EB121" i="10"/>
  <c r="EB140" i="10"/>
  <c r="EB142" i="10" s="1"/>
  <c r="O173" i="11"/>
  <c r="N194" i="11"/>
  <c r="N172" i="11"/>
  <c r="M193" i="11"/>
  <c r="D4540" i="3" l="1"/>
  <c r="D4545" i="3" s="1"/>
  <c r="D4981" i="3"/>
  <c r="D4983" i="3" s="1"/>
  <c r="C4351" i="3"/>
  <c r="EF239" i="18"/>
  <c r="EF241" i="18" s="1"/>
  <c r="EF300" i="18"/>
  <c r="EG300" i="18" s="1"/>
  <c r="EH300" i="18" s="1"/>
  <c r="EF667" i="18"/>
  <c r="C4363" i="3"/>
  <c r="FI129" i="10"/>
  <c r="C4958" i="3"/>
  <c r="C4966" i="3" s="1"/>
  <c r="C4970" i="3" s="1"/>
  <c r="C4961" i="3"/>
  <c r="D4961" i="3"/>
  <c r="C4945" i="3"/>
  <c r="C4964" i="3" s="1"/>
  <c r="D4969" i="3" s="1"/>
  <c r="E4969" i="3" s="1"/>
  <c r="C4344" i="3"/>
  <c r="D4492" i="3"/>
  <c r="C4491" i="3"/>
  <c r="C4493" i="3" s="1"/>
  <c r="C4492" i="3"/>
  <c r="EF223" i="18"/>
  <c r="EF664" i="18"/>
  <c r="EF202" i="18"/>
  <c r="EF201" i="18"/>
  <c r="EF302" i="18"/>
  <c r="FI17" i="4"/>
  <c r="EB302" i="18"/>
  <c r="EC300" i="18"/>
  <c r="EG200" i="18"/>
  <c r="EG192" i="18"/>
  <c r="ED191" i="18"/>
  <c r="EB664" i="18"/>
  <c r="EB665" i="18" s="1"/>
  <c r="EB667" i="18"/>
  <c r="EB202" i="18"/>
  <c r="EB244" i="18"/>
  <c r="EB300" i="18"/>
  <c r="EB223" i="18"/>
  <c r="EB84" i="18"/>
  <c r="EB85" i="18" s="1"/>
  <c r="EB201" i="18"/>
  <c r="J1619" i="3"/>
  <c r="K1619" i="3" s="1"/>
  <c r="L1619" i="3" s="1"/>
  <c r="K1613" i="3"/>
  <c r="J1633" i="3"/>
  <c r="L1612" i="3"/>
  <c r="K1632" i="3"/>
  <c r="DZ149" i="2"/>
  <c r="EA146" i="2" s="1"/>
  <c r="EA148" i="2" s="1"/>
  <c r="B1606" i="3"/>
  <c r="B1608" i="3" s="1"/>
  <c r="K1617" i="3"/>
  <c r="M1611" i="3"/>
  <c r="L1631" i="3"/>
  <c r="K1618" i="3"/>
  <c r="K1616" i="3"/>
  <c r="J1636" i="3"/>
  <c r="M1614" i="3"/>
  <c r="L1634" i="3"/>
  <c r="K1615" i="3"/>
  <c r="J1635" i="3"/>
  <c r="DZ95" i="2"/>
  <c r="DZ392" i="10" s="1"/>
  <c r="ED16" i="2"/>
  <c r="C532" i="38"/>
  <c r="FK339" i="36"/>
  <c r="FK463" i="36" s="1"/>
  <c r="FI340" i="36"/>
  <c r="FI348" i="36" s="1"/>
  <c r="FI347" i="36"/>
  <c r="FI633" i="36"/>
  <c r="FI643" i="36" s="1"/>
  <c r="FI463" i="36"/>
  <c r="FI473" i="36" s="1"/>
  <c r="FJ347" i="36"/>
  <c r="EI529" i="36"/>
  <c r="DZ44" i="35"/>
  <c r="ED44" i="35" s="1"/>
  <c r="EJ134" i="35"/>
  <c r="EN134" i="35" s="1"/>
  <c r="EN132" i="35"/>
  <c r="FD478" i="36"/>
  <c r="FD470" i="36"/>
  <c r="EY526" i="36"/>
  <c r="EY480" i="36"/>
  <c r="FI11" i="35"/>
  <c r="FI12" i="35" s="1"/>
  <c r="FI43" i="36"/>
  <c r="EX213" i="36"/>
  <c r="EX634" i="36"/>
  <c r="EX14" i="35"/>
  <c r="ED530" i="36"/>
  <c r="ED533" i="36" s="1"/>
  <c r="DZ533" i="36"/>
  <c r="FD27" i="36"/>
  <c r="FD252" i="36"/>
  <c r="FD253" i="36"/>
  <c r="FA563" i="36"/>
  <c r="FA214" i="36"/>
  <c r="FA9" i="36"/>
  <c r="FA545" i="36"/>
  <c r="FA251" i="36"/>
  <c r="FA241" i="36"/>
  <c r="FA249" i="36"/>
  <c r="FB14" i="35"/>
  <c r="FB15" i="35" s="1"/>
  <c r="FB46" i="36"/>
  <c r="EV14" i="36"/>
  <c r="ET54" i="35"/>
  <c r="EI523" i="36"/>
  <c r="EF535" i="36"/>
  <c r="EF533" i="36"/>
  <c r="EF534" i="36"/>
  <c r="EK535" i="36"/>
  <c r="EK534" i="36"/>
  <c r="EZ478" i="36"/>
  <c r="EZ470" i="36"/>
  <c r="EU34" i="36"/>
  <c r="EU31" i="36"/>
  <c r="FA51" i="36"/>
  <c r="FA47" i="36"/>
  <c r="FA49" i="36" s="1"/>
  <c r="FA52" i="36" s="1"/>
  <c r="ET360" i="36"/>
  <c r="EY362" i="36"/>
  <c r="FB476" i="36"/>
  <c r="FB467" i="36"/>
  <c r="FE563" i="36"/>
  <c r="FE214" i="36"/>
  <c r="FE545" i="36"/>
  <c r="FE9" i="36"/>
  <c r="FE251" i="36"/>
  <c r="FE241" i="36"/>
  <c r="FE249" i="36"/>
  <c r="FB351" i="36"/>
  <c r="FB344" i="36"/>
  <c r="FC343" i="36"/>
  <c r="FC351" i="36" s="1"/>
  <c r="EY53" i="35"/>
  <c r="EY19" i="35"/>
  <c r="EZ13" i="36"/>
  <c r="EZ12" i="36"/>
  <c r="FJ633" i="36"/>
  <c r="FJ629" i="36"/>
  <c r="EN520" i="36"/>
  <c r="EN519" i="36"/>
  <c r="EN524" i="36"/>
  <c r="EN522" i="36"/>
  <c r="ES519" i="36"/>
  <c r="FA53" i="35"/>
  <c r="EG534" i="36"/>
  <c r="EG535" i="36"/>
  <c r="EG533" i="36"/>
  <c r="EL534" i="36"/>
  <c r="EL535" i="36"/>
  <c r="EZ363" i="36"/>
  <c r="FE363" i="36" s="1"/>
  <c r="EV363" i="36"/>
  <c r="EU362" i="36"/>
  <c r="EX206" i="36"/>
  <c r="EW563" i="36"/>
  <c r="EW214" i="36"/>
  <c r="EW9" i="36"/>
  <c r="EW545" i="36"/>
  <c r="EW241" i="36"/>
  <c r="EW249" i="36"/>
  <c r="EW251" i="36"/>
  <c r="EX251" i="36" s="1"/>
  <c r="DU653" i="36"/>
  <c r="DU655" i="36"/>
  <c r="DY652" i="36"/>
  <c r="DU656" i="36"/>
  <c r="FG466" i="36"/>
  <c r="FG45" i="36"/>
  <c r="FG205" i="36"/>
  <c r="FJ11" i="35"/>
  <c r="FJ12" i="35" s="1"/>
  <c r="FJ43" i="36"/>
  <c r="EY31" i="36"/>
  <c r="EY34" i="36"/>
  <c r="FD16" i="35"/>
  <c r="FG351" i="36"/>
  <c r="FG344" i="36"/>
  <c r="EU54" i="36"/>
  <c r="EU55" i="36" s="1"/>
  <c r="EU15" i="36"/>
  <c r="EU570" i="36"/>
  <c r="EU576" i="36"/>
  <c r="FH204" i="36"/>
  <c r="EJ521" i="36"/>
  <c r="EO521" i="36"/>
  <c r="FA477" i="36"/>
  <c r="FA468" i="36"/>
  <c r="ET55" i="36"/>
  <c r="FD13" i="36"/>
  <c r="FD12" i="36"/>
  <c r="FA10" i="36"/>
  <c r="FA14" i="36" s="1"/>
  <c r="FA352" i="36"/>
  <c r="EN515" i="36"/>
  <c r="ES515" i="36"/>
  <c r="FJ464" i="36"/>
  <c r="FK295" i="36"/>
  <c r="FK299" i="36"/>
  <c r="FK425" i="36" s="1"/>
  <c r="FK296" i="36"/>
  <c r="EW352" i="36"/>
  <c r="EW10" i="36"/>
  <c r="EW14" i="36" s="1"/>
  <c r="EX344" i="36"/>
  <c r="EX352" i="36" s="1"/>
  <c r="FF213" i="36"/>
  <c r="FF206" i="36"/>
  <c r="FL327" i="36"/>
  <c r="FK627" i="36"/>
  <c r="FK628" i="36" s="1"/>
  <c r="EJ529" i="36"/>
  <c r="EN528" i="36"/>
  <c r="EO529" i="36"/>
  <c r="EJ530" i="36"/>
  <c r="EV252" i="36"/>
  <c r="EV27" i="36"/>
  <c r="EV253" i="36"/>
  <c r="EV470" i="36"/>
  <c r="EV478" i="36"/>
  <c r="FE477" i="36"/>
  <c r="FE468" i="36"/>
  <c r="FF351" i="36"/>
  <c r="FF344" i="36"/>
  <c r="FH343" i="36"/>
  <c r="DU59" i="36"/>
  <c r="DU58" i="35"/>
  <c r="FK656" i="36"/>
  <c r="FF14" i="35"/>
  <c r="FF15" i="35" s="1"/>
  <c r="FF16" i="35" s="1"/>
  <c r="FF18" i="35" s="1"/>
  <c r="FF46" i="36"/>
  <c r="EW477" i="36"/>
  <c r="EW468" i="36"/>
  <c r="EJ523" i="36"/>
  <c r="EO523" i="36"/>
  <c r="EW51" i="36"/>
  <c r="EW47" i="36"/>
  <c r="EZ54" i="35"/>
  <c r="FH342" i="36"/>
  <c r="EU526" i="36"/>
  <c r="EU480" i="36"/>
  <c r="FE51" i="36"/>
  <c r="FE47" i="36"/>
  <c r="FE49" i="36" s="1"/>
  <c r="FE52" i="36" s="1"/>
  <c r="EZ436" i="36"/>
  <c r="EZ432" i="36"/>
  <c r="EZ433" i="36"/>
  <c r="EZ429" i="36"/>
  <c r="FA428" i="36"/>
  <c r="FA430" i="36" s="1"/>
  <c r="FK653" i="36"/>
  <c r="FL282" i="36"/>
  <c r="FL291" i="36"/>
  <c r="EH533" i="36"/>
  <c r="EH534" i="36"/>
  <c r="EH535" i="36"/>
  <c r="EM534" i="36"/>
  <c r="EM535" i="36"/>
  <c r="FF476" i="36"/>
  <c r="FF467" i="36"/>
  <c r="EL157" i="35"/>
  <c r="EK163" i="35"/>
  <c r="EV13" i="36"/>
  <c r="EV12" i="36"/>
  <c r="EW19" i="35"/>
  <c r="EW53" i="35"/>
  <c r="EY576" i="36"/>
  <c r="EY54" i="36"/>
  <c r="EY55" i="36" s="1"/>
  <c r="EY15" i="36"/>
  <c r="EY570" i="36"/>
  <c r="FJ654" i="36"/>
  <c r="FK655" i="36"/>
  <c r="FE53" i="35"/>
  <c r="FE54" i="35" s="1"/>
  <c r="FE19" i="35"/>
  <c r="FA422" i="36"/>
  <c r="FA421" i="36"/>
  <c r="FB417" i="36"/>
  <c r="FB420" i="36" s="1"/>
  <c r="FA431" i="36"/>
  <c r="EN513" i="36"/>
  <c r="ES513" i="36"/>
  <c r="FC51" i="36"/>
  <c r="FC47" i="36"/>
  <c r="FC49" i="36" s="1"/>
  <c r="EI521" i="36"/>
  <c r="EZ27" i="36"/>
  <c r="EZ253" i="36"/>
  <c r="EZ252" i="36"/>
  <c r="EE534" i="36"/>
  <c r="EE535" i="36"/>
  <c r="EE533" i="36"/>
  <c r="EI530" i="36"/>
  <c r="ET527" i="36"/>
  <c r="EJ124" i="35"/>
  <c r="EK123" i="35" s="1"/>
  <c r="EK124" i="35" s="1"/>
  <c r="EL123" i="35" s="1"/>
  <c r="EL124" i="35" s="1"/>
  <c r="EM123" i="35" s="1"/>
  <c r="EM124" i="35" s="1"/>
  <c r="EN124" i="35" s="1"/>
  <c r="EO123" i="35" s="1"/>
  <c r="FE14" i="36"/>
  <c r="EV16" i="35"/>
  <c r="EX15" i="35"/>
  <c r="FC205" i="36"/>
  <c r="FB213" i="36"/>
  <c r="FB206" i="36"/>
  <c r="FK368" i="36"/>
  <c r="FK505" i="36"/>
  <c r="D4777" i="3"/>
  <c r="EI531" i="36"/>
  <c r="EB431" i="10"/>
  <c r="N82" i="29"/>
  <c r="O83" i="29" s="1"/>
  <c r="P84" i="29" s="1"/>
  <c r="Q85" i="29" s="1"/>
  <c r="R86" i="29" s="1"/>
  <c r="S87" i="29" s="1"/>
  <c r="T88" i="29" s="1"/>
  <c r="U89" i="29" s="1"/>
  <c r="V90" i="29" s="1"/>
  <c r="N81" i="29"/>
  <c r="O81" i="29" s="1"/>
  <c r="P81" i="29" s="1"/>
  <c r="C69" i="29"/>
  <c r="M95" i="29" s="1"/>
  <c r="EJ134" i="4"/>
  <c r="EJ1037" i="10"/>
  <c r="EB498" i="2"/>
  <c r="EB510" i="2" s="1"/>
  <c r="EU115" i="10"/>
  <c r="E3243" i="3"/>
  <c r="ED559" i="2"/>
  <c r="ED563" i="2" s="1"/>
  <c r="DZ560" i="2"/>
  <c r="EK527" i="2"/>
  <c r="EP527" i="2"/>
  <c r="I2496" i="3"/>
  <c r="I2497" i="3" s="1"/>
  <c r="D2487" i="3"/>
  <c r="E2482" i="3"/>
  <c r="EA383" i="10"/>
  <c r="J171" i="11"/>
  <c r="I192" i="11"/>
  <c r="DZ104" i="2"/>
  <c r="DZ106" i="2" s="1"/>
  <c r="DZ245" i="2" s="1"/>
  <c r="E4169" i="3"/>
  <c r="EF220" i="2"/>
  <c r="DZ83" i="2"/>
  <c r="B3105" i="3"/>
  <c r="B3110" i="3" s="1"/>
  <c r="B3112" i="3" s="1"/>
  <c r="B3149" i="3" s="1"/>
  <c r="EA360" i="2"/>
  <c r="ED360" i="2" s="1"/>
  <c r="EA378" i="2"/>
  <c r="EA433" i="10"/>
  <c r="EA376" i="2"/>
  <c r="EA374" i="2"/>
  <c r="EM367" i="2"/>
  <c r="EM368" i="2" s="1"/>
  <c r="EM370" i="2"/>
  <c r="EJ539" i="1"/>
  <c r="EN99" i="1"/>
  <c r="E4958" i="3"/>
  <c r="E4961" i="3"/>
  <c r="E4540" i="3"/>
  <c r="E4981" i="3"/>
  <c r="E4983" i="3" s="1"/>
  <c r="E4355" i="3"/>
  <c r="E4356" i="3" s="1"/>
  <c r="F4354" i="3" s="1"/>
  <c r="DY265" i="2"/>
  <c r="DZ107" i="2"/>
  <c r="DZ263" i="2" s="1"/>
  <c r="B3807" i="3"/>
  <c r="B3833" i="3" s="1"/>
  <c r="B5711" i="3"/>
  <c r="C5733" i="3" s="1"/>
  <c r="DY391" i="10"/>
  <c r="DY310" i="2"/>
  <c r="B3815" i="3"/>
  <c r="B3908" i="3" s="1"/>
  <c r="B3909" i="3" s="1"/>
  <c r="B3932" i="3" s="1"/>
  <c r="EO91" i="18"/>
  <c r="EO93" i="18" s="1"/>
  <c r="DZ341" i="10"/>
  <c r="DZ343" i="10" s="1"/>
  <c r="DW341" i="10"/>
  <c r="DW343" i="10" s="1"/>
  <c r="B4842" i="3"/>
  <c r="C4842" i="3" s="1"/>
  <c r="EA82" i="2"/>
  <c r="DY341" i="10"/>
  <c r="DY343" i="10" s="1"/>
  <c r="DV82" i="2"/>
  <c r="DW104" i="2" s="1"/>
  <c r="DW106" i="2" s="1"/>
  <c r="DW90" i="2"/>
  <c r="DX104" i="2"/>
  <c r="DX106" i="2" s="1"/>
  <c r="B118" i="29"/>
  <c r="B70" i="29"/>
  <c r="B94" i="29" s="1"/>
  <c r="B3441" i="3"/>
  <c r="B3456" i="3" s="1"/>
  <c r="D4960" i="3"/>
  <c r="D4966" i="3"/>
  <c r="DZ540" i="2"/>
  <c r="ED542" i="2"/>
  <c r="B3454" i="3"/>
  <c r="C3440" i="3"/>
  <c r="EI531" i="2"/>
  <c r="D4920" i="3"/>
  <c r="EB421" i="18"/>
  <c r="C3858" i="3"/>
  <c r="E3858" i="3" s="1"/>
  <c r="C223" i="11"/>
  <c r="DZ651" i="2"/>
  <c r="ED650" i="2"/>
  <c r="EA669" i="18"/>
  <c r="EA678" i="18" s="1"/>
  <c r="EC525" i="18"/>
  <c r="EC524" i="18"/>
  <c r="EE404" i="18"/>
  <c r="EE403" i="18" s="1"/>
  <c r="EB524" i="18"/>
  <c r="EB564" i="18" s="1"/>
  <c r="ED438" i="18"/>
  <c r="EB414" i="18"/>
  <c r="EB419" i="18" s="1"/>
  <c r="B27" i="24"/>
  <c r="B28" i="24" s="1"/>
  <c r="EC418" i="18"/>
  <c r="E31" i="25"/>
  <c r="EB417" i="18"/>
  <c r="EB437" i="18"/>
  <c r="EB440" i="18" s="1"/>
  <c r="EB418" i="18"/>
  <c r="B23" i="24"/>
  <c r="B30" i="24"/>
  <c r="B31" i="24" s="1"/>
  <c r="EB525" i="18"/>
  <c r="EB491" i="18"/>
  <c r="EC473" i="18"/>
  <c r="EC384" i="18"/>
  <c r="EC383" i="18" s="1"/>
  <c r="EC388" i="18" s="1"/>
  <c r="E4437" i="3"/>
  <c r="E4464" i="3" s="1"/>
  <c r="E5195" i="3"/>
  <c r="DZ414" i="18"/>
  <c r="DZ419" i="18" s="1"/>
  <c r="EC491" i="18"/>
  <c r="ED489" i="18"/>
  <c r="E5729" i="3"/>
  <c r="EA488" i="18"/>
  <c r="EA491" i="18" s="1"/>
  <c r="EI382" i="18"/>
  <c r="EE384" i="18"/>
  <c r="EE383" i="18" s="1"/>
  <c r="EE388" i="18" s="1"/>
  <c r="ED527" i="18"/>
  <c r="EC393" i="18"/>
  <c r="ED394" i="18"/>
  <c r="ED399" i="18" s="1"/>
  <c r="EE488" i="18"/>
  <c r="EE491" i="18" s="1"/>
  <c r="DZ550" i="18"/>
  <c r="DZ551" i="18" s="1"/>
  <c r="DZ409" i="18"/>
  <c r="DZ522" i="18"/>
  <c r="DZ491" i="18"/>
  <c r="DZ525" i="18"/>
  <c r="ED227" i="18"/>
  <c r="ED232" i="18" s="1"/>
  <c r="ED387" i="18"/>
  <c r="ED111" i="18"/>
  <c r="C4460" i="3"/>
  <c r="C4461" i="3" s="1"/>
  <c r="EC153" i="18"/>
  <c r="EA384" i="18"/>
  <c r="EA383" i="18" s="1"/>
  <c r="EA388" i="18" s="1"/>
  <c r="EF388" i="18" s="1"/>
  <c r="DZ438" i="18"/>
  <c r="EA439" i="18"/>
  <c r="DZ440" i="18"/>
  <c r="DZ439" i="18"/>
  <c r="ED661" i="18"/>
  <c r="EK233" i="2"/>
  <c r="ED108" i="18"/>
  <c r="ED113" i="18" s="1"/>
  <c r="EL367" i="2"/>
  <c r="EL368" i="2" s="1"/>
  <c r="EL370" i="2"/>
  <c r="EL232" i="2"/>
  <c r="EM232" i="2" s="1"/>
  <c r="FD184" i="4"/>
  <c r="EP425" i="10"/>
  <c r="EA153" i="18"/>
  <c r="EA32" i="18"/>
  <c r="ED107" i="18"/>
  <c r="ED112" i="18" s="1"/>
  <c r="ED149" i="18"/>
  <c r="ED141" i="18" s="1"/>
  <c r="B33" i="25" s="1"/>
  <c r="EB32" i="18"/>
  <c r="D4429" i="3"/>
  <c r="D4435" i="3" s="1"/>
  <c r="C4430" i="3"/>
  <c r="C4432" i="3" s="1"/>
  <c r="C4449" i="3" s="1"/>
  <c r="C4450" i="3" s="1"/>
  <c r="C4451" i="3" s="1"/>
  <c r="I4311" i="3"/>
  <c r="ED572" i="18"/>
  <c r="ED578" i="18" s="1"/>
  <c r="DZ18" i="4"/>
  <c r="ED18" i="4" s="1"/>
  <c r="B173" i="3" s="1"/>
  <c r="J3106" i="3"/>
  <c r="EK86" i="2"/>
  <c r="K1607" i="3" s="1"/>
  <c r="K1620" i="3" s="1"/>
  <c r="L1620" i="3" s="1"/>
  <c r="EK231" i="2"/>
  <c r="EK505" i="2"/>
  <c r="I4303" i="3"/>
  <c r="I4332" i="3" s="1"/>
  <c r="EI162" i="18"/>
  <c r="I4296" i="3"/>
  <c r="EI145" i="18"/>
  <c r="EI146" i="18" s="1"/>
  <c r="EF121" i="10"/>
  <c r="I4325" i="3"/>
  <c r="DW314" i="18"/>
  <c r="ED300" i="18"/>
  <c r="F3228" i="3"/>
  <c r="F3230" i="3" s="1"/>
  <c r="F3240" i="3" s="1"/>
  <c r="V3121" i="3" s="1"/>
  <c r="DY434" i="2"/>
  <c r="B64" i="13"/>
  <c r="ED124" i="4"/>
  <c r="B35" i="11" s="1"/>
  <c r="EI16" i="4"/>
  <c r="EF85" i="18"/>
  <c r="E3238" i="3"/>
  <c r="U3119" i="3" s="1"/>
  <c r="E3230" i="3"/>
  <c r="E3240" i="3" s="1"/>
  <c r="U3121" i="3" s="1"/>
  <c r="H4807" i="3"/>
  <c r="DW57" i="18"/>
  <c r="DW59" i="18" s="1"/>
  <c r="DW61" i="18" s="1"/>
  <c r="H4334" i="3"/>
  <c r="H4338" i="3"/>
  <c r="EE480" i="2"/>
  <c r="DY43" i="18"/>
  <c r="F4607" i="3"/>
  <c r="G4542" i="3" s="1"/>
  <c r="EE526" i="2"/>
  <c r="EE527" i="2" s="1"/>
  <c r="EL289" i="18"/>
  <c r="EJ105" i="2"/>
  <c r="EJ88" i="2"/>
  <c r="M4653" i="3"/>
  <c r="M4672" i="3" s="1"/>
  <c r="N4637" i="3"/>
  <c r="N4653" i="3" s="1"/>
  <c r="N4672" i="3" s="1"/>
  <c r="EJ231" i="2"/>
  <c r="EJ505" i="2"/>
  <c r="EI470" i="2"/>
  <c r="EI480" i="2" s="1"/>
  <c r="EA547" i="18"/>
  <c r="EI38" i="18"/>
  <c r="C10" i="24"/>
  <c r="C11" i="24" s="1"/>
  <c r="C48" i="24" s="1"/>
  <c r="DY45" i="18"/>
  <c r="DV57" i="18"/>
  <c r="DV59" i="18" s="1"/>
  <c r="DV61" i="18" s="1"/>
  <c r="DX279" i="18"/>
  <c r="EJ251" i="18"/>
  <c r="EK251" i="18" s="1"/>
  <c r="EL251" i="18" s="1"/>
  <c r="EM251" i="18" s="1"/>
  <c r="EN251" i="18" s="1"/>
  <c r="EO251" i="18" s="1"/>
  <c r="EP251" i="18" s="1"/>
  <c r="EQ251" i="18" s="1"/>
  <c r="ER251" i="18" s="1"/>
  <c r="ES251" i="18" s="1"/>
  <c r="EI252" i="18"/>
  <c r="K3379" i="3"/>
  <c r="J3382" i="3"/>
  <c r="D217" i="11"/>
  <c r="D223" i="11" s="1"/>
  <c r="B60" i="11"/>
  <c r="B90" i="11" s="1"/>
  <c r="B132" i="11" s="1"/>
  <c r="B142" i="11" s="1"/>
  <c r="B101" i="11"/>
  <c r="B74" i="11"/>
  <c r="B78" i="11"/>
  <c r="B70" i="11"/>
  <c r="G4582" i="3"/>
  <c r="G4605" i="3" s="1"/>
  <c r="G4607" i="3" s="1"/>
  <c r="EE439" i="18"/>
  <c r="EE440" i="18"/>
  <c r="EE438" i="18"/>
  <c r="C5732" i="3"/>
  <c r="D5732" i="3" s="1"/>
  <c r="E5732" i="3" s="1"/>
  <c r="F5732" i="3" s="1"/>
  <c r="EL103" i="18"/>
  <c r="EL77" i="18"/>
  <c r="EL80" i="18" s="1"/>
  <c r="EL102" i="18"/>
  <c r="H4570" i="3"/>
  <c r="H4572" i="3" s="1"/>
  <c r="H4575" i="3" s="1"/>
  <c r="H4580" i="3"/>
  <c r="H5189" i="3"/>
  <c r="H4757" i="3"/>
  <c r="H4592" i="3"/>
  <c r="H4594" i="3" s="1"/>
  <c r="H4606" i="3" s="1"/>
  <c r="EM395" i="18"/>
  <c r="H151" i="11"/>
  <c r="D4976" i="3"/>
  <c r="D4978" i="3" s="1"/>
  <c r="D5025" i="3"/>
  <c r="EF384" i="18"/>
  <c r="EF466" i="18"/>
  <c r="EF468" i="18" s="1"/>
  <c r="EF539" i="18" s="1"/>
  <c r="L4635" i="3"/>
  <c r="K4651" i="3"/>
  <c r="K4647" i="3"/>
  <c r="EL489" i="18"/>
  <c r="EL394" i="18"/>
  <c r="EL393" i="18" s="1"/>
  <c r="EN96" i="18"/>
  <c r="EM98" i="18"/>
  <c r="EM101" i="18"/>
  <c r="D58" i="11"/>
  <c r="D56" i="11"/>
  <c r="DV100" i="2"/>
  <c r="DY100" i="2" s="1"/>
  <c r="DU436" i="2"/>
  <c r="DU184" i="10"/>
  <c r="DV445" i="2"/>
  <c r="DU402" i="2"/>
  <c r="DY400" i="2"/>
  <c r="DU574" i="2"/>
  <c r="DY445" i="2"/>
  <c r="DY574" i="2"/>
  <c r="DV574" i="2"/>
  <c r="DU447" i="2"/>
  <c r="DV400" i="2"/>
  <c r="DZ101" i="2"/>
  <c r="DV434" i="2"/>
  <c r="C3977" i="3"/>
  <c r="C3978" i="3" s="1"/>
  <c r="B3978" i="3"/>
  <c r="EM118" i="18"/>
  <c r="EN123" i="18"/>
  <c r="J4670" i="3"/>
  <c r="J4663" i="3"/>
  <c r="J4682" i="3" s="1"/>
  <c r="J4565" i="3" s="1"/>
  <c r="EL397" i="18"/>
  <c r="EM392" i="18"/>
  <c r="EL396" i="18"/>
  <c r="ES259" i="18"/>
  <c r="ES44" i="18" s="1"/>
  <c r="ER44" i="18"/>
  <c r="C60" i="11"/>
  <c r="E216" i="11"/>
  <c r="E222" i="11" s="1"/>
  <c r="E206" i="11"/>
  <c r="E48" i="11"/>
  <c r="E54" i="11" s="1"/>
  <c r="ER383" i="18"/>
  <c r="I4566" i="3"/>
  <c r="I4570" i="3" s="1"/>
  <c r="I4572" i="3" s="1"/>
  <c r="I4575" i="3" s="1"/>
  <c r="F191" i="11"/>
  <c r="G170" i="11"/>
  <c r="W5747" i="3"/>
  <c r="V5741" i="3"/>
  <c r="EI88" i="2"/>
  <c r="EI342" i="10"/>
  <c r="D4933" i="3"/>
  <c r="D4934" i="3" s="1"/>
  <c r="D4420" i="3"/>
  <c r="EE650" i="2"/>
  <c r="EE651" i="2" s="1"/>
  <c r="EE653" i="2" s="1"/>
  <c r="EI631" i="2"/>
  <c r="EL374" i="18"/>
  <c r="EK379" i="18"/>
  <c r="B71" i="11"/>
  <c r="C68" i="11"/>
  <c r="C69" i="11" s="1"/>
  <c r="M5766" i="3"/>
  <c r="T5748" i="3"/>
  <c r="V5748" i="3" s="1"/>
  <c r="EC510" i="2"/>
  <c r="EC502" i="2"/>
  <c r="C5009" i="3"/>
  <c r="C5002" i="3"/>
  <c r="K25" i="29"/>
  <c r="L22" i="29"/>
  <c r="E4496" i="3"/>
  <c r="D4577" i="3"/>
  <c r="D4628" i="3"/>
  <c r="D4629" i="3" s="1"/>
  <c r="D4578" i="3"/>
  <c r="D4423" i="3"/>
  <c r="D4426" i="3" s="1"/>
  <c r="EE630" i="2"/>
  <c r="EI630" i="2" s="1"/>
  <c r="EE334" i="2"/>
  <c r="F5198" i="3"/>
  <c r="F5195" i="3"/>
  <c r="D46" i="11"/>
  <c r="D59" i="11" s="1"/>
  <c r="D50" i="11"/>
  <c r="D49" i="11"/>
  <c r="D67" i="11" s="1"/>
  <c r="E45" i="11"/>
  <c r="E47" i="11" s="1"/>
  <c r="G5187" i="3"/>
  <c r="G5193" i="3" s="1"/>
  <c r="H5186" i="3"/>
  <c r="H5188" i="3" s="1"/>
  <c r="G5190" i="3"/>
  <c r="D11" i="20"/>
  <c r="C16" i="23"/>
  <c r="EE208" i="18" s="1"/>
  <c r="L4652" i="3"/>
  <c r="L4671" i="3" s="1"/>
  <c r="M4636" i="3"/>
  <c r="EE48" i="4"/>
  <c r="EE199" i="4" s="1"/>
  <c r="EE200" i="4" s="1"/>
  <c r="EE126" i="4" s="1"/>
  <c r="EI18" i="4"/>
  <c r="C173" i="3" s="1"/>
  <c r="EE102" i="10"/>
  <c r="L126" i="11"/>
  <c r="L65" i="11"/>
  <c r="L99" i="11"/>
  <c r="L108" i="11"/>
  <c r="L110" i="11" s="1"/>
  <c r="L141" i="11"/>
  <c r="L84" i="11"/>
  <c r="M41" i="11"/>
  <c r="L53" i="11"/>
  <c r="N4640" i="3"/>
  <c r="N4656" i="3" s="1"/>
  <c r="N4675" i="3" s="1"/>
  <c r="M4656" i="3"/>
  <c r="M4675" i="3" s="1"/>
  <c r="DY161" i="10"/>
  <c r="ED609" i="2"/>
  <c r="EB63" i="2"/>
  <c r="EG64" i="2"/>
  <c r="J4324" i="3"/>
  <c r="J4325" i="3"/>
  <c r="ED540" i="1"/>
  <c r="ED67" i="4"/>
  <c r="DZ538" i="1"/>
  <c r="DZ58" i="35" s="1"/>
  <c r="EP339" i="18"/>
  <c r="EO58" i="18"/>
  <c r="K42" i="21"/>
  <c r="N45" i="21"/>
  <c r="O46" i="21"/>
  <c r="P47" i="21"/>
  <c r="Q48" i="21"/>
  <c r="L43" i="21"/>
  <c r="M44" i="21"/>
  <c r="J41" i="21"/>
  <c r="J85" i="21" s="1"/>
  <c r="EH164" i="4"/>
  <c r="EI164" i="4" s="1"/>
  <c r="EI165" i="4" s="1"/>
  <c r="EI163" i="4"/>
  <c r="DY648" i="2"/>
  <c r="DU651" i="2"/>
  <c r="H4340" i="3"/>
  <c r="H4336" i="3"/>
  <c r="H87" i="22"/>
  <c r="H4820" i="3"/>
  <c r="H4337" i="3"/>
  <c r="H4341" i="3"/>
  <c r="H4345" i="3"/>
  <c r="H4344" i="3" s="1"/>
  <c r="I4338" i="3"/>
  <c r="I4333" i="3"/>
  <c r="I4334" i="3"/>
  <c r="I4807" i="3"/>
  <c r="AD5745" i="3"/>
  <c r="AF5745" i="3" s="1"/>
  <c r="U5763" i="3"/>
  <c r="DY333" i="2"/>
  <c r="ED334" i="2" s="1"/>
  <c r="F4498" i="3"/>
  <c r="F4559" i="3"/>
  <c r="EF64" i="2"/>
  <c r="EA63" i="2"/>
  <c r="DW569" i="18"/>
  <c r="DW556" i="18"/>
  <c r="C5557" i="3"/>
  <c r="C5563" i="3"/>
  <c r="ED660" i="18"/>
  <c r="EG86" i="18"/>
  <c r="G3383" i="3"/>
  <c r="G3384" i="3" s="1"/>
  <c r="DY54" i="18"/>
  <c r="DY55" i="18" s="1"/>
  <c r="DU55" i="18"/>
  <c r="DU57" i="18" s="1"/>
  <c r="EH462" i="18"/>
  <c r="EH459" i="18"/>
  <c r="EI459" i="18" s="1"/>
  <c r="EI457" i="18"/>
  <c r="EH458" i="18"/>
  <c r="EH538" i="18"/>
  <c r="EI538" i="18" s="1"/>
  <c r="EI67" i="4"/>
  <c r="EH538" i="1"/>
  <c r="EH58" i="35" s="1"/>
  <c r="EI540" i="1"/>
  <c r="EJ121" i="18"/>
  <c r="EJ125" i="18"/>
  <c r="EK117" i="18"/>
  <c r="EJ122" i="18"/>
  <c r="ED192" i="18"/>
  <c r="EE191" i="18"/>
  <c r="EG430" i="18"/>
  <c r="EF425" i="18"/>
  <c r="E4140" i="3"/>
  <c r="E4161" i="3" s="1"/>
  <c r="E4157" i="3"/>
  <c r="B4981" i="3"/>
  <c r="B4983" i="3" s="1"/>
  <c r="B4985" i="3" s="1"/>
  <c r="B4346" i="3"/>
  <c r="G209" i="11"/>
  <c r="M4658" i="3"/>
  <c r="M4677" i="3" s="1"/>
  <c r="N4642" i="3"/>
  <c r="N4658" i="3" s="1"/>
  <c r="N4677" i="3" s="1"/>
  <c r="K42" i="20"/>
  <c r="L43" i="20"/>
  <c r="K29" i="20"/>
  <c r="L28" i="20" s="1"/>
  <c r="N45" i="20"/>
  <c r="T51" i="20"/>
  <c r="R49" i="20"/>
  <c r="V53" i="20"/>
  <c r="U52" i="20"/>
  <c r="J41" i="20"/>
  <c r="J85" i="20" s="1"/>
  <c r="W54" i="20"/>
  <c r="S50" i="20"/>
  <c r="Y56" i="20"/>
  <c r="X55" i="20"/>
  <c r="Z57" i="20"/>
  <c r="AA58" i="20"/>
  <c r="AB59" i="20"/>
  <c r="AC60" i="20"/>
  <c r="Q48" i="20"/>
  <c r="O46" i="20"/>
  <c r="M44" i="20"/>
  <c r="P47" i="20"/>
  <c r="B4133" i="3"/>
  <c r="B4137" i="3" s="1"/>
  <c r="B4158" i="3" s="1"/>
  <c r="EA312" i="18"/>
  <c r="EA54" i="18"/>
  <c r="EA55" i="18" s="1"/>
  <c r="EH221" i="18"/>
  <c r="E8" i="20"/>
  <c r="E13" i="23" s="1"/>
  <c r="F26" i="20"/>
  <c r="E86" i="20"/>
  <c r="EG527" i="2"/>
  <c r="EH93" i="4"/>
  <c r="EI93" i="4" s="1"/>
  <c r="EI91" i="4"/>
  <c r="EI195" i="18"/>
  <c r="EH197" i="18"/>
  <c r="EH83" i="18"/>
  <c r="F4140" i="3"/>
  <c r="F4161" i="3" s="1"/>
  <c r="F4157" i="3"/>
  <c r="D4546" i="3"/>
  <c r="D4547" i="3" s="1"/>
  <c r="E4539" i="3" s="1"/>
  <c r="E4545" i="3" s="1"/>
  <c r="C132" i="6"/>
  <c r="ED307" i="18"/>
  <c r="DZ312" i="18"/>
  <c r="DZ54" i="18"/>
  <c r="H26" i="29"/>
  <c r="H27" i="29" s="1"/>
  <c r="DY133" i="4"/>
  <c r="I4351" i="3"/>
  <c r="H4349" i="3"/>
  <c r="H4974" i="3" s="1"/>
  <c r="H4976" i="3" s="1"/>
  <c r="K43" i="22"/>
  <c r="J42" i="22"/>
  <c r="J29" i="22"/>
  <c r="K28" i="22" s="1"/>
  <c r="N46" i="22"/>
  <c r="P48" i="22"/>
  <c r="L44" i="22"/>
  <c r="M45" i="22"/>
  <c r="I41" i="22"/>
  <c r="I85" i="22" s="1"/>
  <c r="O47" i="22"/>
  <c r="DZ43" i="18"/>
  <c r="DZ260" i="18"/>
  <c r="EP460" i="18"/>
  <c r="EO455" i="18"/>
  <c r="EK73" i="18"/>
  <c r="EJ79" i="18"/>
  <c r="EJ78" i="18" s="1"/>
  <c r="EJ74" i="18"/>
  <c r="G230" i="24"/>
  <c r="H229" i="24"/>
  <c r="EJ37" i="18"/>
  <c r="EK159" i="18"/>
  <c r="EJ85" i="4"/>
  <c r="EJ89" i="4"/>
  <c r="EG372" i="18"/>
  <c r="EF373" i="18"/>
  <c r="B4172" i="3"/>
  <c r="EH191" i="18"/>
  <c r="EH192" i="18"/>
  <c r="EI190" i="18"/>
  <c r="EI192" i="18" s="1"/>
  <c r="EH200" i="18"/>
  <c r="EC201" i="18"/>
  <c r="EC667" i="18"/>
  <c r="ED667" i="18" s="1"/>
  <c r="EC302" i="18"/>
  <c r="ED200" i="18"/>
  <c r="EC223" i="18"/>
  <c r="EC202" i="18"/>
  <c r="EC84" i="18"/>
  <c r="EC244" i="18"/>
  <c r="ED221" i="18"/>
  <c r="F215" i="11"/>
  <c r="G221" i="11"/>
  <c r="ES637" i="2"/>
  <c r="F4771" i="3"/>
  <c r="F4952" i="3"/>
  <c r="EF309" i="18"/>
  <c r="EF307" i="18"/>
  <c r="EG286" i="18"/>
  <c r="EI284" i="18"/>
  <c r="EI289" i="18" s="1"/>
  <c r="S5763" i="3"/>
  <c r="E8" i="22"/>
  <c r="F26" i="22"/>
  <c r="E86" i="22"/>
  <c r="DV552" i="18"/>
  <c r="DV585" i="18"/>
  <c r="DV589" i="18" s="1"/>
  <c r="DV567" i="18"/>
  <c r="G3369" i="3"/>
  <c r="G3370" i="3" s="1"/>
  <c r="ES371" i="18"/>
  <c r="ES383" i="18" s="1"/>
  <c r="ED152" i="18"/>
  <c r="B4182" i="3"/>
  <c r="ED244" i="18"/>
  <c r="N4639" i="3"/>
  <c r="N4655" i="3" s="1"/>
  <c r="N4674" i="3" s="1"/>
  <c r="M4655" i="3"/>
  <c r="M4674" i="3" s="1"/>
  <c r="EA651" i="2"/>
  <c r="D4138" i="3"/>
  <c r="D4159" i="3" s="1"/>
  <c r="D4136" i="3"/>
  <c r="D4139" i="3"/>
  <c r="D4160" i="3" s="1"/>
  <c r="N4638" i="3"/>
  <c r="N4654" i="3" s="1"/>
  <c r="N4673" i="3" s="1"/>
  <c r="M4654" i="3"/>
  <c r="M4673" i="3" s="1"/>
  <c r="DW654" i="2"/>
  <c r="DW652" i="2"/>
  <c r="DW655" i="2"/>
  <c r="I87" i="21"/>
  <c r="EE309" i="18"/>
  <c r="EE307" i="18"/>
  <c r="E178" i="19"/>
  <c r="EI122" i="10"/>
  <c r="D4984" i="3"/>
  <c r="D4985" i="3" s="1"/>
  <c r="C34" i="11"/>
  <c r="EF430" i="10"/>
  <c r="EF356" i="2"/>
  <c r="EF372" i="2"/>
  <c r="EE55" i="2"/>
  <c r="DZ62" i="2"/>
  <c r="ED54" i="2"/>
  <c r="EI55" i="2" s="1"/>
  <c r="DY360" i="18"/>
  <c r="EC664" i="18"/>
  <c r="EB54" i="18"/>
  <c r="EB55" i="18" s="1"/>
  <c r="EB312" i="18"/>
  <c r="DW653" i="2"/>
  <c r="ED237" i="2"/>
  <c r="ED241" i="2"/>
  <c r="ED385" i="10"/>
  <c r="ED239" i="2"/>
  <c r="EN157" i="4"/>
  <c r="EA403" i="18"/>
  <c r="ED526" i="2"/>
  <c r="F26" i="21"/>
  <c r="E8" i="21"/>
  <c r="E86" i="21"/>
  <c r="EA49" i="4"/>
  <c r="EA103" i="10"/>
  <c r="EA205" i="4"/>
  <c r="EA50" i="4"/>
  <c r="EF50" i="4"/>
  <c r="T5763" i="3"/>
  <c r="EG134" i="18"/>
  <c r="EF129" i="18"/>
  <c r="DY554" i="18"/>
  <c r="F4540" i="3"/>
  <c r="F4981" i="3"/>
  <c r="F4983" i="3" s="1"/>
  <c r="F4355" i="3"/>
  <c r="G4947" i="3"/>
  <c r="EX638" i="36" s="1"/>
  <c r="G4950" i="3"/>
  <c r="EC312" i="18"/>
  <c r="EC54" i="18"/>
  <c r="EC55" i="18" s="1"/>
  <c r="J4323" i="3"/>
  <c r="J4327" i="3" s="1"/>
  <c r="J4296" i="3"/>
  <c r="I4328" i="3"/>
  <c r="I4343" i="3"/>
  <c r="EE544" i="18"/>
  <c r="EE561" i="18" s="1"/>
  <c r="DZ561" i="18"/>
  <c r="O5764" i="3"/>
  <c r="EE68" i="4"/>
  <c r="EE62" i="4"/>
  <c r="F4964" i="3"/>
  <c r="F4958" i="3"/>
  <c r="F4961" i="3"/>
  <c r="G4492" i="3"/>
  <c r="K4319" i="3"/>
  <c r="K4299" i="3"/>
  <c r="L4286" i="3"/>
  <c r="K4290" i="3"/>
  <c r="ED543" i="1"/>
  <c r="DZ360" i="18"/>
  <c r="ED122" i="10"/>
  <c r="C4984" i="3"/>
  <c r="B34" i="11"/>
  <c r="C4350" i="3"/>
  <c r="H4489" i="3"/>
  <c r="H4945" i="3"/>
  <c r="EA228" i="18"/>
  <c r="EA229" i="18" s="1"/>
  <c r="Q5764" i="3"/>
  <c r="Y5746" i="3"/>
  <c r="AA5746" i="3" s="1"/>
  <c r="EH244" i="18"/>
  <c r="C4133" i="3"/>
  <c r="DY662" i="18"/>
  <c r="ED433" i="10"/>
  <c r="ED378" i="2"/>
  <c r="ED376" i="2"/>
  <c r="DU562" i="18"/>
  <c r="DU571" i="18"/>
  <c r="L4321" i="3"/>
  <c r="L4301" i="3"/>
  <c r="M4288" i="3"/>
  <c r="N4641" i="3"/>
  <c r="N4657" i="3" s="1"/>
  <c r="N4676" i="3" s="1"/>
  <c r="M4657" i="3"/>
  <c r="M4676" i="3" s="1"/>
  <c r="P5764" i="3"/>
  <c r="DU545" i="1"/>
  <c r="DU45" i="35" s="1"/>
  <c r="DU58" i="4"/>
  <c r="DY538" i="1"/>
  <c r="DU59" i="2"/>
  <c r="J4330" i="3"/>
  <c r="J4311" i="3"/>
  <c r="J4303" i="3"/>
  <c r="DZ44" i="4"/>
  <c r="ED544" i="1"/>
  <c r="DZ361" i="18"/>
  <c r="ED361" i="18" s="1"/>
  <c r="DZ114" i="10"/>
  <c r="DZ123" i="10" s="1"/>
  <c r="ED134" i="4"/>
  <c r="ED133" i="4" s="1"/>
  <c r="DY44" i="4"/>
  <c r="L81" i="11"/>
  <c r="M76" i="11"/>
  <c r="EH114" i="10"/>
  <c r="EH123" i="10" s="1"/>
  <c r="EI134" i="4"/>
  <c r="EI133" i="4" s="1"/>
  <c r="ED131" i="10"/>
  <c r="EI52" i="2"/>
  <c r="DV651" i="2"/>
  <c r="DV653" i="2" s="1"/>
  <c r="EC221" i="18"/>
  <c r="E4167" i="3"/>
  <c r="D4186" i="3"/>
  <c r="D4188" i="3" s="1"/>
  <c r="D4170" i="3"/>
  <c r="C4170" i="3" s="1"/>
  <c r="C4172" i="3" s="1"/>
  <c r="G4350" i="3"/>
  <c r="G4495" i="3"/>
  <c r="G4362" i="3"/>
  <c r="G4364" i="3" s="1"/>
  <c r="G4956" i="3"/>
  <c r="EE217" i="2"/>
  <c r="EE220" i="2"/>
  <c r="EF218" i="2"/>
  <c r="EF382" i="10"/>
  <c r="EF235" i="2"/>
  <c r="M4550" i="3"/>
  <c r="DZ498" i="2"/>
  <c r="DZ227" i="2"/>
  <c r="DZ383" i="10"/>
  <c r="ED222" i="2"/>
  <c r="C4336" i="3"/>
  <c r="C4340" i="3"/>
  <c r="D4340" i="3"/>
  <c r="K28" i="21"/>
  <c r="DZ431" i="10"/>
  <c r="F18" i="29"/>
  <c r="G10" i="29"/>
  <c r="B4199" i="3"/>
  <c r="B4201" i="3" s="1"/>
  <c r="EE355" i="2"/>
  <c r="EE358" i="2"/>
  <c r="L4320" i="3"/>
  <c r="L4300" i="3"/>
  <c r="M4287" i="3"/>
  <c r="N193" i="11"/>
  <c r="O172" i="11"/>
  <c r="O194" i="11"/>
  <c r="P173" i="11"/>
  <c r="P194" i="11" s="1"/>
  <c r="C4920" i="3" l="1"/>
  <c r="C4921" i="3" s="1"/>
  <c r="D4970" i="3"/>
  <c r="EG295" i="18"/>
  <c r="D4963" i="3"/>
  <c r="C4963" i="3"/>
  <c r="C4777" i="3"/>
  <c r="D4950" i="3"/>
  <c r="C4950" i="3"/>
  <c r="C4960" i="3"/>
  <c r="C4499" i="3"/>
  <c r="D4493" i="3"/>
  <c r="EG239" i="18"/>
  <c r="DW120" i="2"/>
  <c r="EG667" i="18"/>
  <c r="EG202" i="18"/>
  <c r="EG216" i="18"/>
  <c r="EG218" i="18" s="1"/>
  <c r="EB87" i="18"/>
  <c r="EB669" i="18"/>
  <c r="EB677" i="18" s="1"/>
  <c r="EG201" i="18"/>
  <c r="EG84" i="18"/>
  <c r="EG87" i="18" s="1"/>
  <c r="ED201" i="18"/>
  <c r="ED95" i="2"/>
  <c r="ED392" i="10" s="1"/>
  <c r="FK347" i="36"/>
  <c r="DZ160" i="2"/>
  <c r="B1649" i="3" s="1"/>
  <c r="B1631" i="3" s="1"/>
  <c r="B1652" i="3" s="1"/>
  <c r="L1616" i="3"/>
  <c r="K1636" i="3"/>
  <c r="M1620" i="3"/>
  <c r="EA149" i="2"/>
  <c r="EA160" i="2" s="1"/>
  <c r="C1649" i="3" s="1"/>
  <c r="C1606" i="3"/>
  <c r="C1608" i="3" s="1"/>
  <c r="L1618" i="3"/>
  <c r="M1619" i="3"/>
  <c r="L1615" i="3"/>
  <c r="K1635" i="3"/>
  <c r="N1611" i="3"/>
  <c r="M1631" i="3"/>
  <c r="M1612" i="3"/>
  <c r="L1632" i="3"/>
  <c r="N1614" i="3"/>
  <c r="M1634" i="3"/>
  <c r="L1617" i="3"/>
  <c r="K1637" i="3"/>
  <c r="L1613" i="3"/>
  <c r="K1633" i="3"/>
  <c r="FJ473" i="36"/>
  <c r="FK340" i="36"/>
  <c r="FK348" i="36" s="1"/>
  <c r="FJ348" i="36"/>
  <c r="FK42" i="36"/>
  <c r="FK11" i="35" s="1"/>
  <c r="FK12" i="35" s="1"/>
  <c r="FI464" i="36"/>
  <c r="FJ474" i="36" s="1"/>
  <c r="FH351" i="36"/>
  <c r="EN133" i="35"/>
  <c r="FC206" i="36"/>
  <c r="FB563" i="36"/>
  <c r="FB9" i="36"/>
  <c r="FB545" i="36"/>
  <c r="FB214" i="36"/>
  <c r="FB251" i="36"/>
  <c r="FB241" i="36"/>
  <c r="FB249" i="36"/>
  <c r="FL419" i="36"/>
  <c r="FL293" i="36"/>
  <c r="FL298" i="36" s="1"/>
  <c r="FL424" i="36" s="1"/>
  <c r="EW49" i="36"/>
  <c r="EX47" i="36"/>
  <c r="EX253" i="36"/>
  <c r="EX252" i="36"/>
  <c r="FK633" i="36"/>
  <c r="FK629" i="36"/>
  <c r="DY653" i="36"/>
  <c r="DY656" i="36"/>
  <c r="DY655" i="36"/>
  <c r="DY654" i="36"/>
  <c r="FD526" i="36"/>
  <c r="FD480" i="36"/>
  <c r="DY45" i="35"/>
  <c r="DU46" i="35"/>
  <c r="EW54" i="35"/>
  <c r="FL656" i="36"/>
  <c r="FE478" i="36"/>
  <c r="FE470" i="36"/>
  <c r="FM327" i="36"/>
  <c r="FM627" i="36" s="1"/>
  <c r="FM628" i="36" s="1"/>
  <c r="FL627" i="36"/>
  <c r="FL628" i="36" s="1"/>
  <c r="EN521" i="36"/>
  <c r="ES521" i="36"/>
  <c r="FE27" i="36"/>
  <c r="FE252" i="36"/>
  <c r="FE253" i="36"/>
  <c r="EY360" i="36"/>
  <c r="FD362" i="36"/>
  <c r="FD360" i="36" s="1"/>
  <c r="EZ480" i="36"/>
  <c r="EZ526" i="36"/>
  <c r="FB51" i="36"/>
  <c r="FB47" i="36"/>
  <c r="FB49" i="36" s="1"/>
  <c r="EX652" i="36"/>
  <c r="EX644" i="36"/>
  <c r="EX611" i="36"/>
  <c r="EX612" i="36" s="1"/>
  <c r="EX635" i="36"/>
  <c r="FC213" i="36"/>
  <c r="FC634" i="36"/>
  <c r="FL655" i="36"/>
  <c r="FK654" i="36"/>
  <c r="FL653" i="36"/>
  <c r="DY58" i="35"/>
  <c r="DU59" i="35"/>
  <c r="EV34" i="36"/>
  <c r="EV31" i="36"/>
  <c r="FF563" i="36"/>
  <c r="FF214" i="36"/>
  <c r="FF545" i="36"/>
  <c r="FF9" i="36"/>
  <c r="FF13" i="36" s="1"/>
  <c r="FF251" i="36"/>
  <c r="FF241" i="36"/>
  <c r="FF249" i="36"/>
  <c r="FA478" i="36"/>
  <c r="FA470" i="36"/>
  <c r="FJ50" i="36"/>
  <c r="EX563" i="36"/>
  <c r="EX214" i="36"/>
  <c r="EX545" i="36"/>
  <c r="EX241" i="36"/>
  <c r="EX249" i="36"/>
  <c r="EY54" i="35"/>
  <c r="FE13" i="36"/>
  <c r="FE12" i="36"/>
  <c r="ET372" i="36"/>
  <c r="ET364" i="36"/>
  <c r="ET365" i="36" s="1"/>
  <c r="ET361" i="36"/>
  <c r="ET498" i="36"/>
  <c r="FC15" i="35"/>
  <c r="FB16" i="35"/>
  <c r="ES123" i="35"/>
  <c r="EO124" i="35"/>
  <c r="EP123" i="35" s="1"/>
  <c r="EP124" i="35" s="1"/>
  <c r="EQ123" i="35" s="1"/>
  <c r="EQ124" i="35" s="1"/>
  <c r="ER123" i="35" s="1"/>
  <c r="ER124" i="35" s="1"/>
  <c r="ES124" i="35" s="1"/>
  <c r="FA429" i="36"/>
  <c r="FA434" i="36" s="1"/>
  <c r="FB428" i="36"/>
  <c r="FB430" i="36" s="1"/>
  <c r="FC430" i="36" s="1"/>
  <c r="FC435" i="36" s="1"/>
  <c r="FA433" i="36"/>
  <c r="FA432" i="36"/>
  <c r="FA436" i="36"/>
  <c r="EV54" i="36"/>
  <c r="EV55" i="36" s="1"/>
  <c r="EV15" i="36"/>
  <c r="EV570" i="36"/>
  <c r="EV576" i="36"/>
  <c r="EU527" i="36"/>
  <c r="DY59" i="36"/>
  <c r="DU60" i="36"/>
  <c r="EW253" i="36"/>
  <c r="EW252" i="36"/>
  <c r="EW27" i="36"/>
  <c r="EU360" i="36"/>
  <c r="EZ362" i="36"/>
  <c r="FJ643" i="36"/>
  <c r="FN633" i="36"/>
  <c r="FI50" i="36"/>
  <c r="EI532" i="36"/>
  <c r="EZ31" i="36"/>
  <c r="EZ34" i="36"/>
  <c r="FC420" i="36"/>
  <c r="FB421" i="36"/>
  <c r="FB422" i="36"/>
  <c r="FC422" i="36" s="1"/>
  <c r="FB431" i="36"/>
  <c r="EZ434" i="36"/>
  <c r="FH350" i="36"/>
  <c r="FI350" i="36" s="1"/>
  <c r="FJ350" i="36" s="1"/>
  <c r="FK350" i="36" s="1"/>
  <c r="FL350" i="36" s="1"/>
  <c r="FM350" i="36" s="1"/>
  <c r="EX468" i="36"/>
  <c r="EX478" i="36" s="1"/>
  <c r="EW478" i="36"/>
  <c r="EW470" i="36"/>
  <c r="EX470" i="36" s="1"/>
  <c r="EX480" i="36" s="1"/>
  <c r="EJ534" i="36"/>
  <c r="EJ535" i="36"/>
  <c r="EJ533" i="36"/>
  <c r="EN530" i="36"/>
  <c r="EO534" i="36"/>
  <c r="EO535" i="36"/>
  <c r="FG10" i="36"/>
  <c r="FG352" i="36"/>
  <c r="FG206" i="36"/>
  <c r="FH206" i="36" s="1"/>
  <c r="FG213" i="36"/>
  <c r="FA363" i="36"/>
  <c r="FF363" i="36" s="1"/>
  <c r="EW363" i="36"/>
  <c r="EV362" i="36"/>
  <c r="FC14" i="35"/>
  <c r="EK164" i="35"/>
  <c r="FG14" i="35"/>
  <c r="FG46" i="36"/>
  <c r="FC344" i="36"/>
  <c r="FB352" i="36"/>
  <c r="FB10" i="36"/>
  <c r="FA27" i="36"/>
  <c r="FA253" i="36"/>
  <c r="FA252" i="36"/>
  <c r="FD31" i="36"/>
  <c r="FD34" i="36"/>
  <c r="FK473" i="36"/>
  <c r="FK464" i="36"/>
  <c r="EH59" i="35"/>
  <c r="EI58" i="35"/>
  <c r="FK506" i="36"/>
  <c r="FK507" i="36"/>
  <c r="FK508" i="36" s="1"/>
  <c r="EV18" i="35"/>
  <c r="EX16" i="35"/>
  <c r="EI534" i="36"/>
  <c r="EI533" i="36"/>
  <c r="EI535" i="36"/>
  <c r="EL159" i="35"/>
  <c r="EL160" i="35" s="1"/>
  <c r="FF51" i="36"/>
  <c r="FF47" i="36"/>
  <c r="FF49" i="36" s="1"/>
  <c r="FF52" i="36" s="1"/>
  <c r="EN529" i="36"/>
  <c r="ES529" i="36"/>
  <c r="FD54" i="36"/>
  <c r="FD15" i="36"/>
  <c r="FH45" i="36"/>
  <c r="FH46" i="36" s="1"/>
  <c r="FH212" i="36"/>
  <c r="FI212" i="36" s="1"/>
  <c r="FJ212" i="36" s="1"/>
  <c r="FK212" i="36" s="1"/>
  <c r="FL212" i="36" s="1"/>
  <c r="FM212" i="36" s="1"/>
  <c r="FD18" i="35"/>
  <c r="FH466" i="36"/>
  <c r="FH476" i="36" s="1"/>
  <c r="FG476" i="36"/>
  <c r="FG467" i="36"/>
  <c r="FH467" i="36" s="1"/>
  <c r="EN523" i="36"/>
  <c r="ES523" i="36"/>
  <c r="EZ54" i="36"/>
  <c r="EZ55" i="36" s="1"/>
  <c r="EZ15" i="36"/>
  <c r="EZ570" i="36"/>
  <c r="EZ576" i="36"/>
  <c r="FB477" i="36"/>
  <c r="FB468" i="36"/>
  <c r="FC467" i="36"/>
  <c r="FC477" i="36" s="1"/>
  <c r="EY527" i="36"/>
  <c r="ED58" i="35"/>
  <c r="DZ59" i="35"/>
  <c r="FH205" i="36"/>
  <c r="FF477" i="36"/>
  <c r="FF468" i="36"/>
  <c r="FL283" i="36"/>
  <c r="FF19" i="35"/>
  <c r="FF53" i="35"/>
  <c r="FF54" i="35" s="1"/>
  <c r="FF10" i="36"/>
  <c r="FF352" i="36"/>
  <c r="FH344" i="36"/>
  <c r="EV526" i="36"/>
  <c r="EV527" i="36" s="1"/>
  <c r="EV480" i="36"/>
  <c r="EX9" i="36"/>
  <c r="EW12" i="36"/>
  <c r="EW13" i="36"/>
  <c r="EX10" i="36"/>
  <c r="EX14" i="36" s="1"/>
  <c r="FA12" i="36"/>
  <c r="FA13" i="36"/>
  <c r="H95" i="29"/>
  <c r="G95" i="29"/>
  <c r="L95" i="29"/>
  <c r="I95" i="29"/>
  <c r="E95" i="29"/>
  <c r="E94" i="29" s="1"/>
  <c r="E70" i="29" s="1"/>
  <c r="D95" i="29"/>
  <c r="D94" i="29" s="1"/>
  <c r="D70" i="29" s="1"/>
  <c r="F95" i="29"/>
  <c r="C95" i="29"/>
  <c r="C94" i="29" s="1"/>
  <c r="C70" i="29" s="1"/>
  <c r="N95" i="29"/>
  <c r="J95" i="29"/>
  <c r="K95" i="29"/>
  <c r="O95" i="29"/>
  <c r="P95" i="29"/>
  <c r="Q95" i="29"/>
  <c r="R95" i="29"/>
  <c r="S95" i="29"/>
  <c r="T95" i="29"/>
  <c r="U95" i="29"/>
  <c r="V95" i="29"/>
  <c r="EB502" i="2"/>
  <c r="EX185" i="4"/>
  <c r="EX182" i="4"/>
  <c r="EY182" i="4" s="1"/>
  <c r="EV115" i="10"/>
  <c r="EW115" i="10"/>
  <c r="ED560" i="2"/>
  <c r="ED562" i="2"/>
  <c r="E2484" i="3"/>
  <c r="E2504" i="3" s="1"/>
  <c r="E2505" i="3" s="1"/>
  <c r="DZ129" i="2"/>
  <c r="DU129" i="2" s="1"/>
  <c r="DZ174" i="2"/>
  <c r="DZ141" i="2"/>
  <c r="DZ224" i="2"/>
  <c r="DZ118" i="2"/>
  <c r="B3118" i="3"/>
  <c r="B3119" i="3" s="1"/>
  <c r="K171" i="11"/>
  <c r="J192" i="11"/>
  <c r="C101" i="11"/>
  <c r="C143" i="11" s="1"/>
  <c r="C79" i="11"/>
  <c r="C78" i="11" s="1"/>
  <c r="C70" i="11"/>
  <c r="E4966" i="3"/>
  <c r="E4970" i="3" s="1"/>
  <c r="EP105" i="10"/>
  <c r="EA104" i="2"/>
  <c r="EA106" i="2" s="1"/>
  <c r="EA174" i="2" s="1"/>
  <c r="B3107" i="3"/>
  <c r="EM230" i="2"/>
  <c r="EM233" i="2"/>
  <c r="EA362" i="2"/>
  <c r="EA431" i="10"/>
  <c r="EA498" i="2"/>
  <c r="ED498" i="2" s="1"/>
  <c r="EJ540" i="1"/>
  <c r="EN539" i="1"/>
  <c r="E4777" i="3"/>
  <c r="E4963" i="3"/>
  <c r="E4920" i="3"/>
  <c r="DZ362" i="2"/>
  <c r="DZ297" i="2"/>
  <c r="DZ423" i="2" s="1"/>
  <c r="EP91" i="18"/>
  <c r="EP93" i="18" s="1"/>
  <c r="DZ274" i="2"/>
  <c r="DU274" i="2" s="1"/>
  <c r="DZ286" i="2"/>
  <c r="ED107" i="2"/>
  <c r="ED286" i="2" s="1"/>
  <c r="B3917" i="3"/>
  <c r="B3918" i="3" s="1"/>
  <c r="B3808" i="3"/>
  <c r="B3824" i="3" s="1"/>
  <c r="DZ374" i="2"/>
  <c r="DZ308" i="2"/>
  <c r="DZ108" i="2"/>
  <c r="DZ76" i="2" s="1"/>
  <c r="B4854" i="3"/>
  <c r="DZ382" i="2"/>
  <c r="EE383" i="2" s="1"/>
  <c r="EA84" i="2"/>
  <c r="DZ299" i="2"/>
  <c r="DZ425" i="2" s="1"/>
  <c r="B3816" i="3"/>
  <c r="B3884" i="3" s="1"/>
  <c r="B4844" i="3"/>
  <c r="B4856" i="3" s="1"/>
  <c r="B5712" i="3"/>
  <c r="EB82" i="2"/>
  <c r="C3105" i="3"/>
  <c r="C3110" i="3" s="1"/>
  <c r="C3112" i="3" s="1"/>
  <c r="C3149" i="3" s="1"/>
  <c r="EA341" i="10"/>
  <c r="EA343" i="10" s="1"/>
  <c r="EA83" i="2"/>
  <c r="DU82" i="2"/>
  <c r="DV83" i="2" s="1"/>
  <c r="DV91" i="2" s="1"/>
  <c r="DV344" i="10" s="1"/>
  <c r="DW141" i="2"/>
  <c r="DW174" i="2"/>
  <c r="DW118" i="2"/>
  <c r="DV90" i="2"/>
  <c r="DX542" i="2"/>
  <c r="DX540" i="2" s="1"/>
  <c r="DX541" i="2" s="1"/>
  <c r="DW185" i="10"/>
  <c r="DV341" i="10"/>
  <c r="DV343" i="10" s="1"/>
  <c r="DW83" i="2"/>
  <c r="DW91" i="2" s="1"/>
  <c r="DW344" i="10" s="1"/>
  <c r="DW94" i="2"/>
  <c r="DW143" i="2"/>
  <c r="DX141" i="2"/>
  <c r="DX118" i="2"/>
  <c r="DX174" i="2"/>
  <c r="DW176" i="2"/>
  <c r="G3457" i="3"/>
  <c r="G3456" i="3" s="1"/>
  <c r="G3441" i="3" s="1"/>
  <c r="I3457" i="3"/>
  <c r="J3457" i="3"/>
  <c r="K3457" i="3"/>
  <c r="N3457" i="3"/>
  <c r="H3457" i="3"/>
  <c r="H3456" i="3" s="1"/>
  <c r="H3441" i="3" s="1"/>
  <c r="F3457" i="3"/>
  <c r="F3456" i="3" s="1"/>
  <c r="F3441" i="3" s="1"/>
  <c r="L3457" i="3"/>
  <c r="M3457" i="3"/>
  <c r="D3457" i="3"/>
  <c r="D3456" i="3" s="1"/>
  <c r="D3441" i="3" s="1"/>
  <c r="C3457" i="3"/>
  <c r="C3456" i="3" s="1"/>
  <c r="C3441" i="3" s="1"/>
  <c r="E3457" i="3"/>
  <c r="E3456" i="3" s="1"/>
  <c r="E3441" i="3" s="1"/>
  <c r="DZ541" i="2"/>
  <c r="ED540" i="2"/>
  <c r="DZ545" i="2"/>
  <c r="DZ565" i="2"/>
  <c r="EC531" i="18"/>
  <c r="EC532" i="18" s="1"/>
  <c r="EB415" i="18"/>
  <c r="EB420" i="18" s="1"/>
  <c r="EB483" i="18" s="1"/>
  <c r="EB478" i="18" s="1"/>
  <c r="EB477" i="18" s="1"/>
  <c r="EB482" i="18" s="1"/>
  <c r="EC526" i="18"/>
  <c r="EC571" i="18" s="1"/>
  <c r="EC573" i="18" s="1"/>
  <c r="EB438" i="18"/>
  <c r="EC564" i="18"/>
  <c r="EC586" i="18" s="1"/>
  <c r="EB439" i="18"/>
  <c r="EB531" i="18"/>
  <c r="EB599" i="18" s="1"/>
  <c r="EB526" i="18"/>
  <c r="EB571" i="18" s="1"/>
  <c r="EB577" i="18" s="1"/>
  <c r="EA677" i="18"/>
  <c r="EA325" i="18" s="1"/>
  <c r="EA687" i="18"/>
  <c r="EA696" i="18" s="1"/>
  <c r="DZ653" i="2"/>
  <c r="DZ654" i="2"/>
  <c r="DZ655" i="2"/>
  <c r="DZ652" i="2"/>
  <c r="ED651" i="2"/>
  <c r="DZ415" i="18"/>
  <c r="DZ420" i="18" s="1"/>
  <c r="DZ483" i="18" s="1"/>
  <c r="DZ478" i="18" s="1"/>
  <c r="ED418" i="18"/>
  <c r="E4975" i="3"/>
  <c r="E4976" i="3" s="1"/>
  <c r="E4788" i="3"/>
  <c r="EC439" i="18"/>
  <c r="EA524" i="18"/>
  <c r="EA564" i="18" s="1"/>
  <c r="EA550" i="18" s="1"/>
  <c r="EA551" i="18" s="1"/>
  <c r="B339" i="24"/>
  <c r="ED488" i="18"/>
  <c r="EA522" i="18"/>
  <c r="EA525" i="18"/>
  <c r="ED525" i="18" s="1"/>
  <c r="ED142" i="18"/>
  <c r="B32" i="24"/>
  <c r="B33" i="24" s="1"/>
  <c r="EE525" i="18"/>
  <c r="B3761" i="3"/>
  <c r="ED508" i="18"/>
  <c r="ED509" i="18" s="1"/>
  <c r="EE524" i="18"/>
  <c r="EE522" i="18"/>
  <c r="ED150" i="18"/>
  <c r="ED154" i="18" s="1"/>
  <c r="DZ531" i="18"/>
  <c r="DZ566" i="18" s="1"/>
  <c r="DZ554" i="18" s="1"/>
  <c r="DZ555" i="18" s="1"/>
  <c r="EC404" i="18"/>
  <c r="EC398" i="18"/>
  <c r="ED393" i="18"/>
  <c r="ED398" i="18" s="1"/>
  <c r="DZ526" i="18"/>
  <c r="DZ571" i="18" s="1"/>
  <c r="DZ577" i="18" s="1"/>
  <c r="ED491" i="18"/>
  <c r="ED383" i="18"/>
  <c r="ED388" i="18" s="1"/>
  <c r="C4463" i="3"/>
  <c r="ED384" i="18"/>
  <c r="ED389" i="18" s="1"/>
  <c r="ED461" i="18" s="1"/>
  <c r="ED32" i="18"/>
  <c r="B6" i="25" s="1"/>
  <c r="E6" i="25" s="1"/>
  <c r="ED662" i="18"/>
  <c r="ED153" i="18"/>
  <c r="D4430" i="3"/>
  <c r="E4429" i="3"/>
  <c r="E4460" i="3" s="1"/>
  <c r="E4463" i="3" s="1"/>
  <c r="EQ425" i="10"/>
  <c r="ER425" i="10"/>
  <c r="FE184" i="4"/>
  <c r="ES202" i="4"/>
  <c r="EX220" i="4" s="1"/>
  <c r="EL233" i="2"/>
  <c r="EL230" i="2"/>
  <c r="EO105" i="10"/>
  <c r="D4460" i="3"/>
  <c r="D4461" i="3" s="1"/>
  <c r="EL86" i="2"/>
  <c r="L1607" i="3" s="1"/>
  <c r="L1621" i="3" s="1"/>
  <c r="M1621" i="3" s="1"/>
  <c r="EK88" i="2"/>
  <c r="K3106" i="3"/>
  <c r="F4969" i="3"/>
  <c r="DZ19" i="4"/>
  <c r="DZ102" i="10"/>
  <c r="EE19" i="4"/>
  <c r="EF473" i="18"/>
  <c r="EK506" i="2"/>
  <c r="EK507" i="2"/>
  <c r="EK508" i="2" s="1"/>
  <c r="EK105" i="2"/>
  <c r="I4313" i="3"/>
  <c r="I4309" i="3"/>
  <c r="C340" i="24"/>
  <c r="EJ145" i="18"/>
  <c r="EJ158" i="18" s="1"/>
  <c r="EF470" i="18"/>
  <c r="EE123" i="4"/>
  <c r="EI123" i="4" s="1"/>
  <c r="F3238" i="3"/>
  <c r="V3119" i="3" s="1"/>
  <c r="C47" i="24"/>
  <c r="EG465" i="18"/>
  <c r="EG467" i="18" s="1"/>
  <c r="EF469" i="18"/>
  <c r="EF479" i="18"/>
  <c r="EF484" i="18" s="1"/>
  <c r="F4437" i="3"/>
  <c r="F5729" i="3"/>
  <c r="EH239" i="18"/>
  <c r="E4360" i="3"/>
  <c r="E4361" i="3" s="1"/>
  <c r="E4363" i="3" s="1"/>
  <c r="EJ506" i="2"/>
  <c r="EJ507" i="2"/>
  <c r="EJ508" i="2" s="1"/>
  <c r="EI526" i="2"/>
  <c r="EI527" i="2" s="1"/>
  <c r="EJ527" i="2"/>
  <c r="ES425" i="18"/>
  <c r="EH216" i="18"/>
  <c r="DX278" i="18"/>
  <c r="DY279" i="18"/>
  <c r="DX314" i="18"/>
  <c r="DY314" i="18" s="1"/>
  <c r="L3379" i="3"/>
  <c r="K3382" i="3"/>
  <c r="B61" i="11"/>
  <c r="B100" i="11"/>
  <c r="E217" i="11"/>
  <c r="E223" i="11" s="1"/>
  <c r="E49" i="11"/>
  <c r="E67" i="11" s="1"/>
  <c r="E50" i="11"/>
  <c r="F45" i="11"/>
  <c r="F47" i="11" s="1"/>
  <c r="E46" i="11"/>
  <c r="E59" i="11" s="1"/>
  <c r="D60" i="11"/>
  <c r="K4670" i="3"/>
  <c r="K4663" i="3"/>
  <c r="K4682" i="3" s="1"/>
  <c r="K4565" i="3" s="1"/>
  <c r="EN392" i="18"/>
  <c r="EM397" i="18"/>
  <c r="EM396" i="18"/>
  <c r="H4582" i="3"/>
  <c r="H4605" i="3" s="1"/>
  <c r="H4607" i="3" s="1"/>
  <c r="H4437" i="3" s="1"/>
  <c r="M4652" i="3"/>
  <c r="M4671" i="3" s="1"/>
  <c r="N4636" i="3"/>
  <c r="N4652" i="3" s="1"/>
  <c r="N4671" i="3" s="1"/>
  <c r="E4428" i="3"/>
  <c r="E4497" i="3"/>
  <c r="E4499" i="3" s="1"/>
  <c r="EC512" i="2"/>
  <c r="EC514" i="2"/>
  <c r="EC516" i="2"/>
  <c r="EC518" i="2"/>
  <c r="EM374" i="18"/>
  <c r="EL379" i="18"/>
  <c r="J4566" i="3"/>
  <c r="L4651" i="3"/>
  <c r="M4635" i="3"/>
  <c r="L4647" i="3"/>
  <c r="EI333" i="2"/>
  <c r="EI334" i="2" s="1"/>
  <c r="V5742" i="3"/>
  <c r="W5748" i="3"/>
  <c r="N5765" i="3"/>
  <c r="Y5741" i="3"/>
  <c r="EE654" i="2"/>
  <c r="EE652" i="2"/>
  <c r="EI651" i="2"/>
  <c r="EI654" i="2" s="1"/>
  <c r="EM489" i="18"/>
  <c r="EM394" i="18"/>
  <c r="EM393" i="18" s="1"/>
  <c r="EM103" i="18"/>
  <c r="EM102" i="18"/>
  <c r="EM77" i="18"/>
  <c r="EM80" i="18" s="1"/>
  <c r="EE210" i="18"/>
  <c r="EF205" i="18"/>
  <c r="EF207" i="18" s="1"/>
  <c r="EE206" i="18"/>
  <c r="EE257" i="18"/>
  <c r="EE42" i="18" s="1"/>
  <c r="EE109" i="18"/>
  <c r="EE209" i="18"/>
  <c r="EE213" i="18"/>
  <c r="EI650" i="2"/>
  <c r="EE655" i="2"/>
  <c r="W5741" i="3"/>
  <c r="O5765" i="3" s="1"/>
  <c r="X5747" i="3"/>
  <c r="X5741" i="3" s="1"/>
  <c r="P5765" i="3" s="1"/>
  <c r="EN118" i="18"/>
  <c r="EO123" i="18"/>
  <c r="G4437" i="3"/>
  <c r="G5729" i="3"/>
  <c r="H4542" i="3"/>
  <c r="E11" i="20"/>
  <c r="D16" i="23"/>
  <c r="EF208" i="18" s="1"/>
  <c r="EF665" i="18" s="1"/>
  <c r="D4957" i="3"/>
  <c r="D4366" i="3"/>
  <c r="D4367" i="3" s="1"/>
  <c r="L25" i="29"/>
  <c r="M22" i="29"/>
  <c r="C71" i="11"/>
  <c r="D68" i="11"/>
  <c r="D69" i="11" s="1"/>
  <c r="D4457" i="3"/>
  <c r="D4946" i="3"/>
  <c r="G191" i="11"/>
  <c r="H170" i="11"/>
  <c r="C62" i="11"/>
  <c r="C61" i="11"/>
  <c r="C90" i="11"/>
  <c r="C132" i="11" s="1"/>
  <c r="C142" i="11" s="1"/>
  <c r="C100" i="11"/>
  <c r="EM289" i="18"/>
  <c r="EN98" i="18"/>
  <c r="EO96" i="18"/>
  <c r="EN101" i="18"/>
  <c r="D5027" i="3"/>
  <c r="D5026" i="3"/>
  <c r="M65" i="11"/>
  <c r="M84" i="11"/>
  <c r="N41" i="11"/>
  <c r="M99" i="11"/>
  <c r="M53" i="11"/>
  <c r="M108" i="11"/>
  <c r="M110" i="11" s="1"/>
  <c r="M141" i="11"/>
  <c r="M126" i="11"/>
  <c r="B79" i="11"/>
  <c r="B133" i="11"/>
  <c r="B134" i="11" s="1"/>
  <c r="EI48" i="4"/>
  <c r="EI102" i="10"/>
  <c r="I151" i="11"/>
  <c r="C4445" i="3"/>
  <c r="C4446" i="3"/>
  <c r="B73" i="11"/>
  <c r="C74" i="11"/>
  <c r="EE205" i="4"/>
  <c r="EE103" i="10"/>
  <c r="EF199" i="4"/>
  <c r="EF200" i="4" s="1"/>
  <c r="EF126" i="4" s="1"/>
  <c r="EG199" i="4"/>
  <c r="EG200" i="4" s="1"/>
  <c r="EG126" i="4" s="1"/>
  <c r="EE68" i="18"/>
  <c r="EH199" i="4"/>
  <c r="EE49" i="4"/>
  <c r="G5198" i="3"/>
  <c r="G5195" i="3"/>
  <c r="E58" i="11"/>
  <c r="E56" i="11"/>
  <c r="EJ342" i="10"/>
  <c r="I4757" i="3"/>
  <c r="EN395" i="18"/>
  <c r="I5189" i="3"/>
  <c r="I4592" i="3"/>
  <c r="I4594" i="3" s="1"/>
  <c r="I4606" i="3" s="1"/>
  <c r="I4580" i="3"/>
  <c r="H5190" i="3"/>
  <c r="H5187" i="3"/>
  <c r="H5193" i="3" s="1"/>
  <c r="I5186" i="3"/>
  <c r="I5188" i="3" s="1"/>
  <c r="B143" i="11"/>
  <c r="H32" i="29"/>
  <c r="I24" i="29"/>
  <c r="EA414" i="18"/>
  <c r="EA409" i="18"/>
  <c r="EF360" i="2"/>
  <c r="EF433" i="10"/>
  <c r="EF378" i="2"/>
  <c r="EF374" i="2"/>
  <c r="EF375" i="2" s="1"/>
  <c r="EF373" i="2"/>
  <c r="EF376" i="2"/>
  <c r="EF377" i="2" s="1"/>
  <c r="EK79" i="18"/>
  <c r="EK78" i="18" s="1"/>
  <c r="EK74" i="18"/>
  <c r="EL73" i="18"/>
  <c r="D4842" i="3"/>
  <c r="C4844" i="3"/>
  <c r="C4856" i="3" s="1"/>
  <c r="C4854" i="3"/>
  <c r="D4854" i="3" s="1"/>
  <c r="E4854" i="3" s="1"/>
  <c r="F4854" i="3" s="1"/>
  <c r="G4854" i="3" s="1"/>
  <c r="H4854" i="3" s="1"/>
  <c r="I4854" i="3" s="1"/>
  <c r="J4854" i="3" s="1"/>
  <c r="K4854" i="3" s="1"/>
  <c r="L4854" i="3" s="1"/>
  <c r="M4854" i="3" s="1"/>
  <c r="N4854" i="3" s="1"/>
  <c r="EI197" i="18"/>
  <c r="C80" i="24"/>
  <c r="EJ195" i="18"/>
  <c r="EJ284" i="18" s="1"/>
  <c r="EI83" i="18"/>
  <c r="H4350" i="3"/>
  <c r="H4956" i="3"/>
  <c r="H4495" i="3"/>
  <c r="H4362" i="3"/>
  <c r="H4364" i="3" s="1"/>
  <c r="EQ339" i="18"/>
  <c r="EP58" i="18"/>
  <c r="G5732" i="3"/>
  <c r="K4296" i="3"/>
  <c r="K4323" i="3"/>
  <c r="K4327" i="3" s="1"/>
  <c r="I4945" i="3"/>
  <c r="I4489" i="3"/>
  <c r="ED114" i="10"/>
  <c r="ED123" i="10" s="1"/>
  <c r="AB5746" i="3"/>
  <c r="AA5740" i="3"/>
  <c r="L4299" i="3"/>
  <c r="L4319" i="3"/>
  <c r="M4286" i="3"/>
  <c r="L4290" i="3"/>
  <c r="G178" i="19"/>
  <c r="F178" i="19"/>
  <c r="G3375" i="3"/>
  <c r="H3367" i="3"/>
  <c r="DV556" i="18"/>
  <c r="DV569" i="18"/>
  <c r="DZ45" i="18"/>
  <c r="EK119" i="18"/>
  <c r="EK120" i="18" s="1"/>
  <c r="G3389" i="3"/>
  <c r="H3381" i="3"/>
  <c r="ED538" i="1"/>
  <c r="DZ545" i="1"/>
  <c r="DZ45" i="35" s="1"/>
  <c r="DZ58" i="4"/>
  <c r="ED431" i="10"/>
  <c r="G4355" i="3"/>
  <c r="G4981" i="3"/>
  <c r="G4983" i="3" s="1"/>
  <c r="G4540" i="3"/>
  <c r="DV654" i="2"/>
  <c r="DV652" i="2"/>
  <c r="DV655" i="2"/>
  <c r="EI114" i="10"/>
  <c r="EI123" i="10" s="1"/>
  <c r="DU45" i="4"/>
  <c r="DU362" i="18"/>
  <c r="DY545" i="1"/>
  <c r="DU546" i="18"/>
  <c r="DY562" i="18"/>
  <c r="DY546" i="18" s="1"/>
  <c r="K4330" i="3"/>
  <c r="K4311" i="3"/>
  <c r="K4303" i="3"/>
  <c r="F4920" i="3"/>
  <c r="F4963" i="3"/>
  <c r="F4777" i="3"/>
  <c r="F4966" i="3"/>
  <c r="F4970" i="3" s="1"/>
  <c r="EF131" i="18"/>
  <c r="F8" i="21"/>
  <c r="G8" i="21" s="1"/>
  <c r="G26" i="21"/>
  <c r="F86" i="21"/>
  <c r="EG388" i="18"/>
  <c r="EG383" i="18" s="1"/>
  <c r="EF383" i="18"/>
  <c r="EE64" i="2"/>
  <c r="DZ63" i="2"/>
  <c r="ED62" i="2"/>
  <c r="G26" i="22"/>
  <c r="F8" i="22"/>
  <c r="G8" i="22" s="1"/>
  <c r="F86" i="22"/>
  <c r="EC87" i="18"/>
  <c r="ED84" i="18"/>
  <c r="EC85" i="18"/>
  <c r="EQ460" i="18"/>
  <c r="EP455" i="18"/>
  <c r="L43" i="22"/>
  <c r="K29" i="22"/>
  <c r="K42" i="22"/>
  <c r="O46" i="22"/>
  <c r="M44" i="22"/>
  <c r="J41" i="22"/>
  <c r="J85" i="22" s="1"/>
  <c r="Q48" i="22"/>
  <c r="N45" i="22"/>
  <c r="P47" i="22"/>
  <c r="EI92" i="4"/>
  <c r="EJ92" i="4" s="1"/>
  <c r="G12" i="29"/>
  <c r="G13" i="29" s="1"/>
  <c r="DU59" i="4"/>
  <c r="DY58" i="4"/>
  <c r="EF222" i="2"/>
  <c r="EF236" i="2"/>
  <c r="EF237" i="2"/>
  <c r="EF238" i="2" s="1"/>
  <c r="EF385" i="10"/>
  <c r="EF239" i="2"/>
  <c r="EF240" i="2" s="1"/>
  <c r="EF241" i="2"/>
  <c r="D4172" i="3"/>
  <c r="E4170" i="3"/>
  <c r="M4321" i="3"/>
  <c r="M4301" i="3"/>
  <c r="N4288" i="3"/>
  <c r="C4282" i="3"/>
  <c r="C4279" i="3" s="1"/>
  <c r="C4983" i="3"/>
  <c r="C4355" i="3"/>
  <c r="C4354" i="3" s="1"/>
  <c r="C4346" i="3"/>
  <c r="K4325" i="3"/>
  <c r="K4324" i="3"/>
  <c r="EG129" i="18"/>
  <c r="EH134" i="18"/>
  <c r="EH129" i="18" s="1"/>
  <c r="EA140" i="10"/>
  <c r="EA142" i="10" s="1"/>
  <c r="EA121" i="10"/>
  <c r="DU59" i="18"/>
  <c r="D4140" i="3"/>
  <c r="D4161" i="3" s="1"/>
  <c r="D4157" i="3"/>
  <c r="EI200" i="18"/>
  <c r="EI202" i="18" s="1"/>
  <c r="EH201" i="18"/>
  <c r="EH84" i="18"/>
  <c r="EH85" i="18" s="1"/>
  <c r="EH667" i="18"/>
  <c r="EI667" i="18" s="1"/>
  <c r="EH202" i="18"/>
  <c r="EF377" i="18"/>
  <c r="EF403" i="18"/>
  <c r="EF427" i="18"/>
  <c r="AG5745" i="3"/>
  <c r="AF5739" i="3"/>
  <c r="DY651" i="2"/>
  <c r="DY653" i="2" s="1"/>
  <c r="DU654" i="2"/>
  <c r="DU652" i="2"/>
  <c r="DU655" i="2"/>
  <c r="K29" i="21"/>
  <c r="ED383" i="10"/>
  <c r="ED227" i="2"/>
  <c r="I4340" i="3"/>
  <c r="I4336" i="3"/>
  <c r="M4320" i="3"/>
  <c r="M4300" i="3"/>
  <c r="N4287" i="3"/>
  <c r="DZ502" i="2"/>
  <c r="DZ510" i="2"/>
  <c r="M81" i="11"/>
  <c r="N76" i="11"/>
  <c r="J4313" i="3"/>
  <c r="J4332" i="3"/>
  <c r="J4309" i="3"/>
  <c r="EA230" i="18"/>
  <c r="EA234" i="18"/>
  <c r="EB226" i="18"/>
  <c r="EA235" i="18"/>
  <c r="EA231" i="18"/>
  <c r="EA258" i="18"/>
  <c r="ED360" i="18"/>
  <c r="ED561" i="18"/>
  <c r="DZ562" i="18"/>
  <c r="G4771" i="3"/>
  <c r="G4952" i="3"/>
  <c r="EX637" i="2"/>
  <c r="EE312" i="18"/>
  <c r="EE54" i="18"/>
  <c r="C4182" i="3"/>
  <c r="D4182" i="3" s="1"/>
  <c r="E4182" i="3" s="1"/>
  <c r="F4356" i="3"/>
  <c r="EE414" i="18"/>
  <c r="EE409" i="18"/>
  <c r="EG305" i="18"/>
  <c r="EG291" i="18"/>
  <c r="EH283" i="18"/>
  <c r="EG288" i="18"/>
  <c r="EH372" i="18"/>
  <c r="EG373" i="18"/>
  <c r="EG403" i="18" s="1"/>
  <c r="ED54" i="18"/>
  <c r="ED55" i="18" s="1"/>
  <c r="DZ55" i="18"/>
  <c r="EG297" i="18"/>
  <c r="EG425" i="18"/>
  <c r="EH430" i="18"/>
  <c r="EH425" i="18" s="1"/>
  <c r="EI458" i="18"/>
  <c r="EI462" i="18"/>
  <c r="EJ454" i="18"/>
  <c r="DU653" i="2"/>
  <c r="DY571" i="18"/>
  <c r="DU573" i="18"/>
  <c r="G4498" i="3"/>
  <c r="G4559" i="3"/>
  <c r="ED44" i="4"/>
  <c r="EE562" i="18"/>
  <c r="EE546" i="18" s="1"/>
  <c r="EC665" i="18"/>
  <c r="EC669" i="18"/>
  <c r="EA654" i="2"/>
  <c r="EA652" i="2"/>
  <c r="EA653" i="2"/>
  <c r="EA655" i="2"/>
  <c r="EF54" i="18"/>
  <c r="EF55" i="18" s="1"/>
  <c r="EF312" i="18"/>
  <c r="EG312" i="18" s="1"/>
  <c r="C30" i="25"/>
  <c r="ED223" i="18"/>
  <c r="ED202" i="18"/>
  <c r="ED302" i="18"/>
  <c r="EE221" i="18"/>
  <c r="EE300" i="18"/>
  <c r="EE664" i="18"/>
  <c r="EE201" i="18"/>
  <c r="EJ87" i="4"/>
  <c r="EJ86" i="4" s="1"/>
  <c r="I87" i="22"/>
  <c r="EH295" i="18"/>
  <c r="EI295" i="18" s="1"/>
  <c r="EI300" i="18" s="1"/>
  <c r="EJ300" i="18" s="1"/>
  <c r="O45" i="20"/>
  <c r="L29" i="20"/>
  <c r="M28" i="20" s="1"/>
  <c r="L42" i="20"/>
  <c r="P46" i="20"/>
  <c r="M43" i="20"/>
  <c r="T50" i="20"/>
  <c r="U51" i="20"/>
  <c r="S49" i="20"/>
  <c r="W53" i="20"/>
  <c r="K41" i="20"/>
  <c r="K85" i="20" s="1"/>
  <c r="V52" i="20"/>
  <c r="AA57" i="20"/>
  <c r="AB58" i="20"/>
  <c r="X54" i="20"/>
  <c r="Z56" i="20"/>
  <c r="Y55" i="20"/>
  <c r="AC59" i="20"/>
  <c r="AD60" i="20"/>
  <c r="R48" i="20"/>
  <c r="Q47" i="20"/>
  <c r="N44" i="20"/>
  <c r="EH545" i="1"/>
  <c r="EI545" i="1" s="1"/>
  <c r="EH58" i="4"/>
  <c r="EI538" i="1"/>
  <c r="EB514" i="2"/>
  <c r="EB516" i="2"/>
  <c r="EB512" i="2"/>
  <c r="EB518" i="2"/>
  <c r="J4343" i="3"/>
  <c r="J4328" i="3"/>
  <c r="ED19" i="4"/>
  <c r="ED102" i="10"/>
  <c r="EI19" i="4"/>
  <c r="G215" i="11"/>
  <c r="H221" i="11"/>
  <c r="EN85" i="4"/>
  <c r="ED312" i="18"/>
  <c r="ED308" i="18"/>
  <c r="ED309" i="18" s="1"/>
  <c r="E4546" i="3"/>
  <c r="EH86" i="18"/>
  <c r="EI86" i="18" s="1"/>
  <c r="H209" i="11"/>
  <c r="EI191" i="18"/>
  <c r="E177" i="19"/>
  <c r="I4345" i="3"/>
  <c r="I4820" i="3"/>
  <c r="I4337" i="3"/>
  <c r="I4341" i="3"/>
  <c r="J87" i="21"/>
  <c r="H10" i="21" s="1"/>
  <c r="H11" i="21" s="1"/>
  <c r="EE430" i="10"/>
  <c r="EE356" i="2"/>
  <c r="EE372" i="2"/>
  <c r="EE382" i="10"/>
  <c r="EE218" i="2"/>
  <c r="EE235" i="2"/>
  <c r="J4807" i="3"/>
  <c r="J4334" i="3"/>
  <c r="J4338" i="3"/>
  <c r="J4333" i="3"/>
  <c r="C4138" i="3"/>
  <c r="C4159" i="3" s="1"/>
  <c r="C4136" i="3"/>
  <c r="C4139" i="3"/>
  <c r="C4160" i="3" s="1"/>
  <c r="H4950" i="3"/>
  <c r="H4947" i="3"/>
  <c r="FC638" i="36" s="1"/>
  <c r="EB550" i="18"/>
  <c r="EB551" i="18" s="1"/>
  <c r="N4550" i="3"/>
  <c r="G4964" i="3"/>
  <c r="G4958" i="3"/>
  <c r="G4961" i="3"/>
  <c r="DU60" i="2"/>
  <c r="DY59" i="2"/>
  <c r="C4137" i="3"/>
  <c r="C4158" i="3" s="1"/>
  <c r="H4492" i="3"/>
  <c r="EB586" i="18"/>
  <c r="EG238" i="18"/>
  <c r="EF242" i="18"/>
  <c r="EF243" i="18"/>
  <c r="B54" i="41"/>
  <c r="B55" i="41" s="1"/>
  <c r="B57" i="41" s="1"/>
  <c r="B63" i="41" s="1"/>
  <c r="EL159" i="18"/>
  <c r="EK37" i="18"/>
  <c r="EJ81" i="18"/>
  <c r="EJ190" i="18"/>
  <c r="I4349" i="3"/>
  <c r="I4974" i="3" s="1"/>
  <c r="I4976" i="3" s="1"/>
  <c r="J4351" i="3"/>
  <c r="D4551" i="3"/>
  <c r="G26" i="20"/>
  <c r="F8" i="20"/>
  <c r="F86" i="20"/>
  <c r="B4138" i="3"/>
  <c r="B4159" i="3" s="1"/>
  <c r="B4136" i="3"/>
  <c r="B4139" i="3"/>
  <c r="B4160" i="3" s="1"/>
  <c r="J87" i="20"/>
  <c r="H10" i="20" s="1"/>
  <c r="F5563" i="3"/>
  <c r="F5564" i="3" s="1"/>
  <c r="C5564" i="3"/>
  <c r="O193" i="11"/>
  <c r="P172" i="11"/>
  <c r="P193" i="11" s="1"/>
  <c r="C4919" i="3" l="1"/>
  <c r="C4922" i="3" s="1"/>
  <c r="EI239" i="18"/>
  <c r="EI244" i="18" s="1"/>
  <c r="EJ244" i="18" s="1"/>
  <c r="EK244" i="18" s="1"/>
  <c r="EZ182" i="4"/>
  <c r="EY185" i="4"/>
  <c r="DV94" i="2"/>
  <c r="DW95" i="2" s="1"/>
  <c r="DW392" i="10" s="1"/>
  <c r="EI216" i="18"/>
  <c r="EI221" i="18" s="1"/>
  <c r="EJ221" i="18" s="1"/>
  <c r="EK221" i="18" s="1"/>
  <c r="ED87" i="18"/>
  <c r="EB687" i="18"/>
  <c r="EB695" i="18" s="1"/>
  <c r="EG85" i="18"/>
  <c r="EB678" i="18"/>
  <c r="EB680" i="18" s="1"/>
  <c r="EB681" i="18" s="1"/>
  <c r="C175" i="3"/>
  <c r="C174" i="3" s="1"/>
  <c r="C177" i="3" s="1"/>
  <c r="C179" i="3" s="1"/>
  <c r="C181" i="3" s="1"/>
  <c r="C192" i="3" s="1"/>
  <c r="C195" i="3" s="1"/>
  <c r="C201" i="3" s="1"/>
  <c r="C204" i="3" s="1"/>
  <c r="B95" i="41"/>
  <c r="B211" i="41"/>
  <c r="B84" i="41"/>
  <c r="EA157" i="2"/>
  <c r="EA159" i="2" s="1"/>
  <c r="B1670" i="3"/>
  <c r="DZ165" i="2"/>
  <c r="EA151" i="2"/>
  <c r="EA147" i="2" s="1"/>
  <c r="EA152" i="2" s="1"/>
  <c r="EA165" i="2"/>
  <c r="EB157" i="2"/>
  <c r="EB146" i="2"/>
  <c r="EB148" i="2" s="1"/>
  <c r="M1613" i="3"/>
  <c r="L1633" i="3"/>
  <c r="O1611" i="3"/>
  <c r="N1631" i="3"/>
  <c r="C1670" i="3"/>
  <c r="M1617" i="3"/>
  <c r="L1637" i="3"/>
  <c r="M1615" i="3"/>
  <c r="L1635" i="3"/>
  <c r="N1620" i="3"/>
  <c r="O1614" i="3"/>
  <c r="N1634" i="3"/>
  <c r="N1619" i="3"/>
  <c r="M1639" i="3"/>
  <c r="M1616" i="3"/>
  <c r="L1636" i="3"/>
  <c r="C1653" i="3"/>
  <c r="C1652" i="3"/>
  <c r="D1652" i="3" s="1"/>
  <c r="N1621" i="3"/>
  <c r="EB149" i="2"/>
  <c r="EB160" i="2" s="1"/>
  <c r="D1649" i="3" s="1"/>
  <c r="D1606" i="3"/>
  <c r="D1608" i="3" s="1"/>
  <c r="N1612" i="3"/>
  <c r="M1632" i="3"/>
  <c r="M1618" i="3"/>
  <c r="L1638" i="3"/>
  <c r="FK43" i="36"/>
  <c r="FK50" i="36" s="1"/>
  <c r="FI474" i="36"/>
  <c r="FB52" i="36"/>
  <c r="FH477" i="36"/>
  <c r="FI342" i="36"/>
  <c r="FI343" i="36" s="1"/>
  <c r="FI204" i="36"/>
  <c r="FJ204" i="36" s="1"/>
  <c r="FK474" i="36"/>
  <c r="FB14" i="36"/>
  <c r="FC10" i="36"/>
  <c r="FC14" i="36" s="1"/>
  <c r="FH563" i="36"/>
  <c r="FH214" i="36"/>
  <c r="FH545" i="36"/>
  <c r="FH241" i="36"/>
  <c r="FH249" i="36"/>
  <c r="FB18" i="35"/>
  <c r="FC16" i="35"/>
  <c r="FF252" i="36"/>
  <c r="FF27" i="36"/>
  <c r="FF253" i="36"/>
  <c r="EX640" i="36"/>
  <c r="EX637" i="36"/>
  <c r="FD361" i="36"/>
  <c r="FD364" i="36"/>
  <c r="FD372" i="36"/>
  <c r="FD498" i="36"/>
  <c r="FM629" i="36"/>
  <c r="FM633" i="36"/>
  <c r="EW15" i="36"/>
  <c r="EW54" i="36"/>
  <c r="EW570" i="36"/>
  <c r="FG563" i="36"/>
  <c r="FG214" i="36"/>
  <c r="FG545" i="36"/>
  <c r="FG9" i="36"/>
  <c r="FG251" i="36"/>
  <c r="FH251" i="36" s="1"/>
  <c r="FG241" i="36"/>
  <c r="FG249" i="36"/>
  <c r="EY364" i="36"/>
  <c r="EY365" i="36" s="1"/>
  <c r="EY372" i="36"/>
  <c r="EY361" i="36"/>
  <c r="EY498" i="36"/>
  <c r="FE526" i="36"/>
  <c r="FE480" i="36"/>
  <c r="FK643" i="36"/>
  <c r="EX13" i="36"/>
  <c r="EX12" i="36"/>
  <c r="FF12" i="36"/>
  <c r="FF14" i="36"/>
  <c r="FH10" i="36"/>
  <c r="FH213" i="36"/>
  <c r="FH634" i="36"/>
  <c r="FB478" i="36"/>
  <c r="FB470" i="36"/>
  <c r="FH51" i="36"/>
  <c r="FH47" i="36"/>
  <c r="FH49" i="36" s="1"/>
  <c r="FH52" i="36" s="1"/>
  <c r="FB432" i="36"/>
  <c r="FC431" i="36"/>
  <c r="FB436" i="36"/>
  <c r="FB433" i="36"/>
  <c r="FC433" i="36" s="1"/>
  <c r="FB429" i="36"/>
  <c r="FE362" i="36"/>
  <c r="FE360" i="36" s="1"/>
  <c r="EZ360" i="36"/>
  <c r="ET500" i="36"/>
  <c r="ET501" i="36" s="1"/>
  <c r="ET499" i="36"/>
  <c r="ET510" i="36"/>
  <c r="ET502" i="36"/>
  <c r="ET503" i="36" s="1"/>
  <c r="FM653" i="36"/>
  <c r="FC251" i="36"/>
  <c r="FB252" i="36"/>
  <c r="FB253" i="36"/>
  <c r="FB27" i="36"/>
  <c r="ED45" i="35"/>
  <c r="DZ46" i="35"/>
  <c r="ED59" i="35"/>
  <c r="DZ61" i="35"/>
  <c r="FG477" i="36"/>
  <c r="FG468" i="36"/>
  <c r="EV53" i="35"/>
  <c r="EV19" i="35"/>
  <c r="EX18" i="35"/>
  <c r="EX19" i="35" s="1"/>
  <c r="FA19" i="35"/>
  <c r="FC352" i="36"/>
  <c r="EW526" i="36"/>
  <c r="EW480" i="36"/>
  <c r="EU372" i="36"/>
  <c r="EU364" i="36"/>
  <c r="EU365" i="36" s="1"/>
  <c r="EU361" i="36"/>
  <c r="EU498" i="36"/>
  <c r="FC468" i="36"/>
  <c r="FC478" i="36" s="1"/>
  <c r="EX651" i="36"/>
  <c r="EX662" i="36" s="1"/>
  <c r="EX648" i="36"/>
  <c r="EX659" i="36" s="1"/>
  <c r="EX663" i="36" s="1"/>
  <c r="EX650" i="36"/>
  <c r="EX661" i="36" s="1"/>
  <c r="EX649" i="36"/>
  <c r="EX660" i="36" s="1"/>
  <c r="FD527" i="36"/>
  <c r="FA570" i="36"/>
  <c r="FA15" i="36"/>
  <c r="FA54" i="36"/>
  <c r="FA55" i="36" s="1"/>
  <c r="FA576" i="36"/>
  <c r="FG51" i="36"/>
  <c r="FG47" i="36"/>
  <c r="FG49" i="36" s="1"/>
  <c r="FG52" i="36" s="1"/>
  <c r="FG14" i="36"/>
  <c r="EW31" i="36"/>
  <c r="EW34" i="36"/>
  <c r="EX27" i="36"/>
  <c r="FA480" i="36"/>
  <c r="FA526" i="36"/>
  <c r="FE31" i="36"/>
  <c r="FE34" i="36"/>
  <c r="FM656" i="36"/>
  <c r="FL316" i="36"/>
  <c r="FL284" i="36"/>
  <c r="FL288" i="36"/>
  <c r="FL285" i="36"/>
  <c r="FM280" i="36"/>
  <c r="FL294" i="36"/>
  <c r="FD55" i="36"/>
  <c r="FG15" i="35"/>
  <c r="FH14" i="35"/>
  <c r="EV360" i="36"/>
  <c r="FA362" i="36"/>
  <c r="FC421" i="36"/>
  <c r="FD417" i="36"/>
  <c r="FM655" i="36"/>
  <c r="FL654" i="36"/>
  <c r="EW52" i="36"/>
  <c r="EX49" i="36"/>
  <c r="FC9" i="36"/>
  <c r="FB12" i="36"/>
  <c r="FB13" i="36"/>
  <c r="EM157" i="35"/>
  <c r="EL163" i="35"/>
  <c r="FB363" i="36"/>
  <c r="FG363" i="36" s="1"/>
  <c r="EW362" i="36"/>
  <c r="ET123" i="35"/>
  <c r="EX123" i="35" s="1"/>
  <c r="ET378" i="36"/>
  <c r="ET380" i="36"/>
  <c r="ET374" i="36"/>
  <c r="ET375" i="36" s="1"/>
  <c r="ET376" i="36"/>
  <c r="ET377" i="36" s="1"/>
  <c r="ET373" i="36"/>
  <c r="FC652" i="36"/>
  <c r="FC644" i="36"/>
  <c r="FC611" i="36"/>
  <c r="FC612" i="36" s="1"/>
  <c r="FC635" i="36"/>
  <c r="EZ527" i="36"/>
  <c r="FH352" i="36"/>
  <c r="FF470" i="36"/>
  <c r="FF478" i="36"/>
  <c r="FD53" i="35"/>
  <c r="FD19" i="35"/>
  <c r="EH61" i="35"/>
  <c r="EI59" i="35"/>
  <c r="FA34" i="36"/>
  <c r="FA31" i="36"/>
  <c r="EN535" i="36"/>
  <c r="EN534" i="36"/>
  <c r="EN533" i="36"/>
  <c r="ES535" i="36"/>
  <c r="ES534" i="36"/>
  <c r="DU62" i="36"/>
  <c r="DY60" i="36"/>
  <c r="FE54" i="36"/>
  <c r="FE15" i="36"/>
  <c r="DU61" i="35"/>
  <c r="DY59" i="35"/>
  <c r="FL633" i="36"/>
  <c r="FL629" i="36"/>
  <c r="DY46" i="35"/>
  <c r="DU48" i="35"/>
  <c r="FC563" i="36"/>
  <c r="FC214" i="36"/>
  <c r="FC545" i="36"/>
  <c r="FC241" i="36"/>
  <c r="FC249" i="36"/>
  <c r="EX99" i="4"/>
  <c r="EX196" i="4"/>
  <c r="EX66" i="4"/>
  <c r="EY66" i="4" s="1"/>
  <c r="DX95" i="2"/>
  <c r="DX392" i="10" s="1"/>
  <c r="ES211" i="4"/>
  <c r="E2485" i="3"/>
  <c r="E2506" i="3"/>
  <c r="F2502" i="3"/>
  <c r="K192" i="11"/>
  <c r="L171" i="11"/>
  <c r="D101" i="11"/>
  <c r="D79" i="11"/>
  <c r="D78" i="11" s="1"/>
  <c r="D70" i="11"/>
  <c r="D74" i="11"/>
  <c r="EA224" i="2"/>
  <c r="EA141" i="2"/>
  <c r="EA118" i="2"/>
  <c r="EA129" i="2"/>
  <c r="DV129" i="2" s="1"/>
  <c r="EA108" i="2"/>
  <c r="EA320" i="2" s="1"/>
  <c r="EA364" i="2" s="1"/>
  <c r="EA245" i="2"/>
  <c r="EB84" i="2"/>
  <c r="EB104" i="2"/>
  <c r="EB106" i="2" s="1"/>
  <c r="EJ538" i="1"/>
  <c r="EJ58" i="35" s="1"/>
  <c r="EN540" i="1"/>
  <c r="EN67" i="4"/>
  <c r="EA502" i="2"/>
  <c r="EA510" i="2"/>
  <c r="ED510" i="2" s="1"/>
  <c r="EQ91" i="18"/>
  <c r="ER91" i="18" s="1"/>
  <c r="EL88" i="2"/>
  <c r="EM86" i="2"/>
  <c r="EM231" i="2"/>
  <c r="EM505" i="2"/>
  <c r="ED374" i="2"/>
  <c r="B3925" i="3"/>
  <c r="B3926" i="3" s="1"/>
  <c r="ED362" i="2"/>
  <c r="C3107" i="3"/>
  <c r="DZ500" i="2"/>
  <c r="DZ74" i="2"/>
  <c r="DZ320" i="2"/>
  <c r="DZ364" i="2" s="1"/>
  <c r="EC82" i="2"/>
  <c r="ED299" i="2"/>
  <c r="ED425" i="2" s="1"/>
  <c r="EB83" i="2"/>
  <c r="ED382" i="2"/>
  <c r="ED263" i="2"/>
  <c r="ED308" i="2"/>
  <c r="ED297" i="2"/>
  <c r="ED423" i="2" s="1"/>
  <c r="ED274" i="2"/>
  <c r="EB341" i="10"/>
  <c r="EB343" i="10" s="1"/>
  <c r="D3105" i="3"/>
  <c r="D3110" i="3" s="1"/>
  <c r="D3112" i="3" s="1"/>
  <c r="D3149" i="3" s="1"/>
  <c r="B3839" i="3"/>
  <c r="B125" i="24"/>
  <c r="C3839" i="3"/>
  <c r="DU104" i="2"/>
  <c r="DU106" i="2" s="1"/>
  <c r="DU118" i="2" s="1"/>
  <c r="DV104" i="2"/>
  <c r="DV106" i="2" s="1"/>
  <c r="DV118" i="2" s="1"/>
  <c r="DX107" i="2"/>
  <c r="DX263" i="2" s="1"/>
  <c r="DY91" i="2"/>
  <c r="DY344" i="10" s="1"/>
  <c r="DW568" i="2"/>
  <c r="C3118" i="3"/>
  <c r="C3122" i="3" s="1"/>
  <c r="DU341" i="10"/>
  <c r="DU343" i="10" s="1"/>
  <c r="DV185" i="10"/>
  <c r="DU90" i="2"/>
  <c r="DW391" i="10"/>
  <c r="DZ84" i="2"/>
  <c r="DX269" i="2"/>
  <c r="DV561" i="2" a="1"/>
  <c r="DV561" i="2" s="1"/>
  <c r="DV559" i="2" s="1"/>
  <c r="DV560" i="2" s="1"/>
  <c r="DW310" i="2"/>
  <c r="DW265" i="2"/>
  <c r="EB573" i="18"/>
  <c r="EB579" i="18" s="1"/>
  <c r="EC577" i="18"/>
  <c r="EC534" i="18"/>
  <c r="DW542" i="2"/>
  <c r="DW540" i="2" s="1"/>
  <c r="DW541" i="2" s="1"/>
  <c r="DV176" i="2"/>
  <c r="DY83" i="2"/>
  <c r="DV120" i="2"/>
  <c r="DV143" i="2"/>
  <c r="DW561" i="2" a="1"/>
  <c r="DW561" i="2" s="1"/>
  <c r="DW559" i="2" s="1"/>
  <c r="DW560" i="2" s="1"/>
  <c r="DX561" i="2" a="1"/>
  <c r="DX561" i="2" s="1"/>
  <c r="DX559" i="2" s="1"/>
  <c r="DX565" i="2" s="1"/>
  <c r="DX566" i="2" s="1"/>
  <c r="EC566" i="18"/>
  <c r="EC588" i="18" s="1"/>
  <c r="EC516" i="18"/>
  <c r="EC517" i="18" s="1"/>
  <c r="EC599" i="18"/>
  <c r="DZ566" i="2"/>
  <c r="ED565" i="2"/>
  <c r="DZ569" i="2"/>
  <c r="DZ570" i="2"/>
  <c r="DZ567" i="2"/>
  <c r="DZ666" i="18" s="1"/>
  <c r="DZ664" i="18" s="1"/>
  <c r="ED541" i="2"/>
  <c r="ED545" i="2"/>
  <c r="ED543" i="2"/>
  <c r="EC550" i="18"/>
  <c r="EC551" i="18" s="1"/>
  <c r="EB532" i="18"/>
  <c r="EB534" i="18" s="1"/>
  <c r="EB566" i="18"/>
  <c r="EB554" i="18" s="1"/>
  <c r="EB555" i="18" s="1"/>
  <c r="EB516" i="18"/>
  <c r="EB517" i="18" s="1"/>
  <c r="ED564" i="18"/>
  <c r="ED550" i="18" s="1"/>
  <c r="ED551" i="18" s="1"/>
  <c r="ED439" i="18"/>
  <c r="ED655" i="2"/>
  <c r="ED652" i="2"/>
  <c r="ED654" i="2"/>
  <c r="ED653" i="2"/>
  <c r="EA695" i="18"/>
  <c r="EA176" i="18"/>
  <c r="EA183" i="18" s="1"/>
  <c r="DZ150" i="18"/>
  <c r="DZ33" i="18" s="1"/>
  <c r="ED143" i="18"/>
  <c r="ED144" i="18" s="1"/>
  <c r="EA586" i="18"/>
  <c r="ED586" i="18" s="1"/>
  <c r="B7" i="25"/>
  <c r="E7" i="25" s="1"/>
  <c r="ED524" i="18"/>
  <c r="B3758" i="3" s="1"/>
  <c r="B3795" i="3" s="1"/>
  <c r="DZ532" i="18"/>
  <c r="DZ534" i="18" s="1"/>
  <c r="DZ588" i="18"/>
  <c r="EA531" i="18"/>
  <c r="EA566" i="18" s="1"/>
  <c r="ED522" i="18"/>
  <c r="ED498" i="18" s="1"/>
  <c r="ED499" i="18" s="1"/>
  <c r="B4" i="24"/>
  <c r="B5" i="24" s="1"/>
  <c r="B35" i="24" s="1"/>
  <c r="DZ516" i="18"/>
  <c r="DZ517" i="18" s="1"/>
  <c r="B3759" i="3"/>
  <c r="ED504" i="18"/>
  <c r="ED505" i="18" s="1"/>
  <c r="DZ599" i="18"/>
  <c r="EE531" i="18"/>
  <c r="EE599" i="18" s="1"/>
  <c r="EA526" i="18"/>
  <c r="EA571" i="18" s="1"/>
  <c r="EA573" i="18" s="1"/>
  <c r="EA579" i="18" s="1"/>
  <c r="EE564" i="18"/>
  <c r="EE550" i="18" s="1"/>
  <c r="EE551" i="18" s="1"/>
  <c r="EE526" i="18"/>
  <c r="EE571" i="18" s="1"/>
  <c r="EE577" i="18" s="1"/>
  <c r="EC403" i="18"/>
  <c r="ED404" i="18"/>
  <c r="ED124" i="18"/>
  <c r="E4435" i="3"/>
  <c r="EK85" i="4"/>
  <c r="FF184" i="4"/>
  <c r="FG184" i="4" s="1"/>
  <c r="EL231" i="2"/>
  <c r="EL505" i="2"/>
  <c r="D4463" i="3"/>
  <c r="EL105" i="2"/>
  <c r="DZ573" i="18"/>
  <c r="DZ579" i="18" s="1"/>
  <c r="G4969" i="3"/>
  <c r="EK92" i="4"/>
  <c r="EK145" i="18"/>
  <c r="EK158" i="18" s="1"/>
  <c r="F4464" i="3"/>
  <c r="EE124" i="4"/>
  <c r="EF123" i="4" s="1"/>
  <c r="EF124" i="4" s="1"/>
  <c r="EG123" i="4" s="1"/>
  <c r="EG124" i="4" s="1"/>
  <c r="EH123" i="4" s="1"/>
  <c r="EH124" i="4" s="1"/>
  <c r="EI124" i="4" s="1"/>
  <c r="EJ123" i="4" s="1"/>
  <c r="EJ124" i="4" s="1"/>
  <c r="EK123" i="4" s="1"/>
  <c r="EK124" i="4" s="1"/>
  <c r="F4788" i="3"/>
  <c r="EF480" i="18"/>
  <c r="F4975" i="3"/>
  <c r="F4976" i="3" s="1"/>
  <c r="EG476" i="18"/>
  <c r="F4429" i="3"/>
  <c r="G4429" i="3" s="1"/>
  <c r="EF481" i="18"/>
  <c r="I4542" i="3"/>
  <c r="H5729" i="3"/>
  <c r="C4452" i="3"/>
  <c r="C4453" i="3" s="1"/>
  <c r="L3382" i="3"/>
  <c r="M3379" i="3"/>
  <c r="EI655" i="2"/>
  <c r="DX49" i="18"/>
  <c r="DY278" i="18"/>
  <c r="M25" i="29"/>
  <c r="N22" i="29"/>
  <c r="X5748" i="3"/>
  <c r="X5742" i="3" s="1"/>
  <c r="P5766" i="3" s="1"/>
  <c r="W5742" i="3"/>
  <c r="O5766" i="3" s="1"/>
  <c r="EI199" i="4"/>
  <c r="EI200" i="4" s="1"/>
  <c r="EH200" i="4"/>
  <c r="EH126" i="4" s="1"/>
  <c r="B95" i="6"/>
  <c r="D5590" i="3"/>
  <c r="B146" i="13"/>
  <c r="EI205" i="4"/>
  <c r="EI103" i="10"/>
  <c r="C32" i="11"/>
  <c r="B130" i="13"/>
  <c r="C237" i="24"/>
  <c r="B156" i="13"/>
  <c r="C156" i="13" s="1"/>
  <c r="EI49" i="4"/>
  <c r="B211" i="6"/>
  <c r="B84" i="6"/>
  <c r="D5012" i="3"/>
  <c r="EN77" i="18"/>
  <c r="EN80" i="18" s="1"/>
  <c r="EN103" i="18"/>
  <c r="EN102" i="18"/>
  <c r="H191" i="11"/>
  <c r="I170" i="11"/>
  <c r="EE114" i="18"/>
  <c r="EE110" i="18"/>
  <c r="EF106" i="18"/>
  <c r="EF108" i="18" s="1"/>
  <c r="EE111" i="18"/>
  <c r="EE149" i="18"/>
  <c r="EE137" i="18"/>
  <c r="EE107" i="18"/>
  <c r="Y5742" i="3"/>
  <c r="N5766" i="3"/>
  <c r="M4651" i="3"/>
  <c r="N4635" i="3"/>
  <c r="M4647" i="3"/>
  <c r="H5195" i="3"/>
  <c r="H5198" i="3"/>
  <c r="J5186" i="3"/>
  <c r="J5188" i="3" s="1"/>
  <c r="I5187" i="3"/>
  <c r="I5193" i="3" s="1"/>
  <c r="I5190" i="3"/>
  <c r="J3111" i="3"/>
  <c r="J151" i="11"/>
  <c r="EO98" i="18"/>
  <c r="EP96" i="18"/>
  <c r="EO101" i="18"/>
  <c r="G4464" i="3"/>
  <c r="G4975" i="3"/>
  <c r="G4976" i="3" s="1"/>
  <c r="G4788" i="3"/>
  <c r="L4670" i="3"/>
  <c r="L4663" i="3"/>
  <c r="L4682" i="3" s="1"/>
  <c r="L4565" i="3" s="1"/>
  <c r="EI129" i="18"/>
  <c r="EI134" i="18" s="1"/>
  <c r="EJ134" i="18" s="1"/>
  <c r="EK134" i="18" s="1"/>
  <c r="EN396" i="18"/>
  <c r="EO392" i="18"/>
  <c r="EN397" i="18"/>
  <c r="B135" i="11"/>
  <c r="B136" i="11" s="1"/>
  <c r="EO118" i="18"/>
  <c r="EP123" i="18"/>
  <c r="EE227" i="18"/>
  <c r="EE661" i="18"/>
  <c r="EE211" i="18"/>
  <c r="EI425" i="18"/>
  <c r="EI430" i="18" s="1"/>
  <c r="E4547" i="3"/>
  <c r="F4539" i="3" s="1"/>
  <c r="F4545" i="3" s="1"/>
  <c r="F4546" i="3" s="1"/>
  <c r="E60" i="11"/>
  <c r="C73" i="11"/>
  <c r="B91" i="11"/>
  <c r="B92" i="11" s="1"/>
  <c r="N84" i="11"/>
  <c r="O41" i="11"/>
  <c r="N99" i="11"/>
  <c r="N53" i="11"/>
  <c r="N108" i="11"/>
  <c r="N110" i="11" s="1"/>
  <c r="N126" i="11"/>
  <c r="N141" i="11"/>
  <c r="N65" i="11"/>
  <c r="D4951" i="3"/>
  <c r="D4995" i="3"/>
  <c r="D4965" i="3"/>
  <c r="D4801" i="3"/>
  <c r="D4962" i="3"/>
  <c r="EN289" i="18"/>
  <c r="J4757" i="3"/>
  <c r="J5189" i="3"/>
  <c r="EO395" i="18"/>
  <c r="J4580" i="3"/>
  <c r="J4570" i="3"/>
  <c r="J4572" i="3" s="1"/>
  <c r="J4575" i="3" s="1"/>
  <c r="J4592" i="3"/>
  <c r="J4594" i="3" s="1"/>
  <c r="J4606" i="3" s="1"/>
  <c r="E4459" i="3"/>
  <c r="E4430" i="3"/>
  <c r="EN489" i="18"/>
  <c r="EN394" i="18"/>
  <c r="EN393" i="18" s="1"/>
  <c r="C133" i="11"/>
  <c r="C134" i="11" s="1"/>
  <c r="C135" i="11" s="1"/>
  <c r="D4458" i="3"/>
  <c r="D4468" i="3"/>
  <c r="EF206" i="18"/>
  <c r="EG205" i="18"/>
  <c r="EG207" i="18" s="1"/>
  <c r="EF109" i="18"/>
  <c r="EF149" i="18" s="1"/>
  <c r="EF210" i="18"/>
  <c r="EF213" i="18"/>
  <c r="EF209" i="18"/>
  <c r="K4566" i="3"/>
  <c r="EE121" i="10"/>
  <c r="EE140" i="10"/>
  <c r="EE142" i="10" s="1"/>
  <c r="E68" i="11"/>
  <c r="E69" i="11" s="1"/>
  <c r="D71" i="11"/>
  <c r="E16" i="23"/>
  <c r="EG208" i="18" s="1"/>
  <c r="F11" i="20"/>
  <c r="Q5765" i="3"/>
  <c r="Y5747" i="3"/>
  <c r="AA5747" i="3" s="1"/>
  <c r="EM379" i="18"/>
  <c r="EN374" i="18"/>
  <c r="I4582" i="3"/>
  <c r="I4605" i="3" s="1"/>
  <c r="I4607" i="3" s="1"/>
  <c r="EK342" i="10"/>
  <c r="C4447" i="3"/>
  <c r="D4444" i="3" s="1"/>
  <c r="EF257" i="18"/>
  <c r="EF42" i="18" s="1"/>
  <c r="EC520" i="2"/>
  <c r="EC528" i="2"/>
  <c r="EC530" i="2" s="1"/>
  <c r="EC533" i="2" s="1"/>
  <c r="EC522" i="2"/>
  <c r="EC524" i="2"/>
  <c r="D61" i="11"/>
  <c r="D100" i="11"/>
  <c r="D90" i="11"/>
  <c r="D132" i="11" s="1"/>
  <c r="D142" i="11" s="1"/>
  <c r="D62" i="11"/>
  <c r="EK300" i="18"/>
  <c r="G4920" i="3"/>
  <c r="G4963" i="3"/>
  <c r="G4966" i="3"/>
  <c r="G4970" i="3" s="1"/>
  <c r="G4777" i="3"/>
  <c r="EE360" i="2"/>
  <c r="EE376" i="2"/>
  <c r="EE377" i="2" s="1"/>
  <c r="EE374" i="2"/>
  <c r="EE375" i="2" s="1"/>
  <c r="EE373" i="2"/>
  <c r="EE378" i="2"/>
  <c r="EE433" i="10"/>
  <c r="K4351" i="3"/>
  <c r="J4349" i="3"/>
  <c r="J4974" i="3" s="1"/>
  <c r="J4976" i="3" s="1"/>
  <c r="EK125" i="18"/>
  <c r="EK121" i="18"/>
  <c r="EL117" i="18"/>
  <c r="EK122" i="18"/>
  <c r="R5764" i="3"/>
  <c r="AD5740" i="3"/>
  <c r="H4498" i="3"/>
  <c r="H4559" i="3"/>
  <c r="J4341" i="3"/>
  <c r="J4345" i="3"/>
  <c r="J4344" i="3" s="1"/>
  <c r="J4820" i="3"/>
  <c r="J4337" i="3"/>
  <c r="EH59" i="4"/>
  <c r="EI58" i="4"/>
  <c r="C32" i="25"/>
  <c r="E30" i="25"/>
  <c r="E32" i="25" s="1"/>
  <c r="DU565" i="18"/>
  <c r="DY573" i="18"/>
  <c r="EH285" i="18"/>
  <c r="EI285" i="18" s="1"/>
  <c r="EB228" i="18"/>
  <c r="EB229" i="18" s="1"/>
  <c r="AH5745" i="3"/>
  <c r="AH5739" i="3" s="1"/>
  <c r="X5763" i="3" s="1"/>
  <c r="AG5739" i="3"/>
  <c r="W5763" i="3" s="1"/>
  <c r="M43" i="22"/>
  <c r="L42" i="22"/>
  <c r="P46" i="22"/>
  <c r="O45" i="22"/>
  <c r="N44" i="22"/>
  <c r="K41" i="22"/>
  <c r="R48" i="22"/>
  <c r="Q47" i="22"/>
  <c r="L28" i="22"/>
  <c r="L29" i="22" s="1"/>
  <c r="K4309" i="3"/>
  <c r="K4313" i="3"/>
  <c r="K4332" i="3"/>
  <c r="DY362" i="18"/>
  <c r="DU363" i="18"/>
  <c r="AC5746" i="3"/>
  <c r="AC5740" i="3" s="1"/>
  <c r="AB5740" i="3"/>
  <c r="H4961" i="3"/>
  <c r="H4964" i="3"/>
  <c r="H4958" i="3"/>
  <c r="EK190" i="18"/>
  <c r="EK81" i="18"/>
  <c r="I26" i="29"/>
  <c r="I27" i="29" s="1"/>
  <c r="EL244" i="18"/>
  <c r="FC637" i="2"/>
  <c r="H4952" i="3"/>
  <c r="H4771" i="3"/>
  <c r="ED544" i="18"/>
  <c r="ED545" i="18" s="1"/>
  <c r="B3771" i="3"/>
  <c r="B3772" i="3" s="1"/>
  <c r="V5763" i="3"/>
  <c r="AI5739" i="3"/>
  <c r="G18" i="29"/>
  <c r="H10" i="29"/>
  <c r="EI383" i="18"/>
  <c r="EI388" i="18" s="1"/>
  <c r="EF385" i="18"/>
  <c r="EF433" i="18" s="1"/>
  <c r="G177" i="19"/>
  <c r="F177" i="19"/>
  <c r="EI201" i="18"/>
  <c r="EH312" i="18"/>
  <c r="EH307" i="18" s="1"/>
  <c r="EH54" i="18" s="1"/>
  <c r="EG307" i="18"/>
  <c r="DY59" i="4"/>
  <c r="DU61" i="4"/>
  <c r="DY45" i="4"/>
  <c r="DU46" i="4"/>
  <c r="L4323" i="3"/>
  <c r="L4327" i="3" s="1"/>
  <c r="L4296" i="3"/>
  <c r="H4981" i="3"/>
  <c r="H4983" i="3" s="1"/>
  <c r="H4540" i="3"/>
  <c r="H4355" i="3"/>
  <c r="DZ516" i="2"/>
  <c r="DZ514" i="2"/>
  <c r="DZ512" i="2"/>
  <c r="DZ518" i="2"/>
  <c r="EF434" i="18"/>
  <c r="EF432" i="18"/>
  <c r="EF428" i="18"/>
  <c r="EF438" i="18" s="1"/>
  <c r="EG424" i="18"/>
  <c r="EF494" i="18"/>
  <c r="EF429" i="18"/>
  <c r="EF227" i="2"/>
  <c r="EF383" i="10"/>
  <c r="EF223" i="2"/>
  <c r="EF224" i="2"/>
  <c r="EF498" i="2"/>
  <c r="EJ191" i="18"/>
  <c r="EJ192" i="18"/>
  <c r="EJ200" i="18"/>
  <c r="EJ295" i="18" s="1"/>
  <c r="EE665" i="18"/>
  <c r="EJ456" i="18"/>
  <c r="EJ457" i="18" s="1"/>
  <c r="EJ538" i="18" s="1"/>
  <c r="EG52" i="18"/>
  <c r="Q47" i="21"/>
  <c r="L42" i="21"/>
  <c r="P46" i="21"/>
  <c r="O45" i="21"/>
  <c r="R48" i="21"/>
  <c r="M43" i="21"/>
  <c r="K41" i="21"/>
  <c r="N44" i="21"/>
  <c r="DZ477" i="18"/>
  <c r="DU61" i="18"/>
  <c r="ED85" i="18"/>
  <c r="EE87" i="18"/>
  <c r="ED63" i="2"/>
  <c r="EI64" i="2"/>
  <c r="H26" i="21"/>
  <c r="G86" i="21"/>
  <c r="K4333" i="3"/>
  <c r="K4807" i="3"/>
  <c r="K4334" i="3"/>
  <c r="K4338" i="3"/>
  <c r="L28" i="21"/>
  <c r="N4286" i="3"/>
  <c r="M4299" i="3"/>
  <c r="M4319" i="3"/>
  <c r="M4290" i="3"/>
  <c r="H5732" i="3"/>
  <c r="B54" i="6"/>
  <c r="B55" i="6" s="1"/>
  <c r="B57" i="6" s="1"/>
  <c r="B63" i="6" s="1"/>
  <c r="K4343" i="3"/>
  <c r="K4328" i="3"/>
  <c r="DZ362" i="18"/>
  <c r="ED545" i="1"/>
  <c r="DZ45" i="4"/>
  <c r="I4947" i="3"/>
  <c r="I4950" i="3"/>
  <c r="H15" i="23"/>
  <c r="G8" i="20"/>
  <c r="G13" i="23" s="1"/>
  <c r="F13" i="23"/>
  <c r="H26" i="20"/>
  <c r="G86" i="20"/>
  <c r="EG240" i="18"/>
  <c r="DU62" i="2"/>
  <c r="DY60" i="2"/>
  <c r="C4157" i="3"/>
  <c r="C4140" i="3"/>
  <c r="C4161" i="3" s="1"/>
  <c r="EB522" i="2"/>
  <c r="EB524" i="2"/>
  <c r="EB520" i="2"/>
  <c r="EB528" i="2"/>
  <c r="EB530" i="2" s="1"/>
  <c r="EB533" i="2" s="1"/>
  <c r="C4985" i="3"/>
  <c r="D4179" i="3"/>
  <c r="EQ455" i="18"/>
  <c r="ER460" i="18"/>
  <c r="B3128" i="3"/>
  <c r="B3127" i="3" s="1"/>
  <c r="B3138" i="3"/>
  <c r="B3123" i="3"/>
  <c r="B3122" i="3" s="1"/>
  <c r="B3115" i="3"/>
  <c r="C3143" i="3"/>
  <c r="C3142" i="3" s="1"/>
  <c r="C3152" i="3" s="1"/>
  <c r="L4325" i="3"/>
  <c r="L4324" i="3"/>
  <c r="EF431" i="10"/>
  <c r="EF362" i="2"/>
  <c r="EF363" i="2" s="1"/>
  <c r="EF361" i="2"/>
  <c r="EA419" i="18"/>
  <c r="EA415" i="18"/>
  <c r="J4945" i="3"/>
  <c r="J4489" i="3"/>
  <c r="EA43" i="18"/>
  <c r="EA260" i="18"/>
  <c r="O76" i="11"/>
  <c r="N81" i="11"/>
  <c r="N4320" i="3"/>
  <c r="Q4287" i="3"/>
  <c r="N4300" i="3"/>
  <c r="P4287" i="3"/>
  <c r="N4321" i="3"/>
  <c r="Q4288" i="3"/>
  <c r="N4301" i="3"/>
  <c r="P4288" i="3"/>
  <c r="J87" i="22"/>
  <c r="H10" i="22" s="1"/>
  <c r="H11" i="22" s="1"/>
  <c r="EG223" i="18"/>
  <c r="EG220" i="18"/>
  <c r="EG276" i="18"/>
  <c r="EH215" i="18"/>
  <c r="EG219" i="18"/>
  <c r="EG277" i="18"/>
  <c r="L4311" i="3"/>
  <c r="L4303" i="3"/>
  <c r="L4330" i="3"/>
  <c r="H4788" i="3"/>
  <c r="H4975" i="3"/>
  <c r="H4464" i="3"/>
  <c r="ER339" i="18"/>
  <c r="EQ58" i="18"/>
  <c r="EE222" i="2"/>
  <c r="EE236" i="2"/>
  <c r="EE237" i="2"/>
  <c r="EE238" i="2" s="1"/>
  <c r="EE385" i="10"/>
  <c r="EE239" i="2"/>
  <c r="EE240" i="2" s="1"/>
  <c r="EE241" i="2"/>
  <c r="B4140" i="3"/>
  <c r="B4161" i="3" s="1"/>
  <c r="B4157" i="3"/>
  <c r="C4748" i="3"/>
  <c r="D4555" i="3"/>
  <c r="E4551" i="3"/>
  <c r="D4553" i="3"/>
  <c r="D4561" i="3" s="1"/>
  <c r="I4495" i="3"/>
  <c r="I4350" i="3"/>
  <c r="I4362" i="3"/>
  <c r="I4364" i="3" s="1"/>
  <c r="I4956" i="3"/>
  <c r="EC579" i="18"/>
  <c r="EM159" i="18"/>
  <c r="EL37" i="18"/>
  <c r="I209" i="11"/>
  <c r="K87" i="20"/>
  <c r="Q46" i="20"/>
  <c r="S48" i="20"/>
  <c r="M29" i="20"/>
  <c r="M42" i="20"/>
  <c r="P45" i="20"/>
  <c r="N43" i="20"/>
  <c r="T49" i="20"/>
  <c r="V51" i="20"/>
  <c r="W52" i="20"/>
  <c r="U50" i="20"/>
  <c r="L41" i="20"/>
  <c r="L85" i="20" s="1"/>
  <c r="X53" i="20"/>
  <c r="Y54" i="20"/>
  <c r="Z55" i="20"/>
  <c r="AA56" i="20"/>
  <c r="AD59" i="20"/>
  <c r="AB57" i="20"/>
  <c r="AC58" i="20"/>
  <c r="AE60" i="20"/>
  <c r="R47" i="20"/>
  <c r="O44" i="20"/>
  <c r="EC677" i="18"/>
  <c r="EC687" i="18"/>
  <c r="EC678" i="18"/>
  <c r="EG377" i="18"/>
  <c r="EE419" i="18"/>
  <c r="EE415" i="18"/>
  <c r="EE55" i="18"/>
  <c r="J4340" i="3"/>
  <c r="J4336" i="3"/>
  <c r="EI84" i="18"/>
  <c r="EI85" i="18" s="1"/>
  <c r="EH87" i="18"/>
  <c r="EF136" i="18"/>
  <c r="EF133" i="18"/>
  <c r="EG128" i="18"/>
  <c r="EF132" i="18"/>
  <c r="H3383" i="3"/>
  <c r="H3384" i="3" s="1"/>
  <c r="I4492" i="3"/>
  <c r="B294" i="24"/>
  <c r="EK195" i="18"/>
  <c r="EK284" i="18" s="1"/>
  <c r="D80" i="24"/>
  <c r="EJ197" i="18"/>
  <c r="EJ83" i="18"/>
  <c r="D4848" i="3"/>
  <c r="E4842" i="3"/>
  <c r="D4844" i="3"/>
  <c r="H215" i="11"/>
  <c r="I221" i="11"/>
  <c r="EG302" i="18"/>
  <c r="EG299" i="18"/>
  <c r="EH294" i="18"/>
  <c r="EG306" i="18"/>
  <c r="EG298" i="18"/>
  <c r="EI372" i="18"/>
  <c r="EH373" i="18"/>
  <c r="EH403" i="18" s="1"/>
  <c r="G4354" i="3"/>
  <c r="G4356" i="3" s="1"/>
  <c r="F4360" i="3"/>
  <c r="F4361" i="3" s="1"/>
  <c r="F4363" i="3" s="1"/>
  <c r="ED562" i="18"/>
  <c r="ED546" i="18" s="1"/>
  <c r="ED547" i="18" s="1"/>
  <c r="DZ546" i="18"/>
  <c r="DZ547" i="18" s="1"/>
  <c r="EB325" i="18"/>
  <c r="ED502" i="2"/>
  <c r="DY654" i="2"/>
  <c r="DY652" i="2"/>
  <c r="DY655" i="2"/>
  <c r="H26" i="22"/>
  <c r="G86" i="22"/>
  <c r="EJ160" i="18"/>
  <c r="EJ161" i="18" s="1"/>
  <c r="EJ162" i="18"/>
  <c r="EJ36" i="18"/>
  <c r="ED58" i="4"/>
  <c r="DZ59" i="4"/>
  <c r="H3369" i="3"/>
  <c r="I4344" i="3"/>
  <c r="C81" i="24"/>
  <c r="C84" i="24"/>
  <c r="C83" i="24"/>
  <c r="EM73" i="18"/>
  <c r="EL79" i="18"/>
  <c r="EL78" i="18" s="1"/>
  <c r="EL74" i="18"/>
  <c r="EZ66" i="4" l="1"/>
  <c r="EY99" i="4"/>
  <c r="C103" i="37"/>
  <c r="EY196" i="4"/>
  <c r="EY115" i="10" s="1"/>
  <c r="FA182" i="4"/>
  <c r="EZ185" i="4"/>
  <c r="EB176" i="18"/>
  <c r="EB183" i="18" s="1"/>
  <c r="EB696" i="18"/>
  <c r="EB698" i="18" s="1"/>
  <c r="EB699" i="18" s="1"/>
  <c r="DW269" i="2"/>
  <c r="DV310" i="2"/>
  <c r="DV568" i="2"/>
  <c r="DV265" i="2"/>
  <c r="DW107" i="2"/>
  <c r="DW263" i="2" s="1"/>
  <c r="DV391" i="10"/>
  <c r="C82" i="41"/>
  <c r="B59" i="42"/>
  <c r="C184" i="3"/>
  <c r="E186" i="3" s="1"/>
  <c r="B223" i="41"/>
  <c r="B213" i="41"/>
  <c r="B214" i="41"/>
  <c r="EB151" i="2"/>
  <c r="EB147" i="2" s="1"/>
  <c r="EB152" i="2" s="1"/>
  <c r="EB165" i="2"/>
  <c r="EC146" i="2"/>
  <c r="EC148" i="2" s="1"/>
  <c r="EC157" i="2"/>
  <c r="D1670" i="3"/>
  <c r="O1619" i="3"/>
  <c r="N1639" i="3"/>
  <c r="N1617" i="3"/>
  <c r="M1637" i="3"/>
  <c r="O1621" i="3"/>
  <c r="P1614" i="3"/>
  <c r="O1634" i="3"/>
  <c r="EC149" i="2"/>
  <c r="EC160" i="2" s="1"/>
  <c r="E1649" i="3" s="1"/>
  <c r="E1606" i="3"/>
  <c r="E1608" i="3" s="1"/>
  <c r="N1618" i="3"/>
  <c r="M1638" i="3"/>
  <c r="D1654" i="3"/>
  <c r="D1653" i="3"/>
  <c r="C1632" i="3"/>
  <c r="C1631" i="3" s="1"/>
  <c r="O1620" i="3"/>
  <c r="N1640" i="3"/>
  <c r="P1611" i="3"/>
  <c r="O1631" i="3"/>
  <c r="EM88" i="2"/>
  <c r="M1607" i="3"/>
  <c r="M1622" i="3" s="1"/>
  <c r="N1622" i="3" s="1"/>
  <c r="O1612" i="3"/>
  <c r="N1632" i="3"/>
  <c r="N1616" i="3"/>
  <c r="M1636" i="3"/>
  <c r="N1615" i="3"/>
  <c r="M1635" i="3"/>
  <c r="N1613" i="3"/>
  <c r="M1633" i="3"/>
  <c r="FH14" i="36"/>
  <c r="FJ342" i="36"/>
  <c r="FJ466" i="36" s="1"/>
  <c r="FI466" i="36"/>
  <c r="FI476" i="36" s="1"/>
  <c r="FI45" i="36"/>
  <c r="FI46" i="36" s="1"/>
  <c r="FI205" i="36"/>
  <c r="FI213" i="36" s="1"/>
  <c r="FL643" i="36"/>
  <c r="EH62" i="35"/>
  <c r="EH68" i="35"/>
  <c r="EI68" i="35" s="1"/>
  <c r="EH63" i="35"/>
  <c r="EM63" i="35"/>
  <c r="EI61" i="35"/>
  <c r="EW360" i="36"/>
  <c r="FB362" i="36"/>
  <c r="EU380" i="36"/>
  <c r="EU376" i="36"/>
  <c r="EU377" i="36" s="1"/>
  <c r="EU374" i="36"/>
  <c r="EU375" i="36" s="1"/>
  <c r="EU373" i="36"/>
  <c r="EU378" i="36"/>
  <c r="ED46" i="35"/>
  <c r="ED48" i="35" s="1"/>
  <c r="DZ48" i="35"/>
  <c r="FH611" i="36"/>
  <c r="FH612" i="36" s="1"/>
  <c r="FH652" i="36"/>
  <c r="FH644" i="36"/>
  <c r="FH635" i="36"/>
  <c r="FD365" i="36"/>
  <c r="FG16" i="35"/>
  <c r="FH15" i="35"/>
  <c r="FL453" i="36"/>
  <c r="FL455" i="36" s="1"/>
  <c r="FL319" i="36"/>
  <c r="FL367" i="36" s="1"/>
  <c r="EX31" i="36"/>
  <c r="EX34" i="36"/>
  <c r="FB19" i="35"/>
  <c r="FB53" i="35"/>
  <c r="FC18" i="35"/>
  <c r="DY61" i="35"/>
  <c r="DY62" i="35" s="1"/>
  <c r="DU68" i="35"/>
  <c r="DY68" i="35" s="1"/>
  <c r="DU199" i="35"/>
  <c r="DU200" i="35" s="1"/>
  <c r="DU126" i="35" s="1"/>
  <c r="DU62" i="35"/>
  <c r="FC637" i="36"/>
  <c r="FC640" i="36"/>
  <c r="ET384" i="36"/>
  <c r="ET385" i="36" s="1"/>
  <c r="ET382" i="36"/>
  <c r="ET383" i="36" s="1"/>
  <c r="ET381" i="36"/>
  <c r="ET386" i="36"/>
  <c r="ET19" i="36"/>
  <c r="ET388" i="36"/>
  <c r="EL164" i="35"/>
  <c r="EX526" i="36"/>
  <c r="EX527" i="36" s="1"/>
  <c r="EW527" i="36"/>
  <c r="FC27" i="36"/>
  <c r="FB31" i="36"/>
  <c r="FB34" i="36"/>
  <c r="ET511" i="36"/>
  <c r="ET516" i="36"/>
  <c r="ET70" i="36"/>
  <c r="ET518" i="36"/>
  <c r="ET514" i="36"/>
  <c r="ET515" i="36" s="1"/>
  <c r="ET512" i="36"/>
  <c r="ET513" i="36" s="1"/>
  <c r="FC436" i="36"/>
  <c r="FC603" i="36"/>
  <c r="FC432" i="36"/>
  <c r="FD428" i="36"/>
  <c r="EX54" i="36"/>
  <c r="EX55" i="36" s="1"/>
  <c r="EW55" i="36"/>
  <c r="EX645" i="36"/>
  <c r="EX639" i="36"/>
  <c r="FD54" i="35"/>
  <c r="EM159" i="35"/>
  <c r="EN159" i="35" s="1"/>
  <c r="FM654" i="36"/>
  <c r="EV54" i="35"/>
  <c r="EX53" i="35"/>
  <c r="EX54" i="35" s="1"/>
  <c r="FA54" i="35"/>
  <c r="FG252" i="36"/>
  <c r="FG253" i="36"/>
  <c r="FG27" i="36"/>
  <c r="FH27" i="36" s="1"/>
  <c r="FE55" i="36"/>
  <c r="FH417" i="36"/>
  <c r="FD420" i="36"/>
  <c r="FL299" i="36"/>
  <c r="FL425" i="36" s="1"/>
  <c r="FL296" i="36"/>
  <c r="FL295" i="36"/>
  <c r="FL317" i="36"/>
  <c r="FL339" i="36" s="1"/>
  <c r="FG478" i="36"/>
  <c r="FG470" i="36"/>
  <c r="FH468" i="36"/>
  <c r="FH478" i="36" s="1"/>
  <c r="FF54" i="36"/>
  <c r="FF55" i="36" s="1"/>
  <c r="FF15" i="36"/>
  <c r="FE527" i="36"/>
  <c r="FG12" i="36"/>
  <c r="FG13" i="36"/>
  <c r="FH9" i="36"/>
  <c r="FM643" i="36"/>
  <c r="FH252" i="36"/>
  <c r="FH253" i="36"/>
  <c r="DX199" i="35"/>
  <c r="DV199" i="35"/>
  <c r="DV200" i="35" s="1"/>
  <c r="DV126" i="35" s="1"/>
  <c r="DY48" i="35"/>
  <c r="DW199" i="35"/>
  <c r="DW200" i="35" s="1"/>
  <c r="DW126" i="35" s="1"/>
  <c r="DU49" i="35"/>
  <c r="DU205" i="35"/>
  <c r="FF526" i="36"/>
  <c r="FF480" i="36"/>
  <c r="FC650" i="36"/>
  <c r="FC661" i="36" s="1"/>
  <c r="FC651" i="36"/>
  <c r="FC662" i="36" s="1"/>
  <c r="FC648" i="36"/>
  <c r="FC659" i="36" s="1"/>
  <c r="FC663" i="36" s="1"/>
  <c r="FC649" i="36"/>
  <c r="FC660" i="36" s="1"/>
  <c r="FB54" i="36"/>
  <c r="FB55" i="36" s="1"/>
  <c r="FB15" i="36"/>
  <c r="FM282" i="36"/>
  <c r="FM283" i="36" s="1"/>
  <c r="FM291" i="36"/>
  <c r="EU500" i="36"/>
  <c r="EU501" i="36" s="1"/>
  <c r="EU499" i="36"/>
  <c r="EU502" i="36"/>
  <c r="EU503" i="36" s="1"/>
  <c r="EU510" i="36"/>
  <c r="FC252" i="36"/>
  <c r="FC253" i="36"/>
  <c r="EZ361" i="36"/>
  <c r="EZ372" i="36"/>
  <c r="EZ364" i="36"/>
  <c r="EZ365" i="36" s="1"/>
  <c r="EZ498" i="36"/>
  <c r="EX15" i="36"/>
  <c r="EX570" i="36"/>
  <c r="EY502" i="36"/>
  <c r="EY503" i="36" s="1"/>
  <c r="EY500" i="36"/>
  <c r="EY501" i="36" s="1"/>
  <c r="EY499" i="36"/>
  <c r="EY510" i="36"/>
  <c r="FK204" i="36"/>
  <c r="FJ205" i="36"/>
  <c r="EN58" i="35"/>
  <c r="EJ59" i="35"/>
  <c r="FI351" i="36"/>
  <c r="FI344" i="36"/>
  <c r="FC12" i="36"/>
  <c r="FC13" i="36"/>
  <c r="FA360" i="36"/>
  <c r="FF362" i="36"/>
  <c r="FF360" i="36" s="1"/>
  <c r="DZ62" i="35"/>
  <c r="ED61" i="35"/>
  <c r="DZ68" i="35"/>
  <c r="ED68" i="35" s="1"/>
  <c r="DZ63" i="35"/>
  <c r="EE63" i="35"/>
  <c r="FE361" i="36"/>
  <c r="FE372" i="36"/>
  <c r="FE364" i="36"/>
  <c r="FE498" i="36"/>
  <c r="FC470" i="36"/>
  <c r="FC480" i="36" s="1"/>
  <c r="FB526" i="36"/>
  <c r="FB480" i="36"/>
  <c r="FD499" i="36"/>
  <c r="FD500" i="36"/>
  <c r="FD510" i="36"/>
  <c r="FD502" i="36"/>
  <c r="FF34" i="36"/>
  <c r="FF31" i="36"/>
  <c r="DU63" i="36"/>
  <c r="DY62" i="36"/>
  <c r="DY63" i="36" s="1"/>
  <c r="EX52" i="36"/>
  <c r="FC52" i="36"/>
  <c r="EV364" i="36"/>
  <c r="EV365" i="36" s="1"/>
  <c r="EV361" i="36"/>
  <c r="EV372" i="36"/>
  <c r="EV498" i="36"/>
  <c r="FA527" i="36"/>
  <c r="FB434" i="36"/>
  <c r="FC429" i="36"/>
  <c r="FC434" i="36" s="1"/>
  <c r="EY380" i="36"/>
  <c r="EY378" i="36"/>
  <c r="EY374" i="36"/>
  <c r="EY375" i="36" s="1"/>
  <c r="EY376" i="36"/>
  <c r="EY377" i="36" s="1"/>
  <c r="EY373" i="36"/>
  <c r="FD376" i="36"/>
  <c r="FD373" i="36"/>
  <c r="FD374" i="36"/>
  <c r="FD380" i="36"/>
  <c r="FD378" i="36"/>
  <c r="EN638" i="36"/>
  <c r="EN639" i="36" s="1"/>
  <c r="FH638" i="36"/>
  <c r="F151" i="3"/>
  <c r="EX202" i="4"/>
  <c r="EX115" i="10"/>
  <c r="EA225" i="2"/>
  <c r="EA76" i="2"/>
  <c r="EB159" i="2"/>
  <c r="EA162" i="2"/>
  <c r="E2487" i="3"/>
  <c r="F2482" i="3"/>
  <c r="F2484" i="3" s="1"/>
  <c r="EA74" i="2"/>
  <c r="EA500" i="2"/>
  <c r="DV124" i="2"/>
  <c r="M171" i="11"/>
  <c r="L192" i="11"/>
  <c r="E101" i="11"/>
  <c r="E143" i="11" s="1"/>
  <c r="E79" i="11"/>
  <c r="E78" i="11" s="1"/>
  <c r="E70" i="11"/>
  <c r="E74" i="11"/>
  <c r="D143" i="11"/>
  <c r="EC104" i="2"/>
  <c r="EC106" i="2" s="1"/>
  <c r="EC129" i="2" s="1"/>
  <c r="DX129" i="2" s="1"/>
  <c r="DX124" i="2" s="1"/>
  <c r="B3962" i="3"/>
  <c r="B3963" i="3" s="1"/>
  <c r="EQ93" i="18"/>
  <c r="EM105" i="2"/>
  <c r="EA512" i="2"/>
  <c r="EA514" i="2"/>
  <c r="EA518" i="2"/>
  <c r="ED518" i="2" s="1"/>
  <c r="EA516" i="2"/>
  <c r="EM506" i="2"/>
  <c r="EM507" i="2"/>
  <c r="EM508" i="2" s="1"/>
  <c r="E143" i="19"/>
  <c r="E160" i="19"/>
  <c r="EJ58" i="4"/>
  <c r="EJ59" i="4" s="1"/>
  <c r="EJ61" i="4" s="1"/>
  <c r="EO63" i="4" s="1"/>
  <c r="EN538" i="1"/>
  <c r="DX308" i="2"/>
  <c r="EC84" i="2"/>
  <c r="D3107" i="3"/>
  <c r="EC341" i="10"/>
  <c r="EC343" i="10" s="1"/>
  <c r="ED82" i="2"/>
  <c r="E3105" i="3"/>
  <c r="E3107" i="3" s="1"/>
  <c r="EC83" i="2"/>
  <c r="ED83" i="2" s="1"/>
  <c r="D3118" i="3"/>
  <c r="D3119" i="3" s="1"/>
  <c r="C3127" i="3"/>
  <c r="C3137" i="3" s="1"/>
  <c r="C3147" i="3" s="1"/>
  <c r="DX560" i="2"/>
  <c r="DY106" i="2"/>
  <c r="DY118" i="2" s="1"/>
  <c r="C3132" i="3"/>
  <c r="DV141" i="2"/>
  <c r="C3119" i="3"/>
  <c r="C3115" i="3" s="1"/>
  <c r="DY104" i="2"/>
  <c r="B126" i="24"/>
  <c r="B134" i="24" s="1"/>
  <c r="C125" i="24"/>
  <c r="DX108" i="2"/>
  <c r="DV174" i="2"/>
  <c r="DU124" i="2"/>
  <c r="DU126" i="2" s="1"/>
  <c r="DU185" i="10"/>
  <c r="DU176" i="2"/>
  <c r="DU120" i="2"/>
  <c r="DU143" i="2"/>
  <c r="DU561" i="2" a="1"/>
  <c r="DU561" i="2" s="1"/>
  <c r="DU94" i="2"/>
  <c r="DV542" i="2"/>
  <c r="DW565" i="2"/>
  <c r="DW566" i="2" s="1"/>
  <c r="EC554" i="18"/>
  <c r="EC555" i="18" s="1"/>
  <c r="EC565" i="18"/>
  <c r="EC552" i="18" s="1"/>
  <c r="EC553" i="18" s="1"/>
  <c r="EB565" i="18"/>
  <c r="EB585" i="18" s="1"/>
  <c r="EB589" i="18" s="1"/>
  <c r="EA150" i="18"/>
  <c r="EA151" i="18" s="1"/>
  <c r="EB588" i="18"/>
  <c r="DZ665" i="18"/>
  <c r="ED664" i="18"/>
  <c r="DZ669" i="18"/>
  <c r="ED566" i="2"/>
  <c r="ED567" i="2"/>
  <c r="C5719" i="3"/>
  <c r="ED569" i="2"/>
  <c r="ED570" i="2"/>
  <c r="B3774" i="3"/>
  <c r="DZ151" i="18"/>
  <c r="DZ152" i="18" s="1"/>
  <c r="DZ154" i="18"/>
  <c r="DZ143" i="18"/>
  <c r="DZ144" i="18" s="1"/>
  <c r="B341" i="24"/>
  <c r="EE573" i="18"/>
  <c r="EE579" i="18" s="1"/>
  <c r="ED502" i="18"/>
  <c r="ED503" i="18" s="1"/>
  <c r="EA599" i="18"/>
  <c r="ED599" i="18" s="1"/>
  <c r="EA532" i="18"/>
  <c r="EA565" i="18" s="1"/>
  <c r="EA585" i="18" s="1"/>
  <c r="EA589" i="18" s="1"/>
  <c r="EA516" i="18"/>
  <c r="EA517" i="18" s="1"/>
  <c r="B3981" i="3"/>
  <c r="C3981" i="3" s="1"/>
  <c r="ED526" i="18"/>
  <c r="B34" i="24"/>
  <c r="ED531" i="18"/>
  <c r="ED516" i="18" s="1"/>
  <c r="ED517" i="18" s="1"/>
  <c r="B3756" i="3"/>
  <c r="B3760" i="3" s="1"/>
  <c r="B3787" i="3" s="1"/>
  <c r="B3798" i="3" s="1"/>
  <c r="EA554" i="18"/>
  <c r="EA555" i="18" s="1"/>
  <c r="EA588" i="18"/>
  <c r="ED566" i="18"/>
  <c r="B3776" i="3" s="1"/>
  <c r="EE532" i="18"/>
  <c r="EE534" i="18" s="1"/>
  <c r="EE566" i="18"/>
  <c r="EE516" i="18"/>
  <c r="EE517" i="18" s="1"/>
  <c r="EE586" i="18"/>
  <c r="ED571" i="18"/>
  <c r="ED577" i="18" s="1"/>
  <c r="EA577" i="18"/>
  <c r="EC409" i="18"/>
  <c r="EC414" i="18"/>
  <c r="ED403" i="18"/>
  <c r="ED409" i="18" s="1"/>
  <c r="EJ91" i="4"/>
  <c r="EJ93" i="4" s="1"/>
  <c r="EK89" i="4"/>
  <c r="EK87" i="4" s="1"/>
  <c r="EK86" i="4" s="1"/>
  <c r="EL506" i="2"/>
  <c r="EL507" i="2"/>
  <c r="EL508" i="2" s="1"/>
  <c r="DZ565" i="18"/>
  <c r="DZ600" i="18" s="1"/>
  <c r="ED573" i="18"/>
  <c r="ED579" i="18" s="1"/>
  <c r="EL145" i="18"/>
  <c r="EM145" i="18" s="1"/>
  <c r="EL92" i="4"/>
  <c r="EM92" i="4" s="1"/>
  <c r="H4969" i="3"/>
  <c r="C35" i="11"/>
  <c r="EN123" i="4"/>
  <c r="F4460" i="3"/>
  <c r="F4463" i="3" s="1"/>
  <c r="F4435" i="3"/>
  <c r="EG308" i="18"/>
  <c r="EG309" i="18" s="1"/>
  <c r="EC680" i="18"/>
  <c r="EC681" i="18" s="1"/>
  <c r="C4433" i="3"/>
  <c r="C4434" i="3" s="1"/>
  <c r="D4541" i="3" s="1"/>
  <c r="C4462" i="3"/>
  <c r="C4465" i="3" s="1"/>
  <c r="C4501" i="3"/>
  <c r="EJ216" i="18"/>
  <c r="EJ129" i="18"/>
  <c r="EF137" i="18"/>
  <c r="DX50" i="18"/>
  <c r="DY49" i="18"/>
  <c r="M3382" i="3"/>
  <c r="N3379" i="3"/>
  <c r="EO289" i="18"/>
  <c r="EF32" i="18"/>
  <c r="EF153" i="18"/>
  <c r="E71" i="11"/>
  <c r="EE547" i="18"/>
  <c r="AB5747" i="3"/>
  <c r="AA5741" i="3"/>
  <c r="C136" i="11"/>
  <c r="C129" i="11"/>
  <c r="C128" i="11"/>
  <c r="E100" i="11"/>
  <c r="E62" i="11"/>
  <c r="E61" i="11"/>
  <c r="E90" i="11"/>
  <c r="E132" i="11" s="1"/>
  <c r="E142" i="11" s="1"/>
  <c r="N4651" i="3"/>
  <c r="N4647" i="3"/>
  <c r="I5198" i="3"/>
  <c r="I5195" i="3"/>
  <c r="M4670" i="3"/>
  <c r="M4663" i="3"/>
  <c r="M4682" i="3" s="1"/>
  <c r="M4565" i="3" s="1"/>
  <c r="F4547" i="3"/>
  <c r="G4539" i="3" s="1"/>
  <c r="G4545" i="3" s="1"/>
  <c r="G4546" i="3" s="1"/>
  <c r="G4547" i="3" s="1"/>
  <c r="H4539" i="3" s="1"/>
  <c r="H4545" i="3" s="1"/>
  <c r="G11" i="20"/>
  <c r="F16" i="23"/>
  <c r="EH208" i="18" s="1"/>
  <c r="EF111" i="18"/>
  <c r="EF110" i="18"/>
  <c r="EF107" i="18"/>
  <c r="EF112" i="18" s="1"/>
  <c r="EF114" i="18"/>
  <c r="EG106" i="18"/>
  <c r="EG108" i="18" s="1"/>
  <c r="EO396" i="18"/>
  <c r="EO397" i="18"/>
  <c r="EP392" i="18"/>
  <c r="D5009" i="3"/>
  <c r="D5002" i="3"/>
  <c r="B129" i="11"/>
  <c r="B128" i="11"/>
  <c r="L4566" i="3"/>
  <c r="L4570" i="3" s="1"/>
  <c r="L4572" i="3" s="1"/>
  <c r="L4575" i="3" s="1"/>
  <c r="D5014" i="3"/>
  <c r="D5016" i="3"/>
  <c r="D5015" i="3"/>
  <c r="J4582" i="3"/>
  <c r="J4605" i="3" s="1"/>
  <c r="J4607" i="3" s="1"/>
  <c r="K4542" i="3" s="1"/>
  <c r="E170" i="19"/>
  <c r="EI121" i="10"/>
  <c r="EI140" i="10"/>
  <c r="EI142" i="10" s="1"/>
  <c r="EL342" i="10"/>
  <c r="EG257" i="18"/>
  <c r="EG42" i="18" s="1"/>
  <c r="EG209" i="18"/>
  <c r="EH205" i="18"/>
  <c r="EH207" i="18" s="1"/>
  <c r="EI207" i="18" s="1"/>
  <c r="EI212" i="18" s="1"/>
  <c r="EG206" i="18"/>
  <c r="EG109" i="18"/>
  <c r="EG210" i="18"/>
  <c r="EG213" i="18"/>
  <c r="K5189" i="3"/>
  <c r="K4570" i="3"/>
  <c r="K4572" i="3" s="1"/>
  <c r="K4575" i="3" s="1"/>
  <c r="K4592" i="3"/>
  <c r="K4594" i="3" s="1"/>
  <c r="K4606" i="3" s="1"/>
  <c r="K4580" i="3"/>
  <c r="EP395" i="18"/>
  <c r="K4757" i="3"/>
  <c r="C82" i="6"/>
  <c r="E4461" i="3"/>
  <c r="K5186" i="3"/>
  <c r="K5188" i="3" s="1"/>
  <c r="J5187" i="3"/>
  <c r="J5193" i="3" s="1"/>
  <c r="J5190" i="3"/>
  <c r="O53" i="11"/>
  <c r="O141" i="11"/>
  <c r="O65" i="11"/>
  <c r="O108" i="11"/>
  <c r="O110" i="11" s="1"/>
  <c r="O99" i="11"/>
  <c r="O84" i="11"/>
  <c r="P41" i="11"/>
  <c r="O126" i="11"/>
  <c r="Q5766" i="3"/>
  <c r="Y5748" i="3"/>
  <c r="AA5748" i="3" s="1"/>
  <c r="EI126" i="4"/>
  <c r="C36" i="11"/>
  <c r="EF227" i="18"/>
  <c r="EF661" i="18"/>
  <c r="EF660" i="18" s="1"/>
  <c r="EF669" i="18" s="1"/>
  <c r="EF211" i="18"/>
  <c r="EO103" i="18"/>
  <c r="EO102" i="18"/>
  <c r="EO77" i="18"/>
  <c r="EO80" i="18" s="1"/>
  <c r="K151" i="11"/>
  <c r="EE112" i="18"/>
  <c r="I191" i="11"/>
  <c r="J170" i="11"/>
  <c r="O22" i="29"/>
  <c r="N25" i="29"/>
  <c r="EO489" i="18"/>
  <c r="EO394" i="18"/>
  <c r="EO393" i="18" s="1"/>
  <c r="EQ96" i="18"/>
  <c r="EP98" i="18"/>
  <c r="EP101" i="18"/>
  <c r="B93" i="11"/>
  <c r="B94" i="11" s="1"/>
  <c r="EJ239" i="18"/>
  <c r="EN379" i="18"/>
  <c r="EO374" i="18"/>
  <c r="C91" i="11"/>
  <c r="C92" i="11" s="1"/>
  <c r="C93" i="11" s="1"/>
  <c r="D73" i="11"/>
  <c r="EE153" i="18"/>
  <c r="EE32" i="18"/>
  <c r="I5729" i="3"/>
  <c r="J4542" i="3"/>
  <c r="I4437" i="3"/>
  <c r="EE660" i="18"/>
  <c r="C146" i="13"/>
  <c r="D133" i="11"/>
  <c r="D134" i="11" s="1"/>
  <c r="D135" i="11" s="1"/>
  <c r="EQ123" i="18"/>
  <c r="EP118" i="18"/>
  <c r="B223" i="6"/>
  <c r="B213" i="6"/>
  <c r="C130" i="13"/>
  <c r="EI403" i="18"/>
  <c r="EI409" i="18" s="1"/>
  <c r="R46" i="20"/>
  <c r="Q45" i="20"/>
  <c r="O43" i="20"/>
  <c r="T48" i="20"/>
  <c r="N42" i="20"/>
  <c r="V50" i="20"/>
  <c r="X52" i="20"/>
  <c r="U49" i="20"/>
  <c r="W51" i="20"/>
  <c r="Y53" i="20"/>
  <c r="AB56" i="20"/>
  <c r="AC57" i="20"/>
  <c r="AA55" i="20"/>
  <c r="Z54" i="20"/>
  <c r="AE59" i="20"/>
  <c r="AD58" i="20"/>
  <c r="AF60" i="20"/>
  <c r="M41" i="20"/>
  <c r="M85" i="20" s="1"/>
  <c r="P44" i="20"/>
  <c r="S47" i="20"/>
  <c r="Q4301" i="3"/>
  <c r="P4301" i="3"/>
  <c r="M4325" i="3"/>
  <c r="M4324" i="3"/>
  <c r="EG426" i="18"/>
  <c r="EG427" i="18" s="1"/>
  <c r="EN73" i="18"/>
  <c r="EM79" i="18"/>
  <c r="EM78" i="18" s="1"/>
  <c r="EM74" i="18"/>
  <c r="EG311" i="18"/>
  <c r="EG53" i="18"/>
  <c r="D4911" i="3"/>
  <c r="L4328" i="3"/>
  <c r="L4343" i="3"/>
  <c r="M4330" i="3"/>
  <c r="M4311" i="3"/>
  <c r="M4303" i="3"/>
  <c r="I26" i="21"/>
  <c r="H86" i="21"/>
  <c r="EF226" i="2"/>
  <c r="EF437" i="18"/>
  <c r="H12" i="29"/>
  <c r="T5764" i="3"/>
  <c r="K4336" i="3"/>
  <c r="K4340" i="3"/>
  <c r="L4351" i="3"/>
  <c r="K4349" i="3"/>
  <c r="K4974" i="3" s="1"/>
  <c r="K4976" i="3" s="1"/>
  <c r="EK129" i="18"/>
  <c r="EL134" i="18"/>
  <c r="EL300" i="18"/>
  <c r="F4842" i="3"/>
  <c r="E4848" i="3"/>
  <c r="E4844" i="3"/>
  <c r="L87" i="20"/>
  <c r="P76" i="11"/>
  <c r="P81" i="11" s="1"/>
  <c r="O81" i="11"/>
  <c r="EF502" i="2"/>
  <c r="EF503" i="2" s="1"/>
  <c r="EF499" i="2"/>
  <c r="EF510" i="2"/>
  <c r="EH296" i="18"/>
  <c r="EI296" i="18" s="1"/>
  <c r="EI301" i="18" s="1"/>
  <c r="EJ301" i="18" s="1"/>
  <c r="J221" i="11"/>
  <c r="I215" i="11"/>
  <c r="I4964" i="3"/>
  <c r="I4958" i="3"/>
  <c r="EN531" i="36" s="1"/>
  <c r="EN532" i="36" s="1"/>
  <c r="I4961" i="3"/>
  <c r="D4560" i="3"/>
  <c r="D4795" i="3"/>
  <c r="EH217" i="18"/>
  <c r="EI217" i="18" s="1"/>
  <c r="EI222" i="18" s="1"/>
  <c r="EJ222" i="18" s="1"/>
  <c r="DY62" i="2"/>
  <c r="DY63" i="2" s="1"/>
  <c r="DU63" i="2"/>
  <c r="I4952" i="3"/>
  <c r="FD637" i="2"/>
  <c r="I4771" i="3"/>
  <c r="EN637" i="2"/>
  <c r="P4286" i="3"/>
  <c r="N4290" i="3"/>
  <c r="Q4286" i="3"/>
  <c r="N4299" i="3"/>
  <c r="N4319" i="3"/>
  <c r="ER93" i="18"/>
  <c r="ES91" i="18"/>
  <c r="N43" i="22"/>
  <c r="M42" i="22"/>
  <c r="Q46" i="22"/>
  <c r="P45" i="22"/>
  <c r="L41" i="22"/>
  <c r="S48" i="22"/>
  <c r="O44" i="22"/>
  <c r="R47" i="22"/>
  <c r="EG48" i="18"/>
  <c r="EE361" i="2"/>
  <c r="EE362" i="2"/>
  <c r="EE363" i="2" s="1"/>
  <c r="EE431" i="10"/>
  <c r="EJ86" i="18"/>
  <c r="EC176" i="18"/>
  <c r="EC183" i="18" s="1"/>
  <c r="EC696" i="18"/>
  <c r="EC695" i="18"/>
  <c r="E4555" i="3"/>
  <c r="F4557" i="3" s="1"/>
  <c r="F4431" i="3" s="1"/>
  <c r="F4551" i="3"/>
  <c r="E4553" i="3"/>
  <c r="E4561" i="3" s="1"/>
  <c r="EG47" i="18"/>
  <c r="ER455" i="18"/>
  <c r="ES460" i="18"/>
  <c r="ES455" i="18" s="1"/>
  <c r="L29" i="21"/>
  <c r="M28" i="21" s="1"/>
  <c r="EJ458" i="18"/>
  <c r="EK454" i="18"/>
  <c r="EJ459" i="18"/>
  <c r="EJ462" i="18"/>
  <c r="EJ667" i="18"/>
  <c r="EJ84" i="18"/>
  <c r="EJ87" i="18" s="1"/>
  <c r="EJ202" i="18"/>
  <c r="EJ201" i="18"/>
  <c r="EF492" i="18"/>
  <c r="EF493" i="18" s="1"/>
  <c r="DX569" i="2"/>
  <c r="DX567" i="2"/>
  <c r="DX666" i="18" s="1"/>
  <c r="DX664" i="18" s="1"/>
  <c r="DU68" i="4"/>
  <c r="DY68" i="4" s="1"/>
  <c r="DY61" i="4"/>
  <c r="DY62" i="4" s="1"/>
  <c r="DU199" i="4"/>
  <c r="DU200" i="4" s="1"/>
  <c r="DU126" i="4" s="1"/>
  <c r="DU62" i="4"/>
  <c r="AI5745" i="3"/>
  <c r="Y5763" i="3"/>
  <c r="EK192" i="18"/>
  <c r="EK191" i="18"/>
  <c r="EK200" i="18"/>
  <c r="EK216" i="18" s="1"/>
  <c r="J4350" i="3"/>
  <c r="J4956" i="3"/>
  <c r="J4495" i="3"/>
  <c r="J4362" i="3"/>
  <c r="J4364" i="3" s="1"/>
  <c r="EL119" i="18"/>
  <c r="EL120" i="18" s="1"/>
  <c r="EL81" i="18"/>
  <c r="EL190" i="18"/>
  <c r="EE420" i="18"/>
  <c r="S5764" i="3"/>
  <c r="EG130" i="18"/>
  <c r="EG131" i="18" s="1"/>
  <c r="I26" i="22"/>
  <c r="H86" i="22"/>
  <c r="EC325" i="18"/>
  <c r="I4355" i="3"/>
  <c r="I4540" i="3"/>
  <c r="I4981" i="3"/>
  <c r="I4983" i="3" s="1"/>
  <c r="D4557" i="3"/>
  <c r="D4431" i="3" s="1"/>
  <c r="D4432" i="3" s="1"/>
  <c r="E4557" i="3"/>
  <c r="E4431" i="3" s="1"/>
  <c r="E4432" i="3" s="1"/>
  <c r="P4300" i="3"/>
  <c r="Q4300" i="3"/>
  <c r="EG241" i="18"/>
  <c r="N28" i="20"/>
  <c r="EI87" i="18"/>
  <c r="G4435" i="3"/>
  <c r="G4460" i="3"/>
  <c r="G4463" i="3" s="1"/>
  <c r="H4429" i="3"/>
  <c r="EF228" i="2"/>
  <c r="DZ524" i="2"/>
  <c r="DZ522" i="2"/>
  <c r="DZ528" i="2"/>
  <c r="DZ520" i="2"/>
  <c r="EM244" i="18"/>
  <c r="H4777" i="3"/>
  <c r="H4963" i="3"/>
  <c r="H4966" i="3"/>
  <c r="H4970" i="3" s="1"/>
  <c r="H4920" i="3"/>
  <c r="M28" i="22"/>
  <c r="M29" i="22" s="1"/>
  <c r="EH286" i="18"/>
  <c r="EH61" i="4"/>
  <c r="EM63" i="4" s="1"/>
  <c r="EI59" i="4"/>
  <c r="L4338" i="3"/>
  <c r="L4333" i="3"/>
  <c r="L4334" i="3"/>
  <c r="L4807" i="3"/>
  <c r="J4492" i="3"/>
  <c r="EA420" i="18"/>
  <c r="EA483" i="18" s="1"/>
  <c r="EA478" i="18" s="1"/>
  <c r="ED45" i="4"/>
  <c r="DZ46" i="4"/>
  <c r="K4945" i="3"/>
  <c r="K4489" i="3"/>
  <c r="EG54" i="18"/>
  <c r="EI54" i="18" s="1"/>
  <c r="EI307" i="18"/>
  <c r="EB108" i="2"/>
  <c r="EB141" i="2"/>
  <c r="EB129" i="2"/>
  <c r="DW129" i="2" s="1"/>
  <c r="DW124" i="2" s="1"/>
  <c r="EB245" i="2"/>
  <c r="EB118" i="2"/>
  <c r="EB174" i="2"/>
  <c r="EB224" i="2"/>
  <c r="B3796" i="3"/>
  <c r="B3793" i="3" s="1"/>
  <c r="I32" i="29"/>
  <c r="J24" i="29"/>
  <c r="DZ61" i="4"/>
  <c r="ED59" i="4"/>
  <c r="G4360" i="3"/>
  <c r="G4361" i="3" s="1"/>
  <c r="G4363" i="3" s="1"/>
  <c r="H4354" i="3"/>
  <c r="H4356" i="3" s="1"/>
  <c r="D84" i="24"/>
  <c r="D83" i="24"/>
  <c r="D81" i="24"/>
  <c r="EL221" i="18"/>
  <c r="I4498" i="3"/>
  <c r="I4559" i="3"/>
  <c r="EI373" i="18"/>
  <c r="EH377" i="18"/>
  <c r="EI377" i="18" s="1"/>
  <c r="DZ34" i="18"/>
  <c r="EK197" i="18"/>
  <c r="EL195" i="18"/>
  <c r="E80" i="24"/>
  <c r="EK83" i="18"/>
  <c r="J209" i="11"/>
  <c r="EE227" i="2"/>
  <c r="EE224" i="2"/>
  <c r="EE223" i="2"/>
  <c r="EE383" i="10"/>
  <c r="EE498" i="2"/>
  <c r="L4309" i="3"/>
  <c r="L4313" i="3"/>
  <c r="L4332" i="3"/>
  <c r="J4947" i="3"/>
  <c r="FI638" i="36" s="1"/>
  <c r="J4950" i="3"/>
  <c r="I26" i="20"/>
  <c r="H86" i="20"/>
  <c r="I5732" i="3"/>
  <c r="EK160" i="18"/>
  <c r="EK161" i="18" s="1"/>
  <c r="EK36" i="18"/>
  <c r="EK162" i="18"/>
  <c r="DY46" i="4"/>
  <c r="DU48" i="4"/>
  <c r="DY565" i="18"/>
  <c r="DU552" i="18"/>
  <c r="DU585" i="18"/>
  <c r="DU567" i="18"/>
  <c r="DU600" i="18"/>
  <c r="EJ38" i="18"/>
  <c r="D10" i="24"/>
  <c r="EJ372" i="18"/>
  <c r="EF395" i="18"/>
  <c r="EG395" i="18"/>
  <c r="I3381" i="3"/>
  <c r="H3389" i="3"/>
  <c r="EM37" i="18"/>
  <c r="EN159" i="18"/>
  <c r="ES339" i="18"/>
  <c r="ES58" i="18" s="1"/>
  <c r="ER58" i="18"/>
  <c r="EA45" i="18"/>
  <c r="B3148" i="3"/>
  <c r="B3137" i="3"/>
  <c r="B3147" i="3" s="1"/>
  <c r="D4180" i="3"/>
  <c r="E4179" i="3"/>
  <c r="C4179" i="3"/>
  <c r="C4180" i="3" s="1"/>
  <c r="ED362" i="18"/>
  <c r="DZ363" i="18"/>
  <c r="M4323" i="3"/>
  <c r="M4327" i="3" s="1"/>
  <c r="M4296" i="3"/>
  <c r="K4820" i="3"/>
  <c r="K4345" i="3"/>
  <c r="K4337" i="3"/>
  <c r="K4341" i="3"/>
  <c r="DZ482" i="18"/>
  <c r="B5514" i="3"/>
  <c r="ED512" i="2"/>
  <c r="ED514" i="2"/>
  <c r="B5498" i="3" s="1"/>
  <c r="ED516" i="2"/>
  <c r="EF387" i="18"/>
  <c r="EF390" i="18"/>
  <c r="EF386" i="18"/>
  <c r="EG382" i="18"/>
  <c r="EF488" i="18"/>
  <c r="DY363" i="18"/>
  <c r="DU365" i="18"/>
  <c r="DY365" i="18" s="1"/>
  <c r="EB234" i="18"/>
  <c r="EB235" i="18"/>
  <c r="EB230" i="18"/>
  <c r="EC226" i="18"/>
  <c r="EB231" i="18"/>
  <c r="EB258" i="18"/>
  <c r="AD5746" i="3"/>
  <c r="AF5746" i="3" s="1"/>
  <c r="U5764" i="3"/>
  <c r="FB182" i="4" l="1"/>
  <c r="FA185" i="4"/>
  <c r="EY202" i="4"/>
  <c r="EZ196" i="4"/>
  <c r="EZ115" i="10" s="1"/>
  <c r="EZ99" i="4"/>
  <c r="FA66" i="4"/>
  <c r="DW308" i="2"/>
  <c r="DW108" i="2"/>
  <c r="G188" i="3"/>
  <c r="C190" i="3"/>
  <c r="C205" i="3" s="1"/>
  <c r="C206" i="3" s="1"/>
  <c r="H189" i="3"/>
  <c r="F187" i="3"/>
  <c r="B225" i="41"/>
  <c r="B226" i="41"/>
  <c r="EC165" i="2"/>
  <c r="ED149" i="2"/>
  <c r="EE146" i="2" s="1"/>
  <c r="EI146" i="2" s="1"/>
  <c r="ED160" i="2"/>
  <c r="EE157" i="2" s="1"/>
  <c r="EC151" i="2"/>
  <c r="EC147" i="2" s="1"/>
  <c r="EC152" i="2" s="1"/>
  <c r="P1612" i="3"/>
  <c r="O1632" i="3"/>
  <c r="O1622" i="3"/>
  <c r="E1654" i="3"/>
  <c r="D1633" i="3"/>
  <c r="P1621" i="3"/>
  <c r="O1641" i="3"/>
  <c r="D1632" i="3"/>
  <c r="E1653" i="3"/>
  <c r="E1632" i="3" s="1"/>
  <c r="O1613" i="3"/>
  <c r="N1633" i="3"/>
  <c r="O1618" i="3"/>
  <c r="N1638" i="3"/>
  <c r="O1617" i="3"/>
  <c r="N1637" i="3"/>
  <c r="O1615" i="3"/>
  <c r="N1635" i="3"/>
  <c r="Q1611" i="3"/>
  <c r="P1631" i="3"/>
  <c r="E1670" i="3"/>
  <c r="P1619" i="3"/>
  <c r="O1639" i="3"/>
  <c r="O1616" i="3"/>
  <c r="N1636" i="3"/>
  <c r="P1620" i="3"/>
  <c r="O1640" i="3"/>
  <c r="Q1614" i="3"/>
  <c r="P1634" i="3"/>
  <c r="FK342" i="36"/>
  <c r="FK466" i="36" s="1"/>
  <c r="FJ343" i="36"/>
  <c r="FJ634" i="36" s="1"/>
  <c r="FJ45" i="36"/>
  <c r="FJ14" i="35" s="1"/>
  <c r="FJ15" i="35" s="1"/>
  <c r="FJ16" i="35" s="1"/>
  <c r="FJ18" i="35" s="1"/>
  <c r="FI206" i="36"/>
  <c r="FI214" i="36" s="1"/>
  <c r="FI14" i="35"/>
  <c r="FI15" i="35" s="1"/>
  <c r="FI16" i="35" s="1"/>
  <c r="FI18" i="35" s="1"/>
  <c r="FI53" i="35" s="1"/>
  <c r="FI467" i="36"/>
  <c r="FI468" i="36" s="1"/>
  <c r="B177" i="37"/>
  <c r="B178" i="37" s="1"/>
  <c r="B181" i="37" s="1"/>
  <c r="B286" i="38"/>
  <c r="FI634" i="36"/>
  <c r="FI644" i="36" s="1"/>
  <c r="FD503" i="36"/>
  <c r="FD377" i="36"/>
  <c r="EM160" i="35"/>
  <c r="EM163" i="35" s="1"/>
  <c r="EM164" i="35" s="1"/>
  <c r="EN164" i="35" s="1"/>
  <c r="FD375" i="36"/>
  <c r="FH34" i="36"/>
  <c r="FH31" i="36"/>
  <c r="FM284" i="36"/>
  <c r="FM288" i="36"/>
  <c r="FM285" i="36"/>
  <c r="FM294" i="36"/>
  <c r="FM316" i="36"/>
  <c r="FE499" i="36"/>
  <c r="FE500" i="36"/>
  <c r="FE510" i="36"/>
  <c r="FE502" i="36"/>
  <c r="DY205" i="35"/>
  <c r="DY49" i="35"/>
  <c r="FC19" i="35"/>
  <c r="ED205" i="35"/>
  <c r="ED49" i="35"/>
  <c r="ED50" i="35"/>
  <c r="EI50" i="35"/>
  <c r="EI62" i="35"/>
  <c r="EI63" i="35"/>
  <c r="EV499" i="36"/>
  <c r="EV502" i="36"/>
  <c r="EV503" i="36" s="1"/>
  <c r="EV510" i="36"/>
  <c r="EV500" i="36"/>
  <c r="EV501" i="36" s="1"/>
  <c r="FD511" i="36"/>
  <c r="FD514" i="36"/>
  <c r="FD70" i="36"/>
  <c r="FD512" i="36"/>
  <c r="FD518" i="36"/>
  <c r="FD516" i="36"/>
  <c r="FE365" i="36"/>
  <c r="FF361" i="36"/>
  <c r="FF372" i="36"/>
  <c r="FF364" i="36"/>
  <c r="FF498" i="36"/>
  <c r="FJ213" i="36"/>
  <c r="FJ206" i="36"/>
  <c r="FC631" i="36"/>
  <c r="FC605" i="36"/>
  <c r="FC609" i="36"/>
  <c r="FC610" i="36" s="1"/>
  <c r="FB54" i="35"/>
  <c r="FC53" i="35"/>
  <c r="FC54" i="35" s="1"/>
  <c r="FG18" i="35"/>
  <c r="FH16" i="35"/>
  <c r="EV378" i="36"/>
  <c r="EV380" i="36"/>
  <c r="EV376" i="36"/>
  <c r="EV377" i="36" s="1"/>
  <c r="EV374" i="36"/>
  <c r="EV375" i="36" s="1"/>
  <c r="EV373" i="36"/>
  <c r="FE374" i="36"/>
  <c r="FE376" i="36"/>
  <c r="FE373" i="36"/>
  <c r="FE380" i="36"/>
  <c r="FE378" i="36"/>
  <c r="FA361" i="36"/>
  <c r="FA372" i="36"/>
  <c r="FA364" i="36"/>
  <c r="FA365" i="36" s="1"/>
  <c r="FA498" i="36"/>
  <c r="FJ476" i="36"/>
  <c r="FJ467" i="36"/>
  <c r="FM419" i="36"/>
  <c r="FM293" i="36"/>
  <c r="FM298" i="36" s="1"/>
  <c r="FM424" i="36" s="1"/>
  <c r="DY199" i="35"/>
  <c r="DY200" i="35" s="1"/>
  <c r="DY126" i="35" s="1"/>
  <c r="DX200" i="35"/>
  <c r="DX126" i="35" s="1"/>
  <c r="FD421" i="36"/>
  <c r="FD422" i="36"/>
  <c r="FE417" i="36"/>
  <c r="FE420" i="36" s="1"/>
  <c r="FD431" i="36"/>
  <c r="FD384" i="36"/>
  <c r="FD381" i="36"/>
  <c r="FD382" i="36"/>
  <c r="FD19" i="36"/>
  <c r="FD386" i="36"/>
  <c r="FD388" i="36"/>
  <c r="EY381" i="36"/>
  <c r="EY386" i="36"/>
  <c r="EY384" i="36"/>
  <c r="EY385" i="36" s="1"/>
  <c r="EY382" i="36"/>
  <c r="EY383" i="36" s="1"/>
  <c r="EY19" i="36"/>
  <c r="EY388" i="36"/>
  <c r="FD501" i="36"/>
  <c r="FL204" i="36"/>
  <c r="FK205" i="36"/>
  <c r="EU518" i="36"/>
  <c r="EU512" i="36"/>
  <c r="EU513" i="36" s="1"/>
  <c r="EU514" i="36"/>
  <c r="EU515" i="36" s="1"/>
  <c r="EU511" i="36"/>
  <c r="EU516" i="36"/>
  <c r="EU70" i="36"/>
  <c r="FF527" i="36"/>
  <c r="FH12" i="36"/>
  <c r="FH13" i="36"/>
  <c r="ET390" i="36"/>
  <c r="ET28" i="36"/>
  <c r="ET389" i="36"/>
  <c r="FC645" i="36"/>
  <c r="FC639" i="36"/>
  <c r="FH640" i="36"/>
  <c r="FH637" i="36"/>
  <c r="FH645" i="36" s="1"/>
  <c r="FC15" i="36"/>
  <c r="FC54" i="36"/>
  <c r="FC55" i="36" s="1"/>
  <c r="FG526" i="36"/>
  <c r="FH526" i="36" s="1"/>
  <c r="FG480" i="36"/>
  <c r="FH470" i="36"/>
  <c r="FH480" i="36" s="1"/>
  <c r="FC34" i="36"/>
  <c r="FC31" i="36"/>
  <c r="FI10" i="36"/>
  <c r="FI14" i="36" s="1"/>
  <c r="FI352" i="36"/>
  <c r="EZ502" i="36"/>
  <c r="EZ503" i="36" s="1"/>
  <c r="EZ510" i="36"/>
  <c r="EZ499" i="36"/>
  <c r="EZ500" i="36"/>
  <c r="EZ501" i="36" s="1"/>
  <c r="FG15" i="36"/>
  <c r="FG54" i="36"/>
  <c r="FG55" i="36" s="1"/>
  <c r="ET23" i="36"/>
  <c r="ET21" i="36"/>
  <c r="ET24" i="36" s="1"/>
  <c r="FH651" i="36"/>
  <c r="FH662" i="36" s="1"/>
  <c r="FH648" i="36"/>
  <c r="FH659" i="36" s="1"/>
  <c r="FH663" i="36" s="1"/>
  <c r="FH650" i="36"/>
  <c r="FH661" i="36" s="1"/>
  <c r="FH649" i="36"/>
  <c r="FH660" i="36" s="1"/>
  <c r="EU384" i="36"/>
  <c r="EU385" i="36" s="1"/>
  <c r="EU382" i="36"/>
  <c r="EU383" i="36" s="1"/>
  <c r="EU381" i="36"/>
  <c r="EU386" i="36"/>
  <c r="EU19" i="36"/>
  <c r="EU388" i="36"/>
  <c r="FC526" i="36"/>
  <c r="FC527" i="36" s="1"/>
  <c r="FB527" i="36"/>
  <c r="EY511" i="36"/>
  <c r="EY514" i="36"/>
  <c r="EY515" i="36" s="1"/>
  <c r="EY512" i="36"/>
  <c r="EY513" i="36" s="1"/>
  <c r="EY70" i="36"/>
  <c r="EY518" i="36"/>
  <c r="EY516" i="36"/>
  <c r="FL347" i="36"/>
  <c r="FL340" i="36"/>
  <c r="FL42" i="36"/>
  <c r="FL463" i="36"/>
  <c r="FG31" i="36"/>
  <c r="FG34" i="36"/>
  <c r="ET522" i="36"/>
  <c r="ET523" i="36" s="1"/>
  <c r="ET520" i="36"/>
  <c r="ET521" i="36" s="1"/>
  <c r="ET519" i="36"/>
  <c r="ET528" i="36"/>
  <c r="ET524" i="36"/>
  <c r="FL368" i="36"/>
  <c r="FL505" i="36"/>
  <c r="FB360" i="36"/>
  <c r="FG362" i="36"/>
  <c r="FG360" i="36" s="1"/>
  <c r="FH360" i="36" s="1"/>
  <c r="FI51" i="36"/>
  <c r="FI47" i="36"/>
  <c r="FI49" i="36" s="1"/>
  <c r="FI52" i="36" s="1"/>
  <c r="ED63" i="35"/>
  <c r="ED62" i="35"/>
  <c r="EJ61" i="35"/>
  <c r="EN59" i="35"/>
  <c r="EZ374" i="36"/>
  <c r="EZ375" i="36" s="1"/>
  <c r="EZ373" i="36"/>
  <c r="EZ380" i="36"/>
  <c r="EZ378" i="36"/>
  <c r="EZ376" i="36"/>
  <c r="EZ377" i="36" s="1"/>
  <c r="FH428" i="36"/>
  <c r="FD430" i="36"/>
  <c r="ET74" i="36"/>
  <c r="ET75" i="36" s="1"/>
  <c r="ET69" i="36"/>
  <c r="ET80" i="36"/>
  <c r="ET71" i="36"/>
  <c r="EB199" i="35"/>
  <c r="EB200" i="35" s="1"/>
  <c r="EB126" i="35" s="1"/>
  <c r="EA199" i="35"/>
  <c r="EA200" i="35" s="1"/>
  <c r="EA126" i="35" s="1"/>
  <c r="DZ199" i="35"/>
  <c r="DZ200" i="35" s="1"/>
  <c r="DZ126" i="35" s="1"/>
  <c r="DZ205" i="35"/>
  <c r="EC199" i="35"/>
  <c r="DZ50" i="35"/>
  <c r="DZ49" i="35"/>
  <c r="EE50" i="35"/>
  <c r="EW372" i="36"/>
  <c r="EX372" i="36" s="1"/>
  <c r="EW364" i="36"/>
  <c r="EW365" i="36" s="1"/>
  <c r="EW361" i="36"/>
  <c r="EW498" i="36"/>
  <c r="EX360" i="36"/>
  <c r="EX211" i="4"/>
  <c r="EB225" i="2"/>
  <c r="ED341" i="10"/>
  <c r="ED343" i="10" s="1"/>
  <c r="B2349" i="3"/>
  <c r="EA158" i="2"/>
  <c r="EA163" i="2" s="1"/>
  <c r="DU132" i="2"/>
  <c r="EB162" i="2"/>
  <c r="F2485" i="3"/>
  <c r="F2504" i="3"/>
  <c r="F2505" i="3" s="1"/>
  <c r="EC224" i="2"/>
  <c r="N171" i="11"/>
  <c r="M192" i="11"/>
  <c r="C3962" i="3"/>
  <c r="C3963" i="3" s="1"/>
  <c r="ED106" i="2"/>
  <c r="ED174" i="2" s="1"/>
  <c r="EC141" i="2"/>
  <c r="EC118" i="2"/>
  <c r="EC174" i="2"/>
  <c r="ED104" i="2"/>
  <c r="EC245" i="2"/>
  <c r="EC108" i="2"/>
  <c r="EC320" i="2" s="1"/>
  <c r="EC364" i="2" s="1"/>
  <c r="DY174" i="2"/>
  <c r="E3118" i="3"/>
  <c r="E3122" i="3" s="1"/>
  <c r="EE82" i="2"/>
  <c r="EJ62" i="4"/>
  <c r="EJ68" i="4"/>
  <c r="EN68" i="4" s="1"/>
  <c r="D151" i="3" s="1"/>
  <c r="EJ63" i="4"/>
  <c r="F160" i="19"/>
  <c r="G160" i="19"/>
  <c r="F143" i="19"/>
  <c r="G143" i="19"/>
  <c r="EA520" i="2"/>
  <c r="EA524" i="2"/>
  <c r="EA528" i="2"/>
  <c r="EA530" i="2" s="1"/>
  <c r="EA533" i="2" s="1"/>
  <c r="EA522" i="2"/>
  <c r="C3123" i="3"/>
  <c r="C3124" i="3" s="1"/>
  <c r="ED84" i="2"/>
  <c r="D3127" i="3"/>
  <c r="D3122" i="3"/>
  <c r="D3132" i="3"/>
  <c r="DY141" i="2"/>
  <c r="EA143" i="18"/>
  <c r="EF143" i="18" s="1"/>
  <c r="EF150" i="18" s="1"/>
  <c r="E3110" i="3"/>
  <c r="E3112" i="3" s="1"/>
  <c r="E3149" i="3" s="1"/>
  <c r="U3118" i="3" s="1"/>
  <c r="EB567" i="18"/>
  <c r="EB556" i="18" s="1"/>
  <c r="EB557" i="18" s="1"/>
  <c r="EB600" i="18"/>
  <c r="EB601" i="18" s="1"/>
  <c r="C3128" i="3"/>
  <c r="C3138" i="3" s="1"/>
  <c r="C3148" i="3" s="1"/>
  <c r="D3123" i="3"/>
  <c r="D3143" i="3"/>
  <c r="D3142" i="3" s="1"/>
  <c r="D3152" i="3" s="1"/>
  <c r="C3133" i="3"/>
  <c r="C126" i="24"/>
  <c r="C134" i="24" s="1"/>
  <c r="D125" i="24"/>
  <c r="DW569" i="2"/>
  <c r="EC600" i="18"/>
  <c r="EC601" i="18" s="1"/>
  <c r="DW567" i="2"/>
  <c r="DW666" i="18" s="1"/>
  <c r="DW664" i="18" s="1"/>
  <c r="DW665" i="18" s="1"/>
  <c r="EB552" i="18"/>
  <c r="EB553" i="18" s="1"/>
  <c r="DY124" i="2"/>
  <c r="DY129" i="2" s="1"/>
  <c r="DV540" i="2"/>
  <c r="DY542" i="2"/>
  <c r="DZ544" i="2" s="1"/>
  <c r="EA544" i="2" s="1"/>
  <c r="EB544" i="2" s="1"/>
  <c r="EC544" i="2" s="1"/>
  <c r="ED544" i="2" s="1"/>
  <c r="EE544" i="2" s="1"/>
  <c r="EF544" i="2" s="1"/>
  <c r="DU391" i="10"/>
  <c r="DV95" i="2"/>
  <c r="DU265" i="2"/>
  <c r="DU310" i="2"/>
  <c r="DV269" i="2"/>
  <c r="DU269" i="2"/>
  <c r="DV107" i="2"/>
  <c r="DU568" i="2"/>
  <c r="DU107" i="2"/>
  <c r="DU559" i="2"/>
  <c r="DY561" i="2"/>
  <c r="DU131" i="2"/>
  <c r="DZ127" i="2"/>
  <c r="DU347" i="10"/>
  <c r="DV123" i="2"/>
  <c r="DV125" i="2" s="1"/>
  <c r="DU181" i="2"/>
  <c r="DU128" i="2"/>
  <c r="DU353" i="10" s="1"/>
  <c r="EB150" i="18"/>
  <c r="EB143" i="18" s="1"/>
  <c r="EA154" i="18"/>
  <c r="EA33" i="18"/>
  <c r="EA34" i="18" s="1"/>
  <c r="EA40" i="18" s="1"/>
  <c r="EE143" i="18"/>
  <c r="EE150" i="18" s="1"/>
  <c r="EE151" i="18" s="1"/>
  <c r="ED554" i="18"/>
  <c r="ED555" i="18" s="1"/>
  <c r="EC567" i="18"/>
  <c r="EC569" i="18" s="1"/>
  <c r="EC585" i="18"/>
  <c r="EC589" i="18" s="1"/>
  <c r="ED588" i="18"/>
  <c r="DZ279" i="18"/>
  <c r="DZ278" i="18" s="1"/>
  <c r="DZ165" i="18"/>
  <c r="DZ174" i="18" s="1"/>
  <c r="C5722" i="3"/>
  <c r="C5625" i="3" s="1"/>
  <c r="C5717" i="3"/>
  <c r="C5723" i="3"/>
  <c r="C5619" i="3" s="1"/>
  <c r="DZ678" i="18"/>
  <c r="ED678" i="18" s="1"/>
  <c r="DZ677" i="18"/>
  <c r="ED669" i="18"/>
  <c r="DZ687" i="18"/>
  <c r="ED665" i="18"/>
  <c r="ED666" i="18"/>
  <c r="B3799" i="3"/>
  <c r="EA534" i="18"/>
  <c r="ED534" i="18" s="1"/>
  <c r="B3765" i="3"/>
  <c r="B3766" i="3" s="1"/>
  <c r="B3768" i="3" s="1"/>
  <c r="B3782" i="3" s="1"/>
  <c r="EE565" i="18"/>
  <c r="EE600" i="18" s="1"/>
  <c r="EE601" i="18" s="1"/>
  <c r="ED532" i="18"/>
  <c r="EE588" i="18"/>
  <c r="EA552" i="18"/>
  <c r="EA553" i="18" s="1"/>
  <c r="EE554" i="18"/>
  <c r="EE555" i="18" s="1"/>
  <c r="EC419" i="18"/>
  <c r="EC415" i="18"/>
  <c r="ED414" i="18"/>
  <c r="ED419" i="18" s="1"/>
  <c r="EA567" i="18"/>
  <c r="EA569" i="18" s="1"/>
  <c r="EA600" i="18"/>
  <c r="EA601" i="18" s="1"/>
  <c r="DZ567" i="18"/>
  <c r="DZ569" i="18" s="1"/>
  <c r="ED569" i="18" s="1"/>
  <c r="DZ585" i="18"/>
  <c r="ED585" i="18" s="1"/>
  <c r="ED565" i="18"/>
  <c r="ED567" i="18" s="1"/>
  <c r="ED556" i="18" s="1"/>
  <c r="FH184" i="4"/>
  <c r="EK91" i="4"/>
  <c r="EK93" i="4" s="1"/>
  <c r="DZ552" i="18"/>
  <c r="DZ553" i="18" s="1"/>
  <c r="D3772" i="3"/>
  <c r="I4969" i="3"/>
  <c r="C4469" i="3"/>
  <c r="C4467" i="3"/>
  <c r="C4439" i="3"/>
  <c r="J5729" i="3"/>
  <c r="J4437" i="3"/>
  <c r="EP289" i="18"/>
  <c r="O3379" i="3"/>
  <c r="N3382" i="3"/>
  <c r="I7" i="25"/>
  <c r="K64" i="24"/>
  <c r="DX57" i="18"/>
  <c r="DY50" i="18"/>
  <c r="K66" i="24" s="1"/>
  <c r="J208" i="24" s="1"/>
  <c r="J225" i="24" s="1"/>
  <c r="B137" i="11"/>
  <c r="B138" i="11" s="1"/>
  <c r="I4464" i="3"/>
  <c r="I4975" i="3"/>
  <c r="I4788" i="3"/>
  <c r="C94" i="11"/>
  <c r="C86" i="11"/>
  <c r="C87" i="11"/>
  <c r="ER96" i="18"/>
  <c r="EQ98" i="18"/>
  <c r="EQ101" i="18"/>
  <c r="L151" i="11"/>
  <c r="EH257" i="18"/>
  <c r="EH206" i="18"/>
  <c r="EH209" i="18"/>
  <c r="EH109" i="18"/>
  <c r="EH213" i="18"/>
  <c r="EI208" i="18"/>
  <c r="EH210" i="18"/>
  <c r="EI210" i="18" s="1"/>
  <c r="D136" i="11"/>
  <c r="D128" i="11"/>
  <c r="D129" i="11"/>
  <c r="EO379" i="18"/>
  <c r="EP374" i="18"/>
  <c r="B130" i="11"/>
  <c r="C127" i="11" s="1"/>
  <c r="C130" i="11" s="1"/>
  <c r="D127" i="11" s="1"/>
  <c r="G16" i="23"/>
  <c r="H11" i="20"/>
  <c r="H16" i="23" s="1"/>
  <c r="R5765" i="3"/>
  <c r="AD5741" i="3"/>
  <c r="E133" i="11"/>
  <c r="E134" i="11" s="1"/>
  <c r="K170" i="11"/>
  <c r="J191" i="11"/>
  <c r="K5190" i="3"/>
  <c r="L5186" i="3"/>
  <c r="L5188" i="3" s="1"/>
  <c r="K5187" i="3"/>
  <c r="K5193" i="3" s="1"/>
  <c r="AC5747" i="3"/>
  <c r="AC5741" i="3" s="1"/>
  <c r="T5765" i="3" s="1"/>
  <c r="AB5741" i="3"/>
  <c r="S5765" i="3" s="1"/>
  <c r="EH218" i="18"/>
  <c r="EH219" i="18" s="1"/>
  <c r="B225" i="6"/>
  <c r="P126" i="11"/>
  <c r="P99" i="11"/>
  <c r="P65" i="11"/>
  <c r="P141" i="11"/>
  <c r="P108" i="11"/>
  <c r="P110" i="11" s="1"/>
  <c r="B116" i="11" s="1"/>
  <c r="P53" i="11"/>
  <c r="P84" i="11"/>
  <c r="J5198" i="3"/>
  <c r="J5195" i="3"/>
  <c r="F170" i="19"/>
  <c r="G170" i="19"/>
  <c r="EC698" i="18"/>
  <c r="EC699" i="18" s="1"/>
  <c r="EQ392" i="18"/>
  <c r="EP397" i="18"/>
  <c r="EP396" i="18"/>
  <c r="EN86" i="2"/>
  <c r="B2351" i="3" s="1"/>
  <c r="EM342" i="10"/>
  <c r="M3106" i="3"/>
  <c r="B86" i="11"/>
  <c r="B87" i="11"/>
  <c r="EF678" i="18"/>
  <c r="EF687" i="18"/>
  <c r="EF677" i="18"/>
  <c r="EF325" i="18" s="1"/>
  <c r="K4582" i="3"/>
  <c r="K4605" i="3" s="1"/>
  <c r="K4607" i="3" s="1"/>
  <c r="EG149" i="18"/>
  <c r="EG110" i="18"/>
  <c r="EG107" i="18"/>
  <c r="EG111" i="18"/>
  <c r="EG114" i="18"/>
  <c r="EH106" i="18"/>
  <c r="EH108" i="18" s="1"/>
  <c r="EI108" i="18" s="1"/>
  <c r="EI113" i="18" s="1"/>
  <c r="EN105" i="2"/>
  <c r="EP102" i="18"/>
  <c r="EP103" i="18"/>
  <c r="EP77" i="18"/>
  <c r="EP80" i="18" s="1"/>
  <c r="O25" i="29"/>
  <c r="P22" i="29"/>
  <c r="EG211" i="18"/>
  <c r="EG227" i="18"/>
  <c r="EG661" i="18"/>
  <c r="L4592" i="3"/>
  <c r="L4594" i="3" s="1"/>
  <c r="L4606" i="3" s="1"/>
  <c r="L4580" i="3"/>
  <c r="L5189" i="3"/>
  <c r="EQ395" i="18"/>
  <c r="L4757" i="3"/>
  <c r="EP489" i="18"/>
  <c r="EP394" i="18"/>
  <c r="EP393" i="18" s="1"/>
  <c r="N4663" i="3"/>
  <c r="N4682" i="3" s="1"/>
  <c r="N4565" i="3" s="1"/>
  <c r="N4670" i="3"/>
  <c r="ER123" i="18"/>
  <c r="EQ118" i="18"/>
  <c r="EE669" i="18"/>
  <c r="E73" i="11"/>
  <c r="D91" i="11"/>
  <c r="D92" i="11" s="1"/>
  <c r="AB5748" i="3"/>
  <c r="AA5742" i="3"/>
  <c r="D5018" i="3"/>
  <c r="D5017" i="3"/>
  <c r="M4566" i="3"/>
  <c r="C137" i="11"/>
  <c r="EL122" i="18"/>
  <c r="EL121" i="18"/>
  <c r="EM117" i="18"/>
  <c r="EL125" i="18"/>
  <c r="EL158" i="18"/>
  <c r="N42" i="22"/>
  <c r="Q45" i="22"/>
  <c r="R46" i="22"/>
  <c r="O43" i="22"/>
  <c r="T48" i="22"/>
  <c r="P44" i="22"/>
  <c r="M41" i="22"/>
  <c r="S47" i="22"/>
  <c r="E83" i="24"/>
  <c r="E81" i="24"/>
  <c r="E84" i="24"/>
  <c r="EN244" i="18"/>
  <c r="EG132" i="18"/>
  <c r="EG137" i="18"/>
  <c r="EH128" i="18"/>
  <c r="EG133" i="18"/>
  <c r="EG136" i="18"/>
  <c r="J4540" i="3"/>
  <c r="J4981" i="3"/>
  <c r="J4983" i="3" s="1"/>
  <c r="J4355" i="3"/>
  <c r="EG384" i="18"/>
  <c r="EG385" i="18" s="1"/>
  <c r="EG466" i="18"/>
  <c r="EN145" i="18"/>
  <c r="K4495" i="3"/>
  <c r="K4350" i="3"/>
  <c r="K4956" i="3"/>
  <c r="K4362" i="3"/>
  <c r="K4364" i="3" s="1"/>
  <c r="DU589" i="18"/>
  <c r="DY589" i="18" s="1"/>
  <c r="DY585" i="18"/>
  <c r="J26" i="20"/>
  <c r="I86" i="20"/>
  <c r="L4340" i="3"/>
  <c r="L4336" i="3"/>
  <c r="EE228" i="2"/>
  <c r="EL197" i="18"/>
  <c r="EM195" i="18"/>
  <c r="EM284" i="18" s="1"/>
  <c r="F80" i="24"/>
  <c r="EL83" i="18"/>
  <c r="L4820" i="3"/>
  <c r="L4337" i="3"/>
  <c r="L4341" i="3"/>
  <c r="L4345" i="3"/>
  <c r="L4344" i="3" s="1"/>
  <c r="EG242" i="18"/>
  <c r="EG243" i="18"/>
  <c r="EH238" i="18"/>
  <c r="EK84" i="18"/>
  <c r="EK87" i="18" s="1"/>
  <c r="EK667" i="18"/>
  <c r="EK202" i="18"/>
  <c r="EK201" i="18"/>
  <c r="EJ85" i="18"/>
  <c r="J215" i="11"/>
  <c r="K221" i="11"/>
  <c r="EF511" i="2"/>
  <c r="EF512" i="2"/>
  <c r="EF513" i="2" s="1"/>
  <c r="EF516" i="2"/>
  <c r="EF518" i="2"/>
  <c r="EF514" i="2"/>
  <c r="EF515" i="2" s="1"/>
  <c r="EK295" i="18"/>
  <c r="M4807" i="3"/>
  <c r="M4338" i="3"/>
  <c r="M4334" i="3"/>
  <c r="M4333" i="3"/>
  <c r="D4289" i="3"/>
  <c r="D4912" i="3"/>
  <c r="DU569" i="18"/>
  <c r="DY569" i="18" s="1"/>
  <c r="DU556" i="18"/>
  <c r="EK38" i="18"/>
  <c r="E10" i="24"/>
  <c r="EE226" i="2"/>
  <c r="H4546" i="3"/>
  <c r="H4547" i="3" s="1"/>
  <c r="I4539" i="3" s="1"/>
  <c r="I4545" i="3" s="1"/>
  <c r="EC228" i="18"/>
  <c r="ED228" i="18" s="1"/>
  <c r="ED233" i="18" s="1"/>
  <c r="EE233" i="18" s="1"/>
  <c r="D47" i="24"/>
  <c r="D11" i="24"/>
  <c r="D48" i="24" s="1"/>
  <c r="EB76" i="2"/>
  <c r="EB320" i="2"/>
  <c r="EB364" i="2" s="1"/>
  <c r="EB74" i="2"/>
  <c r="EB500" i="2"/>
  <c r="EA477" i="18"/>
  <c r="ED522" i="2"/>
  <c r="ED524" i="2"/>
  <c r="ED520" i="2"/>
  <c r="EM300" i="18"/>
  <c r="EA165" i="18"/>
  <c r="EA279" i="18"/>
  <c r="EA152" i="18"/>
  <c r="H4435" i="3"/>
  <c r="I4429" i="3"/>
  <c r="H4460" i="3"/>
  <c r="H4463" i="3" s="1"/>
  <c r="F5498" i="3"/>
  <c r="DY552" i="18"/>
  <c r="DY567" i="18"/>
  <c r="DY556" i="18" s="1"/>
  <c r="DU49" i="4"/>
  <c r="DY48" i="4"/>
  <c r="DW199" i="4"/>
  <c r="DW200" i="4" s="1"/>
  <c r="DW126" i="4" s="1"/>
  <c r="DU103" i="10"/>
  <c r="DU205" i="4"/>
  <c r="DV199" i="4"/>
  <c r="DV200" i="4" s="1"/>
  <c r="DV126" i="4" s="1"/>
  <c r="DX199" i="4"/>
  <c r="J5732" i="3"/>
  <c r="K209" i="11"/>
  <c r="ED600" i="18"/>
  <c r="ED601" i="18" s="1"/>
  <c r="DZ601" i="18"/>
  <c r="DZ530" i="2"/>
  <c r="P4542" i="3"/>
  <c r="C3860" i="3"/>
  <c r="E3860" i="3" s="1"/>
  <c r="N4325" i="3"/>
  <c r="N4324" i="3"/>
  <c r="EL129" i="18"/>
  <c r="EM134" i="18"/>
  <c r="EB43" i="18"/>
  <c r="EB260" i="18"/>
  <c r="EK372" i="18"/>
  <c r="EK398" i="18" s="1"/>
  <c r="EJ373" i="18"/>
  <c r="EO159" i="18"/>
  <c r="EN37" i="18"/>
  <c r="EM221" i="18"/>
  <c r="I4966" i="3"/>
  <c r="I4970" i="3" s="1"/>
  <c r="FD531" i="2"/>
  <c r="I4920" i="3"/>
  <c r="I4777" i="3"/>
  <c r="EN531" i="2"/>
  <c r="I4963" i="3"/>
  <c r="EO73" i="18"/>
  <c r="EN74" i="18"/>
  <c r="EN79" i="18"/>
  <c r="EN78" i="18" s="1"/>
  <c r="EG55" i="18"/>
  <c r="EJ398" i="18"/>
  <c r="H4360" i="3"/>
  <c r="H4361" i="3" s="1"/>
  <c r="H4363" i="3" s="1"/>
  <c r="I4354" i="3"/>
  <c r="I4356" i="3" s="1"/>
  <c r="K4344" i="3"/>
  <c r="EH68" i="4"/>
  <c r="EI68" i="4" s="1"/>
  <c r="EH62" i="4"/>
  <c r="EH63" i="4"/>
  <c r="EI61" i="4"/>
  <c r="C149" i="3" s="1"/>
  <c r="EK239" i="18"/>
  <c r="DX665" i="18"/>
  <c r="DX669" i="18"/>
  <c r="EK456" i="18"/>
  <c r="EK457" i="18" s="1"/>
  <c r="E4795" i="3"/>
  <c r="E4560" i="3"/>
  <c r="N4311" i="3"/>
  <c r="P4299" i="3"/>
  <c r="Q4299" i="3"/>
  <c r="N4303" i="3"/>
  <c r="N4330" i="3"/>
  <c r="D3115" i="3"/>
  <c r="D3133" i="3"/>
  <c r="D3128" i="3"/>
  <c r="E3143" i="3"/>
  <c r="E3142" i="3" s="1"/>
  <c r="E3152" i="3" s="1"/>
  <c r="EF439" i="18"/>
  <c r="DY600" i="18"/>
  <c r="DY601" i="18" s="1"/>
  <c r="DU601" i="18"/>
  <c r="B5482" i="3"/>
  <c r="B5483" i="3" s="1"/>
  <c r="B5516" i="3"/>
  <c r="EH392" i="18"/>
  <c r="EG396" i="18"/>
  <c r="EG397" i="18"/>
  <c r="EH397" i="18"/>
  <c r="EH291" i="18"/>
  <c r="EH288" i="18"/>
  <c r="EI288" i="18" s="1"/>
  <c r="EI286" i="18"/>
  <c r="EH305" i="18"/>
  <c r="E4449" i="3"/>
  <c r="G4551" i="3"/>
  <c r="F4555" i="3"/>
  <c r="G4557" i="3" s="1"/>
  <c r="G4431" i="3" s="1"/>
  <c r="F4553" i="3"/>
  <c r="EH297" i="18"/>
  <c r="L4489" i="3"/>
  <c r="L4945" i="3"/>
  <c r="EG432" i="18"/>
  <c r="EG428" i="18"/>
  <c r="EG438" i="18" s="1"/>
  <c r="EG429" i="18"/>
  <c r="EH424" i="18"/>
  <c r="EG434" i="18"/>
  <c r="EE502" i="2"/>
  <c r="EE503" i="2" s="1"/>
  <c r="EE499" i="2"/>
  <c r="EE510" i="2"/>
  <c r="DZ40" i="18"/>
  <c r="K4492" i="3"/>
  <c r="AG5746" i="3"/>
  <c r="AF5740" i="3"/>
  <c r="ED363" i="18"/>
  <c r="DZ365" i="18"/>
  <c r="ED365" i="18" s="1"/>
  <c r="I3383" i="3"/>
  <c r="I3384" i="3" s="1"/>
  <c r="EF393" i="18"/>
  <c r="EF397" i="18"/>
  <c r="EG392" i="18"/>
  <c r="EF396" i="18"/>
  <c r="EF489" i="18"/>
  <c r="EL284" i="18"/>
  <c r="K4947" i="3"/>
  <c r="FJ638" i="36" s="1"/>
  <c r="K4950" i="3"/>
  <c r="D4449" i="3"/>
  <c r="J26" i="22"/>
  <c r="I86" i="22"/>
  <c r="EE483" i="18"/>
  <c r="EE478" i="18" s="1"/>
  <c r="J4498" i="3"/>
  <c r="J4559" i="3"/>
  <c r="R47" i="21"/>
  <c r="M29" i="21"/>
  <c r="N28" i="21" s="1"/>
  <c r="S48" i="21"/>
  <c r="N43" i="21"/>
  <c r="M42" i="21"/>
  <c r="P45" i="21"/>
  <c r="Q46" i="21"/>
  <c r="L41" i="21"/>
  <c r="O44" i="21"/>
  <c r="ES93" i="18"/>
  <c r="Q4290" i="3"/>
  <c r="N4323" i="3"/>
  <c r="N4327" i="3" s="1"/>
  <c r="N4296" i="3"/>
  <c r="P4290" i="3"/>
  <c r="EK222" i="18"/>
  <c r="F4848" i="3"/>
  <c r="G4842" i="3"/>
  <c r="F4844" i="3"/>
  <c r="M4351" i="3"/>
  <c r="L4349" i="3"/>
  <c r="L4974" i="3" s="1"/>
  <c r="L4976" i="3" s="1"/>
  <c r="J26" i="21"/>
  <c r="I86" i="21"/>
  <c r="EG494" i="18"/>
  <c r="J4771" i="3"/>
  <c r="FE637" i="2"/>
  <c r="J4952" i="3"/>
  <c r="EK86" i="18"/>
  <c r="DZ62" i="4"/>
  <c r="DZ68" i="4"/>
  <c r="ED68" i="4" s="1"/>
  <c r="B151" i="3" s="1"/>
  <c r="ED61" i="4"/>
  <c r="B149" i="3" s="1"/>
  <c r="DZ63" i="4"/>
  <c r="EE63" i="4"/>
  <c r="J26" i="29"/>
  <c r="J27" i="29" s="1"/>
  <c r="EI312" i="18"/>
  <c r="EJ312" i="18" s="1"/>
  <c r="EK312" i="18" s="1"/>
  <c r="EL312" i="18" s="1"/>
  <c r="EM312" i="18" s="1"/>
  <c r="EN312" i="18" s="1"/>
  <c r="EO312" i="18" s="1"/>
  <c r="EP312" i="18" s="1"/>
  <c r="EQ312" i="18" s="1"/>
  <c r="ER312" i="18" s="1"/>
  <c r="ES312" i="18" s="1"/>
  <c r="ED46" i="4"/>
  <c r="ED48" i="4" s="1"/>
  <c r="B175" i="3" s="1"/>
  <c r="B174" i="3" s="1"/>
  <c r="B177" i="3" s="1"/>
  <c r="B179" i="3" s="1"/>
  <c r="B181" i="3" s="1"/>
  <c r="DZ48" i="4"/>
  <c r="N28" i="22"/>
  <c r="N29" i="22" s="1"/>
  <c r="EL191" i="18"/>
  <c r="EL192" i="18"/>
  <c r="EL200" i="18"/>
  <c r="EL216" i="18" s="1"/>
  <c r="J4958" i="3"/>
  <c r="FI531" i="36" s="1"/>
  <c r="J4961" i="3"/>
  <c r="J4964" i="3"/>
  <c r="EK301" i="18"/>
  <c r="EF225" i="2"/>
  <c r="M4309" i="3"/>
  <c r="M4313" i="3"/>
  <c r="M4332" i="3"/>
  <c r="EM81" i="18"/>
  <c r="EM190" i="18"/>
  <c r="M4328" i="3"/>
  <c r="M4343" i="3"/>
  <c r="M87" i="20"/>
  <c r="N29" i="20"/>
  <c r="FB66" i="4" l="1"/>
  <c r="FA99" i="4"/>
  <c r="EZ202" i="4"/>
  <c r="EZ211" i="4" s="1"/>
  <c r="FA196" i="4"/>
  <c r="FA115" i="10" s="1"/>
  <c r="EY211" i="4"/>
  <c r="FB185" i="4"/>
  <c r="FC185" i="4" s="1"/>
  <c r="FC182" i="4"/>
  <c r="D4849" i="3"/>
  <c r="D4850" i="3" s="1"/>
  <c r="D4856" i="3" s="1"/>
  <c r="E4849" i="3"/>
  <c r="E4855" i="3" s="1"/>
  <c r="ED165" i="2"/>
  <c r="B288" i="38"/>
  <c r="B287" i="38" s="1"/>
  <c r="FL342" i="36"/>
  <c r="FL466" i="36" s="1"/>
  <c r="D1631" i="3"/>
  <c r="Q1619" i="3"/>
  <c r="P1639" i="3"/>
  <c r="P1617" i="3"/>
  <c r="O1637" i="3"/>
  <c r="Q1621" i="3"/>
  <c r="P1641" i="3"/>
  <c r="R1614" i="3"/>
  <c r="Q1634" i="3"/>
  <c r="P1618" i="3"/>
  <c r="O1638" i="3"/>
  <c r="F1654" i="3"/>
  <c r="F1633" i="3" s="1"/>
  <c r="E1633" i="3"/>
  <c r="E1634" i="3" s="1"/>
  <c r="E1655" i="3" s="1"/>
  <c r="F1655" i="3" s="1"/>
  <c r="EE149" i="2"/>
  <c r="EE160" i="2" s="1"/>
  <c r="F1649" i="3" s="1"/>
  <c r="F1606" i="3"/>
  <c r="F1608" i="3" s="1"/>
  <c r="Q1620" i="3"/>
  <c r="P1640" i="3"/>
  <c r="R1611" i="3"/>
  <c r="Q1631" i="3"/>
  <c r="P1613" i="3"/>
  <c r="O1633" i="3"/>
  <c r="P1622" i="3"/>
  <c r="P1616" i="3"/>
  <c r="O1636" i="3"/>
  <c r="P1615" i="3"/>
  <c r="O1635" i="3"/>
  <c r="Q1612" i="3"/>
  <c r="P1632" i="3"/>
  <c r="B346" i="38"/>
  <c r="FK343" i="36"/>
  <c r="FK351" i="36" s="1"/>
  <c r="FJ344" i="36"/>
  <c r="FJ10" i="36" s="1"/>
  <c r="FJ14" i="36" s="1"/>
  <c r="FJ46" i="36"/>
  <c r="FJ51" i="36" s="1"/>
  <c r="FK45" i="36"/>
  <c r="FK14" i="35" s="1"/>
  <c r="FK15" i="35" s="1"/>
  <c r="FK16" i="35" s="1"/>
  <c r="FK18" i="35" s="1"/>
  <c r="FJ351" i="36"/>
  <c r="EE148" i="2"/>
  <c r="FI545" i="36"/>
  <c r="FI9" i="36"/>
  <c r="FI13" i="36" s="1"/>
  <c r="FI241" i="36"/>
  <c r="FI477" i="36"/>
  <c r="FI563" i="36"/>
  <c r="FI635" i="36"/>
  <c r="FI637" i="36" s="1"/>
  <c r="FI611" i="36"/>
  <c r="FI612" i="36" s="1"/>
  <c r="FI652" i="36"/>
  <c r="FI648" i="36" s="1"/>
  <c r="FI659" i="36" s="1"/>
  <c r="B302" i="38"/>
  <c r="B290" i="38"/>
  <c r="FH527" i="36"/>
  <c r="EN163" i="35"/>
  <c r="FH362" i="36"/>
  <c r="FH364" i="36"/>
  <c r="EX364" i="36"/>
  <c r="EX365" i="36" s="1"/>
  <c r="EX362" i="36"/>
  <c r="EX363" i="36" s="1"/>
  <c r="EX361" i="36"/>
  <c r="ED199" i="35"/>
  <c r="ED200" i="35" s="1"/>
  <c r="ED126" i="35" s="1"/>
  <c r="EC200" i="35"/>
  <c r="EC126" i="35" s="1"/>
  <c r="EZ384" i="36"/>
  <c r="EZ385" i="36" s="1"/>
  <c r="EZ386" i="36"/>
  <c r="EZ381" i="36"/>
  <c r="EZ382" i="36"/>
  <c r="EZ383" i="36" s="1"/>
  <c r="EZ19" i="36"/>
  <c r="EZ388" i="36"/>
  <c r="FL473" i="36"/>
  <c r="FL464" i="36"/>
  <c r="FA499" i="36"/>
  <c r="FA502" i="36"/>
  <c r="FA503" i="36" s="1"/>
  <c r="FA500" i="36"/>
  <c r="FA501" i="36" s="1"/>
  <c r="FA510" i="36"/>
  <c r="FE377" i="36"/>
  <c r="EW510" i="36"/>
  <c r="EW500" i="36"/>
  <c r="EW501" i="36" s="1"/>
  <c r="EW502" i="36"/>
  <c r="EW503" i="36" s="1"/>
  <c r="EW499" i="36"/>
  <c r="ET78" i="36"/>
  <c r="ET59" i="36"/>
  <c r="ET45" i="35"/>
  <c r="ET529" i="36"/>
  <c r="ET530" i="36"/>
  <c r="FL11" i="35"/>
  <c r="FL12" i="35" s="1"/>
  <c r="FL43" i="36"/>
  <c r="EU528" i="36"/>
  <c r="EU520" i="36"/>
  <c r="EU521" i="36" s="1"/>
  <c r="EU519" i="36"/>
  <c r="EU524" i="36"/>
  <c r="EU522" i="36"/>
  <c r="EU523" i="36" s="1"/>
  <c r="EY28" i="36"/>
  <c r="EY390" i="36"/>
  <c r="EY389" i="36"/>
  <c r="FE375" i="36"/>
  <c r="FG53" i="35"/>
  <c r="FG19" i="35"/>
  <c r="FH18" i="35"/>
  <c r="FJ545" i="36"/>
  <c r="FJ214" i="36"/>
  <c r="FJ563" i="36"/>
  <c r="FJ9" i="36"/>
  <c r="FJ241" i="36"/>
  <c r="EX498" i="36"/>
  <c r="FE503" i="36"/>
  <c r="FM453" i="36"/>
  <c r="FM455" i="36" s="1"/>
  <c r="FM319" i="36"/>
  <c r="FM367" i="36" s="1"/>
  <c r="FL348" i="36"/>
  <c r="FK213" i="36"/>
  <c r="FK206" i="36"/>
  <c r="EY23" i="36"/>
  <c r="EY21" i="36"/>
  <c r="EY24" i="36" s="1"/>
  <c r="FD23" i="36"/>
  <c r="FD21" i="36"/>
  <c r="FA373" i="36"/>
  <c r="FA380" i="36"/>
  <c r="FA376" i="36"/>
  <c r="FA377" i="36" s="1"/>
  <c r="FA374" i="36"/>
  <c r="FA375" i="36" s="1"/>
  <c r="FA378" i="36"/>
  <c r="EX376" i="36"/>
  <c r="EX377" i="36" s="1"/>
  <c r="EX378" i="36"/>
  <c r="EX373" i="36"/>
  <c r="EX374" i="36"/>
  <c r="EX375" i="36" s="1"/>
  <c r="FJ652" i="36"/>
  <c r="FJ644" i="36"/>
  <c r="FJ611" i="36"/>
  <c r="FN634" i="36"/>
  <c r="FJ635" i="36"/>
  <c r="FE518" i="36"/>
  <c r="FE514" i="36"/>
  <c r="FE512" i="36"/>
  <c r="FE511" i="36"/>
  <c r="FE70" i="36"/>
  <c r="FE516" i="36"/>
  <c r="FM296" i="36"/>
  <c r="FM299" i="36"/>
  <c r="FM425" i="36" s="1"/>
  <c r="FM295" i="36"/>
  <c r="FG361" i="36"/>
  <c r="FG372" i="36"/>
  <c r="FH372" i="36" s="1"/>
  <c r="FG364" i="36"/>
  <c r="FG498" i="36"/>
  <c r="FH498" i="36" s="1"/>
  <c r="EZ511" i="36"/>
  <c r="EZ516" i="36"/>
  <c r="EZ518" i="36"/>
  <c r="EZ70" i="36"/>
  <c r="EZ512" i="36"/>
  <c r="EZ513" i="36" s="1"/>
  <c r="EZ514" i="36"/>
  <c r="EZ515" i="36" s="1"/>
  <c r="FH54" i="36"/>
  <c r="FH55" i="36" s="1"/>
  <c r="FH15" i="36"/>
  <c r="FD383" i="36"/>
  <c r="EV518" i="36"/>
  <c r="EV512" i="36"/>
  <c r="EV513" i="36" s="1"/>
  <c r="EV516" i="36"/>
  <c r="EV514" i="36"/>
  <c r="EV515" i="36" s="1"/>
  <c r="EV511" i="36"/>
  <c r="EV70" i="36"/>
  <c r="FE501" i="36"/>
  <c r="EW374" i="36"/>
  <c r="EW375" i="36" s="1"/>
  <c r="EW380" i="36"/>
  <c r="EX380" i="36" s="1"/>
  <c r="EW376" i="36"/>
  <c r="EW377" i="36" s="1"/>
  <c r="EW373" i="36"/>
  <c r="EW378" i="36"/>
  <c r="EJ62" i="35"/>
  <c r="EJ63" i="35"/>
  <c r="EN61" i="35"/>
  <c r="EJ68" i="35"/>
  <c r="EN68" i="35" s="1"/>
  <c r="EO63" i="35"/>
  <c r="FB361" i="36"/>
  <c r="FB372" i="36"/>
  <c r="FB364" i="36"/>
  <c r="FB365" i="36" s="1"/>
  <c r="FB498" i="36"/>
  <c r="FC498" i="36" s="1"/>
  <c r="FG527" i="36"/>
  <c r="EU69" i="36"/>
  <c r="EU80" i="36"/>
  <c r="EU74" i="36"/>
  <c r="EU75" i="36" s="1"/>
  <c r="EU71" i="36"/>
  <c r="FM204" i="36"/>
  <c r="FL205" i="36"/>
  <c r="FC360" i="36"/>
  <c r="FF499" i="36"/>
  <c r="FF500" i="36"/>
  <c r="FF510" i="36"/>
  <c r="FF502" i="36"/>
  <c r="FD528" i="36"/>
  <c r="FD522" i="36"/>
  <c r="FD520" i="36"/>
  <c r="FD519" i="36"/>
  <c r="FD524" i="36"/>
  <c r="FM317" i="36"/>
  <c r="FM339" i="36" s="1"/>
  <c r="FL507" i="36"/>
  <c r="FL508" i="36" s="1"/>
  <c r="FL506" i="36"/>
  <c r="EY528" i="36"/>
  <c r="EY524" i="36"/>
  <c r="EY522" i="36"/>
  <c r="EY523" i="36" s="1"/>
  <c r="EY520" i="36"/>
  <c r="EY521" i="36" s="1"/>
  <c r="EY519" i="36"/>
  <c r="EU390" i="36"/>
  <c r="EU389" i="36"/>
  <c r="EU28" i="36"/>
  <c r="FK476" i="36"/>
  <c r="FK467" i="36"/>
  <c r="FD385" i="36"/>
  <c r="FF365" i="36"/>
  <c r="FD513" i="36"/>
  <c r="EY80" i="36"/>
  <c r="EY69" i="36"/>
  <c r="EY74" i="36"/>
  <c r="EY75" i="36" s="1"/>
  <c r="EY71" i="36"/>
  <c r="EU23" i="36"/>
  <c r="EU21" i="36"/>
  <c r="EU24" i="36" s="1"/>
  <c r="FJ19" i="35"/>
  <c r="FJ53" i="35"/>
  <c r="FD429" i="36"/>
  <c r="FD436" i="36"/>
  <c r="FD432" i="36"/>
  <c r="FE428" i="36"/>
  <c r="FE430" i="36" s="1"/>
  <c r="FD433" i="36"/>
  <c r="FJ477" i="36"/>
  <c r="FJ468" i="36"/>
  <c r="FE382" i="36"/>
  <c r="FE381" i="36"/>
  <c r="FE19" i="36"/>
  <c r="FE384" i="36"/>
  <c r="FE386" i="36"/>
  <c r="FE388" i="36"/>
  <c r="EV384" i="36"/>
  <c r="EV385" i="36" s="1"/>
  <c r="EV19" i="36"/>
  <c r="EV382" i="36"/>
  <c r="EV383" i="36" s="1"/>
  <c r="EV381" i="36"/>
  <c r="EV386" i="36"/>
  <c r="EV388" i="36"/>
  <c r="FF373" i="36"/>
  <c r="FF374" i="36"/>
  <c r="FF376" i="36"/>
  <c r="FF380" i="36"/>
  <c r="FF378" i="36"/>
  <c r="FD80" i="36"/>
  <c r="FD69" i="36"/>
  <c r="FD71" i="36"/>
  <c r="FD74" i="36"/>
  <c r="ET79" i="36"/>
  <c r="ET30" i="36"/>
  <c r="FH639" i="36"/>
  <c r="ET32" i="36"/>
  <c r="ET35" i="36"/>
  <c r="FI478" i="36"/>
  <c r="FI470" i="36"/>
  <c r="FD389" i="36"/>
  <c r="FD390" i="36"/>
  <c r="FD28" i="36"/>
  <c r="FF417" i="36"/>
  <c r="FF420" i="36" s="1"/>
  <c r="FE421" i="36"/>
  <c r="FE422" i="36"/>
  <c r="FE431" i="36"/>
  <c r="FD515" i="36"/>
  <c r="B192" i="3"/>
  <c r="B195" i="3" s="1"/>
  <c r="B201" i="3" s="1"/>
  <c r="B204" i="3" s="1"/>
  <c r="B184" i="3"/>
  <c r="B152" i="3"/>
  <c r="C158" i="3"/>
  <c r="C162" i="3" s="1"/>
  <c r="D5084" i="3"/>
  <c r="D5085" i="3" s="1"/>
  <c r="D5088" i="3" s="1"/>
  <c r="D5089" i="3" s="1"/>
  <c r="D5091" i="3" s="1"/>
  <c r="D5095" i="3" s="1"/>
  <c r="C151" i="3"/>
  <c r="C152" i="3" s="1"/>
  <c r="C157" i="3" s="1"/>
  <c r="C161" i="3" s="1"/>
  <c r="B158" i="3"/>
  <c r="B162" i="3" s="1"/>
  <c r="B157" i="3"/>
  <c r="B161" i="3" s="1"/>
  <c r="EC225" i="2"/>
  <c r="B2369" i="3"/>
  <c r="B2370" i="3" s="1"/>
  <c r="B2361" i="3"/>
  <c r="B2365" i="3" s="1"/>
  <c r="B2350" i="3"/>
  <c r="B2352" i="3" s="1"/>
  <c r="EO86" i="2"/>
  <c r="B2301" i="3"/>
  <c r="B2336" i="3" s="1"/>
  <c r="EC162" i="2"/>
  <c r="EC159" i="2"/>
  <c r="EB158" i="2"/>
  <c r="EB163" i="2" s="1"/>
  <c r="DV126" i="2"/>
  <c r="DW123" i="2" s="1"/>
  <c r="DW125" i="2" s="1"/>
  <c r="EE225" i="2"/>
  <c r="F2506" i="3"/>
  <c r="G2502" i="3"/>
  <c r="G2482" i="3"/>
  <c r="F2487" i="3"/>
  <c r="ED224" i="2"/>
  <c r="ED118" i="2"/>
  <c r="ED129" i="2"/>
  <c r="ED141" i="2"/>
  <c r="ED245" i="2"/>
  <c r="N192" i="11"/>
  <c r="O171" i="11"/>
  <c r="ED528" i="2"/>
  <c r="ED108" i="2"/>
  <c r="ED74" i="2" s="1"/>
  <c r="ED157" i="2"/>
  <c r="EC500" i="2"/>
  <c r="EC74" i="2"/>
  <c r="EC76" i="2"/>
  <c r="EE104" i="2"/>
  <c r="EE106" i="2" s="1"/>
  <c r="EE108" i="2" s="1"/>
  <c r="E3119" i="3"/>
  <c r="E3123" i="3" s="1"/>
  <c r="E3124" i="3" s="1"/>
  <c r="E3127" i="3"/>
  <c r="E3137" i="3" s="1"/>
  <c r="E3147" i="3" s="1"/>
  <c r="U3116" i="3" s="1"/>
  <c r="EF82" i="2"/>
  <c r="G1606" i="3" s="1"/>
  <c r="G1608" i="3" s="1"/>
  <c r="E3132" i="3"/>
  <c r="EE84" i="2"/>
  <c r="EE341" i="10"/>
  <c r="EE343" i="10" s="1"/>
  <c r="F3105" i="3"/>
  <c r="F3107" i="3" s="1"/>
  <c r="EE83" i="2"/>
  <c r="E5084" i="3"/>
  <c r="E5085" i="3" s="1"/>
  <c r="E5088" i="3" s="1"/>
  <c r="EA144" i="18"/>
  <c r="EB569" i="18"/>
  <c r="D3124" i="3"/>
  <c r="D3137" i="3"/>
  <c r="D3147" i="3" s="1"/>
  <c r="C3129" i="3"/>
  <c r="EB154" i="18"/>
  <c r="DW669" i="18"/>
  <c r="DW677" i="18" s="1"/>
  <c r="EC150" i="18"/>
  <c r="EC33" i="18" s="1"/>
  <c r="D3138" i="3"/>
  <c r="D3148" i="3" s="1"/>
  <c r="E125" i="24"/>
  <c r="D126" i="24"/>
  <c r="D134" i="24" s="1"/>
  <c r="EE154" i="18"/>
  <c r="EE33" i="18"/>
  <c r="EE34" i="18" s="1"/>
  <c r="EB33" i="18"/>
  <c r="EB34" i="18" s="1"/>
  <c r="EB40" i="18" s="1"/>
  <c r="DZ166" i="18"/>
  <c r="DU560" i="2"/>
  <c r="DU565" i="2"/>
  <c r="DY559" i="2"/>
  <c r="DY95" i="2"/>
  <c r="DY392" i="10" s="1"/>
  <c r="DV392" i="10"/>
  <c r="EB151" i="18"/>
  <c r="EB279" i="18" s="1"/>
  <c r="EB314" i="18" s="1"/>
  <c r="DU108" i="2"/>
  <c r="DY107" i="2"/>
  <c r="DV263" i="2"/>
  <c r="DV308" i="2"/>
  <c r="DV108" i="2"/>
  <c r="DU271" i="2"/>
  <c r="DY269" i="2"/>
  <c r="DV565" i="2"/>
  <c r="DY540" i="2"/>
  <c r="DV541" i="2"/>
  <c r="DZ314" i="18"/>
  <c r="DZ674" i="18" s="1"/>
  <c r="EE567" i="18"/>
  <c r="EE556" i="18" s="1"/>
  <c r="EE552" i="18"/>
  <c r="EE553" i="18" s="1"/>
  <c r="EC556" i="18"/>
  <c r="EC557" i="18" s="1"/>
  <c r="EE585" i="18"/>
  <c r="EE589" i="18" s="1"/>
  <c r="DZ168" i="18"/>
  <c r="EE168" i="18" s="1"/>
  <c r="DZ695" i="18"/>
  <c r="ED687" i="18"/>
  <c r="DZ696" i="18"/>
  <c r="ED696" i="18" s="1"/>
  <c r="DZ176" i="18"/>
  <c r="B278" i="24"/>
  <c r="C25" i="25"/>
  <c r="C26" i="25" s="1"/>
  <c r="DZ325" i="18"/>
  <c r="ED325" i="18" s="1"/>
  <c r="EA680" i="18"/>
  <c r="EA681" i="18" s="1"/>
  <c r="ED677" i="18"/>
  <c r="ED679" i="18"/>
  <c r="DZ692" i="18"/>
  <c r="C5720" i="3"/>
  <c r="D5720" i="3" s="1"/>
  <c r="E5720" i="3" s="1"/>
  <c r="F5720" i="3" s="1"/>
  <c r="G5720" i="3" s="1"/>
  <c r="C5718" i="3"/>
  <c r="C5721" i="3" s="1"/>
  <c r="D5721" i="3" s="1"/>
  <c r="E5721" i="3" s="1"/>
  <c r="F5721" i="3" s="1"/>
  <c r="G5721" i="3" s="1"/>
  <c r="EA556" i="18"/>
  <c r="EA557" i="18" s="1"/>
  <c r="ED552" i="18"/>
  <c r="ED553" i="18" s="1"/>
  <c r="DZ589" i="18"/>
  <c r="ED589" i="18" s="1"/>
  <c r="DZ556" i="18"/>
  <c r="DZ557" i="18" s="1"/>
  <c r="B3775" i="3"/>
  <c r="B3777" i="3" s="1"/>
  <c r="B3779" i="3" s="1"/>
  <c r="B3783" i="3" s="1"/>
  <c r="B3785" i="3" s="1"/>
  <c r="ED557" i="18"/>
  <c r="EC420" i="18"/>
  <c r="EC483" i="18" s="1"/>
  <c r="EC478" i="18" s="1"/>
  <c r="ED415" i="18"/>
  <c r="ED420" i="18" s="1"/>
  <c r="ED483" i="18" s="1"/>
  <c r="EL89" i="4"/>
  <c r="EL87" i="4" s="1"/>
  <c r="EL85" i="4"/>
  <c r="FI184" i="4"/>
  <c r="J4969" i="3"/>
  <c r="EI218" i="18"/>
  <c r="EI223" i="18" s="1"/>
  <c r="J4975" i="3"/>
  <c r="J4788" i="3"/>
  <c r="C4982" i="3"/>
  <c r="C4981" i="3" s="1"/>
  <c r="J4464" i="3"/>
  <c r="EH223" i="18"/>
  <c r="EH220" i="18"/>
  <c r="EI220" i="18" s="1"/>
  <c r="EQ289" i="18"/>
  <c r="EI397" i="18"/>
  <c r="EK85" i="18"/>
  <c r="EJ208" i="18"/>
  <c r="EK205" i="18" s="1"/>
  <c r="EK207" i="18" s="1"/>
  <c r="EG488" i="18"/>
  <c r="EG433" i="18"/>
  <c r="DX59" i="18"/>
  <c r="DY57" i="18"/>
  <c r="K7" i="25"/>
  <c r="I8" i="25"/>
  <c r="K8" i="25" s="1"/>
  <c r="P3379" i="3"/>
  <c r="O3382" i="3"/>
  <c r="B144" i="11"/>
  <c r="B145" i="11" s="1"/>
  <c r="B95" i="11"/>
  <c r="B96" i="11" s="1"/>
  <c r="B88" i="11"/>
  <c r="C85" i="11" s="1"/>
  <c r="C88" i="11" s="1"/>
  <c r="D85" i="11" s="1"/>
  <c r="C95" i="11"/>
  <c r="EE678" i="18"/>
  <c r="EE687" i="18"/>
  <c r="EE677" i="18"/>
  <c r="AD5747" i="3"/>
  <c r="AF5747" i="3" s="1"/>
  <c r="U5765" i="3"/>
  <c r="C86" i="24"/>
  <c r="EJ205" i="18"/>
  <c r="EJ207" i="18" s="1"/>
  <c r="EI209" i="18"/>
  <c r="EI213" i="18"/>
  <c r="AD5742" i="3"/>
  <c r="R5766" i="3"/>
  <c r="EG660" i="18"/>
  <c r="EG153" i="18"/>
  <c r="EG32" i="18"/>
  <c r="EQ374" i="18"/>
  <c r="EP379" i="18"/>
  <c r="M151" i="11"/>
  <c r="AC5748" i="3"/>
  <c r="AC5742" i="3" s="1"/>
  <c r="T5766" i="3" s="1"/>
  <c r="AB5742" i="3"/>
  <c r="S5766" i="3" s="1"/>
  <c r="ES123" i="18"/>
  <c r="ER118" i="18"/>
  <c r="L4542" i="3"/>
  <c r="K5729" i="3"/>
  <c r="K4437" i="3"/>
  <c r="EN342" i="10"/>
  <c r="EN88" i="2"/>
  <c r="EH149" i="18"/>
  <c r="EH107" i="18"/>
  <c r="EH112" i="18" s="1"/>
  <c r="EH110" i="18"/>
  <c r="EH111" i="18"/>
  <c r="EI111" i="18" s="1"/>
  <c r="EH114" i="18"/>
  <c r="EI109" i="18"/>
  <c r="EQ77" i="18"/>
  <c r="EQ80" i="18" s="1"/>
  <c r="EQ102" i="18"/>
  <c r="EQ103" i="18"/>
  <c r="M4757" i="3"/>
  <c r="M4592" i="3"/>
  <c r="M4594" i="3" s="1"/>
  <c r="M4606" i="3" s="1"/>
  <c r="M4580" i="3"/>
  <c r="ER395" i="18"/>
  <c r="M5189" i="3"/>
  <c r="EQ396" i="18"/>
  <c r="EQ397" i="18"/>
  <c r="ER392" i="18"/>
  <c r="K5198" i="3"/>
  <c r="K5195" i="3"/>
  <c r="M5186" i="3"/>
  <c r="M5188" i="3" s="1"/>
  <c r="L5190" i="3"/>
  <c r="L5187" i="3"/>
  <c r="L5193" i="3" s="1"/>
  <c r="Q22" i="29"/>
  <c r="P25" i="29"/>
  <c r="EH277" i="18"/>
  <c r="EH276" i="18"/>
  <c r="D130" i="11"/>
  <c r="E127" i="11" s="1"/>
  <c r="D137" i="11"/>
  <c r="EI206" i="18"/>
  <c r="EI211" i="18" s="1"/>
  <c r="EH211" i="18"/>
  <c r="EH661" i="18"/>
  <c r="EH660" i="18" s="1"/>
  <c r="EH227" i="18"/>
  <c r="EI227" i="18" s="1"/>
  <c r="ER98" i="18"/>
  <c r="ES96" i="18"/>
  <c r="ER101" i="18"/>
  <c r="D93" i="11"/>
  <c r="D94" i="11" s="1"/>
  <c r="N4566" i="3"/>
  <c r="N4570" i="3" s="1"/>
  <c r="N4572" i="3" s="1"/>
  <c r="N4575" i="3" s="1"/>
  <c r="EF696" i="18"/>
  <c r="EF176" i="18"/>
  <c r="EF695" i="18"/>
  <c r="EQ489" i="18"/>
  <c r="EQ394" i="18"/>
  <c r="EQ393" i="18" s="1"/>
  <c r="EI257" i="18"/>
  <c r="EI249" i="18" s="1"/>
  <c r="EH42" i="18"/>
  <c r="EI42" i="18" s="1"/>
  <c r="E91" i="11"/>
  <c r="E92" i="11" s="1"/>
  <c r="E93" i="11" s="1"/>
  <c r="L4582" i="3"/>
  <c r="L4605" i="3" s="1"/>
  <c r="L4607" i="3" s="1"/>
  <c r="E135" i="11"/>
  <c r="E136" i="11" s="1"/>
  <c r="C144" i="11"/>
  <c r="C145" i="11" s="1"/>
  <c r="C138" i="11"/>
  <c r="M4570" i="3"/>
  <c r="M4572" i="3" s="1"/>
  <c r="M4575" i="3" s="1"/>
  <c r="EG112" i="18"/>
  <c r="K191" i="11"/>
  <c r="L170" i="11"/>
  <c r="P43" i="22"/>
  <c r="O42" i="22"/>
  <c r="S46" i="22"/>
  <c r="R45" i="22"/>
  <c r="Q44" i="22"/>
  <c r="N41" i="22"/>
  <c r="U48" i="22"/>
  <c r="T47" i="22"/>
  <c r="I4546" i="3"/>
  <c r="I4547" i="3" s="1"/>
  <c r="J4539" i="3" s="1"/>
  <c r="J4545" i="3" s="1"/>
  <c r="J3381" i="3"/>
  <c r="I3389" i="3"/>
  <c r="EK462" i="18"/>
  <c r="EK459" i="18"/>
  <c r="EK458" i="18"/>
  <c r="EL454" i="18"/>
  <c r="EK538" i="18"/>
  <c r="EG489" i="18"/>
  <c r="EG394" i="18"/>
  <c r="D3129" i="3"/>
  <c r="ED63" i="4"/>
  <c r="ED62" i="4"/>
  <c r="EH489" i="18"/>
  <c r="EH394" i="18"/>
  <c r="EH393" i="18" s="1"/>
  <c r="M4340" i="3"/>
  <c r="M4336" i="3"/>
  <c r="L4492" i="3"/>
  <c r="EP73" i="18"/>
  <c r="EO79" i="18"/>
  <c r="EO78" i="18" s="1"/>
  <c r="EO74" i="18"/>
  <c r="EN134" i="18"/>
  <c r="EM129" i="18"/>
  <c r="EH240" i="18"/>
  <c r="EI240" i="18" s="1"/>
  <c r="EI245" i="18" s="1"/>
  <c r="EJ245" i="18" s="1"/>
  <c r="F84" i="24"/>
  <c r="F83" i="24"/>
  <c r="F81" i="24"/>
  <c r="K26" i="20"/>
  <c r="H8" i="20"/>
  <c r="H13" i="23" s="1"/>
  <c r="J86" i="20"/>
  <c r="K4355" i="3"/>
  <c r="K4540" i="3"/>
  <c r="K4981" i="3"/>
  <c r="K4983" i="3" s="1"/>
  <c r="EL160" i="18"/>
  <c r="EL161" i="18" s="1"/>
  <c r="EL162" i="18"/>
  <c r="EL36" i="18"/>
  <c r="EH302" i="18"/>
  <c r="EH299" i="18"/>
  <c r="EI299" i="18" s="1"/>
  <c r="EH298" i="18"/>
  <c r="EI297" i="18"/>
  <c r="EH306" i="18"/>
  <c r="EH308" i="18" s="1"/>
  <c r="EH309" i="18" s="1"/>
  <c r="DZ49" i="4"/>
  <c r="DZ205" i="4"/>
  <c r="EC199" i="4"/>
  <c r="DZ103" i="10"/>
  <c r="EB199" i="4"/>
  <c r="EB200" i="4" s="1"/>
  <c r="DZ50" i="4"/>
  <c r="EA199" i="4"/>
  <c r="EA200" i="4" s="1"/>
  <c r="EA126" i="4" s="1"/>
  <c r="DZ199" i="4"/>
  <c r="DZ200" i="4" s="1"/>
  <c r="DZ126" i="4" s="1"/>
  <c r="EE50" i="4"/>
  <c r="EL222" i="18"/>
  <c r="D4450" i="3"/>
  <c r="AH5746" i="3"/>
  <c r="AH5740" i="3" s="1"/>
  <c r="X5764" i="3" s="1"/>
  <c r="AG5740" i="3"/>
  <c r="W5764" i="3" s="1"/>
  <c r="L4947" i="3"/>
  <c r="FK638" i="36" s="1"/>
  <c r="L4950" i="3"/>
  <c r="J4777" i="3"/>
  <c r="J4963" i="3"/>
  <c r="FE531" i="2"/>
  <c r="J4920" i="3"/>
  <c r="J4966" i="3"/>
  <c r="J4970" i="3" s="1"/>
  <c r="ED49" i="4"/>
  <c r="B3821" i="3"/>
  <c r="E22" i="25"/>
  <c r="B32" i="11"/>
  <c r="ED103" i="10"/>
  <c r="ED205" i="4"/>
  <c r="B237" i="24"/>
  <c r="C5012" i="3"/>
  <c r="ED50" i="4"/>
  <c r="EI50" i="4"/>
  <c r="K25" i="21"/>
  <c r="K26" i="21" s="1"/>
  <c r="H8" i="21"/>
  <c r="J86" i="21"/>
  <c r="K4771" i="3"/>
  <c r="FF637" i="2"/>
  <c r="K4952" i="3"/>
  <c r="EF398" i="18"/>
  <c r="EF404" i="18"/>
  <c r="EF414" i="18"/>
  <c r="EE165" i="18"/>
  <c r="EE152" i="18"/>
  <c r="S46" i="20"/>
  <c r="P43" i="20"/>
  <c r="O42" i="20"/>
  <c r="V49" i="20"/>
  <c r="N41" i="20"/>
  <c r="N85" i="20" s="1"/>
  <c r="AC56" i="20"/>
  <c r="W50" i="20"/>
  <c r="X51" i="20"/>
  <c r="Y52" i="20"/>
  <c r="Z53" i="20"/>
  <c r="AD57" i="20"/>
  <c r="AB55" i="20"/>
  <c r="AG60" i="20"/>
  <c r="AA54" i="20"/>
  <c r="AE58" i="20"/>
  <c r="AF59" i="20"/>
  <c r="R45" i="20"/>
  <c r="U48" i="20"/>
  <c r="T47" i="20"/>
  <c r="Q44" i="20"/>
  <c r="EL201" i="18"/>
  <c r="EL667" i="18"/>
  <c r="EL84" i="18"/>
  <c r="EL87" i="18" s="1"/>
  <c r="EL202" i="18"/>
  <c r="EL239" i="18"/>
  <c r="EJ307" i="18"/>
  <c r="EG492" i="18"/>
  <c r="EG493" i="18" s="1"/>
  <c r="B5491" i="3"/>
  <c r="B5484" i="3"/>
  <c r="L209" i="11"/>
  <c r="DU140" i="10"/>
  <c r="DU142" i="10" s="1"/>
  <c r="DU121" i="10"/>
  <c r="EB144" i="18"/>
  <c r="EG143" i="18"/>
  <c r="EG150" i="18" s="1"/>
  <c r="G80" i="24"/>
  <c r="EM197" i="18"/>
  <c r="EM83" i="18"/>
  <c r="K4498" i="3"/>
  <c r="K4559" i="3"/>
  <c r="EL301" i="18"/>
  <c r="EH52" i="18"/>
  <c r="EI305" i="18"/>
  <c r="N4351" i="3"/>
  <c r="N4349" i="3" s="1"/>
  <c r="N4974" i="3" s="1"/>
  <c r="N4976" i="3" s="1"/>
  <c r="M4349" i="3"/>
  <c r="M4974" i="3" s="1"/>
  <c r="M4976" i="3" s="1"/>
  <c r="EJ377" i="18"/>
  <c r="N4328" i="3"/>
  <c r="N4343" i="3"/>
  <c r="EO145" i="18"/>
  <c r="EH130" i="18"/>
  <c r="EI130" i="18" s="1"/>
  <c r="EI135" i="18" s="1"/>
  <c r="EJ135" i="18" s="1"/>
  <c r="EM119" i="18"/>
  <c r="EM120" i="18" s="1"/>
  <c r="E4450" i="3"/>
  <c r="E4451" i="3" s="1"/>
  <c r="EM191" i="18"/>
  <c r="EM192" i="18"/>
  <c r="EM200" i="18"/>
  <c r="EM216" i="18" s="1"/>
  <c r="AI5740" i="3"/>
  <c r="V5764" i="3"/>
  <c r="EH426" i="18"/>
  <c r="EI426" i="18" s="1"/>
  <c r="EI431" i="18" s="1"/>
  <c r="EJ431" i="18" s="1"/>
  <c r="J32" i="29"/>
  <c r="K24" i="29"/>
  <c r="G4555" i="3"/>
  <c r="H4557" i="3" s="1"/>
  <c r="H4431" i="3" s="1"/>
  <c r="H4551" i="3"/>
  <c r="G4553" i="3"/>
  <c r="N4807" i="3"/>
  <c r="N4334" i="3"/>
  <c r="N4338" i="3"/>
  <c r="N4333" i="3"/>
  <c r="EN221" i="18"/>
  <c r="EL372" i="18"/>
  <c r="EL398" i="18" s="1"/>
  <c r="EK373" i="18"/>
  <c r="EK403" i="18" s="1"/>
  <c r="EK414" i="18" s="1"/>
  <c r="EK419" i="18" s="1"/>
  <c r="DY205" i="4"/>
  <c r="DY103" i="10"/>
  <c r="DY49" i="4"/>
  <c r="K22" i="25"/>
  <c r="J237" i="24"/>
  <c r="I4435" i="3"/>
  <c r="I4460" i="3"/>
  <c r="I4463" i="3" s="1"/>
  <c r="J4429" i="3"/>
  <c r="EA278" i="18"/>
  <c r="EA49" i="18" s="1"/>
  <c r="EA50" i="18" s="1"/>
  <c r="EA57" i="18" s="1"/>
  <c r="EA59" i="18" s="1"/>
  <c r="EA314" i="18"/>
  <c r="EA482" i="18"/>
  <c r="EF33" i="18"/>
  <c r="EF34" i="18" s="1"/>
  <c r="EF40" i="18" s="1"/>
  <c r="EF154" i="18"/>
  <c r="EF151" i="18"/>
  <c r="O28" i="20"/>
  <c r="D4914" i="3"/>
  <c r="D4302" i="3"/>
  <c r="D4918" i="3"/>
  <c r="D4876" i="3"/>
  <c r="B79" i="41" s="1"/>
  <c r="EF520" i="2"/>
  <c r="EF521" i="2" s="1"/>
  <c r="EF524" i="2"/>
  <c r="EF528" i="2"/>
  <c r="EF522" i="2"/>
  <c r="EF523" i="2" s="1"/>
  <c r="EF519" i="2"/>
  <c r="O28" i="22"/>
  <c r="EE477" i="18"/>
  <c r="EE511" i="2"/>
  <c r="EE516" i="2"/>
  <c r="EE518" i="2"/>
  <c r="EE512" i="2"/>
  <c r="EE513" i="2" s="1"/>
  <c r="EE514" i="2"/>
  <c r="EE515" i="2" s="1"/>
  <c r="M4945" i="3"/>
  <c r="M4489" i="3"/>
  <c r="H4842" i="3"/>
  <c r="G4848" i="3"/>
  <c r="G4844" i="3"/>
  <c r="N4313" i="3"/>
  <c r="N4309" i="3"/>
  <c r="P4303" i="3"/>
  <c r="Q4303" i="3"/>
  <c r="N4332" i="3"/>
  <c r="DX687" i="18"/>
  <c r="DX674" i="18"/>
  <c r="DX678" i="18"/>
  <c r="DX677" i="18"/>
  <c r="EI62" i="4"/>
  <c r="EI63" i="4"/>
  <c r="EJ403" i="18"/>
  <c r="EJ414" i="18" s="1"/>
  <c r="EJ419" i="18" s="1"/>
  <c r="DZ533" i="2"/>
  <c r="ED530" i="2"/>
  <c r="ED533" i="2" s="1"/>
  <c r="K5732" i="3"/>
  <c r="EA166" i="18"/>
  <c r="EA168" i="18"/>
  <c r="EA174" i="18"/>
  <c r="EA692" i="18"/>
  <c r="EA185" i="18"/>
  <c r="EL295" i="18"/>
  <c r="D4295" i="3"/>
  <c r="D4322" i="3"/>
  <c r="D4326" i="3" s="1"/>
  <c r="L4362" i="3"/>
  <c r="L4364" i="3" s="1"/>
  <c r="L4956" i="3"/>
  <c r="L4350" i="3"/>
  <c r="L4495" i="3"/>
  <c r="K25" i="22"/>
  <c r="K26" i="22" s="1"/>
  <c r="H8" i="22"/>
  <c r="J86" i="22"/>
  <c r="EG437" i="18"/>
  <c r="EJ110" i="10"/>
  <c r="EJ1020" i="10" s="1"/>
  <c r="EN300" i="18"/>
  <c r="EF233" i="18"/>
  <c r="M4341" i="3"/>
  <c r="M4337" i="3"/>
  <c r="M4820" i="3"/>
  <c r="M4345" i="3"/>
  <c r="EG468" i="18"/>
  <c r="DZ49" i="18"/>
  <c r="I4360" i="3"/>
  <c r="I4361" i="3" s="1"/>
  <c r="I4363" i="3" s="1"/>
  <c r="J4354" i="3"/>
  <c r="J4356" i="3" s="1"/>
  <c r="EN81" i="18"/>
  <c r="EN190" i="18"/>
  <c r="EO37" i="18"/>
  <c r="EP159" i="18"/>
  <c r="EB45" i="18"/>
  <c r="DY199" i="4"/>
  <c r="DY200" i="4" s="1"/>
  <c r="DY126" i="4" s="1"/>
  <c r="DX200" i="4"/>
  <c r="DX126" i="4" s="1"/>
  <c r="EC229" i="18"/>
  <c r="E47" i="24"/>
  <c r="E11" i="24"/>
  <c r="E48" i="24" s="1"/>
  <c r="EG386" i="18"/>
  <c r="EG390" i="18"/>
  <c r="EG387" i="18"/>
  <c r="EH382" i="18"/>
  <c r="EO244" i="18"/>
  <c r="Q45" i="21"/>
  <c r="O43" i="21"/>
  <c r="R46" i="21"/>
  <c r="N29" i="21"/>
  <c r="N42" i="21"/>
  <c r="S47" i="21"/>
  <c r="M41" i="21"/>
  <c r="T48" i="21"/>
  <c r="P44" i="21"/>
  <c r="EJ283" i="18"/>
  <c r="EI291" i="18"/>
  <c r="K215" i="11"/>
  <c r="L221" i="11"/>
  <c r="EL86" i="18"/>
  <c r="K4958" i="3"/>
  <c r="FJ531" i="36" s="1"/>
  <c r="K4964" i="3"/>
  <c r="K4961" i="3"/>
  <c r="FC196" i="4" l="1"/>
  <c r="FD182" i="4"/>
  <c r="FA202" i="4"/>
  <c r="FA211" i="4" s="1"/>
  <c r="FB196" i="4"/>
  <c r="FB99" i="4"/>
  <c r="FC99" i="4" s="1"/>
  <c r="FC66" i="4"/>
  <c r="B81" i="41"/>
  <c r="B75" i="41"/>
  <c r="D4855" i="3"/>
  <c r="E4850" i="3"/>
  <c r="E4856" i="3" s="1"/>
  <c r="B304" i="38"/>
  <c r="B318" i="38" s="1"/>
  <c r="FM342" i="36"/>
  <c r="FM343" i="36" s="1"/>
  <c r="FL45" i="36"/>
  <c r="FL46" i="36" s="1"/>
  <c r="FL343" i="36"/>
  <c r="EE161" i="2"/>
  <c r="EE150" i="2"/>
  <c r="EE162" i="2"/>
  <c r="EF157" i="2"/>
  <c r="EF146" i="2"/>
  <c r="EF148" i="2" s="1"/>
  <c r="EE151" i="2"/>
  <c r="EE147" i="2" s="1"/>
  <c r="EE152" i="2" s="1"/>
  <c r="EE165" i="2"/>
  <c r="S1614" i="3"/>
  <c r="S1634" i="3" s="1"/>
  <c r="R1634" i="3"/>
  <c r="EO105" i="2"/>
  <c r="N1607" i="3"/>
  <c r="N1623" i="3" s="1"/>
  <c r="O1623" i="3" s="1"/>
  <c r="Q1622" i="3"/>
  <c r="P1642" i="3"/>
  <c r="F1670" i="3"/>
  <c r="Q1616" i="3"/>
  <c r="P1636" i="3"/>
  <c r="R1621" i="3"/>
  <c r="Q1641" i="3"/>
  <c r="R1620" i="3"/>
  <c r="Q1640" i="3"/>
  <c r="R1612" i="3"/>
  <c r="Q1632" i="3"/>
  <c r="Q1613" i="3"/>
  <c r="P1633" i="3"/>
  <c r="G1655" i="3"/>
  <c r="G1634" i="3" s="1"/>
  <c r="F1634" i="3"/>
  <c r="F1635" i="3" s="1"/>
  <c r="F1656" i="3" s="1"/>
  <c r="G1656" i="3" s="1"/>
  <c r="Q1617" i="3"/>
  <c r="P1637" i="3"/>
  <c r="Q1615" i="3"/>
  <c r="P1635" i="3"/>
  <c r="S1611" i="3"/>
  <c r="S1631" i="3" s="1"/>
  <c r="R1631" i="3"/>
  <c r="Q1618" i="3"/>
  <c r="P1638" i="3"/>
  <c r="R1619" i="3"/>
  <c r="Q1639" i="3"/>
  <c r="FJ352" i="36"/>
  <c r="FK344" i="36"/>
  <c r="FK10" i="36" s="1"/>
  <c r="FK14" i="36" s="1"/>
  <c r="FK46" i="36"/>
  <c r="FK51" i="36" s="1"/>
  <c r="FK634" i="36"/>
  <c r="FK635" i="36" s="1"/>
  <c r="FJ47" i="36"/>
  <c r="FJ49" i="36" s="1"/>
  <c r="FJ52" i="36" s="1"/>
  <c r="FI640" i="36"/>
  <c r="FI12" i="36"/>
  <c r="FI15" i="36" s="1"/>
  <c r="FF375" i="36"/>
  <c r="FI651" i="36"/>
  <c r="FI662" i="36" s="1"/>
  <c r="FI650" i="36"/>
  <c r="FI661" i="36" s="1"/>
  <c r="FI24" i="35" s="1"/>
  <c r="FI649" i="36"/>
  <c r="FI660" i="36" s="1"/>
  <c r="FI23" i="35" s="1"/>
  <c r="B289" i="38"/>
  <c r="B291" i="38" s="1"/>
  <c r="B306" i="38"/>
  <c r="B308" i="38" s="1"/>
  <c r="B353" i="38"/>
  <c r="B338" i="38"/>
  <c r="B328" i="38"/>
  <c r="FF377" i="36"/>
  <c r="FF501" i="36"/>
  <c r="FE385" i="36"/>
  <c r="FE513" i="36"/>
  <c r="FH499" i="36"/>
  <c r="FC499" i="36"/>
  <c r="FC500" i="36"/>
  <c r="FC502" i="36"/>
  <c r="EX382" i="36"/>
  <c r="EX383" i="36" s="1"/>
  <c r="EX384" i="36"/>
  <c r="EX385" i="36" s="1"/>
  <c r="EX381" i="36"/>
  <c r="EX386" i="36"/>
  <c r="FF422" i="36"/>
  <c r="FG417" i="36"/>
  <c r="FG420" i="36" s="1"/>
  <c r="FF421" i="36"/>
  <c r="FF431" i="36"/>
  <c r="FD79" i="36"/>
  <c r="FD30" i="36"/>
  <c r="FE389" i="36"/>
  <c r="FE390" i="36"/>
  <c r="FE28" i="36"/>
  <c r="FF512" i="36"/>
  <c r="FF70" i="36"/>
  <c r="FF518" i="36"/>
  <c r="FF514" i="36"/>
  <c r="FF511" i="36"/>
  <c r="FF516" i="36"/>
  <c r="EU79" i="36"/>
  <c r="EU30" i="36"/>
  <c r="FC372" i="36"/>
  <c r="FH373" i="36" s="1"/>
  <c r="FB373" i="36"/>
  <c r="FB374" i="36"/>
  <c r="FB375" i="36" s="1"/>
  <c r="FB376" i="36"/>
  <c r="FB377" i="36" s="1"/>
  <c r="FB380" i="36"/>
  <c r="FB378" i="36"/>
  <c r="FG374" i="36"/>
  <c r="FG376" i="36"/>
  <c r="FG373" i="36"/>
  <c r="FG380" i="36"/>
  <c r="FH380" i="36" s="1"/>
  <c r="FG378" i="36"/>
  <c r="FG54" i="35"/>
  <c r="FH53" i="35"/>
  <c r="ET58" i="35"/>
  <c r="ET46" i="35"/>
  <c r="EZ390" i="36"/>
  <c r="EZ389" i="36"/>
  <c r="EZ28" i="36"/>
  <c r="FD45" i="35"/>
  <c r="FD78" i="36"/>
  <c r="FD59" i="36"/>
  <c r="FD60" i="36" s="1"/>
  <c r="FD62" i="36" s="1"/>
  <c r="FE515" i="36"/>
  <c r="FD24" i="36"/>
  <c r="FJ12" i="36"/>
  <c r="FJ13" i="36"/>
  <c r="EU529" i="36"/>
  <c r="EU530" i="36"/>
  <c r="ET60" i="36"/>
  <c r="EZ23" i="36"/>
  <c r="EZ21" i="36"/>
  <c r="EZ24" i="36" s="1"/>
  <c r="FD32" i="36"/>
  <c r="FD35" i="36"/>
  <c r="ET36" i="36"/>
  <c r="ET33" i="36"/>
  <c r="EV390" i="36"/>
  <c r="EV389" i="36"/>
  <c r="EV28" i="36"/>
  <c r="EW382" i="36"/>
  <c r="EW383" i="36" s="1"/>
  <c r="EW381" i="36"/>
  <c r="EW386" i="36"/>
  <c r="EW384" i="36"/>
  <c r="EW385" i="36" s="1"/>
  <c r="EW19" i="36"/>
  <c r="EW388" i="36"/>
  <c r="EX388" i="36" s="1"/>
  <c r="EV519" i="36"/>
  <c r="EV524" i="36"/>
  <c r="EV522" i="36"/>
  <c r="EV523" i="36" s="1"/>
  <c r="EV528" i="36"/>
  <c r="EV520" i="36"/>
  <c r="EV521" i="36" s="1"/>
  <c r="EZ80" i="36"/>
  <c r="EZ74" i="36"/>
  <c r="EZ75" i="36" s="1"/>
  <c r="EZ71" i="36"/>
  <c r="EZ69" i="36"/>
  <c r="FE522" i="36"/>
  <c r="FE528" i="36"/>
  <c r="FE520" i="36"/>
  <c r="FE519" i="36"/>
  <c r="FE524" i="36"/>
  <c r="FL50" i="36"/>
  <c r="FA518" i="36"/>
  <c r="FA511" i="36"/>
  <c r="FA514" i="36"/>
  <c r="FA515" i="36" s="1"/>
  <c r="FA512" i="36"/>
  <c r="FA513" i="36" s="1"/>
  <c r="FA70" i="36"/>
  <c r="FA516" i="36"/>
  <c r="FH376" i="36"/>
  <c r="FH374" i="36"/>
  <c r="FH378" i="36"/>
  <c r="FE23" i="36"/>
  <c r="FE21" i="36"/>
  <c r="EY79" i="36"/>
  <c r="EY30" i="36"/>
  <c r="FI645" i="36"/>
  <c r="FI639" i="36"/>
  <c r="EY529" i="36"/>
  <c r="EY530" i="36"/>
  <c r="FD521" i="36"/>
  <c r="FC362" i="36"/>
  <c r="FC363" i="36" s="1"/>
  <c r="FC361" i="36"/>
  <c r="FC364" i="36"/>
  <c r="FC365" i="36" s="1"/>
  <c r="EU78" i="36"/>
  <c r="EU59" i="36"/>
  <c r="EU60" i="36" s="1"/>
  <c r="EU62" i="36" s="1"/>
  <c r="EU45" i="35"/>
  <c r="EZ520" i="36"/>
  <c r="EZ521" i="36" s="1"/>
  <c r="EZ522" i="36"/>
  <c r="EZ523" i="36" s="1"/>
  <c r="EZ524" i="36"/>
  <c r="EZ519" i="36"/>
  <c r="EZ528" i="36"/>
  <c r="FJ637" i="36"/>
  <c r="FN635" i="36"/>
  <c r="FJ640" i="36"/>
  <c r="FD434" i="36"/>
  <c r="EU32" i="36"/>
  <c r="EU35" i="36"/>
  <c r="FD523" i="36"/>
  <c r="FL213" i="36"/>
  <c r="FL206" i="36"/>
  <c r="EN62" i="35"/>
  <c r="EN63" i="35"/>
  <c r="ES63" i="35"/>
  <c r="FM368" i="36"/>
  <c r="FM505" i="36"/>
  <c r="EY35" i="36"/>
  <c r="EY32" i="36"/>
  <c r="ET533" i="36"/>
  <c r="ET535" i="36"/>
  <c r="ET534" i="36"/>
  <c r="FF428" i="36"/>
  <c r="FF430" i="36" s="1"/>
  <c r="FE433" i="36"/>
  <c r="FE432" i="36"/>
  <c r="FE429" i="36"/>
  <c r="FE434" i="36" s="1"/>
  <c r="FE436" i="36"/>
  <c r="FI480" i="36"/>
  <c r="FI526" i="36"/>
  <c r="FI527" i="36" s="1"/>
  <c r="FI663" i="36"/>
  <c r="FI22" i="35"/>
  <c r="FI26" i="35" s="1"/>
  <c r="FI28" i="35" s="1"/>
  <c r="FI29" i="35" s="1"/>
  <c r="FF384" i="36"/>
  <c r="FF382" i="36"/>
  <c r="FF386" i="36"/>
  <c r="FF19" i="36"/>
  <c r="FF381" i="36"/>
  <c r="FF388" i="36"/>
  <c r="FE383" i="36"/>
  <c r="EY45" i="35"/>
  <c r="EY59" i="36"/>
  <c r="EY60" i="36" s="1"/>
  <c r="EY62" i="36" s="1"/>
  <c r="EY78" i="36"/>
  <c r="FK477" i="36"/>
  <c r="FK468" i="36"/>
  <c r="FD529" i="36"/>
  <c r="FD530" i="36"/>
  <c r="EV74" i="36"/>
  <c r="EV75" i="36" s="1"/>
  <c r="EV69" i="36"/>
  <c r="EV71" i="36"/>
  <c r="EV80" i="36"/>
  <c r="FK19" i="35"/>
  <c r="FK53" i="35"/>
  <c r="FK54" i="35" s="1"/>
  <c r="FN611" i="36"/>
  <c r="FJ612" i="36"/>
  <c r="FH19" i="35"/>
  <c r="FI19" i="35"/>
  <c r="FH361" i="36"/>
  <c r="EV23" i="36"/>
  <c r="EV21" i="36"/>
  <c r="EV24" i="36" s="1"/>
  <c r="FJ478" i="36"/>
  <c r="FJ470" i="36"/>
  <c r="FM347" i="36"/>
  <c r="FM340" i="36"/>
  <c r="FM42" i="36"/>
  <c r="FM463" i="36"/>
  <c r="FH500" i="36"/>
  <c r="FH502" i="36"/>
  <c r="FL476" i="36"/>
  <c r="FL467" i="36"/>
  <c r="FL477" i="36" s="1"/>
  <c r="FB499" i="36"/>
  <c r="FB500" i="36"/>
  <c r="FB501" i="36" s="1"/>
  <c r="FB510" i="36"/>
  <c r="FB502" i="36"/>
  <c r="FB503" i="36" s="1"/>
  <c r="FG499" i="36"/>
  <c r="FG500" i="36"/>
  <c r="FG502" i="36"/>
  <c r="FG510" i="36"/>
  <c r="FE80" i="36"/>
  <c r="FE74" i="36"/>
  <c r="FE71" i="36"/>
  <c r="FE69" i="36"/>
  <c r="EW511" i="36"/>
  <c r="EW70" i="36"/>
  <c r="EW518" i="36"/>
  <c r="EX518" i="36" s="1"/>
  <c r="EW512" i="36"/>
  <c r="EW513" i="36" s="1"/>
  <c r="EW514" i="36"/>
  <c r="EW515" i="36" s="1"/>
  <c r="EW516" i="36"/>
  <c r="EX510" i="36"/>
  <c r="FL474" i="36"/>
  <c r="FI362" i="36"/>
  <c r="FD75" i="36"/>
  <c r="FJ54" i="35"/>
  <c r="FN53" i="35"/>
  <c r="FF503" i="36"/>
  <c r="FM205" i="36"/>
  <c r="FG365" i="36"/>
  <c r="FJ648" i="36"/>
  <c r="FJ659" i="36" s="1"/>
  <c r="FJ650" i="36"/>
  <c r="FJ661" i="36" s="1"/>
  <c r="FJ24" i="35" s="1"/>
  <c r="FN24" i="35" s="1"/>
  <c r="FJ651" i="36"/>
  <c r="FJ662" i="36" s="1"/>
  <c r="FJ649" i="36"/>
  <c r="FJ660" i="36" s="1"/>
  <c r="FJ23" i="35" s="1"/>
  <c r="FN23" i="35" s="1"/>
  <c r="FA381" i="36"/>
  <c r="FA19" i="36"/>
  <c r="FA384" i="36"/>
  <c r="FA385" i="36" s="1"/>
  <c r="FA382" i="36"/>
  <c r="FA383" i="36" s="1"/>
  <c r="FA386" i="36"/>
  <c r="FA388" i="36"/>
  <c r="FK563" i="36"/>
  <c r="FK9" i="36"/>
  <c r="FK214" i="36"/>
  <c r="FK545" i="36"/>
  <c r="FK241" i="36"/>
  <c r="EX502" i="36"/>
  <c r="EX503" i="36" s="1"/>
  <c r="EX500" i="36"/>
  <c r="EX501" i="36" s="1"/>
  <c r="EX499" i="36"/>
  <c r="B190" i="3"/>
  <c r="B205" i="3" s="1"/>
  <c r="B206" i="3" s="1"/>
  <c r="E187" i="3"/>
  <c r="G189" i="3"/>
  <c r="F188" i="3"/>
  <c r="C163" i="3"/>
  <c r="C164" i="3" s="1"/>
  <c r="B163" i="3"/>
  <c r="EO88" i="2"/>
  <c r="B2362" i="3"/>
  <c r="B2308" i="3" s="1"/>
  <c r="C2308" i="3" s="1"/>
  <c r="D2308" i="3" s="1"/>
  <c r="B2366" i="3"/>
  <c r="D2312" i="3" s="1"/>
  <c r="C2312" i="3" s="1"/>
  <c r="B2312" i="3" s="1"/>
  <c r="D2373" i="3"/>
  <c r="EP86" i="2"/>
  <c r="O1607" i="3" s="1"/>
  <c r="N3106" i="3"/>
  <c r="B2307" i="3"/>
  <c r="B2311" i="3" s="1"/>
  <c r="C2301" i="3"/>
  <c r="C2307" i="3" s="1"/>
  <c r="C2311" i="3" s="1"/>
  <c r="B2303" i="3"/>
  <c r="DV347" i="10"/>
  <c r="EA127" i="2"/>
  <c r="EC158" i="2"/>
  <c r="EC163" i="2" s="1"/>
  <c r="G3105" i="3"/>
  <c r="G3110" i="3" s="1"/>
  <c r="G3112" i="3" s="1"/>
  <c r="G3149" i="3" s="1"/>
  <c r="W3118" i="3" s="1"/>
  <c r="EF149" i="2"/>
  <c r="EF160" i="2" s="1"/>
  <c r="G1649" i="3" s="1"/>
  <c r="DV131" i="2"/>
  <c r="DV181" i="2"/>
  <c r="DV128" i="2"/>
  <c r="DV353" i="10" s="1"/>
  <c r="DV132" i="2"/>
  <c r="DW126" i="2"/>
  <c r="DW181" i="2" s="1"/>
  <c r="G2484" i="3"/>
  <c r="G2504" i="3" s="1"/>
  <c r="G2505" i="3" s="1"/>
  <c r="EE118" i="2"/>
  <c r="EE141" i="2"/>
  <c r="EE174" i="2"/>
  <c r="P171" i="11"/>
  <c r="P192" i="11" s="1"/>
  <c r="O192" i="11"/>
  <c r="EE129" i="2"/>
  <c r="EE245" i="2"/>
  <c r="EE246" i="2" s="1"/>
  <c r="ED320" i="2"/>
  <c r="ED364" i="2" s="1"/>
  <c r="ED500" i="2"/>
  <c r="ED76" i="2"/>
  <c r="E3128" i="3"/>
  <c r="E3138" i="3" s="1"/>
  <c r="E3148" i="3" s="1"/>
  <c r="U3117" i="3" s="1"/>
  <c r="EF104" i="2"/>
  <c r="EF106" i="2" s="1"/>
  <c r="EF118" i="2" s="1"/>
  <c r="E3115" i="3"/>
  <c r="E3133" i="3"/>
  <c r="F3143" i="3"/>
  <c r="F3142" i="3" s="1"/>
  <c r="F3152" i="3" s="1"/>
  <c r="EF83" i="2"/>
  <c r="EF341" i="10"/>
  <c r="EF343" i="10" s="1"/>
  <c r="F3110" i="3"/>
  <c r="F3112" i="3" s="1"/>
  <c r="F3149" i="3" s="1"/>
  <c r="V3118" i="3" s="1"/>
  <c r="EL86" i="4"/>
  <c r="EF84" i="2"/>
  <c r="EG82" i="2"/>
  <c r="F3118" i="3"/>
  <c r="F3122" i="3" s="1"/>
  <c r="EC143" i="18"/>
  <c r="EH143" i="18" s="1"/>
  <c r="EH150" i="18" s="1"/>
  <c r="EI150" i="18" s="1"/>
  <c r="DW687" i="18"/>
  <c r="DW696" i="18" s="1"/>
  <c r="EC154" i="18"/>
  <c r="DW674" i="18"/>
  <c r="EB165" i="18"/>
  <c r="EB166" i="18" s="1"/>
  <c r="DW678" i="18"/>
  <c r="DZ315" i="18"/>
  <c r="EC151" i="18"/>
  <c r="EC165" i="18" s="1"/>
  <c r="EB152" i="18"/>
  <c r="DY108" i="2"/>
  <c r="E126" i="24"/>
  <c r="E134" i="24" s="1"/>
  <c r="F125" i="24"/>
  <c r="DV268" i="2"/>
  <c r="DV270" i="2" s="1"/>
  <c r="DV271" i="2" s="1"/>
  <c r="DV273" i="2" s="1"/>
  <c r="DU273" i="2"/>
  <c r="DU401" i="10" s="1"/>
  <c r="DU395" i="10"/>
  <c r="DZ272" i="2"/>
  <c r="DY560" i="2"/>
  <c r="DU566" i="2"/>
  <c r="DU567" i="2"/>
  <c r="DY565" i="2"/>
  <c r="DY541" i="2"/>
  <c r="DY543" i="2"/>
  <c r="DV566" i="2"/>
  <c r="DV567" i="2"/>
  <c r="DV666" i="18" s="1"/>
  <c r="DV664" i="18" s="1"/>
  <c r="DV569" i="2"/>
  <c r="DY263" i="2"/>
  <c r="DY308" i="2"/>
  <c r="DY274" i="2"/>
  <c r="DZ317" i="18"/>
  <c r="DZ321" i="18" s="1"/>
  <c r="DZ332" i="18" s="1"/>
  <c r="DU168" i="18"/>
  <c r="DU172" i="18" s="1"/>
  <c r="EE569" i="18"/>
  <c r="ED697" i="18"/>
  <c r="EE557" i="18"/>
  <c r="ED176" i="18"/>
  <c r="DZ183" i="18"/>
  <c r="B25" i="25"/>
  <c r="ED692" i="18"/>
  <c r="B250" i="24"/>
  <c r="EC682" i="18"/>
  <c r="ED682" i="18"/>
  <c r="EA682" i="18"/>
  <c r="EB682" i="18"/>
  <c r="DZ682" i="18"/>
  <c r="ED695" i="18"/>
  <c r="EA698" i="18"/>
  <c r="EA699" i="18" s="1"/>
  <c r="B3788" i="3"/>
  <c r="B3790" i="3" s="1"/>
  <c r="EC477" i="18"/>
  <c r="ED478" i="18"/>
  <c r="EL91" i="4"/>
  <c r="EL93" i="4" s="1"/>
  <c r="K4969" i="3"/>
  <c r="EJ215" i="18"/>
  <c r="EJ217" i="18" s="1"/>
  <c r="EJ218" i="18" s="1"/>
  <c r="EI219" i="18"/>
  <c r="EM295" i="18"/>
  <c r="EL85" i="18"/>
  <c r="EI489" i="18"/>
  <c r="EM239" i="18"/>
  <c r="EJ210" i="18"/>
  <c r="EJ209" i="18"/>
  <c r="EJ213" i="18"/>
  <c r="D86" i="24"/>
  <c r="D88" i="24" s="1"/>
  <c r="EJ206" i="18"/>
  <c r="EJ211" i="18" s="1"/>
  <c r="Q3379" i="3"/>
  <c r="P3382" i="3"/>
  <c r="K70" i="24"/>
  <c r="I14" i="25"/>
  <c r="DX61" i="18"/>
  <c r="DY59" i="18"/>
  <c r="DY61" i="18" s="1"/>
  <c r="B102" i="11"/>
  <c r="B103" i="11" s="1"/>
  <c r="B104" i="11" s="1"/>
  <c r="EI232" i="18"/>
  <c r="EJ232" i="18" s="1"/>
  <c r="EK232" i="18" s="1"/>
  <c r="EL232" i="18" s="1"/>
  <c r="EM232" i="18" s="1"/>
  <c r="EN232" i="18" s="1"/>
  <c r="EO232" i="18" s="1"/>
  <c r="EP232" i="18" s="1"/>
  <c r="C96" i="11"/>
  <c r="C102" i="11"/>
  <c r="C103" i="11" s="1"/>
  <c r="EH131" i="18"/>
  <c r="EI131" i="18" s="1"/>
  <c r="M170" i="11"/>
  <c r="L191" i="11"/>
  <c r="E94" i="11"/>
  <c r="E86" i="11"/>
  <c r="E87" i="11"/>
  <c r="ER289" i="18"/>
  <c r="ER77" i="18"/>
  <c r="ER80" i="18" s="1"/>
  <c r="ER102" i="18"/>
  <c r="ER103" i="18"/>
  <c r="AF5741" i="3"/>
  <c r="AG5747" i="3"/>
  <c r="ES98" i="18"/>
  <c r="ES101" i="18"/>
  <c r="EI276" i="18"/>
  <c r="EH47" i="18"/>
  <c r="EI47" i="18" s="1"/>
  <c r="C62" i="24" s="1"/>
  <c r="C63" i="24" s="1"/>
  <c r="M5187" i="3"/>
  <c r="M5193" i="3" s="1"/>
  <c r="N5186" i="3"/>
  <c r="N5188" i="3" s="1"/>
  <c r="M5190" i="3"/>
  <c r="EH32" i="18"/>
  <c r="EI32" i="18" s="1"/>
  <c r="C4" i="24" s="1"/>
  <c r="EH153" i="18"/>
  <c r="EF680" i="18"/>
  <c r="EF681" i="18" s="1"/>
  <c r="EE325" i="18"/>
  <c r="EI277" i="18"/>
  <c r="EH48" i="18"/>
  <c r="EI48" i="18" s="1"/>
  <c r="ES392" i="18"/>
  <c r="ER396" i="18"/>
  <c r="ER397" i="18"/>
  <c r="EQ379" i="18"/>
  <c r="ER374" i="18"/>
  <c r="EE696" i="18"/>
  <c r="EE695" i="18"/>
  <c r="EF698" i="18" s="1"/>
  <c r="EF699" i="18" s="1"/>
  <c r="EE176" i="18"/>
  <c r="E128" i="11"/>
  <c r="E129" i="11" s="1"/>
  <c r="EE680" i="18"/>
  <c r="EE681" i="18" s="1"/>
  <c r="EJ249" i="18"/>
  <c r="EI250" i="18"/>
  <c r="Q25" i="29"/>
  <c r="R22" i="29"/>
  <c r="ER489" i="18"/>
  <c r="ER394" i="18"/>
  <c r="ER393" i="18" s="1"/>
  <c r="M4582" i="3"/>
  <c r="C22" i="24"/>
  <c r="C334" i="24"/>
  <c r="C345" i="24" s="1"/>
  <c r="C325" i="24" s="1"/>
  <c r="B326" i="24" s="1"/>
  <c r="EJ106" i="18"/>
  <c r="EJ108" i="18" s="1"/>
  <c r="EI110" i="18"/>
  <c r="EI114" i="18"/>
  <c r="ES118" i="18"/>
  <c r="EI661" i="18"/>
  <c r="C87" i="24"/>
  <c r="C88" i="24"/>
  <c r="EI107" i="18"/>
  <c r="EI112" i="18" s="1"/>
  <c r="L5729" i="3"/>
  <c r="M4542" i="3"/>
  <c r="L4437" i="3"/>
  <c r="ES395" i="18"/>
  <c r="N5189" i="3"/>
  <c r="N4580" i="3"/>
  <c r="N4757" i="3"/>
  <c r="N4592" i="3"/>
  <c r="N4594" i="3" s="1"/>
  <c r="N4606" i="3" s="1"/>
  <c r="L5195" i="3"/>
  <c r="L5198" i="3"/>
  <c r="EI660" i="18"/>
  <c r="EH427" i="18"/>
  <c r="EH494" i="18" s="1"/>
  <c r="EI494" i="18" s="1"/>
  <c r="D87" i="11"/>
  <c r="D86" i="11"/>
  <c r="D144" i="11"/>
  <c r="D145" i="11" s="1"/>
  <c r="D138" i="11"/>
  <c r="K4464" i="3"/>
  <c r="K4788" i="3"/>
  <c r="K4975" i="3"/>
  <c r="N151" i="11"/>
  <c r="EI149" i="18"/>
  <c r="AD5748" i="3"/>
  <c r="AF5748" i="3" s="1"/>
  <c r="U5766" i="3"/>
  <c r="L25" i="21"/>
  <c r="L26" i="21" s="1"/>
  <c r="J4546" i="3"/>
  <c r="EM122" i="18"/>
  <c r="EM121" i="18"/>
  <c r="EM125" i="18"/>
  <c r="EN117" i="18"/>
  <c r="EM158" i="18"/>
  <c r="L25" i="22"/>
  <c r="V49" i="22"/>
  <c r="N49" i="22"/>
  <c r="P49" i="22"/>
  <c r="L49" i="22"/>
  <c r="M49" i="22"/>
  <c r="T49" i="22"/>
  <c r="R49" i="22"/>
  <c r="U49" i="22"/>
  <c r="S49" i="22"/>
  <c r="Q49" i="22"/>
  <c r="K49" i="22"/>
  <c r="K85" i="22" s="1"/>
  <c r="O49" i="22"/>
  <c r="L4964" i="3"/>
  <c r="L4958" i="3"/>
  <c r="FK531" i="36" s="1"/>
  <c r="L4961" i="3"/>
  <c r="EA61" i="18"/>
  <c r="EM86" i="18"/>
  <c r="EK307" i="18"/>
  <c r="EJ54" i="18"/>
  <c r="EF419" i="18"/>
  <c r="EE482" i="18"/>
  <c r="EF529" i="2"/>
  <c r="EF530" i="2"/>
  <c r="J4435" i="3"/>
  <c r="J4460" i="3"/>
  <c r="J4463" i="3" s="1"/>
  <c r="K4429" i="3"/>
  <c r="EM372" i="18"/>
  <c r="EM398" i="18" s="1"/>
  <c r="EL373" i="18"/>
  <c r="EL403" i="18" s="1"/>
  <c r="EL414" i="18" s="1"/>
  <c r="EL419" i="18" s="1"/>
  <c r="AI5746" i="3"/>
  <c r="Y5764" i="3"/>
  <c r="EF406" i="18"/>
  <c r="EH241" i="18"/>
  <c r="EO134" i="18"/>
  <c r="EN129" i="18"/>
  <c r="EI394" i="18"/>
  <c r="EI399" i="18" s="1"/>
  <c r="EG393" i="18"/>
  <c r="L4498" i="3"/>
  <c r="L4559" i="3"/>
  <c r="L4981" i="3"/>
  <c r="L4983" i="3" s="1"/>
  <c r="L4540" i="3"/>
  <c r="L4355" i="3"/>
  <c r="EK377" i="18"/>
  <c r="EI52" i="18"/>
  <c r="M221" i="11"/>
  <c r="L215" i="11"/>
  <c r="EJ285" i="18"/>
  <c r="EJ286" i="18" s="1"/>
  <c r="EJ305" i="18" s="1"/>
  <c r="EH384" i="18"/>
  <c r="EI384" i="18" s="1"/>
  <c r="EI389" i="18" s="1"/>
  <c r="EH466" i="18"/>
  <c r="EI466" i="18" s="1"/>
  <c r="EI471" i="18" s="1"/>
  <c r="EJ471" i="18" s="1"/>
  <c r="EC231" i="18"/>
  <c r="ED231" i="18" s="1"/>
  <c r="EC230" i="18"/>
  <c r="EC235" i="18"/>
  <c r="EC234" i="18"/>
  <c r="ED229" i="18"/>
  <c r="EC258" i="18"/>
  <c r="EB278" i="18"/>
  <c r="EN191" i="18"/>
  <c r="EN192" i="18"/>
  <c r="M4495" i="3"/>
  <c r="M4956" i="3"/>
  <c r="M4362" i="3"/>
  <c r="M4364" i="3" s="1"/>
  <c r="M4350" i="3"/>
  <c r="EO300" i="18"/>
  <c r="EE320" i="2"/>
  <c r="EE364" i="2" s="1"/>
  <c r="EE76" i="2"/>
  <c r="EE74" i="2"/>
  <c r="EE75" i="2" s="1"/>
  <c r="EE500" i="2"/>
  <c r="EE501" i="2" s="1"/>
  <c r="M4344" i="3"/>
  <c r="EE519" i="2"/>
  <c r="EE524" i="2"/>
  <c r="EE522" i="2"/>
  <c r="EE523" i="2" s="1"/>
  <c r="EE520" i="2"/>
  <c r="EE521" i="2" s="1"/>
  <c r="EE528" i="2"/>
  <c r="EF152" i="18"/>
  <c r="EF165" i="18"/>
  <c r="EM201" i="18"/>
  <c r="EM84" i="18"/>
  <c r="EM87" i="18" s="1"/>
  <c r="EM667" i="18"/>
  <c r="EM202" i="18"/>
  <c r="EK135" i="18"/>
  <c r="EM301" i="18"/>
  <c r="B5492" i="3"/>
  <c r="O29" i="20"/>
  <c r="EL38" i="18"/>
  <c r="F10" i="24"/>
  <c r="J3383" i="3"/>
  <c r="J3384" i="3" s="1"/>
  <c r="DX176" i="18"/>
  <c r="DX695" i="18"/>
  <c r="DX692" i="18"/>
  <c r="DX696" i="18"/>
  <c r="EP244" i="18"/>
  <c r="N4336" i="3"/>
  <c r="N4340" i="3"/>
  <c r="EA315" i="18"/>
  <c r="EA674" i="18"/>
  <c r="EE317" i="18"/>
  <c r="EE63" i="18" s="1"/>
  <c r="H80" i="24"/>
  <c r="G83" i="24"/>
  <c r="G84" i="24"/>
  <c r="G81" i="24"/>
  <c r="H81" i="24" s="1"/>
  <c r="C22" i="25"/>
  <c r="E24" i="25"/>
  <c r="E27" i="25"/>
  <c r="E28" i="25" s="1"/>
  <c r="E23" i="25"/>
  <c r="E20" i="25"/>
  <c r="D4445" i="3"/>
  <c r="D4446" i="3"/>
  <c r="EB126" i="4"/>
  <c r="EH311" i="18"/>
  <c r="EH53" i="18"/>
  <c r="EI53" i="18" s="1"/>
  <c r="EI306" i="18"/>
  <c r="EI308" i="18" s="1"/>
  <c r="EI309" i="18" s="1"/>
  <c r="H5721" i="3"/>
  <c r="EO190" i="18"/>
  <c r="EO81" i="18"/>
  <c r="EH398" i="18"/>
  <c r="EH414" i="18"/>
  <c r="EH419" i="18" s="1"/>
  <c r="L5732" i="3"/>
  <c r="T47" i="21"/>
  <c r="U48" i="21"/>
  <c r="P43" i="21"/>
  <c r="S46" i="21"/>
  <c r="O42" i="21"/>
  <c r="N41" i="21"/>
  <c r="Q44" i="21"/>
  <c r="R45" i="21"/>
  <c r="EB315" i="18"/>
  <c r="EB674" i="18"/>
  <c r="EG439" i="18"/>
  <c r="H4555" i="3"/>
  <c r="I4557" i="3" s="1"/>
  <c r="I4431" i="3" s="1"/>
  <c r="I4551" i="3"/>
  <c r="H4553" i="3"/>
  <c r="K4920" i="3"/>
  <c r="K4966" i="3"/>
  <c r="K4970" i="3" s="1"/>
  <c r="FF531" i="2"/>
  <c r="K4963" i="3"/>
  <c r="K4777" i="3"/>
  <c r="EA317" i="18"/>
  <c r="EA63" i="18" s="1"/>
  <c r="EA65" i="18" s="1"/>
  <c r="DV168" i="18"/>
  <c r="EF168" i="18"/>
  <c r="M4950" i="3"/>
  <c r="M4947" i="3"/>
  <c r="FL638" i="36" s="1"/>
  <c r="EE40" i="18"/>
  <c r="D4878" i="3"/>
  <c r="B79" i="6"/>
  <c r="B154" i="13"/>
  <c r="D4883" i="3"/>
  <c r="EK431" i="18"/>
  <c r="EP145" i="18"/>
  <c r="M209" i="11"/>
  <c r="B238" i="24"/>
  <c r="C238" i="24"/>
  <c r="D4451" i="3"/>
  <c r="DZ140" i="10"/>
  <c r="DZ142" i="10" s="1"/>
  <c r="DZ121" i="10"/>
  <c r="EI298" i="18"/>
  <c r="EJ294" i="18"/>
  <c r="EI302" i="18"/>
  <c r="L26" i="20"/>
  <c r="K86" i="20"/>
  <c r="EP79" i="18"/>
  <c r="EP78" i="18" s="1"/>
  <c r="EP74" i="18"/>
  <c r="EQ73" i="18"/>
  <c r="O29" i="22"/>
  <c r="W49" i="22" s="1"/>
  <c r="D4331" i="3"/>
  <c r="D4308" i="3"/>
  <c r="D4312" i="3"/>
  <c r="DX325" i="18"/>
  <c r="DZ680" i="18"/>
  <c r="M4492" i="3"/>
  <c r="EO221" i="18"/>
  <c r="C5015" i="3"/>
  <c r="C5016" i="3"/>
  <c r="C5014" i="3"/>
  <c r="EC34" i="18"/>
  <c r="ED33" i="18"/>
  <c r="B6" i="24" s="1"/>
  <c r="K4354" i="3"/>
  <c r="K4356" i="3" s="1"/>
  <c r="J4360" i="3"/>
  <c r="J4361" i="3" s="1"/>
  <c r="J4363" i="3" s="1"/>
  <c r="I4842" i="3"/>
  <c r="H4848" i="3"/>
  <c r="H4844" i="3"/>
  <c r="K26" i="29"/>
  <c r="K27" i="29" s="1"/>
  <c r="ED199" i="4"/>
  <c r="ED200" i="4" s="1"/>
  <c r="EC200" i="4"/>
  <c r="EC126" i="4" s="1"/>
  <c r="DX680" i="18"/>
  <c r="DX681" i="18" s="1"/>
  <c r="DW325" i="18"/>
  <c r="D4921" i="3"/>
  <c r="D4919" i="3"/>
  <c r="D4922" i="3" s="1"/>
  <c r="N4820" i="3"/>
  <c r="N4345" i="3"/>
  <c r="N4344" i="3" s="1"/>
  <c r="N4341" i="3"/>
  <c r="N4337" i="3"/>
  <c r="E4446" i="3"/>
  <c r="E4445" i="3"/>
  <c r="N4945" i="3"/>
  <c r="N4489" i="3"/>
  <c r="N87" i="20"/>
  <c r="I10" i="20" s="1"/>
  <c r="EM222" i="18"/>
  <c r="EG479" i="18"/>
  <c r="EG469" i="18"/>
  <c r="EG470" i="18"/>
  <c r="EG473" i="18"/>
  <c r="EH465" i="18"/>
  <c r="EG539" i="18"/>
  <c r="DY140" i="10"/>
  <c r="DY142" i="10" s="1"/>
  <c r="DY121" i="10"/>
  <c r="EG154" i="18"/>
  <c r="EG33" i="18"/>
  <c r="EG34" i="18" s="1"/>
  <c r="EG40" i="18" s="1"/>
  <c r="EG151" i="18"/>
  <c r="EE172" i="18"/>
  <c r="EE166" i="18"/>
  <c r="EE692" i="18"/>
  <c r="H5720" i="3"/>
  <c r="EL456" i="18"/>
  <c r="EL457" i="18" s="1"/>
  <c r="EQ159" i="18"/>
  <c r="EP37" i="18"/>
  <c r="DZ50" i="18"/>
  <c r="EG233" i="18"/>
  <c r="S49" i="21"/>
  <c r="N49" i="21"/>
  <c r="K49" i="21"/>
  <c r="K85" i="21" s="1"/>
  <c r="Q49" i="21"/>
  <c r="O49" i="21"/>
  <c r="P49" i="21"/>
  <c r="V49" i="21"/>
  <c r="L49" i="21"/>
  <c r="T49" i="21"/>
  <c r="M49" i="21"/>
  <c r="U49" i="21"/>
  <c r="R49" i="21"/>
  <c r="ED140" i="10"/>
  <c r="ED142" i="10" s="1"/>
  <c r="ED121" i="10"/>
  <c r="FG637" i="2"/>
  <c r="L4771" i="3"/>
  <c r="L4952" i="3"/>
  <c r="EK245" i="18"/>
  <c r="O28" i="21"/>
  <c r="O29" i="21" s="1"/>
  <c r="W49" i="21" s="1"/>
  <c r="FB202" i="4" l="1"/>
  <c r="FB211" i="4" s="1"/>
  <c r="FC211" i="4" s="1"/>
  <c r="FB115" i="10"/>
  <c r="G151" i="3"/>
  <c r="FD66" i="4"/>
  <c r="FD185" i="4"/>
  <c r="FE182" i="4"/>
  <c r="FD196" i="4"/>
  <c r="FD202" i="4" s="1"/>
  <c r="FC115" i="10"/>
  <c r="D103" i="37"/>
  <c r="B77" i="41"/>
  <c r="B86" i="41" s="1"/>
  <c r="B93" i="41"/>
  <c r="B337" i="38"/>
  <c r="B345" i="38"/>
  <c r="B303" i="38"/>
  <c r="B352" i="38"/>
  <c r="B348" i="38"/>
  <c r="C348" i="38" s="1"/>
  <c r="D348" i="38" s="1"/>
  <c r="G348" i="38" s="1"/>
  <c r="FM466" i="36"/>
  <c r="FM476" i="36" s="1"/>
  <c r="FL14" i="35"/>
  <c r="FL15" i="35" s="1"/>
  <c r="FL16" i="35" s="1"/>
  <c r="FL18" i="35" s="1"/>
  <c r="FL19" i="35" s="1"/>
  <c r="FM45" i="36"/>
  <c r="FM46" i="36" s="1"/>
  <c r="FM51" i="36" s="1"/>
  <c r="FM351" i="36"/>
  <c r="FL634" i="36"/>
  <c r="FL644" i="36" s="1"/>
  <c r="FL351" i="36"/>
  <c r="FL344" i="36"/>
  <c r="FL352" i="36" s="1"/>
  <c r="O1624" i="3"/>
  <c r="P1624" i="3" s="1"/>
  <c r="Q1624" i="3" s="1"/>
  <c r="R1624" i="3" s="1"/>
  <c r="H1656" i="3"/>
  <c r="H1635" i="3" s="1"/>
  <c r="G1635" i="3"/>
  <c r="G1636" i="3" s="1"/>
  <c r="G1657" i="3" s="1"/>
  <c r="H1657" i="3" s="1"/>
  <c r="R1615" i="3"/>
  <c r="Q1635" i="3"/>
  <c r="S1612" i="3"/>
  <c r="S1632" i="3" s="1"/>
  <c r="R1632" i="3"/>
  <c r="S1619" i="3"/>
  <c r="S1639" i="3" s="1"/>
  <c r="R1639" i="3"/>
  <c r="R1617" i="3"/>
  <c r="Q1637" i="3"/>
  <c r="EG149" i="2"/>
  <c r="EG160" i="2" s="1"/>
  <c r="H1649" i="3" s="1"/>
  <c r="H1670" i="3" s="1"/>
  <c r="H1606" i="3"/>
  <c r="H1608" i="3" s="1"/>
  <c r="S1620" i="3"/>
  <c r="S1640" i="3" s="1"/>
  <c r="R1640" i="3"/>
  <c r="R1622" i="3"/>
  <c r="Q1642" i="3"/>
  <c r="R1618" i="3"/>
  <c r="Q1638" i="3"/>
  <c r="P1623" i="3"/>
  <c r="Q1623" i="3" s="1"/>
  <c r="S1621" i="3"/>
  <c r="S1641" i="3" s="1"/>
  <c r="R1641" i="3"/>
  <c r="G1670" i="3"/>
  <c r="R1613" i="3"/>
  <c r="Q1633" i="3"/>
  <c r="R1616" i="3"/>
  <c r="Q1636" i="3"/>
  <c r="FK47" i="36"/>
  <c r="FK49" i="36" s="1"/>
  <c r="FK52" i="36" s="1"/>
  <c r="FK644" i="36"/>
  <c r="FK352" i="36"/>
  <c r="FH365" i="36"/>
  <c r="FI54" i="36"/>
  <c r="FI55" i="36" s="1"/>
  <c r="FK652" i="36"/>
  <c r="FK650" i="36" s="1"/>
  <c r="FK661" i="36" s="1"/>
  <c r="FK24" i="35" s="1"/>
  <c r="FL51" i="36"/>
  <c r="FK611" i="36"/>
  <c r="FK612" i="36" s="1"/>
  <c r="FH501" i="36"/>
  <c r="B359" i="38"/>
  <c r="B358" i="38" s="1"/>
  <c r="B313" i="38"/>
  <c r="B315" i="38" s="1"/>
  <c r="B305" i="38"/>
  <c r="B307" i="38" s="1"/>
  <c r="FH363" i="36"/>
  <c r="FE24" i="36"/>
  <c r="FG503" i="36"/>
  <c r="FG501" i="36"/>
  <c r="FE521" i="36"/>
  <c r="FH503" i="36"/>
  <c r="FF515" i="36"/>
  <c r="FL468" i="36"/>
  <c r="FL470" i="36" s="1"/>
  <c r="FE523" i="36"/>
  <c r="FE75" i="36"/>
  <c r="FG377" i="36"/>
  <c r="FH382" i="36"/>
  <c r="FH384" i="36"/>
  <c r="FH386" i="36"/>
  <c r="FK13" i="36"/>
  <c r="FK12" i="36"/>
  <c r="EX524" i="36"/>
  <c r="EX522" i="36"/>
  <c r="EX523" i="36" s="1"/>
  <c r="EX520" i="36"/>
  <c r="EX521" i="36" s="1"/>
  <c r="EX519" i="36"/>
  <c r="EU58" i="35"/>
  <c r="EU59" i="35" s="1"/>
  <c r="EU61" i="35" s="1"/>
  <c r="EU46" i="35"/>
  <c r="EU48" i="35" s="1"/>
  <c r="EV35" i="36"/>
  <c r="EV32" i="36"/>
  <c r="EZ35" i="36"/>
  <c r="EZ32" i="36"/>
  <c r="FD33" i="36"/>
  <c r="FD36" i="36"/>
  <c r="EX389" i="36"/>
  <c r="EX390" i="36"/>
  <c r="FG511" i="36"/>
  <c r="FG514" i="36"/>
  <c r="FG518" i="36"/>
  <c r="FH518" i="36" s="1"/>
  <c r="FG70" i="36"/>
  <c r="FG512" i="36"/>
  <c r="FG516" i="36"/>
  <c r="FN470" i="36"/>
  <c r="FJ480" i="36"/>
  <c r="FJ526" i="36"/>
  <c r="EV79" i="36"/>
  <c r="EV30" i="36"/>
  <c r="FK470" i="36"/>
  <c r="FK478" i="36"/>
  <c r="FF389" i="36"/>
  <c r="FF390" i="36"/>
  <c r="FF28" i="36"/>
  <c r="EU64" i="36"/>
  <c r="EU63" i="36"/>
  <c r="FA524" i="36"/>
  <c r="FA522" i="36"/>
  <c r="FA523" i="36" s="1"/>
  <c r="FA520" i="36"/>
  <c r="FA521" i="36" s="1"/>
  <c r="FA528" i="36"/>
  <c r="FA519" i="36"/>
  <c r="EZ78" i="36"/>
  <c r="EZ59" i="36"/>
  <c r="EZ60" i="36" s="1"/>
  <c r="EZ62" i="36" s="1"/>
  <c r="EZ45" i="35"/>
  <c r="ET62" i="36"/>
  <c r="EY64" i="36" s="1"/>
  <c r="FA390" i="36"/>
  <c r="FA28" i="36"/>
  <c r="FA389" i="36"/>
  <c r="FI360" i="36"/>
  <c r="FJ362" i="36"/>
  <c r="EW528" i="36"/>
  <c r="EW524" i="36"/>
  <c r="EW520" i="36"/>
  <c r="EW521" i="36" s="1"/>
  <c r="EW519" i="36"/>
  <c r="EW522" i="36"/>
  <c r="EW523" i="36" s="1"/>
  <c r="EV45" i="35"/>
  <c r="EV78" i="36"/>
  <c r="EV59" i="36"/>
  <c r="EV60" i="36" s="1"/>
  <c r="EV62" i="36" s="1"/>
  <c r="FJ645" i="36"/>
  <c r="FN637" i="36"/>
  <c r="FJ639" i="36"/>
  <c r="FL47" i="36"/>
  <c r="FL49" i="36" s="1"/>
  <c r="EZ79" i="36"/>
  <c r="EZ30" i="36"/>
  <c r="EW390" i="36"/>
  <c r="EW389" i="36"/>
  <c r="EW28" i="36"/>
  <c r="FG19" i="36"/>
  <c r="FH19" i="36" s="1"/>
  <c r="FG384" i="36"/>
  <c r="FG381" i="36"/>
  <c r="FG382" i="36"/>
  <c r="FG386" i="36"/>
  <c r="FG388" i="36"/>
  <c r="FH388" i="36" s="1"/>
  <c r="FF522" i="36"/>
  <c r="FF519" i="36"/>
  <c r="FF528" i="36"/>
  <c r="FF520" i="36"/>
  <c r="FF524" i="36"/>
  <c r="FF436" i="36"/>
  <c r="FF433" i="36"/>
  <c r="FF432" i="36"/>
  <c r="FF429" i="36"/>
  <c r="FF434" i="36" s="1"/>
  <c r="FG428" i="36"/>
  <c r="FG430" i="36" s="1"/>
  <c r="FH430" i="36" s="1"/>
  <c r="FH435" i="36" s="1"/>
  <c r="FI435" i="36" s="1"/>
  <c r="FJ435" i="36" s="1"/>
  <c r="FJ663" i="36"/>
  <c r="FJ22" i="35"/>
  <c r="EW80" i="36"/>
  <c r="EW69" i="36"/>
  <c r="EW74" i="36"/>
  <c r="EW75" i="36" s="1"/>
  <c r="EW71" i="36"/>
  <c r="FF23" i="36"/>
  <c r="FF21" i="36"/>
  <c r="EZ529" i="36"/>
  <c r="EZ530" i="36"/>
  <c r="EW23" i="36"/>
  <c r="EW21" i="36"/>
  <c r="EW24" i="36" s="1"/>
  <c r="EU535" i="36"/>
  <c r="EU534" i="36"/>
  <c r="EU533" i="36"/>
  <c r="ET48" i="35"/>
  <c r="FC373" i="36"/>
  <c r="FC376" i="36"/>
  <c r="FC377" i="36" s="1"/>
  <c r="FC374" i="36"/>
  <c r="FC375" i="36" s="1"/>
  <c r="FC378" i="36"/>
  <c r="FF71" i="36"/>
  <c r="FF80" i="36"/>
  <c r="FF74" i="36"/>
  <c r="FF69" i="36"/>
  <c r="EY63" i="36"/>
  <c r="EY33" i="36"/>
  <c r="EY36" i="36"/>
  <c r="EU36" i="36"/>
  <c r="EU33" i="36"/>
  <c r="FF513" i="36"/>
  <c r="FG422" i="36"/>
  <c r="FH422" i="36" s="1"/>
  <c r="FH420" i="36"/>
  <c r="FG421" i="36"/>
  <c r="FG431" i="36"/>
  <c r="FC503" i="36"/>
  <c r="FM634" i="36"/>
  <c r="FM206" i="36"/>
  <c r="FM213" i="36"/>
  <c r="FE78" i="36"/>
  <c r="FE59" i="36"/>
  <c r="FE60" i="36" s="1"/>
  <c r="FE62" i="36" s="1"/>
  <c r="FE45" i="35"/>
  <c r="FM473" i="36"/>
  <c r="FM464" i="36"/>
  <c r="EY58" i="35"/>
  <c r="EY46" i="35"/>
  <c r="EY48" i="35" s="1"/>
  <c r="FF383" i="36"/>
  <c r="FA69" i="36"/>
  <c r="FA74" i="36"/>
  <c r="FA75" i="36" s="1"/>
  <c r="FA71" i="36"/>
  <c r="FA80" i="36"/>
  <c r="FD64" i="36"/>
  <c r="FD63" i="36"/>
  <c r="ET59" i="35"/>
  <c r="FG375" i="36"/>
  <c r="FE32" i="36"/>
  <c r="FE35" i="36"/>
  <c r="FC501" i="36"/>
  <c r="FA23" i="36"/>
  <c r="FA21" i="36"/>
  <c r="FA24" i="36" s="1"/>
  <c r="EX512" i="36"/>
  <c r="EX513" i="36" s="1"/>
  <c r="EX511" i="36"/>
  <c r="EX514" i="36"/>
  <c r="EX515" i="36" s="1"/>
  <c r="EX516" i="36"/>
  <c r="FE79" i="36"/>
  <c r="FE30" i="36"/>
  <c r="FC510" i="36"/>
  <c r="FB70" i="36"/>
  <c r="FB511" i="36"/>
  <c r="FB514" i="36"/>
  <c r="FB515" i="36" s="1"/>
  <c r="FB512" i="36"/>
  <c r="FB513" i="36" s="1"/>
  <c r="FB518" i="36"/>
  <c r="FB516" i="36"/>
  <c r="FM11" i="35"/>
  <c r="FM12" i="35" s="1"/>
  <c r="FM43" i="36"/>
  <c r="FD535" i="36"/>
  <c r="FD533" i="36"/>
  <c r="FD534" i="36"/>
  <c r="FF385" i="36"/>
  <c r="FL545" i="36"/>
  <c r="FL563" i="36"/>
  <c r="FL9" i="36"/>
  <c r="FL214" i="36"/>
  <c r="FL241" i="36"/>
  <c r="EV530" i="36"/>
  <c r="EV529" i="36"/>
  <c r="FJ15" i="36"/>
  <c r="FJ54" i="36"/>
  <c r="FN12" i="36"/>
  <c r="FH54" i="35"/>
  <c r="FI54" i="35"/>
  <c r="FH510" i="36"/>
  <c r="EX19" i="36"/>
  <c r="FM348" i="36"/>
  <c r="FM344" i="36"/>
  <c r="EX70" i="36"/>
  <c r="FM506" i="36"/>
  <c r="FM507" i="36"/>
  <c r="FM508" i="36" s="1"/>
  <c r="EY534" i="36"/>
  <c r="EY535" i="36"/>
  <c r="EY533" i="36"/>
  <c r="FE529" i="36"/>
  <c r="FE530" i="36"/>
  <c r="FK637" i="36"/>
  <c r="FK640" i="36"/>
  <c r="FD58" i="35"/>
  <c r="FD46" i="35"/>
  <c r="FC380" i="36"/>
  <c r="FB382" i="36"/>
  <c r="FB383" i="36" s="1"/>
  <c r="FB386" i="36"/>
  <c r="FB384" i="36"/>
  <c r="FB385" i="36" s="1"/>
  <c r="FB381" i="36"/>
  <c r="FB19" i="36"/>
  <c r="FB388" i="36"/>
  <c r="EF165" i="2"/>
  <c r="EF162" i="2"/>
  <c r="EQ86" i="2"/>
  <c r="P1607" i="3" s="1"/>
  <c r="P1625" i="3" s="1"/>
  <c r="Q1625" i="3" s="1"/>
  <c r="EP88" i="2"/>
  <c r="O3106" i="3"/>
  <c r="N3111" i="3"/>
  <c r="B2313" i="3"/>
  <c r="EP105" i="2"/>
  <c r="C2345" i="3"/>
  <c r="D2345" i="3" s="1"/>
  <c r="C2309" i="3"/>
  <c r="B2309" i="3"/>
  <c r="B2322" i="3"/>
  <c r="B2341" i="3"/>
  <c r="B2320" i="3"/>
  <c r="G3107" i="3"/>
  <c r="G3118" i="3"/>
  <c r="G3132" i="3" s="1"/>
  <c r="B2305" i="3"/>
  <c r="C2303" i="3"/>
  <c r="D2301" i="3"/>
  <c r="DX123" i="2"/>
  <c r="DX125" i="2" s="1"/>
  <c r="DW131" i="2"/>
  <c r="DW347" i="10"/>
  <c r="EB127" i="2"/>
  <c r="DW128" i="2"/>
  <c r="DW353" i="10" s="1"/>
  <c r="EG157" i="2"/>
  <c r="EF161" i="2"/>
  <c r="EE159" i="2"/>
  <c r="DW132" i="2"/>
  <c r="EF150" i="2"/>
  <c r="EG146" i="2"/>
  <c r="EG148" i="2" s="1"/>
  <c r="EF151" i="2"/>
  <c r="EF147" i="2" s="1"/>
  <c r="EF152" i="2" s="1"/>
  <c r="G2485" i="3"/>
  <c r="G2506" i="3"/>
  <c r="H2502" i="3"/>
  <c r="E3150" i="3"/>
  <c r="E3129" i="3"/>
  <c r="EF245" i="2"/>
  <c r="EF246" i="2" s="1"/>
  <c r="EF174" i="2"/>
  <c r="EF108" i="2"/>
  <c r="EF74" i="2" s="1"/>
  <c r="EF75" i="2" s="1"/>
  <c r="EF141" i="2"/>
  <c r="EF129" i="2"/>
  <c r="EG104" i="2"/>
  <c r="EG106" i="2" s="1"/>
  <c r="EG245" i="2" s="1"/>
  <c r="EG246" i="2" s="1"/>
  <c r="F3119" i="3"/>
  <c r="F3115" i="3" s="1"/>
  <c r="EG83" i="2"/>
  <c r="H3105" i="3"/>
  <c r="H3110" i="3" s="1"/>
  <c r="H3112" i="3" s="1"/>
  <c r="H3149" i="3" s="1"/>
  <c r="X3118" i="3" s="1"/>
  <c r="EH82" i="2"/>
  <c r="F3132" i="3"/>
  <c r="EG90" i="2"/>
  <c r="EG84" i="2"/>
  <c r="EG341" i="10"/>
  <c r="EG343" i="10" s="1"/>
  <c r="F3127" i="3"/>
  <c r="F3137" i="3" s="1"/>
  <c r="F3147" i="3" s="1"/>
  <c r="V3116" i="3" s="1"/>
  <c r="DW692" i="18"/>
  <c r="DW176" i="18"/>
  <c r="EC144" i="18"/>
  <c r="DW695" i="18"/>
  <c r="DX698" i="18" s="1"/>
  <c r="DX699" i="18" s="1"/>
  <c r="EC152" i="18"/>
  <c r="EB168" i="18"/>
  <c r="EG168" i="18" s="1"/>
  <c r="EB185" i="18"/>
  <c r="DU317" i="18"/>
  <c r="DU63" i="18" s="1"/>
  <c r="DU65" i="18" s="1"/>
  <c r="EB692" i="18"/>
  <c r="EB174" i="18"/>
  <c r="DW268" i="2"/>
  <c r="DW270" i="2" s="1"/>
  <c r="DW271" i="2" s="1"/>
  <c r="DZ323" i="18"/>
  <c r="EA272" i="2"/>
  <c r="DV395" i="10"/>
  <c r="F126" i="24"/>
  <c r="F134" i="24" s="1"/>
  <c r="G125" i="24"/>
  <c r="DZ63" i="18"/>
  <c r="DU569" i="2"/>
  <c r="DU666" i="18"/>
  <c r="DU664" i="18" s="1"/>
  <c r="DV669" i="18"/>
  <c r="DV665" i="18"/>
  <c r="DY566" i="2"/>
  <c r="B5719" i="3"/>
  <c r="DY569" i="2"/>
  <c r="DY567" i="2"/>
  <c r="B252" i="24"/>
  <c r="B253" i="24"/>
  <c r="B255" i="24" s="1"/>
  <c r="DZ700" i="18"/>
  <c r="ED700" i="18"/>
  <c r="EB700" i="18"/>
  <c r="EC700" i="18"/>
  <c r="EA700" i="18"/>
  <c r="B27" i="25"/>
  <c r="B28" i="25" s="1"/>
  <c r="B26" i="25"/>
  <c r="ED183" i="18"/>
  <c r="ED185" i="18" s="1"/>
  <c r="DZ185" i="18"/>
  <c r="EM89" i="4"/>
  <c r="EN89" i="4" s="1"/>
  <c r="EM85" i="4"/>
  <c r="EC482" i="18"/>
  <c r="ED477" i="18"/>
  <c r="ED482" i="18" s="1"/>
  <c r="L4969" i="3"/>
  <c r="EI427" i="18"/>
  <c r="EI428" i="18" s="1"/>
  <c r="EH132" i="18"/>
  <c r="EH133" i="18"/>
  <c r="EI133" i="18" s="1"/>
  <c r="EL110" i="10"/>
  <c r="EL1020" i="10" s="1"/>
  <c r="EH432" i="18"/>
  <c r="EH434" i="18"/>
  <c r="EI434" i="18" s="1"/>
  <c r="EH429" i="18"/>
  <c r="EI429" i="18" s="1"/>
  <c r="EH428" i="18"/>
  <c r="EH438" i="18" s="1"/>
  <c r="EH437" i="18" s="1"/>
  <c r="EI437" i="18" s="1"/>
  <c r="EJ227" i="18"/>
  <c r="EJ661" i="18"/>
  <c r="EJ660" i="18" s="1"/>
  <c r="D87" i="24"/>
  <c r="ES289" i="18"/>
  <c r="EH55" i="18"/>
  <c r="D4452" i="3"/>
  <c r="D4501" i="3" s="1"/>
  <c r="I17" i="25"/>
  <c r="K14" i="25"/>
  <c r="I11" i="25"/>
  <c r="K11" i="25" s="1"/>
  <c r="K74" i="24"/>
  <c r="K68" i="24"/>
  <c r="Q3382" i="3"/>
  <c r="R3379" i="3"/>
  <c r="B109" i="11"/>
  <c r="B111" i="11" s="1"/>
  <c r="D95" i="11"/>
  <c r="D102" i="11" s="1"/>
  <c r="D103" i="11" s="1"/>
  <c r="E95" i="11"/>
  <c r="E96" i="11" s="1"/>
  <c r="E130" i="11"/>
  <c r="F127" i="11" s="1"/>
  <c r="C109" i="11"/>
  <c r="C111" i="11" s="1"/>
  <c r="C105" i="11"/>
  <c r="C104" i="11"/>
  <c r="EH137" i="18"/>
  <c r="R25" i="29"/>
  <c r="S22" i="29"/>
  <c r="ER379" i="18"/>
  <c r="ES374" i="18"/>
  <c r="ES378" i="18" s="1"/>
  <c r="D88" i="11"/>
  <c r="E85" i="11" s="1"/>
  <c r="E88" i="11" s="1"/>
  <c r="F85" i="11" s="1"/>
  <c r="V5765" i="3"/>
  <c r="AI5741" i="3"/>
  <c r="EH136" i="18"/>
  <c r="EI55" i="18"/>
  <c r="N5187" i="3"/>
  <c r="N5193" i="3" s="1"/>
  <c r="N5190" i="3"/>
  <c r="E137" i="11"/>
  <c r="M5198" i="3"/>
  <c r="M5195" i="3"/>
  <c r="B5197" i="3" s="1"/>
  <c r="ES396" i="18"/>
  <c r="ES397" i="18"/>
  <c r="C24" i="24"/>
  <c r="C23" i="24"/>
  <c r="C27" i="24"/>
  <c r="C28" i="24" s="1"/>
  <c r="C30" i="24"/>
  <c r="C31" i="24" s="1"/>
  <c r="EK249" i="18"/>
  <c r="EL249" i="18" s="1"/>
  <c r="EM249" i="18" s="1"/>
  <c r="EN249" i="18" s="1"/>
  <c r="EO249" i="18" s="1"/>
  <c r="EP249" i="18" s="1"/>
  <c r="EQ249" i="18" s="1"/>
  <c r="EJ257" i="18"/>
  <c r="N170" i="11"/>
  <c r="M191" i="11"/>
  <c r="AG5748" i="3"/>
  <c r="AF5742" i="3"/>
  <c r="EI662" i="18"/>
  <c r="L4464" i="3"/>
  <c r="L4788" i="3"/>
  <c r="L4975" i="3"/>
  <c r="M4605" i="3"/>
  <c r="M4607" i="3" s="1"/>
  <c r="E4452" i="3"/>
  <c r="E4453" i="3" s="1"/>
  <c r="EI141" i="18"/>
  <c r="EI153" i="18"/>
  <c r="ES394" i="18"/>
  <c r="ES393" i="18" s="1"/>
  <c r="ES489" i="18"/>
  <c r="ES77" i="18"/>
  <c r="ES80" i="18" s="1"/>
  <c r="ES102" i="18"/>
  <c r="ES103" i="18"/>
  <c r="O151" i="11"/>
  <c r="N4582" i="3"/>
  <c r="N4605" i="3" s="1"/>
  <c r="N4607" i="3" s="1"/>
  <c r="EE698" i="18"/>
  <c r="EE699" i="18" s="1"/>
  <c r="C5" i="24"/>
  <c r="C34" i="24"/>
  <c r="C35" i="24" s="1"/>
  <c r="AH5747" i="3"/>
  <c r="AH5741" i="3" s="1"/>
  <c r="X5765" i="3" s="1"/>
  <c r="AG5741" i="3"/>
  <c r="W5765" i="3" s="1"/>
  <c r="EM454" i="18"/>
  <c r="EL459" i="18"/>
  <c r="EL462" i="18"/>
  <c r="EL458" i="18"/>
  <c r="EL538" i="18"/>
  <c r="L24" i="29"/>
  <c r="K32" i="29"/>
  <c r="EA67" i="18"/>
  <c r="EA68" i="18"/>
  <c r="EF66" i="18"/>
  <c r="M25" i="21"/>
  <c r="M26" i="21" s="1"/>
  <c r="K4360" i="3"/>
  <c r="K4361" i="3" s="1"/>
  <c r="K4363" i="3" s="1"/>
  <c r="L4354" i="3"/>
  <c r="L4356" i="3" s="1"/>
  <c r="EC168" i="18"/>
  <c r="EC166" i="18"/>
  <c r="EC174" i="18"/>
  <c r="EC692" i="18"/>
  <c r="EC185" i="18"/>
  <c r="M5732" i="3"/>
  <c r="C27" i="25"/>
  <c r="C28" i="25" s="1"/>
  <c r="C24" i="25"/>
  <c r="C20" i="25"/>
  <c r="EL377" i="18"/>
  <c r="EF533" i="2"/>
  <c r="EF534" i="2"/>
  <c r="EF535" i="2"/>
  <c r="P28" i="21"/>
  <c r="P29" i="21" s="1"/>
  <c r="Y50" i="21" s="1"/>
  <c r="EH233" i="18"/>
  <c r="EE174" i="18"/>
  <c r="EE183" i="18"/>
  <c r="EE173" i="18"/>
  <c r="EK110" i="10"/>
  <c r="EK1020" i="10" s="1"/>
  <c r="EN222" i="18"/>
  <c r="M26" i="20"/>
  <c r="L86" i="20"/>
  <c r="EL431" i="18"/>
  <c r="DV317" i="18"/>
  <c r="DV321" i="18" s="1"/>
  <c r="DV172" i="18"/>
  <c r="I5721" i="3"/>
  <c r="EE365" i="2"/>
  <c r="EJ287" i="18"/>
  <c r="EJ288" i="18"/>
  <c r="EJ291" i="18"/>
  <c r="EK283" i="18"/>
  <c r="EN372" i="18"/>
  <c r="EN398" i="18" s="1"/>
  <c r="EM373" i="18"/>
  <c r="EM403" i="18" s="1"/>
  <c r="EM414" i="18" s="1"/>
  <c r="EM419" i="18" s="1"/>
  <c r="EL307" i="18"/>
  <c r="EK54" i="18"/>
  <c r="DZ334" i="18"/>
  <c r="K86" i="21"/>
  <c r="K87" i="21"/>
  <c r="EP221" i="18"/>
  <c r="ER159" i="18"/>
  <c r="EQ37" i="18"/>
  <c r="K3381" i="3"/>
  <c r="J3389" i="3"/>
  <c r="EO192" i="18"/>
  <c r="EO191" i="18"/>
  <c r="F47" i="24"/>
  <c r="F11" i="24"/>
  <c r="F48" i="24" s="1"/>
  <c r="EI143" i="18"/>
  <c r="EI154" i="18"/>
  <c r="EI151" i="18"/>
  <c r="EI152" i="18" s="1"/>
  <c r="V48" i="21"/>
  <c r="P42" i="21"/>
  <c r="T46" i="21"/>
  <c r="Q43" i="21"/>
  <c r="S45" i="21"/>
  <c r="U47" i="21"/>
  <c r="R44" i="21"/>
  <c r="O41" i="21"/>
  <c r="S45" i="20"/>
  <c r="Q43" i="20"/>
  <c r="T46" i="20"/>
  <c r="P42" i="20"/>
  <c r="Z52" i="20"/>
  <c r="W49" i="20"/>
  <c r="X50" i="20"/>
  <c r="Y51" i="20"/>
  <c r="AA53" i="20"/>
  <c r="AB54" i="20"/>
  <c r="AF58" i="20"/>
  <c r="AH60" i="20"/>
  <c r="AE57" i="20"/>
  <c r="AG59" i="20"/>
  <c r="AD56" i="20"/>
  <c r="AC55" i="20"/>
  <c r="V48" i="20"/>
  <c r="O41" i="20"/>
  <c r="O85" i="20" s="1"/>
  <c r="R44" i="20"/>
  <c r="U47" i="20"/>
  <c r="EP300" i="18"/>
  <c r="EJ52" i="18"/>
  <c r="EJ310" i="18"/>
  <c r="P28" i="22"/>
  <c r="P29" i="22" s="1"/>
  <c r="Y50" i="22" s="1"/>
  <c r="EN301" i="18"/>
  <c r="DV401" i="10"/>
  <c r="N4350" i="3"/>
  <c r="N4362" i="3"/>
  <c r="N4364" i="3" s="1"/>
  <c r="N4956" i="3"/>
  <c r="N4495" i="3"/>
  <c r="DZ173" i="18"/>
  <c r="DU174" i="18"/>
  <c r="I15" i="23"/>
  <c r="I11" i="20"/>
  <c r="EH154" i="18"/>
  <c r="EH33" i="18"/>
  <c r="EH151" i="18"/>
  <c r="P42" i="22"/>
  <c r="S45" i="22"/>
  <c r="T46" i="22"/>
  <c r="Q43" i="22"/>
  <c r="V48" i="22"/>
  <c r="R44" i="22"/>
  <c r="O41" i="22"/>
  <c r="U47" i="22"/>
  <c r="D4447" i="3"/>
  <c r="E4444" i="3" s="1"/>
  <c r="E4447" i="3" s="1"/>
  <c r="F4444" i="3" s="1"/>
  <c r="EE318" i="18"/>
  <c r="EQ244" i="18"/>
  <c r="EL245" i="18"/>
  <c r="DZ57" i="18"/>
  <c r="I5720" i="3"/>
  <c r="EG152" i="18"/>
  <c r="EG165" i="18"/>
  <c r="EH467" i="18"/>
  <c r="EI467" i="18" s="1"/>
  <c r="N4950" i="3"/>
  <c r="N4947" i="3"/>
  <c r="FM638" i="36" s="1"/>
  <c r="B8" i="24"/>
  <c r="B7" i="24"/>
  <c r="B37" i="24" s="1"/>
  <c r="B36" i="24"/>
  <c r="B38" i="24" s="1"/>
  <c r="B45" i="24" s="1"/>
  <c r="B49" i="24" s="1"/>
  <c r="C5018" i="3"/>
  <c r="C5017" i="3"/>
  <c r="ED680" i="18"/>
  <c r="DZ681" i="18"/>
  <c r="EJ296" i="18"/>
  <c r="EJ297" i="18" s="1"/>
  <c r="D4887" i="3"/>
  <c r="D4884" i="3"/>
  <c r="E4884" i="3" s="1"/>
  <c r="EI311" i="18"/>
  <c r="EI272" i="18"/>
  <c r="EG402" i="18"/>
  <c r="EF411" i="18"/>
  <c r="EG404" i="18" s="1"/>
  <c r="EF407" i="18"/>
  <c r="EF408" i="18"/>
  <c r="EF490" i="18"/>
  <c r="EF416" i="18"/>
  <c r="EM85" i="18"/>
  <c r="EM162" i="18"/>
  <c r="EM36" i="18"/>
  <c r="EM160" i="18"/>
  <c r="EM161" i="18" s="1"/>
  <c r="J4547" i="3"/>
  <c r="K4539" i="3" s="1"/>
  <c r="K4545" i="3" s="1"/>
  <c r="EQ232" i="18"/>
  <c r="EJ128" i="18"/>
  <c r="EI136" i="18"/>
  <c r="EI132" i="18"/>
  <c r="EI137" i="18"/>
  <c r="C336" i="24"/>
  <c r="FH637" i="2"/>
  <c r="M4771" i="3"/>
  <c r="M4952" i="3"/>
  <c r="EF172" i="18"/>
  <c r="EF166" i="18"/>
  <c r="EF692" i="18"/>
  <c r="EJ220" i="18"/>
  <c r="EJ223" i="18"/>
  <c r="EJ219" i="18"/>
  <c r="EK215" i="18"/>
  <c r="N4492" i="3"/>
  <c r="EQ74" i="18"/>
  <c r="ER73" i="18"/>
  <c r="EQ79" i="18"/>
  <c r="EQ78" i="18" s="1"/>
  <c r="ED126" i="4"/>
  <c r="B36" i="11"/>
  <c r="EC40" i="18"/>
  <c r="ED34" i="18"/>
  <c r="EP81" i="18"/>
  <c r="EP190" i="18"/>
  <c r="N209" i="11"/>
  <c r="C154" i="13"/>
  <c r="B59" i="41" s="1"/>
  <c r="B61" i="41" s="1"/>
  <c r="B64" i="41" s="1"/>
  <c r="B5590" i="3"/>
  <c r="B155" i="13"/>
  <c r="I4555" i="3"/>
  <c r="J4557" i="3" s="1"/>
  <c r="J4431" i="3" s="1"/>
  <c r="J4551" i="3"/>
  <c r="I4553" i="3"/>
  <c r="M4355" i="3"/>
  <c r="M4981" i="3"/>
  <c r="M4983" i="3" s="1"/>
  <c r="M4540" i="3"/>
  <c r="EB49" i="18"/>
  <c r="EK471" i="18"/>
  <c r="EP134" i="18"/>
  <c r="EO129" i="18"/>
  <c r="K4435" i="3"/>
  <c r="L4429" i="3"/>
  <c r="K4460" i="3"/>
  <c r="K4463" i="3" s="1"/>
  <c r="EN119" i="18"/>
  <c r="EN120" i="18" s="1"/>
  <c r="B81" i="6"/>
  <c r="B75" i="6"/>
  <c r="EI461" i="18"/>
  <c r="EI124" i="18"/>
  <c r="N221" i="11"/>
  <c r="M215" i="11"/>
  <c r="EH242" i="18"/>
  <c r="EH243" i="18"/>
  <c r="EI243" i="18" s="1"/>
  <c r="EI241" i="18"/>
  <c r="K87" i="22"/>
  <c r="K86" i="22"/>
  <c r="S50" i="21"/>
  <c r="N50" i="21"/>
  <c r="W50" i="21"/>
  <c r="P50" i="21"/>
  <c r="U50" i="21"/>
  <c r="X50" i="21"/>
  <c r="L50" i="21"/>
  <c r="L85" i="21" s="1"/>
  <c r="T50" i="21"/>
  <c r="R50" i="21"/>
  <c r="O50" i="21"/>
  <c r="V50" i="21"/>
  <c r="M50" i="21"/>
  <c r="Q50" i="21"/>
  <c r="D4335" i="3"/>
  <c r="D4339" i="3"/>
  <c r="D4813" i="3"/>
  <c r="DZ698" i="18"/>
  <c r="M4964" i="3"/>
  <c r="M4958" i="3"/>
  <c r="FL531" i="36" s="1"/>
  <c r="M4961" i="3"/>
  <c r="EC43" i="18"/>
  <c r="EC260" i="18"/>
  <c r="ED258" i="18"/>
  <c r="ED260" i="18" s="1"/>
  <c r="EG398" i="18"/>
  <c r="EG414" i="18"/>
  <c r="EI393" i="18"/>
  <c r="EI398" i="18" s="1"/>
  <c r="L4920" i="3"/>
  <c r="L4777" i="3"/>
  <c r="FG531" i="2"/>
  <c r="L4966" i="3"/>
  <c r="L4970" i="3" s="1"/>
  <c r="L4963" i="3"/>
  <c r="R50" i="22"/>
  <c r="T50" i="22"/>
  <c r="X50" i="22"/>
  <c r="O50" i="22"/>
  <c r="V50" i="22"/>
  <c r="S50" i="22"/>
  <c r="M50" i="22"/>
  <c r="N50" i="22"/>
  <c r="L50" i="22"/>
  <c r="L85" i="22" s="1"/>
  <c r="W50" i="22"/>
  <c r="P50" i="22"/>
  <c r="Q50" i="22"/>
  <c r="U50" i="22"/>
  <c r="EE529" i="2"/>
  <c r="EE530" i="2"/>
  <c r="EH476" i="18"/>
  <c r="EG481" i="18"/>
  <c r="EG480" i="18"/>
  <c r="EG484" i="18"/>
  <c r="J4842" i="3"/>
  <c r="I4848" i="3"/>
  <c r="I4844" i="3"/>
  <c r="EQ145" i="18"/>
  <c r="EF317" i="18"/>
  <c r="EF318" i="18" s="1"/>
  <c r="EG318" i="18" s="1"/>
  <c r="EH318" i="18" s="1"/>
  <c r="EA321" i="18"/>
  <c r="EL135" i="18"/>
  <c r="EE77" i="2"/>
  <c r="M4498" i="3"/>
  <c r="M4559" i="3"/>
  <c r="ED235" i="18"/>
  <c r="EE226" i="18"/>
  <c r="ED230" i="18"/>
  <c r="ED234" i="18"/>
  <c r="EH385" i="18"/>
  <c r="P28" i="20"/>
  <c r="P29" i="20" s="1"/>
  <c r="L26" i="22"/>
  <c r="FC202" i="4" l="1"/>
  <c r="FD218" i="4" s="1"/>
  <c r="FD220" i="4" s="1"/>
  <c r="FD211" i="4"/>
  <c r="FD115" i="10"/>
  <c r="FE196" i="4"/>
  <c r="E103" i="37"/>
  <c r="FF182" i="4"/>
  <c r="FE185" i="4"/>
  <c r="H151" i="3"/>
  <c r="FD99" i="4"/>
  <c r="FE66" i="4"/>
  <c r="I151" i="3" s="1"/>
  <c r="B94" i="41"/>
  <c r="B97" i="41" s="1"/>
  <c r="B99" i="41" s="1"/>
  <c r="B101" i="41" s="1"/>
  <c r="B85" i="41"/>
  <c r="FM467" i="36"/>
  <c r="FM477" i="36" s="1"/>
  <c r="FL53" i="35"/>
  <c r="FL54" i="35" s="1"/>
  <c r="FM14" i="35"/>
  <c r="FM15" i="35" s="1"/>
  <c r="FM16" i="35" s="1"/>
  <c r="FM18" i="35" s="1"/>
  <c r="FM19" i="35" s="1"/>
  <c r="FL10" i="36"/>
  <c r="FL14" i="36" s="1"/>
  <c r="FL635" i="36"/>
  <c r="FL637" i="36" s="1"/>
  <c r="FL611" i="36"/>
  <c r="FL612" i="36" s="1"/>
  <c r="FL652" i="36"/>
  <c r="FL651" i="36" s="1"/>
  <c r="FL662" i="36" s="1"/>
  <c r="EG150" i="2"/>
  <c r="EH157" i="2"/>
  <c r="EH146" i="2"/>
  <c r="EH148" i="2" s="1"/>
  <c r="EI148" i="2" s="1"/>
  <c r="EG165" i="2"/>
  <c r="EG161" i="2"/>
  <c r="EG162" i="2"/>
  <c r="S1624" i="3"/>
  <c r="S1644" i="3" s="1"/>
  <c r="R1644" i="3"/>
  <c r="EH149" i="2"/>
  <c r="EH160" i="2" s="1"/>
  <c r="I1649" i="3" s="1"/>
  <c r="I1670" i="3" s="1"/>
  <c r="I1606" i="3"/>
  <c r="I1608" i="3" s="1"/>
  <c r="R1625" i="3"/>
  <c r="S1616" i="3"/>
  <c r="S1636" i="3" s="1"/>
  <c r="R1636" i="3"/>
  <c r="R1623" i="3"/>
  <c r="Q1643" i="3"/>
  <c r="S1613" i="3"/>
  <c r="S1633" i="3" s="1"/>
  <c r="R1633" i="3"/>
  <c r="S1618" i="3"/>
  <c r="S1638" i="3" s="1"/>
  <c r="R1638" i="3"/>
  <c r="S1617" i="3"/>
  <c r="S1637" i="3" s="1"/>
  <c r="R1637" i="3"/>
  <c r="S1615" i="3"/>
  <c r="S1635" i="3" s="1"/>
  <c r="R1635" i="3"/>
  <c r="S1622" i="3"/>
  <c r="S1642" i="3" s="1"/>
  <c r="R1642" i="3"/>
  <c r="I1657" i="3"/>
  <c r="I1636" i="3" s="1"/>
  <c r="H1636" i="3"/>
  <c r="H1637" i="3" s="1"/>
  <c r="H1658" i="3" s="1"/>
  <c r="I1658" i="3" s="1"/>
  <c r="FL52" i="36"/>
  <c r="EG542" i="2"/>
  <c r="EG548" i="2" s="1"/>
  <c r="FK651" i="36"/>
  <c r="FK662" i="36" s="1"/>
  <c r="FK648" i="36"/>
  <c r="FK659" i="36" s="1"/>
  <c r="FK22" i="35" s="1"/>
  <c r="FK26" i="35" s="1"/>
  <c r="FK28" i="35" s="1"/>
  <c r="FK649" i="36"/>
  <c r="FK660" i="36" s="1"/>
  <c r="FK23" i="35" s="1"/>
  <c r="FL478" i="36"/>
  <c r="B363" i="38"/>
  <c r="B324" i="38"/>
  <c r="B327" i="38"/>
  <c r="FH377" i="36"/>
  <c r="FH375" i="36"/>
  <c r="FH21" i="36"/>
  <c r="FK645" i="36"/>
  <c r="FK639" i="36"/>
  <c r="FA79" i="36"/>
  <c r="FA30" i="36"/>
  <c r="FM644" i="36"/>
  <c r="FM611" i="36"/>
  <c r="FM652" i="36"/>
  <c r="FM635" i="36"/>
  <c r="EW59" i="36"/>
  <c r="EW78" i="36"/>
  <c r="EW45" i="35"/>
  <c r="EX69" i="36"/>
  <c r="EX78" i="36" s="1"/>
  <c r="EV63" i="36"/>
  <c r="EV64" i="36"/>
  <c r="FK362" i="36"/>
  <c r="FJ360" i="36"/>
  <c r="EZ63" i="36"/>
  <c r="EZ64" i="36"/>
  <c r="EV36" i="36"/>
  <c r="EV33" i="36"/>
  <c r="FG519" i="36"/>
  <c r="FG522" i="36"/>
  <c r="FG520" i="36"/>
  <c r="FG524" i="36"/>
  <c r="FG528" i="36"/>
  <c r="FH528" i="36" s="1"/>
  <c r="EU63" i="35"/>
  <c r="EU62" i="35"/>
  <c r="EU69" i="35"/>
  <c r="FE533" i="36"/>
  <c r="FE534" i="36"/>
  <c r="FE535" i="36"/>
  <c r="EX23" i="36"/>
  <c r="EX21" i="36"/>
  <c r="EX24" i="36" s="1"/>
  <c r="EV535" i="36"/>
  <c r="EV534" i="36"/>
  <c r="EV533" i="36"/>
  <c r="FM474" i="36"/>
  <c r="FF45" i="35"/>
  <c r="FF59" i="36"/>
  <c r="FF60" i="36" s="1"/>
  <c r="FF62" i="36" s="1"/>
  <c r="FF78" i="36"/>
  <c r="ET136" i="35"/>
  <c r="ET50" i="35"/>
  <c r="ET49" i="35"/>
  <c r="EU199" i="35"/>
  <c r="ET199" i="35"/>
  <c r="EZ533" i="36"/>
  <c r="EZ535" i="36"/>
  <c r="EZ534" i="36"/>
  <c r="FG383" i="36"/>
  <c r="EZ33" i="36"/>
  <c r="EZ36" i="36"/>
  <c r="FI361" i="36"/>
  <c r="FI372" i="36"/>
  <c r="FI364" i="36"/>
  <c r="FI365" i="36" s="1"/>
  <c r="FI498" i="36"/>
  <c r="FH389" i="36"/>
  <c r="FG515" i="36"/>
  <c r="FK15" i="36"/>
  <c r="FK54" i="36"/>
  <c r="FK55" i="36" s="1"/>
  <c r="FH512" i="36"/>
  <c r="FH511" i="36"/>
  <c r="FH514" i="36"/>
  <c r="FH70" i="36"/>
  <c r="FH516" i="36"/>
  <c r="FA45" i="35"/>
  <c r="FA59" i="36"/>
  <c r="FA60" i="36" s="1"/>
  <c r="FA62" i="36" s="1"/>
  <c r="FA78" i="36"/>
  <c r="FH431" i="36"/>
  <c r="FG433" i="36"/>
  <c r="FH433" i="36" s="1"/>
  <c r="FG436" i="36"/>
  <c r="FG429" i="36"/>
  <c r="FG432" i="36"/>
  <c r="FF75" i="36"/>
  <c r="FJ26" i="35"/>
  <c r="FN22" i="35"/>
  <c r="EV46" i="35"/>
  <c r="EV58" i="35"/>
  <c r="FF32" i="36"/>
  <c r="FF35" i="36"/>
  <c r="FJ527" i="36"/>
  <c r="FN526" i="36"/>
  <c r="FC382" i="36"/>
  <c r="FC383" i="36" s="1"/>
  <c r="FC384" i="36"/>
  <c r="FC385" i="36" s="1"/>
  <c r="FC381" i="36"/>
  <c r="FC386" i="36"/>
  <c r="FB69" i="36"/>
  <c r="FB80" i="36"/>
  <c r="FB71" i="36"/>
  <c r="FB74" i="36"/>
  <c r="FB75" i="36" s="1"/>
  <c r="ET61" i="35"/>
  <c r="FE46" i="35"/>
  <c r="FE48" i="35" s="1"/>
  <c r="FE58" i="35"/>
  <c r="FE59" i="35" s="1"/>
  <c r="FE61" i="35" s="1"/>
  <c r="FF521" i="36"/>
  <c r="FG385" i="36"/>
  <c r="FA32" i="36"/>
  <c r="FA35" i="36"/>
  <c r="FA529" i="36"/>
  <c r="FA530" i="36"/>
  <c r="FH522" i="36"/>
  <c r="FH520" i="36"/>
  <c r="FH524" i="36"/>
  <c r="FD48" i="35"/>
  <c r="EX80" i="36"/>
  <c r="EX74" i="36"/>
  <c r="EX75" i="36" s="1"/>
  <c r="FL13" i="36"/>
  <c r="FM50" i="36"/>
  <c r="FM47" i="36"/>
  <c r="FM49" i="36" s="1"/>
  <c r="FM52" i="36" s="1"/>
  <c r="FC70" i="36"/>
  <c r="FC512" i="36"/>
  <c r="FC513" i="36" s="1"/>
  <c r="FC514" i="36"/>
  <c r="FC515" i="36" s="1"/>
  <c r="FC511" i="36"/>
  <c r="FC516" i="36"/>
  <c r="EY136" i="35"/>
  <c r="EY49" i="35"/>
  <c r="EY50" i="35"/>
  <c r="FE64" i="36"/>
  <c r="FE63" i="36"/>
  <c r="FH421" i="36"/>
  <c r="FI417" i="36"/>
  <c r="FI420" i="36" s="1"/>
  <c r="FF79" i="36"/>
  <c r="FF30" i="36"/>
  <c r="FF24" i="36"/>
  <c r="FF529" i="36"/>
  <c r="FF530" i="36"/>
  <c r="FG23" i="36"/>
  <c r="FG21" i="36"/>
  <c r="FM10" i="36"/>
  <c r="FM352" i="36"/>
  <c r="FE36" i="36"/>
  <c r="FE33" i="36"/>
  <c r="FK435" i="36"/>
  <c r="FL435" i="36" s="1"/>
  <c r="FM435" i="36" s="1"/>
  <c r="ET64" i="36"/>
  <c r="ET63" i="36"/>
  <c r="FC388" i="36"/>
  <c r="FB390" i="36"/>
  <c r="FB389" i="36"/>
  <c r="FB28" i="36"/>
  <c r="FB23" i="36"/>
  <c r="FB21" i="36"/>
  <c r="FB24" i="36" s="1"/>
  <c r="FD59" i="35"/>
  <c r="FJ55" i="36"/>
  <c r="FN54" i="36"/>
  <c r="EY59" i="35"/>
  <c r="EY61" i="35" s="1"/>
  <c r="EW79" i="36"/>
  <c r="EW30" i="36"/>
  <c r="FF523" i="36"/>
  <c r="EW32" i="36"/>
  <c r="EW35" i="36"/>
  <c r="EX28" i="36"/>
  <c r="FK526" i="36"/>
  <c r="FK527" i="36" s="1"/>
  <c r="FK480" i="36"/>
  <c r="FG513" i="36"/>
  <c r="FH381" i="36"/>
  <c r="FC518" i="36"/>
  <c r="FH519" i="36" s="1"/>
  <c r="FB519" i="36"/>
  <c r="FB524" i="36"/>
  <c r="FB520" i="36"/>
  <c r="FB521" i="36" s="1"/>
  <c r="FB522" i="36"/>
  <c r="FB523" i="36" s="1"/>
  <c r="FB528" i="36"/>
  <c r="FM545" i="36"/>
  <c r="FM214" i="36"/>
  <c r="FM563" i="36"/>
  <c r="FM9" i="36"/>
  <c r="FM241" i="36"/>
  <c r="FL480" i="36"/>
  <c r="FL526" i="36"/>
  <c r="FG390" i="36"/>
  <c r="FG389" i="36"/>
  <c r="FG28" i="36"/>
  <c r="EW529" i="36"/>
  <c r="EW530" i="36"/>
  <c r="EX528" i="36"/>
  <c r="EX529" i="36" s="1"/>
  <c r="EZ58" i="35"/>
  <c r="EZ59" i="35" s="1"/>
  <c r="EZ61" i="35" s="1"/>
  <c r="EZ46" i="35"/>
  <c r="EZ48" i="35" s="1"/>
  <c r="EX71" i="36"/>
  <c r="FG71" i="36"/>
  <c r="FG74" i="36"/>
  <c r="FG69" i="36"/>
  <c r="FG80" i="36"/>
  <c r="EU50" i="35"/>
  <c r="EU49" i="35"/>
  <c r="EU136" i="35"/>
  <c r="FC19" i="36"/>
  <c r="ER86" i="2"/>
  <c r="EQ88" i="2"/>
  <c r="P3106" i="3"/>
  <c r="Q3106" i="3" s="1"/>
  <c r="EQ105" i="2"/>
  <c r="O3111" i="3"/>
  <c r="C2313" i="3"/>
  <c r="G3122" i="3"/>
  <c r="D2307" i="3"/>
  <c r="C2322" i="3"/>
  <c r="G3127" i="3"/>
  <c r="C2341" i="3"/>
  <c r="C2320" i="3"/>
  <c r="G3119" i="3"/>
  <c r="G3133" i="3" s="1"/>
  <c r="D2303" i="3"/>
  <c r="D2372" i="3"/>
  <c r="D2374" i="3" s="1"/>
  <c r="C2305" i="3"/>
  <c r="B2342" i="3"/>
  <c r="B2340" i="3" s="1"/>
  <c r="C2340" i="3" s="1"/>
  <c r="EF159" i="2"/>
  <c r="EE158" i="2"/>
  <c r="EE163" i="2" s="1"/>
  <c r="EG151" i="2"/>
  <c r="EG147" i="2" s="1"/>
  <c r="EG152" i="2" s="1"/>
  <c r="DY125" i="2"/>
  <c r="DY130" i="2" s="1"/>
  <c r="H2482" i="3"/>
  <c r="G2487" i="3"/>
  <c r="EF500" i="2"/>
  <c r="EF501" i="2" s="1"/>
  <c r="EG174" i="2"/>
  <c r="EF76" i="2"/>
  <c r="EF77" i="2" s="1"/>
  <c r="EF320" i="2"/>
  <c r="EF364" i="2" s="1"/>
  <c r="EF365" i="2" s="1"/>
  <c r="EG124" i="2"/>
  <c r="EG125" i="2" s="1"/>
  <c r="EG118" i="2"/>
  <c r="EG141" i="2"/>
  <c r="EH104" i="2"/>
  <c r="EI104" i="2" s="1"/>
  <c r="H3118" i="3"/>
  <c r="H3132" i="3" s="1"/>
  <c r="EG131" i="2"/>
  <c r="EG92" i="2"/>
  <c r="EG91" i="2"/>
  <c r="D3393" i="3" s="1"/>
  <c r="D3394" i="3" s="1"/>
  <c r="F3123" i="3"/>
  <c r="F3124" i="3" s="1"/>
  <c r="I68" i="29"/>
  <c r="I69" i="29" s="1"/>
  <c r="G3143" i="3"/>
  <c r="G3142" i="3" s="1"/>
  <c r="G3152" i="3" s="1"/>
  <c r="EG176" i="2"/>
  <c r="EG94" i="2"/>
  <c r="F3128" i="3"/>
  <c r="F3138" i="3" s="1"/>
  <c r="F3150" i="3" s="1"/>
  <c r="I3439" i="3"/>
  <c r="I3440" i="3" s="1"/>
  <c r="F3133" i="3"/>
  <c r="EG185" i="10"/>
  <c r="EI82" i="2"/>
  <c r="EI84" i="2" s="1"/>
  <c r="EH83" i="2"/>
  <c r="EI83" i="2" s="1"/>
  <c r="EH84" i="2"/>
  <c r="EH90" i="2"/>
  <c r="EH341" i="10"/>
  <c r="EH343" i="10" s="1"/>
  <c r="H3107" i="3"/>
  <c r="I3105" i="3"/>
  <c r="I3110" i="3" s="1"/>
  <c r="I3112" i="3" s="1"/>
  <c r="I3149" i="3" s="1"/>
  <c r="Y3118" i="3" s="1"/>
  <c r="EG120" i="2"/>
  <c r="EG143" i="2"/>
  <c r="EB317" i="18"/>
  <c r="EB63" i="18" s="1"/>
  <c r="DZ318" i="18"/>
  <c r="ED168" i="18"/>
  <c r="DU321" i="18"/>
  <c r="DU323" i="18" s="1"/>
  <c r="DW168" i="18"/>
  <c r="DW172" i="18" s="1"/>
  <c r="H125" i="24"/>
  <c r="H126" i="24" s="1"/>
  <c r="H134" i="24" s="1"/>
  <c r="G126" i="24"/>
  <c r="G134" i="24" s="1"/>
  <c r="DV678" i="18"/>
  <c r="DV674" i="18"/>
  <c r="DV677" i="18"/>
  <c r="DV687" i="18"/>
  <c r="B5722" i="3"/>
  <c r="B5717" i="3"/>
  <c r="DU665" i="18"/>
  <c r="DY664" i="18"/>
  <c r="DU669" i="18"/>
  <c r="EM87" i="4"/>
  <c r="EN87" i="4" s="1"/>
  <c r="M4969" i="3"/>
  <c r="EJ424" i="18"/>
  <c r="EJ426" i="18" s="1"/>
  <c r="EJ427" i="18" s="1"/>
  <c r="EH439" i="18"/>
  <c r="EI439" i="18" s="1"/>
  <c r="EI432" i="18"/>
  <c r="EH492" i="18"/>
  <c r="EI492" i="18" s="1"/>
  <c r="EA318" i="18"/>
  <c r="D4433" i="3"/>
  <c r="D4434" i="3" s="1"/>
  <c r="E4541" i="3" s="1"/>
  <c r="D4453" i="3"/>
  <c r="D4462" i="3"/>
  <c r="D4465" i="3" s="1"/>
  <c r="D5322" i="3"/>
  <c r="B5321" i="3" s="1"/>
  <c r="E4501" i="3"/>
  <c r="R3382" i="3"/>
  <c r="S3379" i="3"/>
  <c r="J210" i="24"/>
  <c r="J227" i="24" s="1"/>
  <c r="K210" i="24"/>
  <c r="E4462" i="3"/>
  <c r="E4465" i="3" s="1"/>
  <c r="E4467" i="3" s="1"/>
  <c r="E4433" i="3"/>
  <c r="E4434" i="3" s="1"/>
  <c r="F4541" i="3" s="1"/>
  <c r="C18" i="25"/>
  <c r="K17" i="25"/>
  <c r="EF63" i="18"/>
  <c r="D96" i="11"/>
  <c r="E102" i="11"/>
  <c r="E103" i="11" s="1"/>
  <c r="E104" i="11" s="1"/>
  <c r="D104" i="11"/>
  <c r="D105" i="11"/>
  <c r="D109" i="11"/>
  <c r="D111" i="11" s="1"/>
  <c r="AI5742" i="3"/>
  <c r="V5766" i="3"/>
  <c r="B5199" i="3"/>
  <c r="C5197" i="3"/>
  <c r="T22" i="29"/>
  <c r="S25" i="29"/>
  <c r="P151" i="11"/>
  <c r="M4437" i="3"/>
  <c r="M4429" i="3" s="1"/>
  <c r="M5729" i="3"/>
  <c r="N4542" i="3"/>
  <c r="AH5748" i="3"/>
  <c r="AH5742" i="3" s="1"/>
  <c r="X5766" i="3" s="1"/>
  <c r="AG5742" i="3"/>
  <c r="W5766" i="3" s="1"/>
  <c r="AI5747" i="3"/>
  <c r="Y5765" i="3"/>
  <c r="EJ141" i="18"/>
  <c r="C32" i="24"/>
  <c r="C33" i="24" s="1"/>
  <c r="EI142" i="18"/>
  <c r="C339" i="24"/>
  <c r="C346" i="24" s="1"/>
  <c r="C326" i="24" s="1"/>
  <c r="B327" i="24" s="1"/>
  <c r="EJ262" i="18"/>
  <c r="EJ42" i="18"/>
  <c r="N5198" i="3"/>
  <c r="N5195" i="3"/>
  <c r="N191" i="11"/>
  <c r="O170" i="11"/>
  <c r="N4437" i="3"/>
  <c r="N5729" i="3"/>
  <c r="E144" i="11"/>
  <c r="E145" i="11" s="1"/>
  <c r="E138" i="11"/>
  <c r="DW273" i="2"/>
  <c r="EB272" i="2"/>
  <c r="DW395" i="10"/>
  <c r="DX268" i="2"/>
  <c r="L87" i="22"/>
  <c r="L86" i="22"/>
  <c r="N25" i="21"/>
  <c r="I7" i="21" s="1"/>
  <c r="EO117" i="18"/>
  <c r="EN125" i="18"/>
  <c r="EN122" i="18"/>
  <c r="EN121" i="18"/>
  <c r="EN158" i="18"/>
  <c r="L87" i="21"/>
  <c r="L86" i="21"/>
  <c r="M25" i="22"/>
  <c r="M26" i="22" s="1"/>
  <c r="ER145" i="18"/>
  <c r="EF491" i="18"/>
  <c r="EM307" i="18"/>
  <c r="EL54" i="18"/>
  <c r="EA173" i="18"/>
  <c r="DV174" i="18"/>
  <c r="Q28" i="20"/>
  <c r="Q29" i="20" s="1"/>
  <c r="EM135" i="18"/>
  <c r="EF173" i="18"/>
  <c r="EF174" i="18"/>
  <c r="EF183" i="18"/>
  <c r="B9" i="24"/>
  <c r="B12" i="24"/>
  <c r="EG166" i="18"/>
  <c r="EG172" i="18"/>
  <c r="EM245" i="18"/>
  <c r="DV63" i="18"/>
  <c r="EO222" i="18"/>
  <c r="L26" i="29"/>
  <c r="L27" i="29" s="1"/>
  <c r="EC45" i="18"/>
  <c r="ED43" i="18"/>
  <c r="EP129" i="18"/>
  <c r="EQ134" i="18"/>
  <c r="EP192" i="18"/>
  <c r="EP191" i="18"/>
  <c r="O221" i="11"/>
  <c r="N215" i="11"/>
  <c r="V47" i="21"/>
  <c r="U46" i="21"/>
  <c r="T45" i="21"/>
  <c r="W48" i="21"/>
  <c r="Q42" i="21"/>
  <c r="R43" i="21"/>
  <c r="P41" i="21"/>
  <c r="S44" i="21"/>
  <c r="X49" i="21"/>
  <c r="ER249" i="18"/>
  <c r="M4777" i="3"/>
  <c r="M4920" i="3"/>
  <c r="M4966" i="3"/>
  <c r="M4970" i="3" s="1"/>
  <c r="FH531" i="2"/>
  <c r="M4963" i="3"/>
  <c r="EJ238" i="18"/>
  <c r="EI242" i="18"/>
  <c r="EL471" i="18"/>
  <c r="EB50" i="18"/>
  <c r="ED40" i="18"/>
  <c r="K4546" i="3"/>
  <c r="K4547" i="3" s="1"/>
  <c r="L4539" i="3" s="1"/>
  <c r="L4545" i="3" s="1"/>
  <c r="F4884" i="3"/>
  <c r="E4883" i="3"/>
  <c r="EH152" i="18"/>
  <c r="EH165" i="18"/>
  <c r="EI165" i="18" s="1"/>
  <c r="EM377" i="18"/>
  <c r="DV323" i="18"/>
  <c r="EE185" i="18"/>
  <c r="EE184" i="18"/>
  <c r="DU67" i="18"/>
  <c r="DU68" i="18"/>
  <c r="EI226" i="18"/>
  <c r="EE228" i="18"/>
  <c r="K4842" i="3"/>
  <c r="J4848" i="3"/>
  <c r="J4844" i="3"/>
  <c r="EA323" i="18"/>
  <c r="EA322" i="18"/>
  <c r="EA332" i="18"/>
  <c r="EG419" i="18"/>
  <c r="EI414" i="18"/>
  <c r="EI419" i="18" s="1"/>
  <c r="B77" i="6"/>
  <c r="B86" i="6" s="1"/>
  <c r="B93" i="6"/>
  <c r="B5592" i="3"/>
  <c r="C5590" i="3"/>
  <c r="EK217" i="18"/>
  <c r="EK218" i="18" s="1"/>
  <c r="N4952" i="3"/>
  <c r="FI637" i="2"/>
  <c r="N4771" i="3"/>
  <c r="EH34" i="18"/>
  <c r="EI33" i="18"/>
  <c r="C6" i="24" s="1"/>
  <c r="EQ300" i="18"/>
  <c r="O87" i="20"/>
  <c r="EO372" i="18"/>
  <c r="EO398" i="18" s="1"/>
  <c r="EN373" i="18"/>
  <c r="EN403" i="18" s="1"/>
  <c r="EN414" i="18" s="1"/>
  <c r="EN419" i="18" s="1"/>
  <c r="EM431" i="18"/>
  <c r="EH386" i="18"/>
  <c r="EH387" i="18"/>
  <c r="EI387" i="18" s="1"/>
  <c r="EH390" i="18"/>
  <c r="EI385" i="18"/>
  <c r="EH488" i="18"/>
  <c r="EH433" i="18"/>
  <c r="L4435" i="3"/>
  <c r="L4460" i="3"/>
  <c r="L4463" i="3" s="1"/>
  <c r="C155" i="13"/>
  <c r="B59" i="6"/>
  <c r="B61" i="6" s="1"/>
  <c r="B64" i="6" s="1"/>
  <c r="EI438" i="18"/>
  <c r="EJ130" i="18"/>
  <c r="EJ131" i="18" s="1"/>
  <c r="EM38" i="18"/>
  <c r="G10" i="24"/>
  <c r="EG405" i="18"/>
  <c r="EG406" i="18" s="1"/>
  <c r="EJ272" i="18"/>
  <c r="EK272" i="18" s="1"/>
  <c r="EL272" i="18" s="1"/>
  <c r="EM272" i="18" s="1"/>
  <c r="EN272" i="18" s="1"/>
  <c r="EO272" i="18" s="1"/>
  <c r="EP272" i="18" s="1"/>
  <c r="EQ272" i="18" s="1"/>
  <c r="ER272" i="18" s="1"/>
  <c r="ES272" i="18" s="1"/>
  <c r="EI273" i="18"/>
  <c r="J5720" i="3"/>
  <c r="ER244" i="18"/>
  <c r="N4498" i="3"/>
  <c r="N4559" i="3"/>
  <c r="Q28" i="22"/>
  <c r="K3383" i="3"/>
  <c r="K3384" i="3" s="1"/>
  <c r="Q28" i="21"/>
  <c r="EI435" i="18"/>
  <c r="EJ435" i="18" s="1"/>
  <c r="ED698" i="18"/>
  <c r="DZ699" i="18"/>
  <c r="EQ81" i="18"/>
  <c r="EQ190" i="18"/>
  <c r="ER232" i="18"/>
  <c r="DZ59" i="18"/>
  <c r="I16" i="23"/>
  <c r="N4958" i="3"/>
  <c r="N4964" i="3"/>
  <c r="N4961" i="3"/>
  <c r="EO301" i="18"/>
  <c r="R43" i="20"/>
  <c r="Q42" i="20"/>
  <c r="T45" i="20"/>
  <c r="W48" i="20"/>
  <c r="U46" i="20"/>
  <c r="Z51" i="20"/>
  <c r="AB53" i="20"/>
  <c r="AE56" i="20"/>
  <c r="X49" i="20"/>
  <c r="Y50" i="20"/>
  <c r="AA52" i="20"/>
  <c r="AD55" i="20"/>
  <c r="AF57" i="20"/>
  <c r="AH59" i="20"/>
  <c r="AC54" i="20"/>
  <c r="AI60" i="20"/>
  <c r="AG58" i="20"/>
  <c r="P41" i="20"/>
  <c r="P85" i="20" s="1"/>
  <c r="S44" i="20"/>
  <c r="V47" i="20"/>
  <c r="C341" i="24"/>
  <c r="EI144" i="18"/>
  <c r="EJ144" i="18" s="1"/>
  <c r="EK144" i="18" s="1"/>
  <c r="EL144" i="18" s="1"/>
  <c r="EM144" i="18" s="1"/>
  <c r="ES159" i="18"/>
  <c r="ES37" i="18" s="1"/>
  <c r="ER37" i="18"/>
  <c r="J5721" i="3"/>
  <c r="DX126" i="2"/>
  <c r="EE533" i="2"/>
  <c r="EE535" i="2"/>
  <c r="EE534" i="2"/>
  <c r="EC279" i="18"/>
  <c r="J4555" i="3"/>
  <c r="K4557" i="3" s="1"/>
  <c r="K4431" i="3" s="1"/>
  <c r="J4553" i="3"/>
  <c r="O209" i="11"/>
  <c r="ER74" i="18"/>
  <c r="ER79" i="18"/>
  <c r="ER78" i="18" s="1"/>
  <c r="ES73" i="18"/>
  <c r="N26" i="20"/>
  <c r="M86" i="20"/>
  <c r="N5732" i="3"/>
  <c r="EH168" i="18"/>
  <c r="EI168" i="18" s="1"/>
  <c r="EC317" i="18"/>
  <c r="EC63" i="18" s="1"/>
  <c r="DX168" i="18"/>
  <c r="Y51" i="21"/>
  <c r="U51" i="21"/>
  <c r="Q51" i="21"/>
  <c r="M51" i="21"/>
  <c r="M85" i="21" s="1"/>
  <c r="P51" i="21"/>
  <c r="X51" i="21"/>
  <c r="R51" i="21"/>
  <c r="S51" i="21"/>
  <c r="O51" i="21"/>
  <c r="V51" i="21"/>
  <c r="Z51" i="21"/>
  <c r="W51" i="21"/>
  <c r="N51" i="21"/>
  <c r="T51" i="21"/>
  <c r="EF415" i="18"/>
  <c r="EF421" i="18"/>
  <c r="EG413" i="18"/>
  <c r="EF417" i="18"/>
  <c r="EF418" i="18"/>
  <c r="EF446" i="18"/>
  <c r="EF440" i="18"/>
  <c r="EK294" i="18"/>
  <c r="EJ299" i="18"/>
  <c r="EJ302" i="18"/>
  <c r="EJ298" i="18"/>
  <c r="B52" i="24"/>
  <c r="B58" i="24"/>
  <c r="EH468" i="18"/>
  <c r="T45" i="22"/>
  <c r="R43" i="22"/>
  <c r="U46" i="22"/>
  <c r="Q42" i="22"/>
  <c r="P41" i="22"/>
  <c r="S44" i="22"/>
  <c r="W48" i="22"/>
  <c r="V47" i="22"/>
  <c r="X49" i="22"/>
  <c r="N4981" i="3"/>
  <c r="N4983" i="3" s="1"/>
  <c r="N4540" i="3"/>
  <c r="N4355" i="3"/>
  <c r="EQ221" i="18"/>
  <c r="EK285" i="18"/>
  <c r="EK286" i="18" s="1"/>
  <c r="M4354" i="3"/>
  <c r="M4356" i="3" s="1"/>
  <c r="L4360" i="3"/>
  <c r="L4361" i="3" s="1"/>
  <c r="L4363" i="3" s="1"/>
  <c r="EM456" i="18"/>
  <c r="EM457" i="18" s="1"/>
  <c r="FC218" i="4" l="1"/>
  <c r="FC220" i="4" s="1"/>
  <c r="C558" i="3" s="1"/>
  <c r="C559" i="3" s="1"/>
  <c r="C565" i="3" s="1"/>
  <c r="FE99" i="4"/>
  <c r="FF66" i="4"/>
  <c r="J151" i="3" s="1"/>
  <c r="FG182" i="4"/>
  <c r="FF185" i="4"/>
  <c r="FF196" i="4"/>
  <c r="J3439" i="3"/>
  <c r="J3440" i="3" s="1"/>
  <c r="L3464" i="3" s="1"/>
  <c r="FM468" i="36"/>
  <c r="FM470" i="36" s="1"/>
  <c r="FL650" i="36"/>
  <c r="FL661" i="36" s="1"/>
  <c r="FL24" i="35" s="1"/>
  <c r="FM612" i="36"/>
  <c r="FM14" i="36"/>
  <c r="FL649" i="36"/>
  <c r="FL660" i="36" s="1"/>
  <c r="FL23" i="35" s="1"/>
  <c r="FL648" i="36"/>
  <c r="FL659" i="36" s="1"/>
  <c r="FL663" i="36" s="1"/>
  <c r="FL12" i="36"/>
  <c r="FL54" i="36" s="1"/>
  <c r="FL55" i="36" s="1"/>
  <c r="FL640" i="36"/>
  <c r="EH151" i="2"/>
  <c r="EI160" i="2"/>
  <c r="EI165" i="2" s="1"/>
  <c r="EH150" i="2"/>
  <c r="EH165" i="2"/>
  <c r="EH162" i="2"/>
  <c r="EH161" i="2"/>
  <c r="EI149" i="2"/>
  <c r="EI150" i="2" s="1"/>
  <c r="J1658" i="3"/>
  <c r="J1637" i="3" s="1"/>
  <c r="I1637" i="3"/>
  <c r="I1638" i="3" s="1"/>
  <c r="I1659" i="3" s="1"/>
  <c r="J1659" i="3" s="1"/>
  <c r="S1625" i="3"/>
  <c r="S1645" i="3" s="1"/>
  <c r="ER88" i="2"/>
  <c r="Q1607" i="3"/>
  <c r="Q1626" i="3" s="1"/>
  <c r="R1626" i="3" s="1"/>
  <c r="S1626" i="3" s="1"/>
  <c r="S1623" i="3"/>
  <c r="S1643" i="3" s="1"/>
  <c r="R1643" i="3"/>
  <c r="EG540" i="2"/>
  <c r="EG549" i="2" s="1"/>
  <c r="EG544" i="2"/>
  <c r="EI17" i="2"/>
  <c r="FK663" i="36"/>
  <c r="FL527" i="36"/>
  <c r="FM53" i="35"/>
  <c r="FM54" i="35" s="1"/>
  <c r="FH385" i="36"/>
  <c r="FG75" i="36"/>
  <c r="FG24" i="36"/>
  <c r="FH513" i="36"/>
  <c r="FH383" i="36"/>
  <c r="EZ62" i="35"/>
  <c r="EZ63" i="35"/>
  <c r="FI422" i="36"/>
  <c r="FI421" i="36"/>
  <c r="FJ417" i="36"/>
  <c r="FI431" i="36"/>
  <c r="EV48" i="35"/>
  <c r="FH436" i="36"/>
  <c r="FH432" i="36"/>
  <c r="FI428" i="36"/>
  <c r="FI430" i="36" s="1"/>
  <c r="FH603" i="36"/>
  <c r="FI499" i="36"/>
  <c r="FI500" i="36"/>
  <c r="FI501" i="36" s="1"/>
  <c r="FI510" i="36"/>
  <c r="FI502" i="36"/>
  <c r="FI503" i="36" s="1"/>
  <c r="EX32" i="36"/>
  <c r="EX35" i="36"/>
  <c r="FA36" i="36"/>
  <c r="FA33" i="36"/>
  <c r="EW534" i="36"/>
  <c r="EW533" i="36"/>
  <c r="EW535" i="36"/>
  <c r="FM12" i="36"/>
  <c r="FM13" i="36"/>
  <c r="FC390" i="36"/>
  <c r="FC389" i="36"/>
  <c r="FB79" i="36"/>
  <c r="FB30" i="36"/>
  <c r="FN26" i="35"/>
  <c r="FJ28" i="35"/>
  <c r="FK29" i="35" s="1"/>
  <c r="FA63" i="36"/>
  <c r="FA64" i="36"/>
  <c r="FI373" i="36"/>
  <c r="FI376" i="36"/>
  <c r="FI377" i="36" s="1"/>
  <c r="FI374" i="36"/>
  <c r="FI375" i="36" s="1"/>
  <c r="FI378" i="36"/>
  <c r="EW58" i="35"/>
  <c r="EW59" i="35" s="1"/>
  <c r="EW61" i="35" s="1"/>
  <c r="EW46" i="35"/>
  <c r="EW48" i="35" s="1"/>
  <c r="EX45" i="35"/>
  <c r="FG45" i="35"/>
  <c r="FH45" i="35" s="1"/>
  <c r="FG59" i="36"/>
  <c r="FG60" i="36" s="1"/>
  <c r="FG62" i="36" s="1"/>
  <c r="FG78" i="36"/>
  <c r="FC519" i="36"/>
  <c r="FC524" i="36"/>
  <c r="FC522" i="36"/>
  <c r="FC523" i="36" s="1"/>
  <c r="FC520" i="36"/>
  <c r="FC521" i="36" s="1"/>
  <c r="FF534" i="36"/>
  <c r="FF535" i="36"/>
  <c r="FF533" i="36"/>
  <c r="FA58" i="35"/>
  <c r="FA59" i="35" s="1"/>
  <c r="FA61" i="35" s="1"/>
  <c r="FA46" i="35"/>
  <c r="FA48" i="35" s="1"/>
  <c r="FF64" i="36"/>
  <c r="FF63" i="36"/>
  <c r="FH28" i="36"/>
  <c r="FG32" i="36"/>
  <c r="FG35" i="36"/>
  <c r="FD61" i="35"/>
  <c r="FB45" i="35"/>
  <c r="FB78" i="36"/>
  <c r="FB59" i="36"/>
  <c r="FB60" i="36" s="1"/>
  <c r="FB62" i="36" s="1"/>
  <c r="FL645" i="36"/>
  <c r="FL639" i="36"/>
  <c r="FF58" i="35"/>
  <c r="FF46" i="35"/>
  <c r="FG529" i="36"/>
  <c r="FG530" i="36"/>
  <c r="FH530" i="36" s="1"/>
  <c r="EW60" i="36"/>
  <c r="EX59" i="36"/>
  <c r="FC23" i="36"/>
  <c r="FC21" i="36"/>
  <c r="FC24" i="36" s="1"/>
  <c r="FG79" i="36"/>
  <c r="FG30" i="36"/>
  <c r="EW33" i="36"/>
  <c r="EW36" i="36"/>
  <c r="FC80" i="36"/>
  <c r="FC74" i="36"/>
  <c r="FC75" i="36" s="1"/>
  <c r="FC69" i="36"/>
  <c r="FD50" i="35"/>
  <c r="FD49" i="35"/>
  <c r="FD136" i="35"/>
  <c r="FE63" i="35"/>
  <c r="FE62" i="35"/>
  <c r="FG434" i="36"/>
  <c r="FH429" i="36"/>
  <c r="FH434" i="36" s="1"/>
  <c r="FH69" i="36"/>
  <c r="FH80" i="36"/>
  <c r="FH74" i="36"/>
  <c r="FJ361" i="36"/>
  <c r="FJ372" i="36"/>
  <c r="FJ364" i="36"/>
  <c r="FJ365" i="36" s="1"/>
  <c r="FJ498" i="36"/>
  <c r="FM637" i="36"/>
  <c r="FM640" i="36"/>
  <c r="EX79" i="36"/>
  <c r="EX30" i="36"/>
  <c r="FB529" i="36"/>
  <c r="FB530" i="36"/>
  <c r="FC530" i="36" s="1"/>
  <c r="FF33" i="36"/>
  <c r="FF36" i="36"/>
  <c r="FC528" i="36"/>
  <c r="FC529" i="36" s="1"/>
  <c r="FE50" i="35"/>
  <c r="FE136" i="35"/>
  <c r="FE49" i="35"/>
  <c r="FH515" i="36"/>
  <c r="FG521" i="36"/>
  <c r="FL362" i="36"/>
  <c r="FK360" i="36"/>
  <c r="FM648" i="36"/>
  <c r="FM659" i="36" s="1"/>
  <c r="FM650" i="36"/>
  <c r="FM661" i="36" s="1"/>
  <c r="FM24" i="35" s="1"/>
  <c r="FM651" i="36"/>
  <c r="FM662" i="36" s="1"/>
  <c r="FM649" i="36"/>
  <c r="FM660" i="36" s="1"/>
  <c r="FM23" i="35" s="1"/>
  <c r="FH23" i="36"/>
  <c r="EZ50" i="35"/>
  <c r="EZ49" i="35"/>
  <c r="EZ136" i="35"/>
  <c r="EY62" i="35"/>
  <c r="EY63" i="35"/>
  <c r="FC28" i="36"/>
  <c r="FB35" i="36"/>
  <c r="FB32" i="36"/>
  <c r="FA533" i="36"/>
  <c r="FA535" i="36"/>
  <c r="FA534" i="36"/>
  <c r="ET69" i="35"/>
  <c r="ET62" i="35"/>
  <c r="ET63" i="35"/>
  <c r="EV59" i="35"/>
  <c r="FH390" i="36"/>
  <c r="EX530" i="36"/>
  <c r="FG523" i="36"/>
  <c r="ES531" i="2"/>
  <c r="FM531" i="36"/>
  <c r="ES531" i="36"/>
  <c r="ES532" i="36" s="1"/>
  <c r="ER105" i="2"/>
  <c r="Q3111" i="3"/>
  <c r="P3111" i="3"/>
  <c r="O101" i="29"/>
  <c r="P101" i="29"/>
  <c r="Q101" i="29"/>
  <c r="T101" i="29"/>
  <c r="S101" i="29"/>
  <c r="U101" i="29"/>
  <c r="R101" i="29"/>
  <c r="V101" i="29"/>
  <c r="EG391" i="10"/>
  <c r="D2309" i="3"/>
  <c r="D2311" i="3"/>
  <c r="D2313" i="3" s="1"/>
  <c r="D2322" i="3"/>
  <c r="C2324" i="3"/>
  <c r="C2329" i="3"/>
  <c r="C2315" i="3"/>
  <c r="C2317" i="3" s="1"/>
  <c r="G3115" i="3"/>
  <c r="H3143" i="3"/>
  <c r="H3142" i="3" s="1"/>
  <c r="H3152" i="3" s="1"/>
  <c r="D2341" i="3"/>
  <c r="D2320" i="3"/>
  <c r="G3128" i="3"/>
  <c r="G3138" i="3" s="1"/>
  <c r="G3148" i="3" s="1"/>
  <c r="W3117" i="3" s="1"/>
  <c r="G3123" i="3"/>
  <c r="G3124" i="3" s="1"/>
  <c r="D2305" i="3"/>
  <c r="C2342" i="3"/>
  <c r="D2340" i="3"/>
  <c r="EG159" i="2"/>
  <c r="EF158" i="2"/>
  <c r="EF163" i="2" s="1"/>
  <c r="DX132" i="2"/>
  <c r="EG130" i="2"/>
  <c r="H2484" i="3"/>
  <c r="H2504" i="3" s="1"/>
  <c r="EH106" i="2"/>
  <c r="EH245" i="2" s="1"/>
  <c r="EH246" i="2" s="1"/>
  <c r="EH159" i="2"/>
  <c r="H3119" i="3"/>
  <c r="H3123" i="3" s="1"/>
  <c r="EH143" i="2"/>
  <c r="EH94" i="2"/>
  <c r="H3364" i="3"/>
  <c r="H3365" i="3" s="1"/>
  <c r="H3368" i="3" s="1"/>
  <c r="H3370" i="3" s="1"/>
  <c r="I3107" i="3"/>
  <c r="I3116" i="3" s="1"/>
  <c r="EH176" i="2"/>
  <c r="H3127" i="3"/>
  <c r="EH92" i="2"/>
  <c r="I3454" i="3"/>
  <c r="J68" i="29"/>
  <c r="J69" i="29" s="1"/>
  <c r="H3122" i="3"/>
  <c r="EI341" i="10"/>
  <c r="EI343" i="10" s="1"/>
  <c r="I3118" i="3"/>
  <c r="I3132" i="3" s="1"/>
  <c r="I118" i="29"/>
  <c r="F3148" i="3"/>
  <c r="V3117" i="3" s="1"/>
  <c r="EG288" i="2"/>
  <c r="EG265" i="2"/>
  <c r="EG276" i="2"/>
  <c r="F3129" i="3"/>
  <c r="EJ82" i="2"/>
  <c r="G3137" i="3"/>
  <c r="G3147" i="3" s="1"/>
  <c r="W3116" i="3" s="1"/>
  <c r="EH185" i="10"/>
  <c r="EH120" i="2"/>
  <c r="EH542" i="2"/>
  <c r="EG107" i="2"/>
  <c r="EG263" i="2" s="1"/>
  <c r="D36" i="29"/>
  <c r="D37" i="29" s="1"/>
  <c r="D40" i="29" s="1"/>
  <c r="D42" i="29" s="1"/>
  <c r="EG568" i="2"/>
  <c r="H7" i="29"/>
  <c r="H8" i="29" s="1"/>
  <c r="H11" i="29" s="1"/>
  <c r="H13" i="29" s="1"/>
  <c r="EH91" i="2"/>
  <c r="EI91" i="2" s="1"/>
  <c r="EI344" i="10" s="1"/>
  <c r="EG310" i="2"/>
  <c r="EH131" i="2"/>
  <c r="EI90" i="2"/>
  <c r="EG95" i="2"/>
  <c r="EG392" i="10" s="1"/>
  <c r="EG344" i="10"/>
  <c r="EG97" i="2"/>
  <c r="EG559" i="2"/>
  <c r="EG565" i="2" s="1"/>
  <c r="EM86" i="4"/>
  <c r="EN86" i="4" s="1"/>
  <c r="EB321" i="18"/>
  <c r="EB332" i="18" s="1"/>
  <c r="EG317" i="18"/>
  <c r="EG63" i="18" s="1"/>
  <c r="DZ322" i="18"/>
  <c r="DW317" i="18"/>
  <c r="DW63" i="18" s="1"/>
  <c r="DW65" i="18" s="1"/>
  <c r="DW67" i="18" s="1"/>
  <c r="DY168" i="18"/>
  <c r="ED169" i="18" s="1"/>
  <c r="DU674" i="18"/>
  <c r="DU687" i="18"/>
  <c r="DU678" i="18"/>
  <c r="DY678" i="18" s="1"/>
  <c r="DU677" i="18"/>
  <c r="DY669" i="18"/>
  <c r="DY665" i="18"/>
  <c r="DY666" i="18"/>
  <c r="DV695" i="18"/>
  <c r="DW698" i="18" s="1"/>
  <c r="DW699" i="18" s="1"/>
  <c r="DV696" i="18"/>
  <c r="DV692" i="18"/>
  <c r="DV176" i="18"/>
  <c r="DV183" i="18" s="1"/>
  <c r="DV185" i="18" s="1"/>
  <c r="DV325" i="18"/>
  <c r="DV332" i="18" s="1"/>
  <c r="DV334" i="18" s="1"/>
  <c r="DW680" i="18"/>
  <c r="DW681" i="18" s="1"/>
  <c r="B5720" i="3"/>
  <c r="B5718" i="3"/>
  <c r="B5721" i="3" s="1"/>
  <c r="EN88" i="4"/>
  <c r="EO85" i="4" s="1"/>
  <c r="ES85" i="4" s="1"/>
  <c r="N4969" i="3"/>
  <c r="D4439" i="3"/>
  <c r="EH493" i="18"/>
  <c r="EI493" i="18" s="1"/>
  <c r="D4467" i="3"/>
  <c r="B4476" i="3" s="1"/>
  <c r="D4469" i="3"/>
  <c r="B4482" i="3" s="1"/>
  <c r="E4439" i="3"/>
  <c r="B5581" i="3"/>
  <c r="B5322" i="3"/>
  <c r="K4551" i="3"/>
  <c r="K4555" i="3" s="1"/>
  <c r="L4557" i="3" s="1"/>
  <c r="L4431" i="3" s="1"/>
  <c r="E4469" i="3"/>
  <c r="T3379" i="3"/>
  <c r="S3382" i="3"/>
  <c r="E18" i="25"/>
  <c r="K20" i="25"/>
  <c r="E105" i="11"/>
  <c r="E109" i="11"/>
  <c r="E111" i="11" s="1"/>
  <c r="M4788" i="3"/>
  <c r="M4975" i="3"/>
  <c r="M4464" i="3"/>
  <c r="C5199" i="3"/>
  <c r="D5197" i="3"/>
  <c r="N4975" i="3"/>
  <c r="N4464" i="3"/>
  <c r="N4788" i="3"/>
  <c r="ED317" i="18"/>
  <c r="P170" i="11"/>
  <c r="O191" i="11"/>
  <c r="D32" i="24"/>
  <c r="D33" i="24" s="1"/>
  <c r="EK141" i="18"/>
  <c r="AI5748" i="3"/>
  <c r="Y5766" i="3"/>
  <c r="U22" i="29"/>
  <c r="T25" i="29"/>
  <c r="V46" i="20"/>
  <c r="R42" i="20"/>
  <c r="S43" i="20"/>
  <c r="X48" i="20"/>
  <c r="AA51" i="20"/>
  <c r="Q41" i="20"/>
  <c r="Q85" i="20" s="1"/>
  <c r="AC53" i="20"/>
  <c r="Y49" i="20"/>
  <c r="AB52" i="20"/>
  <c r="Z50" i="20"/>
  <c r="AE55" i="20"/>
  <c r="AF56" i="20"/>
  <c r="AI59" i="20"/>
  <c r="AD54" i="20"/>
  <c r="AJ60" i="20"/>
  <c r="AG57" i="20"/>
  <c r="AH58" i="20"/>
  <c r="U45" i="20"/>
  <c r="W47" i="20"/>
  <c r="T44" i="20"/>
  <c r="B85" i="6"/>
  <c r="EJ432" i="18"/>
  <c r="EJ428" i="18"/>
  <c r="EJ438" i="18" s="1"/>
  <c r="EJ429" i="18"/>
  <c r="EK424" i="18"/>
  <c r="EJ494" i="18"/>
  <c r="EG407" i="18"/>
  <c r="EH402" i="18"/>
  <c r="EG408" i="18"/>
  <c r="EG416" i="18"/>
  <c r="EG411" i="18"/>
  <c r="EH404" i="18" s="1"/>
  <c r="EI404" i="18" s="1"/>
  <c r="EG490" i="18"/>
  <c r="M87" i="21"/>
  <c r="M86" i="21"/>
  <c r="EJ133" i="18"/>
  <c r="EJ136" i="18"/>
  <c r="EK128" i="18"/>
  <c r="EJ132" i="18"/>
  <c r="EK291" i="18"/>
  <c r="EL283" i="18"/>
  <c r="EK288" i="18"/>
  <c r="EK287" i="18"/>
  <c r="EK305" i="18"/>
  <c r="EK219" i="18"/>
  <c r="EK223" i="18"/>
  <c r="EK220" i="18"/>
  <c r="EL215" i="18"/>
  <c r="N25" i="22"/>
  <c r="N26" i="22" s="1"/>
  <c r="L4546" i="3"/>
  <c r="L4547" i="3" s="1"/>
  <c r="EN431" i="18"/>
  <c r="EF448" i="18"/>
  <c r="EG443" i="18"/>
  <c r="EF447" i="18"/>
  <c r="EF495" i="18"/>
  <c r="EQ191" i="18"/>
  <c r="EQ192" i="18"/>
  <c r="EA334" i="18"/>
  <c r="H10" i="24"/>
  <c r="G47" i="24"/>
  <c r="G11" i="24"/>
  <c r="G48" i="24" s="1"/>
  <c r="EI488" i="18"/>
  <c r="EP372" i="18"/>
  <c r="EP398" i="18" s="1"/>
  <c r="EO373" i="18"/>
  <c r="EO403" i="18" s="1"/>
  <c r="EO414" i="18" s="1"/>
  <c r="EO419" i="18" s="1"/>
  <c r="EG173" i="18"/>
  <c r="EG174" i="18"/>
  <c r="ES145" i="18"/>
  <c r="N4354" i="3"/>
  <c r="N4356" i="3" s="1"/>
  <c r="N4360" i="3" s="1"/>
  <c r="N4361" i="3" s="1"/>
  <c r="N4363" i="3" s="1"/>
  <c r="M4360" i="3"/>
  <c r="M4361" i="3" s="1"/>
  <c r="M4363" i="3" s="1"/>
  <c r="ER221" i="18"/>
  <c r="ER81" i="18"/>
  <c r="ER190" i="18"/>
  <c r="EP301" i="18"/>
  <c r="EJ382" i="18"/>
  <c r="EI390" i="18"/>
  <c r="EI386" i="18"/>
  <c r="EI433" i="18"/>
  <c r="ES249" i="18"/>
  <c r="EO119" i="18"/>
  <c r="EO120" i="18" s="1"/>
  <c r="EO158" i="18" s="1"/>
  <c r="K5721" i="3"/>
  <c r="K3389" i="3"/>
  <c r="L3381" i="3"/>
  <c r="EB57" i="18"/>
  <c r="B54" i="24"/>
  <c r="DX131" i="2"/>
  <c r="DY126" i="2"/>
  <c r="DY132" i="2" s="1"/>
  <c r="EC127" i="2"/>
  <c r="DX347" i="10"/>
  <c r="DX128" i="2"/>
  <c r="DX181" i="2"/>
  <c r="DY181" i="2" s="1"/>
  <c r="DZ65" i="18"/>
  <c r="DZ61" i="18"/>
  <c r="I8" i="20"/>
  <c r="I13" i="23" s="1"/>
  <c r="O26" i="20"/>
  <c r="N86" i="20"/>
  <c r="T51" i="22"/>
  <c r="P51" i="22"/>
  <c r="S51" i="22"/>
  <c r="Q51" i="22"/>
  <c r="Z51" i="22"/>
  <c r="V51" i="22"/>
  <c r="O51" i="22"/>
  <c r="W51" i="22"/>
  <c r="U51" i="22"/>
  <c r="N51" i="22"/>
  <c r="M51" i="22"/>
  <c r="M85" i="22" s="1"/>
  <c r="X51" i="22"/>
  <c r="Y51" i="22"/>
  <c r="R51" i="22"/>
  <c r="ES244" i="18"/>
  <c r="C36" i="24"/>
  <c r="C38" i="24" s="1"/>
  <c r="C45" i="24" s="1"/>
  <c r="C49" i="24" s="1"/>
  <c r="C7" i="24"/>
  <c r="C37" i="24" s="1"/>
  <c r="C8" i="24"/>
  <c r="EB173" i="18"/>
  <c r="DW174" i="18"/>
  <c r="DW183" i="18"/>
  <c r="ES79" i="18"/>
  <c r="ES78" i="18" s="1"/>
  <c r="ES74" i="18"/>
  <c r="DX317" i="18"/>
  <c r="DX321" i="18" s="1"/>
  <c r="DX172" i="18"/>
  <c r="DY172" i="18" s="1"/>
  <c r="EC278" i="18"/>
  <c r="ED279" i="18"/>
  <c r="P87" i="20"/>
  <c r="EH172" i="18"/>
  <c r="EI172" i="18" s="1"/>
  <c r="EH166" i="18"/>
  <c r="EJ240" i="18"/>
  <c r="EJ241" i="18" s="1"/>
  <c r="M24" i="29"/>
  <c r="L32" i="29"/>
  <c r="EH317" i="18"/>
  <c r="EC314" i="18"/>
  <c r="L4842" i="3"/>
  <c r="K4848" i="3"/>
  <c r="K4844" i="3"/>
  <c r="ER134" i="18"/>
  <c r="EQ129" i="18"/>
  <c r="EF185" i="18"/>
  <c r="EF184" i="18"/>
  <c r="EM462" i="18"/>
  <c r="EN454" i="18"/>
  <c r="EM458" i="18"/>
  <c r="EM459" i="18"/>
  <c r="ES232" i="18"/>
  <c r="M3463" i="3"/>
  <c r="L3463" i="3"/>
  <c r="I3463" i="3"/>
  <c r="I3456" i="3" s="1"/>
  <c r="I3441" i="3" s="1"/>
  <c r="J3441" i="3" s="1"/>
  <c r="N3463" i="3"/>
  <c r="J3463" i="3"/>
  <c r="K3463" i="3"/>
  <c r="F4849" i="3"/>
  <c r="EK208" i="18"/>
  <c r="K5720" i="3"/>
  <c r="ED63" i="18"/>
  <c r="D3397" i="3"/>
  <c r="D3399" i="3" s="1"/>
  <c r="EF420" i="18"/>
  <c r="EM538" i="18"/>
  <c r="N101" i="29"/>
  <c r="M101" i="29"/>
  <c r="I101" i="29"/>
  <c r="Q29" i="22"/>
  <c r="AA51" i="22" s="1"/>
  <c r="EK296" i="18"/>
  <c r="EK297" i="18" s="1"/>
  <c r="P209" i="11"/>
  <c r="EK435" i="18"/>
  <c r="EJ434" i="18"/>
  <c r="M4435" i="3"/>
  <c r="M4460" i="3"/>
  <c r="M4463" i="3" s="1"/>
  <c r="N4429" i="3"/>
  <c r="ER300" i="18"/>
  <c r="B5594" i="3"/>
  <c r="B94" i="6"/>
  <c r="B97" i="6" s="1"/>
  <c r="B99" i="6" s="1"/>
  <c r="B101" i="6" s="1"/>
  <c r="EE229" i="18"/>
  <c r="Q29" i="21"/>
  <c r="R28" i="21" s="1"/>
  <c r="EN307" i="18"/>
  <c r="EM54" i="18"/>
  <c r="EJ306" i="18"/>
  <c r="DX270" i="2"/>
  <c r="DY270" i="2" s="1"/>
  <c r="DY275" i="2" s="1"/>
  <c r="EP222" i="18"/>
  <c r="B13" i="24"/>
  <c r="B50" i="24" s="1"/>
  <c r="B16" i="24"/>
  <c r="B17" i="24" s="1"/>
  <c r="EN36" i="18"/>
  <c r="EN38" i="18" s="1"/>
  <c r="EN162" i="18"/>
  <c r="EN160" i="18"/>
  <c r="EN161" i="18" s="1"/>
  <c r="EJ168" i="18"/>
  <c r="EI169" i="18"/>
  <c r="G4884" i="3"/>
  <c r="G4883" i="3" s="1"/>
  <c r="F4883" i="3"/>
  <c r="ED45" i="18"/>
  <c r="EN245" i="18"/>
  <c r="K38" i="24"/>
  <c r="B39" i="24"/>
  <c r="B46" i="24" s="1"/>
  <c r="EN135" i="18"/>
  <c r="AA52" i="21"/>
  <c r="S52" i="21"/>
  <c r="P52" i="21"/>
  <c r="W52" i="21"/>
  <c r="Z52" i="21"/>
  <c r="T52" i="21"/>
  <c r="Y52" i="21"/>
  <c r="N52" i="21"/>
  <c r="N85" i="21" s="1"/>
  <c r="Q52" i="21"/>
  <c r="R52" i="21"/>
  <c r="O52" i="21"/>
  <c r="X52" i="21"/>
  <c r="U52" i="21"/>
  <c r="V52" i="21"/>
  <c r="N4777" i="3"/>
  <c r="N4963" i="3"/>
  <c r="N4920" i="3"/>
  <c r="I5297" i="3"/>
  <c r="N4966" i="3"/>
  <c r="N4970" i="3" s="1"/>
  <c r="FI531" i="2"/>
  <c r="P4541" i="3"/>
  <c r="P4545" i="3" s="1"/>
  <c r="C3859" i="3"/>
  <c r="EH473" i="18"/>
  <c r="EH470" i="18"/>
  <c r="EI470" i="18" s="1"/>
  <c r="EH479" i="18"/>
  <c r="EH469" i="18"/>
  <c r="EI468" i="18"/>
  <c r="EH539" i="18"/>
  <c r="EI539" i="18" s="1"/>
  <c r="EJ143" i="18"/>
  <c r="EN377" i="18"/>
  <c r="EH40" i="18"/>
  <c r="EI34" i="18"/>
  <c r="EM471" i="18"/>
  <c r="P221" i="11"/>
  <c r="O215" i="11"/>
  <c r="DV65" i="18"/>
  <c r="EI166" i="18"/>
  <c r="C245" i="24"/>
  <c r="C246" i="24" s="1"/>
  <c r="C348" i="24"/>
  <c r="C329" i="24" s="1"/>
  <c r="R28" i="20"/>
  <c r="N26" i="21"/>
  <c r="DW401" i="10"/>
  <c r="C561" i="3" l="1"/>
  <c r="C563" i="3" s="1"/>
  <c r="FG185" i="4"/>
  <c r="FH182" i="4"/>
  <c r="FF99" i="4"/>
  <c r="FG66" i="4"/>
  <c r="FM478" i="36"/>
  <c r="FL22" i="35"/>
  <c r="FL26" i="35" s="1"/>
  <c r="FL28" i="35" s="1"/>
  <c r="FL29" i="35" s="1"/>
  <c r="FL15" i="36"/>
  <c r="EI161" i="2"/>
  <c r="EJ157" i="2"/>
  <c r="EI16" i="2"/>
  <c r="EG541" i="2"/>
  <c r="EG545" i="2"/>
  <c r="EJ146" i="2"/>
  <c r="EN146" i="2" s="1"/>
  <c r="EJ149" i="2"/>
  <c r="EJ160" i="2" s="1"/>
  <c r="J1649" i="3" s="1"/>
  <c r="J1606" i="3"/>
  <c r="J1608" i="3" s="1"/>
  <c r="K1659" i="3"/>
  <c r="K1638" i="3" s="1"/>
  <c r="J1638" i="3"/>
  <c r="EX46" i="35"/>
  <c r="EX48" i="35" s="1"/>
  <c r="EX49" i="35" s="1"/>
  <c r="FH521" i="36"/>
  <c r="FH75" i="36"/>
  <c r="FM362" i="36"/>
  <c r="FM360" i="36" s="1"/>
  <c r="FL360" i="36"/>
  <c r="FM645" i="36"/>
  <c r="FM639" i="36"/>
  <c r="FG535" i="36"/>
  <c r="FG533" i="36"/>
  <c r="FG534" i="36"/>
  <c r="EW63" i="35"/>
  <c r="EW62" i="35"/>
  <c r="FM15" i="36"/>
  <c r="FO12" i="36"/>
  <c r="FM54" i="36"/>
  <c r="FM55" i="36" s="1"/>
  <c r="FH605" i="36"/>
  <c r="FH631" i="36"/>
  <c r="FH609" i="36"/>
  <c r="FH610" i="36" s="1"/>
  <c r="FJ500" i="36"/>
  <c r="FJ501" i="36" s="1"/>
  <c r="FJ499" i="36"/>
  <c r="FJ510" i="36"/>
  <c r="FJ502" i="36"/>
  <c r="FJ503" i="36" s="1"/>
  <c r="FH59" i="36"/>
  <c r="FH78" i="36"/>
  <c r="FB46" i="35"/>
  <c r="FB58" i="35"/>
  <c r="FB59" i="35" s="1"/>
  <c r="FC45" i="35"/>
  <c r="FI436" i="36"/>
  <c r="FI603" i="36"/>
  <c r="FI433" i="36"/>
  <c r="FJ428" i="36"/>
  <c r="FI432" i="36"/>
  <c r="FI429" i="36"/>
  <c r="FI434" i="36" s="1"/>
  <c r="FH532" i="36"/>
  <c r="FH533" i="36"/>
  <c r="FH534" i="36"/>
  <c r="FH535" i="36"/>
  <c r="FC35" i="36"/>
  <c r="FC32" i="36"/>
  <c r="FB534" i="36"/>
  <c r="FB535" i="36"/>
  <c r="FB533" i="36"/>
  <c r="FG33" i="36"/>
  <c r="FG36" i="36"/>
  <c r="FA136" i="35"/>
  <c r="FA49" i="35"/>
  <c r="FA50" i="35"/>
  <c r="FB33" i="36"/>
  <c r="FB36" i="36"/>
  <c r="FN417" i="36"/>
  <c r="FJ420" i="36"/>
  <c r="FC534" i="36"/>
  <c r="FC535" i="36"/>
  <c r="FC532" i="36"/>
  <c r="FC533" i="36"/>
  <c r="FJ373" i="36"/>
  <c r="FJ374" i="36"/>
  <c r="FJ375" i="36" s="1"/>
  <c r="FJ376" i="36"/>
  <c r="FJ377" i="36" s="1"/>
  <c r="FJ378" i="36"/>
  <c r="FF48" i="35"/>
  <c r="FD63" i="35"/>
  <c r="FD62" i="35"/>
  <c r="FA62" i="35"/>
  <c r="EX532" i="36"/>
  <c r="EX535" i="36"/>
  <c r="EX534" i="36"/>
  <c r="EX533" i="36"/>
  <c r="EX33" i="36"/>
  <c r="EX36" i="36"/>
  <c r="FF59" i="35"/>
  <c r="FG64" i="36"/>
  <c r="FG63" i="36"/>
  <c r="FH529" i="36"/>
  <c r="FM480" i="36"/>
  <c r="FM526" i="36"/>
  <c r="FM527" i="36" s="1"/>
  <c r="FC78" i="36"/>
  <c r="FC59" i="36"/>
  <c r="FG46" i="35"/>
  <c r="FG48" i="35" s="1"/>
  <c r="FG58" i="35"/>
  <c r="FG59" i="35" s="1"/>
  <c r="FG61" i="35" s="1"/>
  <c r="FI511" i="36"/>
  <c r="FI70" i="36"/>
  <c r="FI514" i="36"/>
  <c r="FI515" i="36" s="1"/>
  <c r="FI512" i="36"/>
  <c r="FI513" i="36" s="1"/>
  <c r="FI516" i="36"/>
  <c r="EV50" i="35"/>
  <c r="EV49" i="35"/>
  <c r="EV136" i="35"/>
  <c r="EW199" i="35"/>
  <c r="EV199" i="35"/>
  <c r="EX58" i="35"/>
  <c r="FM663" i="36"/>
  <c r="FM22" i="35"/>
  <c r="FM26" i="35" s="1"/>
  <c r="FM28" i="35" s="1"/>
  <c r="FH24" i="36"/>
  <c r="FH32" i="36"/>
  <c r="FH35" i="36"/>
  <c r="FH523" i="36"/>
  <c r="EV61" i="35"/>
  <c r="EX59" i="35"/>
  <c r="FK361" i="36"/>
  <c r="FK372" i="36"/>
  <c r="FK364" i="36"/>
  <c r="FK365" i="36" s="1"/>
  <c r="FK498" i="36"/>
  <c r="EW62" i="36"/>
  <c r="FB64" i="36" s="1"/>
  <c r="EX60" i="36"/>
  <c r="FB63" i="36"/>
  <c r="EW50" i="35"/>
  <c r="EW136" i="35"/>
  <c r="EW49" i="35"/>
  <c r="FJ29" i="35"/>
  <c r="FN28" i="35"/>
  <c r="S102" i="29"/>
  <c r="O102" i="29"/>
  <c r="P102" i="29"/>
  <c r="R102" i="29"/>
  <c r="Q102" i="29"/>
  <c r="T102" i="29"/>
  <c r="U102" i="29"/>
  <c r="V102" i="29"/>
  <c r="EH107" i="2"/>
  <c r="EH263" i="2" s="1"/>
  <c r="D2315" i="3"/>
  <c r="D2317" i="3" s="1"/>
  <c r="D2329" i="3"/>
  <c r="D2324" i="3"/>
  <c r="B2324" i="3"/>
  <c r="B2329" i="3"/>
  <c r="B2315" i="3"/>
  <c r="B2317" i="3" s="1"/>
  <c r="H3137" i="3"/>
  <c r="H3147" i="3" s="1"/>
  <c r="X3116" i="3" s="1"/>
  <c r="D2342" i="3"/>
  <c r="G3129" i="3"/>
  <c r="EI159" i="2"/>
  <c r="EG158" i="2"/>
  <c r="EG163" i="2" s="1"/>
  <c r="EH147" i="2"/>
  <c r="EH152" i="2" s="1"/>
  <c r="EH540" i="2"/>
  <c r="EH549" i="2" s="1"/>
  <c r="EI549" i="2" s="1"/>
  <c r="EH548" i="2"/>
  <c r="EH158" i="2"/>
  <c r="EH163" i="2" s="1"/>
  <c r="EI151" i="2"/>
  <c r="J3464" i="3"/>
  <c r="EH559" i="2"/>
  <c r="M3464" i="3"/>
  <c r="N3464" i="3"/>
  <c r="K3464" i="3"/>
  <c r="H3128" i="3"/>
  <c r="H3138" i="3" s="1"/>
  <c r="H3148" i="3" s="1"/>
  <c r="X3117" i="3" s="1"/>
  <c r="H3133" i="3"/>
  <c r="H3115" i="3"/>
  <c r="I3143" i="3"/>
  <c r="I3142" i="3" s="1"/>
  <c r="I3152" i="3" s="1"/>
  <c r="EH118" i="2"/>
  <c r="H3124" i="3"/>
  <c r="EH174" i="2"/>
  <c r="EH568" i="2"/>
  <c r="EI568" i="2" s="1"/>
  <c r="EI106" i="2"/>
  <c r="EI174" i="2" s="1"/>
  <c r="EH391" i="10"/>
  <c r="EH124" i="2"/>
  <c r="EI124" i="2" s="1"/>
  <c r="EH288" i="2"/>
  <c r="EH141" i="2"/>
  <c r="EI157" i="2"/>
  <c r="EH265" i="2"/>
  <c r="EI94" i="2"/>
  <c r="D5711" i="3" s="1"/>
  <c r="EH276" i="2"/>
  <c r="EH95" i="2"/>
  <c r="EH392" i="10" s="1"/>
  <c r="EH97" i="2"/>
  <c r="EH310" i="2"/>
  <c r="C3477" i="3"/>
  <c r="C3478" i="3" s="1"/>
  <c r="D3484" i="3" s="1"/>
  <c r="EI92" i="2"/>
  <c r="EG308" i="2"/>
  <c r="EJ90" i="2"/>
  <c r="G3150" i="3"/>
  <c r="I3127" i="3"/>
  <c r="EI143" i="2"/>
  <c r="I3364" i="3"/>
  <c r="I3365" i="3" s="1"/>
  <c r="I3368" i="3" s="1"/>
  <c r="EG299" i="2"/>
  <c r="EG425" i="2" s="1"/>
  <c r="N102" i="29"/>
  <c r="J102" i="29"/>
  <c r="EG269" i="2"/>
  <c r="EG270" i="2" s="1"/>
  <c r="I3119" i="3"/>
  <c r="I3123" i="3" s="1"/>
  <c r="EG108" i="2"/>
  <c r="EG76" i="2" s="1"/>
  <c r="EI185" i="10"/>
  <c r="I3122" i="3"/>
  <c r="EJ84" i="2"/>
  <c r="EJ341" i="10"/>
  <c r="EJ343" i="10" s="1"/>
  <c r="J3105" i="3"/>
  <c r="J3118" i="3" s="1"/>
  <c r="J3119" i="3" s="1"/>
  <c r="EI131" i="2"/>
  <c r="C212" i="11"/>
  <c r="C124" i="29"/>
  <c r="C125" i="29" s="1"/>
  <c r="D131" i="29" s="1"/>
  <c r="EG382" i="2"/>
  <c r="EG383" i="2" s="1"/>
  <c r="EI120" i="2"/>
  <c r="D4857" i="3" s="1"/>
  <c r="EJ104" i="2"/>
  <c r="EJ106" i="2" s="1"/>
  <c r="EJ141" i="2" s="1"/>
  <c r="EJ83" i="2"/>
  <c r="D4845" i="3"/>
  <c r="EK82" i="2"/>
  <c r="K1606" i="3" s="1"/>
  <c r="K1608" i="3" s="1"/>
  <c r="EI542" i="2"/>
  <c r="EH344" i="10"/>
  <c r="I7" i="29"/>
  <c r="I8" i="29" s="1"/>
  <c r="I11" i="29" s="1"/>
  <c r="E36" i="29"/>
  <c r="E37" i="29" s="1"/>
  <c r="F37" i="29" s="1"/>
  <c r="E3393" i="3"/>
  <c r="E3394" i="3" s="1"/>
  <c r="F3394" i="3" s="1"/>
  <c r="EH544" i="2"/>
  <c r="EI544" i="2" s="1"/>
  <c r="EI176" i="2"/>
  <c r="C3806" i="3"/>
  <c r="C3815" i="3" s="1"/>
  <c r="D5710" i="3"/>
  <c r="D5717" i="3" s="1"/>
  <c r="EB323" i="18"/>
  <c r="EI317" i="18"/>
  <c r="EJ317" i="18" s="1"/>
  <c r="EK317" i="18" s="1"/>
  <c r="EL317" i="18" s="1"/>
  <c r="EM317" i="18" s="1"/>
  <c r="EN317" i="18" s="1"/>
  <c r="EO317" i="18" s="1"/>
  <c r="EP317" i="18" s="1"/>
  <c r="EQ317" i="18" s="1"/>
  <c r="ER317" i="18" s="1"/>
  <c r="ES317" i="18" s="1"/>
  <c r="EB318" i="18"/>
  <c r="DW68" i="18"/>
  <c r="DW321" i="18"/>
  <c r="EB322" i="18" s="1"/>
  <c r="EA184" i="18"/>
  <c r="EA333" i="18"/>
  <c r="EO89" i="4"/>
  <c r="B279" i="24"/>
  <c r="DY679" i="18"/>
  <c r="DY674" i="18"/>
  <c r="DY677" i="18"/>
  <c r="DU325" i="18"/>
  <c r="DV680" i="18"/>
  <c r="DU176" i="18"/>
  <c r="DY687" i="18"/>
  <c r="B254" i="24" s="1"/>
  <c r="DU692" i="18"/>
  <c r="DU696" i="18"/>
  <c r="DY696" i="18" s="1"/>
  <c r="DU695" i="18"/>
  <c r="EM91" i="4"/>
  <c r="EM93" i="4" s="1"/>
  <c r="EN93" i="4" s="1"/>
  <c r="D4982" i="3"/>
  <c r="E4982" i="3"/>
  <c r="P215" i="11"/>
  <c r="K4553" i="3"/>
  <c r="L4551" i="3"/>
  <c r="L4555" i="3" s="1"/>
  <c r="M4557" i="3" s="1"/>
  <c r="M4431" i="3" s="1"/>
  <c r="T3382" i="3"/>
  <c r="U3379" i="3"/>
  <c r="P191" i="11"/>
  <c r="D5199" i="3"/>
  <c r="E5197" i="3"/>
  <c r="EL141" i="18"/>
  <c r="E32" i="24"/>
  <c r="E33" i="24" s="1"/>
  <c r="AB52" i="21"/>
  <c r="V22" i="29"/>
  <c r="U25" i="29"/>
  <c r="I8" i="22"/>
  <c r="O25" i="22"/>
  <c r="O26" i="22" s="1"/>
  <c r="EK238" i="18"/>
  <c r="EJ243" i="18"/>
  <c r="EJ242" i="18"/>
  <c r="EJ437" i="18"/>
  <c r="B187" i="24"/>
  <c r="B188" i="24" s="1"/>
  <c r="B189" i="24" s="1"/>
  <c r="H22" i="25"/>
  <c r="B172" i="24"/>
  <c r="B173" i="24" s="1"/>
  <c r="B174" i="24" s="1"/>
  <c r="ED173" i="18"/>
  <c r="B248" i="24" s="1"/>
  <c r="K56" i="24"/>
  <c r="DY174" i="18"/>
  <c r="EK298" i="18"/>
  <c r="EK302" i="18"/>
  <c r="EL294" i="18"/>
  <c r="EK299" i="18"/>
  <c r="EK306" i="18"/>
  <c r="EK308" i="18" s="1"/>
  <c r="N87" i="21"/>
  <c r="I10" i="21" s="1"/>
  <c r="I11" i="21" s="1"/>
  <c r="N86" i="21"/>
  <c r="EK143" i="18"/>
  <c r="M26" i="29"/>
  <c r="M27" i="29" s="1"/>
  <c r="DX323" i="18"/>
  <c r="DX332" i="18"/>
  <c r="DX334" i="18" s="1"/>
  <c r="EB334" i="18"/>
  <c r="H3375" i="3"/>
  <c r="I3367" i="3"/>
  <c r="EO125" i="18"/>
  <c r="EP117" i="18"/>
  <c r="EO122" i="18"/>
  <c r="EO121" i="18"/>
  <c r="EH405" i="18"/>
  <c r="EI405" i="18" s="1"/>
  <c r="EI410" i="18" s="1"/>
  <c r="EO245" i="18"/>
  <c r="EK168" i="18"/>
  <c r="C247" i="24"/>
  <c r="C56" i="24"/>
  <c r="C52" i="24" s="1"/>
  <c r="EI174" i="18"/>
  <c r="EI173" i="18"/>
  <c r="C330" i="24"/>
  <c r="C327" i="24" s="1"/>
  <c r="B328" i="24" s="1"/>
  <c r="B329" i="24" s="1"/>
  <c r="ES300" i="18"/>
  <c r="E3396" i="3"/>
  <c r="D3404" i="3"/>
  <c r="K3441" i="3"/>
  <c r="J3456" i="3"/>
  <c r="EH173" i="18"/>
  <c r="EH174" i="18"/>
  <c r="E39" i="29"/>
  <c r="D47" i="29"/>
  <c r="P26" i="20"/>
  <c r="O86" i="20"/>
  <c r="EB59" i="18"/>
  <c r="ES221" i="18"/>
  <c r="H47" i="24"/>
  <c r="Q87" i="20"/>
  <c r="L5720" i="3"/>
  <c r="I8" i="21"/>
  <c r="O25" i="21"/>
  <c r="EI473" i="18"/>
  <c r="EJ465" i="18"/>
  <c r="EI469" i="18"/>
  <c r="V46" i="21"/>
  <c r="W47" i="21"/>
  <c r="X48" i="21"/>
  <c r="S43" i="21"/>
  <c r="R29" i="21"/>
  <c r="S28" i="21" s="1"/>
  <c r="R42" i="21"/>
  <c r="Q41" i="21"/>
  <c r="U45" i="21"/>
  <c r="T44" i="21"/>
  <c r="Y49" i="21"/>
  <c r="Z50" i="21"/>
  <c r="AA51" i="21"/>
  <c r="U45" i="22"/>
  <c r="S43" i="22"/>
  <c r="R42" i="22"/>
  <c r="Q41" i="22"/>
  <c r="X48" i="22"/>
  <c r="V46" i="22"/>
  <c r="T44" i="22"/>
  <c r="W47" i="22"/>
  <c r="Y49" i="22"/>
  <c r="Z50" i="22"/>
  <c r="EJ53" i="18"/>
  <c r="EJ55" i="18" s="1"/>
  <c r="EJ311" i="18"/>
  <c r="EJ308" i="18"/>
  <c r="EJ309" i="18" s="1"/>
  <c r="EF483" i="18"/>
  <c r="EF478" i="18" s="1"/>
  <c r="EF450" i="18"/>
  <c r="ER129" i="18"/>
  <c r="ES134" i="18"/>
  <c r="ES129" i="18" s="1"/>
  <c r="E3859" i="3"/>
  <c r="C3863" i="3"/>
  <c r="E3863" i="3" s="1"/>
  <c r="EO307" i="18"/>
  <c r="EN54" i="18"/>
  <c r="EN456" i="18"/>
  <c r="EN457" i="18" s="1"/>
  <c r="M86" i="22"/>
  <c r="M87" i="22"/>
  <c r="DY347" i="10"/>
  <c r="DY131" i="2"/>
  <c r="ED127" i="2"/>
  <c r="M4539" i="3"/>
  <c r="M4545" i="3" s="1"/>
  <c r="L4552" i="3"/>
  <c r="DX271" i="2"/>
  <c r="N4435" i="3"/>
  <c r="N4460" i="3"/>
  <c r="N4463" i="3" s="1"/>
  <c r="EJ492" i="18"/>
  <c r="EJ493" i="18" s="1"/>
  <c r="EH63" i="18"/>
  <c r="EI63" i="18" s="1"/>
  <c r="EC315" i="18"/>
  <c r="EC321" i="18"/>
  <c r="EC674" i="18"/>
  <c r="ED314" i="18"/>
  <c r="DW185" i="18"/>
  <c r="EB184" i="18"/>
  <c r="I7" i="22"/>
  <c r="R28" i="22"/>
  <c r="R29" i="22" s="1"/>
  <c r="EO431" i="18"/>
  <c r="EK52" i="18"/>
  <c r="EK310" i="18"/>
  <c r="EK130" i="18"/>
  <c r="EK131" i="18" s="1"/>
  <c r="EK426" i="18"/>
  <c r="EK427" i="18" s="1"/>
  <c r="F4855" i="3"/>
  <c r="F4850" i="3"/>
  <c r="F4856" i="3" s="1"/>
  <c r="L4848" i="3"/>
  <c r="M4842" i="3"/>
  <c r="L4844" i="3"/>
  <c r="EN471" i="18"/>
  <c r="EF226" i="18"/>
  <c r="EE235" i="18"/>
  <c r="EE230" i="18"/>
  <c r="EE231" i="18"/>
  <c r="EE234" i="18"/>
  <c r="EE258" i="18"/>
  <c r="EQ222" i="18"/>
  <c r="DY317" i="18"/>
  <c r="ES190" i="18"/>
  <c r="ES81" i="18"/>
  <c r="L3383" i="3"/>
  <c r="L3384" i="3" s="1"/>
  <c r="DV67" i="18"/>
  <c r="DV68" i="18"/>
  <c r="EA66" i="18"/>
  <c r="EH484" i="18"/>
  <c r="EH480" i="18"/>
  <c r="EI479" i="18"/>
  <c r="EH481" i="18"/>
  <c r="EI481" i="18" s="1"/>
  <c r="EL435" i="18"/>
  <c r="E86" i="24"/>
  <c r="EL205" i="18"/>
  <c r="EL207" i="18" s="1"/>
  <c r="EK213" i="18"/>
  <c r="EK209" i="18"/>
  <c r="EK210" i="18"/>
  <c r="EK206" i="18"/>
  <c r="EK257" i="18"/>
  <c r="EC49" i="18"/>
  <c r="ED278" i="18"/>
  <c r="C12" i="24"/>
  <c r="C9" i="24"/>
  <c r="C39" i="24" s="1"/>
  <c r="C46" i="24" s="1"/>
  <c r="DZ68" i="18"/>
  <c r="DZ67" i="18"/>
  <c r="DZ66" i="18"/>
  <c r="EE66" i="18"/>
  <c r="EQ301" i="18"/>
  <c r="EG491" i="18"/>
  <c r="DX183" i="18"/>
  <c r="DX174" i="18"/>
  <c r="EC173" i="18"/>
  <c r="L5721" i="3"/>
  <c r="EJ384" i="18"/>
  <c r="EJ385" i="18" s="1"/>
  <c r="EJ488" i="18" s="1"/>
  <c r="EJ466" i="18"/>
  <c r="ER191" i="18"/>
  <c r="ER192" i="18"/>
  <c r="R29" i="20"/>
  <c r="EG560" i="2"/>
  <c r="EG563" i="2"/>
  <c r="EG566" i="2"/>
  <c r="EO135" i="18"/>
  <c r="EO36" i="18"/>
  <c r="EO38" i="18" s="1"/>
  <c r="EO160" i="18"/>
  <c r="EO161" i="18" s="1"/>
  <c r="EO162" i="18"/>
  <c r="EO377" i="18"/>
  <c r="S52" i="22"/>
  <c r="W52" i="22"/>
  <c r="AA52" i="22"/>
  <c r="Q52" i="22"/>
  <c r="U52" i="22"/>
  <c r="O52" i="22"/>
  <c r="N52" i="22"/>
  <c r="N85" i="22" s="1"/>
  <c r="T52" i="22"/>
  <c r="AB52" i="22"/>
  <c r="R52" i="22"/>
  <c r="P52" i="22"/>
  <c r="V52" i="22"/>
  <c r="Y52" i="22"/>
  <c r="X52" i="22"/>
  <c r="Z52" i="22"/>
  <c r="EL285" i="18"/>
  <c r="EL286" i="18" s="1"/>
  <c r="EG421" i="18"/>
  <c r="EG415" i="18"/>
  <c r="EH413" i="18"/>
  <c r="EG417" i="18"/>
  <c r="EG418" i="18"/>
  <c r="EG440" i="18"/>
  <c r="EG446" i="18"/>
  <c r="EI40" i="18"/>
  <c r="I10" i="29"/>
  <c r="H18" i="29"/>
  <c r="EC318" i="18"/>
  <c r="DX63" i="18"/>
  <c r="DX353" i="10"/>
  <c r="DY128" i="2"/>
  <c r="DY353" i="10" s="1"/>
  <c r="EQ372" i="18"/>
  <c r="EQ398" i="18" s="1"/>
  <c r="EP373" i="18"/>
  <c r="EP403" i="18" s="1"/>
  <c r="EP414" i="18" s="1"/>
  <c r="EP419" i="18" s="1"/>
  <c r="EL217" i="18"/>
  <c r="EL218" i="18" s="1"/>
  <c r="FG99" i="4" l="1"/>
  <c r="FH66" i="4"/>
  <c r="FI182" i="4"/>
  <c r="FI185" i="4" s="1"/>
  <c r="FH185" i="4"/>
  <c r="EJ120" i="2"/>
  <c r="B1091" i="3" s="1"/>
  <c r="B1086" i="3"/>
  <c r="B1094" i="3" s="1"/>
  <c r="FM29" i="35"/>
  <c r="EJ161" i="2"/>
  <c r="EK157" i="2"/>
  <c r="EJ148" i="2"/>
  <c r="EJ165" i="2"/>
  <c r="EJ150" i="2"/>
  <c r="EK146" i="2"/>
  <c r="EK148" i="2" s="1"/>
  <c r="EJ151" i="2"/>
  <c r="EJ162" i="2"/>
  <c r="J1670" i="3"/>
  <c r="J1639" i="3"/>
  <c r="J1660" i="3" s="1"/>
  <c r="K1660" i="3" s="1"/>
  <c r="EX199" i="35"/>
  <c r="EZ199" i="35"/>
  <c r="EY199" i="35"/>
  <c r="FA199" i="35"/>
  <c r="EX50" i="35"/>
  <c r="FC58" i="35"/>
  <c r="FH58" i="35"/>
  <c r="FH46" i="35"/>
  <c r="FH48" i="35" s="1"/>
  <c r="EV63" i="35"/>
  <c r="EV62" i="35"/>
  <c r="EV69" i="35"/>
  <c r="FG49" i="35"/>
  <c r="FG136" i="35"/>
  <c r="EX61" i="35"/>
  <c r="FI631" i="36"/>
  <c r="FI605" i="36"/>
  <c r="FI609" i="36"/>
  <c r="FI610" i="36" s="1"/>
  <c r="EW64" i="36"/>
  <c r="EW63" i="36"/>
  <c r="EX62" i="36"/>
  <c r="FK500" i="36"/>
  <c r="FK501" i="36" s="1"/>
  <c r="FK499" i="36"/>
  <c r="FK510" i="36"/>
  <c r="FK502" i="36"/>
  <c r="FK503" i="36" s="1"/>
  <c r="FF136" i="35"/>
  <c r="FF49" i="35"/>
  <c r="FF50" i="35"/>
  <c r="FG199" i="35"/>
  <c r="FJ511" i="36"/>
  <c r="FJ512" i="36"/>
  <c r="FJ513" i="36" s="1"/>
  <c r="FJ70" i="36"/>
  <c r="FJ514" i="36"/>
  <c r="FJ515" i="36" s="1"/>
  <c r="FJ516" i="36"/>
  <c r="FK417" i="36"/>
  <c r="FK420" i="36" s="1"/>
  <c r="FJ422" i="36"/>
  <c r="FJ421" i="36"/>
  <c r="FN420" i="36"/>
  <c r="FJ431" i="36"/>
  <c r="FK373" i="36"/>
  <c r="FK376" i="36"/>
  <c r="FK377" i="36" s="1"/>
  <c r="FK374" i="36"/>
  <c r="FK375" i="36" s="1"/>
  <c r="FK378" i="36"/>
  <c r="FI80" i="36"/>
  <c r="FI69" i="36"/>
  <c r="FI74" i="36"/>
  <c r="FI75" i="36" s="1"/>
  <c r="FF61" i="35"/>
  <c r="FH59" i="35"/>
  <c r="FA63" i="35"/>
  <c r="FC59" i="35"/>
  <c r="FB61" i="35"/>
  <c r="FL361" i="36"/>
  <c r="FL372" i="36"/>
  <c r="FL364" i="36"/>
  <c r="FL365" i="36" s="1"/>
  <c r="FL498" i="36"/>
  <c r="EX136" i="35"/>
  <c r="FG62" i="35"/>
  <c r="FN428" i="36"/>
  <c r="FJ430" i="36"/>
  <c r="FN430" i="36" s="1"/>
  <c r="FC46" i="35"/>
  <c r="FC48" i="35" s="1"/>
  <c r="FB48" i="35"/>
  <c r="FM361" i="36"/>
  <c r="FM372" i="36"/>
  <c r="FM364" i="36"/>
  <c r="FM498" i="36"/>
  <c r="EH269" i="2"/>
  <c r="EH270" i="2" s="1"/>
  <c r="EH275" i="2" s="1"/>
  <c r="EI107" i="2"/>
  <c r="EI263" i="2" s="1"/>
  <c r="EH382" i="2"/>
  <c r="EH383" i="2" s="1"/>
  <c r="EH299" i="2"/>
  <c r="EH425" i="2" s="1"/>
  <c r="EH108" i="2"/>
  <c r="EH320" i="2" s="1"/>
  <c r="EH308" i="2"/>
  <c r="B2325" i="3"/>
  <c r="B2323" i="3" s="1"/>
  <c r="C2323" i="3" s="1"/>
  <c r="D2323" i="3" s="1"/>
  <c r="B2331" i="3"/>
  <c r="EI158" i="2"/>
  <c r="EI163" i="2" s="1"/>
  <c r="EI540" i="2"/>
  <c r="EH541" i="2"/>
  <c r="EH545" i="2"/>
  <c r="K3105" i="3"/>
  <c r="K3118" i="3" s="1"/>
  <c r="K3132" i="3" s="1"/>
  <c r="EK149" i="2"/>
  <c r="EK160" i="2" s="1"/>
  <c r="K1649" i="3" s="1"/>
  <c r="K1670" i="3" s="1"/>
  <c r="EH560" i="2"/>
  <c r="EH565" i="2"/>
  <c r="EH566" i="2" s="1"/>
  <c r="B3502" i="3"/>
  <c r="EI548" i="2"/>
  <c r="EI162" i="2"/>
  <c r="EO87" i="4"/>
  <c r="EO88" i="4" s="1"/>
  <c r="J3469" i="3"/>
  <c r="J3454" i="3" s="1"/>
  <c r="EI559" i="2"/>
  <c r="EI561" i="2"/>
  <c r="EH563" i="2"/>
  <c r="H3150" i="3"/>
  <c r="H3129" i="3"/>
  <c r="I3137" i="3"/>
  <c r="I3147" i="3" s="1"/>
  <c r="Y3116" i="3" s="1"/>
  <c r="EI310" i="2"/>
  <c r="EI265" i="2"/>
  <c r="EI276" i="2"/>
  <c r="C224" i="11"/>
  <c r="EI118" i="2"/>
  <c r="EI129" i="2"/>
  <c r="EI97" i="2"/>
  <c r="EH125" i="2"/>
  <c r="K3439" i="3"/>
  <c r="K3440" i="3" s="1"/>
  <c r="N3465" i="3" s="1"/>
  <c r="EJ91" i="2"/>
  <c r="C3480" i="3"/>
  <c r="EI391" i="10"/>
  <c r="J116" i="29"/>
  <c r="J117" i="29" s="1"/>
  <c r="EI141" i="2"/>
  <c r="EI288" i="2"/>
  <c r="EI95" i="2"/>
  <c r="EI392" i="10" s="1"/>
  <c r="B3331" i="3"/>
  <c r="EI245" i="2"/>
  <c r="EI246" i="2" s="1"/>
  <c r="D5726" i="3"/>
  <c r="D5712" i="3"/>
  <c r="K68" i="29"/>
  <c r="K69" i="29" s="1"/>
  <c r="EJ131" i="2"/>
  <c r="EJ92" i="2"/>
  <c r="EJ185" i="10"/>
  <c r="C127" i="29"/>
  <c r="EJ94" i="2"/>
  <c r="EJ176" i="2"/>
  <c r="B3085" i="3"/>
  <c r="EJ542" i="2"/>
  <c r="EK84" i="2"/>
  <c r="EJ143" i="2"/>
  <c r="EG406" i="2"/>
  <c r="EG411" i="2" s="1"/>
  <c r="I3133" i="3"/>
  <c r="EJ174" i="2"/>
  <c r="EK104" i="2"/>
  <c r="EK106" i="2" s="1"/>
  <c r="EK174" i="2" s="1"/>
  <c r="EJ124" i="2"/>
  <c r="EJ125" i="2" s="1"/>
  <c r="J3132" i="3"/>
  <c r="EG320" i="2"/>
  <c r="J3107" i="3"/>
  <c r="J3116" i="3" s="1"/>
  <c r="I3128" i="3"/>
  <c r="I3138" i="3" s="1"/>
  <c r="I3150" i="3" s="1"/>
  <c r="I3115" i="3"/>
  <c r="E40" i="29"/>
  <c r="EG74" i="2"/>
  <c r="EG75" i="2" s="1"/>
  <c r="J3127" i="3"/>
  <c r="I3124" i="3"/>
  <c r="J3110" i="3"/>
  <c r="J3112" i="3" s="1"/>
  <c r="EK341" i="10"/>
  <c r="EK343" i="10" s="1"/>
  <c r="J3122" i="3"/>
  <c r="EJ245" i="2"/>
  <c r="EJ246" i="2" s="1"/>
  <c r="EJ118" i="2"/>
  <c r="EL82" i="2"/>
  <c r="EK83" i="2"/>
  <c r="EK90" i="2"/>
  <c r="E3397" i="3"/>
  <c r="EI318" i="18"/>
  <c r="DW323" i="18"/>
  <c r="DW332" i="18"/>
  <c r="DW334" i="18" s="1"/>
  <c r="DY321" i="18"/>
  <c r="DY323" i="18" s="1"/>
  <c r="DY325" i="18"/>
  <c r="DU332" i="18"/>
  <c r="DU682" i="18"/>
  <c r="ED681" i="18"/>
  <c r="DY682" i="18"/>
  <c r="DV682" i="18"/>
  <c r="DW682" i="18"/>
  <c r="DX682" i="18"/>
  <c r="DV698" i="18"/>
  <c r="DY695" i="18"/>
  <c r="DY697" i="18"/>
  <c r="DY692" i="18"/>
  <c r="B251" i="24"/>
  <c r="DY176" i="18"/>
  <c r="DU183" i="18"/>
  <c r="DY183" i="18" s="1"/>
  <c r="DU680" i="18"/>
  <c r="DY680" i="18" s="1"/>
  <c r="DV681" i="18"/>
  <c r="EN148" i="4"/>
  <c r="EN91" i="4"/>
  <c r="EN92" i="4" s="1"/>
  <c r="EO92" i="4" s="1"/>
  <c r="J3133" i="3"/>
  <c r="L4553" i="3"/>
  <c r="U3382" i="3"/>
  <c r="V3379" i="3"/>
  <c r="J3115" i="3"/>
  <c r="J3128" i="3"/>
  <c r="EH406" i="18"/>
  <c r="EH490" i="18" s="1"/>
  <c r="EI270" i="18" s="1"/>
  <c r="J3123" i="3"/>
  <c r="W22" i="29"/>
  <c r="V25" i="29"/>
  <c r="EK309" i="18"/>
  <c r="E5199" i="3"/>
  <c r="F5197" i="3"/>
  <c r="F32" i="24"/>
  <c r="F33" i="24" s="1"/>
  <c r="EM141" i="18"/>
  <c r="N87" i="22"/>
  <c r="I10" i="22" s="1"/>
  <c r="I11" i="22" s="1"/>
  <c r="N86" i="22"/>
  <c r="EN462" i="18"/>
  <c r="EN458" i="18"/>
  <c r="EN459" i="18"/>
  <c r="EO454" i="18"/>
  <c r="EN538" i="18"/>
  <c r="EJ184" i="10"/>
  <c r="EK429" i="18"/>
  <c r="EK432" i="18"/>
  <c r="EK428" i="18"/>
  <c r="EK438" i="18" s="1"/>
  <c r="EL424" i="18"/>
  <c r="EK494" i="18"/>
  <c r="EK434" i="18"/>
  <c r="L3389" i="3"/>
  <c r="M3381" i="3"/>
  <c r="EK133" i="18"/>
  <c r="EK132" i="18"/>
  <c r="EL128" i="18"/>
  <c r="EK136" i="18"/>
  <c r="EL220" i="18"/>
  <c r="EM215" i="18"/>
  <c r="EL223" i="18"/>
  <c r="EL219" i="18"/>
  <c r="EG420" i="18"/>
  <c r="EG483" i="18" s="1"/>
  <c r="EG478" i="18" s="1"/>
  <c r="EG477" i="18" s="1"/>
  <c r="EG482" i="18" s="1"/>
  <c r="EM435" i="18"/>
  <c r="EO54" i="18"/>
  <c r="EP307" i="18"/>
  <c r="EG77" i="2"/>
  <c r="EK661" i="18"/>
  <c r="EK660" i="18" s="1"/>
  <c r="EK211" i="18"/>
  <c r="EK227" i="18"/>
  <c r="M4546" i="3"/>
  <c r="M4547" i="3" s="1"/>
  <c r="G37" i="29"/>
  <c r="F40" i="29"/>
  <c r="EF445" i="18"/>
  <c r="T43" i="22"/>
  <c r="S42" i="22"/>
  <c r="W46" i="22"/>
  <c r="B34" i="22"/>
  <c r="Y48" i="22"/>
  <c r="V45" i="22"/>
  <c r="U44" i="22"/>
  <c r="R41" i="22"/>
  <c r="X47" i="22"/>
  <c r="Z49" i="22"/>
  <c r="AA50" i="22"/>
  <c r="AB51" i="22"/>
  <c r="AD53" i="21"/>
  <c r="X53" i="21"/>
  <c r="T53" i="21"/>
  <c r="U53" i="21"/>
  <c r="AA53" i="21"/>
  <c r="Z53" i="21"/>
  <c r="AC53" i="21"/>
  <c r="Y53" i="21"/>
  <c r="W53" i="21"/>
  <c r="R53" i="21"/>
  <c r="S53" i="21"/>
  <c r="P53" i="21"/>
  <c r="AB53" i="21"/>
  <c r="V53" i="21"/>
  <c r="O53" i="21"/>
  <c r="O85" i="21" s="1"/>
  <c r="Q53" i="21"/>
  <c r="M5720" i="3"/>
  <c r="Q26" i="20"/>
  <c r="P86" i="20"/>
  <c r="N24" i="29"/>
  <c r="M32" i="29"/>
  <c r="D5733" i="3"/>
  <c r="D5718" i="3"/>
  <c r="D5719" i="3" s="1"/>
  <c r="EH443" i="18"/>
  <c r="EG447" i="18"/>
  <c r="EG448" i="18"/>
  <c r="DX185" i="18"/>
  <c r="EC184" i="18"/>
  <c r="ER301" i="18"/>
  <c r="C16" i="24"/>
  <c r="C17" i="24" s="1"/>
  <c r="C13" i="24"/>
  <c r="C50" i="24" s="1"/>
  <c r="S28" i="22"/>
  <c r="S29" i="22" s="1"/>
  <c r="ED315" i="18"/>
  <c r="ED674" i="18"/>
  <c r="EF477" i="18"/>
  <c r="S29" i="21"/>
  <c r="X47" i="21"/>
  <c r="Y48" i="21"/>
  <c r="T43" i="21"/>
  <c r="W46" i="21"/>
  <c r="S42" i="21"/>
  <c r="B34" i="21"/>
  <c r="V45" i="21"/>
  <c r="U44" i="21"/>
  <c r="R41" i="21"/>
  <c r="Z49" i="21"/>
  <c r="AA50" i="21"/>
  <c r="AB51" i="21"/>
  <c r="AC52" i="21"/>
  <c r="L3441" i="3"/>
  <c r="K3456" i="3"/>
  <c r="C58" i="24"/>
  <c r="C57" i="24"/>
  <c r="EJ410" i="18"/>
  <c r="EI472" i="18"/>
  <c r="EJ439" i="18"/>
  <c r="T53" i="22"/>
  <c r="W53" i="22"/>
  <c r="V53" i="22"/>
  <c r="U53" i="22"/>
  <c r="AB53" i="22"/>
  <c r="Z53" i="22"/>
  <c r="P53" i="22"/>
  <c r="AD53" i="22"/>
  <c r="AA53" i="22"/>
  <c r="Q53" i="22"/>
  <c r="O53" i="22"/>
  <c r="O85" i="22" s="1"/>
  <c r="R53" i="22"/>
  <c r="X53" i="22"/>
  <c r="Y53" i="22"/>
  <c r="AC53" i="22"/>
  <c r="S53" i="22"/>
  <c r="ES192" i="18"/>
  <c r="ES191" i="18"/>
  <c r="E41" i="29"/>
  <c r="E88" i="24"/>
  <c r="E87" i="24"/>
  <c r="EP431" i="18"/>
  <c r="S42" i="20"/>
  <c r="W46" i="20"/>
  <c r="V45" i="20"/>
  <c r="T43" i="20"/>
  <c r="Y48" i="20"/>
  <c r="B34" i="20"/>
  <c r="AA50" i="20"/>
  <c r="AC52" i="20"/>
  <c r="AD53" i="20"/>
  <c r="AB51" i="20"/>
  <c r="Z49" i="20"/>
  <c r="R41" i="20"/>
  <c r="R85" i="20" s="1"/>
  <c r="AE54" i="20"/>
  <c r="AK60" i="20"/>
  <c r="AF55" i="20"/>
  <c r="AH57" i="20"/>
  <c r="AJ59" i="20"/>
  <c r="AG56" i="20"/>
  <c r="AI58" i="20"/>
  <c r="X47" i="20"/>
  <c r="U44" i="20"/>
  <c r="EF228" i="18"/>
  <c r="EB65" i="18"/>
  <c r="EB61" i="18"/>
  <c r="EO471" i="18"/>
  <c r="EP135" i="18"/>
  <c r="ER222" i="18"/>
  <c r="C53" i="24"/>
  <c r="C54" i="24"/>
  <c r="O26" i="21"/>
  <c r="AC52" i="22"/>
  <c r="EG570" i="2"/>
  <c r="EG569" i="2"/>
  <c r="EG567" i="2"/>
  <c r="EK382" i="18"/>
  <c r="EJ387" i="18"/>
  <c r="EJ390" i="18"/>
  <c r="EJ386" i="18"/>
  <c r="EJ433" i="18"/>
  <c r="EC50" i="18"/>
  <c r="ED49" i="18"/>
  <c r="B64" i="24" s="1"/>
  <c r="B65" i="24" s="1"/>
  <c r="EI484" i="18"/>
  <c r="EJ476" i="18"/>
  <c r="EI480" i="18"/>
  <c r="EC332" i="18"/>
  <c r="EC322" i="18"/>
  <c r="EC323" i="18"/>
  <c r="ED321" i="18"/>
  <c r="EG495" i="18"/>
  <c r="E3398" i="3"/>
  <c r="EK63" i="18"/>
  <c r="EL168" i="18"/>
  <c r="S28" i="20"/>
  <c r="S29" i="20" s="1"/>
  <c r="EG275" i="2"/>
  <c r="EG282" i="2"/>
  <c r="EG407" i="2"/>
  <c r="I12" i="29"/>
  <c r="I13" i="29" s="1"/>
  <c r="EM283" i="18"/>
  <c r="EL287" i="18"/>
  <c r="EL288" i="18"/>
  <c r="EL291" i="18"/>
  <c r="EE43" i="18"/>
  <c r="EE260" i="18"/>
  <c r="EL305" i="18"/>
  <c r="C249" i="24"/>
  <c r="C248" i="24"/>
  <c r="P25" i="22"/>
  <c r="P26" i="22" s="1"/>
  <c r="DX65" i="18"/>
  <c r="DY63" i="18"/>
  <c r="M5721" i="3"/>
  <c r="EC272" i="2"/>
  <c r="DY271" i="2"/>
  <c r="DX395" i="10"/>
  <c r="DX273" i="2"/>
  <c r="EJ63" i="18"/>
  <c r="B57" i="24"/>
  <c r="K52" i="24"/>
  <c r="B53" i="24" s="1"/>
  <c r="EP377" i="18"/>
  <c r="EP119" i="18"/>
  <c r="EP120" i="18" s="1"/>
  <c r="EL143" i="18"/>
  <c r="EK311" i="18"/>
  <c r="EK53" i="18"/>
  <c r="EK55" i="18" s="1"/>
  <c r="EK240" i="18"/>
  <c r="EK241" i="18" s="1"/>
  <c r="F3397" i="3"/>
  <c r="G3394" i="3"/>
  <c r="EP245" i="18"/>
  <c r="ER372" i="18"/>
  <c r="ER398" i="18" s="1"/>
  <c r="EQ373" i="18"/>
  <c r="EQ403" i="18" s="1"/>
  <c r="EQ414" i="18" s="1"/>
  <c r="EQ419" i="18" s="1"/>
  <c r="EK42" i="18"/>
  <c r="EK262" i="18"/>
  <c r="N4842" i="3"/>
  <c r="M4848" i="3"/>
  <c r="M4844" i="3"/>
  <c r="J215" i="24"/>
  <c r="J234" i="24"/>
  <c r="ED318" i="18"/>
  <c r="I3369" i="3"/>
  <c r="I3370" i="3" s="1"/>
  <c r="EL296" i="18"/>
  <c r="EL297" i="18" s="1"/>
  <c r="EL306" i="18" s="1"/>
  <c r="B23" i="25"/>
  <c r="H20" i="25"/>
  <c r="I22" i="25"/>
  <c r="FH99" i="4" l="1"/>
  <c r="FI66" i="4"/>
  <c r="FI99" i="4" s="1"/>
  <c r="B1174" i="3"/>
  <c r="B1088" i="3"/>
  <c r="B1106" i="3" s="1"/>
  <c r="B1107" i="3" s="1"/>
  <c r="B1113" i="3" s="1"/>
  <c r="EK91" i="2"/>
  <c r="C3409" i="3" s="1"/>
  <c r="C1086" i="3"/>
  <c r="C1094" i="3" s="1"/>
  <c r="J3364" i="3"/>
  <c r="J3365" i="3" s="1"/>
  <c r="J3368" i="3" s="1"/>
  <c r="EJ147" i="2"/>
  <c r="EJ152" i="2" s="1"/>
  <c r="EL149" i="2"/>
  <c r="EL160" i="2" s="1"/>
  <c r="L1649" i="3" s="1"/>
  <c r="L1670" i="3" s="1"/>
  <c r="L1606" i="3"/>
  <c r="L1608" i="3" s="1"/>
  <c r="L1660" i="3"/>
  <c r="L1639" i="3" s="1"/>
  <c r="K1639" i="3"/>
  <c r="K1640" i="3" s="1"/>
  <c r="K1661" i="3" s="1"/>
  <c r="L1661" i="3" s="1"/>
  <c r="FH49" i="35"/>
  <c r="FM365" i="36"/>
  <c r="FH199" i="35"/>
  <c r="FH50" i="35"/>
  <c r="FH136" i="35"/>
  <c r="FI45" i="35"/>
  <c r="FI58" i="35" s="1"/>
  <c r="FI59" i="36"/>
  <c r="FI78" i="36"/>
  <c r="EX64" i="36"/>
  <c r="EX63" i="36"/>
  <c r="FM374" i="36"/>
  <c r="FM376" i="36"/>
  <c r="FM373" i="36"/>
  <c r="FM378" i="36"/>
  <c r="FL499" i="36"/>
  <c r="FL500" i="36"/>
  <c r="FL501" i="36" s="1"/>
  <c r="FL510" i="36"/>
  <c r="FL502" i="36"/>
  <c r="FL503" i="36" s="1"/>
  <c r="FL417" i="36"/>
  <c r="FL420" i="36" s="1"/>
  <c r="FK422" i="36"/>
  <c r="FK421" i="36"/>
  <c r="FK431" i="36"/>
  <c r="FB50" i="35"/>
  <c r="FB49" i="35"/>
  <c r="FB136" i="35"/>
  <c r="FC136" i="35" s="1"/>
  <c r="FE199" i="35"/>
  <c r="FD199" i="35"/>
  <c r="FB199" i="35"/>
  <c r="FG50" i="35"/>
  <c r="FC50" i="35"/>
  <c r="FC49" i="35"/>
  <c r="FC199" i="35"/>
  <c r="FF199" i="35"/>
  <c r="FL374" i="36"/>
  <c r="FL375" i="36" s="1"/>
  <c r="FL373" i="36"/>
  <c r="FL376" i="36"/>
  <c r="FL377" i="36" s="1"/>
  <c r="FL378" i="36"/>
  <c r="FF62" i="35"/>
  <c r="FF63" i="35"/>
  <c r="FH61" i="35"/>
  <c r="FJ80" i="36"/>
  <c r="FJ74" i="36"/>
  <c r="FJ75" i="36" s="1"/>
  <c r="FJ69" i="36"/>
  <c r="FN70" i="36"/>
  <c r="FB62" i="35"/>
  <c r="FB63" i="35"/>
  <c r="FC61" i="35"/>
  <c r="FK428" i="36"/>
  <c r="FK430" i="36" s="1"/>
  <c r="FN431" i="36"/>
  <c r="FJ436" i="36"/>
  <c r="FJ603" i="36"/>
  <c r="FJ433" i="36"/>
  <c r="FJ432" i="36"/>
  <c r="FJ429" i="36"/>
  <c r="FK516" i="36"/>
  <c r="FK511" i="36"/>
  <c r="FK514" i="36"/>
  <c r="FK515" i="36" s="1"/>
  <c r="FK512" i="36"/>
  <c r="FK513" i="36" s="1"/>
  <c r="FK70" i="36"/>
  <c r="EX63" i="35"/>
  <c r="EX62" i="35"/>
  <c r="FM500" i="36"/>
  <c r="FM499" i="36"/>
  <c r="FM510" i="36"/>
  <c r="FM502" i="36"/>
  <c r="FG63" i="35"/>
  <c r="EK165" i="2"/>
  <c r="EK162" i="2"/>
  <c r="K103" i="29"/>
  <c r="Q103" i="29"/>
  <c r="R103" i="29"/>
  <c r="V103" i="29"/>
  <c r="U103" i="29"/>
  <c r="O103" i="29"/>
  <c r="P103" i="29"/>
  <c r="S103" i="29"/>
  <c r="T103" i="29"/>
  <c r="EI269" i="2"/>
  <c r="EI274" i="2" s="1"/>
  <c r="EI270" i="2"/>
  <c r="EI275" i="2" s="1"/>
  <c r="EH76" i="2"/>
  <c r="EH77" i="2" s="1"/>
  <c r="EI308" i="2"/>
  <c r="EI108" i="2"/>
  <c r="EI76" i="2" s="1"/>
  <c r="EI77" i="2" s="1"/>
  <c r="EH74" i="2"/>
  <c r="EH75" i="2" s="1"/>
  <c r="EI382" i="2"/>
  <c r="EI383" i="2" s="1"/>
  <c r="EH406" i="2"/>
  <c r="EH411" i="2" s="1"/>
  <c r="EI299" i="2"/>
  <c r="EI425" i="2" s="1"/>
  <c r="B3332" i="3"/>
  <c r="B3358" i="3" s="1"/>
  <c r="EH282" i="2"/>
  <c r="EH419" i="2" s="1"/>
  <c r="EJ288" i="2"/>
  <c r="B2328" i="3"/>
  <c r="B2321" i="3"/>
  <c r="C2321" i="3" s="1"/>
  <c r="D2321" i="3" s="1"/>
  <c r="K3107" i="3"/>
  <c r="K3110" i="3"/>
  <c r="EI541" i="2"/>
  <c r="EI543" i="2"/>
  <c r="B3503" i="3" s="1"/>
  <c r="B3504" i="3" s="1"/>
  <c r="EK161" i="2"/>
  <c r="EL157" i="2"/>
  <c r="EI545" i="2"/>
  <c r="EJ159" i="2"/>
  <c r="EK150" i="2"/>
  <c r="EK151" i="2"/>
  <c r="EK147" i="2" s="1"/>
  <c r="EK152" i="2" s="1"/>
  <c r="EL146" i="2"/>
  <c r="EL148" i="2" s="1"/>
  <c r="EJ130" i="2"/>
  <c r="EH130" i="2"/>
  <c r="EI147" i="2"/>
  <c r="EI152" i="2" s="1"/>
  <c r="EJ540" i="2"/>
  <c r="EJ549" i="2" s="1"/>
  <c r="EJ548" i="2"/>
  <c r="J3470" i="3"/>
  <c r="EP92" i="4"/>
  <c r="EP89" i="4"/>
  <c r="EP87" i="4" s="1"/>
  <c r="EO91" i="4"/>
  <c r="EO93" i="4" s="1"/>
  <c r="EP85" i="4"/>
  <c r="EI565" i="2"/>
  <c r="EI566" i="2" s="1"/>
  <c r="EH570" i="2"/>
  <c r="EH569" i="2"/>
  <c r="EI562" i="2"/>
  <c r="EI560" i="2"/>
  <c r="EI563" i="2"/>
  <c r="EH567" i="2"/>
  <c r="EH666" i="18" s="1"/>
  <c r="EH664" i="18" s="1"/>
  <c r="J118" i="29"/>
  <c r="B52" i="29"/>
  <c r="B53" i="29" s="1"/>
  <c r="B56" i="29" s="1"/>
  <c r="B58" i="29" s="1"/>
  <c r="EJ544" i="2"/>
  <c r="EJ391" i="10"/>
  <c r="B3089" i="3"/>
  <c r="B3091" i="3" s="1"/>
  <c r="EI125" i="2"/>
  <c r="EI130" i="2" s="1"/>
  <c r="EJ344" i="10"/>
  <c r="J7" i="29"/>
  <c r="J8" i="29" s="1"/>
  <c r="J11" i="29" s="1"/>
  <c r="EJ97" i="2"/>
  <c r="EJ310" i="2"/>
  <c r="EH407" i="2"/>
  <c r="EH412" i="2" s="1"/>
  <c r="M3465" i="3"/>
  <c r="K3465" i="3"/>
  <c r="K3469" i="3" s="1"/>
  <c r="L3465" i="3"/>
  <c r="B3409" i="3"/>
  <c r="B3410" i="3" s="1"/>
  <c r="B3413" i="3" s="1"/>
  <c r="B3415" i="3" s="1"/>
  <c r="EJ265" i="2"/>
  <c r="EJ276" i="2"/>
  <c r="EJ568" i="2"/>
  <c r="EJ107" i="2"/>
  <c r="EJ263" i="2" s="1"/>
  <c r="EK124" i="2"/>
  <c r="EK125" i="2" s="1"/>
  <c r="D5730" i="3"/>
  <c r="B3340" i="3"/>
  <c r="D5722" i="3"/>
  <c r="EG408" i="2"/>
  <c r="EG410" i="2" s="1"/>
  <c r="E42" i="29"/>
  <c r="F39" i="29" s="1"/>
  <c r="EJ95" i="2"/>
  <c r="EJ392" i="10" s="1"/>
  <c r="EK118" i="2"/>
  <c r="EK245" i="2"/>
  <c r="EK246" i="2" s="1"/>
  <c r="EK141" i="2"/>
  <c r="EM82" i="2"/>
  <c r="M1606" i="3" s="1"/>
  <c r="M1608" i="3" s="1"/>
  <c r="EK542" i="2"/>
  <c r="EK185" i="10"/>
  <c r="L68" i="29"/>
  <c r="L69" i="29" s="1"/>
  <c r="I3148" i="3"/>
  <c r="Y3117" i="3" s="1"/>
  <c r="EK92" i="2"/>
  <c r="EL341" i="10"/>
  <c r="EL343" i="10" s="1"/>
  <c r="J3124" i="3"/>
  <c r="L3105" i="3"/>
  <c r="L3118" i="3" s="1"/>
  <c r="L3122" i="3" s="1"/>
  <c r="I3129" i="3"/>
  <c r="E3399" i="3"/>
  <c r="E3404" i="3" s="1"/>
  <c r="L3439" i="3"/>
  <c r="L3440" i="3" s="1"/>
  <c r="N3466" i="3" s="1"/>
  <c r="J3129" i="3"/>
  <c r="EK94" i="2"/>
  <c r="EL104" i="2"/>
  <c r="EL106" i="2" s="1"/>
  <c r="EL90" i="2"/>
  <c r="EL84" i="2"/>
  <c r="EL83" i="2"/>
  <c r="EK120" i="2"/>
  <c r="EK143" i="2"/>
  <c r="EK131" i="2"/>
  <c r="EK176" i="2"/>
  <c r="DY332" i="18"/>
  <c r="DY334" i="18" s="1"/>
  <c r="J218" i="24"/>
  <c r="EB333" i="18"/>
  <c r="ED699" i="18"/>
  <c r="DV700" i="18"/>
  <c r="DX700" i="18"/>
  <c r="DW700" i="18"/>
  <c r="DY700" i="18"/>
  <c r="DU700" i="18"/>
  <c r="DU698" i="18"/>
  <c r="DY698" i="18" s="1"/>
  <c r="DV699" i="18"/>
  <c r="DU334" i="18"/>
  <c r="DZ333" i="18"/>
  <c r="DU185" i="18"/>
  <c r="DZ184" i="18"/>
  <c r="EM110" i="10"/>
  <c r="EM1020" i="10" s="1"/>
  <c r="K3127" i="3"/>
  <c r="K3119" i="3"/>
  <c r="K3122" i="3"/>
  <c r="K3111" i="3"/>
  <c r="EH416" i="18"/>
  <c r="EI416" i="18" s="1"/>
  <c r="EI490" i="18"/>
  <c r="EH408" i="18"/>
  <c r="EI408" i="18" s="1"/>
  <c r="EH491" i="18"/>
  <c r="EI491" i="18" s="1"/>
  <c r="EH411" i="18"/>
  <c r="EI406" i="18"/>
  <c r="EI411" i="18" s="1"/>
  <c r="EJ404" i="18" s="1"/>
  <c r="EH407" i="18"/>
  <c r="EI268" i="18"/>
  <c r="EI269" i="18" s="1"/>
  <c r="EJ269" i="18" s="1"/>
  <c r="EK269" i="18" s="1"/>
  <c r="EL269" i="18" s="1"/>
  <c r="EM269" i="18" s="1"/>
  <c r="EN269" i="18" s="1"/>
  <c r="EO269" i="18" s="1"/>
  <c r="EP269" i="18" s="1"/>
  <c r="EQ269" i="18" s="1"/>
  <c r="ER269" i="18" s="1"/>
  <c r="ES269" i="18" s="1"/>
  <c r="V3382" i="3"/>
  <c r="W3379" i="3"/>
  <c r="G5197" i="3"/>
  <c r="F5199" i="3"/>
  <c r="X22" i="29"/>
  <c r="W25" i="29"/>
  <c r="G32" i="24"/>
  <c r="EN141" i="18"/>
  <c r="EO141" i="18" s="1"/>
  <c r="EP141" i="18" s="1"/>
  <c r="EQ141" i="18" s="1"/>
  <c r="ER141" i="18" s="1"/>
  <c r="ES141" i="18" s="1"/>
  <c r="T42" i="20"/>
  <c r="X46" i="20"/>
  <c r="Z48" i="20"/>
  <c r="W45" i="20"/>
  <c r="U43" i="20"/>
  <c r="AA49" i="20"/>
  <c r="AH56" i="20"/>
  <c r="AG55" i="20"/>
  <c r="AC51" i="20"/>
  <c r="AB50" i="20"/>
  <c r="AD52" i="20"/>
  <c r="AE53" i="20"/>
  <c r="AF54" i="20"/>
  <c r="AJ58" i="20"/>
  <c r="AL60" i="20"/>
  <c r="AI57" i="20"/>
  <c r="AK59" i="20"/>
  <c r="S41" i="20"/>
  <c r="S85" i="20" s="1"/>
  <c r="V44" i="20"/>
  <c r="Y47" i="20"/>
  <c r="N4539" i="3"/>
  <c r="N4545" i="3" s="1"/>
  <c r="M4552" i="3"/>
  <c r="EP122" i="18"/>
  <c r="EP125" i="18"/>
  <c r="EQ117" i="18"/>
  <c r="EP121" i="18"/>
  <c r="EP158" i="18"/>
  <c r="I3375" i="3"/>
  <c r="J3367" i="3"/>
  <c r="EK242" i="18"/>
  <c r="EK243" i="18"/>
  <c r="EL238" i="18"/>
  <c r="Q25" i="22"/>
  <c r="Q26" i="22" s="1"/>
  <c r="X46" i="22"/>
  <c r="U43" i="22"/>
  <c r="T42" i="22"/>
  <c r="V44" i="22"/>
  <c r="S41" i="22"/>
  <c r="Z48" i="22"/>
  <c r="W45" i="22"/>
  <c r="Y47" i="22"/>
  <c r="AA49" i="22"/>
  <c r="AB50" i="22"/>
  <c r="AC51" i="22"/>
  <c r="AD52" i="22"/>
  <c r="AE53" i="22"/>
  <c r="EC57" i="18"/>
  <c r="ED50" i="18"/>
  <c r="B66" i="24" s="1"/>
  <c r="T42" i="21"/>
  <c r="X46" i="21"/>
  <c r="W45" i="21"/>
  <c r="U43" i="21"/>
  <c r="Y47" i="21"/>
  <c r="S41" i="21"/>
  <c r="V44" i="21"/>
  <c r="Z48" i="21"/>
  <c r="AA49" i="21"/>
  <c r="AB50" i="21"/>
  <c r="AC51" i="21"/>
  <c r="AD52" i="21"/>
  <c r="R26" i="20"/>
  <c r="R86" i="20" s="1"/>
  <c r="Q86" i="20"/>
  <c r="T28" i="21"/>
  <c r="EG412" i="2"/>
  <c r="EL63" i="18"/>
  <c r="EM168" i="18"/>
  <c r="EJ347" i="10"/>
  <c r="EG450" i="18"/>
  <c r="EQ307" i="18"/>
  <c r="EP54" i="18"/>
  <c r="EL298" i="18"/>
  <c r="EL302" i="18"/>
  <c r="EL299" i="18"/>
  <c r="EM294" i="18"/>
  <c r="EQ245" i="18"/>
  <c r="P54" i="22"/>
  <c r="P85" i="22" s="1"/>
  <c r="U54" i="22"/>
  <c r="AA54" i="22"/>
  <c r="AD54" i="22"/>
  <c r="S54" i="22"/>
  <c r="T54" i="22"/>
  <c r="Z54" i="22"/>
  <c r="AB54" i="22"/>
  <c r="R54" i="22"/>
  <c r="X54" i="22"/>
  <c r="AC54" i="22"/>
  <c r="AF54" i="22"/>
  <c r="Y54" i="22"/>
  <c r="W54" i="22"/>
  <c r="Q54" i="22"/>
  <c r="AE54" i="22"/>
  <c r="V54" i="22"/>
  <c r="EB68" i="18"/>
  <c r="EB67" i="18"/>
  <c r="EB66" i="18"/>
  <c r="R87" i="20"/>
  <c r="J10" i="20" s="1"/>
  <c r="EK410" i="18"/>
  <c r="EJ472" i="18"/>
  <c r="EJ467" i="18" s="1"/>
  <c r="EJ468" i="18" s="1"/>
  <c r="EF482" i="18"/>
  <c r="N26" i="29"/>
  <c r="N27" i="29" s="1"/>
  <c r="EF444" i="18"/>
  <c r="EN435" i="18"/>
  <c r="EL130" i="18"/>
  <c r="EL131" i="18" s="1"/>
  <c r="EL426" i="18"/>
  <c r="EL427" i="18" s="1"/>
  <c r="EO456" i="18"/>
  <c r="EO457" i="18" s="1"/>
  <c r="ED272" i="2"/>
  <c r="DY395" i="10"/>
  <c r="J10" i="29"/>
  <c r="I18" i="29"/>
  <c r="EG419" i="2"/>
  <c r="EG287" i="2"/>
  <c r="EG293" i="2"/>
  <c r="EG281" i="2"/>
  <c r="P25" i="21"/>
  <c r="EJ348" i="10"/>
  <c r="B3277" i="3"/>
  <c r="EI271" i="18"/>
  <c r="EJ270" i="18"/>
  <c r="B3276" i="3"/>
  <c r="EJ346" i="10"/>
  <c r="EJ208" i="10"/>
  <c r="EK384" i="18"/>
  <c r="EK385" i="18" s="1"/>
  <c r="EK488" i="18" s="1"/>
  <c r="EK466" i="18"/>
  <c r="EL311" i="18"/>
  <c r="EL53" i="18"/>
  <c r="EM285" i="18"/>
  <c r="EM286" i="18" s="1"/>
  <c r="EG666" i="18"/>
  <c r="EG664" i="18" s="1"/>
  <c r="EQ431" i="18"/>
  <c r="N5720" i="3"/>
  <c r="DX67" i="18"/>
  <c r="DX68" i="18"/>
  <c r="DY65" i="18"/>
  <c r="EL310" i="18"/>
  <c r="EL308" i="18"/>
  <c r="EL309" i="18" s="1"/>
  <c r="EL52" i="18"/>
  <c r="DY185" i="18"/>
  <c r="ED184" i="18"/>
  <c r="B275" i="24"/>
  <c r="ED323" i="18"/>
  <c r="ED322" i="18"/>
  <c r="B276" i="24" s="1"/>
  <c r="B218" i="24"/>
  <c r="EP471" i="18"/>
  <c r="EF229" i="18"/>
  <c r="EK437" i="18"/>
  <c r="G40" i="29"/>
  <c r="H37" i="29"/>
  <c r="EQ377" i="18"/>
  <c r="EM143" i="18"/>
  <c r="DX401" i="10"/>
  <c r="DY273" i="2"/>
  <c r="DY401" i="10" s="1"/>
  <c r="EE279" i="18"/>
  <c r="T28" i="20"/>
  <c r="T29" i="20" s="1"/>
  <c r="EQ135" i="18"/>
  <c r="M3383" i="3"/>
  <c r="M3384" i="3" s="1"/>
  <c r="N4848" i="3"/>
  <c r="N4844" i="3"/>
  <c r="I20" i="25"/>
  <c r="C23" i="25"/>
  <c r="ER373" i="18"/>
  <c r="G3397" i="3"/>
  <c r="H3394" i="3"/>
  <c r="N5721" i="3"/>
  <c r="EE45" i="18"/>
  <c r="ES222" i="18"/>
  <c r="O86" i="22"/>
  <c r="O87" i="22"/>
  <c r="O86" i="21"/>
  <c r="O87" i="21"/>
  <c r="AE53" i="21"/>
  <c r="M4551" i="3"/>
  <c r="EM217" i="18"/>
  <c r="EM218" i="18" s="1"/>
  <c r="EC334" i="18"/>
  <c r="EC333" i="18"/>
  <c r="ED332" i="18"/>
  <c r="M3441" i="3"/>
  <c r="L3456" i="3"/>
  <c r="EK184" i="10"/>
  <c r="T28" i="22"/>
  <c r="ES301" i="18"/>
  <c r="EJ394" i="10"/>
  <c r="EJ598" i="2"/>
  <c r="EJ493" i="2" s="1"/>
  <c r="EO494" i="2" s="1"/>
  <c r="EK492" i="18"/>
  <c r="EK493" i="18" s="1"/>
  <c r="C1174" i="3" l="1"/>
  <c r="C52" i="29"/>
  <c r="C53" i="29" s="1"/>
  <c r="C56" i="29" s="1"/>
  <c r="K3364" i="3"/>
  <c r="K3365" i="3" s="1"/>
  <c r="K3368" i="3" s="1"/>
  <c r="EK344" i="10"/>
  <c r="K7" i="29"/>
  <c r="K8" i="29" s="1"/>
  <c r="K11" i="29" s="1"/>
  <c r="C1088" i="3"/>
  <c r="C1106" i="3" s="1"/>
  <c r="C1107" i="3" s="1"/>
  <c r="C1113" i="3" s="1"/>
  <c r="EK559" i="2"/>
  <c r="EK563" i="2" s="1"/>
  <c r="C1091" i="3"/>
  <c r="EL120" i="2"/>
  <c r="D1091" i="3" s="1"/>
  <c r="D1086" i="3"/>
  <c r="D1094" i="3" s="1"/>
  <c r="EL161" i="2"/>
  <c r="EM157" i="2"/>
  <c r="EL150" i="2"/>
  <c r="EL162" i="2"/>
  <c r="EL165" i="2"/>
  <c r="EM146" i="2"/>
  <c r="EM148" i="2" s="1"/>
  <c r="EN148" i="2" s="1"/>
  <c r="M1661" i="3"/>
  <c r="M1640" i="3" s="1"/>
  <c r="L1640" i="3"/>
  <c r="L1641" i="3" s="1"/>
  <c r="L1662" i="3" s="1"/>
  <c r="M1662" i="3" s="1"/>
  <c r="FM501" i="36"/>
  <c r="FM375" i="36"/>
  <c r="FM503" i="36"/>
  <c r="FL422" i="36"/>
  <c r="FL421" i="36"/>
  <c r="FM417" i="36"/>
  <c r="FM420" i="36" s="1"/>
  <c r="FL431" i="36"/>
  <c r="FK69" i="36"/>
  <c r="FK80" i="36"/>
  <c r="FK74" i="36"/>
  <c r="FK75" i="36" s="1"/>
  <c r="FN603" i="36"/>
  <c r="FJ631" i="36"/>
  <c r="FN631" i="36" s="1"/>
  <c r="FJ605" i="36"/>
  <c r="FN605" i="36" s="1"/>
  <c r="FJ609" i="36"/>
  <c r="FH62" i="35"/>
  <c r="FH63" i="35"/>
  <c r="FM514" i="36"/>
  <c r="FM70" i="36"/>
  <c r="FM512" i="36"/>
  <c r="FM511" i="36"/>
  <c r="FM516" i="36"/>
  <c r="FL512" i="36"/>
  <c r="FL513" i="36" s="1"/>
  <c r="FL511" i="36"/>
  <c r="FL70" i="36"/>
  <c r="FL514" i="36"/>
  <c r="FL515" i="36" s="1"/>
  <c r="FL516" i="36"/>
  <c r="FK436" i="36"/>
  <c r="FK433" i="36"/>
  <c r="FK429" i="36"/>
  <c r="FK434" i="36" s="1"/>
  <c r="FK432" i="36"/>
  <c r="FL428" i="36"/>
  <c r="FL430" i="36" s="1"/>
  <c r="FK603" i="36"/>
  <c r="FJ434" i="36"/>
  <c r="FN429" i="36"/>
  <c r="FC63" i="35"/>
  <c r="FC62" i="35"/>
  <c r="FJ59" i="36"/>
  <c r="FN59" i="36" s="1"/>
  <c r="FJ78" i="36"/>
  <c r="FJ45" i="35"/>
  <c r="FN69" i="36"/>
  <c r="FM377" i="36"/>
  <c r="S104" i="29"/>
  <c r="R104" i="29"/>
  <c r="P104" i="29"/>
  <c r="T104" i="29"/>
  <c r="Q104" i="29"/>
  <c r="V104" i="29"/>
  <c r="U104" i="29"/>
  <c r="EQ92" i="4"/>
  <c r="ER92" i="4" s="1"/>
  <c r="EI320" i="2"/>
  <c r="L3107" i="3"/>
  <c r="L3116" i="3" s="1"/>
  <c r="K3116" i="3"/>
  <c r="EI74" i="2"/>
  <c r="EI75" i="2" s="1"/>
  <c r="EI282" i="2"/>
  <c r="EI287" i="2" s="1"/>
  <c r="B3333" i="3"/>
  <c r="B3349" i="3" s="1"/>
  <c r="EI419" i="2"/>
  <c r="EI406" i="2"/>
  <c r="EI411" i="2" s="1"/>
  <c r="EH281" i="2"/>
  <c r="EH418" i="2" s="1"/>
  <c r="EH293" i="2"/>
  <c r="EH298" i="2" s="1"/>
  <c r="EH424" i="2" s="1"/>
  <c r="EH287" i="2"/>
  <c r="EK95" i="2"/>
  <c r="EK392" i="10" s="1"/>
  <c r="B2327" i="3"/>
  <c r="B2332" i="3" s="1"/>
  <c r="B2333" i="3"/>
  <c r="B2335" i="3"/>
  <c r="D2328" i="3"/>
  <c r="C2328" i="3"/>
  <c r="K3112" i="3"/>
  <c r="E173" i="19"/>
  <c r="F173" i="19" s="1"/>
  <c r="EL151" i="2"/>
  <c r="EL147" i="2" s="1"/>
  <c r="EL152" i="2" s="1"/>
  <c r="EK159" i="2"/>
  <c r="EJ158" i="2"/>
  <c r="EJ163" i="2" s="1"/>
  <c r="EM83" i="2"/>
  <c r="EN83" i="2" s="1"/>
  <c r="EM149" i="2"/>
  <c r="EM160" i="2" s="1"/>
  <c r="M1649" i="3" s="1"/>
  <c r="EK540" i="2"/>
  <c r="EK541" i="2" s="1"/>
  <c r="EK548" i="2"/>
  <c r="EL174" i="2"/>
  <c r="EI570" i="2"/>
  <c r="EI569" i="2"/>
  <c r="EP88" i="4"/>
  <c r="EI567" i="2"/>
  <c r="EJ299" i="2"/>
  <c r="EJ425" i="2" s="1"/>
  <c r="EJ382" i="2"/>
  <c r="EJ383" i="2" s="1"/>
  <c r="EJ108" i="2"/>
  <c r="EJ76" i="2" s="1"/>
  <c r="C3410" i="3"/>
  <c r="C3413" i="3" s="1"/>
  <c r="EI407" i="2"/>
  <c r="EI412" i="2" s="1"/>
  <c r="EH408" i="2"/>
  <c r="EH452" i="2" s="1"/>
  <c r="EH485" i="2" s="1"/>
  <c r="EJ308" i="2"/>
  <c r="EJ269" i="2"/>
  <c r="EJ270" i="2" s="1"/>
  <c r="E47" i="29"/>
  <c r="EG414" i="2"/>
  <c r="EG452" i="2"/>
  <c r="EG485" i="2" s="1"/>
  <c r="EG486" i="2" s="1"/>
  <c r="EG409" i="2"/>
  <c r="EG413" i="2"/>
  <c r="EG601" i="2"/>
  <c r="EG331" i="2" s="1"/>
  <c r="B3341" i="3"/>
  <c r="M68" i="29"/>
  <c r="M69" i="29" s="1"/>
  <c r="EM90" i="2"/>
  <c r="M3105" i="3"/>
  <c r="M3118" i="3" s="1"/>
  <c r="EM341" i="10"/>
  <c r="EM343" i="10" s="1"/>
  <c r="EN82" i="2"/>
  <c r="L3110" i="3"/>
  <c r="EM84" i="2"/>
  <c r="L104" i="29"/>
  <c r="M3466" i="3"/>
  <c r="L3466" i="3"/>
  <c r="L3469" i="3" s="1"/>
  <c r="L3470" i="3" s="1"/>
  <c r="EK544" i="2"/>
  <c r="F3396" i="3"/>
  <c r="F3398" i="3" s="1"/>
  <c r="F3399" i="3" s="1"/>
  <c r="EK568" i="2"/>
  <c r="EK107" i="2"/>
  <c r="EK263" i="2" s="1"/>
  <c r="EK97" i="2"/>
  <c r="EK391" i="10"/>
  <c r="EK265" i="2"/>
  <c r="EM104" i="2"/>
  <c r="EM106" i="2" s="1"/>
  <c r="EN106" i="2" s="1"/>
  <c r="EL143" i="2"/>
  <c r="EL131" i="2"/>
  <c r="EL542" i="2"/>
  <c r="EL548" i="2" s="1"/>
  <c r="EK276" i="2"/>
  <c r="EL92" i="2"/>
  <c r="L3119" i="3"/>
  <c r="L3132" i="3"/>
  <c r="EL185" i="10"/>
  <c r="EK288" i="2"/>
  <c r="EK310" i="2"/>
  <c r="EL94" i="2"/>
  <c r="M3439" i="3"/>
  <c r="M3440" i="3" s="1"/>
  <c r="N3467" i="3" s="1"/>
  <c r="EL91" i="2"/>
  <c r="L3364" i="3" s="1"/>
  <c r="K3115" i="3"/>
  <c r="K3133" i="3"/>
  <c r="EL176" i="2"/>
  <c r="EL118" i="2"/>
  <c r="EL124" i="2"/>
  <c r="EL125" i="2" s="1"/>
  <c r="EL245" i="2"/>
  <c r="EL246" i="2" s="1"/>
  <c r="EL141" i="2"/>
  <c r="EO110" i="10"/>
  <c r="EO1020" i="10" s="1"/>
  <c r="EJ494" i="2"/>
  <c r="EL559" i="2"/>
  <c r="EL565" i="2" s="1"/>
  <c r="K3128" i="3"/>
  <c r="K3129" i="3" s="1"/>
  <c r="K3123" i="3"/>
  <c r="K3124" i="3" s="1"/>
  <c r="L3127" i="3"/>
  <c r="EK130" i="2"/>
  <c r="EH446" i="18"/>
  <c r="EH495" i="18" s="1"/>
  <c r="EI495" i="18" s="1"/>
  <c r="EH415" i="18"/>
  <c r="EH420" i="18" s="1"/>
  <c r="EH483" i="18" s="1"/>
  <c r="EH478" i="18" s="1"/>
  <c r="EI407" i="18"/>
  <c r="EJ402" i="18"/>
  <c r="EJ405" i="18" s="1"/>
  <c r="EH418" i="18"/>
  <c r="EI418" i="18" s="1"/>
  <c r="EH421" i="18"/>
  <c r="EH417" i="18"/>
  <c r="EH440" i="18"/>
  <c r="EL55" i="18"/>
  <c r="EN136" i="2"/>
  <c r="X3379" i="3"/>
  <c r="W3382" i="3"/>
  <c r="EL184" i="10"/>
  <c r="H5197" i="3"/>
  <c r="G5199" i="3"/>
  <c r="H32" i="24"/>
  <c r="G33" i="24"/>
  <c r="Y22" i="29"/>
  <c r="Y25" i="29" s="1"/>
  <c r="X25" i="29"/>
  <c r="EO459" i="18"/>
  <c r="EP454" i="18"/>
  <c r="EO458" i="18"/>
  <c r="EO462" i="18"/>
  <c r="EO538" i="18"/>
  <c r="R25" i="22"/>
  <c r="R26" i="22" s="1"/>
  <c r="EM219" i="18"/>
  <c r="EN215" i="18"/>
  <c r="EM223" i="18"/>
  <c r="EM220" i="18"/>
  <c r="EM287" i="18"/>
  <c r="EN283" i="18"/>
  <c r="EM291" i="18"/>
  <c r="EM288" i="18"/>
  <c r="EM305" i="18"/>
  <c r="DY67" i="18"/>
  <c r="DY68" i="18"/>
  <c r="N32" i="29"/>
  <c r="O24" i="29"/>
  <c r="EJ268" i="18"/>
  <c r="EF234" i="18"/>
  <c r="EF231" i="18"/>
  <c r="EF230" i="18"/>
  <c r="EG226" i="18"/>
  <c r="EF235" i="18"/>
  <c r="EF258" i="18"/>
  <c r="B281" i="24"/>
  <c r="AF54" i="21"/>
  <c r="S54" i="21"/>
  <c r="U54" i="21"/>
  <c r="P54" i="21"/>
  <c r="P85" i="21" s="1"/>
  <c r="Z54" i="21"/>
  <c r="Q54" i="21"/>
  <c r="AA54" i="21"/>
  <c r="AD54" i="21"/>
  <c r="AE54" i="21"/>
  <c r="R54" i="21"/>
  <c r="AB54" i="21"/>
  <c r="T54" i="21"/>
  <c r="W54" i="21"/>
  <c r="X54" i="21"/>
  <c r="Y54" i="21"/>
  <c r="AC54" i="21"/>
  <c r="V54" i="21"/>
  <c r="EN168" i="18"/>
  <c r="EM63" i="18"/>
  <c r="EP160" i="18"/>
  <c r="EP161" i="18" s="1"/>
  <c r="EP162" i="18"/>
  <c r="EP36" i="18"/>
  <c r="EP38" i="18" s="1"/>
  <c r="EK439" i="18"/>
  <c r="EJ469" i="18"/>
  <c r="EJ479" i="18"/>
  <c r="EJ473" i="18"/>
  <c r="EK465" i="18"/>
  <c r="EJ470" i="18"/>
  <c r="EJ539" i="18"/>
  <c r="ED333" i="18"/>
  <c r="ED334" i="18"/>
  <c r="N3441" i="3"/>
  <c r="N3456" i="3" s="1"/>
  <c r="M3456" i="3"/>
  <c r="ER135" i="18"/>
  <c r="C3412" i="3"/>
  <c r="B3420" i="3"/>
  <c r="I37" i="29"/>
  <c r="H40" i="29"/>
  <c r="C55" i="29"/>
  <c r="B63" i="29"/>
  <c r="EJ352" i="10"/>
  <c r="EJ188" i="10"/>
  <c r="P26" i="21"/>
  <c r="EK472" i="18"/>
  <c r="EL410" i="18"/>
  <c r="EJ353" i="10"/>
  <c r="S55" i="22"/>
  <c r="U55" i="22"/>
  <c r="V55" i="22"/>
  <c r="AE55" i="22"/>
  <c r="AG55" i="22"/>
  <c r="W55" i="22"/>
  <c r="AA55" i="22"/>
  <c r="AD55" i="22"/>
  <c r="Y55" i="22"/>
  <c r="R55" i="22"/>
  <c r="Z55" i="22"/>
  <c r="AF55" i="22"/>
  <c r="AB55" i="22"/>
  <c r="Q55" i="22"/>
  <c r="Q85" i="22" s="1"/>
  <c r="X55" i="22"/>
  <c r="T55" i="22"/>
  <c r="AC55" i="22"/>
  <c r="S87" i="20"/>
  <c r="EI421" i="18"/>
  <c r="EI417" i="18"/>
  <c r="EJ413" i="18"/>
  <c r="EI440" i="18"/>
  <c r="EJ354" i="10"/>
  <c r="P87" i="22"/>
  <c r="P86" i="22"/>
  <c r="H3397" i="3"/>
  <c r="I3394" i="3"/>
  <c r="EN143" i="18"/>
  <c r="EQ471" i="18"/>
  <c r="EG665" i="18"/>
  <c r="EG669" i="18"/>
  <c r="EI664" i="18"/>
  <c r="EO435" i="18"/>
  <c r="K116" i="29"/>
  <c r="K118" i="29"/>
  <c r="EM296" i="18"/>
  <c r="EM297" i="18" s="1"/>
  <c r="EQ119" i="18"/>
  <c r="EQ120" i="18" s="1"/>
  <c r="EQ158" i="18" s="1"/>
  <c r="EK390" i="18"/>
  <c r="EK386" i="18"/>
  <c r="EK387" i="18"/>
  <c r="EL382" i="18"/>
  <c r="EK433" i="18"/>
  <c r="EL240" i="18"/>
  <c r="EL241" i="18" s="1"/>
  <c r="U42" i="20"/>
  <c r="AA48" i="20"/>
  <c r="Y46" i="20"/>
  <c r="X45" i="20"/>
  <c r="V43" i="20"/>
  <c r="AF53" i="20"/>
  <c r="AC50" i="20"/>
  <c r="AD51" i="20"/>
  <c r="AE52" i="20"/>
  <c r="AB49" i="20"/>
  <c r="AH55" i="20"/>
  <c r="AJ57" i="20"/>
  <c r="AL59" i="20"/>
  <c r="AI56" i="20"/>
  <c r="AG54" i="20"/>
  <c r="AK58" i="20"/>
  <c r="AM60" i="20"/>
  <c r="T41" i="20"/>
  <c r="T85" i="20" s="1"/>
  <c r="Z47" i="20"/>
  <c r="W44" i="20"/>
  <c r="EJ617" i="2"/>
  <c r="EJ40" i="2"/>
  <c r="EJ9" i="4" s="1"/>
  <c r="EJ625" i="2"/>
  <c r="EL428" i="18"/>
  <c r="EL438" i="18" s="1"/>
  <c r="EL437" i="18" s="1"/>
  <c r="EL429" i="18"/>
  <c r="EM424" i="18"/>
  <c r="EL432" i="18"/>
  <c r="EL434" i="18"/>
  <c r="F41" i="29"/>
  <c r="F42" i="29" s="1"/>
  <c r="U28" i="20"/>
  <c r="EG418" i="2"/>
  <c r="EG292" i="2"/>
  <c r="EG286" i="2"/>
  <c r="J12" i="29"/>
  <c r="J13" i="29" s="1"/>
  <c r="EL494" i="18"/>
  <c r="EF449" i="18"/>
  <c r="J15" i="23"/>
  <c r="J11" i="20"/>
  <c r="EJ621" i="2"/>
  <c r="T29" i="21"/>
  <c r="AG54" i="21" s="1"/>
  <c r="EG187" i="10"/>
  <c r="ER377" i="18"/>
  <c r="ES373" i="18"/>
  <c r="ES403" i="18" s="1"/>
  <c r="ES414" i="18" s="1"/>
  <c r="ES419" i="18" s="1"/>
  <c r="EE278" i="18"/>
  <c r="B219" i="24"/>
  <c r="ER431" i="18"/>
  <c r="EJ349" i="10"/>
  <c r="EJ277" i="18"/>
  <c r="EJ48" i="18" s="1"/>
  <c r="EK270" i="18"/>
  <c r="EG298" i="2"/>
  <c r="EG424" i="2" s="1"/>
  <c r="B67" i="24"/>
  <c r="B209" i="24" s="1"/>
  <c r="B208" i="24"/>
  <c r="B225" i="24" s="1"/>
  <c r="B226" i="24" s="1"/>
  <c r="K3470" i="3"/>
  <c r="K3454" i="3"/>
  <c r="EJ618" i="2"/>
  <c r="EJ626" i="2"/>
  <c r="EJ173" i="10"/>
  <c r="EJ599" i="2"/>
  <c r="M4555" i="3"/>
  <c r="N4557" i="3" s="1"/>
  <c r="N4431" i="3" s="1"/>
  <c r="M4553" i="3"/>
  <c r="EE314" i="18"/>
  <c r="ER403" i="18"/>
  <c r="ER414" i="18" s="1"/>
  <c r="ER419" i="18" s="1"/>
  <c r="EL133" i="18"/>
  <c r="EM128" i="18"/>
  <c r="EL136" i="18"/>
  <c r="EL132" i="18"/>
  <c r="EJ541" i="2"/>
  <c r="EH665" i="18"/>
  <c r="EH669" i="18"/>
  <c r="S26" i="20"/>
  <c r="T26" i="20" s="1"/>
  <c r="U26" i="20" s="1"/>
  <c r="V26" i="20" s="1"/>
  <c r="J8" i="20"/>
  <c r="J13" i="23" s="1"/>
  <c r="EC59" i="18"/>
  <c r="ED57" i="18"/>
  <c r="J3369" i="3"/>
  <c r="J3370" i="3" s="1"/>
  <c r="N4546" i="3"/>
  <c r="N4551" i="3" s="1"/>
  <c r="EJ189" i="10"/>
  <c r="EJ400" i="10"/>
  <c r="N3381" i="3"/>
  <c r="M3389" i="3"/>
  <c r="ER245" i="18"/>
  <c r="EQ54" i="18"/>
  <c r="ER307" i="18"/>
  <c r="EG445" i="18"/>
  <c r="T29" i="22"/>
  <c r="D1174" i="3" l="1"/>
  <c r="B32" i="6"/>
  <c r="B3055" i="3" s="1"/>
  <c r="B32" i="41"/>
  <c r="EK565" i="2"/>
  <c r="EK569" i="2" s="1"/>
  <c r="EK560" i="2"/>
  <c r="D1088" i="3"/>
  <c r="D1106" i="3" s="1"/>
  <c r="D1107" i="3" s="1"/>
  <c r="D1113" i="3" s="1"/>
  <c r="EM120" i="2"/>
  <c r="E1086" i="3"/>
  <c r="E1094" i="3" s="1"/>
  <c r="L3365" i="3"/>
  <c r="L3368" i="3" s="1"/>
  <c r="M1670" i="3"/>
  <c r="N1662" i="3"/>
  <c r="N1641" i="3" s="1"/>
  <c r="M1641" i="3"/>
  <c r="M1642" i="3" s="1"/>
  <c r="M1663" i="3" s="1"/>
  <c r="N1663" i="3" s="1"/>
  <c r="FM515" i="36"/>
  <c r="FK631" i="36"/>
  <c r="FK605" i="36"/>
  <c r="FK609" i="36"/>
  <c r="FK610" i="36" s="1"/>
  <c r="FJ58" i="35"/>
  <c r="FN58" i="35" s="1"/>
  <c r="FN45" i="35"/>
  <c r="FK59" i="36"/>
  <c r="FK78" i="36"/>
  <c r="FK45" i="35"/>
  <c r="FK58" i="35" s="1"/>
  <c r="FM428" i="36"/>
  <c r="FM430" i="36" s="1"/>
  <c r="FL432" i="36"/>
  <c r="FL603" i="36"/>
  <c r="FL436" i="36"/>
  <c r="FL429" i="36"/>
  <c r="FL434" i="36" s="1"/>
  <c r="FL433" i="36"/>
  <c r="FN609" i="36"/>
  <c r="FJ610" i="36"/>
  <c r="FM421" i="36"/>
  <c r="FM422" i="36"/>
  <c r="FM431" i="36"/>
  <c r="FM513" i="36"/>
  <c r="FL80" i="36"/>
  <c r="FL74" i="36"/>
  <c r="FL75" i="36" s="1"/>
  <c r="FL69" i="36"/>
  <c r="FM80" i="36"/>
  <c r="FM74" i="36"/>
  <c r="FO70" i="36"/>
  <c r="FM69" i="36"/>
  <c r="EN341" i="10"/>
  <c r="EN343" i="10" s="1"/>
  <c r="B1727" i="3"/>
  <c r="B1728" i="3" s="1"/>
  <c r="EM165" i="2"/>
  <c r="EM162" i="2"/>
  <c r="T105" i="29"/>
  <c r="S105" i="29"/>
  <c r="V105" i="29"/>
  <c r="Q105" i="29"/>
  <c r="U105" i="29"/>
  <c r="R105" i="29"/>
  <c r="K117" i="29"/>
  <c r="O117" i="29"/>
  <c r="L3106" i="3"/>
  <c r="M3111" i="3" s="1"/>
  <c r="EP91" i="4"/>
  <c r="EP93" i="4" s="1"/>
  <c r="EQ85" i="4"/>
  <c r="EI293" i="2"/>
  <c r="EI298" i="2" s="1"/>
  <c r="EI424" i="2" s="1"/>
  <c r="EH286" i="2"/>
  <c r="EH292" i="2"/>
  <c r="EH297" i="2" s="1"/>
  <c r="EH423" i="2" s="1"/>
  <c r="EI281" i="2"/>
  <c r="EI286" i="2" s="1"/>
  <c r="B37" i="41"/>
  <c r="EL310" i="2"/>
  <c r="C2333" i="3"/>
  <c r="C2335" i="3"/>
  <c r="D2335" i="3"/>
  <c r="D2333" i="3"/>
  <c r="C2327" i="3"/>
  <c r="C2332" i="3" s="1"/>
  <c r="C2325" i="3"/>
  <c r="C2330" i="3" s="1"/>
  <c r="G173" i="19"/>
  <c r="EN160" i="2"/>
  <c r="EN165" i="2" s="1"/>
  <c r="EM161" i="2"/>
  <c r="EL159" i="2"/>
  <c r="EK158" i="2"/>
  <c r="EK163" i="2" s="1"/>
  <c r="EM151" i="2"/>
  <c r="EM147" i="2" s="1"/>
  <c r="EM150" i="2"/>
  <c r="EN149" i="2"/>
  <c r="EL130" i="2"/>
  <c r="EH72" i="2"/>
  <c r="EH219" i="2" s="1"/>
  <c r="EH220" i="2" s="1"/>
  <c r="EK545" i="2"/>
  <c r="EK549" i="2"/>
  <c r="EQ89" i="4"/>
  <c r="EQ87" i="4" s="1"/>
  <c r="EJ74" i="2"/>
  <c r="EJ75" i="2" s="1"/>
  <c r="EJ320" i="2"/>
  <c r="EM542" i="2"/>
  <c r="M3467" i="3"/>
  <c r="M3469" i="3" s="1"/>
  <c r="EI408" i="2"/>
  <c r="EH410" i="2"/>
  <c r="EH601" i="2"/>
  <c r="EH331" i="2" s="1"/>
  <c r="EH629" i="2" s="1"/>
  <c r="EH641" i="2" s="1"/>
  <c r="EH414" i="2"/>
  <c r="EJ406" i="2"/>
  <c r="EJ411" i="2" s="1"/>
  <c r="EH409" i="2"/>
  <c r="EH413" i="2"/>
  <c r="EM94" i="2"/>
  <c r="N68" i="29"/>
  <c r="EM91" i="2"/>
  <c r="E3409" i="3" s="1"/>
  <c r="EI452" i="2"/>
  <c r="EI485" i="2" s="1"/>
  <c r="EI486" i="2" s="1"/>
  <c r="N3439" i="3"/>
  <c r="N3440" i="3" s="1"/>
  <c r="N3468" i="3" s="1"/>
  <c r="N3469" i="3" s="1"/>
  <c r="EM92" i="2"/>
  <c r="EG72" i="2"/>
  <c r="EG219" i="2" s="1"/>
  <c r="EM143" i="2"/>
  <c r="EN90" i="2"/>
  <c r="EM131" i="2"/>
  <c r="EM185" i="10"/>
  <c r="EM176" i="2"/>
  <c r="M3107" i="3"/>
  <c r="M3116" i="3" s="1"/>
  <c r="M3110" i="3"/>
  <c r="EO82" i="2"/>
  <c r="N1606" i="3" s="1"/>
  <c r="N1608" i="3" s="1"/>
  <c r="EL544" i="2"/>
  <c r="EN84" i="2"/>
  <c r="EL344" i="10"/>
  <c r="M105" i="29"/>
  <c r="EL540" i="2"/>
  <c r="EL549" i="2" s="1"/>
  <c r="EM159" i="2"/>
  <c r="EK382" i="2"/>
  <c r="EK383" i="2" s="1"/>
  <c r="EK308" i="2"/>
  <c r="EK108" i="2"/>
  <c r="EK320" i="2" s="1"/>
  <c r="D3409" i="3"/>
  <c r="D3410" i="3" s="1"/>
  <c r="D3413" i="3" s="1"/>
  <c r="L7" i="29"/>
  <c r="L8" i="29" s="1"/>
  <c r="L11" i="29" s="1"/>
  <c r="EK269" i="2"/>
  <c r="EK270" i="2" s="1"/>
  <c r="EK407" i="2" s="1"/>
  <c r="EK412" i="2" s="1"/>
  <c r="EL97" i="2"/>
  <c r="EK299" i="2"/>
  <c r="EK425" i="2" s="1"/>
  <c r="EM124" i="2"/>
  <c r="EM125" i="2" s="1"/>
  <c r="EM245" i="2"/>
  <c r="EM246" i="2" s="1"/>
  <c r="EM174" i="2"/>
  <c r="EM118" i="2"/>
  <c r="EM141" i="2"/>
  <c r="EN104" i="2"/>
  <c r="EL107" i="2"/>
  <c r="EL265" i="2"/>
  <c r="EL276" i="2"/>
  <c r="EL568" i="2"/>
  <c r="EL95" i="2"/>
  <c r="EL392" i="10" s="1"/>
  <c r="L3133" i="3"/>
  <c r="D52" i="29"/>
  <c r="D53" i="29" s="1"/>
  <c r="D56" i="29" s="1"/>
  <c r="EL391" i="10"/>
  <c r="EL288" i="2"/>
  <c r="M3132" i="3"/>
  <c r="M3127" i="3"/>
  <c r="M3119" i="3"/>
  <c r="M3122" i="3"/>
  <c r="EN141" i="2"/>
  <c r="EH486" i="2"/>
  <c r="EJ77" i="2"/>
  <c r="EN113" i="2"/>
  <c r="C3021" i="3"/>
  <c r="EL563" i="2"/>
  <c r="EL560" i="2"/>
  <c r="L3128" i="3"/>
  <c r="L3129" i="3" s="1"/>
  <c r="L3123" i="3"/>
  <c r="L3124" i="3" s="1"/>
  <c r="L3454" i="3"/>
  <c r="EI415" i="18"/>
  <c r="EI420" i="18" s="1"/>
  <c r="EI483" i="18" s="1"/>
  <c r="EH448" i="18"/>
  <c r="EI448" i="18" s="1"/>
  <c r="EI446" i="18"/>
  <c r="EI447" i="18" s="1"/>
  <c r="EJ406" i="18"/>
  <c r="EJ490" i="18" s="1"/>
  <c r="EJ491" i="18" s="1"/>
  <c r="EH447" i="18"/>
  <c r="EH450" i="18"/>
  <c r="EH445" i="18" s="1"/>
  <c r="EH444" i="18" s="1"/>
  <c r="EH449" i="18" s="1"/>
  <c r="EJ275" i="2"/>
  <c r="EJ282" i="2"/>
  <c r="EJ407" i="2"/>
  <c r="EJ412" i="2" s="1"/>
  <c r="N4547" i="3"/>
  <c r="N4552" i="3" s="1"/>
  <c r="X3382" i="3"/>
  <c r="Y3379" i="3"/>
  <c r="Y3382" i="3" s="1"/>
  <c r="H5199" i="3"/>
  <c r="I5197" i="3"/>
  <c r="EL439" i="18"/>
  <c r="J18" i="29"/>
  <c r="K10" i="29"/>
  <c r="EQ36" i="18"/>
  <c r="EQ38" i="18" s="1"/>
  <c r="EQ160" i="18"/>
  <c r="EQ161" i="18" s="1"/>
  <c r="EQ162" i="18"/>
  <c r="Q87" i="22"/>
  <c r="Q86" i="22"/>
  <c r="EK621" i="2"/>
  <c r="C3277" i="3"/>
  <c r="EK348" i="10"/>
  <c r="EN99" i="2"/>
  <c r="EM184" i="10"/>
  <c r="ES245" i="18"/>
  <c r="B273" i="24"/>
  <c r="B283" i="24" s="1"/>
  <c r="B274" i="24"/>
  <c r="B70" i="24"/>
  <c r="C14" i="25"/>
  <c r="E14" i="25" s="1"/>
  <c r="EE315" i="18"/>
  <c r="EE321" i="18"/>
  <c r="EE674" i="18"/>
  <c r="ES431" i="18"/>
  <c r="EE49" i="18"/>
  <c r="EJ619" i="2"/>
  <c r="EJ457" i="2" s="1"/>
  <c r="EO458" i="2" s="1"/>
  <c r="EP435" i="18"/>
  <c r="EC61" i="18"/>
  <c r="EC65" i="18"/>
  <c r="ED59" i="18"/>
  <c r="ED61" i="18" s="1"/>
  <c r="U28" i="21"/>
  <c r="U29" i="21" s="1"/>
  <c r="EG297" i="2"/>
  <c r="EG423" i="2" s="1"/>
  <c r="EJ420" i="10"/>
  <c r="EL384" i="18"/>
  <c r="EL385" i="18" s="1"/>
  <c r="EL466" i="18"/>
  <c r="EJ396" i="10"/>
  <c r="B282" i="24"/>
  <c r="EK268" i="18"/>
  <c r="EJ276" i="18"/>
  <c r="F3404" i="3"/>
  <c r="G3396" i="3"/>
  <c r="T56" i="22"/>
  <c r="AF56" i="22"/>
  <c r="X56" i="22"/>
  <c r="AG56" i="22"/>
  <c r="AI56" i="22"/>
  <c r="AB56" i="22"/>
  <c r="AC56" i="22"/>
  <c r="AD56" i="22"/>
  <c r="AA56" i="22"/>
  <c r="AE56" i="22"/>
  <c r="AH56" i="22"/>
  <c r="W56" i="22"/>
  <c r="R56" i="22"/>
  <c r="R85" i="22" s="1"/>
  <c r="Y56" i="22"/>
  <c r="U56" i="22"/>
  <c r="S56" i="22"/>
  <c r="V56" i="22"/>
  <c r="Z56" i="22"/>
  <c r="J7" i="22"/>
  <c r="EP456" i="18"/>
  <c r="EP457" i="18" s="1"/>
  <c r="EN493" i="2"/>
  <c r="ES494" i="2" s="1"/>
  <c r="U42" i="22"/>
  <c r="Y46" i="22"/>
  <c r="AA48" i="22"/>
  <c r="V43" i="22"/>
  <c r="X45" i="22"/>
  <c r="T41" i="22"/>
  <c r="W44" i="22"/>
  <c r="Z47" i="22"/>
  <c r="AB49" i="22"/>
  <c r="AC50" i="22"/>
  <c r="AD51" i="22"/>
  <c r="AE52" i="22"/>
  <c r="AF53" i="22"/>
  <c r="AG54" i="22"/>
  <c r="J16" i="23"/>
  <c r="L116" i="29"/>
  <c r="L118" i="29"/>
  <c r="EK277" i="18"/>
  <c r="EK48" i="18" s="1"/>
  <c r="EL270" i="18"/>
  <c r="EI418" i="2"/>
  <c r="EG420" i="2"/>
  <c r="F47" i="29"/>
  <c r="G39" i="29"/>
  <c r="EM426" i="18"/>
  <c r="EM427" i="18" s="1"/>
  <c r="EM494" i="18" s="1"/>
  <c r="EN488" i="2"/>
  <c r="U29" i="20"/>
  <c r="EJ559" i="2"/>
  <c r="EF43" i="18"/>
  <c r="EF260" i="18"/>
  <c r="EK136" i="10"/>
  <c r="EJ376" i="10"/>
  <c r="B3291" i="3"/>
  <c r="B3293" i="3" s="1"/>
  <c r="T87" i="20"/>
  <c r="T86" i="20"/>
  <c r="EQ125" i="18"/>
  <c r="ER117" i="18"/>
  <c r="EQ121" i="18"/>
  <c r="EQ122" i="18"/>
  <c r="EM298" i="18"/>
  <c r="EM299" i="18"/>
  <c r="EM302" i="18"/>
  <c r="EN294" i="18"/>
  <c r="P86" i="21"/>
  <c r="P87" i="21"/>
  <c r="EG444" i="18"/>
  <c r="B4478" i="3"/>
  <c r="N4555" i="3"/>
  <c r="N4553" i="3"/>
  <c r="EJ355" i="10"/>
  <c r="EM306" i="18"/>
  <c r="EM308" i="18" s="1"/>
  <c r="EM309" i="18" s="1"/>
  <c r="I3397" i="3"/>
  <c r="J3394" i="3"/>
  <c r="EL472" i="18"/>
  <c r="EM410" i="18"/>
  <c r="I40" i="29"/>
  <c r="J37" i="29"/>
  <c r="EH678" i="18"/>
  <c r="EH687" i="18"/>
  <c r="EH677" i="18"/>
  <c r="U28" i="22"/>
  <c r="EJ600" i="2"/>
  <c r="EJ395" i="10"/>
  <c r="ER54" i="18"/>
  <c r="ES307" i="18"/>
  <c r="ES54" i="18" s="1"/>
  <c r="N3383" i="3"/>
  <c r="N3384" i="3" s="1"/>
  <c r="EJ373" i="10"/>
  <c r="B3288" i="3"/>
  <c r="B3289" i="3"/>
  <c r="EJ374" i="10"/>
  <c r="EH477" i="18"/>
  <c r="EI478" i="18"/>
  <c r="EG228" i="18"/>
  <c r="EG229" i="18" s="1"/>
  <c r="EG629" i="2"/>
  <c r="EG332" i="2"/>
  <c r="EM52" i="18"/>
  <c r="EM310" i="18"/>
  <c r="W25" i="20"/>
  <c r="K8" i="20"/>
  <c r="K13" i="23" s="1"/>
  <c r="ES377" i="18"/>
  <c r="ES372" i="18"/>
  <c r="ES398" i="18" s="1"/>
  <c r="EJ627" i="2"/>
  <c r="EJ397" i="10"/>
  <c r="EI666" i="18"/>
  <c r="EI665" i="18"/>
  <c r="ER471" i="18"/>
  <c r="AH55" i="22"/>
  <c r="EK467" i="18"/>
  <c r="EK468" i="18" s="1"/>
  <c r="C3414" i="3"/>
  <c r="C3415" i="3" s="1"/>
  <c r="EJ484" i="18"/>
  <c r="EJ480" i="18"/>
  <c r="EK476" i="18"/>
  <c r="EJ481" i="18"/>
  <c r="EO168" i="18"/>
  <c r="EN63" i="18"/>
  <c r="EN217" i="18"/>
  <c r="K3367" i="3"/>
  <c r="J3375" i="3"/>
  <c r="EK598" i="2"/>
  <c r="EK493" i="2" s="1"/>
  <c r="EK394" i="10"/>
  <c r="EK346" i="10"/>
  <c r="C3276" i="3"/>
  <c r="EK208" i="10"/>
  <c r="EL492" i="18"/>
  <c r="EL493" i="18" s="1"/>
  <c r="B3287" i="3"/>
  <c r="EJ372" i="10"/>
  <c r="EL243" i="18"/>
  <c r="EL242" i="18"/>
  <c r="EM238" i="18"/>
  <c r="EG687" i="18"/>
  <c r="EG678" i="18"/>
  <c r="EG677" i="18"/>
  <c r="EI669" i="18"/>
  <c r="Q25" i="21"/>
  <c r="O26" i="29"/>
  <c r="O27" i="29" s="1"/>
  <c r="EM130" i="18"/>
  <c r="EM131" i="18" s="1"/>
  <c r="EK347" i="10"/>
  <c r="Z47" i="21"/>
  <c r="V43" i="21"/>
  <c r="U42" i="21"/>
  <c r="Y46" i="21"/>
  <c r="T41" i="21"/>
  <c r="AA48" i="21"/>
  <c r="X45" i="21"/>
  <c r="W44" i="21"/>
  <c r="AB49" i="21"/>
  <c r="AC50" i="21"/>
  <c r="AD51" i="21"/>
  <c r="AE52" i="21"/>
  <c r="AF53" i="21"/>
  <c r="EO143" i="18"/>
  <c r="S86" i="20"/>
  <c r="C57" i="29"/>
  <c r="C58" i="29" s="1"/>
  <c r="ES135" i="18"/>
  <c r="EN285" i="18"/>
  <c r="J8" i="22"/>
  <c r="S25" i="22"/>
  <c r="S26" i="22" s="1"/>
  <c r="E1174" i="3" l="1"/>
  <c r="EK566" i="2"/>
  <c r="EK567" i="2"/>
  <c r="B90" i="41"/>
  <c r="C90" i="41" s="1"/>
  <c r="D90" i="41" s="1"/>
  <c r="E90" i="41" s="1"/>
  <c r="F90" i="41" s="1"/>
  <c r="G90" i="41" s="1"/>
  <c r="H90" i="41" s="1"/>
  <c r="I90" i="41" s="1"/>
  <c r="J90" i="41" s="1"/>
  <c r="K90" i="41" s="1"/>
  <c r="B67" i="41"/>
  <c r="E1088" i="3"/>
  <c r="E1106" i="3" s="1"/>
  <c r="E1107" i="3" s="1"/>
  <c r="E1113" i="3" s="1"/>
  <c r="EM559" i="2"/>
  <c r="E1091" i="3"/>
  <c r="O1663" i="3"/>
  <c r="O1642" i="3" s="1"/>
  <c r="N1642" i="3"/>
  <c r="FM78" i="36"/>
  <c r="FO69" i="36"/>
  <c r="FM45" i="35"/>
  <c r="FM58" i="35" s="1"/>
  <c r="FM59" i="36"/>
  <c r="FM433" i="36"/>
  <c r="FM432" i="36"/>
  <c r="FM429" i="36"/>
  <c r="FM434" i="36" s="1"/>
  <c r="FM436" i="36"/>
  <c r="FM603" i="36"/>
  <c r="FL631" i="36"/>
  <c r="FL605" i="36"/>
  <c r="FL609" i="36"/>
  <c r="FL610" i="36" s="1"/>
  <c r="FM75" i="36"/>
  <c r="FL59" i="36"/>
  <c r="FL45" i="35"/>
  <c r="FL58" i="35" s="1"/>
  <c r="FL78" i="36"/>
  <c r="B1730" i="3"/>
  <c r="B1736" i="3" s="1"/>
  <c r="EN118" i="2"/>
  <c r="B1700" i="3"/>
  <c r="B1702" i="3" s="1"/>
  <c r="B1717" i="3" s="1"/>
  <c r="B1718" i="3" s="1"/>
  <c r="B1719" i="3" s="1"/>
  <c r="L117" i="29"/>
  <c r="P117" i="29"/>
  <c r="M116" i="29"/>
  <c r="N69" i="29"/>
  <c r="EO149" i="2"/>
  <c r="EO160" i="2" s="1"/>
  <c r="N1649" i="3" s="1"/>
  <c r="N1670" i="3" s="1"/>
  <c r="M3112" i="3"/>
  <c r="L3111" i="3"/>
  <c r="L3112" i="3" s="1"/>
  <c r="L3115" i="3"/>
  <c r="EQ88" i="4"/>
  <c r="EQ91" i="4" s="1"/>
  <c r="EQ93" i="4" s="1"/>
  <c r="B2191" i="3"/>
  <c r="EI292" i="2"/>
  <c r="EI297" i="2" s="1"/>
  <c r="EI423" i="2" s="1"/>
  <c r="EM95" i="2"/>
  <c r="EM392" i="10" s="1"/>
  <c r="EH217" i="2"/>
  <c r="EH382" i="10" s="1"/>
  <c r="D2325" i="3"/>
  <c r="D2330" i="3" s="1"/>
  <c r="D2327" i="3"/>
  <c r="D2332" i="3" s="1"/>
  <c r="C2336" i="3"/>
  <c r="C2331" i="3"/>
  <c r="EH357" i="2"/>
  <c r="EH355" i="2" s="1"/>
  <c r="EH430" i="10" s="1"/>
  <c r="EH73" i="2"/>
  <c r="EO157" i="2"/>
  <c r="EN161" i="2"/>
  <c r="EN147" i="2"/>
  <c r="EN152" i="2" s="1"/>
  <c r="EM152" i="2"/>
  <c r="EL158" i="2"/>
  <c r="EL163" i="2" s="1"/>
  <c r="EN159" i="2"/>
  <c r="EO146" i="2"/>
  <c r="ES146" i="2" s="1"/>
  <c r="EN150" i="2"/>
  <c r="EM130" i="2"/>
  <c r="EM540" i="2"/>
  <c r="EM549" i="2" s="1"/>
  <c r="EN549" i="2" s="1"/>
  <c r="EM548" i="2"/>
  <c r="EJ565" i="2"/>
  <c r="EJ566" i="2" s="1"/>
  <c r="EL263" i="2"/>
  <c r="EN151" i="2"/>
  <c r="EO90" i="2"/>
  <c r="EP82" i="2"/>
  <c r="EN92" i="2"/>
  <c r="EM391" i="10"/>
  <c r="D3477" i="3"/>
  <c r="D3478" i="3" s="1"/>
  <c r="D3485" i="3" s="1"/>
  <c r="D3486" i="3" s="1"/>
  <c r="D3487" i="3" s="1"/>
  <c r="E5710" i="3"/>
  <c r="E5726" i="3" s="1"/>
  <c r="M7" i="29"/>
  <c r="M8" i="29" s="1"/>
  <c r="M11" i="29" s="1"/>
  <c r="D124" i="29"/>
  <c r="D125" i="29" s="1"/>
  <c r="D132" i="29" s="1"/>
  <c r="D133" i="29" s="1"/>
  <c r="D134" i="29" s="1"/>
  <c r="EM288" i="2"/>
  <c r="D212" i="11"/>
  <c r="E4845" i="3"/>
  <c r="EM568" i="2"/>
  <c r="EN568" i="2" s="1"/>
  <c r="EM544" i="2"/>
  <c r="EN544" i="2" s="1"/>
  <c r="EG73" i="2"/>
  <c r="EH332" i="2"/>
  <c r="EG357" i="2"/>
  <c r="EG355" i="2" s="1"/>
  <c r="EN542" i="2"/>
  <c r="EM344" i="10"/>
  <c r="EN91" i="2"/>
  <c r="EI601" i="2"/>
  <c r="EI331" i="2" s="1"/>
  <c r="EI332" i="2" s="1"/>
  <c r="M3364" i="3"/>
  <c r="M3365" i="3" s="1"/>
  <c r="M3368" i="3" s="1"/>
  <c r="EI410" i="2"/>
  <c r="EI187" i="10" s="1"/>
  <c r="EH187" i="10"/>
  <c r="EI409" i="2"/>
  <c r="EI413" i="2"/>
  <c r="EI414" i="2"/>
  <c r="EM265" i="2"/>
  <c r="EM107" i="2"/>
  <c r="EM263" i="2" s="1"/>
  <c r="EM310" i="2"/>
  <c r="EM276" i="2"/>
  <c r="EO84" i="2"/>
  <c r="EN94" i="2"/>
  <c r="EM97" i="2"/>
  <c r="EN185" i="10"/>
  <c r="E52" i="29"/>
  <c r="E53" i="29" s="1"/>
  <c r="E56" i="29" s="1"/>
  <c r="EI72" i="2"/>
  <c r="EI219" i="2" s="1"/>
  <c r="EI220" i="2" s="1"/>
  <c r="EO341" i="10"/>
  <c r="N3105" i="3"/>
  <c r="EL545" i="2"/>
  <c r="EK406" i="2"/>
  <c r="EK411" i="2" s="1"/>
  <c r="EL541" i="2"/>
  <c r="EO83" i="2"/>
  <c r="EO104" i="2"/>
  <c r="EO106" i="2" s="1"/>
  <c r="EL269" i="2"/>
  <c r="EL406" i="2" s="1"/>
  <c r="EL411" i="2" s="1"/>
  <c r="EN157" i="2"/>
  <c r="EK275" i="2"/>
  <c r="EK282" i="2"/>
  <c r="EK419" i="2" s="1"/>
  <c r="E3410" i="3"/>
  <c r="E3413" i="3" s="1"/>
  <c r="EL382" i="2"/>
  <c r="EL383" i="2" s="1"/>
  <c r="EL299" i="2"/>
  <c r="EL425" i="2" s="1"/>
  <c r="EK74" i="2"/>
  <c r="EK75" i="2" s="1"/>
  <c r="EL108" i="2"/>
  <c r="EL74" i="2" s="1"/>
  <c r="EL75" i="2" s="1"/>
  <c r="EK76" i="2"/>
  <c r="EL308" i="2"/>
  <c r="EN124" i="2"/>
  <c r="EN129" i="2" s="1"/>
  <c r="EO574" i="2"/>
  <c r="EO100" i="2"/>
  <c r="M3115" i="3"/>
  <c r="M3128" i="3"/>
  <c r="M3129" i="3" s="1"/>
  <c r="M3133" i="3"/>
  <c r="M3123" i="3"/>
  <c r="M3124" i="3" s="1"/>
  <c r="EN258" i="2"/>
  <c r="EP110" i="10"/>
  <c r="EP1020" i="10" s="1"/>
  <c r="EK494" i="2"/>
  <c r="EP494" i="2"/>
  <c r="EJ458" i="2"/>
  <c r="C3023" i="3"/>
  <c r="D3021" i="3"/>
  <c r="B3028" i="3" s="1"/>
  <c r="B3029" i="3" s="1"/>
  <c r="EJ411" i="18"/>
  <c r="EK404" i="18" s="1"/>
  <c r="EJ408" i="18"/>
  <c r="EN100" i="2"/>
  <c r="EK402" i="18"/>
  <c r="EK405" i="18" s="1"/>
  <c r="EJ443" i="18"/>
  <c r="EJ416" i="18"/>
  <c r="EJ446" i="18" s="1"/>
  <c r="EJ407" i="18"/>
  <c r="EN169" i="2"/>
  <c r="EN174" i="2" s="1"/>
  <c r="M118" i="29"/>
  <c r="EI445" i="18"/>
  <c r="EI450" i="18" s="1"/>
  <c r="N116" i="29"/>
  <c r="EJ419" i="2"/>
  <c r="EJ281" i="2"/>
  <c r="EJ287" i="2"/>
  <c r="EJ293" i="2"/>
  <c r="EJ298" i="2" s="1"/>
  <c r="EJ424" i="2" s="1"/>
  <c r="EJ408" i="2"/>
  <c r="EN395" i="2"/>
  <c r="EN400" i="2" s="1"/>
  <c r="I5199" i="3"/>
  <c r="J5197" i="3"/>
  <c r="EP458" i="18"/>
  <c r="EQ454" i="18"/>
  <c r="EP462" i="18"/>
  <c r="EP459" i="18"/>
  <c r="EP538" i="18"/>
  <c r="P24" i="29"/>
  <c r="O32" i="29"/>
  <c r="D3412" i="3"/>
  <c r="C3420" i="3"/>
  <c r="EL386" i="18"/>
  <c r="EL390" i="18"/>
  <c r="EL387" i="18"/>
  <c r="EM382" i="18"/>
  <c r="EL433" i="18"/>
  <c r="EL488" i="18"/>
  <c r="N3389" i="3"/>
  <c r="O3381" i="3"/>
  <c r="EK470" i="18"/>
  <c r="EK473" i="18"/>
  <c r="EK479" i="18"/>
  <c r="EL465" i="18"/>
  <c r="EL467" i="18" s="1"/>
  <c r="EK469" i="18"/>
  <c r="EK539" i="18"/>
  <c r="AI57" i="22"/>
  <c r="AH57" i="22"/>
  <c r="S57" i="22"/>
  <c r="S85" i="22" s="1"/>
  <c r="AA57" i="22"/>
  <c r="U57" i="22"/>
  <c r="T57" i="22"/>
  <c r="Z57" i="22"/>
  <c r="AD57" i="22"/>
  <c r="W57" i="22"/>
  <c r="V57" i="22"/>
  <c r="AJ57" i="22"/>
  <c r="AB57" i="22"/>
  <c r="X57" i="22"/>
  <c r="AF57" i="22"/>
  <c r="AC57" i="22"/>
  <c r="AG57" i="22"/>
  <c r="AE57" i="22"/>
  <c r="Y57" i="22"/>
  <c r="EP143" i="18"/>
  <c r="AA47" i="21"/>
  <c r="Z46" i="21"/>
  <c r="V42" i="21"/>
  <c r="AB48" i="21"/>
  <c r="Y45" i="21"/>
  <c r="W43" i="21"/>
  <c r="U41" i="21"/>
  <c r="X44" i="21"/>
  <c r="AC49" i="21"/>
  <c r="AD50" i="21"/>
  <c r="AE51" i="21"/>
  <c r="AF52" i="21"/>
  <c r="AG53" i="21"/>
  <c r="AH54" i="21"/>
  <c r="C278" i="24"/>
  <c r="EK349" i="10"/>
  <c r="EJ264" i="10"/>
  <c r="EK600" i="2"/>
  <c r="EK622" i="2" s="1"/>
  <c r="EK623" i="2" s="1"/>
  <c r="K3394" i="3"/>
  <c r="J3397" i="3"/>
  <c r="EN296" i="18"/>
  <c r="G41" i="29"/>
  <c r="G42" i="29" s="1"/>
  <c r="G3398" i="3"/>
  <c r="G3399" i="3" s="1"/>
  <c r="EQ435" i="18"/>
  <c r="EN101" i="2"/>
  <c r="EN184" i="10"/>
  <c r="C3808" i="3"/>
  <c r="K12" i="29"/>
  <c r="K13" i="29" s="1"/>
  <c r="Z61" i="20"/>
  <c r="AK61" i="20"/>
  <c r="AE61" i="20"/>
  <c r="AF61" i="20"/>
  <c r="AH61" i="20"/>
  <c r="X61" i="20"/>
  <c r="AA61" i="20"/>
  <c r="AG61" i="20"/>
  <c r="W61" i="20"/>
  <c r="AD61" i="20"/>
  <c r="AJ61" i="20"/>
  <c r="AC61" i="20"/>
  <c r="Y61" i="20"/>
  <c r="AI61" i="20"/>
  <c r="AM61" i="20"/>
  <c r="AO61" i="20"/>
  <c r="AL61" i="20"/>
  <c r="AN61" i="20"/>
  <c r="AB61" i="20"/>
  <c r="EK353" i="10"/>
  <c r="B3290" i="3"/>
  <c r="B3294" i="3" s="1"/>
  <c r="N3454" i="3"/>
  <c r="N3470" i="3"/>
  <c r="EJ628" i="2"/>
  <c r="EJ41" i="2"/>
  <c r="EJ10" i="4" s="1"/>
  <c r="C63" i="29"/>
  <c r="D55" i="29"/>
  <c r="EH680" i="18"/>
  <c r="EH681" i="18" s="1"/>
  <c r="EG325" i="18"/>
  <c r="EI677" i="18"/>
  <c r="EH682" i="18" s="1"/>
  <c r="EP168" i="18"/>
  <c r="EO63" i="18"/>
  <c r="EH325" i="18"/>
  <c r="EJ378" i="10"/>
  <c r="EF279" i="18"/>
  <c r="EF314" i="18" s="1"/>
  <c r="EJ560" i="2"/>
  <c r="EL208" i="18"/>
  <c r="G4849" i="3"/>
  <c r="EJ640" i="2"/>
  <c r="EE50" i="18"/>
  <c r="EE323" i="18"/>
  <c r="EE322" i="18"/>
  <c r="EE332" i="18"/>
  <c r="EK599" i="2"/>
  <c r="EK173" i="10"/>
  <c r="EJ603" i="2"/>
  <c r="EJ401" i="10"/>
  <c r="EH176" i="18"/>
  <c r="EH183" i="18" s="1"/>
  <c r="EH695" i="18"/>
  <c r="EH692" i="18"/>
  <c r="EH696" i="18"/>
  <c r="K37" i="29"/>
  <c r="J40" i="29"/>
  <c r="EM53" i="18"/>
  <c r="EM55" i="18" s="1"/>
  <c r="EM311" i="18"/>
  <c r="EF45" i="18"/>
  <c r="W43" i="20"/>
  <c r="AB48" i="20"/>
  <c r="Y45" i="20"/>
  <c r="Z46" i="20"/>
  <c r="V42" i="20"/>
  <c r="AF52" i="20"/>
  <c r="AC49" i="20"/>
  <c r="AG53" i="20"/>
  <c r="AH54" i="20"/>
  <c r="U41" i="20"/>
  <c r="U85" i="20" s="1"/>
  <c r="AD50" i="20"/>
  <c r="AE51" i="20"/>
  <c r="AM59" i="20"/>
  <c r="AJ56" i="20"/>
  <c r="AI55" i="20"/>
  <c r="AK57" i="20"/>
  <c r="AL58" i="20"/>
  <c r="AN60" i="20"/>
  <c r="X44" i="20"/>
  <c r="AA47" i="20"/>
  <c r="V28" i="20"/>
  <c r="V29" i="20" s="1"/>
  <c r="AP61" i="20" s="1"/>
  <c r="U29" i="22"/>
  <c r="V28" i="22" s="1"/>
  <c r="EJ47" i="18"/>
  <c r="EG217" i="2"/>
  <c r="EG220" i="2"/>
  <c r="EM133" i="18"/>
  <c r="EM136" i="18"/>
  <c r="EM132" i="18"/>
  <c r="EN128" i="18"/>
  <c r="EG680" i="18"/>
  <c r="EI678" i="18"/>
  <c r="EI679" i="18" s="1"/>
  <c r="EJ384" i="10"/>
  <c r="R86" i="22"/>
  <c r="R87" i="22"/>
  <c r="J10" i="22" s="1"/>
  <c r="J11" i="22" s="1"/>
  <c r="EK420" i="10"/>
  <c r="EH482" i="18"/>
  <c r="EI477" i="18"/>
  <c r="EI482" i="18" s="1"/>
  <c r="EG696" i="18"/>
  <c r="EG695" i="18"/>
  <c r="EG176" i="18"/>
  <c r="EG692" i="18"/>
  <c r="EI687" i="18"/>
  <c r="ES471" i="18"/>
  <c r="EJ403" i="10"/>
  <c r="EG649" i="2"/>
  <c r="EG641" i="2"/>
  <c r="B90" i="6"/>
  <c r="B37" i="6"/>
  <c r="B3056" i="3" s="1"/>
  <c r="B3058" i="3" s="1"/>
  <c r="B3060" i="3" s="1"/>
  <c r="EN489" i="2"/>
  <c r="EH417" i="2"/>
  <c r="EH420" i="2" s="1"/>
  <c r="EG421" i="2"/>
  <c r="EG422" i="2"/>
  <c r="EM240" i="18"/>
  <c r="EM241" i="18" s="1"/>
  <c r="EK188" i="10"/>
  <c r="EK352" i="10"/>
  <c r="EK189" i="10"/>
  <c r="EK400" i="10"/>
  <c r="K3369" i="3"/>
  <c r="K3370" i="3" s="1"/>
  <c r="EJ44" i="2"/>
  <c r="EJ136" i="10"/>
  <c r="EL136" i="10"/>
  <c r="EC66" i="18"/>
  <c r="EC67" i="18"/>
  <c r="EC68" i="18"/>
  <c r="ED65" i="18"/>
  <c r="B74" i="24"/>
  <c r="B75" i="24" s="1"/>
  <c r="B71" i="24"/>
  <c r="B213" i="24" s="1"/>
  <c r="B68" i="24"/>
  <c r="B212" i="24"/>
  <c r="AE55" i="21"/>
  <c r="X55" i="21"/>
  <c r="V55" i="21"/>
  <c r="T55" i="21"/>
  <c r="S55" i="21"/>
  <c r="Y55" i="21"/>
  <c r="AB55" i="21"/>
  <c r="AD55" i="21"/>
  <c r="AG55" i="21"/>
  <c r="Q55" i="21"/>
  <c r="Q85" i="21" s="1"/>
  <c r="U55" i="21"/>
  <c r="AA55" i="21"/>
  <c r="AC55" i="21"/>
  <c r="W55" i="21"/>
  <c r="R55" i="21"/>
  <c r="AH55" i="21"/>
  <c r="AF55" i="21"/>
  <c r="Z55" i="21"/>
  <c r="AI55" i="21"/>
  <c r="Q26" i="21"/>
  <c r="F3425" i="3"/>
  <c r="EJ375" i="10"/>
  <c r="EL268" i="18"/>
  <c r="EK276" i="18"/>
  <c r="EK40" i="2"/>
  <c r="EK9" i="4" s="1"/>
  <c r="EK617" i="2"/>
  <c r="EK625" i="2"/>
  <c r="EK618" i="2"/>
  <c r="EK626" i="2"/>
  <c r="W26" i="20"/>
  <c r="EG230" i="18"/>
  <c r="EG234" i="18"/>
  <c r="EG235" i="18"/>
  <c r="EG231" i="18"/>
  <c r="EH226" i="18"/>
  <c r="EG258" i="18"/>
  <c r="EN410" i="18"/>
  <c r="EM472" i="18"/>
  <c r="EG449" i="18"/>
  <c r="EI444" i="18"/>
  <c r="EI449" i="18" s="1"/>
  <c r="V28" i="21"/>
  <c r="C3288" i="3"/>
  <c r="EK373" i="10"/>
  <c r="EJ622" i="2"/>
  <c r="ER119" i="18"/>
  <c r="ER120" i="18" s="1"/>
  <c r="EM270" i="18"/>
  <c r="EL277" i="18"/>
  <c r="EL48" i="18" s="1"/>
  <c r="EN494" i="2"/>
  <c r="B280" i="24"/>
  <c r="B277" i="24"/>
  <c r="EK354" i="10"/>
  <c r="T25" i="22"/>
  <c r="M3454" i="3"/>
  <c r="M3470" i="3"/>
  <c r="EM429" i="18"/>
  <c r="EM432" i="18"/>
  <c r="EM428" i="18"/>
  <c r="EM438" i="18" s="1"/>
  <c r="EN424" i="18"/>
  <c r="EM434" i="18"/>
  <c r="EJ402" i="10"/>
  <c r="F1086" i="3" l="1"/>
  <c r="F1094" i="3" s="1"/>
  <c r="EM565" i="2"/>
  <c r="EM566" i="2" s="1"/>
  <c r="EM560" i="2"/>
  <c r="EM563" i="2"/>
  <c r="O1606" i="3"/>
  <c r="O1608" i="3" s="1"/>
  <c r="N1643" i="3"/>
  <c r="N1664" i="3" s="1"/>
  <c r="O1664" i="3" s="1"/>
  <c r="FM631" i="36"/>
  <c r="FM605" i="36"/>
  <c r="FM609" i="36"/>
  <c r="FM610" i="36" s="1"/>
  <c r="EO165" i="2"/>
  <c r="EO162" i="2"/>
  <c r="EO120" i="2"/>
  <c r="O68" i="29"/>
  <c r="N106" i="29"/>
  <c r="T106" i="29"/>
  <c r="V106" i="29"/>
  <c r="U106" i="29"/>
  <c r="S106" i="29"/>
  <c r="R106" i="29"/>
  <c r="N117" i="29"/>
  <c r="M117" i="29"/>
  <c r="Q117" i="29"/>
  <c r="EO150" i="2"/>
  <c r="EP146" i="2"/>
  <c r="EP148" i="2" s="1"/>
  <c r="EO161" i="2"/>
  <c r="EP157" i="2"/>
  <c r="O3105" i="3"/>
  <c r="O3110" i="3" s="1"/>
  <c r="O3112" i="3" s="1"/>
  <c r="EQ82" i="2"/>
  <c r="P1606" i="3" s="1"/>
  <c r="P1608" i="3" s="1"/>
  <c r="EN95" i="2"/>
  <c r="EN392" i="10" s="1"/>
  <c r="EH218" i="2"/>
  <c r="EH235" i="2"/>
  <c r="EH241" i="2" s="1"/>
  <c r="EH372" i="2"/>
  <c r="EH373" i="2" s="1"/>
  <c r="D2336" i="3"/>
  <c r="D2331" i="3"/>
  <c r="EH356" i="2"/>
  <c r="EH358" i="2"/>
  <c r="EN540" i="2"/>
  <c r="EM158" i="2"/>
  <c r="EP104" i="2"/>
  <c r="EP106" i="2" s="1"/>
  <c r="B2401" i="3" s="1"/>
  <c r="B2403" i="3" s="1"/>
  <c r="EP149" i="2"/>
  <c r="EO151" i="2"/>
  <c r="EJ569" i="2"/>
  <c r="EJ567" i="2"/>
  <c r="C3502" i="3"/>
  <c r="EN548" i="2"/>
  <c r="EN162" i="2"/>
  <c r="EO124" i="2"/>
  <c r="EO131" i="2"/>
  <c r="ER89" i="4"/>
  <c r="ER85" i="4"/>
  <c r="EO143" i="2"/>
  <c r="EO94" i="2"/>
  <c r="B2870" i="3"/>
  <c r="B2872" i="3" s="1"/>
  <c r="B2880" i="3" s="1"/>
  <c r="E5717" i="3"/>
  <c r="EO92" i="2"/>
  <c r="EO176" i="2"/>
  <c r="EO91" i="2"/>
  <c r="EP83" i="2"/>
  <c r="EP90" i="2"/>
  <c r="EP84" i="2"/>
  <c r="N3110" i="3"/>
  <c r="N3112" i="3" s="1"/>
  <c r="EP341" i="10"/>
  <c r="E5711" i="3"/>
  <c r="E5712" i="3" s="1"/>
  <c r="EG358" i="2"/>
  <c r="EN344" i="10"/>
  <c r="EN391" i="10"/>
  <c r="EN97" i="2"/>
  <c r="EM308" i="2"/>
  <c r="EM299" i="2"/>
  <c r="EM425" i="2" s="1"/>
  <c r="EM382" i="2"/>
  <c r="EM383" i="2" s="1"/>
  <c r="EN107" i="2"/>
  <c r="EN263" i="2" s="1"/>
  <c r="EM269" i="2"/>
  <c r="EM270" i="2" s="1"/>
  <c r="EM108" i="2"/>
  <c r="EM320" i="2" s="1"/>
  <c r="N3107" i="3"/>
  <c r="N3116" i="3" s="1"/>
  <c r="N3118" i="3"/>
  <c r="EI73" i="2"/>
  <c r="EI357" i="2"/>
  <c r="EI358" i="2" s="1"/>
  <c r="EO245" i="2"/>
  <c r="EO246" i="2" s="1"/>
  <c r="EK408" i="2"/>
  <c r="EL270" i="2"/>
  <c r="EL275" i="2" s="1"/>
  <c r="F3410" i="3"/>
  <c r="G3410" i="3" s="1"/>
  <c r="EL76" i="2"/>
  <c r="EK293" i="2"/>
  <c r="EK298" i="2" s="1"/>
  <c r="EK424" i="2" s="1"/>
  <c r="EK287" i="2"/>
  <c r="EK281" i="2"/>
  <c r="EK286" i="2" s="1"/>
  <c r="EK77" i="2"/>
  <c r="EL320" i="2"/>
  <c r="F53" i="29"/>
  <c r="F56" i="29" s="1"/>
  <c r="D3023" i="3"/>
  <c r="EJ601" i="2"/>
  <c r="EK406" i="18"/>
  <c r="EL402" i="18" s="1"/>
  <c r="EJ495" i="18"/>
  <c r="EJ421" i="18"/>
  <c r="EJ417" i="18"/>
  <c r="EJ440" i="18"/>
  <c r="EJ418" i="18"/>
  <c r="EK413" i="18"/>
  <c r="EJ415" i="18"/>
  <c r="EJ420" i="18" s="1"/>
  <c r="EJ483" i="18" s="1"/>
  <c r="EJ478" i="18" s="1"/>
  <c r="EJ477" i="18" s="1"/>
  <c r="EJ482" i="18" s="1"/>
  <c r="EN303" i="2"/>
  <c r="EN440" i="2"/>
  <c r="EN445" i="2" s="1"/>
  <c r="EJ46" i="2"/>
  <c r="EJ13" i="4"/>
  <c r="EJ15" i="4" s="1"/>
  <c r="EJ418" i="2"/>
  <c r="EJ286" i="2"/>
  <c r="EJ292" i="2"/>
  <c r="EJ297" i="2" s="1"/>
  <c r="EJ423" i="2" s="1"/>
  <c r="EJ414" i="2"/>
  <c r="EJ413" i="2"/>
  <c r="EJ409" i="2"/>
  <c r="EJ410" i="2"/>
  <c r="EJ452" i="2"/>
  <c r="EJ485" i="2" s="1"/>
  <c r="EJ563" i="2"/>
  <c r="EJ9" i="2"/>
  <c r="EK41" i="2"/>
  <c r="EK10" i="4" s="1"/>
  <c r="J5199" i="3"/>
  <c r="K5197" i="3"/>
  <c r="EK397" i="10"/>
  <c r="H39" i="29"/>
  <c r="G47" i="29"/>
  <c r="EL598" i="2"/>
  <c r="EL394" i="10"/>
  <c r="EL347" i="10"/>
  <c r="ER121" i="18"/>
  <c r="ES117" i="18"/>
  <c r="ER125" i="18"/>
  <c r="ER122" i="18"/>
  <c r="ER158" i="18"/>
  <c r="EM437" i="18"/>
  <c r="AK58" i="22"/>
  <c r="U58" i="22"/>
  <c r="AD58" i="22"/>
  <c r="AG58" i="22"/>
  <c r="Z58" i="22"/>
  <c r="W58" i="22"/>
  <c r="X58" i="22"/>
  <c r="T58" i="22"/>
  <c r="T85" i="22" s="1"/>
  <c r="AA58" i="22"/>
  <c r="AC58" i="22"/>
  <c r="AJ58" i="22"/>
  <c r="AL58" i="22"/>
  <c r="AB58" i="22"/>
  <c r="AE58" i="22"/>
  <c r="AH58" i="22"/>
  <c r="AF58" i="22"/>
  <c r="AI58" i="22"/>
  <c r="V58" i="22"/>
  <c r="Y58" i="22"/>
  <c r="EK396" i="10"/>
  <c r="EK619" i="2"/>
  <c r="EK457" i="2" s="1"/>
  <c r="EP458" i="2" s="1"/>
  <c r="R25" i="21"/>
  <c r="R26" i="21" s="1"/>
  <c r="EG235" i="2"/>
  <c r="EG218" i="2"/>
  <c r="EG382" i="10"/>
  <c r="EI217" i="2"/>
  <c r="ER435" i="18"/>
  <c r="H3396" i="3"/>
  <c r="G3404" i="3"/>
  <c r="EK395" i="10"/>
  <c r="EN426" i="18"/>
  <c r="EN427" i="18" s="1"/>
  <c r="T26" i="22"/>
  <c r="EO410" i="18"/>
  <c r="EN472" i="18"/>
  <c r="C3287" i="3"/>
  <c r="EK372" i="10"/>
  <c r="EK47" i="18"/>
  <c r="ED66" i="18"/>
  <c r="ED67" i="18"/>
  <c r="ED68" i="18"/>
  <c r="C250" i="24"/>
  <c r="EI692" i="18"/>
  <c r="EJ692" i="18" s="1"/>
  <c r="EG681" i="18"/>
  <c r="EI680" i="18"/>
  <c r="EI681" i="18" s="1"/>
  <c r="EJ681" i="18" s="1"/>
  <c r="EK681" i="18" s="1"/>
  <c r="EL681" i="18" s="1"/>
  <c r="EM681" i="18" s="1"/>
  <c r="EN681" i="18" s="1"/>
  <c r="EO681" i="18" s="1"/>
  <c r="EP681" i="18" s="1"/>
  <c r="EQ681" i="18" s="1"/>
  <c r="ER681" i="18" s="1"/>
  <c r="ES681" i="18" s="1"/>
  <c r="Z46" i="22"/>
  <c r="V29" i="22"/>
  <c r="AM58" i="22" s="1"/>
  <c r="AB48" i="22"/>
  <c r="W43" i="22"/>
  <c r="V42" i="22"/>
  <c r="U41" i="22"/>
  <c r="X44" i="22"/>
  <c r="Y45" i="22"/>
  <c r="AA47" i="22"/>
  <c r="AC49" i="22"/>
  <c r="AD50" i="22"/>
  <c r="AE51" i="22"/>
  <c r="AF52" i="22"/>
  <c r="AG53" i="22"/>
  <c r="AH54" i="22"/>
  <c r="AI55" i="22"/>
  <c r="AJ56" i="22"/>
  <c r="EQ168" i="18"/>
  <c r="EP63" i="18"/>
  <c r="EI682" i="18"/>
  <c r="EF682" i="18"/>
  <c r="EE682" i="18"/>
  <c r="O3383" i="3"/>
  <c r="O3384" i="3" s="1"/>
  <c r="Q87" i="21"/>
  <c r="Q86" i="21"/>
  <c r="EN68" i="2"/>
  <c r="EJ623" i="2"/>
  <c r="X25" i="20"/>
  <c r="EM268" i="18"/>
  <c r="EL276" i="18"/>
  <c r="W28" i="20"/>
  <c r="W29" i="20" s="1"/>
  <c r="S86" i="22"/>
  <c r="S87" i="22"/>
  <c r="EI325" i="18"/>
  <c r="C279" i="24"/>
  <c r="AK57" i="22"/>
  <c r="EJ448" i="18"/>
  <c r="EK443" i="18"/>
  <c r="EJ447" i="18"/>
  <c r="EL468" i="18"/>
  <c r="EL539" i="18" s="1"/>
  <c r="P26" i="29"/>
  <c r="P27" i="29" s="1"/>
  <c r="EM492" i="18"/>
  <c r="EM493" i="18" s="1"/>
  <c r="L3367" i="3"/>
  <c r="K3375" i="3"/>
  <c r="EM242" i="18"/>
  <c r="EM243" i="18"/>
  <c r="EN238" i="18"/>
  <c r="EH184" i="18"/>
  <c r="EH185" i="18"/>
  <c r="EE57" i="18"/>
  <c r="L10" i="29"/>
  <c r="K18" i="29"/>
  <c r="EQ143" i="18"/>
  <c r="EK480" i="18"/>
  <c r="EK484" i="18"/>
  <c r="EL476" i="18"/>
  <c r="EK481" i="18"/>
  <c r="EM277" i="18"/>
  <c r="EM48" i="18" s="1"/>
  <c r="EN270" i="18"/>
  <c r="EG43" i="18"/>
  <c r="EG260" i="18"/>
  <c r="EG430" i="10"/>
  <c r="EG356" i="2"/>
  <c r="EG372" i="2"/>
  <c r="EI355" i="2"/>
  <c r="EI420" i="2"/>
  <c r="EJ417" i="2" s="1"/>
  <c r="EH421" i="2"/>
  <c r="EH422" i="2"/>
  <c r="EI422" i="2" s="1"/>
  <c r="C90" i="6"/>
  <c r="D90" i="6" s="1"/>
  <c r="E90" i="6" s="1"/>
  <c r="F90" i="6" s="1"/>
  <c r="G90" i="6" s="1"/>
  <c r="H90" i="6" s="1"/>
  <c r="I90" i="6" s="1"/>
  <c r="J90" i="6" s="1"/>
  <c r="K90" i="6" s="1"/>
  <c r="EI176" i="18"/>
  <c r="EG183" i="18"/>
  <c r="EN130" i="18"/>
  <c r="EN131" i="18" s="1"/>
  <c r="G4855" i="3"/>
  <c r="G4850" i="3"/>
  <c r="G4856" i="3" s="1"/>
  <c r="EK627" i="2"/>
  <c r="E5730" i="3"/>
  <c r="B215" i="24"/>
  <c r="B220" i="24"/>
  <c r="EG651" i="2"/>
  <c r="EG654" i="2" s="1"/>
  <c r="EH654" i="2" s="1"/>
  <c r="EH698" i="18"/>
  <c r="EH699" i="18" s="1"/>
  <c r="EI695" i="18"/>
  <c r="EH700" i="18" s="1"/>
  <c r="EM205" i="18"/>
  <c r="EM207" i="18" s="1"/>
  <c r="F86" i="24"/>
  <c r="EL209" i="18"/>
  <c r="EL213" i="18"/>
  <c r="EL210" i="18"/>
  <c r="EL206" i="18"/>
  <c r="EL257" i="18"/>
  <c r="EF278" i="18"/>
  <c r="EG682" i="18"/>
  <c r="C3824" i="3"/>
  <c r="C3807" i="3"/>
  <c r="C3833" i="3" s="1"/>
  <c r="L3394" i="3"/>
  <c r="K3397" i="3"/>
  <c r="D3414" i="3"/>
  <c r="D3415" i="3" s="1"/>
  <c r="C3289" i="3"/>
  <c r="EK374" i="10"/>
  <c r="EG698" i="18"/>
  <c r="EI696" i="18"/>
  <c r="EI697" i="18" s="1"/>
  <c r="EJ432" i="10"/>
  <c r="EL346" i="10"/>
  <c r="EL208" i="10"/>
  <c r="D3276" i="3"/>
  <c r="U87" i="20"/>
  <c r="U86" i="20"/>
  <c r="K40" i="29"/>
  <c r="L37" i="29"/>
  <c r="EK376" i="10"/>
  <c r="C3291" i="3"/>
  <c r="C3293" i="3" s="1"/>
  <c r="EF321" i="18"/>
  <c r="EF315" i="18"/>
  <c r="EF674" i="18"/>
  <c r="EM384" i="18"/>
  <c r="EM385" i="18" s="1"/>
  <c r="EM488" i="18" s="1"/>
  <c r="EM466" i="18"/>
  <c r="X43" i="20"/>
  <c r="AA46" i="20"/>
  <c r="W42" i="20"/>
  <c r="Z45" i="20"/>
  <c r="AH53" i="20"/>
  <c r="AF51" i="20"/>
  <c r="AG52" i="20"/>
  <c r="V41" i="20"/>
  <c r="V85" i="20" s="1"/>
  <c r="AD49" i="20"/>
  <c r="AE50" i="20"/>
  <c r="AO60" i="20"/>
  <c r="AN59" i="20"/>
  <c r="AM58" i="20"/>
  <c r="AJ55" i="20"/>
  <c r="AI54" i="20"/>
  <c r="AK56" i="20"/>
  <c r="AL57" i="20"/>
  <c r="AC48" i="20"/>
  <c r="AB47" i="20"/>
  <c r="Y44" i="20"/>
  <c r="D57" i="29"/>
  <c r="D58" i="29" s="1"/>
  <c r="EK355" i="10"/>
  <c r="V29" i="21"/>
  <c r="EQ456" i="18"/>
  <c r="EQ457" i="18" s="1"/>
  <c r="EH228" i="18"/>
  <c r="EI228" i="18" s="1"/>
  <c r="EI233" i="18" s="1"/>
  <c r="EJ233" i="18" s="1"/>
  <c r="B69" i="24"/>
  <c r="B211" i="24" s="1"/>
  <c r="B210" i="24"/>
  <c r="B227" i="24" s="1"/>
  <c r="D3277" i="3"/>
  <c r="EL348" i="10"/>
  <c r="EJ379" i="10"/>
  <c r="EJ545" i="2"/>
  <c r="EJ424" i="10"/>
  <c r="D62" i="24"/>
  <c r="D63" i="24" s="1"/>
  <c r="EE334" i="18"/>
  <c r="EE333" i="18"/>
  <c r="EJ421" i="10"/>
  <c r="F1088" i="3" l="1"/>
  <c r="F1106" i="3" s="1"/>
  <c r="F1107" i="3" s="1"/>
  <c r="F1113" i="3" s="1"/>
  <c r="G1086" i="3"/>
  <c r="G1094" i="3" s="1"/>
  <c r="EM569" i="2"/>
  <c r="B1510" i="3"/>
  <c r="F1174" i="3"/>
  <c r="EP552" i="2"/>
  <c r="EP556" i="2" s="1"/>
  <c r="EP555" i="2" s="1"/>
  <c r="F1091" i="3"/>
  <c r="EM567" i="2"/>
  <c r="P1664" i="3"/>
  <c r="P1643" i="3" s="1"/>
  <c r="O1643" i="3"/>
  <c r="P68" i="29"/>
  <c r="P69" i="29" s="1"/>
  <c r="ER82" i="2"/>
  <c r="O118" i="29"/>
  <c r="O69" i="29"/>
  <c r="N118" i="29"/>
  <c r="O3118" i="3"/>
  <c r="O3122" i="3" s="1"/>
  <c r="O3107" i="3"/>
  <c r="O3116" i="3" s="1"/>
  <c r="EP160" i="2"/>
  <c r="O1649" i="3" s="1"/>
  <c r="O1670" i="3" s="1"/>
  <c r="EQ146" i="2"/>
  <c r="EQ83" i="2"/>
  <c r="EQ84" i="2"/>
  <c r="EQ90" i="2"/>
  <c r="EQ149" i="2"/>
  <c r="ER146" i="2" s="1"/>
  <c r="ER148" i="2" s="1"/>
  <c r="EQ104" i="2"/>
  <c r="EQ106" i="2" s="1"/>
  <c r="P3105" i="3"/>
  <c r="EH239" i="2"/>
  <c r="EH240" i="2" s="1"/>
  <c r="EH385" i="10"/>
  <c r="EH236" i="2"/>
  <c r="EH237" i="2"/>
  <c r="EH238" i="2" s="1"/>
  <c r="EH360" i="2"/>
  <c r="EH361" i="2" s="1"/>
  <c r="EH222" i="2"/>
  <c r="EH378" i="2"/>
  <c r="EH433" i="10"/>
  <c r="EH374" i="2"/>
  <c r="EH375" i="2" s="1"/>
  <c r="EH376" i="2"/>
  <c r="EH377" i="2" s="1"/>
  <c r="EO276" i="2"/>
  <c r="I6" i="27"/>
  <c r="I5" i="27"/>
  <c r="EN543" i="2"/>
  <c r="EJ657" i="18" s="1"/>
  <c r="EJ655" i="18" s="1"/>
  <c r="C5" i="27"/>
  <c r="C7" i="27" s="1"/>
  <c r="EN158" i="2"/>
  <c r="EN163" i="2" s="1"/>
  <c r="EM163" i="2"/>
  <c r="EP174" i="2"/>
  <c r="EP141" i="2"/>
  <c r="EP124" i="2"/>
  <c r="EP125" i="2" s="1"/>
  <c r="EP118" i="2"/>
  <c r="EP245" i="2"/>
  <c r="EP246" i="2" s="1"/>
  <c r="EP151" i="2"/>
  <c r="EP150" i="2"/>
  <c r="B2405" i="3"/>
  <c r="B2411" i="3" s="1"/>
  <c r="E5718" i="3"/>
  <c r="E5719" i="3" s="1"/>
  <c r="E5722" i="3" s="1"/>
  <c r="EO97" i="2"/>
  <c r="B2875" i="3"/>
  <c r="B2877" i="3" s="1"/>
  <c r="B2881" i="3" s="1"/>
  <c r="B2882" i="3" s="1"/>
  <c r="EO265" i="2"/>
  <c r="C2471" i="3" s="1"/>
  <c r="C2472" i="3" s="1"/>
  <c r="D2472" i="3" s="1"/>
  <c r="D2471" i="3" s="1"/>
  <c r="EO95" i="2"/>
  <c r="EO107" i="2"/>
  <c r="EO310" i="2"/>
  <c r="EO568" i="2"/>
  <c r="B2387" i="3"/>
  <c r="B2389" i="3" s="1"/>
  <c r="EO288" i="2"/>
  <c r="ER87" i="4"/>
  <c r="ES87" i="4" s="1"/>
  <c r="ES89" i="4"/>
  <c r="EP131" i="2"/>
  <c r="EP143" i="2"/>
  <c r="EP120" i="2"/>
  <c r="G1091" i="3" s="1"/>
  <c r="EP92" i="2"/>
  <c r="EP94" i="2"/>
  <c r="EP91" i="2"/>
  <c r="EP176" i="2"/>
  <c r="N3127" i="3"/>
  <c r="E5733" i="3"/>
  <c r="EN269" i="2"/>
  <c r="EN274" i="2" s="1"/>
  <c r="EM406" i="2"/>
  <c r="EN406" i="2" s="1"/>
  <c r="EN411" i="2" s="1"/>
  <c r="EM74" i="2"/>
  <c r="EM75" i="2" s="1"/>
  <c r="EN108" i="2"/>
  <c r="EN76" i="2" s="1"/>
  <c r="EN77" i="2" s="1"/>
  <c r="EM76" i="2"/>
  <c r="EM77" i="2" s="1"/>
  <c r="EN308" i="2"/>
  <c r="N3119" i="3"/>
  <c r="N3132" i="3"/>
  <c r="G53" i="29"/>
  <c r="G56" i="29" s="1"/>
  <c r="N3122" i="3"/>
  <c r="EQ341" i="10"/>
  <c r="EK413" i="2"/>
  <c r="EK409" i="2"/>
  <c r="EK414" i="2"/>
  <c r="EK452" i="2"/>
  <c r="EK485" i="2" s="1"/>
  <c r="EK410" i="2"/>
  <c r="F3413" i="3"/>
  <c r="EL407" i="2"/>
  <c r="EL412" i="2" s="1"/>
  <c r="EL282" i="2"/>
  <c r="EL77" i="2"/>
  <c r="EK292" i="2"/>
  <c r="EK297" i="2" s="1"/>
  <c r="EK423" i="2" s="1"/>
  <c r="EK418" i="2"/>
  <c r="EJ486" i="2"/>
  <c r="EM275" i="2"/>
  <c r="EM282" i="2"/>
  <c r="EM407" i="2"/>
  <c r="EM412" i="2" s="1"/>
  <c r="EQ110" i="10"/>
  <c r="EQ1020" i="10" s="1"/>
  <c r="EK458" i="2"/>
  <c r="EK407" i="18"/>
  <c r="EK411" i="18"/>
  <c r="EL404" i="18" s="1"/>
  <c r="EK416" i="18"/>
  <c r="EK415" i="18" s="1"/>
  <c r="EK420" i="18" s="1"/>
  <c r="EJ331" i="2"/>
  <c r="EO332" i="2" s="1"/>
  <c r="EK490" i="18"/>
  <c r="EK491" i="18" s="1"/>
  <c r="EK408" i="18"/>
  <c r="EJ187" i="10"/>
  <c r="EJ51" i="2"/>
  <c r="EJ450" i="18"/>
  <c r="EJ445" i="18" s="1"/>
  <c r="EJ444" i="18" s="1"/>
  <c r="EJ449" i="18" s="1"/>
  <c r="EJ420" i="2"/>
  <c r="EK417" i="2" s="1"/>
  <c r="F3426" i="3"/>
  <c r="F3427" i="3" s="1"/>
  <c r="EJ42" i="2"/>
  <c r="EJ13" i="2"/>
  <c r="EJ31" i="2"/>
  <c r="K5199" i="3"/>
  <c r="L5197" i="3"/>
  <c r="EH229" i="18"/>
  <c r="EH231" i="18" s="1"/>
  <c r="EI231" i="18" s="1"/>
  <c r="W28" i="22"/>
  <c r="W29" i="22" s="1"/>
  <c r="X28" i="22" s="1"/>
  <c r="EJ680" i="18"/>
  <c r="ER454" i="18"/>
  <c r="EQ462" i="18"/>
  <c r="EQ458" i="18"/>
  <c r="EQ459" i="18"/>
  <c r="EQ538" i="18"/>
  <c r="EJ654" i="2"/>
  <c r="EH649" i="2"/>
  <c r="EH660" i="2" s="1"/>
  <c r="P3381" i="3"/>
  <c r="O3389" i="3"/>
  <c r="EO424" i="18"/>
  <c r="EN429" i="18"/>
  <c r="EN432" i="18"/>
  <c r="EN428" i="18"/>
  <c r="EN438" i="18" s="1"/>
  <c r="EN437" i="18" s="1"/>
  <c r="EN434" i="18"/>
  <c r="EN494" i="18"/>
  <c r="P32" i="29"/>
  <c r="Q24" i="29"/>
  <c r="J8" i="21"/>
  <c r="S25" i="21"/>
  <c r="S26" i="21" s="1"/>
  <c r="D63" i="29"/>
  <c r="E55" i="29"/>
  <c r="EK601" i="2"/>
  <c r="EO270" i="18"/>
  <c r="EN240" i="18"/>
  <c r="EL354" i="10"/>
  <c r="EG376" i="2"/>
  <c r="EG377" i="2" s="1"/>
  <c r="EG360" i="2"/>
  <c r="EG433" i="10"/>
  <c r="EG378" i="2"/>
  <c r="EG373" i="2"/>
  <c r="EG374" i="2"/>
  <c r="EG375" i="2" s="1"/>
  <c r="EI372" i="2"/>
  <c r="V87" i="20"/>
  <c r="K10" i="20" s="1"/>
  <c r="V86" i="20"/>
  <c r="F87" i="24"/>
  <c r="F88" i="24"/>
  <c r="AJ62" i="20"/>
  <c r="AD62" i="20"/>
  <c r="AO62" i="20"/>
  <c r="AI62" i="20"/>
  <c r="AR62" i="20"/>
  <c r="AH62" i="20"/>
  <c r="AF62" i="20"/>
  <c r="AN62" i="20"/>
  <c r="Z62" i="20"/>
  <c r="AP62" i="20"/>
  <c r="AQ62" i="20"/>
  <c r="Y62" i="20"/>
  <c r="AA62" i="20"/>
  <c r="AK62" i="20"/>
  <c r="AG62" i="20"/>
  <c r="AM62" i="20"/>
  <c r="AE62" i="20"/>
  <c r="X62" i="20"/>
  <c r="AB62" i="20"/>
  <c r="AC62" i="20"/>
  <c r="AL62" i="20"/>
  <c r="EM136" i="10"/>
  <c r="EN58" i="2"/>
  <c r="EN136" i="10" s="1"/>
  <c r="E62" i="24"/>
  <c r="E63" i="24" s="1"/>
  <c r="H3398" i="3"/>
  <c r="H3399" i="3" s="1"/>
  <c r="H41" i="29"/>
  <c r="H42" i="29" s="1"/>
  <c r="EF49" i="18"/>
  <c r="EG278" i="18"/>
  <c r="EK628" i="2"/>
  <c r="L3369" i="3"/>
  <c r="L3370" i="3" s="1"/>
  <c r="EL473" i="18"/>
  <c r="EL479" i="18"/>
  <c r="EL470" i="18"/>
  <c r="EL469" i="18"/>
  <c r="EM465" i="18"/>
  <c r="X26" i="20"/>
  <c r="W42" i="22"/>
  <c r="AA46" i="22"/>
  <c r="Z45" i="22"/>
  <c r="X43" i="22"/>
  <c r="Y44" i="22"/>
  <c r="V41" i="22"/>
  <c r="AC48" i="22"/>
  <c r="AB47" i="22"/>
  <c r="AD49" i="22"/>
  <c r="AE50" i="22"/>
  <c r="AF51" i="22"/>
  <c r="AG52" i="22"/>
  <c r="AH53" i="22"/>
  <c r="AI54" i="22"/>
  <c r="AJ55" i="22"/>
  <c r="AK56" i="22"/>
  <c r="AL57" i="22"/>
  <c r="H3410" i="3"/>
  <c r="G3413" i="3"/>
  <c r="EK432" i="10"/>
  <c r="ES119" i="18"/>
  <c r="ES120" i="18" s="1"/>
  <c r="EK44" i="2"/>
  <c r="EL188" i="10"/>
  <c r="EL352" i="10"/>
  <c r="EJ423" i="10"/>
  <c r="EJ10" i="2"/>
  <c r="EK378" i="10"/>
  <c r="EL42" i="18"/>
  <c r="EL262" i="18"/>
  <c r="B216" i="24"/>
  <c r="B217" i="24"/>
  <c r="EI421" i="2"/>
  <c r="ER143" i="18"/>
  <c r="EJ422" i="10"/>
  <c r="EJ632" i="2"/>
  <c r="EP410" i="18"/>
  <c r="EO472" i="18"/>
  <c r="ES435" i="18"/>
  <c r="EG236" i="2"/>
  <c r="EG385" i="10"/>
  <c r="EG239" i="2"/>
  <c r="EG240" i="2" s="1"/>
  <c r="EG222" i="2"/>
  <c r="EG241" i="2"/>
  <c r="EG237" i="2"/>
  <c r="EG238" i="2" s="1"/>
  <c r="EI235" i="2"/>
  <c r="U56" i="21"/>
  <c r="AD56" i="21"/>
  <c r="R56" i="21"/>
  <c r="R85" i="21" s="1"/>
  <c r="V56" i="21"/>
  <c r="S56" i="21"/>
  <c r="Z56" i="21"/>
  <c r="AF56" i="21"/>
  <c r="AK56" i="21"/>
  <c r="W56" i="21"/>
  <c r="X56" i="21"/>
  <c r="T56" i="21"/>
  <c r="AG56" i="21"/>
  <c r="AI56" i="21"/>
  <c r="AB56" i="21"/>
  <c r="Y56" i="21"/>
  <c r="AA56" i="21"/>
  <c r="AH56" i="21"/>
  <c r="AJ56" i="21"/>
  <c r="AE56" i="21"/>
  <c r="AC56" i="21"/>
  <c r="J7" i="21"/>
  <c r="D3291" i="3"/>
  <c r="D3293" i="3" s="1"/>
  <c r="EL376" i="10"/>
  <c r="EK403" i="10"/>
  <c r="EF322" i="18"/>
  <c r="EF323" i="18"/>
  <c r="EF332" i="18"/>
  <c r="L12" i="29"/>
  <c r="L13" i="29" s="1"/>
  <c r="EK421" i="10"/>
  <c r="EJ426" i="10"/>
  <c r="EJ633" i="2"/>
  <c r="EM386" i="18"/>
  <c r="EN382" i="18"/>
  <c r="EM390" i="18"/>
  <c r="EM387" i="18"/>
  <c r="EM433" i="18"/>
  <c r="EK402" i="10"/>
  <c r="EL621" i="2"/>
  <c r="EL173" i="10"/>
  <c r="EL599" i="2"/>
  <c r="EL349" i="10"/>
  <c r="EI430" i="10"/>
  <c r="EI356" i="2"/>
  <c r="E3412" i="3"/>
  <c r="D3420" i="3"/>
  <c r="Y43" i="20"/>
  <c r="X42" i="20"/>
  <c r="AA45" i="20"/>
  <c r="AD48" i="20"/>
  <c r="AB46" i="20"/>
  <c r="AF50" i="20"/>
  <c r="AG51" i="20"/>
  <c r="AH52" i="20"/>
  <c r="AI53" i="20"/>
  <c r="AE49" i="20"/>
  <c r="AM57" i="20"/>
  <c r="AO59" i="20"/>
  <c r="AN58" i="20"/>
  <c r="AJ54" i="20"/>
  <c r="AL56" i="20"/>
  <c r="AK55" i="20"/>
  <c r="AP60" i="20"/>
  <c r="W41" i="20"/>
  <c r="W85" i="20" s="1"/>
  <c r="AC47" i="20"/>
  <c r="Z44" i="20"/>
  <c r="AQ61" i="20"/>
  <c r="EL617" i="2"/>
  <c r="EL40" i="2"/>
  <c r="EL9" i="4" s="1"/>
  <c r="EL488" i="2"/>
  <c r="EG652" i="2"/>
  <c r="EH652" i="2" s="1"/>
  <c r="EG655" i="2"/>
  <c r="EG653" i="2"/>
  <c r="EH653" i="2" s="1"/>
  <c r="EH648" i="2" s="1"/>
  <c r="AA46" i="21"/>
  <c r="AC48" i="21"/>
  <c r="X43" i="21"/>
  <c r="Z45" i="21"/>
  <c r="AB47" i="21"/>
  <c r="W42" i="21"/>
  <c r="Y44" i="21"/>
  <c r="V41" i="21"/>
  <c r="AD49" i="21"/>
  <c r="AE50" i="21"/>
  <c r="AF51" i="21"/>
  <c r="AG52" i="21"/>
  <c r="AH53" i="21"/>
  <c r="AI54" i="21"/>
  <c r="AJ55" i="21"/>
  <c r="L3397" i="3"/>
  <c r="M3394" i="3"/>
  <c r="EI700" i="18"/>
  <c r="EF700" i="18"/>
  <c r="EE700" i="18"/>
  <c r="EN136" i="18"/>
  <c r="EO128" i="18"/>
  <c r="EN132" i="18"/>
  <c r="EN133" i="18"/>
  <c r="EG45" i="18"/>
  <c r="B228" i="24"/>
  <c r="B231" i="24"/>
  <c r="EK233" i="18"/>
  <c r="EJ112" i="10"/>
  <c r="L40" i="29"/>
  <c r="M37" i="29"/>
  <c r="EG699" i="18"/>
  <c r="EI698" i="18"/>
  <c r="EI699" i="18" s="1"/>
  <c r="EJ699" i="18" s="1"/>
  <c r="EK699" i="18" s="1"/>
  <c r="EL699" i="18" s="1"/>
  <c r="EM699" i="18" s="1"/>
  <c r="EN699" i="18" s="1"/>
  <c r="EO699" i="18" s="1"/>
  <c r="EP699" i="18" s="1"/>
  <c r="EQ699" i="18" s="1"/>
  <c r="ER699" i="18" s="1"/>
  <c r="ES699" i="18" s="1"/>
  <c r="EL661" i="18"/>
  <c r="EL660" i="18" s="1"/>
  <c r="EL211" i="18"/>
  <c r="EL227" i="18"/>
  <c r="EG700" i="18"/>
  <c r="EG184" i="18"/>
  <c r="EG185" i="18"/>
  <c r="EI183" i="18"/>
  <c r="W28" i="21"/>
  <c r="W29" i="21" s="1"/>
  <c r="C3290" i="3"/>
  <c r="C3294" i="3" s="1"/>
  <c r="EK640" i="2"/>
  <c r="EK632" i="2"/>
  <c r="EL353" i="10"/>
  <c r="EL44" i="2"/>
  <c r="EK384" i="10"/>
  <c r="ER168" i="18"/>
  <c r="EQ63" i="18"/>
  <c r="EK401" i="10"/>
  <c r="T87" i="22"/>
  <c r="T86" i="22"/>
  <c r="EM439" i="18"/>
  <c r="EL400" i="10"/>
  <c r="EL189" i="10"/>
  <c r="EL47" i="18"/>
  <c r="EK692" i="18"/>
  <c r="EK264" i="10"/>
  <c r="ER36" i="18"/>
  <c r="ER38" i="18" s="1"/>
  <c r="ER160" i="18"/>
  <c r="ER161" i="18" s="1"/>
  <c r="ER162" i="18"/>
  <c r="EK603" i="2"/>
  <c r="EE59" i="18"/>
  <c r="X28" i="20"/>
  <c r="X29" i="20" s="1"/>
  <c r="EM276" i="18"/>
  <c r="EN268" i="18"/>
  <c r="EN44" i="4"/>
  <c r="C252" i="24"/>
  <c r="C251" i="24"/>
  <c r="C253" i="24"/>
  <c r="EK375" i="10"/>
  <c r="G3425" i="3"/>
  <c r="U25" i="22"/>
  <c r="U26" i="22" s="1"/>
  <c r="EI382" i="10"/>
  <c r="EI218" i="2"/>
  <c r="EL618" i="2"/>
  <c r="EL493" i="2"/>
  <c r="EQ494" i="2" s="1"/>
  <c r="EL405" i="18"/>
  <c r="H1086" i="3" l="1"/>
  <c r="H1094" i="3" s="1"/>
  <c r="G1088" i="3"/>
  <c r="G1106" i="3" s="1"/>
  <c r="G1107" i="3" s="1"/>
  <c r="G1113" i="3" s="1"/>
  <c r="EP551" i="2"/>
  <c r="EP559" i="2" s="1"/>
  <c r="EP562" i="2" s="1"/>
  <c r="Q3105" i="3"/>
  <c r="Q3107" i="3" s="1"/>
  <c r="Q1606" i="3"/>
  <c r="Q1608" i="3" s="1"/>
  <c r="O1644" i="3"/>
  <c r="O1665" i="3" s="1"/>
  <c r="P1665" i="3" s="1"/>
  <c r="P118" i="29"/>
  <c r="EQ552" i="2"/>
  <c r="ER104" i="2"/>
  <c r="ER106" i="2" s="1"/>
  <c r="EQ157" i="2"/>
  <c r="EP162" i="2"/>
  <c r="ER83" i="2"/>
  <c r="ES83" i="2" s="1"/>
  <c r="ER84" i="2"/>
  <c r="ER149" i="2"/>
  <c r="ES149" i="2" s="1"/>
  <c r="ER90" i="2"/>
  <c r="P3118" i="3"/>
  <c r="P3107" i="3"/>
  <c r="P3116" i="3" s="1"/>
  <c r="Q68" i="29"/>
  <c r="O107" i="29"/>
  <c r="U107" i="29"/>
  <c r="T107" i="29"/>
  <c r="S107" i="29"/>
  <c r="V107" i="29"/>
  <c r="P108" i="29"/>
  <c r="V108" i="29"/>
  <c r="T108" i="29"/>
  <c r="U108" i="29"/>
  <c r="EP161" i="2"/>
  <c r="B2145" i="3"/>
  <c r="C2145" i="3" s="1"/>
  <c r="O3132" i="3"/>
  <c r="EP165" i="2"/>
  <c r="EQ120" i="2"/>
  <c r="H1091" i="3" s="1"/>
  <c r="EQ143" i="2"/>
  <c r="EQ131" i="2"/>
  <c r="EQ92" i="2"/>
  <c r="EQ94" i="2"/>
  <c r="EQ91" i="2"/>
  <c r="EQ176" i="2"/>
  <c r="O3127" i="3"/>
  <c r="EL489" i="2"/>
  <c r="EQ489" i="2"/>
  <c r="O3119" i="3"/>
  <c r="O3128" i="3" s="1"/>
  <c r="EQ124" i="2"/>
  <c r="EQ245" i="2"/>
  <c r="EQ246" i="2" s="1"/>
  <c r="EQ118" i="2"/>
  <c r="EQ141" i="2"/>
  <c r="EQ174" i="2"/>
  <c r="EQ151" i="2"/>
  <c r="EQ150" i="2"/>
  <c r="EQ160" i="2"/>
  <c r="P1649" i="3" s="1"/>
  <c r="P1670" i="3" s="1"/>
  <c r="P3110" i="3"/>
  <c r="P3112" i="3" s="1"/>
  <c r="EH364" i="2"/>
  <c r="EH365" i="2" s="1"/>
  <c r="EH431" i="10"/>
  <c r="EH498" i="2"/>
  <c r="EH502" i="2" s="1"/>
  <c r="EH503" i="2" s="1"/>
  <c r="EH224" i="2"/>
  <c r="EH223" i="2"/>
  <c r="EH362" i="2"/>
  <c r="EH363" i="2" s="1"/>
  <c r="EH383" i="10"/>
  <c r="EH227" i="2"/>
  <c r="EH228" i="2" s="1"/>
  <c r="I7" i="27"/>
  <c r="C3503" i="3"/>
  <c r="C3504" i="3" s="1"/>
  <c r="H156" i="19"/>
  <c r="E156" i="19"/>
  <c r="F156" i="19" s="1"/>
  <c r="C8" i="27"/>
  <c r="I8" i="27"/>
  <c r="EP159" i="2"/>
  <c r="EP147" i="2"/>
  <c r="EP152" i="2" s="1"/>
  <c r="C1514" i="3" s="1"/>
  <c r="EO108" i="2"/>
  <c r="EO74" i="2" s="1"/>
  <c r="EO75" i="2" s="1"/>
  <c r="EO299" i="2"/>
  <c r="EO425" i="2" s="1"/>
  <c r="C2875" i="3"/>
  <c r="C2877" i="3" s="1"/>
  <c r="C2881" i="3" s="1"/>
  <c r="C2882" i="3" s="1"/>
  <c r="EO382" i="2"/>
  <c r="EO383" i="2" s="1"/>
  <c r="EP107" i="2"/>
  <c r="EP382" i="2" s="1"/>
  <c r="EP383" i="2" s="1"/>
  <c r="EO269" i="2"/>
  <c r="EO406" i="2" s="1"/>
  <c r="EO411" i="2" s="1"/>
  <c r="ER88" i="4"/>
  <c r="EP276" i="2"/>
  <c r="EP568" i="2"/>
  <c r="EP310" i="2"/>
  <c r="EP265" i="2"/>
  <c r="EP288" i="2"/>
  <c r="EP97" i="2"/>
  <c r="EP95" i="2"/>
  <c r="EP130" i="2"/>
  <c r="N3123" i="3"/>
  <c r="N3124" i="3" s="1"/>
  <c r="N3115" i="3"/>
  <c r="EM411" i="2"/>
  <c r="N3128" i="3"/>
  <c r="N3129" i="3" s="1"/>
  <c r="N3133" i="3"/>
  <c r="H53" i="29"/>
  <c r="I53" i="29" s="1"/>
  <c r="ER341" i="10"/>
  <c r="ES82" i="2"/>
  <c r="EL408" i="2"/>
  <c r="EL419" i="2"/>
  <c r="EL287" i="2"/>
  <c r="EL281" i="2"/>
  <c r="EL293" i="2"/>
  <c r="EL298" i="2" s="1"/>
  <c r="EL424" i="2" s="1"/>
  <c r="EK420" i="2"/>
  <c r="EL417" i="2" s="1"/>
  <c r="EM408" i="2"/>
  <c r="EM287" i="2"/>
  <c r="EM281" i="2"/>
  <c r="EM419" i="2"/>
  <c r="EM293" i="2"/>
  <c r="EM298" i="2" s="1"/>
  <c r="EM424" i="2" s="1"/>
  <c r="EL494" i="2"/>
  <c r="EJ332" i="2"/>
  <c r="EL46" i="2"/>
  <c r="EL13" i="4"/>
  <c r="EL15" i="4" s="1"/>
  <c r="EK331" i="2"/>
  <c r="EP332" i="2" s="1"/>
  <c r="EK486" i="2"/>
  <c r="EK46" i="2"/>
  <c r="EK13" i="4"/>
  <c r="EK15" i="4" s="1"/>
  <c r="EK440" i="18"/>
  <c r="EK417" i="18"/>
  <c r="EK9" i="2"/>
  <c r="EK42" i="2"/>
  <c r="EK446" i="18"/>
  <c r="EK495" i="18" s="1"/>
  <c r="EK418" i="18"/>
  <c r="EL413" i="18"/>
  <c r="EK421" i="18"/>
  <c r="EL406" i="18"/>
  <c r="EL408" i="18" s="1"/>
  <c r="EJ43" i="2"/>
  <c r="EJ11" i="4"/>
  <c r="EJ12" i="4" s="1"/>
  <c r="EJ16" i="4" s="1"/>
  <c r="EJ18" i="4" s="1"/>
  <c r="EJ421" i="2"/>
  <c r="EJ422" i="2"/>
  <c r="EJ14" i="2"/>
  <c r="EJ32" i="2"/>
  <c r="EJ12" i="2"/>
  <c r="EJ8" i="32" s="1"/>
  <c r="EH258" i="18"/>
  <c r="EH43" i="18" s="1"/>
  <c r="EI229" i="18"/>
  <c r="EI234" i="18" s="1"/>
  <c r="EH235" i="18"/>
  <c r="EH230" i="18"/>
  <c r="EH234" i="18"/>
  <c r="L5199" i="3"/>
  <c r="M5197" i="3"/>
  <c r="EJ698" i="18"/>
  <c r="H47" i="29"/>
  <c r="I39" i="29"/>
  <c r="E3277" i="3"/>
  <c r="EM348" i="10"/>
  <c r="EN138" i="2"/>
  <c r="EL396" i="10"/>
  <c r="V25" i="22"/>
  <c r="V26" i="22" s="1"/>
  <c r="AC47" i="21"/>
  <c r="Y43" i="21"/>
  <c r="X42" i="21"/>
  <c r="AB46" i="21"/>
  <c r="AA45" i="21"/>
  <c r="AD48" i="21"/>
  <c r="W41" i="21"/>
  <c r="Z44" i="21"/>
  <c r="AE49" i="21"/>
  <c r="AF50" i="21"/>
  <c r="AG51" i="21"/>
  <c r="AH52" i="21"/>
  <c r="AI53" i="21"/>
  <c r="AJ54" i="21"/>
  <c r="AK55" i="21"/>
  <c r="AL56" i="21"/>
  <c r="AC46" i="20"/>
  <c r="AB45" i="20"/>
  <c r="Z43" i="20"/>
  <c r="AE48" i="20"/>
  <c r="Y42" i="20"/>
  <c r="AF49" i="20"/>
  <c r="AG50" i="20"/>
  <c r="AJ53" i="20"/>
  <c r="AH51" i="20"/>
  <c r="AI52" i="20"/>
  <c r="AK54" i="20"/>
  <c r="AM56" i="20"/>
  <c r="AP59" i="20"/>
  <c r="AN57" i="20"/>
  <c r="AO58" i="20"/>
  <c r="AQ60" i="20"/>
  <c r="AL55" i="20"/>
  <c r="X41" i="20"/>
  <c r="X85" i="20" s="1"/>
  <c r="AD47" i="20"/>
  <c r="AA44" i="20"/>
  <c r="AR61" i="20"/>
  <c r="AS62" i="20"/>
  <c r="ES121" i="18"/>
  <c r="ES122" i="18"/>
  <c r="ES125" i="18"/>
  <c r="ES158" i="18"/>
  <c r="M10" i="29"/>
  <c r="L18" i="29"/>
  <c r="EO268" i="18"/>
  <c r="EI184" i="18"/>
  <c r="EI185" i="18"/>
  <c r="L3375" i="3"/>
  <c r="M3367" i="3"/>
  <c r="C255" i="24"/>
  <c r="C254" i="24"/>
  <c r="EL397" i="10"/>
  <c r="EN114" i="2"/>
  <c r="EN119" i="2" s="1"/>
  <c r="I3410" i="3"/>
  <c r="H3413" i="3"/>
  <c r="EM467" i="18"/>
  <c r="EM468" i="18" s="1"/>
  <c r="EK187" i="10"/>
  <c r="AB57" i="21"/>
  <c r="AI57" i="21"/>
  <c r="AK57" i="21"/>
  <c r="AJ57" i="21"/>
  <c r="Z57" i="21"/>
  <c r="AA57" i="21"/>
  <c r="T57" i="21"/>
  <c r="Y57" i="21"/>
  <c r="AH57" i="21"/>
  <c r="W57" i="21"/>
  <c r="AM57" i="21"/>
  <c r="V57" i="21"/>
  <c r="AD57" i="21"/>
  <c r="S57" i="21"/>
  <c r="S85" i="21" s="1"/>
  <c r="X57" i="21"/>
  <c r="U57" i="21"/>
  <c r="AF57" i="21"/>
  <c r="AL57" i="21"/>
  <c r="AE57" i="21"/>
  <c r="AG57" i="21"/>
  <c r="AC57" i="21"/>
  <c r="EH24" i="4"/>
  <c r="EI24" i="4" s="1"/>
  <c r="EI660" i="2"/>
  <c r="EK379" i="10"/>
  <c r="EN125" i="2"/>
  <c r="EN130" i="2" s="1"/>
  <c r="Z59" i="22"/>
  <c r="AJ59" i="22"/>
  <c r="X59" i="22"/>
  <c r="AI59" i="22"/>
  <c r="AN59" i="22"/>
  <c r="AB59" i="22"/>
  <c r="AL59" i="22"/>
  <c r="W59" i="22"/>
  <c r="U59" i="22"/>
  <c r="U85" i="22" s="1"/>
  <c r="AE59" i="22"/>
  <c r="AG59" i="22"/>
  <c r="AH59" i="22"/>
  <c r="AD59" i="22"/>
  <c r="AO59" i="22"/>
  <c r="AA59" i="22"/>
  <c r="Y59" i="22"/>
  <c r="AM59" i="22"/>
  <c r="AK59" i="22"/>
  <c r="AC59" i="22"/>
  <c r="V59" i="22"/>
  <c r="AF59" i="22"/>
  <c r="EL424" i="10"/>
  <c r="EF333" i="18"/>
  <c r="EF334" i="18"/>
  <c r="EE61" i="18"/>
  <c r="EE67" i="18"/>
  <c r="EN439" i="18"/>
  <c r="EK642" i="2"/>
  <c r="W86" i="20"/>
  <c r="W87" i="20"/>
  <c r="EL355" i="10"/>
  <c r="EL378" i="10"/>
  <c r="EI385" i="10"/>
  <c r="EI236" i="2"/>
  <c r="EI239" i="2"/>
  <c r="EI240" i="2" s="1"/>
  <c r="EI237" i="2"/>
  <c r="EI238" i="2" s="1"/>
  <c r="EI241" i="2"/>
  <c r="EQ410" i="18"/>
  <c r="EP472" i="18"/>
  <c r="EN417" i="2"/>
  <c r="EL420" i="10"/>
  <c r="Y25" i="20"/>
  <c r="Y26" i="20" s="1"/>
  <c r="EK483" i="18"/>
  <c r="EK478" i="18" s="1"/>
  <c r="EK477" i="18" s="1"/>
  <c r="EK482" i="18" s="1"/>
  <c r="EK450" i="18"/>
  <c r="EG361" i="2"/>
  <c r="EG431" i="10"/>
  <c r="EG364" i="2"/>
  <c r="EG362" i="2"/>
  <c r="EG363" i="2" s="1"/>
  <c r="EI360" i="2"/>
  <c r="E57" i="29"/>
  <c r="E58" i="29" s="1"/>
  <c r="EK654" i="2"/>
  <c r="Y28" i="20"/>
  <c r="Y29" i="20" s="1"/>
  <c r="G3426" i="3"/>
  <c r="G3427" i="3" s="1"/>
  <c r="EK423" i="10"/>
  <c r="EJ629" i="2"/>
  <c r="EF50" i="18"/>
  <c r="EP270" i="18"/>
  <c r="T25" i="21"/>
  <c r="T26" i="21" s="1"/>
  <c r="EN492" i="18"/>
  <c r="EN493" i="18" s="1"/>
  <c r="EL692" i="18"/>
  <c r="ES168" i="18"/>
  <c r="ES63" i="18" s="1"/>
  <c r="ER63" i="18"/>
  <c r="EL233" i="18"/>
  <c r="R86" i="21"/>
  <c r="R87" i="21"/>
  <c r="J10" i="21" s="1"/>
  <c r="J11" i="21" s="1"/>
  <c r="X42" i="22"/>
  <c r="X29" i="22"/>
  <c r="Y28" i="22" s="1"/>
  <c r="Y43" i="22"/>
  <c r="AA45" i="22"/>
  <c r="AB46" i="22"/>
  <c r="Z44" i="22"/>
  <c r="W41" i="22"/>
  <c r="AD48" i="22"/>
  <c r="AC47" i="22"/>
  <c r="AE49" i="22"/>
  <c r="AF50" i="22"/>
  <c r="AG51" i="22"/>
  <c r="AH52" i="22"/>
  <c r="AI53" i="22"/>
  <c r="AJ54" i="22"/>
  <c r="AK55" i="22"/>
  <c r="AL56" i="22"/>
  <c r="AM57" i="22"/>
  <c r="AN58" i="22"/>
  <c r="Q26" i="29"/>
  <c r="Q27" i="29" s="1"/>
  <c r="EN259" i="2"/>
  <c r="EN264" i="2" s="1"/>
  <c r="B234" i="24"/>
  <c r="B232" i="24"/>
  <c r="B239" i="24"/>
  <c r="EH659" i="2"/>
  <c r="EI648" i="2"/>
  <c r="EI653" i="2" s="1"/>
  <c r="EJ653" i="2" s="1"/>
  <c r="D3287" i="3"/>
  <c r="EL372" i="10"/>
  <c r="EN384" i="18"/>
  <c r="EN385" i="18" s="1"/>
  <c r="EN488" i="18" s="1"/>
  <c r="EN466" i="18"/>
  <c r="EL395" i="10"/>
  <c r="EM476" i="18"/>
  <c r="EL481" i="18"/>
  <c r="EL484" i="18"/>
  <c r="EL480" i="18"/>
  <c r="EJ141" i="10"/>
  <c r="EL619" i="2"/>
  <c r="EL457" i="2" s="1"/>
  <c r="EQ458" i="2" s="1"/>
  <c r="EG224" i="2"/>
  <c r="EG227" i="2"/>
  <c r="EG383" i="10"/>
  <c r="EG498" i="2"/>
  <c r="EG223" i="2"/>
  <c r="EI222" i="2"/>
  <c r="EJ427" i="10"/>
  <c r="EN137" i="2"/>
  <c r="EN142" i="2" s="1"/>
  <c r="EI373" i="2"/>
  <c r="EI374" i="2"/>
  <c r="EI375" i="2" s="1"/>
  <c r="EI378" i="2"/>
  <c r="EI376" i="2"/>
  <c r="EI377" i="2" s="1"/>
  <c r="EI433" i="10"/>
  <c r="EK422" i="10"/>
  <c r="EO426" i="18"/>
  <c r="EO427" i="18" s="1"/>
  <c r="N3394" i="3"/>
  <c r="M3397" i="3"/>
  <c r="EH647" i="2"/>
  <c r="EH655" i="2"/>
  <c r="EH650" i="2" s="1"/>
  <c r="EH661" i="2" s="1"/>
  <c r="E3414" i="3"/>
  <c r="E3415" i="3" s="1"/>
  <c r="D3288" i="3"/>
  <c r="EL373" i="10"/>
  <c r="EJ643" i="2"/>
  <c r="EJ610" i="2"/>
  <c r="EJ611" i="2" s="1"/>
  <c r="EJ651" i="2"/>
  <c r="EJ649" i="2" s="1"/>
  <c r="EL600" i="2"/>
  <c r="H3404" i="3"/>
  <c r="I3396" i="3"/>
  <c r="EM47" i="18"/>
  <c r="F62" i="24"/>
  <c r="F63" i="24" s="1"/>
  <c r="X28" i="21"/>
  <c r="N37" i="29"/>
  <c r="M40" i="29"/>
  <c r="EO130" i="18"/>
  <c r="EO131" i="18" s="1"/>
  <c r="K15" i="23"/>
  <c r="K11" i="20"/>
  <c r="EJ642" i="2"/>
  <c r="EN632" i="2"/>
  <c r="EJ634" i="2"/>
  <c r="ES143" i="18"/>
  <c r="EK424" i="10"/>
  <c r="EH278" i="18"/>
  <c r="EG49" i="18"/>
  <c r="EG50" i="18" s="1"/>
  <c r="EG57" i="18" s="1"/>
  <c r="EG59" i="18" s="1"/>
  <c r="EG279" i="18"/>
  <c r="EJ128" i="10"/>
  <c r="P3383" i="3"/>
  <c r="P3384" i="3" s="1"/>
  <c r="ER456" i="18"/>
  <c r="ER457" i="18" s="1"/>
  <c r="H1088" i="3" l="1"/>
  <c r="H1106" i="3" s="1"/>
  <c r="H1107" i="3" s="1"/>
  <c r="H1113" i="3" s="1"/>
  <c r="C1510" i="3"/>
  <c r="G1174" i="3"/>
  <c r="ER143" i="2"/>
  <c r="I1086" i="3"/>
  <c r="I1094" i="3" s="1"/>
  <c r="Q3110" i="3"/>
  <c r="Q3112" i="3" s="1"/>
  <c r="Q3118" i="3"/>
  <c r="Q3132" i="3" s="1"/>
  <c r="C286" i="38"/>
  <c r="C302" i="38" s="1"/>
  <c r="ET82" i="2"/>
  <c r="EY82" i="2" s="1"/>
  <c r="EY341" i="10" s="1"/>
  <c r="C288" i="38"/>
  <c r="C33" i="39" s="1"/>
  <c r="ET146" i="2"/>
  <c r="Q1665" i="3"/>
  <c r="Q1644" i="3" s="1"/>
  <c r="P1644" i="3"/>
  <c r="P1645" i="3" s="1"/>
  <c r="P1666" i="3" s="1"/>
  <c r="Q1666" i="3" s="1"/>
  <c r="EP563" i="2"/>
  <c r="EP560" i="2"/>
  <c r="EP565" i="2"/>
  <c r="ER245" i="2"/>
  <c r="ER246" i="2" s="1"/>
  <c r="ER141" i="2"/>
  <c r="ER552" i="2"/>
  <c r="EQ551" i="2"/>
  <c r="EQ556" i="2"/>
  <c r="EQ555" i="2" s="1"/>
  <c r="ER124" i="2"/>
  <c r="ER125" i="2" s="1"/>
  <c r="ES104" i="2"/>
  <c r="ER440" i="2"/>
  <c r="ER445" i="2" s="1"/>
  <c r="ER118" i="2"/>
  <c r="ES150" i="2"/>
  <c r="ER157" i="2"/>
  <c r="ES157" i="2" s="1"/>
  <c r="EQ162" i="2"/>
  <c r="ER131" i="2"/>
  <c r="ER94" i="2"/>
  <c r="ER107" i="2" s="1"/>
  <c r="ER120" i="2"/>
  <c r="I1091" i="3" s="1"/>
  <c r="ER91" i="2"/>
  <c r="ER92" i="2"/>
  <c r="ER151" i="2"/>
  <c r="ER147" i="2" s="1"/>
  <c r="ER152" i="2" s="1"/>
  <c r="E1514" i="3" s="1"/>
  <c r="ER150" i="2"/>
  <c r="P3119" i="3"/>
  <c r="P3128" i="3" s="1"/>
  <c r="Q69" i="29"/>
  <c r="Q118" i="29"/>
  <c r="ES84" i="2"/>
  <c r="EQ107" i="2"/>
  <c r="EQ382" i="2" s="1"/>
  <c r="EQ383" i="2" s="1"/>
  <c r="O3129" i="3"/>
  <c r="O3115" i="3"/>
  <c r="EQ125" i="2"/>
  <c r="EQ165" i="2"/>
  <c r="EQ161" i="2"/>
  <c r="P3127" i="3"/>
  <c r="O3123" i="3"/>
  <c r="O3124" i="3" s="1"/>
  <c r="EQ568" i="2"/>
  <c r="EQ276" i="2"/>
  <c r="EQ288" i="2"/>
  <c r="EQ310" i="2"/>
  <c r="EQ265" i="2"/>
  <c r="EQ95" i="2"/>
  <c r="EQ97" i="2"/>
  <c r="O3133" i="3"/>
  <c r="P3132" i="3"/>
  <c r="P3122" i="3"/>
  <c r="EH510" i="2"/>
  <c r="EH512" i="2" s="1"/>
  <c r="EH513" i="2" s="1"/>
  <c r="EH500" i="2"/>
  <c r="EH501" i="2" s="1"/>
  <c r="EH499" i="2"/>
  <c r="EH226" i="2"/>
  <c r="EH225" i="2"/>
  <c r="G156" i="19"/>
  <c r="J156" i="19" s="1"/>
  <c r="EP158" i="2"/>
  <c r="EP163" i="2" s="1"/>
  <c r="C1515" i="3" s="1"/>
  <c r="EO76" i="2"/>
  <c r="B2395" i="3"/>
  <c r="B2397" i="3" s="1"/>
  <c r="EP269" i="2"/>
  <c r="EP270" i="2" s="1"/>
  <c r="EP108" i="2"/>
  <c r="EP76" i="2" s="1"/>
  <c r="EP263" i="2"/>
  <c r="EP308" i="2"/>
  <c r="EP299" i="2"/>
  <c r="EP425" i="2" s="1"/>
  <c r="ES88" i="4"/>
  <c r="ER91" i="4"/>
  <c r="H56" i="29"/>
  <c r="ES341" i="10"/>
  <c r="EL413" i="2"/>
  <c r="EL452" i="2"/>
  <c r="EL485" i="2" s="1"/>
  <c r="EL414" i="2"/>
  <c r="EL409" i="2"/>
  <c r="EL410" i="2"/>
  <c r="EK422" i="2"/>
  <c r="EK421" i="2"/>
  <c r="EL418" i="2"/>
  <c r="EL420" i="2" s="1"/>
  <c r="EL286" i="2"/>
  <c r="EL292" i="2"/>
  <c r="EL297" i="2" s="1"/>
  <c r="EL423" i="2" s="1"/>
  <c r="EO135" i="2"/>
  <c r="EO140" i="2"/>
  <c r="EM452" i="2"/>
  <c r="EM485" i="2" s="1"/>
  <c r="EM486" i="2" s="1"/>
  <c r="EM409" i="2"/>
  <c r="EM414" i="2"/>
  <c r="EM413" i="2"/>
  <c r="EM410" i="2"/>
  <c r="EM286" i="2"/>
  <c r="EM418" i="2"/>
  <c r="EM292" i="2"/>
  <c r="EN281" i="2"/>
  <c r="EN286" i="2" s="1"/>
  <c r="EL51" i="2"/>
  <c r="EK332" i="2"/>
  <c r="EL458" i="2"/>
  <c r="EK51" i="2"/>
  <c r="EL443" i="18"/>
  <c r="EK447" i="18"/>
  <c r="EK448" i="18"/>
  <c r="EK43" i="2"/>
  <c r="EK11" i="4"/>
  <c r="EK12" i="4" s="1"/>
  <c r="EK16" i="4" s="1"/>
  <c r="EK18" i="4" s="1"/>
  <c r="EK31" i="2"/>
  <c r="EK13" i="2"/>
  <c r="EL633" i="2"/>
  <c r="EL643" i="2" s="1"/>
  <c r="EL264" i="10"/>
  <c r="EL490" i="18"/>
  <c r="EL491" i="18" s="1"/>
  <c r="EL407" i="18"/>
  <c r="EL416" i="18"/>
  <c r="EL418" i="18" s="1"/>
  <c r="EL411" i="18"/>
  <c r="EM404" i="18" s="1"/>
  <c r="EM402" i="18"/>
  <c r="EM405" i="18" s="1"/>
  <c r="EJ47" i="2"/>
  <c r="EJ49" i="2" s="1"/>
  <c r="EJ52" i="2" s="1"/>
  <c r="EJ50" i="2"/>
  <c r="EK10" i="2"/>
  <c r="EJ15" i="2"/>
  <c r="EJ575" i="2"/>
  <c r="EJ570" i="2"/>
  <c r="EJ19" i="4"/>
  <c r="EI258" i="18"/>
  <c r="EI260" i="18" s="1"/>
  <c r="EH260" i="18"/>
  <c r="EI235" i="18"/>
  <c r="EI230" i="18"/>
  <c r="EJ226" i="18"/>
  <c r="EJ228" i="18" s="1"/>
  <c r="EJ229" i="18" s="1"/>
  <c r="K7" i="22"/>
  <c r="M5199" i="3"/>
  <c r="N5197" i="3"/>
  <c r="N5199" i="3" s="1"/>
  <c r="W25" i="22"/>
  <c r="W26" i="22" s="1"/>
  <c r="K8" i="22"/>
  <c r="U25" i="21"/>
  <c r="U26" i="21" s="1"/>
  <c r="AD46" i="20"/>
  <c r="Z42" i="20"/>
  <c r="AC45" i="20"/>
  <c r="AA43" i="20"/>
  <c r="AJ52" i="20"/>
  <c r="Y41" i="20"/>
  <c r="AG49" i="20"/>
  <c r="AH50" i="20"/>
  <c r="AL54" i="20"/>
  <c r="AI51" i="20"/>
  <c r="AM55" i="20"/>
  <c r="AK53" i="20"/>
  <c r="AO57" i="20"/>
  <c r="AP58" i="20"/>
  <c r="AR60" i="20"/>
  <c r="AN56" i="20"/>
  <c r="AQ59" i="20"/>
  <c r="AF48" i="20"/>
  <c r="AE47" i="20"/>
  <c r="AB44" i="20"/>
  <c r="AS61" i="20"/>
  <c r="AT62" i="20"/>
  <c r="EL601" i="2"/>
  <c r="EO133" i="18"/>
  <c r="EO132" i="18"/>
  <c r="EP128" i="18"/>
  <c r="EO136" i="18"/>
  <c r="EO432" i="18"/>
  <c r="EO428" i="18"/>
  <c r="EO438" i="18" s="1"/>
  <c r="EO429" i="18"/>
  <c r="EP424" i="18"/>
  <c r="EO434" i="18"/>
  <c r="EO494" i="18"/>
  <c r="EM470" i="18"/>
  <c r="EM479" i="18"/>
  <c r="EN465" i="18"/>
  <c r="EM473" i="18"/>
  <c r="EM469" i="18"/>
  <c r="EM539" i="18"/>
  <c r="J53" i="29"/>
  <c r="I56" i="29"/>
  <c r="EG502" i="2"/>
  <c r="EG503" i="2" s="1"/>
  <c r="EG499" i="2"/>
  <c r="EG500" i="2"/>
  <c r="EG501" i="2" s="1"/>
  <c r="EG510" i="2"/>
  <c r="EI498" i="2"/>
  <c r="EM233" i="18"/>
  <c r="Z25" i="20"/>
  <c r="EN357" i="10"/>
  <c r="M12" i="29"/>
  <c r="M13" i="29" s="1"/>
  <c r="M18" i="29" s="1"/>
  <c r="X87" i="20"/>
  <c r="X86" i="20"/>
  <c r="EM354" i="10"/>
  <c r="EN140" i="2"/>
  <c r="K16" i="23"/>
  <c r="EN405" i="10"/>
  <c r="EF57" i="18"/>
  <c r="AJ63" i="20"/>
  <c r="Z63" i="20"/>
  <c r="AO63" i="20"/>
  <c r="AP63" i="20"/>
  <c r="AH63" i="20"/>
  <c r="AD63" i="20"/>
  <c r="AC63" i="20"/>
  <c r="AN63" i="20"/>
  <c r="AR63" i="20"/>
  <c r="AG63" i="20"/>
  <c r="Y63" i="20"/>
  <c r="AA63" i="20"/>
  <c r="AS63" i="20"/>
  <c r="AE63" i="20"/>
  <c r="AM63" i="20"/>
  <c r="AK63" i="20"/>
  <c r="AF63" i="20"/>
  <c r="AL63" i="20"/>
  <c r="AB63" i="20"/>
  <c r="AQ63" i="20"/>
  <c r="AI63" i="20"/>
  <c r="AT63" i="20"/>
  <c r="EN170" i="2"/>
  <c r="EN175" i="2" s="1"/>
  <c r="EN153" i="2" s="1"/>
  <c r="ES160" i="18"/>
  <c r="ES161" i="18" s="1"/>
  <c r="ES36" i="18"/>
  <c r="ES38" i="18" s="1"/>
  <c r="ES162" i="18"/>
  <c r="EL402" i="10"/>
  <c r="B236" i="24"/>
  <c r="B235" i="24"/>
  <c r="F55" i="29"/>
  <c r="E63" i="29"/>
  <c r="EH49" i="18"/>
  <c r="EH50" i="18" s="1"/>
  <c r="EI50" i="18" s="1"/>
  <c r="EH279" i="18"/>
  <c r="EI279" i="18" s="1"/>
  <c r="EI278" i="18"/>
  <c r="EJ278" i="18" s="1"/>
  <c r="EL622" i="2"/>
  <c r="EI362" i="2"/>
  <c r="EI363" i="2" s="1"/>
  <c r="EI364" i="2"/>
  <c r="EI365" i="2" s="1"/>
  <c r="EI431" i="10"/>
  <c r="EI361" i="2"/>
  <c r="EM598" i="2"/>
  <c r="EM493" i="2" s="1"/>
  <c r="EN260" i="2"/>
  <c r="EM394" i="10"/>
  <c r="EG228" i="2"/>
  <c r="EN387" i="18"/>
  <c r="EO382" i="18"/>
  <c r="EN386" i="18"/>
  <c r="EN390" i="18"/>
  <c r="EN433" i="18"/>
  <c r="EK653" i="2"/>
  <c r="EJ648" i="2"/>
  <c r="EJ641" i="2"/>
  <c r="EG365" i="2"/>
  <c r="EJ127" i="10"/>
  <c r="EL426" i="10"/>
  <c r="I3413" i="3"/>
  <c r="J3410" i="3"/>
  <c r="EJ153" i="4"/>
  <c r="EJ104" i="10"/>
  <c r="EJ1032" i="10" s="1"/>
  <c r="EL403" i="10"/>
  <c r="EN139" i="2"/>
  <c r="EN143" i="2"/>
  <c r="EN348" i="10"/>
  <c r="EI224" i="2"/>
  <c r="EI226" i="2" s="1"/>
  <c r="EI383" i="10"/>
  <c r="EI227" i="2"/>
  <c r="EI228" i="2" s="1"/>
  <c r="EI223" i="2"/>
  <c r="O37" i="29"/>
  <c r="N40" i="29"/>
  <c r="ER459" i="18"/>
  <c r="ER458" i="18"/>
  <c r="ES454" i="18"/>
  <c r="ER462" i="18"/>
  <c r="EL384" i="10"/>
  <c r="EH23" i="4"/>
  <c r="EI23" i="4" s="1"/>
  <c r="EI659" i="2"/>
  <c r="EM692" i="18"/>
  <c r="EJ660" i="2"/>
  <c r="EJ24" i="4" s="1"/>
  <c r="EN649" i="2"/>
  <c r="EL603" i="2"/>
  <c r="X29" i="21"/>
  <c r="AO58" i="21" s="1"/>
  <c r="EG314" i="18"/>
  <c r="EG65" i="18"/>
  <c r="EG61" i="18"/>
  <c r="Z28" i="20"/>
  <c r="F3412" i="3"/>
  <c r="E3420" i="3"/>
  <c r="EJ636" i="2"/>
  <c r="EJ639" i="2"/>
  <c r="EN634" i="2"/>
  <c r="EN639" i="2" s="1"/>
  <c r="EG226" i="2"/>
  <c r="EG225" i="2"/>
  <c r="R24" i="29"/>
  <c r="Q32" i="29"/>
  <c r="ER538" i="18"/>
  <c r="E4935" i="3"/>
  <c r="EN642" i="2"/>
  <c r="EI661" i="2"/>
  <c r="EH25" i="4"/>
  <c r="EM600" i="2"/>
  <c r="S87" i="21"/>
  <c r="S86" i="21"/>
  <c r="EL654" i="2"/>
  <c r="ER410" i="18"/>
  <c r="EQ472" i="18"/>
  <c r="U86" i="22"/>
  <c r="U87" i="22"/>
  <c r="EP268" i="18"/>
  <c r="AB45" i="22"/>
  <c r="Y29" i="22"/>
  <c r="Z28" i="22" s="1"/>
  <c r="Y42" i="22"/>
  <c r="AC46" i="22"/>
  <c r="AE48" i="22"/>
  <c r="Z43" i="22"/>
  <c r="X41" i="22"/>
  <c r="AA44" i="22"/>
  <c r="AD47" i="22"/>
  <c r="AF49" i="22"/>
  <c r="AG50" i="22"/>
  <c r="AH51" i="22"/>
  <c r="AI52" i="22"/>
  <c r="AJ53" i="22"/>
  <c r="AK54" i="22"/>
  <c r="AL55" i="22"/>
  <c r="AM56" i="22"/>
  <c r="AN57" i="22"/>
  <c r="AO58" i="22"/>
  <c r="EH45" i="18"/>
  <c r="EI43" i="18"/>
  <c r="AL58" i="21"/>
  <c r="U58" i="21"/>
  <c r="AI58" i="21"/>
  <c r="AC58" i="21"/>
  <c r="V58" i="21"/>
  <c r="X58" i="21"/>
  <c r="AF58" i="21"/>
  <c r="AG58" i="21"/>
  <c r="AA58" i="21"/>
  <c r="W58" i="21"/>
  <c r="AD58" i="21"/>
  <c r="AK58" i="21"/>
  <c r="AM58" i="21"/>
  <c r="AH58" i="21"/>
  <c r="AJ58" i="21"/>
  <c r="Y58" i="21"/>
  <c r="Z58" i="21"/>
  <c r="AE58" i="21"/>
  <c r="T58" i="21"/>
  <c r="T85" i="21" s="1"/>
  <c r="AN58" i="21"/>
  <c r="AB58" i="21"/>
  <c r="EK445" i="18"/>
  <c r="EK444" i="18" s="1"/>
  <c r="EK449" i="18" s="1"/>
  <c r="E3276" i="3"/>
  <c r="EM208" i="10"/>
  <c r="EM346" i="10"/>
  <c r="EN115" i="2"/>
  <c r="C3024" i="3"/>
  <c r="AP59" i="22"/>
  <c r="I41" i="29"/>
  <c r="I42" i="29" s="1"/>
  <c r="Q3381" i="3"/>
  <c r="P3389" i="3"/>
  <c r="EK629" i="2"/>
  <c r="EK641" i="2" s="1"/>
  <c r="AN60" i="22"/>
  <c r="AA60" i="22"/>
  <c r="X60" i="22"/>
  <c r="AJ60" i="22"/>
  <c r="AQ60" i="22"/>
  <c r="W60" i="22"/>
  <c r="AO60" i="22"/>
  <c r="AE60" i="22"/>
  <c r="AI60" i="22"/>
  <c r="AC60" i="22"/>
  <c r="AD60" i="22"/>
  <c r="AM60" i="22"/>
  <c r="AG60" i="22"/>
  <c r="AB60" i="22"/>
  <c r="AP60" i="22"/>
  <c r="AL60" i="22"/>
  <c r="V60" i="22"/>
  <c r="V85" i="22" s="1"/>
  <c r="AK60" i="22"/>
  <c r="AH60" i="22"/>
  <c r="AF60" i="22"/>
  <c r="Y60" i="22"/>
  <c r="Z60" i="22"/>
  <c r="EN182" i="2"/>
  <c r="EN606" i="2" s="1"/>
  <c r="EH658" i="2"/>
  <c r="EI647" i="2"/>
  <c r="EI652" i="2" s="1"/>
  <c r="EJ652" i="2" s="1"/>
  <c r="EN126" i="2"/>
  <c r="EM347" i="10"/>
  <c r="EL41" i="2"/>
  <c r="EL10" i="4" s="1"/>
  <c r="EK112" i="10"/>
  <c r="EK426" i="10"/>
  <c r="EK633" i="2"/>
  <c r="I3398" i="3"/>
  <c r="I3399" i="3" s="1"/>
  <c r="N3397" i="3"/>
  <c r="O3394" i="3"/>
  <c r="EL640" i="2"/>
  <c r="EL401" i="10"/>
  <c r="EQ270" i="18"/>
  <c r="M3369" i="3"/>
  <c r="M3370" i="3" s="1"/>
  <c r="M3375" i="3" s="1"/>
  <c r="EY83" i="2" l="1"/>
  <c r="EY149" i="2"/>
  <c r="D1510" i="3"/>
  <c r="H1174" i="3"/>
  <c r="I1088" i="3"/>
  <c r="I1106" i="3" s="1"/>
  <c r="I1107" i="3" s="1"/>
  <c r="I1113" i="3" s="1"/>
  <c r="ET104" i="2"/>
  <c r="EU82" i="2"/>
  <c r="EZ82" i="2" s="1"/>
  <c r="C32" i="39"/>
  <c r="Q3122" i="3"/>
  <c r="Q3127" i="3"/>
  <c r="EN354" i="10"/>
  <c r="E286" i="38"/>
  <c r="C287" i="38"/>
  <c r="D287" i="38" s="1"/>
  <c r="G287" i="38" s="1"/>
  <c r="E288" i="38"/>
  <c r="ET83" i="2"/>
  <c r="ET149" i="2"/>
  <c r="EU146" i="2" s="1"/>
  <c r="ET84" i="2"/>
  <c r="R1606" i="3"/>
  <c r="ET341" i="10"/>
  <c r="C304" i="38"/>
  <c r="C343" i="38" s="1"/>
  <c r="R1666" i="3"/>
  <c r="Q1645" i="3"/>
  <c r="EQ559" i="2"/>
  <c r="ER551" i="2"/>
  <c r="ER556" i="2"/>
  <c r="ER555" i="2" s="1"/>
  <c r="ER169" i="2"/>
  <c r="ER174" i="2" s="1"/>
  <c r="ER159" i="2"/>
  <c r="EX146" i="2"/>
  <c r="ES151" i="2"/>
  <c r="ER108" i="2"/>
  <c r="ER269" i="2"/>
  <c r="ER382" i="2"/>
  <c r="ER383" i="2" s="1"/>
  <c r="ER308" i="2"/>
  <c r="ER299" i="2"/>
  <c r="ER425" i="2" s="1"/>
  <c r="ER263" i="2"/>
  <c r="EM494" i="2"/>
  <c r="ER494" i="2"/>
  <c r="ER568" i="2"/>
  <c r="ER265" i="2"/>
  <c r="ER288" i="2"/>
  <c r="ER310" i="2"/>
  <c r="ER276" i="2"/>
  <c r="ER97" i="2"/>
  <c r="ER95" i="2"/>
  <c r="ER130" i="2"/>
  <c r="ER442" i="2"/>
  <c r="EW443" i="2" s="1"/>
  <c r="ER182" i="2"/>
  <c r="ER171" i="2"/>
  <c r="EW172" i="2" s="1"/>
  <c r="P3133" i="3"/>
  <c r="P3123" i="3"/>
  <c r="P3124" i="3" s="1"/>
  <c r="P3115" i="3"/>
  <c r="Q109" i="29"/>
  <c r="U109" i="29"/>
  <c r="V109" i="29"/>
  <c r="EO77" i="2"/>
  <c r="EP77" i="2"/>
  <c r="ET85" i="4"/>
  <c r="EX85" i="4" s="1"/>
  <c r="ET89" i="4"/>
  <c r="EQ263" i="2"/>
  <c r="EQ308" i="2"/>
  <c r="EQ299" i="2"/>
  <c r="EQ425" i="2" s="1"/>
  <c r="EQ269" i="2"/>
  <c r="EQ270" i="2" s="1"/>
  <c r="EQ407" i="2" s="1"/>
  <c r="EQ412" i="2" s="1"/>
  <c r="EQ108" i="2"/>
  <c r="EQ76" i="2" s="1"/>
  <c r="EQ130" i="2"/>
  <c r="P3129" i="3"/>
  <c r="EH518" i="2"/>
  <c r="EH520" i="2" s="1"/>
  <c r="EH521" i="2" s="1"/>
  <c r="EH511" i="2"/>
  <c r="EH516" i="2"/>
  <c r="EH514" i="2"/>
  <c r="EH515" i="2" s="1"/>
  <c r="I156" i="19"/>
  <c r="EP406" i="2"/>
  <c r="EP411" i="2" s="1"/>
  <c r="EP74" i="2"/>
  <c r="EP75" i="2" s="1"/>
  <c r="EP320" i="2"/>
  <c r="EN164" i="2"/>
  <c r="B2399" i="3"/>
  <c r="B2410" i="3" s="1"/>
  <c r="B2407" i="3"/>
  <c r="B2412" i="3" s="1"/>
  <c r="EO123" i="2"/>
  <c r="EO181" i="2" s="1"/>
  <c r="EO200" i="2" s="1"/>
  <c r="EN132" i="2"/>
  <c r="ER93" i="4"/>
  <c r="ES91" i="4"/>
  <c r="EP275" i="2"/>
  <c r="EP282" i="2"/>
  <c r="EP407" i="2"/>
  <c r="EP412" i="2" s="1"/>
  <c r="EL486" i="2"/>
  <c r="EM417" i="2"/>
  <c r="EM420" i="2" s="1"/>
  <c r="EL422" i="2"/>
  <c r="EL421" i="2"/>
  <c r="EO257" i="2"/>
  <c r="EO262" i="2"/>
  <c r="EO112" i="2"/>
  <c r="EO117" i="2"/>
  <c r="EO137" i="2"/>
  <c r="EO182" i="2"/>
  <c r="EO203" i="2" s="1"/>
  <c r="ES135" i="2"/>
  <c r="EM297" i="2"/>
  <c r="EM423" i="2" s="1"/>
  <c r="EN292" i="2"/>
  <c r="EN297" i="2" s="1"/>
  <c r="EN423" i="2" s="1"/>
  <c r="EN418" i="2"/>
  <c r="B2922" i="3"/>
  <c r="B2927" i="3"/>
  <c r="B2996" i="3"/>
  <c r="B2999" i="3" s="1"/>
  <c r="B3000" i="3" s="1"/>
  <c r="D3024" i="3"/>
  <c r="C3025" i="3"/>
  <c r="D3025" i="3" s="1"/>
  <c r="EK50" i="2"/>
  <c r="EK47" i="2"/>
  <c r="EK49" i="2" s="1"/>
  <c r="EK52" i="2" s="1"/>
  <c r="EM413" i="18"/>
  <c r="EM406" i="18"/>
  <c r="EM490" i="18" s="1"/>
  <c r="EM491" i="18" s="1"/>
  <c r="EL651" i="2"/>
  <c r="EL649" i="2" s="1"/>
  <c r="EL610" i="2"/>
  <c r="EL611" i="2" s="1"/>
  <c r="EK19" i="4"/>
  <c r="EL417" i="18"/>
  <c r="EL421" i="18"/>
  <c r="EL440" i="18"/>
  <c r="EL446" i="18"/>
  <c r="EL495" i="18" s="1"/>
  <c r="EK14" i="2"/>
  <c r="EK32" i="2"/>
  <c r="EK12" i="2"/>
  <c r="EK8" i="32" s="1"/>
  <c r="EL415" i="18"/>
  <c r="EL420" i="18" s="1"/>
  <c r="EL483" i="18" s="1"/>
  <c r="EL478" i="18" s="1"/>
  <c r="EL477" i="18" s="1"/>
  <c r="EL482" i="18" s="1"/>
  <c r="EK427" i="10"/>
  <c r="Y28" i="21"/>
  <c r="Y29" i="21" s="1"/>
  <c r="Z28" i="21" s="1"/>
  <c r="EH314" i="18"/>
  <c r="EH321" i="18" s="1"/>
  <c r="V25" i="21"/>
  <c r="V26" i="21" s="1"/>
  <c r="I3404" i="3"/>
  <c r="J3396" i="3"/>
  <c r="X25" i="22"/>
  <c r="X26" i="22" s="1"/>
  <c r="I47" i="29"/>
  <c r="J39" i="29"/>
  <c r="EM622" i="2"/>
  <c r="EN622" i="2" s="1"/>
  <c r="EN600" i="2"/>
  <c r="E3291" i="3"/>
  <c r="E3293" i="3" s="1"/>
  <c r="EM376" i="10"/>
  <c r="EN203" i="2"/>
  <c r="EK651" i="2"/>
  <c r="EK648" i="2" s="1"/>
  <c r="EK659" i="2" s="1"/>
  <c r="EK23" i="4" s="1"/>
  <c r="EK643" i="2"/>
  <c r="EK610" i="2"/>
  <c r="EK611" i="2" s="1"/>
  <c r="EK634" i="2"/>
  <c r="EH22" i="4"/>
  <c r="EH662" i="2"/>
  <c r="EI662" i="2" s="1"/>
  <c r="EI658" i="2"/>
  <c r="EQ268" i="18"/>
  <c r="EN419" i="2"/>
  <c r="EN282" i="2"/>
  <c r="EN287" i="2" s="1"/>
  <c r="EJ659" i="2"/>
  <c r="EJ23" i="4" s="1"/>
  <c r="EN648" i="2"/>
  <c r="EN314" i="2"/>
  <c r="EL623" i="2"/>
  <c r="EL128" i="10"/>
  <c r="H4849" i="3"/>
  <c r="EM208" i="18"/>
  <c r="EN233" i="18"/>
  <c r="EP426" i="18"/>
  <c r="EP427" i="18" s="1"/>
  <c r="EL432" i="10"/>
  <c r="EN171" i="2"/>
  <c r="EO173" i="2" s="1"/>
  <c r="EM349" i="10"/>
  <c r="EG67" i="18"/>
  <c r="EG66" i="18"/>
  <c r="EG68" i="18"/>
  <c r="AC46" i="21"/>
  <c r="AB45" i="21"/>
  <c r="AD47" i="21"/>
  <c r="Z43" i="21"/>
  <c r="Y42" i="21"/>
  <c r="X41" i="21"/>
  <c r="AE48" i="21"/>
  <c r="AA44" i="21"/>
  <c r="AF49" i="21"/>
  <c r="AG50" i="21"/>
  <c r="AH51" i="21"/>
  <c r="AI52" i="21"/>
  <c r="AJ53" i="21"/>
  <c r="AK54" i="21"/>
  <c r="AL55" i="21"/>
  <c r="AM56" i="21"/>
  <c r="AN57" i="21"/>
  <c r="EN692" i="18"/>
  <c r="ES456" i="18"/>
  <c r="ES457" i="18" s="1"/>
  <c r="ES538" i="18" s="1"/>
  <c r="EL653" i="2"/>
  <c r="EJ49" i="18"/>
  <c r="EK278" i="18"/>
  <c r="EJ279" i="18"/>
  <c r="EK652" i="2"/>
  <c r="EJ655" i="2"/>
  <c r="EJ650" i="2" s="1"/>
  <c r="EJ647" i="2"/>
  <c r="EJ602" i="2"/>
  <c r="Q3383" i="3"/>
  <c r="Q3384" i="3" s="1"/>
  <c r="EM400" i="10"/>
  <c r="EM189" i="10"/>
  <c r="EN262" i="2"/>
  <c r="Z64" i="20"/>
  <c r="AP64" i="20"/>
  <c r="AG64" i="20"/>
  <c r="AJ64" i="20"/>
  <c r="AH64" i="20"/>
  <c r="AD64" i="20"/>
  <c r="AI64" i="20"/>
  <c r="AF64" i="20"/>
  <c r="AB64" i="20"/>
  <c r="AR64" i="20"/>
  <c r="AS64" i="20"/>
  <c r="AC64" i="20"/>
  <c r="AQ64" i="20"/>
  <c r="AK64" i="20"/>
  <c r="AA64" i="20"/>
  <c r="AL64" i="20"/>
  <c r="AM64" i="20"/>
  <c r="AO64" i="20"/>
  <c r="AE64" i="20"/>
  <c r="AN64" i="20"/>
  <c r="AT64" i="20"/>
  <c r="EM353" i="10"/>
  <c r="EN128" i="2"/>
  <c r="EN353" i="10" s="1"/>
  <c r="R26" i="29"/>
  <c r="R27" i="29" s="1"/>
  <c r="EK153" i="4"/>
  <c r="EK104" i="10"/>
  <c r="EK1032" i="10" s="1"/>
  <c r="EK127" i="10"/>
  <c r="EM599" i="2"/>
  <c r="EN599" i="2" s="1"/>
  <c r="EM173" i="10"/>
  <c r="EN397" i="2"/>
  <c r="EJ137" i="10"/>
  <c r="L7" i="20"/>
  <c r="L12" i="23" s="1"/>
  <c r="EI500" i="2"/>
  <c r="EI501" i="2" s="1"/>
  <c r="EI499" i="2"/>
  <c r="EI502" i="2"/>
  <c r="EI503" i="2" s="1"/>
  <c r="EN467" i="18"/>
  <c r="EN468" i="18" s="1"/>
  <c r="EO437" i="18"/>
  <c r="Y85" i="20"/>
  <c r="EK141" i="10"/>
  <c r="EM481" i="18"/>
  <c r="EM484" i="18"/>
  <c r="EN476" i="18"/>
  <c r="EM480" i="18"/>
  <c r="X59" i="21"/>
  <c r="AD59" i="21"/>
  <c r="AC59" i="21"/>
  <c r="AJ59" i="21"/>
  <c r="AK59" i="21"/>
  <c r="AM59" i="21"/>
  <c r="U59" i="21"/>
  <c r="U85" i="21" s="1"/>
  <c r="W59" i="21"/>
  <c r="Z59" i="21"/>
  <c r="AI59" i="21"/>
  <c r="AP59" i="21"/>
  <c r="AF59" i="21"/>
  <c r="AN59" i="21"/>
  <c r="AE59" i="21"/>
  <c r="AL59" i="21"/>
  <c r="Y59" i="21"/>
  <c r="AG59" i="21"/>
  <c r="V59" i="21"/>
  <c r="AA59" i="21"/>
  <c r="AH59" i="21"/>
  <c r="AB59" i="21"/>
  <c r="AO59" i="21"/>
  <c r="EM654" i="2"/>
  <c r="EM621" i="2"/>
  <c r="EN181" i="2"/>
  <c r="EL421" i="10"/>
  <c r="EH57" i="18"/>
  <c r="EH59" i="18" s="1"/>
  <c r="EI45" i="18"/>
  <c r="C66" i="24" s="1"/>
  <c r="EK128" i="10"/>
  <c r="EG321" i="18"/>
  <c r="EG315" i="18"/>
  <c r="EG674" i="18"/>
  <c r="EG516" i="2"/>
  <c r="EG518" i="2"/>
  <c r="EG512" i="2"/>
  <c r="EG513" i="2" s="1"/>
  <c r="EG514" i="2"/>
  <c r="EG515" i="2" s="1"/>
  <c r="EG511" i="2"/>
  <c r="EI510" i="2"/>
  <c r="EN127" i="2"/>
  <c r="EN131" i="2"/>
  <c r="EN347" i="10"/>
  <c r="EN368" i="10"/>
  <c r="EN607" i="2"/>
  <c r="ES606" i="2"/>
  <c r="ES368" i="10" s="1"/>
  <c r="V86" i="22"/>
  <c r="V87" i="22"/>
  <c r="K10" i="22" s="1"/>
  <c r="K11" i="22" s="1"/>
  <c r="AR60" i="22"/>
  <c r="EM617" i="2"/>
  <c r="EM40" i="2"/>
  <c r="EM9" i="4" s="1"/>
  <c r="EM541" i="2"/>
  <c r="EN180" i="2"/>
  <c r="T86" i="21"/>
  <c r="T87" i="21"/>
  <c r="EI49" i="18"/>
  <c r="C64" i="24" s="1"/>
  <c r="C65" i="24" s="1"/>
  <c r="ER270" i="18"/>
  <c r="ER472" i="18"/>
  <c r="ES410" i="18"/>
  <c r="EN304" i="2"/>
  <c r="EN309" i="2" s="1"/>
  <c r="EK226" i="18"/>
  <c r="EJ234" i="18"/>
  <c r="EJ235" i="18"/>
  <c r="EJ231" i="18"/>
  <c r="EJ230" i="18"/>
  <c r="EJ258" i="18"/>
  <c r="P37" i="29"/>
  <c r="O40" i="29"/>
  <c r="J3413" i="3"/>
  <c r="K3410" i="3"/>
  <c r="EO384" i="18"/>
  <c r="EO385" i="18" s="1"/>
  <c r="EO466" i="18"/>
  <c r="EN265" i="2"/>
  <c r="EN261" i="2"/>
  <c r="EN394" i="10"/>
  <c r="F57" i="29"/>
  <c r="F58" i="29" s="1"/>
  <c r="EL187" i="10"/>
  <c r="J56" i="29"/>
  <c r="K53" i="29"/>
  <c r="EO492" i="18"/>
  <c r="EO493" i="18" s="1"/>
  <c r="W61" i="22"/>
  <c r="W85" i="22" s="1"/>
  <c r="Y61" i="22"/>
  <c r="X61" i="22"/>
  <c r="AA61" i="22"/>
  <c r="AR61" i="22"/>
  <c r="AI61" i="22"/>
  <c r="AF61" i="22"/>
  <c r="Z61" i="22"/>
  <c r="AJ61" i="22"/>
  <c r="AD61" i="22"/>
  <c r="AM61" i="22"/>
  <c r="AE61" i="22"/>
  <c r="AO61" i="22"/>
  <c r="AP61" i="22"/>
  <c r="AB61" i="22"/>
  <c r="AS61" i="22"/>
  <c r="AG61" i="22"/>
  <c r="AQ61" i="22"/>
  <c r="AN61" i="22"/>
  <c r="AC61" i="22"/>
  <c r="AL61" i="22"/>
  <c r="AK61" i="22"/>
  <c r="AH61" i="22"/>
  <c r="EM352" i="10"/>
  <c r="EM188" i="10"/>
  <c r="EN117" i="2"/>
  <c r="AC45" i="22"/>
  <c r="AA43" i="22"/>
  <c r="Z42" i="22"/>
  <c r="AD46" i="22"/>
  <c r="Z29" i="22"/>
  <c r="AT61" i="22" s="1"/>
  <c r="AF48" i="22"/>
  <c r="Y41" i="22"/>
  <c r="AB44" i="22"/>
  <c r="AE47" i="22"/>
  <c r="AG49" i="22"/>
  <c r="AH50" i="22"/>
  <c r="AI51" i="22"/>
  <c r="AJ52" i="22"/>
  <c r="AK53" i="22"/>
  <c r="AL54" i="22"/>
  <c r="AM55" i="22"/>
  <c r="AN56" i="22"/>
  <c r="AO57" i="22"/>
  <c r="AP58" i="22"/>
  <c r="AQ59" i="22"/>
  <c r="P3394" i="3"/>
  <c r="O3397" i="3"/>
  <c r="EM395" i="10"/>
  <c r="EN271" i="2"/>
  <c r="EN120" i="2"/>
  <c r="D218" i="11"/>
  <c r="EN208" i="10"/>
  <c r="E4851" i="3"/>
  <c r="EN116" i="2"/>
  <c r="EN346" i="10"/>
  <c r="EJ109" i="18"/>
  <c r="EN270" i="2"/>
  <c r="EN275" i="2" s="1"/>
  <c r="EN636" i="2"/>
  <c r="C172" i="41" s="1"/>
  <c r="EJ644" i="2"/>
  <c r="F3414" i="3"/>
  <c r="F3415" i="3" s="1"/>
  <c r="EN24" i="4"/>
  <c r="EN660" i="2"/>
  <c r="EM618" i="2"/>
  <c r="EN618" i="2" s="1"/>
  <c r="EM626" i="2"/>
  <c r="EN598" i="2"/>
  <c r="EN495" i="2" s="1"/>
  <c r="EF59" i="18"/>
  <c r="Z26" i="20"/>
  <c r="EP130" i="18"/>
  <c r="EP131" i="18" s="1"/>
  <c r="Z29" i="20"/>
  <c r="EZ104" i="2" l="1"/>
  <c r="EZ341" i="10"/>
  <c r="EZ146" i="2"/>
  <c r="EY150" i="2"/>
  <c r="EZ83" i="2"/>
  <c r="EZ149" i="2"/>
  <c r="EU104" i="2"/>
  <c r="EV82" i="2"/>
  <c r="F1100" i="3"/>
  <c r="F1102" i="3" s="1"/>
  <c r="F1110" i="3" s="1"/>
  <c r="C1556" i="3"/>
  <c r="C9" i="3" s="1"/>
  <c r="C10" i="3" s="1"/>
  <c r="D10" i="3" s="1"/>
  <c r="E10" i="3" s="1"/>
  <c r="F1109" i="3"/>
  <c r="EU84" i="2"/>
  <c r="EU83" i="2"/>
  <c r="EU149" i="2"/>
  <c r="EV146" i="2" s="1"/>
  <c r="EV148" i="2" s="1"/>
  <c r="EU341" i="10"/>
  <c r="S1606" i="3"/>
  <c r="B2912" i="3"/>
  <c r="B2923" i="3" s="1"/>
  <c r="B2924" i="3" s="1"/>
  <c r="B2917" i="3"/>
  <c r="B2928" i="3" s="1"/>
  <c r="B2929" i="3" s="1"/>
  <c r="C291" i="38"/>
  <c r="C289" i="38" s="1"/>
  <c r="C290" i="38" s="1"/>
  <c r="ET151" i="2"/>
  <c r="ET150" i="2"/>
  <c r="ET160" i="2"/>
  <c r="EU157" i="2" s="1"/>
  <c r="C303" i="38"/>
  <c r="S1667" i="3"/>
  <c r="S1646" i="3" s="1"/>
  <c r="R1645" i="3"/>
  <c r="ER559" i="2"/>
  <c r="EQ562" i="2"/>
  <c r="EQ565" i="2"/>
  <c r="EQ560" i="2"/>
  <c r="EQ563" i="2"/>
  <c r="ER444" i="2"/>
  <c r="ER447" i="2"/>
  <c r="ER443" i="2"/>
  <c r="ER454" i="2"/>
  <c r="ER455" i="2" s="1"/>
  <c r="ER270" i="2"/>
  <c r="ER406" i="2"/>
  <c r="ER176" i="2"/>
  <c r="ER172" i="2"/>
  <c r="ER173" i="2"/>
  <c r="ER160" i="2"/>
  <c r="Q1649" i="3" s="1"/>
  <c r="Q1670" i="3" s="1"/>
  <c r="ER76" i="2"/>
  <c r="ER74" i="2"/>
  <c r="ER75" i="2" s="1"/>
  <c r="ER203" i="2"/>
  <c r="EW211" i="2" s="1"/>
  <c r="ER183" i="2"/>
  <c r="ER247" i="2" s="1"/>
  <c r="EQ77" i="2"/>
  <c r="ET87" i="4"/>
  <c r="EQ275" i="2"/>
  <c r="EQ406" i="2"/>
  <c r="EQ411" i="2" s="1"/>
  <c r="EQ74" i="2"/>
  <c r="EQ75" i="2" s="1"/>
  <c r="EQ320" i="2"/>
  <c r="EQ282" i="2"/>
  <c r="EQ287" i="2" s="1"/>
  <c r="EH528" i="2"/>
  <c r="EH529" i="2" s="1"/>
  <c r="EH522" i="2"/>
  <c r="EH523" i="2" s="1"/>
  <c r="EH519" i="2"/>
  <c r="EH524" i="2"/>
  <c r="B2189" i="3"/>
  <c r="B2190" i="3" s="1"/>
  <c r="B2192" i="3" s="1"/>
  <c r="EO125" i="2"/>
  <c r="EO130" i="2" s="1"/>
  <c r="ES123" i="2"/>
  <c r="ES93" i="4"/>
  <c r="EP287" i="2"/>
  <c r="EP419" i="2"/>
  <c r="EP281" i="2"/>
  <c r="EP293" i="2"/>
  <c r="EP298" i="2" s="1"/>
  <c r="EP424" i="2" s="1"/>
  <c r="EP408" i="2"/>
  <c r="ES257" i="2"/>
  <c r="EO136" i="2"/>
  <c r="EO268" i="2"/>
  <c r="ES268" i="2" s="1"/>
  <c r="EO394" i="2"/>
  <c r="EO399" i="2"/>
  <c r="EO208" i="2"/>
  <c r="EO168" i="2"/>
  <c r="EO180" i="2"/>
  <c r="EO114" i="2"/>
  <c r="EO211" i="2"/>
  <c r="EO204" i="2"/>
  <c r="EO314" i="2"/>
  <c r="EO259" i="2"/>
  <c r="EM422" i="2"/>
  <c r="EM421" i="2"/>
  <c r="ES112" i="2"/>
  <c r="EN496" i="2"/>
  <c r="EN402" i="18"/>
  <c r="EN405" i="18" s="1"/>
  <c r="EM408" i="18"/>
  <c r="EL450" i="18"/>
  <c r="EL445" i="18" s="1"/>
  <c r="EL444" i="18" s="1"/>
  <c r="EL449" i="18" s="1"/>
  <c r="EM407" i="18"/>
  <c r="EM411" i="18"/>
  <c r="EN404" i="18" s="1"/>
  <c r="EM416" i="18"/>
  <c r="EM417" i="18" s="1"/>
  <c r="EL447" i="18"/>
  <c r="EK15" i="2"/>
  <c r="EK575" i="2"/>
  <c r="EK570" i="2"/>
  <c r="EL448" i="18"/>
  <c r="EM443" i="18"/>
  <c r="EL660" i="2"/>
  <c r="EL24" i="4" s="1"/>
  <c r="EJ333" i="2"/>
  <c r="EO334" i="2" s="1"/>
  <c r="EH315" i="18"/>
  <c r="EH674" i="18"/>
  <c r="EI314" i="18"/>
  <c r="EI674" i="18" s="1"/>
  <c r="EI57" i="18"/>
  <c r="C273" i="24" s="1"/>
  <c r="AQ59" i="21"/>
  <c r="K8" i="21"/>
  <c r="W25" i="21"/>
  <c r="W26" i="21" s="1"/>
  <c r="EM601" i="2"/>
  <c r="EN408" i="2"/>
  <c r="EN469" i="18"/>
  <c r="EN479" i="18"/>
  <c r="EO465" i="18"/>
  <c r="EN473" i="18"/>
  <c r="EN470" i="18"/>
  <c r="EN539" i="18"/>
  <c r="EP133" i="18"/>
  <c r="EP136" i="18"/>
  <c r="EP132" i="18"/>
  <c r="EQ128" i="18"/>
  <c r="F3420" i="3"/>
  <c r="G3412" i="3"/>
  <c r="Q3389" i="3"/>
  <c r="R3381" i="3"/>
  <c r="F63" i="29"/>
  <c r="G55" i="29"/>
  <c r="C208" i="24"/>
  <c r="C225" i="24" s="1"/>
  <c r="C226" i="24" s="1"/>
  <c r="C67" i="24"/>
  <c r="C209" i="24" s="1"/>
  <c r="EP428" i="18"/>
  <c r="EP438" i="18" s="1"/>
  <c r="EP437" i="18" s="1"/>
  <c r="EP432" i="18"/>
  <c r="EP429" i="18"/>
  <c r="EQ424" i="18"/>
  <c r="EP434" i="18"/>
  <c r="EP494" i="18"/>
  <c r="W86" i="22"/>
  <c r="W87" i="22"/>
  <c r="EP382" i="18"/>
  <c r="EO387" i="18"/>
  <c r="EO386" i="18"/>
  <c r="EO390" i="18"/>
  <c r="EO433" i="18"/>
  <c r="EO488" i="18"/>
  <c r="U86" i="21"/>
  <c r="U87" i="21"/>
  <c r="Y25" i="22"/>
  <c r="Y26" i="22" s="1"/>
  <c r="EO439" i="18"/>
  <c r="EM213" i="18"/>
  <c r="EM209" i="18"/>
  <c r="G86" i="24"/>
  <c r="EN205" i="18"/>
  <c r="EN207" i="18" s="1"/>
  <c r="EM210" i="18"/>
  <c r="EM206" i="18"/>
  <c r="EM257" i="18"/>
  <c r="EL331" i="2"/>
  <c r="EQ332" i="2" s="1"/>
  <c r="EH26" i="4"/>
  <c r="EI22" i="4"/>
  <c r="EM378" i="10"/>
  <c r="EN205" i="2"/>
  <c r="J41" i="29"/>
  <c r="J42" i="29" s="1"/>
  <c r="P40" i="29"/>
  <c r="Q37" i="29"/>
  <c r="EN183" i="2"/>
  <c r="EN320" i="2" s="1"/>
  <c r="EN541" i="2"/>
  <c r="EN490" i="2"/>
  <c r="EN491" i="2" s="1"/>
  <c r="EI512" i="2"/>
  <c r="EI513" i="2" s="1"/>
  <c r="EI514" i="2"/>
  <c r="EI515" i="2" s="1"/>
  <c r="EI511" i="2"/>
  <c r="EI516" i="2"/>
  <c r="AE47" i="21"/>
  <c r="Z29" i="21"/>
  <c r="AA28" i="21" s="1"/>
  <c r="Z42" i="21"/>
  <c r="AD46" i="21"/>
  <c r="AC45" i="21"/>
  <c r="AF48" i="21"/>
  <c r="AA43" i="21"/>
  <c r="Y41" i="21"/>
  <c r="AB44" i="21"/>
  <c r="AG49" i="21"/>
  <c r="AH50" i="21"/>
  <c r="AI51" i="21"/>
  <c r="AJ52" i="21"/>
  <c r="AK53" i="21"/>
  <c r="AL54" i="21"/>
  <c r="AM55" i="21"/>
  <c r="AN56" i="21"/>
  <c r="AO57" i="21"/>
  <c r="AP58" i="21"/>
  <c r="EN315" i="2"/>
  <c r="H4855" i="3"/>
  <c r="H4850" i="3"/>
  <c r="H4856" i="3" s="1"/>
  <c r="EN293" i="2"/>
  <c r="EN298" i="2" s="1"/>
  <c r="EN424" i="2" s="1"/>
  <c r="EK639" i="2"/>
  <c r="EK636" i="2"/>
  <c r="EK644" i="2" s="1"/>
  <c r="AA28" i="22"/>
  <c r="AA29" i="22" s="1"/>
  <c r="Q3394" i="3"/>
  <c r="P3397" i="3"/>
  <c r="EJ131" i="10"/>
  <c r="EM401" i="10"/>
  <c r="EN273" i="2"/>
  <c r="EN401" i="10" s="1"/>
  <c r="EN644" i="2"/>
  <c r="E4948" i="3"/>
  <c r="EN638" i="2"/>
  <c r="C172" i="6"/>
  <c r="EJ43" i="18"/>
  <c r="EJ45" i="18" s="1"/>
  <c r="EJ263" i="18"/>
  <c r="EJ260" i="18"/>
  <c r="EX606" i="2"/>
  <c r="EX368" i="10" s="1"/>
  <c r="EN451" i="2"/>
  <c r="EK49" i="18"/>
  <c r="EL278" i="18"/>
  <c r="EK279" i="18"/>
  <c r="EN283" i="2"/>
  <c r="EM396" i="10"/>
  <c r="ES472" i="18"/>
  <c r="Y86" i="20"/>
  <c r="Y87" i="20"/>
  <c r="S24" i="29"/>
  <c r="R32" i="29"/>
  <c r="EN647" i="2"/>
  <c r="EJ658" i="2"/>
  <c r="EJ22" i="4" s="1"/>
  <c r="EJ26" i="4" s="1"/>
  <c r="EJ28" i="4" s="1"/>
  <c r="EO29" i="4" s="1"/>
  <c r="D64" i="24"/>
  <c r="D65" i="24" s="1"/>
  <c r="EJ50" i="18"/>
  <c r="EN176" i="2"/>
  <c r="EN349" i="10"/>
  <c r="EN172" i="2"/>
  <c r="EO233" i="18"/>
  <c r="AB62" i="22"/>
  <c r="AP62" i="22"/>
  <c r="AJ62" i="22"/>
  <c r="AL62" i="22"/>
  <c r="AK62" i="22"/>
  <c r="AT62" i="22"/>
  <c r="Y62" i="22"/>
  <c r="AR62" i="22"/>
  <c r="AC62" i="22"/>
  <c r="AH62" i="22"/>
  <c r="AQ62" i="22"/>
  <c r="AE62" i="22"/>
  <c r="AM62" i="22"/>
  <c r="AN62" i="22"/>
  <c r="AF62" i="22"/>
  <c r="AI62" i="22"/>
  <c r="X62" i="22"/>
  <c r="X85" i="22" s="1"/>
  <c r="AS62" i="22"/>
  <c r="Z62" i="22"/>
  <c r="AA62" i="22"/>
  <c r="AG62" i="22"/>
  <c r="AD62" i="22"/>
  <c r="AO62" i="22"/>
  <c r="AA25" i="20"/>
  <c r="AA26" i="20" s="1"/>
  <c r="L8" i="20"/>
  <c r="L13" i="23" s="1"/>
  <c r="EN407" i="2"/>
  <c r="EN412" i="2" s="1"/>
  <c r="L53" i="29"/>
  <c r="K56" i="29"/>
  <c r="EK228" i="18"/>
  <c r="EK229" i="18" s="1"/>
  <c r="EN441" i="2"/>
  <c r="EN446" i="2" s="1"/>
  <c r="AA42" i="20"/>
  <c r="AE46" i="20"/>
  <c r="AD45" i="20"/>
  <c r="AB43" i="20"/>
  <c r="AG48" i="20"/>
  <c r="AH49" i="20"/>
  <c r="AI50" i="20"/>
  <c r="AJ51" i="20"/>
  <c r="AK52" i="20"/>
  <c r="Z41" i="20"/>
  <c r="Z85" i="20" s="1"/>
  <c r="AL53" i="20"/>
  <c r="AM54" i="20"/>
  <c r="AN55" i="20"/>
  <c r="AO56" i="20"/>
  <c r="AS60" i="20"/>
  <c r="AP57" i="20"/>
  <c r="AR59" i="20"/>
  <c r="AQ58" i="20"/>
  <c r="AF47" i="20"/>
  <c r="AC44" i="20"/>
  <c r="AT61" i="20"/>
  <c r="AA28" i="20"/>
  <c r="AA29" i="20" s="1"/>
  <c r="EN188" i="10"/>
  <c r="EN352" i="10"/>
  <c r="EH332" i="18"/>
  <c r="EH323" i="18"/>
  <c r="EH322" i="18"/>
  <c r="EN399" i="2"/>
  <c r="EN650" i="2"/>
  <c r="EJ661" i="2"/>
  <c r="EM653" i="2"/>
  <c r="EL648" i="2"/>
  <c r="EM420" i="10"/>
  <c r="EN337" i="2"/>
  <c r="EN323" i="2" s="1"/>
  <c r="J3398" i="3"/>
  <c r="J3399" i="3" s="1"/>
  <c r="EG520" i="2"/>
  <c r="EG521" i="2" s="1"/>
  <c r="EG522" i="2"/>
  <c r="EG523" i="2" s="1"/>
  <c r="EG528" i="2"/>
  <c r="EG524" i="2"/>
  <c r="EG519" i="2"/>
  <c r="EI518" i="2"/>
  <c r="EG322" i="18"/>
  <c r="EG332" i="18"/>
  <c r="EG323" i="18"/>
  <c r="EI321" i="18"/>
  <c r="EJ138" i="10"/>
  <c r="EN396" i="2"/>
  <c r="EN401" i="2" s="1"/>
  <c r="EK647" i="2"/>
  <c r="EK658" i="2" s="1"/>
  <c r="EK22" i="4" s="1"/>
  <c r="EK26" i="4" s="1"/>
  <c r="EK28" i="4" s="1"/>
  <c r="EP29" i="4" s="1"/>
  <c r="EL652" i="2"/>
  <c r="EK655" i="2"/>
  <c r="EK650" i="2" s="1"/>
  <c r="EK661" i="2" s="1"/>
  <c r="EK25" i="4" s="1"/>
  <c r="ES462" i="18"/>
  <c r="ES459" i="18"/>
  <c r="ES458" i="18"/>
  <c r="ER268" i="18"/>
  <c r="EK649" i="2"/>
  <c r="EK660" i="2" s="1"/>
  <c r="EK24" i="4" s="1"/>
  <c r="L3410" i="3"/>
  <c r="K3413" i="3"/>
  <c r="ES270" i="18"/>
  <c r="EM372" i="10"/>
  <c r="E3287" i="3"/>
  <c r="EN199" i="2"/>
  <c r="EH65" i="18"/>
  <c r="EH61" i="18"/>
  <c r="EK190" i="10"/>
  <c r="EK602" i="2"/>
  <c r="EM373" i="10"/>
  <c r="E3288" i="3"/>
  <c r="EN200" i="2"/>
  <c r="EN402" i="2"/>
  <c r="EN173" i="10"/>
  <c r="EN398" i="2"/>
  <c r="EJ190" i="10"/>
  <c r="EM355" i="10"/>
  <c r="EN173" i="2"/>
  <c r="EN355" i="10" s="1"/>
  <c r="EN23" i="4"/>
  <c r="EN659" i="2"/>
  <c r="EF61" i="18"/>
  <c r="EF67" i="18"/>
  <c r="EI59" i="18"/>
  <c r="EI61" i="18" s="1"/>
  <c r="EJ111" i="18"/>
  <c r="EK106" i="18"/>
  <c r="EK108" i="18" s="1"/>
  <c r="EJ114" i="18"/>
  <c r="EJ107" i="18"/>
  <c r="EJ112" i="18" s="1"/>
  <c r="D22" i="24"/>
  <c r="EJ110" i="18"/>
  <c r="EJ149" i="18"/>
  <c r="EJ137" i="18"/>
  <c r="EJ150" i="18"/>
  <c r="E4857" i="3"/>
  <c r="D224" i="11"/>
  <c r="EN276" i="2"/>
  <c r="EN395" i="10"/>
  <c r="EN272" i="2"/>
  <c r="AD45" i="22"/>
  <c r="AE46" i="22"/>
  <c r="AG48" i="22"/>
  <c r="AB43" i="22"/>
  <c r="AA42" i="22"/>
  <c r="Z41" i="22"/>
  <c r="AC44" i="22"/>
  <c r="AF47" i="22"/>
  <c r="AH49" i="22"/>
  <c r="AI50" i="22"/>
  <c r="AJ51" i="22"/>
  <c r="AK52" i="22"/>
  <c r="AL53" i="22"/>
  <c r="AM54" i="22"/>
  <c r="AN55" i="22"/>
  <c r="AO56" i="22"/>
  <c r="AP57" i="22"/>
  <c r="AQ58" i="22"/>
  <c r="AR59" i="22"/>
  <c r="AS60" i="22"/>
  <c r="EN305" i="2"/>
  <c r="EM397" i="10"/>
  <c r="EM619" i="2"/>
  <c r="EM457" i="2" s="1"/>
  <c r="EN617" i="2"/>
  <c r="C169" i="41" s="1"/>
  <c r="C174" i="41" s="1"/>
  <c r="C183" i="41" s="1"/>
  <c r="EN561" i="2"/>
  <c r="EM623" i="2"/>
  <c r="EN621" i="2"/>
  <c r="EN400" i="10"/>
  <c r="EN189" i="10"/>
  <c r="EJ604" i="2"/>
  <c r="EJ608" i="2"/>
  <c r="EO692" i="18"/>
  <c r="EN376" i="10"/>
  <c r="EN194" i="2"/>
  <c r="EN211" i="2"/>
  <c r="AJ60" i="21"/>
  <c r="AC60" i="21"/>
  <c r="AP60" i="21"/>
  <c r="AK60" i="21"/>
  <c r="W60" i="21"/>
  <c r="AN60" i="21"/>
  <c r="Z60" i="21"/>
  <c r="AQ60" i="21"/>
  <c r="AA60" i="21"/>
  <c r="AG60" i="21"/>
  <c r="AH60" i="21"/>
  <c r="AD60" i="21"/>
  <c r="AO60" i="21"/>
  <c r="AE60" i="21"/>
  <c r="AM60" i="21"/>
  <c r="AF60" i="21"/>
  <c r="AR60" i="21"/>
  <c r="AL60" i="21"/>
  <c r="Y60" i="21"/>
  <c r="V60" i="21"/>
  <c r="V85" i="21" s="1"/>
  <c r="AB60" i="21"/>
  <c r="AI60" i="21"/>
  <c r="X60" i="21"/>
  <c r="K7" i="21"/>
  <c r="ER248" i="2" l="1"/>
  <c r="EW248" i="2"/>
  <c r="EW82" i="2"/>
  <c r="EW104" i="2" s="1"/>
  <c r="EV104" i="2"/>
  <c r="FA82" i="2"/>
  <c r="FA341" i="10" s="1"/>
  <c r="FA146" i="2"/>
  <c r="EZ150" i="2"/>
  <c r="EZ151" i="2"/>
  <c r="ET88" i="4"/>
  <c r="EU85" i="4" s="1"/>
  <c r="B1556" i="3"/>
  <c r="B9" i="3" s="1"/>
  <c r="EV83" i="2"/>
  <c r="EV84" i="2"/>
  <c r="EV149" i="2"/>
  <c r="EW146" i="2" s="1"/>
  <c r="EW148" i="2" s="1"/>
  <c r="EV341" i="10"/>
  <c r="F1111" i="3"/>
  <c r="F1117" i="3" s="1"/>
  <c r="F1123" i="3" s="1"/>
  <c r="F1133" i="3" s="1"/>
  <c r="F1135" i="3" s="1"/>
  <c r="EU150" i="2"/>
  <c r="EU151" i="2"/>
  <c r="H2381" i="3"/>
  <c r="H2382" i="3" s="1"/>
  <c r="B1290" i="3"/>
  <c r="B2914" i="3"/>
  <c r="B2919" i="3"/>
  <c r="D291" i="38"/>
  <c r="G291" i="38" s="1"/>
  <c r="ET161" i="2"/>
  <c r="Q1646" i="3"/>
  <c r="Q1667" i="3" s="1"/>
  <c r="R1667" i="3" s="1"/>
  <c r="R1646" i="3" s="1"/>
  <c r="C305" i="38"/>
  <c r="C307" i="38" s="1"/>
  <c r="E289" i="38"/>
  <c r="C306" i="38"/>
  <c r="C308" i="38" s="1"/>
  <c r="C292" i="38"/>
  <c r="E290" i="38"/>
  <c r="EQ569" i="2"/>
  <c r="EQ566" i="2"/>
  <c r="EQ567" i="2"/>
  <c r="ER562" i="2"/>
  <c r="ER560" i="2"/>
  <c r="ER563" i="2"/>
  <c r="ER565" i="2"/>
  <c r="ER320" i="2"/>
  <c r="ES160" i="2"/>
  <c r="ET157" i="2" s="1"/>
  <c r="ET162" i="2" s="1"/>
  <c r="ER162" i="2"/>
  <c r="EM458" i="2"/>
  <c r="ER458" i="2"/>
  <c r="ER165" i="2"/>
  <c r="ER161" i="2"/>
  <c r="ER465" i="2"/>
  <c r="EW475" i="2" s="1"/>
  <c r="ER204" i="2"/>
  <c r="ER211" i="2"/>
  <c r="ER411" i="2"/>
  <c r="ER77" i="2"/>
  <c r="ER275" i="2"/>
  <c r="ER282" i="2"/>
  <c r="ER407" i="2"/>
  <c r="ER412" i="2" s="1"/>
  <c r="ES92" i="4"/>
  <c r="EQ408" i="2"/>
  <c r="EQ281" i="2"/>
  <c r="EQ418" i="2" s="1"/>
  <c r="EQ419" i="2"/>
  <c r="EQ293" i="2"/>
  <c r="EQ298" i="2" s="1"/>
  <c r="EQ424" i="2" s="1"/>
  <c r="EH530" i="2"/>
  <c r="EH535" i="2" s="1"/>
  <c r="EN188" i="2"/>
  <c r="ER110" i="10"/>
  <c r="ER1020" i="10" s="1"/>
  <c r="ES148" i="4"/>
  <c r="EP413" i="2"/>
  <c r="EP409" i="2"/>
  <c r="EP414" i="2"/>
  <c r="EP452" i="2"/>
  <c r="EP418" i="2"/>
  <c r="EP286" i="2"/>
  <c r="EP292" i="2"/>
  <c r="EP297" i="2" s="1"/>
  <c r="EP423" i="2" s="1"/>
  <c r="EO451" i="2"/>
  <c r="EP401" i="2"/>
  <c r="B2937" i="3"/>
  <c r="B2939" i="3" s="1"/>
  <c r="EO170" i="2"/>
  <c r="EO113" i="2"/>
  <c r="EO183" i="2"/>
  <c r="EO488" i="2"/>
  <c r="EO489" i="2" s="1"/>
  <c r="EO199" i="2"/>
  <c r="EO192" i="2"/>
  <c r="ES394" i="2"/>
  <c r="EO396" i="2"/>
  <c r="EO401" i="2" s="1"/>
  <c r="EO258" i="2"/>
  <c r="ES168" i="2"/>
  <c r="EO315" i="2"/>
  <c r="EO338" i="2" s="1"/>
  <c r="EO270" i="2"/>
  <c r="EO405" i="2"/>
  <c r="EO302" i="2"/>
  <c r="ES302" i="2" s="1"/>
  <c r="EO307" i="2"/>
  <c r="EO337" i="2"/>
  <c r="EO280" i="2"/>
  <c r="ES280" i="2" s="1"/>
  <c r="EO285" i="2"/>
  <c r="EO212" i="2"/>
  <c r="EO377" i="10"/>
  <c r="EO141" i="2"/>
  <c r="EM331" i="2"/>
  <c r="EN601" i="2"/>
  <c r="EM41" i="2"/>
  <c r="EM10" i="4" s="1"/>
  <c r="EM440" i="18"/>
  <c r="EK29" i="4"/>
  <c r="EP491" i="2"/>
  <c r="EO394" i="10"/>
  <c r="EJ29" i="4"/>
  <c r="EJ334" i="2"/>
  <c r="EP496" i="2"/>
  <c r="EM446" i="18"/>
  <c r="EM448" i="18" s="1"/>
  <c r="EM264" i="10"/>
  <c r="EN406" i="18"/>
  <c r="EN411" i="18" s="1"/>
  <c r="EO404" i="18" s="1"/>
  <c r="EM421" i="18"/>
  <c r="EN413" i="18"/>
  <c r="EM418" i="18"/>
  <c r="EM415" i="18"/>
  <c r="EM420" i="18" s="1"/>
  <c r="EM483" i="18" s="1"/>
  <c r="EM478" i="18" s="1"/>
  <c r="EM477" i="18" s="1"/>
  <c r="EM482" i="18" s="1"/>
  <c r="EK333" i="2"/>
  <c r="EP334" i="2" s="1"/>
  <c r="EI315" i="18"/>
  <c r="EN661" i="2"/>
  <c r="EJ25" i="4"/>
  <c r="C70" i="24"/>
  <c r="C212" i="24" s="1"/>
  <c r="AS60" i="21"/>
  <c r="EJ57" i="18"/>
  <c r="D70" i="24" s="1"/>
  <c r="Z25" i="22"/>
  <c r="Z26" i="22" s="1"/>
  <c r="X87" i="22"/>
  <c r="X86" i="22"/>
  <c r="ES268" i="18"/>
  <c r="EG334" i="18"/>
  <c r="EG333" i="18"/>
  <c r="EI332" i="18"/>
  <c r="J3404" i="3"/>
  <c r="K3396" i="3"/>
  <c r="AB25" i="20"/>
  <c r="R37" i="29"/>
  <c r="Q40" i="29"/>
  <c r="J47" i="29"/>
  <c r="K39" i="29"/>
  <c r="EL332" i="2"/>
  <c r="EL629" i="2"/>
  <c r="C274" i="24"/>
  <c r="C280" i="24"/>
  <c r="EQ130" i="18"/>
  <c r="EQ131" i="18" s="1"/>
  <c r="EN480" i="18"/>
  <c r="EN481" i="18"/>
  <c r="EO476" i="18"/>
  <c r="EN484" i="18"/>
  <c r="EN420" i="2"/>
  <c r="EN422" i="2"/>
  <c r="EM44" i="2"/>
  <c r="EN318" i="2"/>
  <c r="EN612" i="2" s="1"/>
  <c r="AC43" i="22"/>
  <c r="AE45" i="22"/>
  <c r="AF46" i="22"/>
  <c r="AH48" i="22"/>
  <c r="AB42" i="22"/>
  <c r="AD44" i="22"/>
  <c r="AA41" i="22"/>
  <c r="AG47" i="22"/>
  <c r="AI49" i="22"/>
  <c r="AJ50" i="22"/>
  <c r="AK51" i="22"/>
  <c r="AL52" i="22"/>
  <c r="AM53" i="22"/>
  <c r="AN54" i="22"/>
  <c r="AO55" i="22"/>
  <c r="AP56" i="22"/>
  <c r="AQ57" i="22"/>
  <c r="AR58" i="22"/>
  <c r="AS59" i="22"/>
  <c r="AT60" i="22"/>
  <c r="EJ154" i="18"/>
  <c r="EJ33" i="18"/>
  <c r="D6" i="24" s="1"/>
  <c r="EN461" i="2"/>
  <c r="EN471" i="2" s="1"/>
  <c r="EK662" i="2"/>
  <c r="EN264" i="10"/>
  <c r="EN345" i="2"/>
  <c r="EN420" i="10"/>
  <c r="AB28" i="20"/>
  <c r="AB29" i="20" s="1"/>
  <c r="EN294" i="2"/>
  <c r="EO296" i="2" s="1"/>
  <c r="EN296" i="2"/>
  <c r="E4953" i="3"/>
  <c r="E4949" i="3"/>
  <c r="R3394" i="3"/>
  <c r="Q3397" i="3"/>
  <c r="EM421" i="10"/>
  <c r="EN338" i="2"/>
  <c r="EN325" i="2" s="1"/>
  <c r="EN410" i="10" s="1"/>
  <c r="EN378" i="10"/>
  <c r="EN213" i="2"/>
  <c r="EM42" i="18"/>
  <c r="EM262" i="18"/>
  <c r="EM384" i="10"/>
  <c r="EN230" i="2"/>
  <c r="EP492" i="18"/>
  <c r="EP493" i="18" s="1"/>
  <c r="EN366" i="10"/>
  <c r="EN195" i="2"/>
  <c r="EL602" i="2"/>
  <c r="EN430" i="2"/>
  <c r="EN435" i="2" s="1"/>
  <c r="EH67" i="18"/>
  <c r="EH66" i="18"/>
  <c r="EH68" i="18"/>
  <c r="EI65" i="18"/>
  <c r="EK137" i="10"/>
  <c r="EI520" i="2"/>
  <c r="EI521" i="2" s="1"/>
  <c r="EI524" i="2"/>
  <c r="EI519" i="2"/>
  <c r="EI522" i="2"/>
  <c r="EI523" i="2" s="1"/>
  <c r="M53" i="29"/>
  <c r="L56" i="29"/>
  <c r="EK102" i="10"/>
  <c r="EK1026" i="10" s="1"/>
  <c r="EK604" i="2"/>
  <c r="EK608" i="2"/>
  <c r="EN40" i="2"/>
  <c r="L3413" i="3"/>
  <c r="M3410" i="3"/>
  <c r="EN316" i="2"/>
  <c r="EM278" i="18"/>
  <c r="EL49" i="18"/>
  <c r="EL279" i="18"/>
  <c r="AB28" i="22"/>
  <c r="AB29" i="22" s="1"/>
  <c r="AR63" i="22"/>
  <c r="Y63" i="22"/>
  <c r="Y85" i="22" s="1"/>
  <c r="AD63" i="22"/>
  <c r="AB63" i="22"/>
  <c r="AJ63" i="22"/>
  <c r="Z63" i="22"/>
  <c r="AC63" i="22"/>
  <c r="AA63" i="22"/>
  <c r="AS63" i="22"/>
  <c r="AQ63" i="22"/>
  <c r="AN63" i="22"/>
  <c r="AP63" i="22"/>
  <c r="AO63" i="22"/>
  <c r="AI63" i="22"/>
  <c r="AF63" i="22"/>
  <c r="AH63" i="22"/>
  <c r="AL63" i="22"/>
  <c r="AG63" i="22"/>
  <c r="AT63" i="22"/>
  <c r="AE63" i="22"/>
  <c r="AK63" i="22"/>
  <c r="AM63" i="22"/>
  <c r="G57" i="29"/>
  <c r="G58" i="29" s="1"/>
  <c r="EP692" i="18"/>
  <c r="EL655" i="2"/>
  <c r="EL650" i="2" s="1"/>
  <c r="EL661" i="2" s="1"/>
  <c r="EL25" i="4" s="1"/>
  <c r="EM652" i="2"/>
  <c r="EL647" i="2"/>
  <c r="EL658" i="2" s="1"/>
  <c r="EL22" i="4" s="1"/>
  <c r="EL26" i="4" s="1"/>
  <c r="EL28" i="4" s="1"/>
  <c r="EQ29" i="4" s="1"/>
  <c r="EN559" i="2"/>
  <c r="AE45" i="20"/>
  <c r="AC43" i="20"/>
  <c r="AF46" i="20"/>
  <c r="AB42" i="20"/>
  <c r="AI49" i="20"/>
  <c r="AJ50" i="20"/>
  <c r="AK51" i="20"/>
  <c r="AL52" i="20"/>
  <c r="AM53" i="20"/>
  <c r="AP56" i="20"/>
  <c r="AR58" i="20"/>
  <c r="AT60" i="20"/>
  <c r="AN54" i="20"/>
  <c r="AO55" i="20"/>
  <c r="AQ57" i="20"/>
  <c r="AS59" i="20"/>
  <c r="AH48" i="20"/>
  <c r="AA41" i="20"/>
  <c r="AG47" i="20"/>
  <c r="AD44" i="20"/>
  <c r="S26" i="29"/>
  <c r="S27" i="29" s="1"/>
  <c r="E64" i="24"/>
  <c r="E65" i="24" s="1"/>
  <c r="EK50" i="18"/>
  <c r="AB43" i="21"/>
  <c r="AD45" i="21"/>
  <c r="AA29" i="21"/>
  <c r="AE46" i="21"/>
  <c r="AF47" i="21"/>
  <c r="AG48" i="21"/>
  <c r="AA42" i="21"/>
  <c r="Z41" i="21"/>
  <c r="AC44" i="21"/>
  <c r="AH49" i="21"/>
  <c r="AI50" i="21"/>
  <c r="AJ51" i="21"/>
  <c r="AK52" i="21"/>
  <c r="AL53" i="21"/>
  <c r="AM54" i="21"/>
  <c r="AN55" i="21"/>
  <c r="AO56" i="21"/>
  <c r="AP57" i="21"/>
  <c r="AQ58" i="21"/>
  <c r="AR59" i="21"/>
  <c r="EM211" i="18"/>
  <c r="EM661" i="18"/>
  <c r="EM660" i="18" s="1"/>
  <c r="EM227" i="18"/>
  <c r="EQ426" i="18"/>
  <c r="EQ427" i="18" s="1"/>
  <c r="EM187" i="10"/>
  <c r="EN410" i="2"/>
  <c r="EN187" i="10" s="1"/>
  <c r="V86" i="21"/>
  <c r="V87" i="21"/>
  <c r="K10" i="21" s="1"/>
  <c r="K11" i="21" s="1"/>
  <c r="EJ630" i="2"/>
  <c r="D24" i="24"/>
  <c r="D23" i="24"/>
  <c r="D27" i="24"/>
  <c r="D28" i="24" s="1"/>
  <c r="D30" i="24"/>
  <c r="D31" i="24" s="1"/>
  <c r="EN207" i="2"/>
  <c r="EN186" i="2"/>
  <c r="EN372" i="10"/>
  <c r="EN658" i="2"/>
  <c r="EJ662" i="2"/>
  <c r="EN662" i="2" s="1"/>
  <c r="EM403" i="10"/>
  <c r="EN307" i="2"/>
  <c r="EG529" i="2"/>
  <c r="EG530" i="2"/>
  <c r="EI528" i="2"/>
  <c r="EI529" i="2" s="1"/>
  <c r="EJ161" i="10"/>
  <c r="EJ609" i="2"/>
  <c r="EN623" i="2"/>
  <c r="C169" i="6"/>
  <c r="C174" i="6" s="1"/>
  <c r="C183" i="6" s="1"/>
  <c r="EM603" i="2"/>
  <c r="EN603" i="2" s="1"/>
  <c r="EN442" i="2"/>
  <c r="EO444" i="2" s="1"/>
  <c r="EN454" i="2"/>
  <c r="EJ32" i="18"/>
  <c r="EJ151" i="18"/>
  <c r="EJ153" i="18"/>
  <c r="EN208" i="2"/>
  <c r="EN373" i="10"/>
  <c r="C275" i="24"/>
  <c r="EI323" i="18"/>
  <c r="EI322" i="18"/>
  <c r="C218" i="24"/>
  <c r="D66" i="24"/>
  <c r="AB61" i="21"/>
  <c r="AM61" i="21"/>
  <c r="AD61" i="21"/>
  <c r="AS61" i="21"/>
  <c r="AA61" i="21"/>
  <c r="AP61" i="21"/>
  <c r="AN61" i="21"/>
  <c r="AG61" i="21"/>
  <c r="AJ61" i="21"/>
  <c r="Y61" i="21"/>
  <c r="AQ61" i="21"/>
  <c r="AT61" i="21"/>
  <c r="Z61" i="21"/>
  <c r="AC61" i="21"/>
  <c r="AL61" i="21"/>
  <c r="AO61" i="21"/>
  <c r="AK61" i="21"/>
  <c r="W61" i="21"/>
  <c r="W85" i="21" s="1"/>
  <c r="AE61" i="21"/>
  <c r="X61" i="21"/>
  <c r="AF61" i="21"/>
  <c r="AR61" i="21"/>
  <c r="AI61" i="21"/>
  <c r="AH61" i="21"/>
  <c r="EM640" i="2"/>
  <c r="EN619" i="2"/>
  <c r="FC606" i="2"/>
  <c r="FC368" i="10" s="1"/>
  <c r="EJ261" i="18"/>
  <c r="EJ314" i="18"/>
  <c r="EP439" i="18"/>
  <c r="EP384" i="18"/>
  <c r="EP385" i="18" s="1"/>
  <c r="EP466" i="18"/>
  <c r="G3414" i="3"/>
  <c r="G3415" i="3" s="1"/>
  <c r="EN452" i="2"/>
  <c r="Z86" i="20"/>
  <c r="Z87" i="20"/>
  <c r="L10" i="20" s="1"/>
  <c r="EK231" i="18"/>
  <c r="EK235" i="18"/>
  <c r="EK234" i="18"/>
  <c r="EK230" i="18"/>
  <c r="EL226" i="18"/>
  <c r="EK258" i="18"/>
  <c r="EM402" i="10"/>
  <c r="EN285" i="2"/>
  <c r="EN408" i="10"/>
  <c r="EN324" i="2"/>
  <c r="EH28" i="4"/>
  <c r="EH29" i="4" s="1"/>
  <c r="EI26" i="4"/>
  <c r="EI28" i="4" s="1"/>
  <c r="EI29" i="4" s="1"/>
  <c r="G88" i="24"/>
  <c r="H86" i="24"/>
  <c r="G87" i="24"/>
  <c r="EJ102" i="10"/>
  <c r="EJ1026" i="10" s="1"/>
  <c r="X25" i="21"/>
  <c r="X26" i="21" s="1"/>
  <c r="EK131" i="10"/>
  <c r="EN310" i="2"/>
  <c r="EN306" i="2"/>
  <c r="EN397" i="10"/>
  <c r="EH333" i="18"/>
  <c r="EH334" i="18"/>
  <c r="AQ65" i="20"/>
  <c r="AS65" i="20"/>
  <c r="AT65" i="20"/>
  <c r="AL65" i="20"/>
  <c r="AB65" i="20"/>
  <c r="AI65" i="20"/>
  <c r="AC65" i="20"/>
  <c r="AK65" i="20"/>
  <c r="AD65" i="20"/>
  <c r="AM65" i="20"/>
  <c r="AG65" i="20"/>
  <c r="AJ65" i="20"/>
  <c r="AF65" i="20"/>
  <c r="AE65" i="20"/>
  <c r="AN65" i="20"/>
  <c r="AA65" i="20"/>
  <c r="AP65" i="20"/>
  <c r="AR65" i="20"/>
  <c r="AO65" i="20"/>
  <c r="AH65" i="20"/>
  <c r="EP233" i="18"/>
  <c r="EN288" i="2"/>
  <c r="EN396" i="10"/>
  <c r="EN284" i="2"/>
  <c r="R3383" i="3"/>
  <c r="R3384" i="3" s="1"/>
  <c r="EO467" i="18"/>
  <c r="EO468" i="18" s="1"/>
  <c r="EN409" i="2"/>
  <c r="EN413" i="2"/>
  <c r="EN414" i="2"/>
  <c r="F9" i="3" l="1"/>
  <c r="F10" i="3" s="1"/>
  <c r="B8" i="3"/>
  <c r="C8" i="3" s="1"/>
  <c r="D8" i="3" s="1"/>
  <c r="E8" i="3" s="1"/>
  <c r="F8" i="3" s="1"/>
  <c r="FB82" i="2"/>
  <c r="FB104" i="2" s="1"/>
  <c r="EW341" i="10"/>
  <c r="EX82" i="2"/>
  <c r="ES204" i="2"/>
  <c r="E330" i="38" s="1"/>
  <c r="C330" i="38" s="1"/>
  <c r="C332" i="38" s="1"/>
  <c r="EW212" i="2"/>
  <c r="EW83" i="2"/>
  <c r="EX83" i="2" s="1"/>
  <c r="EW84" i="2"/>
  <c r="EW149" i="2"/>
  <c r="EX149" i="2" s="1"/>
  <c r="EX104" i="2"/>
  <c r="EU89" i="4"/>
  <c r="EU87" i="4" s="1"/>
  <c r="EU88" i="4" s="1"/>
  <c r="EU91" i="4" s="1"/>
  <c r="ET91" i="4"/>
  <c r="FA83" i="2"/>
  <c r="FA149" i="2"/>
  <c r="FA104" i="2"/>
  <c r="EV150" i="2"/>
  <c r="EV151" i="2"/>
  <c r="EV147" i="2" s="1"/>
  <c r="EV152" i="2" s="1"/>
  <c r="EV160" i="2"/>
  <c r="EW157" i="2" s="1"/>
  <c r="EW159" i="2" s="1"/>
  <c r="F1158" i="3"/>
  <c r="F1168" i="3" s="1"/>
  <c r="F1125" i="3"/>
  <c r="E1510" i="3"/>
  <c r="I1174" i="3"/>
  <c r="B1292" i="3"/>
  <c r="B1297" i="3" s="1"/>
  <c r="B1295" i="3"/>
  <c r="EN403" i="10"/>
  <c r="EN402" i="10"/>
  <c r="B1502" i="3"/>
  <c r="B1504" i="3" s="1"/>
  <c r="C1504" i="3" s="1"/>
  <c r="E1504" i="3" s="1"/>
  <c r="B1545" i="3"/>
  <c r="B1546" i="3" s="1"/>
  <c r="F1485" i="3"/>
  <c r="F1494" i="3"/>
  <c r="ER567" i="2"/>
  <c r="ER569" i="2"/>
  <c r="ER566" i="2"/>
  <c r="EO561" i="2"/>
  <c r="EO552" i="2"/>
  <c r="ES162" i="2"/>
  <c r="ER158" i="2"/>
  <c r="ER163" i="2" s="1"/>
  <c r="E1515" i="3" s="1"/>
  <c r="ES161" i="2"/>
  <c r="EM332" i="2"/>
  <c r="ER332" i="2"/>
  <c r="ER466" i="2"/>
  <c r="ER212" i="2"/>
  <c r="ER377" i="10"/>
  <c r="ER45" i="2"/>
  <c r="ER14" i="4" s="1"/>
  <c r="ER281" i="2"/>
  <c r="ER287" i="2"/>
  <c r="ER419" i="2"/>
  <c r="ER293" i="2"/>
  <c r="ER298" i="2" s="1"/>
  <c r="ER424" i="2" s="1"/>
  <c r="ER475" i="2"/>
  <c r="ER408" i="2"/>
  <c r="ET92" i="4"/>
  <c r="EQ410" i="2"/>
  <c r="B2193" i="3"/>
  <c r="B2194" i="3" s="1"/>
  <c r="B2196" i="3" s="1"/>
  <c r="EQ452" i="2"/>
  <c r="EQ409" i="2"/>
  <c r="EQ413" i="2"/>
  <c r="EQ414" i="2"/>
  <c r="EQ292" i="2"/>
  <c r="EQ297" i="2" s="1"/>
  <c r="EQ423" i="2" s="1"/>
  <c r="EQ286" i="2"/>
  <c r="EH534" i="2"/>
  <c r="EH533" i="2"/>
  <c r="EQ496" i="2"/>
  <c r="ER496" i="2" s="1"/>
  <c r="EQ491" i="2"/>
  <c r="ER491" i="2" s="1"/>
  <c r="EO175" i="2"/>
  <c r="EO153" i="2" s="1"/>
  <c r="H2478" i="3"/>
  <c r="H2480" i="3" s="1"/>
  <c r="H2483" i="3" s="1"/>
  <c r="H2503" i="3" s="1"/>
  <c r="H2505" i="3" s="1"/>
  <c r="EO193" i="2"/>
  <c r="B2932" i="3"/>
  <c r="B2934" i="3" s="1"/>
  <c r="EO275" i="2"/>
  <c r="EO407" i="2"/>
  <c r="ES405" i="2"/>
  <c r="EO346" i="2"/>
  <c r="EO462" i="2"/>
  <c r="EO472" i="2" s="1"/>
  <c r="EO461" i="2"/>
  <c r="EO201" i="2"/>
  <c r="EO207" i="2"/>
  <c r="EO417" i="2"/>
  <c r="ES417" i="2" s="1"/>
  <c r="EO316" i="2"/>
  <c r="EO291" i="2"/>
  <c r="EO339" i="2"/>
  <c r="EO345" i="2"/>
  <c r="EO247" i="2"/>
  <c r="EO248" i="2" s="1"/>
  <c r="EO320" i="2"/>
  <c r="EO395" i="2"/>
  <c r="EO400" i="2" s="1"/>
  <c r="EO263" i="2"/>
  <c r="EO118" i="2"/>
  <c r="EO169" i="2"/>
  <c r="EO174" i="2" s="1"/>
  <c r="EO318" i="2"/>
  <c r="EO341" i="2" s="1"/>
  <c r="EO304" i="2"/>
  <c r="EO439" i="2"/>
  <c r="D2217" i="3" s="1"/>
  <c r="EN331" i="2"/>
  <c r="EN332" i="2" s="1"/>
  <c r="EN41" i="2"/>
  <c r="EM46" i="2"/>
  <c r="EM13" i="4"/>
  <c r="EM15" i="4" s="1"/>
  <c r="EN10" i="4"/>
  <c r="EN443" i="18"/>
  <c r="EN326" i="2"/>
  <c r="EL29" i="4"/>
  <c r="EO263" i="10"/>
  <c r="EO400" i="10"/>
  <c r="EO189" i="10"/>
  <c r="EK334" i="2"/>
  <c r="EM495" i="18"/>
  <c r="EM447" i="18"/>
  <c r="EN490" i="18"/>
  <c r="EN491" i="18" s="1"/>
  <c r="EN407" i="18"/>
  <c r="EO402" i="18"/>
  <c r="EO405" i="18" s="1"/>
  <c r="EO406" i="18" s="1"/>
  <c r="EN408" i="18"/>
  <c r="EN416" i="18"/>
  <c r="EO413" i="18" s="1"/>
  <c r="EM450" i="18"/>
  <c r="EM445" i="18" s="1"/>
  <c r="EM444" i="18" s="1"/>
  <c r="EM449" i="18" s="1"/>
  <c r="EM629" i="2"/>
  <c r="EM641" i="2" s="1"/>
  <c r="EN462" i="2"/>
  <c r="C71" i="24"/>
  <c r="C213" i="24" s="1"/>
  <c r="C74" i="24"/>
  <c r="C75" i="24" s="1"/>
  <c r="C68" i="24"/>
  <c r="C210" i="24" s="1"/>
  <c r="C227" i="24" s="1"/>
  <c r="D273" i="24"/>
  <c r="D274" i="24" s="1"/>
  <c r="L7" i="22"/>
  <c r="C215" i="24"/>
  <c r="C217" i="24" s="1"/>
  <c r="H3412" i="3"/>
  <c r="G3420" i="3"/>
  <c r="T24" i="29"/>
  <c r="S32" i="29"/>
  <c r="EN263" i="10"/>
  <c r="EP387" i="18"/>
  <c r="EP386" i="18"/>
  <c r="EP390" i="18"/>
  <c r="EQ382" i="18"/>
  <c r="EP433" i="18"/>
  <c r="EP488" i="18"/>
  <c r="H55" i="29"/>
  <c r="G63" i="29"/>
  <c r="AI48" i="20"/>
  <c r="AC42" i="20"/>
  <c r="AG46" i="20"/>
  <c r="AF45" i="20"/>
  <c r="AD43" i="20"/>
  <c r="AL51" i="20"/>
  <c r="AJ49" i="20"/>
  <c r="AK50" i="20"/>
  <c r="AN53" i="20"/>
  <c r="AQ56" i="20"/>
  <c r="AM52" i="20"/>
  <c r="AO54" i="20"/>
  <c r="AP55" i="20"/>
  <c r="AR57" i="20"/>
  <c r="AS58" i="20"/>
  <c r="AT59" i="20"/>
  <c r="AB41" i="20"/>
  <c r="AH47" i="20"/>
  <c r="AE44" i="20"/>
  <c r="EO469" i="18"/>
  <c r="EO479" i="18"/>
  <c r="EP465" i="18"/>
  <c r="EO470" i="18"/>
  <c r="EO473" i="18"/>
  <c r="EO539" i="18"/>
  <c r="EQ429" i="18"/>
  <c r="ER424" i="18"/>
  <c r="EQ432" i="18"/>
  <c r="EQ428" i="18"/>
  <c r="EQ438" i="18" s="1"/>
  <c r="EQ434" i="18"/>
  <c r="EQ494" i="18"/>
  <c r="EQ132" i="18"/>
  <c r="ER128" i="18"/>
  <c r="EQ136" i="18"/>
  <c r="EQ133" i="18"/>
  <c r="K3398" i="3"/>
  <c r="K3399" i="3" s="1"/>
  <c r="EK263" i="18"/>
  <c r="EK43" i="18"/>
  <c r="EK45" i="18" s="1"/>
  <c r="EK57" i="18" s="1"/>
  <c r="EK260" i="18"/>
  <c r="W86" i="21"/>
  <c r="W87" i="21"/>
  <c r="EN444" i="2"/>
  <c r="ET660" i="18"/>
  <c r="EL604" i="2"/>
  <c r="D7" i="24"/>
  <c r="D37" i="24" s="1"/>
  <c r="D36" i="24"/>
  <c r="EM424" i="10"/>
  <c r="EN341" i="2"/>
  <c r="EL641" i="2"/>
  <c r="EI333" i="18"/>
  <c r="EI334" i="18"/>
  <c r="Y25" i="21"/>
  <c r="EJ152" i="18"/>
  <c r="EJ165" i="18"/>
  <c r="EQ692" i="18"/>
  <c r="Y87" i="22"/>
  <c r="Y86" i="22"/>
  <c r="AC28" i="22"/>
  <c r="N53" i="29"/>
  <c r="M56" i="29"/>
  <c r="EN431" i="2"/>
  <c r="EO428" i="2" s="1"/>
  <c r="EM602" i="2"/>
  <c r="EM190" i="10"/>
  <c r="K41" i="29"/>
  <c r="K42" i="29" s="1"/>
  <c r="FD606" i="2"/>
  <c r="FD368" i="10" s="1"/>
  <c r="EN22" i="4"/>
  <c r="EN453" i="2"/>
  <c r="EN455" i="2"/>
  <c r="H27" i="19" s="1"/>
  <c r="N3410" i="3"/>
  <c r="M3413" i="3"/>
  <c r="EN613" i="2"/>
  <c r="ES613" i="2" s="1"/>
  <c r="EX613" i="2" s="1"/>
  <c r="FC613" i="2" s="1"/>
  <c r="FD613" i="2" s="1"/>
  <c r="FE613" i="2" s="1"/>
  <c r="FF613" i="2" s="1"/>
  <c r="FG613" i="2" s="1"/>
  <c r="FH613" i="2" s="1"/>
  <c r="FI613" i="2" s="1"/>
  <c r="EN416" i="10"/>
  <c r="D74" i="24"/>
  <c r="D68" i="24"/>
  <c r="D212" i="24"/>
  <c r="D71" i="24"/>
  <c r="D213" i="24" s="1"/>
  <c r="AC62" i="21"/>
  <c r="AM62" i="21"/>
  <c r="AD62" i="21"/>
  <c r="AP62" i="21"/>
  <c r="AA62" i="21"/>
  <c r="AF62" i="21"/>
  <c r="AN62" i="21"/>
  <c r="AB62" i="21"/>
  <c r="AL62" i="21"/>
  <c r="AQ62" i="21"/>
  <c r="Z62" i="21"/>
  <c r="AK62" i="21"/>
  <c r="AI62" i="21"/>
  <c r="AT62" i="21"/>
  <c r="AO62" i="21"/>
  <c r="Y62" i="21"/>
  <c r="AH62" i="21"/>
  <c r="AE62" i="21"/>
  <c r="X62" i="21"/>
  <c r="X85" i="21" s="1"/>
  <c r="AG62" i="21"/>
  <c r="AR62" i="21"/>
  <c r="AJ62" i="21"/>
  <c r="AS62" i="21"/>
  <c r="EL228" i="18"/>
  <c r="EL229" i="18" s="1"/>
  <c r="C220" i="24"/>
  <c r="C219" i="24"/>
  <c r="EJ34" i="18"/>
  <c r="EJ40" i="18" s="1"/>
  <c r="EJ59" i="18" s="1"/>
  <c r="D4" i="24"/>
  <c r="AA85" i="20"/>
  <c r="EN317" i="2"/>
  <c r="L15" i="23"/>
  <c r="L11" i="20"/>
  <c r="EJ315" i="18"/>
  <c r="EJ321" i="18"/>
  <c r="EN560" i="2"/>
  <c r="EN562" i="2"/>
  <c r="EN384" i="10"/>
  <c r="EN231" i="2"/>
  <c r="EN232" i="2"/>
  <c r="EO232" i="2" s="1"/>
  <c r="EQ233" i="18"/>
  <c r="S3381" i="3"/>
  <c r="R3389" i="3"/>
  <c r="EN640" i="2"/>
  <c r="EN457" i="2"/>
  <c r="EN362" i="10"/>
  <c r="EN189" i="2"/>
  <c r="EG533" i="2"/>
  <c r="EG534" i="2"/>
  <c r="EG535" i="2"/>
  <c r="EI530" i="2"/>
  <c r="B177" i="41" s="1"/>
  <c r="F64" i="24"/>
  <c r="F65" i="24" s="1"/>
  <c r="EL50" i="18"/>
  <c r="EN9" i="4"/>
  <c r="EI66" i="18"/>
  <c r="EI67" i="18"/>
  <c r="EI68" i="18"/>
  <c r="S3394" i="3"/>
  <c r="R3397" i="3"/>
  <c r="EM49" i="18"/>
  <c r="EN278" i="18"/>
  <c r="EM279" i="18"/>
  <c r="EK161" i="10"/>
  <c r="EK609" i="2"/>
  <c r="AC28" i="20"/>
  <c r="AC29" i="20" s="1"/>
  <c r="AC42" i="22"/>
  <c r="AG46" i="22"/>
  <c r="AF45" i="22"/>
  <c r="AD43" i="22"/>
  <c r="AB41" i="22"/>
  <c r="AI48" i="22"/>
  <c r="AE44" i="22"/>
  <c r="AH47" i="22"/>
  <c r="AJ49" i="22"/>
  <c r="AK50" i="22"/>
  <c r="AL51" i="22"/>
  <c r="AM52" i="22"/>
  <c r="AN53" i="22"/>
  <c r="AO54" i="22"/>
  <c r="AP55" i="22"/>
  <c r="AQ56" i="22"/>
  <c r="AR57" i="22"/>
  <c r="AS58" i="22"/>
  <c r="AT59" i="22"/>
  <c r="EN421" i="2"/>
  <c r="S37" i="29"/>
  <c r="R40" i="29"/>
  <c r="E4567" i="3"/>
  <c r="EN360" i="10"/>
  <c r="EN187" i="2"/>
  <c r="E4913" i="3"/>
  <c r="E4911" i="3" s="1"/>
  <c r="AC43" i="21"/>
  <c r="AF46" i="21"/>
  <c r="AE45" i="21"/>
  <c r="AH48" i="21"/>
  <c r="AB42" i="21"/>
  <c r="AG47" i="21"/>
  <c r="AA41" i="21"/>
  <c r="AD44" i="21"/>
  <c r="AI49" i="21"/>
  <c r="AJ50" i="21"/>
  <c r="AK51" i="21"/>
  <c r="AL52" i="21"/>
  <c r="AM53" i="21"/>
  <c r="AN54" i="21"/>
  <c r="AO55" i="21"/>
  <c r="AP56" i="21"/>
  <c r="AQ57" i="21"/>
  <c r="AR58" i="21"/>
  <c r="AS59" i="21"/>
  <c r="AT60" i="21"/>
  <c r="EL662" i="2"/>
  <c r="EM432" i="10"/>
  <c r="EN367" i="2"/>
  <c r="EN299" i="2"/>
  <c r="EN425" i="2" s="1"/>
  <c r="EN295" i="2"/>
  <c r="AG66" i="20"/>
  <c r="AI66" i="20"/>
  <c r="AK66" i="20"/>
  <c r="AT66" i="20"/>
  <c r="AP66" i="20"/>
  <c r="AE66" i="20"/>
  <c r="AH66" i="20"/>
  <c r="AO66" i="20"/>
  <c r="AB66" i="20"/>
  <c r="AJ66" i="20"/>
  <c r="AD66" i="20"/>
  <c r="AL66" i="20"/>
  <c r="AR66" i="20"/>
  <c r="AF66" i="20"/>
  <c r="AM66" i="20"/>
  <c r="AS66" i="20"/>
  <c r="AC66" i="20"/>
  <c r="AQ66" i="20"/>
  <c r="AN66" i="20"/>
  <c r="AA25" i="22"/>
  <c r="AA26" i="22" s="1"/>
  <c r="L8" i="22"/>
  <c r="C277" i="24"/>
  <c r="C276" i="24"/>
  <c r="C281" i="24"/>
  <c r="EN447" i="2"/>
  <c r="EN443" i="2"/>
  <c r="EN421" i="10"/>
  <c r="EN346" i="2"/>
  <c r="D208" i="24"/>
  <c r="D67" i="24"/>
  <c r="D209" i="24" s="1"/>
  <c r="EM655" i="2"/>
  <c r="EN319" i="2"/>
  <c r="EK630" i="2"/>
  <c r="EL190" i="10"/>
  <c r="G62" i="24"/>
  <c r="AB26" i="20"/>
  <c r="AB28" i="21"/>
  <c r="AB29" i="21" s="1"/>
  <c r="AL64" i="22"/>
  <c r="AH64" i="22"/>
  <c r="AA64" i="22"/>
  <c r="AG64" i="22"/>
  <c r="Z64" i="22"/>
  <c r="Z85" i="22" s="1"/>
  <c r="AO64" i="22"/>
  <c r="AP64" i="22"/>
  <c r="AT64" i="22"/>
  <c r="AC64" i="22"/>
  <c r="AK64" i="22"/>
  <c r="AQ64" i="22"/>
  <c r="AM64" i="22"/>
  <c r="AF64" i="22"/>
  <c r="AB64" i="22"/>
  <c r="AD64" i="22"/>
  <c r="AE64" i="22"/>
  <c r="AJ64" i="22"/>
  <c r="AR64" i="22"/>
  <c r="AI64" i="22"/>
  <c r="AN64" i="22"/>
  <c r="AS64" i="22"/>
  <c r="EY146" i="2" l="1"/>
  <c r="EX150" i="2"/>
  <c r="EX84" i="2"/>
  <c r="EY104" i="2"/>
  <c r="FC104" i="2" s="1"/>
  <c r="EX341" i="10"/>
  <c r="ES212" i="2"/>
  <c r="FB341" i="10"/>
  <c r="FC82" i="2"/>
  <c r="FB83" i="2"/>
  <c r="FC83" i="2" s="1"/>
  <c r="FB149" i="2"/>
  <c r="ES377" i="10"/>
  <c r="ER476" i="2"/>
  <c r="EW476" i="2"/>
  <c r="EW151" i="2"/>
  <c r="EW147" i="2" s="1"/>
  <c r="EW152" i="2" s="1"/>
  <c r="EW150" i="2"/>
  <c r="EW160" i="2"/>
  <c r="FB146" i="2"/>
  <c r="FA150" i="2"/>
  <c r="FA151" i="2"/>
  <c r="EV161" i="2"/>
  <c r="B181" i="41"/>
  <c r="B176" i="41"/>
  <c r="B190" i="41"/>
  <c r="B1296" i="3"/>
  <c r="EU92" i="4"/>
  <c r="EU93" i="4" s="1"/>
  <c r="D1504" i="3"/>
  <c r="C362" i="38"/>
  <c r="C363" i="38" s="1"/>
  <c r="E332" i="38"/>
  <c r="EO551" i="2"/>
  <c r="ES552" i="2"/>
  <c r="EO556" i="2"/>
  <c r="ER467" i="2"/>
  <c r="ER418" i="2"/>
  <c r="ER286" i="2"/>
  <c r="ER292" i="2"/>
  <c r="ER297" i="2" s="1"/>
  <c r="ER423" i="2" s="1"/>
  <c r="ER413" i="2"/>
  <c r="ER414" i="2"/>
  <c r="ER409" i="2"/>
  <c r="ER410" i="2"/>
  <c r="ER452" i="2"/>
  <c r="ER485" i="2" s="1"/>
  <c r="ER486" i="2" s="1"/>
  <c r="ET93" i="4"/>
  <c r="EQ485" i="2"/>
  <c r="EP232" i="2"/>
  <c r="EV85" i="4"/>
  <c r="EU110" i="10"/>
  <c r="EU1020" i="10" s="1"/>
  <c r="EV89" i="4"/>
  <c r="EN472" i="2"/>
  <c r="EO430" i="2"/>
  <c r="EO429" i="2" s="1"/>
  <c r="EO434" i="2" s="1"/>
  <c r="D2216" i="3"/>
  <c r="D2218" i="3" s="1"/>
  <c r="B2221" i="3" s="1"/>
  <c r="EO164" i="2"/>
  <c r="EO159" i="2" s="1"/>
  <c r="EO148" i="2"/>
  <c r="H2485" i="3"/>
  <c r="I2482" i="3" s="1"/>
  <c r="H2506" i="3"/>
  <c r="I2502" i="3"/>
  <c r="EO471" i="2"/>
  <c r="EO347" i="2"/>
  <c r="EO454" i="2"/>
  <c r="ES439" i="2"/>
  <c r="EO317" i="2"/>
  <c r="ES291" i="2"/>
  <c r="EO463" i="2"/>
  <c r="EO473" i="2" s="1"/>
  <c r="EO190" i="2"/>
  <c r="EO191" i="2" s="1"/>
  <c r="EO209" i="2"/>
  <c r="EO303" i="2"/>
  <c r="EO441" i="2"/>
  <c r="EO453" i="2"/>
  <c r="EO573" i="2" s="1"/>
  <c r="EO319" i="2"/>
  <c r="EO349" i="2"/>
  <c r="EO342" i="2"/>
  <c r="EO465" i="2"/>
  <c r="EO408" i="2"/>
  <c r="EO412" i="2"/>
  <c r="EO233" i="2"/>
  <c r="EO230" i="2"/>
  <c r="EM51" i="2"/>
  <c r="EO366" i="10"/>
  <c r="B49" i="30"/>
  <c r="EN440" i="18"/>
  <c r="EN446" i="18"/>
  <c r="EN448" i="18" s="1"/>
  <c r="EN418" i="18"/>
  <c r="EN415" i="18"/>
  <c r="EN420" i="18" s="1"/>
  <c r="EN483" i="18" s="1"/>
  <c r="EN478" i="18" s="1"/>
  <c r="EN477" i="18" s="1"/>
  <c r="EN482" i="18" s="1"/>
  <c r="EN417" i="18"/>
  <c r="EO420" i="10"/>
  <c r="EP263" i="10"/>
  <c r="ES428" i="2"/>
  <c r="EN421" i="18"/>
  <c r="EP366" i="10"/>
  <c r="EN629" i="2"/>
  <c r="C69" i="24"/>
  <c r="C211" i="24" s="1"/>
  <c r="C216" i="24"/>
  <c r="EN433" i="2"/>
  <c r="EN190" i="10" s="1"/>
  <c r="D75" i="24"/>
  <c r="E66" i="24"/>
  <c r="E208" i="24" s="1"/>
  <c r="ES612" i="2"/>
  <c r="ES416" i="10" s="1"/>
  <c r="X87" i="21"/>
  <c r="X86" i="21"/>
  <c r="EO411" i="18"/>
  <c r="EP404" i="18" s="1"/>
  <c r="EP402" i="18"/>
  <c r="EO408" i="18"/>
  <c r="EO407" i="18"/>
  <c r="EO416" i="18"/>
  <c r="EO490" i="18"/>
  <c r="EO491" i="18" s="1"/>
  <c r="AG45" i="20"/>
  <c r="AJ48" i="20"/>
  <c r="AE43" i="20"/>
  <c r="AH46" i="20"/>
  <c r="AD42" i="20"/>
  <c r="AN52" i="20"/>
  <c r="AO53" i="20"/>
  <c r="AK49" i="20"/>
  <c r="AL50" i="20"/>
  <c r="AM51" i="20"/>
  <c r="AC41" i="20"/>
  <c r="AR56" i="20"/>
  <c r="AP54" i="20"/>
  <c r="AQ55" i="20"/>
  <c r="AS57" i="20"/>
  <c r="AT58" i="20"/>
  <c r="AF44" i="20"/>
  <c r="AI47" i="20"/>
  <c r="Z87" i="22"/>
  <c r="L10" i="22" s="1"/>
  <c r="L11" i="22" s="1"/>
  <c r="Z86" i="22"/>
  <c r="K47" i="29"/>
  <c r="L39" i="29"/>
  <c r="ER426" i="18"/>
  <c r="ER427" i="18" s="1"/>
  <c r="H62" i="24"/>
  <c r="G63" i="24"/>
  <c r="EM422" i="10"/>
  <c r="S40" i="29"/>
  <c r="T37" i="29"/>
  <c r="B177" i="6"/>
  <c r="EI535" i="2"/>
  <c r="EI533" i="2"/>
  <c r="EI532" i="2"/>
  <c r="EI534" i="2"/>
  <c r="EN458" i="2"/>
  <c r="D34" i="24"/>
  <c r="D35" i="24" s="1"/>
  <c r="D5" i="24"/>
  <c r="ER130" i="18"/>
  <c r="ER131" i="18" s="1"/>
  <c r="EP467" i="18"/>
  <c r="EP468" i="18" s="1"/>
  <c r="EP539" i="18" s="1"/>
  <c r="D245" i="24"/>
  <c r="D246" i="24" s="1"/>
  <c r="EJ166" i="18"/>
  <c r="EJ172" i="18"/>
  <c r="EJ687" i="18"/>
  <c r="S3383" i="3"/>
  <c r="S3384" i="3" s="1"/>
  <c r="EJ65" i="18"/>
  <c r="EJ61" i="18"/>
  <c r="D69" i="24"/>
  <c r="D211" i="24" s="1"/>
  <c r="D210" i="24"/>
  <c r="D227" i="24" s="1"/>
  <c r="FE606" i="2"/>
  <c r="EM604" i="2"/>
  <c r="EN602" i="2"/>
  <c r="EO481" i="18"/>
  <c r="EP476" i="18"/>
  <c r="EO484" i="18"/>
  <c r="EO480" i="18"/>
  <c r="H57" i="29"/>
  <c r="H58" i="29" s="1"/>
  <c r="EN368" i="2"/>
  <c r="EN432" i="10"/>
  <c r="EN369" i="2"/>
  <c r="EO369" i="2" s="1"/>
  <c r="EM426" i="10"/>
  <c r="EN343" i="2"/>
  <c r="EM633" i="2"/>
  <c r="L3396" i="3"/>
  <c r="K3404" i="3"/>
  <c r="E4568" i="3"/>
  <c r="S3397" i="3"/>
  <c r="T3394" i="3"/>
  <c r="AC28" i="21"/>
  <c r="AC29" i="21" s="1"/>
  <c r="E4289" i="3"/>
  <c r="E4912" i="3"/>
  <c r="AC25" i="20"/>
  <c r="AC26" i="20" s="1"/>
  <c r="ER233" i="18"/>
  <c r="D218" i="24"/>
  <c r="D275" i="24"/>
  <c r="EJ323" i="18"/>
  <c r="EJ322" i="18"/>
  <c r="N3413" i="3"/>
  <c r="O3410" i="3"/>
  <c r="C228" i="24"/>
  <c r="C231" i="24"/>
  <c r="EN429" i="2"/>
  <c r="EN434" i="2" s="1"/>
  <c r="N56" i="29"/>
  <c r="O53" i="29"/>
  <c r="ER692" i="18"/>
  <c r="EN465" i="2"/>
  <c r="EN475" i="2" s="1"/>
  <c r="D8" i="24"/>
  <c r="D225" i="24" s="1"/>
  <c r="D226" i="24" s="1"/>
  <c r="EN505" i="2"/>
  <c r="EM112" i="10"/>
  <c r="AD43" i="21"/>
  <c r="AI48" i="21"/>
  <c r="AC42" i="21"/>
  <c r="AF45" i="21"/>
  <c r="AG46" i="21"/>
  <c r="AH47" i="21"/>
  <c r="AB41" i="21"/>
  <c r="AE44" i="21"/>
  <c r="AJ49" i="21"/>
  <c r="AK50" i="21"/>
  <c r="AL51" i="21"/>
  <c r="AM52" i="21"/>
  <c r="AN53" i="21"/>
  <c r="AO54" i="21"/>
  <c r="AP55" i="21"/>
  <c r="AQ56" i="21"/>
  <c r="AR57" i="21"/>
  <c r="AS58" i="21"/>
  <c r="AT59" i="21"/>
  <c r="EN26" i="4"/>
  <c r="EN28" i="4" s="1"/>
  <c r="AD28" i="20"/>
  <c r="AD29" i="20" s="1"/>
  <c r="EN233" i="2"/>
  <c r="AA87" i="20"/>
  <c r="AA86" i="20"/>
  <c r="EN44" i="2"/>
  <c r="EK261" i="18"/>
  <c r="EK314" i="18"/>
  <c r="EQ492" i="18"/>
  <c r="EQ493" i="18" s="1"/>
  <c r="L16" i="23"/>
  <c r="EN436" i="2"/>
  <c r="E5714" i="3"/>
  <c r="EN432" i="2"/>
  <c r="AK63" i="21"/>
  <c r="AQ63" i="21"/>
  <c r="AD63" i="21"/>
  <c r="Z63" i="21"/>
  <c r="AE63" i="21"/>
  <c r="AT63" i="21"/>
  <c r="AI63" i="21"/>
  <c r="AG63" i="21"/>
  <c r="AR63" i="21"/>
  <c r="AH63" i="21"/>
  <c r="AN63" i="21"/>
  <c r="AJ63" i="21"/>
  <c r="AB63" i="21"/>
  <c r="AP63" i="21"/>
  <c r="AM63" i="21"/>
  <c r="Y63" i="21"/>
  <c r="Y85" i="21" s="1"/>
  <c r="AC63" i="21"/>
  <c r="AS63" i="21"/>
  <c r="AL63" i="21"/>
  <c r="AO63" i="21"/>
  <c r="AA63" i="21"/>
  <c r="AF63" i="21"/>
  <c r="EN329" i="2"/>
  <c r="EN424" i="10"/>
  <c r="EN349" i="2"/>
  <c r="E70" i="24"/>
  <c r="E273" i="24"/>
  <c r="T26" i="29"/>
  <c r="T27" i="29" s="1"/>
  <c r="AB25" i="22"/>
  <c r="AB26" i="22" s="1"/>
  <c r="EN49" i="18"/>
  <c r="EO278" i="18"/>
  <c r="EL231" i="18"/>
  <c r="EL234" i="18"/>
  <c r="EL235" i="18"/>
  <c r="EL230" i="18"/>
  <c r="EM226" i="18"/>
  <c r="EL258" i="18"/>
  <c r="C282" i="24"/>
  <c r="C283" i="24"/>
  <c r="AT65" i="22"/>
  <c r="AG65" i="22"/>
  <c r="AP65" i="22"/>
  <c r="AL65" i="22"/>
  <c r="AJ65" i="22"/>
  <c r="AB65" i="22"/>
  <c r="AD65" i="22"/>
  <c r="AO65" i="22"/>
  <c r="AI65" i="22"/>
  <c r="AQ65" i="22"/>
  <c r="AK65" i="22"/>
  <c r="AR65" i="22"/>
  <c r="AH65" i="22"/>
  <c r="AS65" i="22"/>
  <c r="AE65" i="22"/>
  <c r="AA65" i="22"/>
  <c r="AA85" i="22" s="1"/>
  <c r="AN65" i="22"/>
  <c r="AM65" i="22"/>
  <c r="AF65" i="22"/>
  <c r="AC65" i="22"/>
  <c r="AC29" i="22"/>
  <c r="AD28" i="22" s="1"/>
  <c r="G64" i="24"/>
  <c r="EM50" i="18"/>
  <c r="Y26" i="21"/>
  <c r="EQ437" i="18"/>
  <c r="EQ384" i="18"/>
  <c r="EQ385" i="18" s="1"/>
  <c r="EQ466" i="18"/>
  <c r="AB85" i="20"/>
  <c r="H3414" i="3"/>
  <c r="H3415" i="3" s="1"/>
  <c r="FC149" i="2" l="1"/>
  <c r="FB150" i="2"/>
  <c r="FC84" i="2"/>
  <c r="FD82" i="2"/>
  <c r="FD104" i="2" s="1"/>
  <c r="FC341" i="10"/>
  <c r="FC146" i="2"/>
  <c r="EY151" i="2"/>
  <c r="EX151" i="2"/>
  <c r="ER468" i="2"/>
  <c r="EW478" i="2" s="1"/>
  <c r="EW477" i="2"/>
  <c r="EW162" i="2"/>
  <c r="EW158" i="2" s="1"/>
  <c r="EW161" i="2"/>
  <c r="FB151" i="2"/>
  <c r="FC151" i="2" s="1"/>
  <c r="ET110" i="10"/>
  <c r="ET1020" i="10" s="1"/>
  <c r="B180" i="41"/>
  <c r="B185" i="41"/>
  <c r="B194" i="41" s="1"/>
  <c r="B199" i="41" s="1"/>
  <c r="EV92" i="4"/>
  <c r="EW92" i="4" s="1"/>
  <c r="EY92" i="4" s="1"/>
  <c r="ES551" i="2"/>
  <c r="ES553" i="2" s="1"/>
  <c r="ES556" i="2"/>
  <c r="EO555" i="2"/>
  <c r="ES555" i="2" s="1"/>
  <c r="ER477" i="2"/>
  <c r="EO147" i="2"/>
  <c r="EO158" i="2"/>
  <c r="EO163" i="2" s="1"/>
  <c r="B1515" i="3" s="1"/>
  <c r="EQ486" i="2"/>
  <c r="EQ232" i="2"/>
  <c r="ER232" i="2" s="1"/>
  <c r="EP369" i="2"/>
  <c r="EP367" i="2" s="1"/>
  <c r="EP368" i="2" s="1"/>
  <c r="EP233" i="2"/>
  <c r="EP230" i="2"/>
  <c r="EP231" i="2" s="1"/>
  <c r="EV87" i="4"/>
  <c r="EO282" i="2"/>
  <c r="EO281" i="2" s="1"/>
  <c r="EP410" i="2"/>
  <c r="H2487" i="3"/>
  <c r="EO327" i="2"/>
  <c r="I2484" i="3"/>
  <c r="I2504" i="3" s="1"/>
  <c r="EO455" i="2"/>
  <c r="EO370" i="2"/>
  <c r="EO367" i="2"/>
  <c r="EO368" i="2" s="1"/>
  <c r="EO475" i="2"/>
  <c r="EO350" i="2"/>
  <c r="EO425" i="10"/>
  <c r="ES342" i="2"/>
  <c r="EO45" i="2"/>
  <c r="EO466" i="2"/>
  <c r="EO467" i="2" s="1"/>
  <c r="EO477" i="2" s="1"/>
  <c r="EO231" i="2"/>
  <c r="EO410" i="2"/>
  <c r="EO413" i="2"/>
  <c r="EO409" i="2"/>
  <c r="EO414" i="2"/>
  <c r="EO452" i="2"/>
  <c r="EO485" i="2" s="1"/>
  <c r="EO486" i="2" s="1"/>
  <c r="EO308" i="2"/>
  <c r="EO440" i="2"/>
  <c r="EO464" i="2"/>
  <c r="E49" i="30"/>
  <c r="D49" i="30"/>
  <c r="EN495" i="18"/>
  <c r="EN447" i="18"/>
  <c r="EO443" i="18"/>
  <c r="EN450" i="18"/>
  <c r="EN445" i="18" s="1"/>
  <c r="EN444" i="18" s="1"/>
  <c r="EN449" i="18" s="1"/>
  <c r="EN29" i="4"/>
  <c r="ES29" i="4"/>
  <c r="EQ263" i="10"/>
  <c r="ER263" i="10"/>
  <c r="EQ366" i="10"/>
  <c r="EM141" i="10"/>
  <c r="EN641" i="2"/>
  <c r="EX612" i="2"/>
  <c r="E67" i="24"/>
  <c r="E209" i="24" s="1"/>
  <c r="U24" i="29"/>
  <c r="T32" i="29"/>
  <c r="EQ387" i="18"/>
  <c r="ER382" i="18"/>
  <c r="EQ390" i="18"/>
  <c r="EQ386" i="18"/>
  <c r="EQ433" i="18"/>
  <c r="EQ488" i="18"/>
  <c r="H3420" i="3"/>
  <c r="I3412" i="3"/>
  <c r="ER428" i="18"/>
  <c r="ER438" i="18" s="1"/>
  <c r="ER437" i="18" s="1"/>
  <c r="ER432" i="18"/>
  <c r="ER429" i="18"/>
  <c r="ES424" i="18"/>
  <c r="ER434" i="18"/>
  <c r="ER494" i="18"/>
  <c r="ER133" i="18"/>
  <c r="ER136" i="18"/>
  <c r="ER132" i="18"/>
  <c r="ES128" i="18"/>
  <c r="S3389" i="3"/>
  <c r="T3381" i="3"/>
  <c r="AA86" i="22"/>
  <c r="AA87" i="22"/>
  <c r="AK48" i="20"/>
  <c r="AH45" i="20"/>
  <c r="AF43" i="20"/>
  <c r="AE42" i="20"/>
  <c r="B35" i="20"/>
  <c r="AI46" i="20"/>
  <c r="AP53" i="20"/>
  <c r="AD41" i="20"/>
  <c r="AL49" i="20"/>
  <c r="AM50" i="20"/>
  <c r="AN51" i="20"/>
  <c r="AO52" i="20"/>
  <c r="AQ54" i="20"/>
  <c r="AR55" i="20"/>
  <c r="AS56" i="20"/>
  <c r="AT57" i="20"/>
  <c r="AG44" i="20"/>
  <c r="AJ47" i="20"/>
  <c r="EN507" i="2"/>
  <c r="EN508" i="2" s="1"/>
  <c r="EN506" i="2"/>
  <c r="AC25" i="22"/>
  <c r="AC26" i="22" s="1"/>
  <c r="EN414" i="10"/>
  <c r="EN330" i="2"/>
  <c r="C232" i="24"/>
  <c r="C234" i="24"/>
  <c r="C239" i="24"/>
  <c r="D220" i="24"/>
  <c r="D219" i="24"/>
  <c r="EM651" i="2"/>
  <c r="EM610" i="2"/>
  <c r="EM611" i="2" s="1"/>
  <c r="EM643" i="2"/>
  <c r="EN633" i="2"/>
  <c r="C170" i="41" s="1"/>
  <c r="I55" i="29"/>
  <c r="H63" i="29"/>
  <c r="B176" i="6"/>
  <c r="B181" i="6"/>
  <c r="B190" i="6"/>
  <c r="EP278" i="18"/>
  <c r="EO49" i="18"/>
  <c r="Y87" i="21"/>
  <c r="Y86" i="21"/>
  <c r="EQ439" i="18"/>
  <c r="AD66" i="22"/>
  <c r="AI66" i="22"/>
  <c r="AH66" i="22"/>
  <c r="AE66" i="22"/>
  <c r="AT66" i="22"/>
  <c r="AB66" i="22"/>
  <c r="AB85" i="22" s="1"/>
  <c r="AR66" i="22"/>
  <c r="AK66" i="22"/>
  <c r="AO66" i="22"/>
  <c r="AJ66" i="22"/>
  <c r="AL66" i="22"/>
  <c r="AS66" i="22"/>
  <c r="AQ66" i="22"/>
  <c r="AG66" i="22"/>
  <c r="AP66" i="22"/>
  <c r="AC66" i="22"/>
  <c r="AN66" i="22"/>
  <c r="AM66" i="22"/>
  <c r="AF66" i="22"/>
  <c r="T3397" i="3"/>
  <c r="U3394" i="3"/>
  <c r="U3397" i="3" s="1"/>
  <c r="EN426" i="10"/>
  <c r="EN351" i="2"/>
  <c r="D215" i="24"/>
  <c r="EM10" i="2"/>
  <c r="I3426" i="3"/>
  <c r="EM423" i="10"/>
  <c r="EP405" i="18"/>
  <c r="EP406" i="18" s="1"/>
  <c r="D228" i="24"/>
  <c r="D231" i="24"/>
  <c r="I4849" i="3"/>
  <c r="EN208" i="18"/>
  <c r="AG45" i="21"/>
  <c r="AI47" i="21"/>
  <c r="AD42" i="21"/>
  <c r="AJ48" i="21"/>
  <c r="AE43" i="21"/>
  <c r="AH46" i="21"/>
  <c r="AC41" i="21"/>
  <c r="AF44" i="21"/>
  <c r="AK49" i="21"/>
  <c r="AL50" i="21"/>
  <c r="AM51" i="21"/>
  <c r="AN52" i="21"/>
  <c r="AO53" i="21"/>
  <c r="AP54" i="21"/>
  <c r="AQ55" i="21"/>
  <c r="AR56" i="21"/>
  <c r="AS57" i="21"/>
  <c r="AT58" i="21"/>
  <c r="D9" i="24"/>
  <c r="D39" i="24" s="1"/>
  <c r="D46" i="24" s="1"/>
  <c r="D12" i="24"/>
  <c r="P3410" i="3"/>
  <c r="O3413" i="3"/>
  <c r="ES233" i="18"/>
  <c r="AD25" i="20"/>
  <c r="M7" i="20" s="1"/>
  <c r="M12" i="23" s="1"/>
  <c r="EN604" i="2"/>
  <c r="EN608" i="2"/>
  <c r="E274" i="24"/>
  <c r="ES692" i="18"/>
  <c r="AG67" i="20"/>
  <c r="AT67" i="20"/>
  <c r="AF67" i="20"/>
  <c r="AK67" i="20"/>
  <c r="AD67" i="20"/>
  <c r="AR67" i="20"/>
  <c r="AC67" i="20"/>
  <c r="AC85" i="20" s="1"/>
  <c r="AL67" i="20"/>
  <c r="AQ67" i="20"/>
  <c r="AM67" i="20"/>
  <c r="AJ67" i="20"/>
  <c r="AE67" i="20"/>
  <c r="AH67" i="20"/>
  <c r="AI67" i="20"/>
  <c r="AN67" i="20"/>
  <c r="AP67" i="20"/>
  <c r="AS67" i="20"/>
  <c r="AO67" i="20"/>
  <c r="E4417" i="3"/>
  <c r="E4574" i="3"/>
  <c r="E4576" i="3" s="1"/>
  <c r="F4490" i="3"/>
  <c r="F4491" i="3" s="1"/>
  <c r="F4493" i="3" s="1"/>
  <c r="E4763" i="3"/>
  <c r="E4627" i="3"/>
  <c r="EL137" i="10"/>
  <c r="AB86" i="20"/>
  <c r="AB87" i="20"/>
  <c r="EJ67" i="18"/>
  <c r="EJ66" i="18"/>
  <c r="EP479" i="18"/>
  <c r="EQ465" i="18"/>
  <c r="EP470" i="18"/>
  <c r="EP473" i="18"/>
  <c r="EP469" i="18"/>
  <c r="Z25" i="21"/>
  <c r="Z26" i="21" s="1"/>
  <c r="EL43" i="18"/>
  <c r="EL45" i="18" s="1"/>
  <c r="EL263" i="18"/>
  <c r="EL260" i="18"/>
  <c r="E71" i="24"/>
  <c r="E213" i="24" s="1"/>
  <c r="E74" i="24"/>
  <c r="E75" i="24" s="1"/>
  <c r="E212" i="24"/>
  <c r="E68" i="24"/>
  <c r="EN15" i="4"/>
  <c r="EN13" i="4"/>
  <c r="P53" i="29"/>
  <c r="O56" i="29"/>
  <c r="D250" i="24"/>
  <c r="EJ176" i="18"/>
  <c r="EJ183" i="18" s="1"/>
  <c r="EJ696" i="18"/>
  <c r="EJ695" i="18" s="1"/>
  <c r="D38" i="24"/>
  <c r="D45" i="24" s="1"/>
  <c r="D49" i="24" s="1"/>
  <c r="L3398" i="3"/>
  <c r="L3399" i="3" s="1"/>
  <c r="EN70" i="2"/>
  <c r="G65" i="24"/>
  <c r="H64" i="24"/>
  <c r="EM228" i="18"/>
  <c r="EM229" i="18" s="1"/>
  <c r="AD42" i="22"/>
  <c r="AD29" i="22"/>
  <c r="AE28" i="22" s="1"/>
  <c r="AE43" i="22"/>
  <c r="AG45" i="22"/>
  <c r="AH46" i="22"/>
  <c r="AJ48" i="22"/>
  <c r="AC41" i="22"/>
  <c r="AF44" i="22"/>
  <c r="AI47" i="22"/>
  <c r="AK49" i="22"/>
  <c r="AL50" i="22"/>
  <c r="AM51" i="22"/>
  <c r="AN52" i="22"/>
  <c r="AO53" i="22"/>
  <c r="AP54" i="22"/>
  <c r="AQ55" i="22"/>
  <c r="AR56" i="22"/>
  <c r="AS57" i="22"/>
  <c r="AT58" i="22"/>
  <c r="EM128" i="10"/>
  <c r="EN46" i="2"/>
  <c r="AE28" i="20"/>
  <c r="EN467" i="2"/>
  <c r="EN477" i="2" s="1"/>
  <c r="E4302" i="3"/>
  <c r="E4914" i="3"/>
  <c r="E4876" i="3"/>
  <c r="AD28" i="21"/>
  <c r="EN370" i="2"/>
  <c r="EJ173" i="18"/>
  <c r="D247" i="24"/>
  <c r="EJ174" i="18"/>
  <c r="D56" i="24"/>
  <c r="L41" i="29"/>
  <c r="L42" i="29" s="1"/>
  <c r="EK315" i="18"/>
  <c r="EK321" i="18"/>
  <c r="D276" i="24"/>
  <c r="D277" i="24"/>
  <c r="B287" i="24"/>
  <c r="B289" i="24" s="1"/>
  <c r="E4295" i="3"/>
  <c r="E4322" i="3"/>
  <c r="E4326" i="3" s="1"/>
  <c r="FE368" i="10"/>
  <c r="FF606" i="2"/>
  <c r="FJ606" i="2" s="1"/>
  <c r="T40" i="29"/>
  <c r="U37" i="29"/>
  <c r="U40" i="29" s="1"/>
  <c r="EP413" i="18"/>
  <c r="EO421" i="18"/>
  <c r="EO415" i="18"/>
  <c r="EO420" i="18" s="1"/>
  <c r="EO418" i="18"/>
  <c r="EO417" i="18"/>
  <c r="EO446" i="18"/>
  <c r="EO440" i="18"/>
  <c r="ER478" i="2" l="1"/>
  <c r="ER470" i="2"/>
  <c r="EW480" i="2" s="1"/>
  <c r="FD341" i="10"/>
  <c r="FD149" i="2"/>
  <c r="FD83" i="2"/>
  <c r="FE82" i="2"/>
  <c r="FE104" i="2" s="1"/>
  <c r="FC150" i="2"/>
  <c r="FD146" i="2"/>
  <c r="EV88" i="4"/>
  <c r="EW85" i="4" s="1"/>
  <c r="C79" i="41"/>
  <c r="C81" i="41" s="1"/>
  <c r="B56" i="42"/>
  <c r="B58" i="42" s="1"/>
  <c r="C175" i="41"/>
  <c r="C184" i="41" s="1"/>
  <c r="C171" i="41"/>
  <c r="ES557" i="2"/>
  <c r="EO559" i="2"/>
  <c r="EO562" i="2" s="1"/>
  <c r="EO152" i="2"/>
  <c r="B1514" i="3" s="1"/>
  <c r="ER230" i="2"/>
  <c r="ER233" i="2"/>
  <c r="ER480" i="2"/>
  <c r="ER526" i="2"/>
  <c r="EP370" i="2"/>
  <c r="ER366" i="10"/>
  <c r="EO328" i="2"/>
  <c r="EQ369" i="2"/>
  <c r="ER369" i="2" s="1"/>
  <c r="EQ230" i="2"/>
  <c r="EQ231" i="2" s="1"/>
  <c r="EQ233" i="2"/>
  <c r="EO445" i="2"/>
  <c r="EO287" i="2"/>
  <c r="EO293" i="2"/>
  <c r="EO298" i="2" s="1"/>
  <c r="EO424" i="2" s="1"/>
  <c r="EO419" i="2"/>
  <c r="EO505" i="2"/>
  <c r="EO507" i="2" s="1"/>
  <c r="EO508" i="2" s="1"/>
  <c r="EP505" i="2"/>
  <c r="EN74" i="2"/>
  <c r="EN75" i="2" s="1"/>
  <c r="EN80" i="2"/>
  <c r="EO418" i="2"/>
  <c r="EO286" i="2"/>
  <c r="EO292" i="2"/>
  <c r="EO297" i="2" s="1"/>
  <c r="EO423" i="2" s="1"/>
  <c r="EO14" i="4"/>
  <c r="ES14" i="4" s="1"/>
  <c r="ES45" i="2"/>
  <c r="EO474" i="2"/>
  <c r="EO468" i="2"/>
  <c r="ES350" i="2"/>
  <c r="ES425" i="10"/>
  <c r="EO476" i="2"/>
  <c r="ES466" i="2"/>
  <c r="ES476" i="2" s="1"/>
  <c r="EM14" i="2"/>
  <c r="EM32" i="2"/>
  <c r="EO495" i="18"/>
  <c r="FC612" i="2"/>
  <c r="FC416" i="10" s="1"/>
  <c r="EX416" i="10"/>
  <c r="AD26" i="20"/>
  <c r="AE25" i="20" s="1"/>
  <c r="AE26" i="20" s="1"/>
  <c r="EJ184" i="18"/>
  <c r="EJ185" i="18"/>
  <c r="AB87" i="22"/>
  <c r="AB86" i="22"/>
  <c r="EP407" i="18"/>
  <c r="EP411" i="18"/>
  <c r="EQ404" i="18" s="1"/>
  <c r="EP416" i="18"/>
  <c r="EQ402" i="18"/>
  <c r="EP408" i="18"/>
  <c r="EP490" i="18"/>
  <c r="EP491" i="18" s="1"/>
  <c r="D252" i="24"/>
  <c r="D251" i="24"/>
  <c r="D13" i="24"/>
  <c r="D50" i="24" s="1"/>
  <c r="D16" i="24"/>
  <c r="D17" i="24" s="1"/>
  <c r="D52" i="24"/>
  <c r="I4855" i="3"/>
  <c r="I4850" i="3"/>
  <c r="I4856" i="3" s="1"/>
  <c r="EN651" i="2"/>
  <c r="EM649" i="2"/>
  <c r="EM660" i="2" s="1"/>
  <c r="EM24" i="4" s="1"/>
  <c r="EM648" i="2"/>
  <c r="EM647" i="2"/>
  <c r="EM658" i="2" s="1"/>
  <c r="EM22" i="4" s="1"/>
  <c r="EM26" i="4" s="1"/>
  <c r="EM28" i="4" s="1"/>
  <c r="EM650" i="2"/>
  <c r="EM661" i="2" s="1"/>
  <c r="EM25" i="4" s="1"/>
  <c r="EP443" i="18"/>
  <c r="EO448" i="18"/>
  <c r="EO447" i="18"/>
  <c r="M39" i="29"/>
  <c r="L47" i="29"/>
  <c r="D253" i="24"/>
  <c r="B259" i="24"/>
  <c r="B261" i="24" s="1"/>
  <c r="D248" i="24"/>
  <c r="D249" i="24"/>
  <c r="E69" i="24"/>
  <c r="E211" i="24" s="1"/>
  <c r="E210" i="24"/>
  <c r="E227" i="24" s="1"/>
  <c r="Q53" i="29"/>
  <c r="Q56" i="29" s="1"/>
  <c r="P56" i="29"/>
  <c r="EQ467" i="18"/>
  <c r="EQ468" i="18" s="1"/>
  <c r="EQ539" i="18" s="1"/>
  <c r="E4420" i="3"/>
  <c r="E4933" i="3"/>
  <c r="E4934" i="3" s="1"/>
  <c r="EM427" i="10"/>
  <c r="EN128" i="10"/>
  <c r="EN51" i="2"/>
  <c r="L3404" i="3"/>
  <c r="M3396" i="3"/>
  <c r="ES130" i="18"/>
  <c r="ES131" i="18" s="1"/>
  <c r="C79" i="6"/>
  <c r="C81" i="6" s="1"/>
  <c r="E4878" i="3"/>
  <c r="E4887" i="3"/>
  <c r="EL314" i="18"/>
  <c r="EL261" i="18"/>
  <c r="EN206" i="18"/>
  <c r="EO205" i="18"/>
  <c r="EO207" i="18" s="1"/>
  <c r="EN209" i="18"/>
  <c r="EN210" i="18"/>
  <c r="EN257" i="18"/>
  <c r="ER439" i="18"/>
  <c r="B180" i="6"/>
  <c r="B185" i="6"/>
  <c r="B194" i="6" s="1"/>
  <c r="B199" i="6" s="1"/>
  <c r="EP484" i="18"/>
  <c r="EQ476" i="18"/>
  <c r="EP480" i="18"/>
  <c r="EP481" i="18"/>
  <c r="EN226" i="18"/>
  <c r="EM234" i="18"/>
  <c r="EM230" i="18"/>
  <c r="EM231" i="18"/>
  <c r="EM235" i="18"/>
  <c r="EM258" i="18"/>
  <c r="EN161" i="10"/>
  <c r="EN609" i="2"/>
  <c r="AD29" i="21"/>
  <c r="D217" i="24"/>
  <c r="D216" i="24"/>
  <c r="I57" i="29"/>
  <c r="I58" i="29" s="1"/>
  <c r="AD67" i="22"/>
  <c r="AN67" i="22"/>
  <c r="AR67" i="22"/>
  <c r="AE67" i="22"/>
  <c r="AL67" i="22"/>
  <c r="AK67" i="22"/>
  <c r="AT67" i="22"/>
  <c r="AP67" i="22"/>
  <c r="AJ67" i="22"/>
  <c r="AQ67" i="22"/>
  <c r="AH67" i="22"/>
  <c r="AF67" i="22"/>
  <c r="AC67" i="22"/>
  <c r="AC85" i="22" s="1"/>
  <c r="AI67" i="22"/>
  <c r="AG67" i="22"/>
  <c r="AS67" i="22"/>
  <c r="AO67" i="22"/>
  <c r="AM67" i="22"/>
  <c r="ER384" i="18"/>
  <c r="ER385" i="18" s="1"/>
  <c r="ER466" i="18"/>
  <c r="EQ278" i="18"/>
  <c r="EP49" i="18"/>
  <c r="AD25" i="22"/>
  <c r="AD26" i="22" s="1"/>
  <c r="T3383" i="3"/>
  <c r="T3384" i="3" s="1"/>
  <c r="I3414" i="3"/>
  <c r="I3415" i="3" s="1"/>
  <c r="EO483" i="18"/>
  <c r="EO478" i="18" s="1"/>
  <c r="EO477" i="18" s="1"/>
  <c r="EO482" i="18" s="1"/>
  <c r="EO450" i="18"/>
  <c r="E218" i="24"/>
  <c r="E275" i="24"/>
  <c r="EK322" i="18"/>
  <c r="EK323" i="18"/>
  <c r="EN69" i="2"/>
  <c r="EN78" i="2" s="1"/>
  <c r="EL57" i="18"/>
  <c r="F66" i="24"/>
  <c r="B293" i="24"/>
  <c r="B295" i="24" s="1"/>
  <c r="EJ700" i="18"/>
  <c r="EK698" i="18"/>
  <c r="AE64" i="21"/>
  <c r="AG64" i="21"/>
  <c r="AL64" i="21"/>
  <c r="AS64" i="21"/>
  <c r="AM64" i="21"/>
  <c r="AQ64" i="21"/>
  <c r="AK64" i="21"/>
  <c r="AO64" i="21"/>
  <c r="AB64" i="21"/>
  <c r="AT64" i="21"/>
  <c r="AC64" i="21"/>
  <c r="AR64" i="21"/>
  <c r="AD64" i="21"/>
  <c r="AI64" i="21"/>
  <c r="AP64" i="21"/>
  <c r="AH64" i="21"/>
  <c r="AN64" i="21"/>
  <c r="AF64" i="21"/>
  <c r="AJ64" i="21"/>
  <c r="AA64" i="21"/>
  <c r="Z64" i="21"/>
  <c r="Z85" i="21" s="1"/>
  <c r="L7" i="21"/>
  <c r="AH68" i="20"/>
  <c r="AE68" i="20"/>
  <c r="AJ68" i="20"/>
  <c r="AD68" i="20"/>
  <c r="AD85" i="20" s="1"/>
  <c r="AG68" i="20"/>
  <c r="AL68" i="20"/>
  <c r="AT68" i="20"/>
  <c r="AK68" i="20"/>
  <c r="AS68" i="20"/>
  <c r="AN68" i="20"/>
  <c r="AF68" i="20"/>
  <c r="AP68" i="20"/>
  <c r="AI68" i="20"/>
  <c r="AR68" i="20"/>
  <c r="AO68" i="20"/>
  <c r="AM68" i="20"/>
  <c r="AQ68" i="20"/>
  <c r="EN610" i="2"/>
  <c r="EN611" i="2" s="1"/>
  <c r="EN643" i="2"/>
  <c r="C170" i="6"/>
  <c r="E4941" i="3"/>
  <c r="AE29" i="20"/>
  <c r="AF28" i="20" s="1"/>
  <c r="ER492" i="18"/>
  <c r="ER493" i="18" s="1"/>
  <c r="AC86" i="20"/>
  <c r="AC87" i="20"/>
  <c r="FG606" i="2"/>
  <c r="FF368" i="10"/>
  <c r="D57" i="24"/>
  <c r="D58" i="24"/>
  <c r="E4312" i="3"/>
  <c r="E4308" i="3"/>
  <c r="E4331" i="3"/>
  <c r="B35" i="22"/>
  <c r="AF43" i="22"/>
  <c r="AE42" i="22"/>
  <c r="AE29" i="22"/>
  <c r="AF28" i="22" s="1"/>
  <c r="AI46" i="22"/>
  <c r="AH45" i="22"/>
  <c r="AG44" i="22"/>
  <c r="AD41" i="22"/>
  <c r="AK48" i="22"/>
  <c r="AJ47" i="22"/>
  <c r="AL49" i="22"/>
  <c r="AM50" i="22"/>
  <c r="AN51" i="22"/>
  <c r="AO52" i="22"/>
  <c r="AP53" i="22"/>
  <c r="AQ54" i="22"/>
  <c r="AR55" i="22"/>
  <c r="AS56" i="22"/>
  <c r="AT57" i="22"/>
  <c r="AA25" i="21"/>
  <c r="AA26" i="21" s="1"/>
  <c r="L8" i="21"/>
  <c r="E4577" i="3"/>
  <c r="F4496" i="3"/>
  <c r="E4578" i="3"/>
  <c r="E4392" i="3"/>
  <c r="E4628" i="3"/>
  <c r="E4629" i="3" s="1"/>
  <c r="E4423" i="3"/>
  <c r="E4426" i="3" s="1"/>
  <c r="Q3410" i="3"/>
  <c r="Q3413" i="3" s="1"/>
  <c r="P3413" i="3"/>
  <c r="D232" i="24"/>
  <c r="C236" i="24"/>
  <c r="C235" i="24"/>
  <c r="ES426" i="18"/>
  <c r="ES427" i="18" s="1"/>
  <c r="U26" i="29"/>
  <c r="U27" i="29" s="1"/>
  <c r="FF82" i="2" l="1"/>
  <c r="FE149" i="2"/>
  <c r="FE83" i="2"/>
  <c r="FE341" i="10"/>
  <c r="FF104" i="2"/>
  <c r="FE146" i="2"/>
  <c r="FD150" i="2"/>
  <c r="FD151" i="2"/>
  <c r="EW89" i="4"/>
  <c r="EW87" i="4" s="1"/>
  <c r="EX87" i="4" s="1"/>
  <c r="ER527" i="2"/>
  <c r="EW527" i="2"/>
  <c r="EV91" i="4"/>
  <c r="EV93" i="4" s="1"/>
  <c r="EW366" i="10"/>
  <c r="FB194" i="2"/>
  <c r="FB366" i="10" s="1"/>
  <c r="EM29" i="4"/>
  <c r="ER29" i="4"/>
  <c r="ER367" i="2"/>
  <c r="ER368" i="2" s="1"/>
  <c r="ER370" i="2"/>
  <c r="ER231" i="2"/>
  <c r="EQ370" i="2"/>
  <c r="EQ367" i="2"/>
  <c r="EQ368" i="2" s="1"/>
  <c r="EO420" i="2"/>
  <c r="EP417" i="2" s="1"/>
  <c r="EP420" i="2" s="1"/>
  <c r="EO506" i="2"/>
  <c r="EP506" i="2"/>
  <c r="EP507" i="2"/>
  <c r="EP508" i="2" s="1"/>
  <c r="EO470" i="2"/>
  <c r="EO526" i="2" s="1"/>
  <c r="EO478" i="2"/>
  <c r="FD612" i="2"/>
  <c r="FD416" i="10" s="1"/>
  <c r="M8" i="20"/>
  <c r="M13" i="23" s="1"/>
  <c r="AD87" i="20"/>
  <c r="M10" i="20" s="1"/>
  <c r="AD86" i="20"/>
  <c r="AC87" i="22"/>
  <c r="AC86" i="22"/>
  <c r="AB25" i="21"/>
  <c r="AB26" i="21" s="1"/>
  <c r="ES428" i="18"/>
  <c r="ES438" i="18" s="1"/>
  <c r="ES437" i="18" s="1"/>
  <c r="ES432" i="18"/>
  <c r="ES429" i="18"/>
  <c r="ES434" i="18"/>
  <c r="ES492" i="18" s="1"/>
  <c r="ES494" i="18"/>
  <c r="I63" i="29"/>
  <c r="J55" i="29"/>
  <c r="AF25" i="20"/>
  <c r="AF26" i="20" s="1"/>
  <c r="FG368" i="10"/>
  <c r="FH606" i="2"/>
  <c r="C175" i="6"/>
  <c r="C184" i="6" s="1"/>
  <c r="C171" i="6"/>
  <c r="F273" i="24"/>
  <c r="F70" i="24"/>
  <c r="EM137" i="10"/>
  <c r="EN59" i="2"/>
  <c r="EN137" i="10" s="1"/>
  <c r="AJ68" i="22"/>
  <c r="AE68" i="22"/>
  <c r="AS68" i="22"/>
  <c r="AF68" i="22"/>
  <c r="AT68" i="22"/>
  <c r="AP68" i="22"/>
  <c r="AR68" i="22"/>
  <c r="AD68" i="22"/>
  <c r="AD85" i="22" s="1"/>
  <c r="AI68" i="22"/>
  <c r="AO68" i="22"/>
  <c r="AK68" i="22"/>
  <c r="AQ68" i="22"/>
  <c r="AM68" i="22"/>
  <c r="AN68" i="22"/>
  <c r="AL68" i="22"/>
  <c r="AG68" i="22"/>
  <c r="AH68" i="22"/>
  <c r="M7" i="22"/>
  <c r="EL321" i="18"/>
  <c r="EL315" i="18"/>
  <c r="EQ405" i="18"/>
  <c r="EQ406" i="18" s="1"/>
  <c r="E4957" i="3"/>
  <c r="E4366" i="3"/>
  <c r="E4367" i="3" s="1"/>
  <c r="E4918" i="3"/>
  <c r="F208" i="24"/>
  <c r="F67" i="24"/>
  <c r="F209" i="24" s="1"/>
  <c r="E220" i="24"/>
  <c r="E219" i="24"/>
  <c r="AG65" i="21"/>
  <c r="AB65" i="21"/>
  <c r="AD65" i="21"/>
  <c r="AK65" i="21"/>
  <c r="AP65" i="21"/>
  <c r="AR65" i="21"/>
  <c r="AL65" i="21"/>
  <c r="AO65" i="21"/>
  <c r="AI65" i="21"/>
  <c r="AS65" i="21"/>
  <c r="AH65" i="21"/>
  <c r="AT65" i="21"/>
  <c r="AN65" i="21"/>
  <c r="AF65" i="21"/>
  <c r="AM65" i="21"/>
  <c r="AE65" i="21"/>
  <c r="AC65" i="21"/>
  <c r="AJ65" i="21"/>
  <c r="AQ65" i="21"/>
  <c r="AA65" i="21"/>
  <c r="AA85" i="21" s="1"/>
  <c r="EN45" i="4"/>
  <c r="I3420" i="3"/>
  <c r="J3412" i="3"/>
  <c r="AE42" i="21"/>
  <c r="AJ47" i="21"/>
  <c r="AK48" i="21"/>
  <c r="AF43" i="21"/>
  <c r="AI46" i="21"/>
  <c r="AH45" i="21"/>
  <c r="B35" i="21"/>
  <c r="AG44" i="21"/>
  <c r="AD41" i="21"/>
  <c r="AL49" i="21"/>
  <c r="AM50" i="21"/>
  <c r="AN51" i="21"/>
  <c r="AO52" i="21"/>
  <c r="AP53" i="21"/>
  <c r="AQ54" i="21"/>
  <c r="AR55" i="21"/>
  <c r="AS56" i="21"/>
  <c r="AT57" i="21"/>
  <c r="EN227" i="18"/>
  <c r="M3398" i="3"/>
  <c r="M3399" i="3" s="1"/>
  <c r="E4457" i="3"/>
  <c r="E4946" i="3"/>
  <c r="AE28" i="21"/>
  <c r="M41" i="29"/>
  <c r="M42" i="29" s="1"/>
  <c r="EN654" i="2"/>
  <c r="ES654" i="2" s="1"/>
  <c r="EN653" i="2"/>
  <c r="EN655" i="2"/>
  <c r="ES655" i="2" s="1"/>
  <c r="EN652" i="2"/>
  <c r="ES652" i="2" s="1"/>
  <c r="EP417" i="18"/>
  <c r="EP421" i="18"/>
  <c r="EQ413" i="18"/>
  <c r="EP415" i="18"/>
  <c r="EP420" i="18" s="1"/>
  <c r="EP483" i="18" s="1"/>
  <c r="EP478" i="18" s="1"/>
  <c r="EP477" i="18" s="1"/>
  <c r="EP482" i="18" s="1"/>
  <c r="EP418" i="18"/>
  <c r="EP440" i="18"/>
  <c r="EP446" i="18"/>
  <c r="EP495" i="18" s="1"/>
  <c r="AM69" i="20"/>
  <c r="AS69" i="20"/>
  <c r="AL69" i="20"/>
  <c r="AK69" i="20"/>
  <c r="AJ69" i="20"/>
  <c r="AN69" i="20"/>
  <c r="AO69" i="20"/>
  <c r="AT69" i="20"/>
  <c r="AG69" i="20"/>
  <c r="AR69" i="20"/>
  <c r="AF69" i="20"/>
  <c r="AE69" i="20"/>
  <c r="AH69" i="20"/>
  <c r="AQ69" i="20"/>
  <c r="AP69" i="20"/>
  <c r="AI69" i="20"/>
  <c r="M8" i="22"/>
  <c r="AE25" i="22"/>
  <c r="AE26" i="22" s="1"/>
  <c r="EO445" i="18"/>
  <c r="EO444" i="18" s="1"/>
  <c r="EO449" i="18" s="1"/>
  <c r="F4428" i="3"/>
  <c r="F4497" i="3"/>
  <c r="AJ46" i="20"/>
  <c r="AL48" i="20"/>
  <c r="AG43" i="20"/>
  <c r="AF42" i="20"/>
  <c r="AF29" i="20"/>
  <c r="AI45" i="20"/>
  <c r="AM49" i="20"/>
  <c r="AQ53" i="20"/>
  <c r="AN50" i="20"/>
  <c r="AO51" i="20"/>
  <c r="AP52" i="20"/>
  <c r="AT56" i="20"/>
  <c r="AR54" i="20"/>
  <c r="AS55" i="20"/>
  <c r="AE41" i="20"/>
  <c r="AK47" i="20"/>
  <c r="AH44" i="20"/>
  <c r="U32" i="29"/>
  <c r="V24" i="29"/>
  <c r="AL48" i="22"/>
  <c r="AG43" i="22"/>
  <c r="AF42" i="22"/>
  <c r="AJ46" i="22"/>
  <c r="AI45" i="22"/>
  <c r="AF29" i="22"/>
  <c r="AE41" i="22"/>
  <c r="AH44" i="22"/>
  <c r="AK47" i="22"/>
  <c r="AM49" i="22"/>
  <c r="AN50" i="22"/>
  <c r="AO51" i="22"/>
  <c r="AP52" i="22"/>
  <c r="AQ53" i="22"/>
  <c r="AR54" i="22"/>
  <c r="AS55" i="22"/>
  <c r="AT56" i="22"/>
  <c r="E4335" i="3"/>
  <c r="E4339" i="3"/>
  <c r="E4813" i="3"/>
  <c r="EN228" i="18"/>
  <c r="EN42" i="18"/>
  <c r="EN262" i="18"/>
  <c r="T3389" i="3"/>
  <c r="U3381" i="3"/>
  <c r="ER278" i="18"/>
  <c r="EQ49" i="18"/>
  <c r="ES132" i="18"/>
  <c r="ES136" i="18"/>
  <c r="ES133" i="18"/>
  <c r="EQ473" i="18"/>
  <c r="EQ469" i="18"/>
  <c r="ER465" i="18"/>
  <c r="EQ470" i="18"/>
  <c r="EQ479" i="18"/>
  <c r="B265" i="24"/>
  <c r="B267" i="24" s="1"/>
  <c r="D54" i="24"/>
  <c r="D53" i="24"/>
  <c r="EM43" i="18"/>
  <c r="EM45" i="18" s="1"/>
  <c r="EM263" i="18"/>
  <c r="EM260" i="18"/>
  <c r="E228" i="24"/>
  <c r="D255" i="24"/>
  <c r="D254" i="24"/>
  <c r="B262" i="24"/>
  <c r="B263" i="24" s="1"/>
  <c r="Z87" i="21"/>
  <c r="L10" i="21" s="1"/>
  <c r="L11" i="21" s="1"/>
  <c r="Z86" i="21"/>
  <c r="ER390" i="18"/>
  <c r="ER387" i="18"/>
  <c r="ER386" i="18"/>
  <c r="ES382" i="18"/>
  <c r="ER433" i="18"/>
  <c r="E276" i="24"/>
  <c r="E277" i="24"/>
  <c r="ER488" i="18"/>
  <c r="E215" i="24"/>
  <c r="EM662" i="2"/>
  <c r="EX89" i="4" l="1"/>
  <c r="FF146" i="2"/>
  <c r="FE150" i="2"/>
  <c r="FE151" i="2"/>
  <c r="FG82" i="2"/>
  <c r="FF149" i="2"/>
  <c r="FF83" i="2"/>
  <c r="FF341" i="10"/>
  <c r="FG104" i="2"/>
  <c r="EW88" i="4"/>
  <c r="EW91" i="4" s="1"/>
  <c r="EV110" i="10"/>
  <c r="EV1020" i="10" s="1"/>
  <c r="ER505" i="2"/>
  <c r="ER506" i="2" s="1"/>
  <c r="EQ505" i="2"/>
  <c r="EP421" i="2"/>
  <c r="EQ417" i="2"/>
  <c r="EQ420" i="2" s="1"/>
  <c r="ER417" i="2" s="1"/>
  <c r="ER420" i="2" s="1"/>
  <c r="EO421" i="2"/>
  <c r="EP422" i="2"/>
  <c r="EO422" i="2"/>
  <c r="EO527" i="2"/>
  <c r="EO480" i="2"/>
  <c r="FE612" i="2"/>
  <c r="FF612" i="2" s="1"/>
  <c r="EN229" i="18"/>
  <c r="EN258" i="18" s="1"/>
  <c r="AE85" i="20"/>
  <c r="AE86" i="20" s="1"/>
  <c r="AD87" i="22"/>
  <c r="M10" i="22" s="1"/>
  <c r="M11" i="22" s="1"/>
  <c r="AD86" i="22"/>
  <c r="EQ408" i="18"/>
  <c r="ER402" i="18"/>
  <c r="EQ407" i="18"/>
  <c r="EQ411" i="18"/>
  <c r="ER404" i="18" s="1"/>
  <c r="EQ416" i="18"/>
  <c r="EQ490" i="18"/>
  <c r="EQ491" i="18" s="1"/>
  <c r="AC25" i="21"/>
  <c r="AC26" i="21" s="1"/>
  <c r="M47" i="29"/>
  <c r="N39" i="29"/>
  <c r="M15" i="23"/>
  <c r="M11" i="20"/>
  <c r="U3383" i="3"/>
  <c r="U3384" i="3" s="1"/>
  <c r="N3396" i="3"/>
  <c r="M3404" i="3"/>
  <c r="ES439" i="18"/>
  <c r="V26" i="29"/>
  <c r="V27" i="29" s="1"/>
  <c r="E4458" i="3"/>
  <c r="E4468" i="3"/>
  <c r="E4921" i="3"/>
  <c r="E4919" i="3"/>
  <c r="E4922" i="3" s="1"/>
  <c r="AP70" i="20"/>
  <c r="AT70" i="20"/>
  <c r="AL70" i="20"/>
  <c r="AO70" i="20"/>
  <c r="AJ70" i="20"/>
  <c r="AN70" i="20"/>
  <c r="AQ70" i="20"/>
  <c r="AS70" i="20"/>
  <c r="AR70" i="20"/>
  <c r="AF70" i="20"/>
  <c r="AG70" i="20"/>
  <c r="AI70" i="20"/>
  <c r="AM70" i="20"/>
  <c r="AK70" i="20"/>
  <c r="AH70" i="20"/>
  <c r="F4459" i="3"/>
  <c r="F4430" i="3"/>
  <c r="F4432" i="3" s="1"/>
  <c r="E4951" i="3"/>
  <c r="E4995" i="3"/>
  <c r="FH368" i="10"/>
  <c r="FI606" i="2"/>
  <c r="FI368" i="10" s="1"/>
  <c r="AJ45" i="20"/>
  <c r="AM48" i="20"/>
  <c r="AK46" i="20"/>
  <c r="AN49" i="20"/>
  <c r="AO50" i="20"/>
  <c r="AR53" i="20"/>
  <c r="AG42" i="20"/>
  <c r="AH43" i="20"/>
  <c r="AP51" i="20"/>
  <c r="AQ52" i="20"/>
  <c r="AS54" i="20"/>
  <c r="AT55" i="20"/>
  <c r="AF41" i="20"/>
  <c r="AI44" i="20"/>
  <c r="AL47" i="20"/>
  <c r="AH69" i="22"/>
  <c r="AP69" i="22"/>
  <c r="AT69" i="22"/>
  <c r="AF69" i="22"/>
  <c r="AM69" i="22"/>
  <c r="AJ69" i="22"/>
  <c r="AQ69" i="22"/>
  <c r="AL69" i="22"/>
  <c r="AO69" i="22"/>
  <c r="AS69" i="22"/>
  <c r="AE69" i="22"/>
  <c r="AE85" i="22" s="1"/>
  <c r="AK69" i="22"/>
  <c r="AN69" i="22"/>
  <c r="AR69" i="22"/>
  <c r="AG69" i="22"/>
  <c r="AI69" i="22"/>
  <c r="AG28" i="20"/>
  <c r="AG29" i="20" s="1"/>
  <c r="AG25" i="20"/>
  <c r="EQ480" i="18"/>
  <c r="ER476" i="18"/>
  <c r="EQ481" i="18"/>
  <c r="EQ484" i="18"/>
  <c r="AG42" i="22"/>
  <c r="AM48" i="22"/>
  <c r="AJ45" i="22"/>
  <c r="AH43" i="22"/>
  <c r="AK46" i="22"/>
  <c r="AI44" i="22"/>
  <c r="AF41" i="22"/>
  <c r="AL47" i="22"/>
  <c r="AN49" i="22"/>
  <c r="AO50" i="22"/>
  <c r="AP51" i="22"/>
  <c r="AQ52" i="22"/>
  <c r="AR53" i="22"/>
  <c r="AS54" i="22"/>
  <c r="AT55" i="22"/>
  <c r="AE29" i="21"/>
  <c r="AF28" i="21" s="1"/>
  <c r="J3414" i="3"/>
  <c r="J3415" i="3" s="1"/>
  <c r="AG28" i="22"/>
  <c r="ES493" i="18"/>
  <c r="E217" i="24"/>
  <c r="E216" i="24"/>
  <c r="ES278" i="18"/>
  <c r="ES49" i="18" s="1"/>
  <c r="ER49" i="18"/>
  <c r="AF25" i="22"/>
  <c r="AF26" i="22" s="1"/>
  <c r="EX652" i="2"/>
  <c r="E4801" i="3"/>
  <c r="E4962" i="3"/>
  <c r="E4965" i="3"/>
  <c r="F275" i="24"/>
  <c r="EL323" i="18"/>
  <c r="F218" i="24"/>
  <c r="EL322" i="18"/>
  <c r="F68" i="24"/>
  <c r="F74" i="24"/>
  <c r="F75" i="24" s="1"/>
  <c r="F71" i="24"/>
  <c r="F213" i="24" s="1"/>
  <c r="F212" i="24"/>
  <c r="J57" i="29"/>
  <c r="J58" i="29" s="1"/>
  <c r="EM314" i="18"/>
  <c r="EM261" i="18"/>
  <c r="ER467" i="18"/>
  <c r="ER468" i="18" s="1"/>
  <c r="ER539" i="18" s="1"/>
  <c r="EP447" i="18"/>
  <c r="EQ443" i="18"/>
  <c r="EP448" i="18"/>
  <c r="EX655" i="2"/>
  <c r="F274" i="24"/>
  <c r="AA86" i="21"/>
  <c r="AA87" i="21"/>
  <c r="ES384" i="18"/>
  <c r="ES385" i="18" s="1"/>
  <c r="ES466" i="18"/>
  <c r="AN66" i="21"/>
  <c r="AD66" i="21"/>
  <c r="AH66" i="21"/>
  <c r="AF66" i="21"/>
  <c r="AP66" i="21"/>
  <c r="AT66" i="21"/>
  <c r="AJ66" i="21"/>
  <c r="AI66" i="21"/>
  <c r="AQ66" i="21"/>
  <c r="AS66" i="21"/>
  <c r="AG66" i="21"/>
  <c r="AR66" i="21"/>
  <c r="AM66" i="21"/>
  <c r="AE66" i="21"/>
  <c r="AC66" i="21"/>
  <c r="AO66" i="21"/>
  <c r="AK66" i="21"/>
  <c r="AB66" i="21"/>
  <c r="AB85" i="21" s="1"/>
  <c r="AL66" i="21"/>
  <c r="EM57" i="18"/>
  <c r="G66" i="24"/>
  <c r="F4499" i="3"/>
  <c r="F4561" i="3"/>
  <c r="EP450" i="18"/>
  <c r="ES653" i="2"/>
  <c r="EX654" i="2"/>
  <c r="EN58" i="4"/>
  <c r="EY89" i="4" l="1"/>
  <c r="EX88" i="4"/>
  <c r="EY85" i="4" s="1"/>
  <c r="FC85" i="4" s="1"/>
  <c r="FG146" i="2"/>
  <c r="FF151" i="2"/>
  <c r="FF150" i="2"/>
  <c r="FG149" i="2"/>
  <c r="FG341" i="10"/>
  <c r="FG83" i="2"/>
  <c r="FH82" i="2"/>
  <c r="FH104" i="2" s="1"/>
  <c r="EY87" i="4"/>
  <c r="EW93" i="4"/>
  <c r="EX91" i="4"/>
  <c r="D82" i="41"/>
  <c r="C59" i="42"/>
  <c r="ER507" i="2"/>
  <c r="ER508" i="2" s="1"/>
  <c r="ER421" i="2"/>
  <c r="ER422" i="2"/>
  <c r="EQ506" i="2"/>
  <c r="EQ507" i="2"/>
  <c r="EQ508" i="2" s="1"/>
  <c r="EQ421" i="2"/>
  <c r="EQ422" i="2"/>
  <c r="FE416" i="10"/>
  <c r="EN235" i="18"/>
  <c r="EN231" i="18"/>
  <c r="EN230" i="18"/>
  <c r="EO226" i="18"/>
  <c r="EO228" i="18" s="1"/>
  <c r="AE87" i="20"/>
  <c r="F215" i="24"/>
  <c r="F217" i="24" s="1"/>
  <c r="AF85" i="20"/>
  <c r="AF87" i="20" s="1"/>
  <c r="V3381" i="3"/>
  <c r="U3389" i="3"/>
  <c r="K3412" i="3"/>
  <c r="J3420" i="3"/>
  <c r="AN48" i="20"/>
  <c r="AK45" i="20"/>
  <c r="AL46" i="20"/>
  <c r="AH42" i="20"/>
  <c r="AI43" i="20"/>
  <c r="AR52" i="20"/>
  <c r="AG41" i="20"/>
  <c r="AT54" i="20"/>
  <c r="AS53" i="20"/>
  <c r="AO49" i="20"/>
  <c r="AP50" i="20"/>
  <c r="AQ51" i="20"/>
  <c r="AM47" i="20"/>
  <c r="AJ44" i="20"/>
  <c r="ES387" i="18"/>
  <c r="ES390" i="18"/>
  <c r="ES386" i="18"/>
  <c r="ES433" i="18"/>
  <c r="ES488" i="18"/>
  <c r="AB87" i="21"/>
  <c r="AB86" i="21"/>
  <c r="V32" i="29"/>
  <c r="W24" i="29"/>
  <c r="AG25" i="22"/>
  <c r="AG26" i="22" s="1"/>
  <c r="EM315" i="18"/>
  <c r="EM321" i="18"/>
  <c r="FC652" i="2"/>
  <c r="AD25" i="21"/>
  <c r="M7" i="21" s="1"/>
  <c r="F4795" i="3"/>
  <c r="F4560" i="3"/>
  <c r="AR67" i="21"/>
  <c r="AK67" i="21"/>
  <c r="AJ67" i="21"/>
  <c r="AO67" i="21"/>
  <c r="AE67" i="21"/>
  <c r="AI67" i="21"/>
  <c r="AM67" i="21"/>
  <c r="AS67" i="21"/>
  <c r="AG67" i="21"/>
  <c r="AL67" i="21"/>
  <c r="AQ67" i="21"/>
  <c r="AH67" i="21"/>
  <c r="AN67" i="21"/>
  <c r="AT67" i="21"/>
  <c r="AD67" i="21"/>
  <c r="AF67" i="21"/>
  <c r="AC67" i="21"/>
  <c r="AC85" i="21" s="1"/>
  <c r="AP67" i="21"/>
  <c r="EN263" i="18"/>
  <c r="EN43" i="18"/>
  <c r="EN45" i="18" s="1"/>
  <c r="EN260" i="18"/>
  <c r="AG71" i="20"/>
  <c r="AL71" i="20"/>
  <c r="AO71" i="20"/>
  <c r="AI71" i="20"/>
  <c r="AS71" i="20"/>
  <c r="AH71" i="20"/>
  <c r="AR71" i="20"/>
  <c r="AP71" i="20"/>
  <c r="AT71" i="20"/>
  <c r="AQ71" i="20"/>
  <c r="AK71" i="20"/>
  <c r="AM71" i="20"/>
  <c r="AJ71" i="20"/>
  <c r="AN71" i="20"/>
  <c r="EP445" i="18"/>
  <c r="EP444" i="18" s="1"/>
  <c r="EP449" i="18" s="1"/>
  <c r="AS70" i="22"/>
  <c r="AN70" i="22"/>
  <c r="AP70" i="22"/>
  <c r="AI70" i="22"/>
  <c r="AL70" i="22"/>
  <c r="AT70" i="22"/>
  <c r="AQ70" i="22"/>
  <c r="AK70" i="22"/>
  <c r="AF70" i="22"/>
  <c r="AF85" i="22" s="1"/>
  <c r="AM70" i="22"/>
  <c r="AR70" i="22"/>
  <c r="AO70" i="22"/>
  <c r="AJ70" i="22"/>
  <c r="AG70" i="22"/>
  <c r="AH70" i="22"/>
  <c r="F4449" i="3"/>
  <c r="F69" i="24"/>
  <c r="F211" i="24" s="1"/>
  <c r="F210" i="24"/>
  <c r="F227" i="24" s="1"/>
  <c r="D82" i="6"/>
  <c r="F4461" i="3"/>
  <c r="EQ417" i="18"/>
  <c r="EQ418" i="18"/>
  <c r="EQ421" i="18"/>
  <c r="ER413" i="18"/>
  <c r="EQ415" i="18"/>
  <c r="EQ420" i="18" s="1"/>
  <c r="EQ483" i="18" s="1"/>
  <c r="EQ478" i="18" s="1"/>
  <c r="EQ477" i="18" s="1"/>
  <c r="EQ482" i="18" s="1"/>
  <c r="EQ440" i="18"/>
  <c r="EQ446" i="18"/>
  <c r="FC655" i="2"/>
  <c r="F277" i="24"/>
  <c r="F276" i="24"/>
  <c r="FC654" i="2"/>
  <c r="EX653" i="2"/>
  <c r="K55" i="29"/>
  <c r="J63" i="29"/>
  <c r="AF29" i="21"/>
  <c r="AG28" i="21" s="1"/>
  <c r="AF42" i="21"/>
  <c r="AJ46" i="21"/>
  <c r="AI45" i="21"/>
  <c r="AK47" i="21"/>
  <c r="AG43" i="21"/>
  <c r="AL48" i="21"/>
  <c r="AE41" i="21"/>
  <c r="AH44" i="21"/>
  <c r="AM49" i="21"/>
  <c r="AN50" i="21"/>
  <c r="AO51" i="21"/>
  <c r="AP52" i="21"/>
  <c r="AQ53" i="21"/>
  <c r="AR54" i="21"/>
  <c r="AS55" i="21"/>
  <c r="AT56" i="21"/>
  <c r="FF416" i="10"/>
  <c r="FG612" i="2"/>
  <c r="AG29" i="22"/>
  <c r="AH28" i="22" s="1"/>
  <c r="AH28" i="20"/>
  <c r="AH29" i="20" s="1"/>
  <c r="AE87" i="22"/>
  <c r="AE86" i="22"/>
  <c r="N41" i="29"/>
  <c r="N42" i="29" s="1"/>
  <c r="ES465" i="18"/>
  <c r="ER469" i="18"/>
  <c r="ER479" i="18"/>
  <c r="ER470" i="18"/>
  <c r="ER473" i="18"/>
  <c r="F220" i="24"/>
  <c r="F219" i="24"/>
  <c r="E5009" i="3"/>
  <c r="E5002" i="3"/>
  <c r="N3398" i="3"/>
  <c r="N3399" i="3" s="1"/>
  <c r="ER405" i="18"/>
  <c r="ER406" i="18" s="1"/>
  <c r="G208" i="24"/>
  <c r="H66" i="24"/>
  <c r="G67" i="24"/>
  <c r="G209" i="24" s="1"/>
  <c r="G273" i="24"/>
  <c r="G70" i="24"/>
  <c r="AG26" i="20"/>
  <c r="M16" i="23"/>
  <c r="FH149" i="2" l="1"/>
  <c r="FH341" i="10"/>
  <c r="FH83" i="2"/>
  <c r="FI82" i="2"/>
  <c r="FI104" i="2"/>
  <c r="FG150" i="2"/>
  <c r="FH146" i="2"/>
  <c r="FG151" i="2"/>
  <c r="EX93" i="4"/>
  <c r="EX92" i="4" s="1"/>
  <c r="EZ92" i="4" s="1"/>
  <c r="FA92" i="4" s="1"/>
  <c r="FB92" i="4" s="1"/>
  <c r="EY88" i="4"/>
  <c r="F216" i="24"/>
  <c r="AF86" i="20"/>
  <c r="EQ450" i="18"/>
  <c r="EQ445" i="18" s="1"/>
  <c r="EQ444" i="18" s="1"/>
  <c r="EQ449" i="18" s="1"/>
  <c r="AD26" i="21"/>
  <c r="M8" i="21" s="1"/>
  <c r="ER411" i="18"/>
  <c r="ES404" i="18" s="1"/>
  <c r="ES402" i="18"/>
  <c r="ER416" i="18"/>
  <c r="ER407" i="18"/>
  <c r="ER408" i="18"/>
  <c r="ER490" i="18"/>
  <c r="ER491" i="18" s="1"/>
  <c r="AF86" i="22"/>
  <c r="AF87" i="22"/>
  <c r="AJ43" i="20"/>
  <c r="AM46" i="20"/>
  <c r="AO48" i="20"/>
  <c r="AL45" i="20"/>
  <c r="AI42" i="20"/>
  <c r="AQ50" i="20"/>
  <c r="AR51" i="20"/>
  <c r="AS52" i="20"/>
  <c r="AT53" i="20"/>
  <c r="AH41" i="20"/>
  <c r="AP49" i="20"/>
  <c r="AN47" i="20"/>
  <c r="AK44" i="20"/>
  <c r="H208" i="24"/>
  <c r="ES467" i="18"/>
  <c r="ES468" i="18" s="1"/>
  <c r="ES539" i="18" s="1"/>
  <c r="AH25" i="22"/>
  <c r="N7" i="22" s="1"/>
  <c r="V3383" i="3"/>
  <c r="V3384" i="3" s="1"/>
  <c r="G274" i="24"/>
  <c r="FD654" i="2"/>
  <c r="FC653" i="2"/>
  <c r="W26" i="29"/>
  <c r="W27" i="29" s="1"/>
  <c r="FG416" i="10"/>
  <c r="FH612" i="2"/>
  <c r="O39" i="29"/>
  <c r="N47" i="29"/>
  <c r="F4450" i="3"/>
  <c r="F4451" i="3" s="1"/>
  <c r="EN261" i="18"/>
  <c r="AH43" i="21"/>
  <c r="AG42" i="21"/>
  <c r="AM48" i="21"/>
  <c r="AG29" i="21"/>
  <c r="AH28" i="21" s="1"/>
  <c r="AK46" i="21"/>
  <c r="AJ45" i="21"/>
  <c r="AL47" i="21"/>
  <c r="AF41" i="21"/>
  <c r="AI44" i="21"/>
  <c r="AN49" i="21"/>
  <c r="AO50" i="21"/>
  <c r="AP51" i="21"/>
  <c r="AQ52" i="21"/>
  <c r="AR53" i="21"/>
  <c r="AS54" i="21"/>
  <c r="AT55" i="21"/>
  <c r="F228" i="24"/>
  <c r="G68" i="24"/>
  <c r="H70" i="24"/>
  <c r="G71" i="24"/>
  <c r="G213" i="24" s="1"/>
  <c r="G74" i="24"/>
  <c r="G212" i="24"/>
  <c r="EO208" i="18"/>
  <c r="J4849" i="3"/>
  <c r="N3404" i="3"/>
  <c r="O3396" i="3"/>
  <c r="AH25" i="20"/>
  <c r="AI28" i="20"/>
  <c r="K57" i="29"/>
  <c r="K58" i="29" s="1"/>
  <c r="AD68" i="21"/>
  <c r="AD85" i="21" s="1"/>
  <c r="AP68" i="21"/>
  <c r="AN68" i="21"/>
  <c r="AF68" i="21"/>
  <c r="AG68" i="21"/>
  <c r="AO68" i="21"/>
  <c r="AQ68" i="21"/>
  <c r="AM68" i="21"/>
  <c r="AH68" i="21"/>
  <c r="AR68" i="21"/>
  <c r="AI68" i="21"/>
  <c r="AJ68" i="21"/>
  <c r="AE68" i="21"/>
  <c r="AK68" i="21"/>
  <c r="AT68" i="21"/>
  <c r="AS68" i="21"/>
  <c r="AL68" i="21"/>
  <c r="AH29" i="22"/>
  <c r="AI28" i="22" s="1"/>
  <c r="AN48" i="22"/>
  <c r="AI43" i="22"/>
  <c r="AH42" i="22"/>
  <c r="AL46" i="22"/>
  <c r="AK45" i="22"/>
  <c r="AJ44" i="22"/>
  <c r="AG41" i="22"/>
  <c r="AM47" i="22"/>
  <c r="AO49" i="22"/>
  <c r="AP50" i="22"/>
  <c r="AQ51" i="22"/>
  <c r="AR52" i="22"/>
  <c r="AS53" i="22"/>
  <c r="AT54" i="22"/>
  <c r="ER443" i="18"/>
  <c r="EQ448" i="18"/>
  <c r="EQ447" i="18"/>
  <c r="AC87" i="21"/>
  <c r="AC86" i="21"/>
  <c r="FD652" i="2"/>
  <c r="AG85" i="20"/>
  <c r="K3414" i="3"/>
  <c r="K3415" i="3" s="1"/>
  <c r="ER480" i="18"/>
  <c r="ER484" i="18"/>
  <c r="ER481" i="18"/>
  <c r="ES476" i="18"/>
  <c r="FD655" i="2"/>
  <c r="EQ495" i="18"/>
  <c r="EM322" i="18"/>
  <c r="G218" i="24"/>
  <c r="EM323" i="18"/>
  <c r="G275" i="24"/>
  <c r="AR71" i="22"/>
  <c r="AH71" i="22"/>
  <c r="AS71" i="22"/>
  <c r="AP71" i="22"/>
  <c r="AK71" i="22"/>
  <c r="AG71" i="22"/>
  <c r="AT71" i="22"/>
  <c r="AI71" i="22"/>
  <c r="AL71" i="22"/>
  <c r="AN71" i="22"/>
  <c r="AO71" i="22"/>
  <c r="AM71" i="22"/>
  <c r="AJ71" i="22"/>
  <c r="AQ71" i="22"/>
  <c r="FI149" i="2" l="1"/>
  <c r="FI83" i="2"/>
  <c r="FI341" i="10"/>
  <c r="FH150" i="2"/>
  <c r="FH151" i="2"/>
  <c r="FI146" i="2"/>
  <c r="EY91" i="4"/>
  <c r="EZ85" i="4"/>
  <c r="EZ89" i="4"/>
  <c r="EW110" i="10"/>
  <c r="EW1020" i="10" s="1"/>
  <c r="EX148" i="4"/>
  <c r="AE25" i="21"/>
  <c r="AE26" i="21" s="1"/>
  <c r="AF25" i="21" s="1"/>
  <c r="AF26" i="21" s="1"/>
  <c r="AD86" i="21"/>
  <c r="AD87" i="21"/>
  <c r="M10" i="21" s="1"/>
  <c r="M11" i="21" s="1"/>
  <c r="K63" i="29"/>
  <c r="L55" i="29"/>
  <c r="K3420" i="3"/>
  <c r="L3412" i="3"/>
  <c r="AK72" i="20"/>
  <c r="AS72" i="20"/>
  <c r="AO72" i="20"/>
  <c r="AJ72" i="20"/>
  <c r="AQ72" i="20"/>
  <c r="AT72" i="20"/>
  <c r="AN72" i="20"/>
  <c r="AI72" i="20"/>
  <c r="AH72" i="20"/>
  <c r="AH85" i="20" s="1"/>
  <c r="AL72" i="20"/>
  <c r="AM72" i="20"/>
  <c r="AP72" i="20"/>
  <c r="AR72" i="20"/>
  <c r="N7" i="20"/>
  <c r="N12" i="23" s="1"/>
  <c r="O3398" i="3"/>
  <c r="O3399" i="3" s="1"/>
  <c r="W32" i="29"/>
  <c r="X24" i="29"/>
  <c r="FE652" i="2"/>
  <c r="AO48" i="22"/>
  <c r="AJ43" i="22"/>
  <c r="AI42" i="22"/>
  <c r="AM46" i="22"/>
  <c r="AL45" i="22"/>
  <c r="AI29" i="22"/>
  <c r="AJ28" i="22" s="1"/>
  <c r="AK44" i="22"/>
  <c r="AH41" i="22"/>
  <c r="AN47" i="22"/>
  <c r="AP49" i="22"/>
  <c r="AQ50" i="22"/>
  <c r="AR51" i="22"/>
  <c r="AS52" i="22"/>
  <c r="AT53" i="22"/>
  <c r="G210" i="24"/>
  <c r="H68" i="24"/>
  <c r="G69" i="24"/>
  <c r="G211" i="24" s="1"/>
  <c r="AH42" i="21"/>
  <c r="AL46" i="21"/>
  <c r="AK45" i="21"/>
  <c r="AM47" i="21"/>
  <c r="AH29" i="21"/>
  <c r="AI28" i="21" s="1"/>
  <c r="AN48" i="21"/>
  <c r="AI43" i="21"/>
  <c r="AG41" i="21"/>
  <c r="AJ44" i="21"/>
  <c r="AO49" i="21"/>
  <c r="AP50" i="21"/>
  <c r="AQ51" i="21"/>
  <c r="AR52" i="21"/>
  <c r="AS53" i="21"/>
  <c r="AT54" i="21"/>
  <c r="H275" i="24"/>
  <c r="G276" i="24"/>
  <c r="G277" i="24"/>
  <c r="FI612" i="2"/>
  <c r="FI416" i="10" s="1"/>
  <c r="FH416" i="10"/>
  <c r="AM72" i="22"/>
  <c r="AS72" i="22"/>
  <c r="AL72" i="22"/>
  <c r="AI72" i="22"/>
  <c r="AQ72" i="22"/>
  <c r="AK72" i="22"/>
  <c r="AP72" i="22"/>
  <c r="AT72" i="22"/>
  <c r="AH72" i="22"/>
  <c r="AN72" i="22"/>
  <c r="AJ72" i="22"/>
  <c r="AO72" i="22"/>
  <c r="AR72" i="22"/>
  <c r="FE655" i="2"/>
  <c r="AG85" i="22"/>
  <c r="AG87" i="20"/>
  <c r="AG86" i="20"/>
  <c r="J4855" i="3"/>
  <c r="J4850" i="3"/>
  <c r="J4856" i="3" s="1"/>
  <c r="EO206" i="18"/>
  <c r="EP205" i="18"/>
  <c r="EP207" i="18" s="1"/>
  <c r="EO210" i="18"/>
  <c r="EO209" i="18"/>
  <c r="EO257" i="18"/>
  <c r="ES470" i="18"/>
  <c r="ES473" i="18"/>
  <c r="ES479" i="18"/>
  <c r="ES469" i="18"/>
  <c r="H212" i="24"/>
  <c r="G215" i="24"/>
  <c r="F4445" i="3"/>
  <c r="F4446" i="3"/>
  <c r="O41" i="29"/>
  <c r="O42" i="29" s="1"/>
  <c r="FE654" i="2"/>
  <c r="FD653" i="2"/>
  <c r="AI29" i="20"/>
  <c r="AJ28" i="20" s="1"/>
  <c r="ER418" i="18"/>
  <c r="ER415" i="18"/>
  <c r="ER420" i="18" s="1"/>
  <c r="ES413" i="18"/>
  <c r="ER417" i="18"/>
  <c r="ER421" i="18"/>
  <c r="ER440" i="18"/>
  <c r="ER446" i="18"/>
  <c r="W3381" i="3"/>
  <c r="V3389" i="3"/>
  <c r="ES405" i="18"/>
  <c r="ES406" i="18" s="1"/>
  <c r="ES490" i="18" s="1"/>
  <c r="ES491" i="18" s="1"/>
  <c r="G75" i="24"/>
  <c r="H74" i="24"/>
  <c r="H218" i="24"/>
  <c r="G219" i="24"/>
  <c r="G220" i="24"/>
  <c r="AH26" i="20"/>
  <c r="AH26" i="22"/>
  <c r="FI150" i="2" l="1"/>
  <c r="FI151" i="2"/>
  <c r="EZ87" i="4"/>
  <c r="EY93" i="4"/>
  <c r="AS69" i="21"/>
  <c r="AM69" i="21"/>
  <c r="AO69" i="21"/>
  <c r="AI69" i="21"/>
  <c r="AJ69" i="21"/>
  <c r="AR69" i="21"/>
  <c r="AT69" i="21"/>
  <c r="AF69" i="21"/>
  <c r="AH69" i="21"/>
  <c r="AG69" i="21"/>
  <c r="AP69" i="21"/>
  <c r="AL69" i="21"/>
  <c r="AE69" i="21"/>
  <c r="AE85" i="21" s="1"/>
  <c r="AE86" i="21" s="1"/>
  <c r="AK69" i="21"/>
  <c r="AQ69" i="21"/>
  <c r="AN69" i="21"/>
  <c r="F4447" i="3"/>
  <c r="G4444" i="3" s="1"/>
  <c r="O3404" i="3"/>
  <c r="P3396" i="3"/>
  <c r="P39" i="29"/>
  <c r="O47" i="29"/>
  <c r="AH87" i="20"/>
  <c r="N10" i="20" s="1"/>
  <c r="AH86" i="20"/>
  <c r="N8" i="20"/>
  <c r="N13" i="23" s="1"/>
  <c r="AI25" i="20"/>
  <c r="AI26" i="20" s="1"/>
  <c r="G217" i="24"/>
  <c r="G216" i="24"/>
  <c r="H215" i="24"/>
  <c r="ER448" i="18"/>
  <c r="ES443" i="18"/>
  <c r="ER447" i="18"/>
  <c r="AH85" i="22"/>
  <c r="FE653" i="2"/>
  <c r="FF654" i="2"/>
  <c r="AG70" i="21"/>
  <c r="AI70" i="21"/>
  <c r="AL70" i="21"/>
  <c r="AN70" i="21"/>
  <c r="AQ70" i="21"/>
  <c r="AO70" i="21"/>
  <c r="AM70" i="21"/>
  <c r="AH70" i="21"/>
  <c r="AR70" i="21"/>
  <c r="AT70" i="21"/>
  <c r="AS70" i="21"/>
  <c r="AF70" i="21"/>
  <c r="AP70" i="21"/>
  <c r="AJ70" i="21"/>
  <c r="AK70" i="21"/>
  <c r="ES408" i="18"/>
  <c r="ES407" i="18"/>
  <c r="ES411" i="18"/>
  <c r="ES416" i="18"/>
  <c r="EO227" i="18"/>
  <c r="EO229" i="18" s="1"/>
  <c r="L3414" i="3"/>
  <c r="L3415" i="3" s="1"/>
  <c r="AK43" i="22"/>
  <c r="AJ42" i="22"/>
  <c r="AP48" i="22"/>
  <c r="AJ29" i="22"/>
  <c r="AK28" i="22" s="1"/>
  <c r="AN46" i="22"/>
  <c r="AM45" i="22"/>
  <c r="AI41" i="22"/>
  <c r="AL44" i="22"/>
  <c r="AO47" i="22"/>
  <c r="AQ49" i="22"/>
  <c r="AR50" i="22"/>
  <c r="AS51" i="22"/>
  <c r="AT52" i="22"/>
  <c r="W3383" i="3"/>
  <c r="W3384" i="3" s="1"/>
  <c r="ER483" i="18"/>
  <c r="ER478" i="18" s="1"/>
  <c r="ER477" i="18" s="1"/>
  <c r="ER482" i="18" s="1"/>
  <c r="ER450" i="18"/>
  <c r="F4452" i="3"/>
  <c r="EO42" i="18"/>
  <c r="EO262" i="18"/>
  <c r="ER495" i="18"/>
  <c r="AJ43" i="21"/>
  <c r="AI42" i="21"/>
  <c r="AL45" i="21"/>
  <c r="AM46" i="21"/>
  <c r="AI29" i="21"/>
  <c r="AJ28" i="21" s="1"/>
  <c r="AN47" i="21"/>
  <c r="AO48" i="21"/>
  <c r="AK44" i="21"/>
  <c r="AH41" i="21"/>
  <c r="AP49" i="21"/>
  <c r="AQ50" i="21"/>
  <c r="AR51" i="21"/>
  <c r="AS52" i="21"/>
  <c r="AT53" i="21"/>
  <c r="G227" i="24"/>
  <c r="H210" i="24"/>
  <c r="L57" i="29"/>
  <c r="L58" i="29" s="1"/>
  <c r="AG86" i="22"/>
  <c r="AG87" i="22"/>
  <c r="FF652" i="2"/>
  <c r="AG25" i="21"/>
  <c r="AG26" i="21" s="1"/>
  <c r="AI25" i="22"/>
  <c r="N8" i="22"/>
  <c r="AJ42" i="20"/>
  <c r="AN46" i="20"/>
  <c r="AJ29" i="20"/>
  <c r="AK28" i="20" s="1"/>
  <c r="AK43" i="20"/>
  <c r="AP48" i="20"/>
  <c r="AM45" i="20"/>
  <c r="AQ49" i="20"/>
  <c r="AR50" i="20"/>
  <c r="AS51" i="20"/>
  <c r="AT52" i="20"/>
  <c r="AI41" i="20"/>
  <c r="AO47" i="20"/>
  <c r="AL44" i="20"/>
  <c r="ES481" i="18"/>
  <c r="ES484" i="18"/>
  <c r="ES480" i="18"/>
  <c r="FF655" i="2"/>
  <c r="X26" i="29"/>
  <c r="X27" i="29" s="1"/>
  <c r="EY80" i="4" l="1"/>
  <c r="EY110" i="10" s="1"/>
  <c r="EY1020" i="10" s="1"/>
  <c r="EZ88" i="4"/>
  <c r="AE87" i="21"/>
  <c r="AF85" i="21"/>
  <c r="AF86" i="21" s="1"/>
  <c r="N15" i="23"/>
  <c r="N11" i="20"/>
  <c r="AN73" i="22"/>
  <c r="AR73" i="22"/>
  <c r="AM73" i="22"/>
  <c r="AO73" i="22"/>
  <c r="AT73" i="22"/>
  <c r="AS73" i="22"/>
  <c r="AQ73" i="22"/>
  <c r="AK73" i="22"/>
  <c r="AI73" i="22"/>
  <c r="AI85" i="22" s="1"/>
  <c r="AP73" i="22"/>
  <c r="AJ73" i="22"/>
  <c r="AL73" i="22"/>
  <c r="M55" i="29"/>
  <c r="L63" i="29"/>
  <c r="AH25" i="21"/>
  <c r="AH26" i="21" s="1"/>
  <c r="X32" i="29"/>
  <c r="Y24" i="29"/>
  <c r="ER445" i="18"/>
  <c r="ER444" i="18" s="1"/>
  <c r="ER449" i="18" s="1"/>
  <c r="AI26" i="22"/>
  <c r="F4453" i="3"/>
  <c r="F4433" i="3"/>
  <c r="F4434" i="3" s="1"/>
  <c r="F4501" i="3"/>
  <c r="F4462" i="3"/>
  <c r="F4465" i="3" s="1"/>
  <c r="FF653" i="2"/>
  <c r="FG654" i="2"/>
  <c r="AH87" i="22"/>
  <c r="N10" i="22" s="1"/>
  <c r="N11" i="22" s="1"/>
  <c r="AH86" i="22"/>
  <c r="P3398" i="3"/>
  <c r="P3399" i="3" s="1"/>
  <c r="AN45" i="22"/>
  <c r="AQ48" i="22"/>
  <c r="AL43" i="22"/>
  <c r="AK29" i="22"/>
  <c r="AL28" i="22" s="1"/>
  <c r="AK42" i="22"/>
  <c r="AO46" i="22"/>
  <c r="AJ41" i="22"/>
  <c r="AM44" i="22"/>
  <c r="AP47" i="22"/>
  <c r="AR49" i="22"/>
  <c r="AS50" i="22"/>
  <c r="AT51" i="22"/>
  <c r="ES417" i="18"/>
  <c r="ES418" i="18"/>
  <c r="ES421" i="18"/>
  <c r="ES415" i="18"/>
  <c r="ES420" i="18" s="1"/>
  <c r="ES483" i="18" s="1"/>
  <c r="ES478" i="18" s="1"/>
  <c r="ES477" i="18" s="1"/>
  <c r="ES482" i="18" s="1"/>
  <c r="ES446" i="18"/>
  <c r="ES495" i="18" s="1"/>
  <c r="ES440" i="18"/>
  <c r="P41" i="29"/>
  <c r="P42" i="29" s="1"/>
  <c r="H227" i="24"/>
  <c r="G228" i="24"/>
  <c r="EO231" i="18"/>
  <c r="EO235" i="18"/>
  <c r="EO230" i="18"/>
  <c r="EP226" i="18"/>
  <c r="EO258" i="18"/>
  <c r="AL43" i="20"/>
  <c r="AK42" i="20"/>
  <c r="AK29" i="20"/>
  <c r="AL28" i="20" s="1"/>
  <c r="AT51" i="20"/>
  <c r="AO46" i="20"/>
  <c r="AQ48" i="20"/>
  <c r="AN45" i="20"/>
  <c r="AR49" i="20"/>
  <c r="AS50" i="20"/>
  <c r="AJ41" i="20"/>
  <c r="AP47" i="20"/>
  <c r="AM44" i="20"/>
  <c r="AM45" i="21"/>
  <c r="AJ42" i="21"/>
  <c r="AO47" i="21"/>
  <c r="AN46" i="21"/>
  <c r="AI41" i="21"/>
  <c r="AJ29" i="21"/>
  <c r="AP48" i="21"/>
  <c r="AK43" i="21"/>
  <c r="AL44" i="21"/>
  <c r="AQ49" i="21"/>
  <c r="AR50" i="21"/>
  <c r="AS51" i="21"/>
  <c r="AT52" i="21"/>
  <c r="W3389" i="3"/>
  <c r="X3381" i="3"/>
  <c r="L3420" i="3"/>
  <c r="M3412" i="3"/>
  <c r="AJ25" i="20"/>
  <c r="AJ26" i="20" s="1"/>
  <c r="FG655" i="2"/>
  <c r="AL71" i="21"/>
  <c r="AQ71" i="21"/>
  <c r="AI71" i="21"/>
  <c r="AJ71" i="21"/>
  <c r="AT71" i="21"/>
  <c r="AN71" i="21"/>
  <c r="AO71" i="21"/>
  <c r="AH71" i="21"/>
  <c r="AK71" i="21"/>
  <c r="AP71" i="21"/>
  <c r="AR71" i="21"/>
  <c r="AM71" i="21"/>
  <c r="AG71" i="21"/>
  <c r="AG85" i="21" s="1"/>
  <c r="AS71" i="21"/>
  <c r="FG652" i="2"/>
  <c r="AP73" i="20"/>
  <c r="AM73" i="20"/>
  <c r="AN73" i="20"/>
  <c r="AO73" i="20"/>
  <c r="AJ73" i="20"/>
  <c r="AK73" i="20"/>
  <c r="AL73" i="20"/>
  <c r="AR73" i="20"/>
  <c r="AT73" i="20"/>
  <c r="AQ73" i="20"/>
  <c r="AS73" i="20"/>
  <c r="AI73" i="20"/>
  <c r="AI85" i="20" s="1"/>
  <c r="FA85" i="4" l="1"/>
  <c r="EZ91" i="4"/>
  <c r="FA89" i="4"/>
  <c r="EY148" i="4"/>
  <c r="EY133" i="4"/>
  <c r="AF87" i="21"/>
  <c r="ES450" i="18"/>
  <c r="ES445" i="18" s="1"/>
  <c r="ES444" i="18" s="1"/>
  <c r="ES449" i="18" s="1"/>
  <c r="P3404" i="3"/>
  <c r="Q3396" i="3"/>
  <c r="AK25" i="20"/>
  <c r="P47" i="29"/>
  <c r="Q39" i="29"/>
  <c r="AI87" i="20"/>
  <c r="AI86" i="20"/>
  <c r="AI86" i="22"/>
  <c r="AI87" i="22"/>
  <c r="M3414" i="3"/>
  <c r="M3415" i="3" s="1"/>
  <c r="ES447" i="18"/>
  <c r="ES448" i="18"/>
  <c r="F4469" i="3"/>
  <c r="F4467" i="3"/>
  <c r="AG87" i="21"/>
  <c r="AG86" i="21"/>
  <c r="FG653" i="2"/>
  <c r="FH654" i="2"/>
  <c r="G4541" i="3"/>
  <c r="F4439" i="3"/>
  <c r="M57" i="29"/>
  <c r="M58" i="29" s="1"/>
  <c r="AQ48" i="21"/>
  <c r="AO46" i="21"/>
  <c r="AP47" i="21"/>
  <c r="AL43" i="21"/>
  <c r="AK42" i="21"/>
  <c r="AN45" i="21"/>
  <c r="AJ41" i="21"/>
  <c r="AM44" i="21"/>
  <c r="AR49" i="21"/>
  <c r="AS50" i="21"/>
  <c r="AT51" i="21"/>
  <c r="AS74" i="20"/>
  <c r="AO74" i="20"/>
  <c r="AL74" i="20"/>
  <c r="AM74" i="20"/>
  <c r="AJ74" i="20"/>
  <c r="AJ85" i="20" s="1"/>
  <c r="AR74" i="20"/>
  <c r="AN74" i="20"/>
  <c r="AP74" i="20"/>
  <c r="AK74" i="20"/>
  <c r="AT74" i="20"/>
  <c r="AQ74" i="20"/>
  <c r="EO43" i="18"/>
  <c r="EO45" i="18" s="1"/>
  <c r="EO263" i="18"/>
  <c r="EO260" i="18"/>
  <c r="AT72" i="21"/>
  <c r="AM72" i="21"/>
  <c r="AQ72" i="21"/>
  <c r="AK72" i="21"/>
  <c r="AO72" i="21"/>
  <c r="AH72" i="21"/>
  <c r="AH85" i="21" s="1"/>
  <c r="AL72" i="21"/>
  <c r="AS72" i="21"/>
  <c r="AR72" i="21"/>
  <c r="AI72" i="21"/>
  <c r="AP72" i="21"/>
  <c r="AN72" i="21"/>
  <c r="AJ72" i="21"/>
  <c r="N7" i="21"/>
  <c r="N16" i="23"/>
  <c r="N8" i="21"/>
  <c r="AI25" i="21"/>
  <c r="AI26" i="21" s="1"/>
  <c r="AL42" i="22"/>
  <c r="AO45" i="22"/>
  <c r="AR48" i="22"/>
  <c r="AM43" i="22"/>
  <c r="AP46" i="22"/>
  <c r="AL29" i="22"/>
  <c r="AM28" i="22" s="1"/>
  <c r="AK41" i="22"/>
  <c r="AN44" i="22"/>
  <c r="AQ47" i="22"/>
  <c r="AS49" i="22"/>
  <c r="AT50" i="22"/>
  <c r="FH655" i="2"/>
  <c r="EP228" i="18"/>
  <c r="AJ25" i="22"/>
  <c r="AJ26" i="22" s="1"/>
  <c r="AK28" i="21"/>
  <c r="AK29" i="21" s="1"/>
  <c r="FH652" i="2"/>
  <c r="X3383" i="3"/>
  <c r="X3384" i="3" s="1"/>
  <c r="AL42" i="20"/>
  <c r="AP46" i="20"/>
  <c r="AL29" i="20"/>
  <c r="AM28" i="20" s="1"/>
  <c r="AO45" i="20"/>
  <c r="AR48" i="20"/>
  <c r="AM43" i="20"/>
  <c r="AK41" i="20"/>
  <c r="AS49" i="20"/>
  <c r="AT50" i="20"/>
  <c r="AN44" i="20"/>
  <c r="AQ47" i="20"/>
  <c r="Y26" i="29"/>
  <c r="Y27" i="29" s="1"/>
  <c r="Y32" i="29" s="1"/>
  <c r="FA87" i="4" l="1"/>
  <c r="EZ93" i="4"/>
  <c r="N55" i="29"/>
  <c r="M63" i="29"/>
  <c r="Y3381" i="3"/>
  <c r="X3389" i="3"/>
  <c r="N3412" i="3"/>
  <c r="M3420" i="3"/>
  <c r="AP46" i="21"/>
  <c r="AR48" i="21"/>
  <c r="AL42" i="21"/>
  <c r="AO45" i="21"/>
  <c r="AM43" i="21"/>
  <c r="AQ47" i="21"/>
  <c r="AK41" i="21"/>
  <c r="AN44" i="21"/>
  <c r="AS49" i="21"/>
  <c r="AT50" i="21"/>
  <c r="AJ25" i="21"/>
  <c r="AJ26" i="21" s="1"/>
  <c r="AL74" i="22"/>
  <c r="AR74" i="22"/>
  <c r="AS74" i="22"/>
  <c r="AO74" i="22"/>
  <c r="AP74" i="22"/>
  <c r="AT74" i="22"/>
  <c r="AJ74" i="22"/>
  <c r="AJ85" i="22" s="1"/>
  <c r="AN74" i="22"/>
  <c r="AQ74" i="22"/>
  <c r="AK74" i="22"/>
  <c r="AM74" i="22"/>
  <c r="AM42" i="22"/>
  <c r="AQ46" i="22"/>
  <c r="AN43" i="22"/>
  <c r="AM29" i="22"/>
  <c r="AN28" i="22" s="1"/>
  <c r="AP45" i="22"/>
  <c r="AS48" i="22"/>
  <c r="AO44" i="22"/>
  <c r="AL41" i="22"/>
  <c r="AR47" i="22"/>
  <c r="AT49" i="22"/>
  <c r="AK25" i="22"/>
  <c r="AK26" i="22" s="1"/>
  <c r="AH86" i="21"/>
  <c r="AH87" i="21"/>
  <c r="N10" i="21" s="1"/>
  <c r="N11" i="21" s="1"/>
  <c r="EO261" i="18"/>
  <c r="AS73" i="21"/>
  <c r="AK73" i="21"/>
  <c r="AL73" i="21"/>
  <c r="AJ73" i="21"/>
  <c r="AI73" i="21"/>
  <c r="AI85" i="21" s="1"/>
  <c r="AT73" i="21"/>
  <c r="AO73" i="21"/>
  <c r="AN73" i="21"/>
  <c r="AQ73" i="21"/>
  <c r="AM73" i="21"/>
  <c r="AR73" i="21"/>
  <c r="AP73" i="21"/>
  <c r="AL28" i="21"/>
  <c r="AJ87" i="20"/>
  <c r="AJ86" i="20"/>
  <c r="AP75" i="20"/>
  <c r="AL75" i="20"/>
  <c r="AR75" i="20"/>
  <c r="AK75" i="20"/>
  <c r="AK85" i="20" s="1"/>
  <c r="AM75" i="20"/>
  <c r="AT75" i="20"/>
  <c r="AN75" i="20"/>
  <c r="AQ75" i="20"/>
  <c r="AS75" i="20"/>
  <c r="AO75" i="20"/>
  <c r="FI652" i="2"/>
  <c r="FI655" i="2"/>
  <c r="F4982" i="3"/>
  <c r="FH653" i="2"/>
  <c r="FI654" i="2"/>
  <c r="AK26" i="20"/>
  <c r="Q3398" i="3"/>
  <c r="Q3399" i="3" s="1"/>
  <c r="K4849" i="3"/>
  <c r="EP208" i="18"/>
  <c r="AP45" i="20"/>
  <c r="AM42" i="20"/>
  <c r="AN43" i="20"/>
  <c r="AT49" i="20"/>
  <c r="AQ46" i="20"/>
  <c r="AS48" i="20"/>
  <c r="AL41" i="20"/>
  <c r="AM29" i="20"/>
  <c r="AO44" i="20"/>
  <c r="AR47" i="20"/>
  <c r="Q41" i="29"/>
  <c r="Q42" i="29" s="1"/>
  <c r="EZ80" i="4" l="1"/>
  <c r="EZ110" i="10" s="1"/>
  <c r="EZ1020" i="10" s="1"/>
  <c r="FA88" i="4"/>
  <c r="AI86" i="21"/>
  <c r="AI87" i="21"/>
  <c r="AK87" i="20"/>
  <c r="AK86" i="20"/>
  <c r="AL25" i="22"/>
  <c r="O7" i="22" s="1"/>
  <c r="EQ205" i="18"/>
  <c r="EQ207" i="18" s="1"/>
  <c r="EP209" i="18"/>
  <c r="EP210" i="18"/>
  <c r="EP206" i="18"/>
  <c r="EP257" i="18"/>
  <c r="N3414" i="3"/>
  <c r="N3415" i="3" s="1"/>
  <c r="K4855" i="3"/>
  <c r="K4850" i="3"/>
  <c r="K4856" i="3" s="1"/>
  <c r="AT48" i="22"/>
  <c r="AR46" i="22"/>
  <c r="AO43" i="22"/>
  <c r="AN29" i="22"/>
  <c r="AO28" i="22" s="1"/>
  <c r="AN42" i="22"/>
  <c r="AQ45" i="22"/>
  <c r="AM41" i="22"/>
  <c r="AP44" i="22"/>
  <c r="AS47" i="22"/>
  <c r="AJ86" i="22"/>
  <c r="AJ87" i="22"/>
  <c r="AK25" i="21"/>
  <c r="Q47" i="29"/>
  <c r="R39" i="29"/>
  <c r="AN42" i="20"/>
  <c r="AR46" i="20"/>
  <c r="AO43" i="20"/>
  <c r="AT48" i="20"/>
  <c r="AM41" i="20"/>
  <c r="AQ45" i="20"/>
  <c r="AS47" i="20"/>
  <c r="AP44" i="20"/>
  <c r="Q3404" i="3"/>
  <c r="R3396" i="3"/>
  <c r="AO74" i="21"/>
  <c r="AT74" i="21"/>
  <c r="AN74" i="21"/>
  <c r="AL74" i="21"/>
  <c r="AP74" i="21"/>
  <c r="AS74" i="21"/>
  <c r="AK74" i="21"/>
  <c r="AR74" i="21"/>
  <c r="AJ74" i="21"/>
  <c r="AJ85" i="21" s="1"/>
  <c r="AM74" i="21"/>
  <c r="AQ74" i="21"/>
  <c r="FI653" i="2"/>
  <c r="Y3383" i="3"/>
  <c r="Y3384" i="3" s="1"/>
  <c r="Y3389" i="3" s="1"/>
  <c r="AT75" i="22"/>
  <c r="AK75" i="22"/>
  <c r="AK85" i="22" s="1"/>
  <c r="AO75" i="22"/>
  <c r="AM75" i="22"/>
  <c r="AP75" i="22"/>
  <c r="AN75" i="22"/>
  <c r="AL75" i="22"/>
  <c r="AR75" i="22"/>
  <c r="AS75" i="22"/>
  <c r="AQ75" i="22"/>
  <c r="AL29" i="21"/>
  <c r="AM28" i="21" s="1"/>
  <c r="AL25" i="20"/>
  <c r="AL26" i="20" s="1"/>
  <c r="N57" i="29"/>
  <c r="N58" i="29" s="1"/>
  <c r="AN28" i="20"/>
  <c r="FB85" i="4" l="1"/>
  <c r="FA91" i="4"/>
  <c r="FB89" i="4"/>
  <c r="EZ148" i="4"/>
  <c r="EZ133" i="4"/>
  <c r="AL26" i="22"/>
  <c r="O8" i="22" s="1"/>
  <c r="AK86" i="22"/>
  <c r="AK87" i="22"/>
  <c r="EP42" i="18"/>
  <c r="EP262" i="18"/>
  <c r="N63" i="29"/>
  <c r="O55" i="29"/>
  <c r="AM25" i="20"/>
  <c r="AM26" i="20" s="1"/>
  <c r="O8" i="20"/>
  <c r="O13" i="23" s="1"/>
  <c r="AJ87" i="21"/>
  <c r="AJ86" i="21"/>
  <c r="AT75" i="21"/>
  <c r="AO75" i="21"/>
  <c r="AK75" i="21"/>
  <c r="AK85" i="21" s="1"/>
  <c r="AQ75" i="21"/>
  <c r="AP75" i="21"/>
  <c r="AR75" i="21"/>
  <c r="AS75" i="21"/>
  <c r="AM75" i="21"/>
  <c r="AL75" i="21"/>
  <c r="AN75" i="21"/>
  <c r="AS46" i="22"/>
  <c r="AO42" i="22"/>
  <c r="AR45" i="22"/>
  <c r="AP43" i="22"/>
  <c r="AO29" i="22"/>
  <c r="AQ44" i="22"/>
  <c r="AN41" i="22"/>
  <c r="AT47" i="22"/>
  <c r="AN29" i="20"/>
  <c r="AO28" i="20" s="1"/>
  <c r="AK26" i="21"/>
  <c r="R41" i="29"/>
  <c r="R42" i="29" s="1"/>
  <c r="EP227" i="18"/>
  <c r="EP229" i="18" s="1"/>
  <c r="AO76" i="22"/>
  <c r="AM76" i="22"/>
  <c r="AS76" i="22"/>
  <c r="AR76" i="22"/>
  <c r="AQ76" i="22"/>
  <c r="AN76" i="22"/>
  <c r="AL76" i="22"/>
  <c r="AL85" i="22" s="1"/>
  <c r="AT76" i="22"/>
  <c r="AP76" i="22"/>
  <c r="O3412" i="3"/>
  <c r="N3420" i="3"/>
  <c r="AP76" i="20"/>
  <c r="AR76" i="20"/>
  <c r="AN76" i="20"/>
  <c r="AO76" i="20"/>
  <c r="AQ76" i="20"/>
  <c r="AL76" i="20"/>
  <c r="AL85" i="20" s="1"/>
  <c r="AS76" i="20"/>
  <c r="AT76" i="20"/>
  <c r="AM76" i="20"/>
  <c r="O7" i="20"/>
  <c r="O12" i="23" s="1"/>
  <c r="AM42" i="21"/>
  <c r="AS48" i="21"/>
  <c r="AN43" i="21"/>
  <c r="AQ46" i="21"/>
  <c r="AP45" i="21"/>
  <c r="AR47" i="21"/>
  <c r="AM29" i="21"/>
  <c r="AO44" i="21"/>
  <c r="AL41" i="21"/>
  <c r="AT49" i="21"/>
  <c r="R3398" i="3"/>
  <c r="R3399" i="3" s="1"/>
  <c r="FB87" i="4" l="1"/>
  <c r="FC87" i="4" s="1"/>
  <c r="FC89" i="4"/>
  <c r="FA93" i="4"/>
  <c r="FB88" i="4"/>
  <c r="AM25" i="22"/>
  <c r="AM26" i="22" s="1"/>
  <c r="AN25" i="22" s="1"/>
  <c r="AN26" i="22" s="1"/>
  <c r="S39" i="29"/>
  <c r="R47" i="29"/>
  <c r="AK86" i="21"/>
  <c r="AK87" i="21"/>
  <c r="S3396" i="3"/>
  <c r="R3404" i="3"/>
  <c r="AL87" i="22"/>
  <c r="O10" i="22" s="1"/>
  <c r="O11" i="22" s="1"/>
  <c r="AL86" i="22"/>
  <c r="EP231" i="18"/>
  <c r="EQ226" i="18"/>
  <c r="EP235" i="18"/>
  <c r="EP230" i="18"/>
  <c r="EP258" i="18"/>
  <c r="AL25" i="21"/>
  <c r="AL26" i="21" s="1"/>
  <c r="AR45" i="20"/>
  <c r="AO29" i="20"/>
  <c r="AP28" i="20" s="1"/>
  <c r="AP43" i="20"/>
  <c r="AN41" i="20"/>
  <c r="AO42" i="20"/>
  <c r="AS46" i="20"/>
  <c r="AT47" i="20"/>
  <c r="AQ44" i="20"/>
  <c r="AN25" i="20"/>
  <c r="AT48" i="21"/>
  <c r="AN42" i="21"/>
  <c r="AS47" i="21"/>
  <c r="AO43" i="21"/>
  <c r="AM41" i="21"/>
  <c r="AR46" i="21"/>
  <c r="AQ45" i="21"/>
  <c r="AP44" i="21"/>
  <c r="O3414" i="3"/>
  <c r="O3415" i="3" s="1"/>
  <c r="AS77" i="20"/>
  <c r="AN77" i="20"/>
  <c r="AQ77" i="20"/>
  <c r="AM77" i="20"/>
  <c r="AM85" i="20" s="1"/>
  <c r="AO77" i="20"/>
  <c r="AP77" i="20"/>
  <c r="AT77" i="20"/>
  <c r="AR77" i="20"/>
  <c r="AN28" i="21"/>
  <c r="AN29" i="21" s="1"/>
  <c r="O57" i="29"/>
  <c r="O58" i="29" s="1"/>
  <c r="AP42" i="22"/>
  <c r="AT46" i="22"/>
  <c r="AQ43" i="22"/>
  <c r="AS45" i="22"/>
  <c r="AO41" i="22"/>
  <c r="AR44" i="22"/>
  <c r="AL87" i="20"/>
  <c r="O10" i="20" s="1"/>
  <c r="AL86" i="20"/>
  <c r="AP28" i="22"/>
  <c r="FB91" i="4" l="1"/>
  <c r="FC88" i="4"/>
  <c r="FD85" i="4" s="1"/>
  <c r="FA80" i="4"/>
  <c r="FA110" i="10" s="1"/>
  <c r="FA1020" i="10" s="1"/>
  <c r="AO77" i="22"/>
  <c r="AN77" i="22"/>
  <c r="AM77" i="22"/>
  <c r="AM85" i="22" s="1"/>
  <c r="AM86" i="22" s="1"/>
  <c r="AT77" i="22"/>
  <c r="AP77" i="22"/>
  <c r="AS77" i="22"/>
  <c r="AR77" i="22"/>
  <c r="AQ77" i="22"/>
  <c r="O63" i="29"/>
  <c r="P55" i="29"/>
  <c r="AM87" i="20"/>
  <c r="AM86" i="20"/>
  <c r="AS46" i="21"/>
  <c r="AO42" i="21"/>
  <c r="AR45" i="21"/>
  <c r="AT47" i="21"/>
  <c r="AP43" i="21"/>
  <c r="AN41" i="21"/>
  <c r="AQ44" i="21"/>
  <c r="O8" i="21"/>
  <c r="AM25" i="21"/>
  <c r="AM26" i="21" s="1"/>
  <c r="AQ76" i="21"/>
  <c r="AP76" i="21"/>
  <c r="AN76" i="21"/>
  <c r="AR76" i="21"/>
  <c r="AO76" i="21"/>
  <c r="AT76" i="21"/>
  <c r="AS76" i="21"/>
  <c r="AL76" i="21"/>
  <c r="AL85" i="21" s="1"/>
  <c r="AM76" i="21"/>
  <c r="O7" i="21"/>
  <c r="EQ228" i="18"/>
  <c r="AP29" i="22"/>
  <c r="AQ28" i="22" s="1"/>
  <c r="AQ78" i="22"/>
  <c r="AO78" i="22"/>
  <c r="AT78" i="22"/>
  <c r="AS78" i="22"/>
  <c r="AP78" i="22"/>
  <c r="AR78" i="22"/>
  <c r="AN78" i="22"/>
  <c r="O15" i="23"/>
  <c r="O11" i="20"/>
  <c r="O3420" i="3"/>
  <c r="P3412" i="3"/>
  <c r="AO25" i="22"/>
  <c r="AO26" i="22" s="1"/>
  <c r="EP43" i="18"/>
  <c r="EP45" i="18" s="1"/>
  <c r="EP263" i="18"/>
  <c r="EP260" i="18"/>
  <c r="S3398" i="3"/>
  <c r="S3399" i="3" s="1"/>
  <c r="AO28" i="21"/>
  <c r="AS78" i="20"/>
  <c r="AO78" i="20"/>
  <c r="AN78" i="20"/>
  <c r="AN85" i="20" s="1"/>
  <c r="AT78" i="20"/>
  <c r="AP78" i="20"/>
  <c r="AQ78" i="20"/>
  <c r="AR78" i="20"/>
  <c r="AP29" i="20"/>
  <c r="AQ43" i="20"/>
  <c r="AS45" i="20"/>
  <c r="AP42" i="20"/>
  <c r="AT46" i="20"/>
  <c r="AO41" i="20"/>
  <c r="AR44" i="20"/>
  <c r="S41" i="29"/>
  <c r="S42" i="29" s="1"/>
  <c r="AN26" i="20"/>
  <c r="FB93" i="4" l="1"/>
  <c r="FC91" i="4"/>
  <c r="FA148" i="4"/>
  <c r="FA133" i="4"/>
  <c r="FD89" i="4"/>
  <c r="FD87" i="4" s="1"/>
  <c r="FD88" i="4" s="1"/>
  <c r="AN85" i="22"/>
  <c r="AN87" i="22" s="1"/>
  <c r="AM87" i="22"/>
  <c r="T39" i="29"/>
  <c r="S47" i="29"/>
  <c r="T3396" i="3"/>
  <c r="S3404" i="3"/>
  <c r="AP25" i="22"/>
  <c r="AP26" i="22" s="1"/>
  <c r="AO25" i="20"/>
  <c r="AO26" i="20" s="1"/>
  <c r="AN25" i="21"/>
  <c r="AN26" i="21" s="1"/>
  <c r="AR77" i="21"/>
  <c r="AS77" i="21"/>
  <c r="AQ77" i="21"/>
  <c r="AP77" i="21"/>
  <c r="AN77" i="21"/>
  <c r="AM77" i="21"/>
  <c r="AM85" i="21" s="1"/>
  <c r="AT77" i="21"/>
  <c r="AO77" i="21"/>
  <c r="AN87" i="20"/>
  <c r="AN86" i="20"/>
  <c r="AQ79" i="22"/>
  <c r="AS79" i="22"/>
  <c r="AP79" i="22"/>
  <c r="AO79" i="22"/>
  <c r="AO85" i="22" s="1"/>
  <c r="AT79" i="22"/>
  <c r="AR79" i="22"/>
  <c r="AR43" i="20"/>
  <c r="AT45" i="20"/>
  <c r="AQ42" i="20"/>
  <c r="AP41" i="20"/>
  <c r="AS44" i="20"/>
  <c r="O16" i="23"/>
  <c r="AO29" i="21"/>
  <c r="AP28" i="21" s="1"/>
  <c r="AL86" i="21"/>
  <c r="AL87" i="21"/>
  <c r="O10" i="21" s="1"/>
  <c r="O11" i="21" s="1"/>
  <c r="P57" i="29"/>
  <c r="P58" i="29" s="1"/>
  <c r="EP261" i="18"/>
  <c r="P3414" i="3"/>
  <c r="P3415" i="3" s="1"/>
  <c r="AT45" i="22"/>
  <c r="AQ42" i="22"/>
  <c r="AR43" i="22"/>
  <c r="AP41" i="22"/>
  <c r="AQ29" i="22"/>
  <c r="AS44" i="22"/>
  <c r="AQ28" i="20"/>
  <c r="AQ29" i="20" s="1"/>
  <c r="FD91" i="4" l="1"/>
  <c r="FE85" i="4"/>
  <c r="FB80" i="4"/>
  <c r="FB110" i="10" s="1"/>
  <c r="FB1020" i="10" s="1"/>
  <c r="FC93" i="4"/>
  <c r="FC92" i="4" s="1"/>
  <c r="FD92" i="4" s="1"/>
  <c r="FE92" i="4" s="1"/>
  <c r="FF92" i="4" s="1"/>
  <c r="FG92" i="4" s="1"/>
  <c r="FH92" i="4" s="1"/>
  <c r="FI92" i="4" s="1"/>
  <c r="AN86" i="22"/>
  <c r="P7" i="22"/>
  <c r="AR42" i="20"/>
  <c r="AS43" i="20"/>
  <c r="AQ41" i="20"/>
  <c r="AT44" i="20"/>
  <c r="AP25" i="20"/>
  <c r="AP26" i="20" s="1"/>
  <c r="Q55" i="29"/>
  <c r="P63" i="29"/>
  <c r="AM87" i="21"/>
  <c r="AM86" i="21"/>
  <c r="AO25" i="21"/>
  <c r="AO26" i="21" s="1"/>
  <c r="P3420" i="3"/>
  <c r="Q3412" i="3"/>
  <c r="AO86" i="22"/>
  <c r="AO87" i="22"/>
  <c r="P8" i="22"/>
  <c r="AQ25" i="22"/>
  <c r="AR42" i="22"/>
  <c r="AS43" i="22"/>
  <c r="AT44" i="22"/>
  <c r="AQ41" i="22"/>
  <c r="AP80" i="22"/>
  <c r="AP85" i="22" s="1"/>
  <c r="AQ80" i="22"/>
  <c r="AT80" i="22"/>
  <c r="AR80" i="22"/>
  <c r="AS80" i="22"/>
  <c r="AR28" i="20"/>
  <c r="T41" i="29"/>
  <c r="T42" i="29" s="1"/>
  <c r="L4849" i="3"/>
  <c r="EQ208" i="18"/>
  <c r="AS78" i="21"/>
  <c r="AR78" i="21"/>
  <c r="AQ78" i="21"/>
  <c r="AP78" i="21"/>
  <c r="AO78" i="21"/>
  <c r="AT78" i="21"/>
  <c r="AN78" i="21"/>
  <c r="AN85" i="21" s="1"/>
  <c r="AR28" i="22"/>
  <c r="AS79" i="20"/>
  <c r="AP79" i="20"/>
  <c r="AR79" i="20"/>
  <c r="AT79" i="20"/>
  <c r="AO79" i="20"/>
  <c r="AO85" i="20" s="1"/>
  <c r="AQ79" i="20"/>
  <c r="T3398" i="3"/>
  <c r="T3399" i="3" s="1"/>
  <c r="AQ43" i="21"/>
  <c r="AP29" i="21"/>
  <c r="AQ28" i="21" s="1"/>
  <c r="AS45" i="21"/>
  <c r="AP42" i="21"/>
  <c r="AT46" i="21"/>
  <c r="AO41" i="21"/>
  <c r="AR44" i="21"/>
  <c r="FB133" i="4" l="1"/>
  <c r="FB148" i="4"/>
  <c r="FC148" i="4" s="1"/>
  <c r="FD93" i="4"/>
  <c r="FD80" i="4" s="1"/>
  <c r="P7" i="20"/>
  <c r="P12" i="23" s="1"/>
  <c r="AP25" i="21"/>
  <c r="AP26" i="21" s="1"/>
  <c r="P8" i="20"/>
  <c r="P13" i="23" s="1"/>
  <c r="AQ25" i="20"/>
  <c r="AN87" i="21"/>
  <c r="AN86" i="21"/>
  <c r="Q57" i="29"/>
  <c r="Q58" i="29" s="1"/>
  <c r="Q63" i="29" s="1"/>
  <c r="Q3414" i="3"/>
  <c r="Q3415" i="3" s="1"/>
  <c r="Q3420" i="3" s="1"/>
  <c r="AQ80" i="20"/>
  <c r="AR80" i="20"/>
  <c r="AP80" i="20"/>
  <c r="AP85" i="20" s="1"/>
  <c r="AT80" i="20"/>
  <c r="AS80" i="20"/>
  <c r="U3396" i="3"/>
  <c r="T3404" i="3"/>
  <c r="AO87" i="20"/>
  <c r="AO86" i="20"/>
  <c r="AP87" i="22"/>
  <c r="P10" i="22" s="1"/>
  <c r="P11" i="22" s="1"/>
  <c r="AP86" i="22"/>
  <c r="EQ209" i="18"/>
  <c r="ER205" i="18"/>
  <c r="ER207" i="18" s="1"/>
  <c r="EQ206" i="18"/>
  <c r="EQ210" i="18"/>
  <c r="EQ257" i="18"/>
  <c r="AR81" i="22"/>
  <c r="AQ81" i="22"/>
  <c r="AQ85" i="22" s="1"/>
  <c r="AS81" i="22"/>
  <c r="AT81" i="22"/>
  <c r="AR79" i="21"/>
  <c r="AT79" i="21"/>
  <c r="AQ79" i="21"/>
  <c r="AO79" i="21"/>
  <c r="AO85" i="21" s="1"/>
  <c r="AS79" i="21"/>
  <c r="AP79" i="21"/>
  <c r="AR29" i="20"/>
  <c r="AS28" i="20" s="1"/>
  <c r="AQ29" i="21"/>
  <c r="AR43" i="21"/>
  <c r="AQ42" i="21"/>
  <c r="AP41" i="21"/>
  <c r="AT45" i="21"/>
  <c r="AS44" i="21"/>
  <c r="U39" i="29"/>
  <c r="T47" i="29"/>
  <c r="L4855" i="3"/>
  <c r="L4850" i="3"/>
  <c r="L4856" i="3" s="1"/>
  <c r="AR29" i="22"/>
  <c r="AQ26" i="22"/>
  <c r="FD110" i="10" l="1"/>
  <c r="FD1020" i="10" s="1"/>
  <c r="FD133" i="4"/>
  <c r="G201" i="6"/>
  <c r="FD148" i="4"/>
  <c r="G201" i="41"/>
  <c r="P7" i="21"/>
  <c r="AP86" i="20"/>
  <c r="AP87" i="20"/>
  <c r="P10" i="20" s="1"/>
  <c r="AQ87" i="22"/>
  <c r="AQ86" i="22"/>
  <c r="AO87" i="21"/>
  <c r="AO86" i="21"/>
  <c r="AT43" i="22"/>
  <c r="AS42" i="22"/>
  <c r="AR41" i="22"/>
  <c r="AT81" i="20"/>
  <c r="AQ81" i="20"/>
  <c r="AQ85" i="20" s="1"/>
  <c r="AS81" i="20"/>
  <c r="AR81" i="20"/>
  <c r="EQ42" i="18"/>
  <c r="EQ262" i="18"/>
  <c r="AR25" i="22"/>
  <c r="AR26" i="22" s="1"/>
  <c r="EQ227" i="18"/>
  <c r="EQ229" i="18" s="1"/>
  <c r="AS28" i="22"/>
  <c r="AS29" i="22" s="1"/>
  <c r="AQ26" i="20"/>
  <c r="AS43" i="21"/>
  <c r="AQ41" i="21"/>
  <c r="AT44" i="21"/>
  <c r="AR42" i="21"/>
  <c r="U3398" i="3"/>
  <c r="U3399" i="3" s="1"/>
  <c r="U3404" i="3" s="1"/>
  <c r="P8" i="21"/>
  <c r="AQ25" i="21"/>
  <c r="AQ26" i="21" s="1"/>
  <c r="U41" i="29"/>
  <c r="U42" i="29" s="1"/>
  <c r="U47" i="29" s="1"/>
  <c r="AS42" i="20"/>
  <c r="AT43" i="20"/>
  <c r="AS29" i="20"/>
  <c r="AT28" i="20" s="1"/>
  <c r="AR41" i="20"/>
  <c r="AR28" i="21"/>
  <c r="AR29" i="21" s="1"/>
  <c r="AQ80" i="21"/>
  <c r="AT80" i="21"/>
  <c r="AP80" i="21"/>
  <c r="AP85" i="21" s="1"/>
  <c r="AR80" i="21"/>
  <c r="AS80" i="21"/>
  <c r="AT42" i="22" l="1"/>
  <c r="AS41" i="22"/>
  <c r="AP87" i="21"/>
  <c r="P10" i="21" s="1"/>
  <c r="P11" i="21" s="1"/>
  <c r="AP86" i="21"/>
  <c r="AT43" i="21"/>
  <c r="AS42" i="21"/>
  <c r="AR41" i="21"/>
  <c r="AR25" i="20"/>
  <c r="AR26" i="20" s="1"/>
  <c r="AS81" i="21"/>
  <c r="AT81" i="21"/>
  <c r="AR81" i="21"/>
  <c r="AQ81" i="21"/>
  <c r="AQ85" i="21" s="1"/>
  <c r="EQ230" i="18"/>
  <c r="EQ231" i="18"/>
  <c r="EQ235" i="18"/>
  <c r="ER226" i="18"/>
  <c r="EQ258" i="18"/>
  <c r="AQ87" i="20"/>
  <c r="AQ86" i="20"/>
  <c r="AR25" i="21"/>
  <c r="AT82" i="22"/>
  <c r="AR82" i="22"/>
  <c r="AR85" i="22" s="1"/>
  <c r="AS82" i="22"/>
  <c r="AT28" i="22"/>
  <c r="AT29" i="22" s="1"/>
  <c r="AT41" i="22" s="1"/>
  <c r="P15" i="23"/>
  <c r="P11" i="20"/>
  <c r="AS25" i="22"/>
  <c r="AS26" i="22" s="1"/>
  <c r="AT42" i="20"/>
  <c r="AT29" i="20"/>
  <c r="AT41" i="20" s="1"/>
  <c r="AS41" i="20"/>
  <c r="AS28" i="21"/>
  <c r="AS29" i="21" s="1"/>
  <c r="AR87" i="22" l="1"/>
  <c r="AR86" i="22"/>
  <c r="AT42" i="21"/>
  <c r="AS41" i="21"/>
  <c r="EQ263" i="18"/>
  <c r="EQ43" i="18"/>
  <c r="EQ45" i="18" s="1"/>
  <c r="EQ260" i="18"/>
  <c r="ER228" i="18"/>
  <c r="AS25" i="20"/>
  <c r="AS26" i="20" s="1"/>
  <c r="AQ86" i="21"/>
  <c r="AQ87" i="21"/>
  <c r="AS82" i="21"/>
  <c r="AR82" i="21"/>
  <c r="AR85" i="21" s="1"/>
  <c r="AT82" i="21"/>
  <c r="AR82" i="20"/>
  <c r="AR85" i="20" s="1"/>
  <c r="AS82" i="20"/>
  <c r="AT82" i="20"/>
  <c r="AR26" i="21"/>
  <c r="AT25" i="22"/>
  <c r="AT84" i="22" s="1"/>
  <c r="AS83" i="22"/>
  <c r="AS85" i="22" s="1"/>
  <c r="AT83" i="22"/>
  <c r="P16" i="23"/>
  <c r="AT28" i="21"/>
  <c r="AT29" i="21" s="1"/>
  <c r="AT41" i="21" s="1"/>
  <c r="AT85" i="22" l="1"/>
  <c r="AT87" i="22" s="1"/>
  <c r="AR86" i="21"/>
  <c r="AR87" i="21"/>
  <c r="AS86" i="22"/>
  <c r="AS87" i="22"/>
  <c r="ER208" i="18"/>
  <c r="M4849" i="3"/>
  <c r="AT25" i="20"/>
  <c r="AT26" i="20" s="1"/>
  <c r="Q8" i="20" s="1"/>
  <c r="Q13" i="23" s="1"/>
  <c r="AS25" i="21"/>
  <c r="AS83" i="20"/>
  <c r="AS85" i="20" s="1"/>
  <c r="AT83" i="20"/>
  <c r="EQ261" i="18"/>
  <c r="Q7" i="22"/>
  <c r="AR87" i="20"/>
  <c r="AR86" i="20"/>
  <c r="AT26" i="22"/>
  <c r="Q8" i="22" s="1"/>
  <c r="Q10" i="22" l="1"/>
  <c r="Q11" i="22" s="1"/>
  <c r="AS87" i="20"/>
  <c r="AS86" i="20"/>
  <c r="M4855" i="3"/>
  <c r="M4850" i="3"/>
  <c r="M4856" i="3" s="1"/>
  <c r="ER210" i="18"/>
  <c r="ER209" i="18"/>
  <c r="ER206" i="18"/>
  <c r="ES205" i="18"/>
  <c r="ES207" i="18" s="1"/>
  <c r="ER257" i="18"/>
  <c r="AT86" i="22"/>
  <c r="AT83" i="21"/>
  <c r="AS83" i="21"/>
  <c r="AS85" i="21" s="1"/>
  <c r="AS26" i="21"/>
  <c r="AT84" i="20"/>
  <c r="AT85" i="20" s="1"/>
  <c r="Q7" i="20"/>
  <c r="Q12" i="23" s="1"/>
  <c r="AT86" i="20" l="1"/>
  <c r="AT87" i="20"/>
  <c r="Q10" i="20" s="1"/>
  <c r="AT25" i="21"/>
  <c r="AT26" i="21" s="1"/>
  <c r="Q8" i="21" s="1"/>
  <c r="AS87" i="21"/>
  <c r="AS86" i="21"/>
  <c r="ER262" i="18"/>
  <c r="ER42" i="18"/>
  <c r="ER227" i="18"/>
  <c r="ER229" i="18" s="1"/>
  <c r="Q15" i="23" l="1"/>
  <c r="Q11" i="20"/>
  <c r="Q16" i="23" s="1"/>
  <c r="ER235" i="18"/>
  <c r="ES226" i="18"/>
  <c r="ER230" i="18"/>
  <c r="ER231" i="18"/>
  <c r="ER258" i="18"/>
  <c r="AT84" i="21"/>
  <c r="AT85" i="21" s="1"/>
  <c r="Q7" i="21"/>
  <c r="ES228" i="18" l="1"/>
  <c r="ER43" i="18"/>
  <c r="ER45" i="18" s="1"/>
  <c r="ER263" i="18"/>
  <c r="ER260" i="18"/>
  <c r="N4849" i="3"/>
  <c r="ES208" i="18"/>
  <c r="AT86" i="21"/>
  <c r="AT87" i="21"/>
  <c r="Q10" i="21" s="1"/>
  <c r="Q11" i="21" s="1"/>
  <c r="N4855" i="3" l="1"/>
  <c r="N4850" i="3"/>
  <c r="N4856" i="3" s="1"/>
  <c r="ER261" i="18"/>
  <c r="ES209" i="18"/>
  <c r="ES210" i="18"/>
  <c r="ES206" i="18"/>
  <c r="ES257" i="18"/>
  <c r="ES42" i="18" l="1"/>
  <c r="ES262" i="18"/>
  <c r="ES227" i="18"/>
  <c r="ES229" i="18" s="1"/>
  <c r="ES231" i="18" l="1"/>
  <c r="ES230" i="18"/>
  <c r="ES235" i="18"/>
  <c r="ES258" i="18"/>
  <c r="ES263" i="18" l="1"/>
  <c r="ES43" i="18"/>
  <c r="ES45" i="18" s="1"/>
  <c r="ES260" i="18"/>
  <c r="ES261" i="18" l="1"/>
  <c r="EJ133" i="10" l="1"/>
  <c r="EJ67" i="2"/>
  <c r="EJ72" i="2" s="1"/>
  <c r="EJ71" i="2" l="1"/>
  <c r="EJ79" i="2" s="1"/>
  <c r="EJ43" i="4"/>
  <c r="EJ46" i="4" s="1"/>
  <c r="EJ48" i="4" s="1"/>
  <c r="EJ73" i="2"/>
  <c r="EJ219" i="2"/>
  <c r="EJ357" i="2"/>
  <c r="EJ30" i="2" l="1"/>
  <c r="EJ50" i="4"/>
  <c r="EJ49" i="4"/>
  <c r="EJ220" i="2"/>
  <c r="EJ217" i="2"/>
  <c r="EJ358" i="2"/>
  <c r="EJ355" i="2"/>
  <c r="EJ9" i="32" l="1"/>
  <c r="EJ11" i="32" s="1"/>
  <c r="EJ15" i="32" s="1"/>
  <c r="EJ33" i="2"/>
  <c r="EJ21" i="2"/>
  <c r="EJ24" i="2" s="1"/>
  <c r="EJ36" i="2"/>
  <c r="EJ356" i="2"/>
  <c r="EJ372" i="2"/>
  <c r="EJ218" i="2"/>
  <c r="EJ235" i="2"/>
  <c r="EJ430" i="10"/>
  <c r="EJ382" i="10"/>
  <c r="EJ239" i="2" l="1"/>
  <c r="EJ240" i="2" s="1"/>
  <c r="EJ237" i="2"/>
  <c r="EJ238" i="2" s="1"/>
  <c r="EJ241" i="2"/>
  <c r="EJ222" i="2"/>
  <c r="EJ236" i="2"/>
  <c r="EJ385" i="10"/>
  <c r="EJ378" i="2"/>
  <c r="EJ360" i="2"/>
  <c r="EJ376" i="2"/>
  <c r="EJ377" i="2" s="1"/>
  <c r="EJ374" i="2"/>
  <c r="EJ375" i="2" s="1"/>
  <c r="EJ373" i="2"/>
  <c r="EJ433" i="10"/>
  <c r="EK138" i="10"/>
  <c r="EJ386" i="10"/>
  <c r="EJ18" i="2"/>
  <c r="EJ19" i="2"/>
  <c r="EJ434" i="10"/>
  <c r="EJ199" i="4"/>
  <c r="EJ205" i="4"/>
  <c r="EJ103" i="10"/>
  <c r="EJ1027" i="10" s="1"/>
  <c r="EJ1028" i="10" s="1"/>
  <c r="EJ498" i="2" l="1"/>
  <c r="EJ502" i="2" s="1"/>
  <c r="EJ503" i="2" s="1"/>
  <c r="EJ224" i="2"/>
  <c r="EJ223" i="2"/>
  <c r="EJ227" i="2"/>
  <c r="EJ383" i="10"/>
  <c r="EJ362" i="2"/>
  <c r="EJ363" i="2" s="1"/>
  <c r="EJ361" i="2"/>
  <c r="EJ364" i="2"/>
  <c r="EJ365" i="2" s="1"/>
  <c r="EJ431" i="10"/>
  <c r="EJ387" i="10"/>
  <c r="EJ140" i="10"/>
  <c r="EJ142" i="10" s="1"/>
  <c r="EJ121" i="10"/>
  <c r="EJ435" i="10"/>
  <c r="EJ23" i="2"/>
  <c r="EJ22" i="2"/>
  <c r="EJ20" i="2"/>
  <c r="EJ228" i="2" l="1"/>
  <c r="EJ499" i="2"/>
  <c r="EJ500" i="2"/>
  <c r="EJ501" i="2" s="1"/>
  <c r="EJ510" i="2"/>
  <c r="EJ516" i="2" s="1"/>
  <c r="EJ225" i="2"/>
  <c r="EJ226" i="2"/>
  <c r="EJ511" i="2" l="1"/>
  <c r="EJ518" i="2"/>
  <c r="EJ520" i="2" s="1"/>
  <c r="EJ521" i="2" s="1"/>
  <c r="EJ512" i="2"/>
  <c r="EJ513" i="2" s="1"/>
  <c r="EJ514" i="2"/>
  <c r="EJ515" i="2" s="1"/>
  <c r="EJ162" i="4"/>
  <c r="EJ106" i="10"/>
  <c r="EJ152" i="4"/>
  <c r="EJ524" i="2" l="1"/>
  <c r="EJ519" i="2"/>
  <c r="EJ528" i="2"/>
  <c r="EJ529" i="2" s="1"/>
  <c r="EJ522" i="2"/>
  <c r="EJ523" i="2" s="1"/>
  <c r="EJ107" i="10"/>
  <c r="EJ167" i="4"/>
  <c r="EJ154" i="4"/>
  <c r="EJ530" i="2" l="1"/>
  <c r="EJ534" i="2" s="1"/>
  <c r="EJ159" i="4"/>
  <c r="EJ158" i="4"/>
  <c r="EJ120" i="10"/>
  <c r="EJ535" i="2" l="1"/>
  <c r="EJ533" i="2"/>
  <c r="EJ160" i="4"/>
  <c r="EK157" i="4" l="1"/>
  <c r="EJ163" i="4"/>
  <c r="EJ109" i="10"/>
  <c r="EJ164" i="4" l="1"/>
  <c r="EJ168" i="4" l="1"/>
  <c r="EJ113" i="10" l="1"/>
  <c r="EJ122" i="10" l="1"/>
  <c r="EJ1029" i="10" s="1"/>
  <c r="EJ114" i="10" l="1"/>
  <c r="EJ123" i="10" s="1"/>
  <c r="E159" i="19" l="1"/>
  <c r="EJ116" i="10"/>
  <c r="EJ198" i="4"/>
  <c r="EJ16" i="32" s="1"/>
  <c r="EJ17" i="32" l="1"/>
  <c r="G159" i="19"/>
  <c r="F159" i="19"/>
  <c r="EJ117" i="10"/>
  <c r="EJ1021" i="10" s="1"/>
  <c r="EJ1030" i="10" s="1"/>
  <c r="EJ200" i="4"/>
  <c r="EJ126" i="4" s="1"/>
  <c r="EK387" i="10" l="1"/>
  <c r="EK386" i="10"/>
  <c r="EK18" i="2"/>
  <c r="EK22" i="2" s="1"/>
  <c r="EK435" i="10"/>
  <c r="EK19" i="2"/>
  <c r="EK434" i="10"/>
  <c r="EK23" i="2" l="1"/>
  <c r="EK133" i="10"/>
  <c r="EK67" i="2"/>
  <c r="EK43" i="4" s="1"/>
  <c r="EK46" i="4" s="1"/>
  <c r="EK48" i="4" s="1"/>
  <c r="EK49" i="4" l="1"/>
  <c r="EK50" i="4"/>
  <c r="EK71" i="2"/>
  <c r="EK72" i="2"/>
  <c r="EK219" i="2" l="1"/>
  <c r="EK357" i="2"/>
  <c r="EK73" i="2"/>
  <c r="EK79" i="2"/>
  <c r="EK30" i="2"/>
  <c r="EK9" i="32" l="1"/>
  <c r="EK11" i="32" s="1"/>
  <c r="EK15" i="32" s="1"/>
  <c r="EK33" i="2"/>
  <c r="EK36" i="2"/>
  <c r="EK21" i="2"/>
  <c r="EK358" i="2"/>
  <c r="EK355" i="2"/>
  <c r="EK103" i="10"/>
  <c r="EK1027" i="10" s="1"/>
  <c r="EK1028" i="10" s="1"/>
  <c r="EK199" i="4"/>
  <c r="EK205" i="4"/>
  <c r="EK220" i="2"/>
  <c r="EK217" i="2"/>
  <c r="EK382" i="10" l="1"/>
  <c r="EK218" i="2"/>
  <c r="EK235" i="2"/>
  <c r="EK20" i="2"/>
  <c r="EK24" i="2"/>
  <c r="EK140" i="10"/>
  <c r="EK142" i="10" s="1"/>
  <c r="EK121" i="10"/>
  <c r="EK356" i="2"/>
  <c r="EK430" i="10"/>
  <c r="EK372" i="2"/>
  <c r="EK237" i="2" l="1"/>
  <c r="EK238" i="2" s="1"/>
  <c r="EK239" i="2"/>
  <c r="EK240" i="2" s="1"/>
  <c r="EK236" i="2"/>
  <c r="EK241" i="2"/>
  <c r="EK385" i="10"/>
  <c r="EK222" i="2"/>
  <c r="EK376" i="2"/>
  <c r="EK377" i="2" s="1"/>
  <c r="EK433" i="10"/>
  <c r="EK373" i="2"/>
  <c r="EK374" i="2"/>
  <c r="EK375" i="2" s="1"/>
  <c r="EK360" i="2"/>
  <c r="EK378" i="2"/>
  <c r="EK364" i="2" l="1"/>
  <c r="EK362" i="2"/>
  <c r="EK363" i="2" s="1"/>
  <c r="EK431" i="10"/>
  <c r="EK361" i="2"/>
  <c r="EK498" i="2"/>
  <c r="EK227" i="2"/>
  <c r="EK383" i="10"/>
  <c r="EK224" i="2"/>
  <c r="EK223" i="2"/>
  <c r="EK162" i="4"/>
  <c r="EK106" i="10"/>
  <c r="EK152" i="4"/>
  <c r="EK365" i="2" l="1"/>
  <c r="EK228" i="2"/>
  <c r="EK502" i="2"/>
  <c r="EK503" i="2" s="1"/>
  <c r="EK499" i="2"/>
  <c r="EK500" i="2"/>
  <c r="EK501" i="2" s="1"/>
  <c r="EK510" i="2"/>
  <c r="EL138" i="10"/>
  <c r="EK107" i="10"/>
  <c r="EK167" i="4"/>
  <c r="EK225" i="2"/>
  <c r="EK226" i="2"/>
  <c r="EK154" i="4"/>
  <c r="EK159" i="4" l="1"/>
  <c r="EK158" i="4"/>
  <c r="EK512" i="2"/>
  <c r="EK513" i="2" s="1"/>
  <c r="EK516" i="2"/>
  <c r="EK514" i="2"/>
  <c r="EK515" i="2" s="1"/>
  <c r="EK511" i="2"/>
  <c r="EK518" i="2"/>
  <c r="EK120" i="10"/>
  <c r="EK160" i="4" l="1"/>
  <c r="EL157" i="4" s="1"/>
  <c r="EK522" i="2"/>
  <c r="EK523" i="2" s="1"/>
  <c r="EK519" i="2"/>
  <c r="EK528" i="2"/>
  <c r="EK524" i="2"/>
  <c r="EK520" i="2"/>
  <c r="EK521" i="2" s="1"/>
  <c r="EL159" i="4" l="1"/>
  <c r="EL160" i="4" s="1"/>
  <c r="EK529" i="2"/>
  <c r="EK530" i="2"/>
  <c r="EK163" i="4"/>
  <c r="EK109" i="10"/>
  <c r="EL163" i="4" l="1"/>
  <c r="EL164" i="4" s="1"/>
  <c r="EM157" i="4"/>
  <c r="EK164" i="4"/>
  <c r="EK535" i="2"/>
  <c r="EK533" i="2"/>
  <c r="EK534" i="2"/>
  <c r="EM159" i="4" l="1"/>
  <c r="EM160" i="4" s="1"/>
  <c r="EM163" i="4" s="1"/>
  <c r="EM164" i="4" s="1"/>
  <c r="EK168" i="4"/>
  <c r="EK113" i="10" l="1"/>
  <c r="EL123" i="4" l="1"/>
  <c r="EK122" i="10"/>
  <c r="EK1029" i="10" s="1"/>
  <c r="EK114" i="10" l="1"/>
  <c r="EK123" i="10" s="1"/>
  <c r="EK116" i="10" l="1"/>
  <c r="EK198" i="4"/>
  <c r="EK16" i="32" s="1"/>
  <c r="EL17" i="32" l="1"/>
  <c r="EK17" i="32"/>
  <c r="EK117" i="10"/>
  <c r="EK1021" i="10" s="1"/>
  <c r="EK1030" i="10" s="1"/>
  <c r="EK200" i="4"/>
  <c r="EK126" i="4" s="1"/>
  <c r="FE202" i="4" l="1"/>
  <c r="FE115" i="10"/>
  <c r="FE211" i="4" l="1"/>
  <c r="FE218" i="4"/>
  <c r="FE220" i="4" s="1"/>
  <c r="FE87" i="4" l="1"/>
  <c r="FE88" i="4" s="1"/>
  <c r="FF85" i="4" s="1"/>
  <c r="FE91" i="4" l="1"/>
  <c r="FE93" i="4" s="1"/>
  <c r="FE80" i="4" s="1"/>
  <c r="FF89" i="4"/>
  <c r="FE148" i="4" l="1"/>
  <c r="H201" i="41"/>
  <c r="H201" i="6"/>
  <c r="FE110" i="10"/>
  <c r="FE1020" i="10" s="1"/>
  <c r="FE133" i="4"/>
  <c r="EL133" i="10"/>
  <c r="EL67" i="2"/>
  <c r="EL43" i="4" s="1"/>
  <c r="EL46" i="4" s="1"/>
  <c r="EL71" i="2" l="1"/>
  <c r="EQ79" i="2" s="1"/>
  <c r="EL72" i="2"/>
  <c r="EL219" i="2" l="1"/>
  <c r="EL357" i="2"/>
  <c r="EL73" i="2"/>
  <c r="EL79" i="2"/>
  <c r="EL220" i="2" l="1"/>
  <c r="EL217" i="2"/>
  <c r="EL218" i="2" s="1"/>
  <c r="EL358" i="2"/>
  <c r="EL355" i="2"/>
  <c r="EL235" i="2" l="1"/>
  <c r="EL222" i="2" s="1"/>
  <c r="EL356" i="2"/>
  <c r="EL372" i="2"/>
  <c r="EL430" i="10"/>
  <c r="EL382" i="10"/>
  <c r="EL241" i="2" l="1"/>
  <c r="EL385" i="10"/>
  <c r="EL237" i="2"/>
  <c r="EL238" i="2" s="1"/>
  <c r="EL236" i="2"/>
  <c r="EL239" i="2"/>
  <c r="EL240" i="2" s="1"/>
  <c r="EL378" i="2"/>
  <c r="EL360" i="2"/>
  <c r="EL498" i="2" s="1"/>
  <c r="EL376" i="2"/>
  <c r="EL377" i="2" s="1"/>
  <c r="EL373" i="2"/>
  <c r="EL374" i="2"/>
  <c r="EL375" i="2" s="1"/>
  <c r="EL433" i="10"/>
  <c r="EL224" i="2"/>
  <c r="EL223" i="2"/>
  <c r="EL227" i="2"/>
  <c r="EL383" i="10"/>
  <c r="EL18" i="2"/>
  <c r="EL386" i="10"/>
  <c r="EN57" i="2"/>
  <c r="EL434" i="10"/>
  <c r="EL19" i="2"/>
  <c r="EL228" i="2" l="1"/>
  <c r="EL500" i="2"/>
  <c r="EL501" i="2" s="1"/>
  <c r="EL510" i="2"/>
  <c r="EL502" i="2"/>
  <c r="EL503" i="2" s="1"/>
  <c r="EL499" i="2"/>
  <c r="EL361" i="2"/>
  <c r="EL362" i="2"/>
  <c r="EL364" i="2"/>
  <c r="EL365" i="2" s="1"/>
  <c r="EL431" i="10"/>
  <c r="EL226" i="2"/>
  <c r="EL225" i="2"/>
  <c r="EL22" i="2"/>
  <c r="EL23" i="2"/>
  <c r="EN60" i="2"/>
  <c r="EN138" i="10" s="1"/>
  <c r="EM138" i="10"/>
  <c r="EL363" i="2" l="1"/>
  <c r="EL514" i="2"/>
  <c r="EL515" i="2" s="1"/>
  <c r="EL516" i="2"/>
  <c r="EL518" i="2"/>
  <c r="EL511" i="2"/>
  <c r="EL512" i="2"/>
  <c r="EL513" i="2" s="1"/>
  <c r="EL524" i="2" l="1"/>
  <c r="EL528" i="2"/>
  <c r="EL519" i="2"/>
  <c r="EL520" i="2"/>
  <c r="EL521" i="2" s="1"/>
  <c r="EL522" i="2"/>
  <c r="EL523" i="2" s="1"/>
  <c r="EN28" i="2"/>
  <c r="EL529" i="2" l="1"/>
  <c r="EL530" i="2"/>
  <c r="EN35" i="2"/>
  <c r="EL533" i="2" l="1"/>
  <c r="EL535" i="2"/>
  <c r="EL534" i="2"/>
  <c r="H3425" i="3" l="1"/>
  <c r="EL9" i="2"/>
  <c r="EL13" i="2" s="1"/>
  <c r="EL379" i="10"/>
  <c r="D3289" i="3"/>
  <c r="D3290" i="3" s="1"/>
  <c r="D3294" i="3" s="1"/>
  <c r="EL375" i="10"/>
  <c r="EL192" i="2"/>
  <c r="EQ193" i="2" s="1"/>
  <c r="EL374" i="10"/>
  <c r="EL190" i="2"/>
  <c r="EQ191" i="2" s="1"/>
  <c r="D3281" i="3" l="1"/>
  <c r="EL191" i="2"/>
  <c r="EL364" i="10"/>
  <c r="EL193" i="2"/>
  <c r="EL31" i="2"/>
  <c r="EL625" i="2"/>
  <c r="EL387" i="10"/>
  <c r="EM364" i="10" l="1"/>
  <c r="EM625" i="2" l="1"/>
  <c r="EM627" i="2" s="1"/>
  <c r="EM628" i="2" s="1"/>
  <c r="E3281" i="3"/>
  <c r="EO364" i="10"/>
  <c r="E3289" i="3"/>
  <c r="E3290" i="3" s="1"/>
  <c r="E3294" i="3" s="1"/>
  <c r="EM374" i="10"/>
  <c r="EM632" i="2" l="1"/>
  <c r="EM642" i="2" s="1"/>
  <c r="EN625" i="2"/>
  <c r="EM659" i="2"/>
  <c r="EM23" i="4" s="1"/>
  <c r="EM333" i="2"/>
  <c r="EN201" i="2"/>
  <c r="EN190" i="2" s="1"/>
  <c r="EM42" i="2"/>
  <c r="EP364" i="10"/>
  <c r="EM375" i="10"/>
  <c r="I3425" i="3"/>
  <c r="I3427" i="3" s="1"/>
  <c r="EM334" i="2" l="1"/>
  <c r="ER334" i="2"/>
  <c r="EM634" i="2"/>
  <c r="EM639" i="2" s="1"/>
  <c r="EM608" i="2"/>
  <c r="EM161" i="10" s="1"/>
  <c r="EM630" i="2"/>
  <c r="EN209" i="2"/>
  <c r="EM43" i="2"/>
  <c r="EM11" i="4"/>
  <c r="EM12" i="4" s="1"/>
  <c r="EM16" i="4" s="1"/>
  <c r="EM18" i="4" s="1"/>
  <c r="EN374" i="10"/>
  <c r="EN202" i="2"/>
  <c r="EN192" i="2" s="1"/>
  <c r="EN193" i="2" s="1"/>
  <c r="EM9" i="2"/>
  <c r="ER364" i="10"/>
  <c r="EQ364" i="10"/>
  <c r="EN364" i="10"/>
  <c r="EN191" i="2"/>
  <c r="EM379" i="10"/>
  <c r="EN206" i="2"/>
  <c r="EM636" i="2" l="1"/>
  <c r="EM644" i="2" s="1"/>
  <c r="EM609" i="2"/>
  <c r="EM50" i="2"/>
  <c r="EM47" i="2"/>
  <c r="EM49" i="2" s="1"/>
  <c r="EM52" i="2" s="1"/>
  <c r="EM127" i="10"/>
  <c r="EM19" i="4"/>
  <c r="EM102" i="10"/>
  <c r="EM1026" i="10" s="1"/>
  <c r="EN375" i="10"/>
  <c r="EN210" i="2"/>
  <c r="D3430" i="3"/>
  <c r="EM545" i="2"/>
  <c r="EM12" i="2"/>
  <c r="EM8" i="32" s="1"/>
  <c r="EM31" i="2"/>
  <c r="EM13" i="2"/>
  <c r="EN379" i="10"/>
  <c r="EN214" i="2"/>
  <c r="EN563" i="2"/>
  <c r="EN545" i="2"/>
  <c r="EN9" i="2"/>
  <c r="B2184" i="3" l="1"/>
  <c r="B2199" i="3" s="1"/>
  <c r="EM15" i="2"/>
  <c r="EM575" i="2"/>
  <c r="EM570" i="2"/>
  <c r="EN13" i="2"/>
  <c r="EM131" i="10"/>
  <c r="EN27" i="2"/>
  <c r="B2185" i="3" l="1"/>
  <c r="B2186" i="3" s="1"/>
  <c r="EN54" i="2"/>
  <c r="EN55" i="2" s="1"/>
  <c r="EN34" i="2"/>
  <c r="EN31" i="2"/>
  <c r="B2198" i="3" l="1"/>
  <c r="B2200" i="3" s="1"/>
  <c r="EN62" i="2"/>
  <c r="EN63" i="2" l="1"/>
  <c r="EN64" i="2"/>
  <c r="EL42" i="2" l="1"/>
  <c r="EL11" i="4" s="1"/>
  <c r="EL12" i="4" s="1"/>
  <c r="EL16" i="4" s="1"/>
  <c r="EL18" i="4" s="1"/>
  <c r="H3426" i="3"/>
  <c r="H3427" i="3" s="1"/>
  <c r="EL435" i="10"/>
  <c r="EN344" i="2"/>
  <c r="EN340" i="2"/>
  <c r="D3431" i="3" s="1"/>
  <c r="D3432" i="3" s="1"/>
  <c r="EN339" i="2"/>
  <c r="EN347" i="2" s="1"/>
  <c r="EL10" i="2"/>
  <c r="EL427" i="10"/>
  <c r="EL423" i="10"/>
  <c r="EL422" i="10"/>
  <c r="EL327" i="2"/>
  <c r="EL626" i="2" l="1"/>
  <c r="EL627" i="2" s="1"/>
  <c r="EQ328" i="2"/>
  <c r="EN427" i="10"/>
  <c r="EL412" i="10"/>
  <c r="EN422" i="10"/>
  <c r="EL19" i="4"/>
  <c r="EL48" i="4"/>
  <c r="EL14" i="2"/>
  <c r="EN10" i="2"/>
  <c r="EL32" i="2"/>
  <c r="EN327" i="2"/>
  <c r="EN352" i="2"/>
  <c r="EL12" i="2"/>
  <c r="EL328" i="2"/>
  <c r="EN423" i="10"/>
  <c r="EN463" i="2"/>
  <c r="EN473" i="2" s="1"/>
  <c r="EN348" i="2"/>
  <c r="EN11" i="4"/>
  <c r="EL43" i="2"/>
  <c r="EN42" i="2"/>
  <c r="EN626" i="2" l="1"/>
  <c r="EN627" i="2" s="1"/>
  <c r="EN628" i="2" s="1"/>
  <c r="EL575" i="2"/>
  <c r="EL8" i="32"/>
  <c r="EL205" i="4"/>
  <c r="EL49" i="4"/>
  <c r="EL50" i="4"/>
  <c r="EL199" i="4"/>
  <c r="EL200" i="4" s="1"/>
  <c r="EN12" i="2"/>
  <c r="EN8" i="32" s="1"/>
  <c r="EN32" i="2"/>
  <c r="EN14" i="2"/>
  <c r="EL127" i="10"/>
  <c r="EL47" i="2"/>
  <c r="EN43" i="2"/>
  <c r="EL50" i="2"/>
  <c r="EL632" i="2"/>
  <c r="EL628" i="2"/>
  <c r="EL333" i="2"/>
  <c r="EQ334" i="2" s="1"/>
  <c r="EL659" i="2"/>
  <c r="EL23" i="4" s="1"/>
  <c r="EL30" i="2"/>
  <c r="EL15" i="2"/>
  <c r="EN464" i="2"/>
  <c r="EN474" i="2" s="1"/>
  <c r="EN12" i="4"/>
  <c r="EN412" i="10"/>
  <c r="EN328" i="2"/>
  <c r="EL9" i="32" l="1"/>
  <c r="EL11" i="32" s="1"/>
  <c r="EL15" i="32" s="1"/>
  <c r="EN47" i="2"/>
  <c r="EL49" i="2"/>
  <c r="EL608" i="2"/>
  <c r="EL634" i="2"/>
  <c r="EL642" i="2"/>
  <c r="EL334" i="2"/>
  <c r="EL630" i="2"/>
  <c r="EN630" i="2" s="1"/>
  <c r="EN16" i="4"/>
  <c r="EL36" i="2"/>
  <c r="EL33" i="2"/>
  <c r="EN50" i="2"/>
  <c r="EN127" i="10"/>
  <c r="EN468" i="2"/>
  <c r="EN478" i="2" s="1"/>
  <c r="EL21" i="2"/>
  <c r="EN15" i="2"/>
  <c r="EO412" i="10" l="1"/>
  <c r="EL609" i="2"/>
  <c r="EL161" i="10"/>
  <c r="EL102" i="10"/>
  <c r="EL1026" i="10" s="1"/>
  <c r="B3064" i="3"/>
  <c r="B3066" i="3" s="1"/>
  <c r="B3068" i="3" s="1"/>
  <c r="EN18" i="4"/>
  <c r="EL20" i="2"/>
  <c r="EL24" i="2"/>
  <c r="EL639" i="2"/>
  <c r="EL636" i="2"/>
  <c r="EL644" i="2" s="1"/>
  <c r="EN333" i="2"/>
  <c r="EN334" i="2" s="1"/>
  <c r="EN470" i="2"/>
  <c r="EN49" i="2"/>
  <c r="EL131" i="10"/>
  <c r="EL52" i="2"/>
  <c r="D173" i="3" l="1"/>
  <c r="B2942" i="3"/>
  <c r="B2944" i="3" s="1"/>
  <c r="B122" i="19"/>
  <c r="EP412" i="10"/>
  <c r="EN526" i="2"/>
  <c r="EN19" i="4"/>
  <c r="EN102" i="10"/>
  <c r="EN1026" i="10" s="1"/>
  <c r="EN52" i="2"/>
  <c r="EN131" i="10"/>
  <c r="EN53" i="4"/>
  <c r="EN480" i="2"/>
  <c r="EL103" i="10"/>
  <c r="EL1027" i="10" s="1"/>
  <c r="EQ412" i="10" l="1"/>
  <c r="E139" i="19"/>
  <c r="EN527" i="2"/>
  <c r="H139" i="19"/>
  <c r="EL140" i="10"/>
  <c r="EN54" i="4"/>
  <c r="ER412" i="10" l="1"/>
  <c r="F139" i="19"/>
  <c r="G139" i="19"/>
  <c r="J139" i="19" s="1"/>
  <c r="EW412" i="10" l="1"/>
  <c r="FB327" i="2"/>
  <c r="FB412" i="10" s="1"/>
  <c r="I139" i="19"/>
  <c r="EL112" i="10" l="1"/>
  <c r="EL1028" i="10" s="1"/>
  <c r="EN572" i="2"/>
  <c r="EN10" i="32" l="1"/>
  <c r="EL569" i="2"/>
  <c r="EL566" i="2"/>
  <c r="EN575" i="2"/>
  <c r="EN573" i="2"/>
  <c r="EN574" i="2"/>
  <c r="EL141" i="10"/>
  <c r="EL142" i="10" s="1"/>
  <c r="EL121" i="10"/>
  <c r="EN590" i="2"/>
  <c r="EN591" i="2" s="1"/>
  <c r="EL567" i="2"/>
  <c r="EN588" i="2"/>
  <c r="EN589" i="2" s="1"/>
  <c r="EN576" i="2"/>
  <c r="C11" i="27"/>
  <c r="EN144" i="4"/>
  <c r="EN107" i="4"/>
  <c r="EN565" i="2"/>
  <c r="EN566" i="2" s="1"/>
  <c r="EL570" i="2"/>
  <c r="E4977" i="3"/>
  <c r="E4978" i="3" s="1"/>
  <c r="D92" i="3" l="1"/>
  <c r="D117" i="3" s="1"/>
  <c r="C218" i="41"/>
  <c r="C220" i="41" s="1"/>
  <c r="B2957" i="3"/>
  <c r="B2959" i="3" s="1"/>
  <c r="B36" i="3"/>
  <c r="EN65" i="4"/>
  <c r="D150" i="3" s="1"/>
  <c r="EN110" i="4"/>
  <c r="C218" i="6"/>
  <c r="E5021" i="3"/>
  <c r="EN112" i="10"/>
  <c r="EN570" i="2"/>
  <c r="EN569" i="2"/>
  <c r="EN567" i="2"/>
  <c r="C13" i="27"/>
  <c r="C14" i="27"/>
  <c r="EL104" i="10"/>
  <c r="EL1032" i="10" s="1"/>
  <c r="EN130" i="4"/>
  <c r="EN587" i="2" l="1"/>
  <c r="EN104" i="10"/>
  <c r="C220" i="6"/>
  <c r="EJ666" i="18"/>
  <c r="EJ664" i="18" s="1"/>
  <c r="EN141" i="10"/>
  <c r="E137" i="19"/>
  <c r="E154" i="19"/>
  <c r="EN97" i="4"/>
  <c r="EN153" i="4"/>
  <c r="EM104" i="10"/>
  <c r="EM1032" i="10" s="1"/>
  <c r="D33" i="11"/>
  <c r="E5024" i="3"/>
  <c r="E5023" i="3"/>
  <c r="E5025" i="3"/>
  <c r="EM592" i="2" l="1"/>
  <c r="EL592" i="2"/>
  <c r="EK592" i="2"/>
  <c r="EN592" i="2"/>
  <c r="EJ592" i="2"/>
  <c r="EL106" i="10"/>
  <c r="F154" i="19"/>
  <c r="G154" i="19"/>
  <c r="E5026" i="3"/>
  <c r="E5027" i="3"/>
  <c r="G137" i="19"/>
  <c r="F137" i="19"/>
  <c r="EJ665" i="18"/>
  <c r="EJ669" i="18"/>
  <c r="EL120" i="10" l="1"/>
  <c r="EN178" i="4"/>
  <c r="EN1031" i="10" s="1"/>
  <c r="EJ674" i="18"/>
  <c r="EJ678" i="18"/>
  <c r="EJ677" i="18" s="1"/>
  <c r="D278" i="24"/>
  <c r="EL107" i="10"/>
  <c r="D281" i="24" l="1"/>
  <c r="D280" i="24"/>
  <c r="D279" i="24"/>
  <c r="EJ682" i="18"/>
  <c r="EJ325" i="18"/>
  <c r="EJ332" i="18" s="1"/>
  <c r="EK680" i="18"/>
  <c r="D282" i="24" l="1"/>
  <c r="D283" i="24"/>
  <c r="B290" i="24"/>
  <c r="B291" i="24" s="1"/>
  <c r="EL109" i="10"/>
  <c r="EJ334" i="18"/>
  <c r="EJ333" i="18"/>
  <c r="EN139" i="4" l="1"/>
  <c r="EL113" i="10" l="1"/>
  <c r="EL122" i="4"/>
  <c r="EL124" i="4" l="1"/>
  <c r="EM123" i="4" s="1"/>
  <c r="EM124" i="4" s="1"/>
  <c r="EL122" i="10" l="1"/>
  <c r="EL1029" i="10" s="1"/>
  <c r="EL114" i="10" l="1"/>
  <c r="EL123" i="10" s="1"/>
  <c r="EL116" i="10" l="1"/>
  <c r="EL117" i="10" l="1"/>
  <c r="EL1021" i="10" s="1"/>
  <c r="EL1030" i="10" s="1"/>
  <c r="EL126" i="4"/>
  <c r="EO342" i="10" l="1"/>
  <c r="EO343" i="10" s="1"/>
  <c r="EO185" i="10" l="1"/>
  <c r="EO391" i="10"/>
  <c r="EO542" i="2"/>
  <c r="EO548" i="2" s="1"/>
  <c r="EO392" i="10" l="1"/>
  <c r="EO344" i="10"/>
  <c r="EO347" i="10"/>
  <c r="EO349" i="10"/>
  <c r="EO346" i="10"/>
  <c r="EO208" i="10"/>
  <c r="EO540" i="2"/>
  <c r="EO549" i="2" s="1"/>
  <c r="EO544" i="2"/>
  <c r="EO173" i="10"/>
  <c r="EP394" i="10" l="1"/>
  <c r="I2499" i="3"/>
  <c r="EO395" i="10"/>
  <c r="EO373" i="10"/>
  <c r="EO396" i="10"/>
  <c r="EO348" i="10"/>
  <c r="EO353" i="10"/>
  <c r="EO352" i="10"/>
  <c r="EO188" i="10"/>
  <c r="EO397" i="10"/>
  <c r="B40" i="30"/>
  <c r="EO40" i="2"/>
  <c r="EO9" i="4" s="1"/>
  <c r="EO541" i="2"/>
  <c r="E40" i="30" l="1"/>
  <c r="D40" i="30"/>
  <c r="EO41" i="2"/>
  <c r="EO10" i="4" s="1"/>
  <c r="EO401" i="10"/>
  <c r="B41" i="30"/>
  <c r="EO354" i="10"/>
  <c r="EO565" i="2"/>
  <c r="ES488" i="2"/>
  <c r="EO374" i="10"/>
  <c r="EO372" i="10"/>
  <c r="EO402" i="10"/>
  <c r="EO355" i="10"/>
  <c r="EP400" i="10"/>
  <c r="EP189" i="10"/>
  <c r="EO560" i="2" l="1"/>
  <c r="E41" i="30"/>
  <c r="D41" i="30"/>
  <c r="EO403" i="10"/>
  <c r="EO190" i="10"/>
  <c r="EO264" i="10"/>
  <c r="EO136" i="10"/>
  <c r="EO376" i="10"/>
  <c r="EO375" i="10"/>
  <c r="ES489" i="2"/>
  <c r="EO421" i="10"/>
  <c r="EO187" i="10"/>
  <c r="EP420" i="10"/>
  <c r="EO384" i="10"/>
  <c r="EO569" i="2" l="1"/>
  <c r="EO567" i="2"/>
  <c r="EO566" i="2"/>
  <c r="EO42" i="2"/>
  <c r="EO44" i="2"/>
  <c r="EO422" i="10"/>
  <c r="EO378" i="10"/>
  <c r="EO432" i="10"/>
  <c r="EO424" i="10"/>
  <c r="EO423" i="10"/>
  <c r="EO46" i="2" l="1"/>
  <c r="EO13" i="4"/>
  <c r="EO15" i="4" s="1"/>
  <c r="EO43" i="2"/>
  <c r="EO11" i="4"/>
  <c r="EO12" i="4" s="1"/>
  <c r="EO563" i="2"/>
  <c r="EO9" i="2"/>
  <c r="EO379" i="10"/>
  <c r="EO545" i="2"/>
  <c r="EO426" i="10"/>
  <c r="EO127" i="10" l="1"/>
  <c r="EO16" i="4"/>
  <c r="EO18" i="4" s="1"/>
  <c r="EO47" i="2"/>
  <c r="EO49" i="2" s="1"/>
  <c r="EO52" i="2" s="1"/>
  <c r="EO50" i="2"/>
  <c r="EO51" i="2"/>
  <c r="EO128" i="10"/>
  <c r="EO427" i="10"/>
  <c r="EO10" i="2"/>
  <c r="EO31" i="2"/>
  <c r="EO13" i="2"/>
  <c r="EO12" i="2" l="1"/>
  <c r="EO19" i="4"/>
  <c r="EO131" i="10"/>
  <c r="EO575" i="2"/>
  <c r="EO570" i="2"/>
  <c r="EO32" i="2"/>
  <c r="EO14" i="2"/>
  <c r="EO15" i="2" l="1"/>
  <c r="B1320" i="3"/>
  <c r="EO8" i="32"/>
  <c r="EO102" i="10"/>
  <c r="EO1026" i="10" s="1"/>
  <c r="D1697" i="3" l="1"/>
  <c r="ES96" i="2"/>
  <c r="B2578" i="3"/>
  <c r="EP342" i="10"/>
  <c r="EP343" i="10" s="1"/>
  <c r="EQ342" i="10"/>
  <c r="EQ343" i="10" s="1"/>
  <c r="F1329" i="3" l="1"/>
  <c r="E56" i="19"/>
  <c r="F43" i="11"/>
  <c r="F155" i="11" s="1"/>
  <c r="B2556" i="3"/>
  <c r="B2558" i="3" s="1"/>
  <c r="B2561" i="3" s="1"/>
  <c r="B2563" i="3" s="1"/>
  <c r="B2565" i="3" s="1"/>
  <c r="B2835" i="3"/>
  <c r="B2624" i="3"/>
  <c r="B2580" i="3"/>
  <c r="B2582" i="3"/>
  <c r="EP391" i="10"/>
  <c r="EP184" i="10"/>
  <c r="I2478" i="3"/>
  <c r="I2480" i="3" s="1"/>
  <c r="I2483" i="3" s="1"/>
  <c r="EP542" i="2"/>
  <c r="EP548" i="2" s="1"/>
  <c r="EP185" i="10"/>
  <c r="G1329" i="3" l="1"/>
  <c r="F1347" i="3"/>
  <c r="F1349" i="3" s="1"/>
  <c r="G43" i="11"/>
  <c r="G156" i="11" s="1"/>
  <c r="G175" i="11" s="1"/>
  <c r="F56" i="19"/>
  <c r="G56" i="19"/>
  <c r="F42" i="11"/>
  <c r="G155" i="11"/>
  <c r="F174" i="11"/>
  <c r="F166" i="11"/>
  <c r="F210" i="11" s="1"/>
  <c r="F211" i="11" s="1"/>
  <c r="I2503" i="3"/>
  <c r="I2505" i="3" s="1"/>
  <c r="I2485" i="3"/>
  <c r="B2654" i="3"/>
  <c r="B2807" i="3" s="1"/>
  <c r="B2843" i="3"/>
  <c r="B2597" i="3"/>
  <c r="EP344" i="10"/>
  <c r="B2651" i="3"/>
  <c r="B2584" i="3"/>
  <c r="B2592" i="3" s="1"/>
  <c r="B2594" i="3" s="1"/>
  <c r="B2596" i="3" s="1"/>
  <c r="B2836" i="3" s="1"/>
  <c r="B2623" i="3"/>
  <c r="B2627" i="3"/>
  <c r="B2629" i="3" s="1"/>
  <c r="B2648" i="3"/>
  <c r="B2808" i="3" s="1"/>
  <c r="EQ185" i="10"/>
  <c r="EQ392" i="10"/>
  <c r="EP392" i="10"/>
  <c r="EP544" i="2"/>
  <c r="EP540" i="2"/>
  <c r="ER342" i="10"/>
  <c r="ER343" i="10" s="1"/>
  <c r="ES86" i="2"/>
  <c r="EQ184" i="10"/>
  <c r="R68" i="29"/>
  <c r="R69" i="29" s="1"/>
  <c r="EQ542" i="2"/>
  <c r="EQ548" i="2" s="1"/>
  <c r="H1329" i="3" l="1"/>
  <c r="G1347" i="3"/>
  <c r="G1349" i="3" s="1"/>
  <c r="ET86" i="2"/>
  <c r="G42" i="11"/>
  <c r="H42" i="11" s="1"/>
  <c r="ES165" i="2"/>
  <c r="B1732" i="3"/>
  <c r="H156" i="11"/>
  <c r="I156" i="11" s="1"/>
  <c r="J156" i="11" s="1"/>
  <c r="K156" i="11" s="1"/>
  <c r="L156" i="11" s="1"/>
  <c r="M156" i="11" s="1"/>
  <c r="N156" i="11" s="1"/>
  <c r="O156" i="11" s="1"/>
  <c r="P156" i="11" s="1"/>
  <c r="R110" i="29"/>
  <c r="V110" i="29"/>
  <c r="F66" i="11"/>
  <c r="F57" i="11"/>
  <c r="G196" i="11"/>
  <c r="F195" i="11"/>
  <c r="G174" i="11"/>
  <c r="F185" i="11"/>
  <c r="H155" i="11"/>
  <c r="G166" i="11"/>
  <c r="G210" i="11" s="1"/>
  <c r="G211" i="11" s="1"/>
  <c r="EP549" i="2"/>
  <c r="EP396" i="10"/>
  <c r="I2487" i="3"/>
  <c r="EP397" i="10"/>
  <c r="B2837" i="3"/>
  <c r="B2844" i="3"/>
  <c r="B2845" i="3" s="1"/>
  <c r="B2770" i="3"/>
  <c r="B2631" i="3"/>
  <c r="B2633" i="3" s="1"/>
  <c r="B2635" i="3" s="1"/>
  <c r="B2625" i="3"/>
  <c r="B2601" i="3"/>
  <c r="B2603" i="3" s="1"/>
  <c r="B2598" i="3"/>
  <c r="C2613" i="3"/>
  <c r="C2623" i="3" s="1"/>
  <c r="B2586" i="3"/>
  <c r="EP395" i="10"/>
  <c r="C2617" i="3"/>
  <c r="B2605" i="3"/>
  <c r="B2607" i="3" s="1"/>
  <c r="EQ394" i="10"/>
  <c r="EP488" i="2"/>
  <c r="EP173" i="10"/>
  <c r="ES106" i="2"/>
  <c r="ES105" i="2"/>
  <c r="EQ391" i="10"/>
  <c r="ES342" i="10"/>
  <c r="ES343" i="10" s="1"/>
  <c r="ES88" i="2"/>
  <c r="EP352" i="10"/>
  <c r="EP188" i="10"/>
  <c r="ER185" i="10"/>
  <c r="ES90" i="2"/>
  <c r="EQ344" i="10"/>
  <c r="EP346" i="10"/>
  <c r="EP208" i="10"/>
  <c r="EQ540" i="2"/>
  <c r="EQ549" i="2" s="1"/>
  <c r="EQ544" i="2"/>
  <c r="EP402" i="10"/>
  <c r="ER344" i="10"/>
  <c r="ER542" i="2"/>
  <c r="ER548" i="2" s="1"/>
  <c r="B398" i="3" l="1"/>
  <c r="ET105" i="2"/>
  <c r="ET106" i="2" s="1"/>
  <c r="ET124" i="2" s="1"/>
  <c r="EU86" i="2"/>
  <c r="EP489" i="2"/>
  <c r="EU489" i="2"/>
  <c r="G57" i="11"/>
  <c r="G66" i="11"/>
  <c r="I1329" i="3"/>
  <c r="H1347" i="3"/>
  <c r="H1349" i="3" s="1"/>
  <c r="B1350" i="3"/>
  <c r="B1330" i="3"/>
  <c r="ET88" i="2"/>
  <c r="ET90" i="2"/>
  <c r="ET165" i="2"/>
  <c r="H175" i="11"/>
  <c r="I175" i="11" s="1"/>
  <c r="B4" i="37"/>
  <c r="B74" i="38"/>
  <c r="B1967" i="3"/>
  <c r="B1734" i="3"/>
  <c r="B1739" i="3"/>
  <c r="B1773" i="3" s="1"/>
  <c r="ER392" i="10"/>
  <c r="I155" i="11"/>
  <c r="J155" i="11" s="1"/>
  <c r="K155" i="11" s="1"/>
  <c r="L155" i="11" s="1"/>
  <c r="M155" i="11" s="1"/>
  <c r="N155" i="11" s="1"/>
  <c r="O155" i="11" s="1"/>
  <c r="P155" i="11" s="1"/>
  <c r="H166" i="11"/>
  <c r="H210" i="11" s="1"/>
  <c r="H211" i="11" s="1"/>
  <c r="H66" i="11"/>
  <c r="H57" i="11"/>
  <c r="F216" i="11"/>
  <c r="F48" i="11"/>
  <c r="F206" i="11"/>
  <c r="G195" i="11"/>
  <c r="H174" i="11"/>
  <c r="G185" i="11"/>
  <c r="B2647" i="3"/>
  <c r="B2765" i="3"/>
  <c r="B2773" i="3" s="1"/>
  <c r="F2765" i="3"/>
  <c r="F2773" i="3" s="1"/>
  <c r="B2609" i="3"/>
  <c r="B2534" i="3" s="1"/>
  <c r="B2535" i="3" s="1"/>
  <c r="I2506" i="3"/>
  <c r="EP421" i="10"/>
  <c r="EP401" i="10"/>
  <c r="EP187" i="10"/>
  <c r="C2631" i="3"/>
  <c r="C2633" i="3" s="1"/>
  <c r="D2617" i="3"/>
  <c r="C2619" i="3"/>
  <c r="C2772" i="3" s="1"/>
  <c r="C2651" i="3"/>
  <c r="C2654" i="3" s="1"/>
  <c r="C2807" i="3" s="1"/>
  <c r="C2624" i="3"/>
  <c r="EP264" i="10"/>
  <c r="EP541" i="2"/>
  <c r="ES136" i="2"/>
  <c r="ES141" i="2" s="1"/>
  <c r="ES124" i="2"/>
  <c r="ES129" i="2" s="1"/>
  <c r="ES113" i="2"/>
  <c r="ER391" i="10"/>
  <c r="ES94" i="2"/>
  <c r="ES107" i="2"/>
  <c r="ES568" i="2"/>
  <c r="EP136" i="10"/>
  <c r="EP348" i="10"/>
  <c r="B2771" i="3"/>
  <c r="ES91" i="2"/>
  <c r="B148" i="38" s="1"/>
  <c r="C257" i="38" s="1"/>
  <c r="EP347" i="10"/>
  <c r="ES92" i="2"/>
  <c r="ES185" i="10"/>
  <c r="E212" i="11"/>
  <c r="F4845" i="3"/>
  <c r="F5710" i="3"/>
  <c r="ER540" i="2"/>
  <c r="ES542" i="2"/>
  <c r="D3502" i="3" s="1"/>
  <c r="ER544" i="2"/>
  <c r="ES544" i="2" s="1"/>
  <c r="J1086" i="3" l="1"/>
  <c r="J1088" i="3" s="1"/>
  <c r="J1106" i="3" s="1"/>
  <c r="J1107" i="3" s="1"/>
  <c r="J1113" i="3" s="1"/>
  <c r="EU105" i="2"/>
  <c r="EU106" i="2" s="1"/>
  <c r="EU124" i="2" s="1"/>
  <c r="EV86" i="2"/>
  <c r="B405" i="3"/>
  <c r="C398" i="3"/>
  <c r="C401" i="3" s="1"/>
  <c r="F1510" i="3"/>
  <c r="J1174" i="3"/>
  <c r="J1094" i="3"/>
  <c r="EU174" i="2"/>
  <c r="EU88" i="2"/>
  <c r="EU90" i="2"/>
  <c r="C1330" i="3"/>
  <c r="D1330" i="3" s="1"/>
  <c r="E1330" i="3" s="1"/>
  <c r="F1330" i="3" s="1"/>
  <c r="G1330" i="3" s="1"/>
  <c r="H1330" i="3" s="1"/>
  <c r="I1330" i="3" s="1"/>
  <c r="B1334" i="3"/>
  <c r="C1350" i="3"/>
  <c r="D1350" i="3" s="1"/>
  <c r="E1350" i="3" s="1"/>
  <c r="F1350" i="3" s="1"/>
  <c r="G1350" i="3" s="1"/>
  <c r="H1350" i="3" s="1"/>
  <c r="B1356" i="3"/>
  <c r="J1329" i="3"/>
  <c r="I1347" i="3"/>
  <c r="I1349" i="3" s="1"/>
  <c r="ET245" i="2"/>
  <c r="ET246" i="2" s="1"/>
  <c r="B82" i="38"/>
  <c r="C186" i="38" s="1"/>
  <c r="C188" i="38" s="1"/>
  <c r="ET131" i="2"/>
  <c r="ET120" i="2"/>
  <c r="J1091" i="3" s="1"/>
  <c r="ET143" i="2"/>
  <c r="ET176" i="2"/>
  <c r="ET91" i="2"/>
  <c r="ET94" i="2"/>
  <c r="ET92" i="2"/>
  <c r="H196" i="11"/>
  <c r="C178" i="38"/>
  <c r="B390" i="38"/>
  <c r="C390" i="38" s="1"/>
  <c r="C260" i="38"/>
  <c r="B466" i="38"/>
  <c r="B5" i="39"/>
  <c r="B1975" i="3"/>
  <c r="C1975" i="3" s="1"/>
  <c r="B12" i="37"/>
  <c r="B20" i="37" s="1"/>
  <c r="B2043" i="3"/>
  <c r="D2043" i="3" s="1"/>
  <c r="D1967" i="3"/>
  <c r="B1751" i="3"/>
  <c r="B1752" i="3" s="1"/>
  <c r="B1770" i="3" s="1"/>
  <c r="E1783" i="3" s="1"/>
  <c r="B1737" i="3"/>
  <c r="B1738" i="3" s="1"/>
  <c r="ES118" i="2"/>
  <c r="C1700" i="3"/>
  <c r="C1702" i="3" s="1"/>
  <c r="C1717" i="3" s="1"/>
  <c r="C1718" i="3" s="1"/>
  <c r="C1719" i="3" s="1"/>
  <c r="ES547" i="2"/>
  <c r="ER549" i="2"/>
  <c r="ES549" i="2" s="1"/>
  <c r="ES95" i="2"/>
  <c r="ES392" i="10" s="1"/>
  <c r="B2653" i="3"/>
  <c r="G206" i="11"/>
  <c r="G48" i="11"/>
  <c r="G216" i="11"/>
  <c r="I174" i="11"/>
  <c r="H195" i="11"/>
  <c r="H185" i="11"/>
  <c r="F222" i="11"/>
  <c r="F217" i="11"/>
  <c r="F223" i="11" s="1"/>
  <c r="J175" i="11"/>
  <c r="I196" i="11"/>
  <c r="F54" i="11"/>
  <c r="F50" i="11"/>
  <c r="F49" i="11"/>
  <c r="F67" i="11" s="1"/>
  <c r="F68" i="11" s="1"/>
  <c r="G45" i="11"/>
  <c r="G47" i="11" s="1"/>
  <c r="F46" i="11"/>
  <c r="F59" i="11" s="1"/>
  <c r="B2536" i="3"/>
  <c r="EP566" i="2"/>
  <c r="EP569" i="2"/>
  <c r="EP567" i="2"/>
  <c r="EP374" i="10"/>
  <c r="EP372" i="10"/>
  <c r="EP40" i="2"/>
  <c r="EP9" i="4" s="1"/>
  <c r="EP403" i="10"/>
  <c r="EP424" i="10"/>
  <c r="EP485" i="2"/>
  <c r="EP486" i="2" s="1"/>
  <c r="C2627" i="3"/>
  <c r="C2629" i="3" s="1"/>
  <c r="C2635" i="3" s="1"/>
  <c r="C2648" i="3"/>
  <c r="E2617" i="3"/>
  <c r="D2619" i="3"/>
  <c r="D2772" i="3" s="1"/>
  <c r="B2650" i="3"/>
  <c r="C2625" i="3"/>
  <c r="EQ400" i="10"/>
  <c r="EQ189" i="10"/>
  <c r="ES540" i="2"/>
  <c r="EP190" i="10"/>
  <c r="EQ397" i="10"/>
  <c r="ER184" i="10"/>
  <c r="ES99" i="2"/>
  <c r="EP353" i="10"/>
  <c r="EP349" i="10"/>
  <c r="EP432" i="10"/>
  <c r="EP41" i="2"/>
  <c r="EP10" i="4" s="1"/>
  <c r="EP354" i="10"/>
  <c r="EQ420" i="10"/>
  <c r="ES344" i="10"/>
  <c r="EP44" i="2"/>
  <c r="ES391" i="10"/>
  <c r="ES97" i="2"/>
  <c r="F5711" i="3"/>
  <c r="F5712" i="3" s="1"/>
  <c r="EP42" i="2"/>
  <c r="EP11" i="4" s="1"/>
  <c r="EQ208" i="10"/>
  <c r="EQ346" i="10"/>
  <c r="F5726" i="3"/>
  <c r="F5717" i="3"/>
  <c r="ES258" i="2"/>
  <c r="ES263" i="2" s="1"/>
  <c r="EQ396" i="10"/>
  <c r="ES259" i="2"/>
  <c r="EV105" i="2" l="1"/>
  <c r="EV106" i="2" s="1"/>
  <c r="EW86" i="2"/>
  <c r="EW105" i="2"/>
  <c r="B244" i="41"/>
  <c r="B246" i="41" s="1"/>
  <c r="B254" i="41" s="1"/>
  <c r="B270" i="41" s="1"/>
  <c r="B271" i="41" s="1"/>
  <c r="EU118" i="2"/>
  <c r="EZ118" i="2" s="1"/>
  <c r="EU141" i="2"/>
  <c r="EZ141" i="2" s="1"/>
  <c r="EU245" i="2"/>
  <c r="EU246" i="2" s="1"/>
  <c r="EV124" i="2"/>
  <c r="EV245" i="2"/>
  <c r="EV246" i="2" s="1"/>
  <c r="EV118" i="2"/>
  <c r="FA118" i="2" s="1"/>
  <c r="EV141" i="2"/>
  <c r="FA141" i="2" s="1"/>
  <c r="EV174" i="2"/>
  <c r="EV88" i="2"/>
  <c r="EV90" i="2"/>
  <c r="EV165" i="2"/>
  <c r="B411" i="3"/>
  <c r="B412" i="3" s="1"/>
  <c r="C405" i="3"/>
  <c r="K1086" i="3"/>
  <c r="K1094" i="3" s="1"/>
  <c r="EU131" i="2"/>
  <c r="EU143" i="2"/>
  <c r="EU120" i="2"/>
  <c r="K1091" i="3" s="1"/>
  <c r="EU176" i="2"/>
  <c r="EU92" i="2"/>
  <c r="EU91" i="2"/>
  <c r="EU94" i="2"/>
  <c r="EU125" i="2"/>
  <c r="B90" i="38"/>
  <c r="C10" i="39" s="1"/>
  <c r="B67" i="38"/>
  <c r="B369" i="38" s="1"/>
  <c r="B366" i="38" s="1"/>
  <c r="B367" i="38" s="1"/>
  <c r="B398" i="38"/>
  <c r="J1347" i="3"/>
  <c r="J1349" i="3" s="1"/>
  <c r="K1329" i="3"/>
  <c r="K1347" i="3" s="1"/>
  <c r="L1347" i="3" s="1"/>
  <c r="I1350" i="3"/>
  <c r="J1330" i="3"/>
  <c r="ET574" i="2"/>
  <c r="ET100" i="2"/>
  <c r="EX100" i="2" s="1"/>
  <c r="ET568" i="2"/>
  <c r="ET310" i="2"/>
  <c r="ET265" i="2"/>
  <c r="ET276" i="2"/>
  <c r="ET288" i="2"/>
  <c r="ET95" i="2"/>
  <c r="ET97" i="2"/>
  <c r="ET107" i="2"/>
  <c r="ES548" i="2"/>
  <c r="C181" i="38"/>
  <c r="C180" i="38"/>
  <c r="C210" i="38" s="1"/>
  <c r="C194" i="38"/>
  <c r="D390" i="38"/>
  <c r="B2051" i="3"/>
  <c r="C2051" i="3" s="1"/>
  <c r="C20" i="37"/>
  <c r="D1975" i="3"/>
  <c r="C2035" i="3"/>
  <c r="C1977" i="3"/>
  <c r="B1740" i="3"/>
  <c r="B1781" i="3" s="1"/>
  <c r="B1769" i="3"/>
  <c r="B1772" i="3" s="1"/>
  <c r="B1774" i="3" s="1"/>
  <c r="E1787" i="3" s="1"/>
  <c r="H48" i="11"/>
  <c r="H216" i="11"/>
  <c r="H206" i="11"/>
  <c r="K175" i="11"/>
  <c r="J196" i="11"/>
  <c r="EX101" i="2"/>
  <c r="I195" i="11"/>
  <c r="J174" i="11"/>
  <c r="F58" i="11"/>
  <c r="F56" i="11"/>
  <c r="G222" i="11"/>
  <c r="G217" i="11"/>
  <c r="G223" i="11" s="1"/>
  <c r="G54" i="11"/>
  <c r="G50" i="11"/>
  <c r="H45" i="11"/>
  <c r="H47" i="11" s="1"/>
  <c r="G49" i="11"/>
  <c r="G67" i="11" s="1"/>
  <c r="G68" i="11" s="1"/>
  <c r="G46" i="11"/>
  <c r="G59" i="11" s="1"/>
  <c r="F69" i="11"/>
  <c r="EP12" i="4"/>
  <c r="EP46" i="2"/>
  <c r="EP13" i="4"/>
  <c r="EP15" i="4" s="1"/>
  <c r="EP43" i="2"/>
  <c r="EP426" i="10"/>
  <c r="C2808" i="3"/>
  <c r="D5" i="27"/>
  <c r="D7" i="27" s="1"/>
  <c r="B2763" i="3"/>
  <c r="F2617" i="3"/>
  <c r="E2619" i="3"/>
  <c r="E2772" i="3" s="1"/>
  <c r="J6" i="27"/>
  <c r="ES543" i="2"/>
  <c r="J5" i="27"/>
  <c r="ES169" i="2"/>
  <c r="ES395" i="2"/>
  <c r="EQ424" i="10"/>
  <c r="ES314" i="2"/>
  <c r="EQ402" i="10"/>
  <c r="ES418" i="2"/>
  <c r="ES269" i="2"/>
  <c r="ES274" i="2" s="1"/>
  <c r="B2664" i="3"/>
  <c r="ES303" i="2"/>
  <c r="ES308" i="2" s="1"/>
  <c r="ES281" i="2"/>
  <c r="ES286" i="2" s="1"/>
  <c r="EQ395" i="10"/>
  <c r="EP373" i="10"/>
  <c r="F5733" i="3"/>
  <c r="F5718" i="3"/>
  <c r="F5719" i="3" s="1"/>
  <c r="F5722" i="3" s="1"/>
  <c r="ER136" i="10"/>
  <c r="ES260" i="2"/>
  <c r="ER394" i="10"/>
  <c r="ES68" i="2"/>
  <c r="EQ188" i="10"/>
  <c r="EQ352" i="10"/>
  <c r="EQ173" i="10"/>
  <c r="F5730" i="3"/>
  <c r="EP376" i="10"/>
  <c r="B2706" i="3"/>
  <c r="ES108" i="2"/>
  <c r="EP355" i="10"/>
  <c r="ES282" i="2"/>
  <c r="ES440" i="2"/>
  <c r="ES445" i="2" s="1"/>
  <c r="EP422" i="10"/>
  <c r="ES406" i="2"/>
  <c r="ES184" i="10"/>
  <c r="ES101" i="2"/>
  <c r="ES264" i="2"/>
  <c r="EQ40" i="2"/>
  <c r="EQ9" i="4" s="1"/>
  <c r="EQ541" i="2"/>
  <c r="EW106" i="2" l="1"/>
  <c r="EW163" i="2"/>
  <c r="EW88" i="2"/>
  <c r="EW90" i="2"/>
  <c r="B244" i="6" s="1"/>
  <c r="EW165" i="2"/>
  <c r="EW124" i="2"/>
  <c r="EW245" i="2"/>
  <c r="EW246" i="2" s="1"/>
  <c r="EW141" i="2"/>
  <c r="FB141" i="2" s="1"/>
  <c r="EW118" i="2"/>
  <c r="FB118" i="2" s="1"/>
  <c r="EW174" i="2"/>
  <c r="C411" i="3"/>
  <c r="C412" i="3" s="1"/>
  <c r="C402" i="3"/>
  <c r="B246" i="6"/>
  <c r="B254" i="6" s="1"/>
  <c r="B270" i="6" s="1"/>
  <c r="B271" i="6" s="1"/>
  <c r="C2401" i="3"/>
  <c r="B2420" i="3" s="1"/>
  <c r="EV120" i="2"/>
  <c r="EV143" i="2"/>
  <c r="EV131" i="2"/>
  <c r="EV176" i="2"/>
  <c r="EV92" i="2"/>
  <c r="EV94" i="2"/>
  <c r="EV91" i="2"/>
  <c r="EV125" i="2"/>
  <c r="B249" i="41"/>
  <c r="ES174" i="2"/>
  <c r="B688" i="3"/>
  <c r="B690" i="3" s="1"/>
  <c r="K1149" i="3"/>
  <c r="K1088" i="3"/>
  <c r="K1106" i="3" s="1"/>
  <c r="K1107" i="3" s="1"/>
  <c r="K1113" i="3" s="1"/>
  <c r="C369" i="38"/>
  <c r="G369" i="38" s="1"/>
  <c r="B270" i="38"/>
  <c r="B267" i="38" s="1"/>
  <c r="B268" i="38" s="1"/>
  <c r="C90" i="38"/>
  <c r="C74" i="38" s="1"/>
  <c r="B161" i="38"/>
  <c r="C161" i="38" s="1"/>
  <c r="E161" i="38" s="1"/>
  <c r="EU130" i="2"/>
  <c r="EZ130" i="2" s="1"/>
  <c r="EU568" i="2"/>
  <c r="EU265" i="2"/>
  <c r="EU288" i="2"/>
  <c r="EU276" i="2"/>
  <c r="EU310" i="2"/>
  <c r="EU95" i="2"/>
  <c r="EU97" i="2"/>
  <c r="EU107" i="2"/>
  <c r="J1350" i="3"/>
  <c r="K1350" i="3" s="1"/>
  <c r="L1350" i="3" s="1"/>
  <c r="B406" i="38"/>
  <c r="C406" i="38" s="1"/>
  <c r="C466" i="38" s="1"/>
  <c r="B65" i="38"/>
  <c r="B166" i="38"/>
  <c r="B481" i="38" s="1"/>
  <c r="B159" i="38"/>
  <c r="B477" i="38" s="1"/>
  <c r="C477" i="38" s="1"/>
  <c r="K1330" i="3"/>
  <c r="K1349" i="3"/>
  <c r="M1347" i="3"/>
  <c r="ET257" i="2"/>
  <c r="ET262" i="2"/>
  <c r="ET108" i="2"/>
  <c r="ET269" i="2"/>
  <c r="ET299" i="2"/>
  <c r="ET425" i="2" s="1"/>
  <c r="ET382" i="2"/>
  <c r="ET383" i="2" s="1"/>
  <c r="C225" i="38"/>
  <c r="C196" i="38"/>
  <c r="C182" i="38"/>
  <c r="C248" i="38"/>
  <c r="B371" i="38"/>
  <c r="B373" i="38" s="1"/>
  <c r="C261" i="38"/>
  <c r="C259" i="38" s="1"/>
  <c r="B4" i="38"/>
  <c r="B85" i="38"/>
  <c r="D20" i="37"/>
  <c r="E20" i="37" s="1"/>
  <c r="B15" i="37"/>
  <c r="B17" i="37" s="1"/>
  <c r="B1978" i="3"/>
  <c r="D2051" i="3"/>
  <c r="C2053" i="3"/>
  <c r="C2114" i="3"/>
  <c r="C1781" i="3"/>
  <c r="F60" i="11"/>
  <c r="F90" i="11" s="1"/>
  <c r="F132" i="11" s="1"/>
  <c r="F142" i="11" s="1"/>
  <c r="F71" i="11"/>
  <c r="G58" i="11"/>
  <c r="G56" i="11"/>
  <c r="G69" i="11"/>
  <c r="F70" i="11"/>
  <c r="F79" i="11"/>
  <c r="F78" i="11" s="1"/>
  <c r="F133" i="11" s="1"/>
  <c r="F101" i="11"/>
  <c r="F143" i="11" s="1"/>
  <c r="F74" i="11"/>
  <c r="K196" i="11"/>
  <c r="L175" i="11"/>
  <c r="B2659" i="3"/>
  <c r="J195" i="11"/>
  <c r="K174" i="11"/>
  <c r="H222" i="11"/>
  <c r="H217" i="11"/>
  <c r="H223" i="11" s="1"/>
  <c r="H54" i="11"/>
  <c r="H46" i="11"/>
  <c r="H59" i="11" s="1"/>
  <c r="I45" i="11"/>
  <c r="I47" i="11" s="1"/>
  <c r="H50" i="11"/>
  <c r="H49" i="11"/>
  <c r="H67" i="11" s="1"/>
  <c r="H68" i="11" s="1"/>
  <c r="EP51" i="2"/>
  <c r="EP16" i="4"/>
  <c r="EP18" i="4" s="1"/>
  <c r="EP50" i="2"/>
  <c r="EP47" i="2"/>
  <c r="EP49" i="2" s="1"/>
  <c r="EP52" i="2" s="1"/>
  <c r="EP423" i="10"/>
  <c r="D8" i="27"/>
  <c r="G2617" i="3"/>
  <c r="G2619" i="3" s="1"/>
  <c r="G2772" i="3" s="1"/>
  <c r="F2619" i="3"/>
  <c r="F2772" i="3" s="1"/>
  <c r="J8" i="27"/>
  <c r="J7" i="27"/>
  <c r="D3503" i="3"/>
  <c r="D3504" i="3" s="1"/>
  <c r="EK657" i="18"/>
  <c r="EK655" i="18" s="1"/>
  <c r="EQ432" i="10"/>
  <c r="FD99" i="2"/>
  <c r="ER189" i="10"/>
  <c r="EQ403" i="10"/>
  <c r="ES405" i="10"/>
  <c r="ES337" i="2"/>
  <c r="B102" i="38" s="1"/>
  <c r="B418" i="38" s="1"/>
  <c r="ES394" i="10"/>
  <c r="C2927" i="3"/>
  <c r="ES598" i="2"/>
  <c r="ES495" i="2" s="1"/>
  <c r="ES496" i="2" s="1"/>
  <c r="ES265" i="2"/>
  <c r="ES261" i="2"/>
  <c r="ES262" i="2"/>
  <c r="ER400" i="10"/>
  <c r="ES292" i="2"/>
  <c r="ES297" i="2" s="1"/>
  <c r="ES423" i="2" s="1"/>
  <c r="ES76" i="2"/>
  <c r="ES77" i="2" s="1"/>
  <c r="EQ401" i="10"/>
  <c r="EQ374" i="10"/>
  <c r="ES44" i="4"/>
  <c r="EQ153" i="2"/>
  <c r="EQ372" i="10"/>
  <c r="ES114" i="2"/>
  <c r="ES119" i="2" s="1"/>
  <c r="EQ136" i="10"/>
  <c r="ES58" i="2"/>
  <c r="EQ347" i="10"/>
  <c r="EP375" i="10"/>
  <c r="EP9" i="2"/>
  <c r="ES270" i="2"/>
  <c r="ES275" i="2" s="1"/>
  <c r="EP378" i="10"/>
  <c r="EP384" i="10"/>
  <c r="EQ264" i="10"/>
  <c r="ES304" i="2"/>
  <c r="ES309" i="2" s="1"/>
  <c r="EQ348" i="10"/>
  <c r="EQ42" i="2"/>
  <c r="EQ11" i="4" s="1"/>
  <c r="ES287" i="2"/>
  <c r="R115" i="29"/>
  <c r="EW143" i="2" l="1"/>
  <c r="EW176" i="2"/>
  <c r="EW131" i="2"/>
  <c r="EW120" i="2"/>
  <c r="EW94" i="2"/>
  <c r="B249" i="6" s="1"/>
  <c r="EW92" i="2"/>
  <c r="EW91" i="2"/>
  <c r="C2395" i="3"/>
  <c r="D2395" i="3" s="1"/>
  <c r="D2397" i="3" s="1"/>
  <c r="D2399" i="3" s="1"/>
  <c r="C2426" i="3" s="1"/>
  <c r="EW107" i="2"/>
  <c r="EW125" i="2"/>
  <c r="D2401" i="3"/>
  <c r="EV107" i="2"/>
  <c r="EV308" i="2" s="1"/>
  <c r="FA308" i="2" s="1"/>
  <c r="B251" i="6"/>
  <c r="B255" i="6" s="1"/>
  <c r="B256" i="6" s="1"/>
  <c r="EV130" i="2"/>
  <c r="FA130" i="2" s="1"/>
  <c r="EV276" i="2"/>
  <c r="EV568" i="2"/>
  <c r="EV265" i="2"/>
  <c r="EV310" i="2"/>
  <c r="EV288" i="2"/>
  <c r="EV95" i="2"/>
  <c r="EV97" i="2"/>
  <c r="C270" i="38"/>
  <c r="F270" i="38" s="1"/>
  <c r="D369" i="38"/>
  <c r="B251" i="41"/>
  <c r="C249" i="41"/>
  <c r="C251" i="41" s="1"/>
  <c r="C255" i="41" s="1"/>
  <c r="C2420" i="3"/>
  <c r="C366" i="38"/>
  <c r="C367" i="38" s="1"/>
  <c r="C148" i="38"/>
  <c r="C151" i="38" s="1"/>
  <c r="J406" i="38"/>
  <c r="E90" i="38"/>
  <c r="E74" i="38" s="1"/>
  <c r="C104" i="39"/>
  <c r="C106" i="38"/>
  <c r="J421" i="38" s="1"/>
  <c r="C9" i="39"/>
  <c r="C398" i="38"/>
  <c r="D406" i="38"/>
  <c r="D466" i="38" s="1"/>
  <c r="D469" i="38" s="1"/>
  <c r="EU108" i="2"/>
  <c r="EU269" i="2"/>
  <c r="EU299" i="2"/>
  <c r="EU425" i="2" s="1"/>
  <c r="EU382" i="2"/>
  <c r="EU383" i="2" s="1"/>
  <c r="EU308" i="2"/>
  <c r="EZ308" i="2" s="1"/>
  <c r="EU263" i="2"/>
  <c r="C476" i="38"/>
  <c r="D477" i="38"/>
  <c r="E477" i="38" s="1"/>
  <c r="N1347" i="3"/>
  <c r="M1350" i="3"/>
  <c r="C359" i="38"/>
  <c r="C358" i="38" s="1"/>
  <c r="ET406" i="2"/>
  <c r="ET411" i="2" s="1"/>
  <c r="ET74" i="2"/>
  <c r="ET75" i="2" s="1"/>
  <c r="ET76" i="2"/>
  <c r="ET314" i="2"/>
  <c r="ET259" i="2"/>
  <c r="C191" i="39"/>
  <c r="B191" i="39"/>
  <c r="B190" i="39"/>
  <c r="E191" i="39"/>
  <c r="D191" i="39"/>
  <c r="C195" i="38"/>
  <c r="J390" i="38"/>
  <c r="C158" i="38"/>
  <c r="B372" i="38"/>
  <c r="B375" i="38"/>
  <c r="B378" i="38" s="1"/>
  <c r="C469" i="38"/>
  <c r="C465" i="38"/>
  <c r="B87" i="38"/>
  <c r="B403" i="38" s="1"/>
  <c r="C403" i="38" s="1"/>
  <c r="D403" i="38" s="1"/>
  <c r="E403" i="38" s="1"/>
  <c r="F403" i="38" s="1"/>
  <c r="B401" i="38"/>
  <c r="C77" i="38"/>
  <c r="D74" i="38"/>
  <c r="D178" i="38"/>
  <c r="B76" i="39"/>
  <c r="B3" i="38"/>
  <c r="C76" i="38"/>
  <c r="C129" i="38" s="1"/>
  <c r="C5" i="39"/>
  <c r="ES136" i="10"/>
  <c r="D82" i="38"/>
  <c r="C84" i="38"/>
  <c r="F20" i="37"/>
  <c r="B1987" i="3"/>
  <c r="B2063" i="3" s="1"/>
  <c r="B34" i="37"/>
  <c r="B2054" i="3"/>
  <c r="B1980" i="3"/>
  <c r="D1781" i="3"/>
  <c r="F62" i="11"/>
  <c r="F100" i="11"/>
  <c r="F61" i="11"/>
  <c r="R116" i="29"/>
  <c r="R117" i="29" s="1"/>
  <c r="R118" i="29"/>
  <c r="F134" i="11"/>
  <c r="F135" i="11" s="1"/>
  <c r="F128" i="11" s="1"/>
  <c r="F129" i="11" s="1"/>
  <c r="F130" i="11" s="1"/>
  <c r="G127" i="11" s="1"/>
  <c r="G60" i="11"/>
  <c r="G62" i="11" s="1"/>
  <c r="G71" i="11"/>
  <c r="L196" i="11"/>
  <c r="M175" i="11"/>
  <c r="H58" i="11"/>
  <c r="H56" i="11"/>
  <c r="EX257" i="2"/>
  <c r="H69" i="11"/>
  <c r="G101" i="11"/>
  <c r="G143" i="11" s="1"/>
  <c r="G79" i="11"/>
  <c r="G78" i="11" s="1"/>
  <c r="G133" i="11" s="1"/>
  <c r="G70" i="11"/>
  <c r="L174" i="11"/>
  <c r="K195" i="11"/>
  <c r="F73" i="11"/>
  <c r="G74" i="11"/>
  <c r="EQ148" i="2"/>
  <c r="EQ164" i="2"/>
  <c r="EQ159" i="2" s="1"/>
  <c r="EP19" i="4"/>
  <c r="EP427" i="10"/>
  <c r="EP10" i="2"/>
  <c r="EP31" i="2"/>
  <c r="EP13" i="2"/>
  <c r="EQ426" i="10"/>
  <c r="B2809" i="3"/>
  <c r="B2815" i="3"/>
  <c r="B2817" i="3" s="1"/>
  <c r="B2820" i="3" s="1"/>
  <c r="B2811" i="3"/>
  <c r="B2813" i="3" s="1"/>
  <c r="N29" i="30"/>
  <c r="ER420" i="10"/>
  <c r="FE99" i="2"/>
  <c r="EP127" i="10"/>
  <c r="EQ190" i="10"/>
  <c r="C2917" i="3"/>
  <c r="C2928" i="3" s="1"/>
  <c r="C2929" i="3" s="1"/>
  <c r="ES430" i="2"/>
  <c r="ES435" i="2" s="1"/>
  <c r="ES400" i="10"/>
  <c r="ES189" i="10"/>
  <c r="EX184" i="10"/>
  <c r="ES420" i="2"/>
  <c r="ET417" i="2" s="1"/>
  <c r="ES419" i="2"/>
  <c r="EQ422" i="10"/>
  <c r="ER395" i="10"/>
  <c r="ES271" i="2"/>
  <c r="ET268" i="2" s="1"/>
  <c r="ET315" i="2" s="1"/>
  <c r="ET338" i="2" s="1"/>
  <c r="ET346" i="2" s="1"/>
  <c r="EQ349" i="10"/>
  <c r="ES345" i="2"/>
  <c r="ES420" i="10"/>
  <c r="ES323" i="2"/>
  <c r="EQ41" i="2"/>
  <c r="ES357" i="10"/>
  <c r="EQ353" i="10"/>
  <c r="EQ44" i="2"/>
  <c r="EQ354" i="10"/>
  <c r="ER397" i="10"/>
  <c r="ES305" i="2"/>
  <c r="EQ421" i="10"/>
  <c r="EP379" i="10"/>
  <c r="EP545" i="2"/>
  <c r="EP128" i="10"/>
  <c r="ER346" i="10"/>
  <c r="ER208" i="10"/>
  <c r="ES115" i="2"/>
  <c r="ES318" i="2"/>
  <c r="ES283" i="2"/>
  <c r="ER396" i="10"/>
  <c r="ES293" i="2"/>
  <c r="ES298" i="2" s="1"/>
  <c r="ES424" i="2" s="1"/>
  <c r="ES294" i="2"/>
  <c r="ET296" i="2" s="1"/>
  <c r="ES316" i="2"/>
  <c r="ES180" i="2"/>
  <c r="C2397" i="3" l="1"/>
  <c r="EW265" i="2"/>
  <c r="EW310" i="2"/>
  <c r="EW276" i="2"/>
  <c r="EW288" i="2"/>
  <c r="EW95" i="2"/>
  <c r="EW97" i="2"/>
  <c r="EW568" i="2"/>
  <c r="EV108" i="2"/>
  <c r="EV76" i="2" s="1"/>
  <c r="EW130" i="2"/>
  <c r="FB130" i="2" s="1"/>
  <c r="EW108" i="2"/>
  <c r="EW269" i="2"/>
  <c r="EW382" i="2"/>
  <c r="EW383" i="2" s="1"/>
  <c r="EW299" i="2"/>
  <c r="EW425" i="2" s="1"/>
  <c r="EW308" i="2"/>
  <c r="FB308" i="2" s="1"/>
  <c r="EW263" i="2"/>
  <c r="ET77" i="2"/>
  <c r="EY76" i="2"/>
  <c r="EV263" i="2"/>
  <c r="EV299" i="2"/>
  <c r="EV425" i="2" s="1"/>
  <c r="EV382" i="2"/>
  <c r="EV383" i="2" s="1"/>
  <c r="EV269" i="2"/>
  <c r="EV270" i="2" s="1"/>
  <c r="C271" i="6"/>
  <c r="B272" i="6" s="1"/>
  <c r="C249" i="6"/>
  <c r="C251" i="6" s="1"/>
  <c r="C255" i="6" s="1"/>
  <c r="C256" i="6" s="1"/>
  <c r="EV320" i="2"/>
  <c r="C267" i="38"/>
  <c r="C268" i="38" s="1"/>
  <c r="D270" i="38"/>
  <c r="D267" i="38" s="1"/>
  <c r="D356" i="38"/>
  <c r="D359" i="38" s="1"/>
  <c r="D257" i="38"/>
  <c r="D260" i="38" s="1"/>
  <c r="C147" i="38"/>
  <c r="J465" i="38" s="1"/>
  <c r="C279" i="41"/>
  <c r="B280" i="41" s="1"/>
  <c r="B281" i="41" s="1"/>
  <c r="C256" i="41"/>
  <c r="C271" i="41"/>
  <c r="B272" i="41" s="1"/>
  <c r="B273" i="41" s="1"/>
  <c r="B274" i="41" s="1"/>
  <c r="B255" i="41"/>
  <c r="B256" i="41" s="1"/>
  <c r="C371" i="38"/>
  <c r="C373" i="38" s="1"/>
  <c r="J466" i="38"/>
  <c r="D465" i="38"/>
  <c r="F90" i="38"/>
  <c r="E406" i="38"/>
  <c r="F406" i="38" s="1"/>
  <c r="D398" i="38"/>
  <c r="D401" i="38" s="1"/>
  <c r="EU270" i="2"/>
  <c r="EU406" i="2"/>
  <c r="EU320" i="2"/>
  <c r="EU76" i="2"/>
  <c r="EU74" i="2"/>
  <c r="EU75" i="2" s="1"/>
  <c r="D476" i="38"/>
  <c r="N1350" i="3"/>
  <c r="O1347" i="3"/>
  <c r="EP12" i="2"/>
  <c r="ET337" i="2"/>
  <c r="ET117" i="2"/>
  <c r="J1109" i="3" s="1"/>
  <c r="ET112" i="2"/>
  <c r="ET258" i="2"/>
  <c r="ET280" i="2"/>
  <c r="ET285" i="2"/>
  <c r="B84" i="38"/>
  <c r="D84" i="38" s="1"/>
  <c r="ET302" i="2"/>
  <c r="ET307" i="2"/>
  <c r="ET270" i="2"/>
  <c r="ET275" i="2" s="1"/>
  <c r="C190" i="39"/>
  <c r="J392" i="38"/>
  <c r="D181" i="38"/>
  <c r="B50" i="39"/>
  <c r="E158" i="38"/>
  <c r="E159" i="38" s="1"/>
  <c r="F74" i="38"/>
  <c r="J400" i="38"/>
  <c r="F84" i="38"/>
  <c r="C159" i="38"/>
  <c r="J477" i="38" s="1"/>
  <c r="D158" i="38"/>
  <c r="J469" i="38"/>
  <c r="B376" i="38"/>
  <c r="D194" i="38"/>
  <c r="D248" i="38" s="1"/>
  <c r="B377" i="38"/>
  <c r="J476" i="38"/>
  <c r="C152" i="38"/>
  <c r="C150" i="38" s="1"/>
  <c r="J393" i="38"/>
  <c r="B191" i="38"/>
  <c r="C191" i="38" s="1"/>
  <c r="C189" i="38" s="1"/>
  <c r="C401" i="38"/>
  <c r="F477" i="38"/>
  <c r="G403" i="38"/>
  <c r="F401" i="38"/>
  <c r="E77" i="38"/>
  <c r="E76" i="38"/>
  <c r="E129" i="38" s="1"/>
  <c r="D286" i="38"/>
  <c r="C50" i="39" s="1"/>
  <c r="D180" i="38"/>
  <c r="B51" i="39" s="1"/>
  <c r="C78" i="38"/>
  <c r="J394" i="38" s="1"/>
  <c r="B5" i="38"/>
  <c r="B272" i="38"/>
  <c r="B7" i="38"/>
  <c r="B77" i="39"/>
  <c r="C6" i="39"/>
  <c r="B7" i="37"/>
  <c r="B9" i="37" s="1"/>
  <c r="B77" i="38"/>
  <c r="B393" i="38" s="1"/>
  <c r="B8" i="38"/>
  <c r="C92" i="38"/>
  <c r="C86" i="38"/>
  <c r="J402" i="38" s="1"/>
  <c r="C93" i="38"/>
  <c r="D85" i="38"/>
  <c r="B29" i="37"/>
  <c r="B99" i="38"/>
  <c r="B415" i="38" s="1"/>
  <c r="C415" i="38" s="1"/>
  <c r="D415" i="38" s="1"/>
  <c r="E415" i="38" s="1"/>
  <c r="F415" i="38" s="1"/>
  <c r="G415" i="38" s="1"/>
  <c r="H415" i="38" s="1"/>
  <c r="I415" i="38" s="1"/>
  <c r="C311" i="38"/>
  <c r="B1977" i="3"/>
  <c r="C1978" i="3" s="1"/>
  <c r="C1979" i="3" s="1"/>
  <c r="B14" i="37"/>
  <c r="G20" i="37"/>
  <c r="B1984" i="3"/>
  <c r="B2056" i="3"/>
  <c r="B1970" i="3"/>
  <c r="EQ158" i="2"/>
  <c r="EQ163" i="2" s="1"/>
  <c r="D1515" i="3" s="1"/>
  <c r="ES159" i="2"/>
  <c r="EQ147" i="2"/>
  <c r="ES148" i="2"/>
  <c r="F136" i="11"/>
  <c r="G90" i="11"/>
  <c r="G132" i="11" s="1"/>
  <c r="G142" i="11" s="1"/>
  <c r="G100" i="11"/>
  <c r="G61" i="11"/>
  <c r="H60" i="11"/>
  <c r="H100" i="11" s="1"/>
  <c r="F137" i="11"/>
  <c r="F138" i="11" s="1"/>
  <c r="H74" i="11"/>
  <c r="H71" i="11"/>
  <c r="ES421" i="2"/>
  <c r="EX417" i="2"/>
  <c r="ET263" i="10"/>
  <c r="F91" i="11"/>
  <c r="F92" i="11" s="1"/>
  <c r="F93" i="11" s="1"/>
  <c r="G73" i="11"/>
  <c r="H101" i="11"/>
  <c r="H143" i="11" s="1"/>
  <c r="H79" i="11"/>
  <c r="H78" i="11" s="1"/>
  <c r="H133" i="11" s="1"/>
  <c r="H70" i="11"/>
  <c r="B2669" i="3"/>
  <c r="B2679" i="3" s="1"/>
  <c r="ET394" i="10"/>
  <c r="M174" i="11"/>
  <c r="L195" i="11"/>
  <c r="ES396" i="10"/>
  <c r="EX268" i="2"/>
  <c r="M196" i="11"/>
  <c r="N175" i="11"/>
  <c r="EQ46" i="2"/>
  <c r="EQ13" i="4"/>
  <c r="EQ15" i="4" s="1"/>
  <c r="EQ43" i="2"/>
  <c r="EQ10" i="4"/>
  <c r="EQ12" i="4" s="1"/>
  <c r="EQ72" i="2"/>
  <c r="EQ357" i="2" s="1"/>
  <c r="EQ10" i="32"/>
  <c r="EP32" i="2"/>
  <c r="EP14" i="2"/>
  <c r="B2823" i="3"/>
  <c r="B2819" i="3"/>
  <c r="B2821" i="3" s="1"/>
  <c r="C2922" i="3"/>
  <c r="B2658" i="3"/>
  <c r="P29" i="30"/>
  <c r="Q29" i="30"/>
  <c r="EP131" i="10"/>
  <c r="FF99" i="2"/>
  <c r="ER403" i="10"/>
  <c r="ES422" i="2"/>
  <c r="ES408" i="10"/>
  <c r="C2937" i="3"/>
  <c r="C2939" i="3" s="1"/>
  <c r="ES263" i="10"/>
  <c r="ES307" i="2"/>
  <c r="ES403" i="10" s="1"/>
  <c r="ES288" i="2"/>
  <c r="ES284" i="2"/>
  <c r="ES319" i="2"/>
  <c r="ER173" i="10"/>
  <c r="ES397" i="2"/>
  <c r="ES137" i="2"/>
  <c r="ES142" i="2" s="1"/>
  <c r="EQ373" i="10"/>
  <c r="ER401" i="10"/>
  <c r="ES273" i="2"/>
  <c r="ES401" i="10" s="1"/>
  <c r="ES306" i="2"/>
  <c r="ES397" i="10"/>
  <c r="ES310" i="2"/>
  <c r="ES490" i="2"/>
  <c r="ES491" i="2" s="1"/>
  <c r="ES541" i="2"/>
  <c r="ES295" i="2"/>
  <c r="ES299" i="2"/>
  <c r="ES425" i="2" s="1"/>
  <c r="ES120" i="2"/>
  <c r="B1794" i="3" s="1"/>
  <c r="ES208" i="10"/>
  <c r="ES346" i="10"/>
  <c r="ES116" i="2"/>
  <c r="E218" i="11"/>
  <c r="EK109" i="18"/>
  <c r="F4851" i="3"/>
  <c r="ES272" i="2"/>
  <c r="ES276" i="2"/>
  <c r="ES395" i="10"/>
  <c r="ES600" i="2"/>
  <c r="ER188" i="10"/>
  <c r="ER352" i="10"/>
  <c r="ES117" i="2"/>
  <c r="C2912" i="3" s="1"/>
  <c r="ES341" i="2"/>
  <c r="ER424" i="10"/>
  <c r="EQ355" i="10"/>
  <c r="EQ187" i="10"/>
  <c r="EQ423" i="10"/>
  <c r="EQ10" i="2"/>
  <c r="ES125" i="2"/>
  <c r="ES130" i="2" s="1"/>
  <c r="EQ376" i="10"/>
  <c r="ES315" i="2"/>
  <c r="ES285" i="2"/>
  <c r="ES402" i="10" s="1"/>
  <c r="ER402" i="10"/>
  <c r="ES453" i="2"/>
  <c r="ER40" i="2"/>
  <c r="ER9" i="4" s="1"/>
  <c r="ER541" i="2"/>
  <c r="ES296" i="2"/>
  <c r="ES399" i="2"/>
  <c r="ES431" i="2"/>
  <c r="ET428" i="2" s="1"/>
  <c r="ET430" i="2" s="1"/>
  <c r="EV74" i="2" l="1"/>
  <c r="EV75" i="2" s="1"/>
  <c r="EW270" i="2"/>
  <c r="EW407" i="2" s="1"/>
  <c r="EW412" i="2" s="1"/>
  <c r="EW406" i="2"/>
  <c r="EW275" i="2"/>
  <c r="EW282" i="2"/>
  <c r="EW320" i="2"/>
  <c r="EW76" i="2"/>
  <c r="EW74" i="2"/>
  <c r="EW75" i="2" s="1"/>
  <c r="EU77" i="2"/>
  <c r="EZ76" i="2"/>
  <c r="EV77" i="2"/>
  <c r="FA76" i="2"/>
  <c r="EV406" i="2"/>
  <c r="EV411" i="2" s="1"/>
  <c r="C1900" i="3"/>
  <c r="C1906" i="3" s="1"/>
  <c r="D1906" i="3" s="1"/>
  <c r="D1908" i="3" s="1"/>
  <c r="C279" i="6"/>
  <c r="B280" i="6" s="1"/>
  <c r="B1879" i="3"/>
  <c r="B1881" i="3" s="1"/>
  <c r="B1885" i="3" s="1"/>
  <c r="B1886" i="3" s="1"/>
  <c r="D355" i="38"/>
  <c r="EV275" i="2"/>
  <c r="EV282" i="2"/>
  <c r="EV407" i="2"/>
  <c r="EV412" i="2" s="1"/>
  <c r="D147" i="38"/>
  <c r="D256" i="38"/>
  <c r="B261" i="41"/>
  <c r="B264" i="41" s="1"/>
  <c r="E476" i="38"/>
  <c r="J1100" i="3"/>
  <c r="J1102" i="3" s="1"/>
  <c r="J1110" i="3" s="1"/>
  <c r="J1111" i="3" s="1"/>
  <c r="J1117" i="3" s="1"/>
  <c r="J1123" i="3" s="1"/>
  <c r="EP8" i="32"/>
  <c r="C1320" i="3"/>
  <c r="B1560" i="3"/>
  <c r="EU411" i="2"/>
  <c r="EU275" i="2"/>
  <c r="EU282" i="2"/>
  <c r="EU407" i="2"/>
  <c r="EU412" i="2" s="1"/>
  <c r="EP15" i="2"/>
  <c r="B2208" i="3"/>
  <c r="B2209" i="3" s="1"/>
  <c r="EP570" i="2"/>
  <c r="EP575" i="2"/>
  <c r="B1333" i="3"/>
  <c r="B1353" i="3" s="1"/>
  <c r="B1354" i="3" s="1"/>
  <c r="B1554" i="3"/>
  <c r="P1347" i="3"/>
  <c r="O1350" i="3"/>
  <c r="B86" i="38"/>
  <c r="B402" i="38" s="1"/>
  <c r="B83" i="38"/>
  <c r="B399" i="38" s="1"/>
  <c r="C399" i="38" s="1"/>
  <c r="D399" i="38" s="1"/>
  <c r="B400" i="38"/>
  <c r="ET316" i="2"/>
  <c r="ET291" i="2"/>
  <c r="ET317" i="2" s="1"/>
  <c r="ET263" i="2"/>
  <c r="ET180" i="2"/>
  <c r="F1290" i="3" s="1"/>
  <c r="ET114" i="2"/>
  <c r="ET282" i="2"/>
  <c r="ET429" i="2"/>
  <c r="ET318" i="2"/>
  <c r="ET341" i="2" s="1"/>
  <c r="ET304" i="2"/>
  <c r="ET303" i="2" s="1"/>
  <c r="ET308" i="2" s="1"/>
  <c r="EY308" i="2" s="1"/>
  <c r="ET394" i="2"/>
  <c r="ET399" i="2"/>
  <c r="ET345" i="2"/>
  <c r="ET339" i="2"/>
  <c r="D190" i="39"/>
  <c r="E92" i="38"/>
  <c r="F92" i="38" s="1"/>
  <c r="F76" i="38"/>
  <c r="D159" i="38"/>
  <c r="D366" i="38"/>
  <c r="D289" i="38"/>
  <c r="D261" i="38"/>
  <c r="D259" i="38" s="1"/>
  <c r="D210" i="38"/>
  <c r="D182" i="38"/>
  <c r="C190" i="38"/>
  <c r="C198" i="38" s="1"/>
  <c r="F194" i="38"/>
  <c r="D268" i="38"/>
  <c r="B276" i="38"/>
  <c r="B35" i="39" s="1"/>
  <c r="B36" i="39" s="1"/>
  <c r="D189" i="38"/>
  <c r="B10" i="38"/>
  <c r="D418" i="38"/>
  <c r="C197" i="38"/>
  <c r="C199" i="38" s="1"/>
  <c r="C95" i="38"/>
  <c r="J411" i="38" s="1"/>
  <c r="J409" i="38"/>
  <c r="F418" i="38"/>
  <c r="H403" i="38"/>
  <c r="G401" i="38"/>
  <c r="G418" i="38" s="1"/>
  <c r="C105" i="39"/>
  <c r="J408" i="38"/>
  <c r="J470" i="38"/>
  <c r="G477" i="38"/>
  <c r="F476" i="38"/>
  <c r="C418" i="38"/>
  <c r="G406" i="38"/>
  <c r="F390" i="38"/>
  <c r="D1978" i="3"/>
  <c r="D196" i="38"/>
  <c r="D330" i="38"/>
  <c r="D332" i="38" s="1"/>
  <c r="G332" i="38" s="1"/>
  <c r="F286" i="38"/>
  <c r="C314" i="38"/>
  <c r="E311" i="38"/>
  <c r="B23" i="37"/>
  <c r="B25" i="37" s="1"/>
  <c r="E78" i="38"/>
  <c r="E94" i="38" s="1"/>
  <c r="E96" i="38" s="1"/>
  <c r="E152" i="38"/>
  <c r="E93" i="38"/>
  <c r="E95" i="38" s="1"/>
  <c r="E148" i="38"/>
  <c r="E106" i="38"/>
  <c r="F106" i="38" s="1"/>
  <c r="D302" i="38"/>
  <c r="D288" i="38"/>
  <c r="D1977" i="3"/>
  <c r="C1980" i="3"/>
  <c r="B9" i="38"/>
  <c r="B11" i="38" s="1"/>
  <c r="B273" i="38"/>
  <c r="B274" i="38"/>
  <c r="F183" i="38"/>
  <c r="B1976" i="3"/>
  <c r="B1979" i="3"/>
  <c r="B1981" i="3" s="1"/>
  <c r="C94" i="38"/>
  <c r="B203" i="38"/>
  <c r="C203" i="38" s="1"/>
  <c r="C99" i="38"/>
  <c r="C91" i="38"/>
  <c r="J407" i="38" s="1"/>
  <c r="D77" i="38"/>
  <c r="B79" i="38"/>
  <c r="B395" i="38" s="1"/>
  <c r="B93" i="38"/>
  <c r="EX112" i="2"/>
  <c r="B388" i="3" s="1"/>
  <c r="B2053" i="3"/>
  <c r="C2054" i="3" s="1"/>
  <c r="C2056" i="3" s="1"/>
  <c r="B197" i="38"/>
  <c r="B199" i="38" s="1"/>
  <c r="B190" i="38"/>
  <c r="B192" i="38" s="1"/>
  <c r="C192" i="38" s="1"/>
  <c r="H20" i="37"/>
  <c r="B16" i="37"/>
  <c r="B13" i="37"/>
  <c r="B2046" i="3"/>
  <c r="D1970" i="3"/>
  <c r="B1972" i="3"/>
  <c r="B2060" i="3"/>
  <c r="C2060" i="3" s="1"/>
  <c r="C1984" i="3"/>
  <c r="C1987" i="3" s="1"/>
  <c r="C1981" i="3"/>
  <c r="ES158" i="2"/>
  <c r="ES163" i="2" s="1"/>
  <c r="EQ152" i="2"/>
  <c r="D1514" i="3" s="1"/>
  <c r="ES147" i="2"/>
  <c r="ES152" i="2" s="1"/>
  <c r="B2674" i="3"/>
  <c r="B2684" i="3" s="1"/>
  <c r="EQ50" i="2"/>
  <c r="EQ51" i="2"/>
  <c r="G134" i="11"/>
  <c r="G135" i="11" s="1"/>
  <c r="G128" i="11" s="1"/>
  <c r="G129" i="11" s="1"/>
  <c r="G137" i="11" s="1"/>
  <c r="H62" i="11"/>
  <c r="H90" i="11"/>
  <c r="H132" i="11" s="1"/>
  <c r="H142" i="11" s="1"/>
  <c r="H61" i="11"/>
  <c r="F144" i="11"/>
  <c r="F145" i="11" s="1"/>
  <c r="N196" i="11"/>
  <c r="O175" i="11"/>
  <c r="ET189" i="10"/>
  <c r="ET400" i="10"/>
  <c r="EX280" i="2"/>
  <c r="G91" i="11"/>
  <c r="G92" i="11" s="1"/>
  <c r="H73" i="11"/>
  <c r="H91" i="11" s="1"/>
  <c r="F5714" i="3"/>
  <c r="EX302" i="2"/>
  <c r="F94" i="11"/>
  <c r="F86" i="11"/>
  <c r="EU263" i="10"/>
  <c r="N174" i="11"/>
  <c r="M195" i="11"/>
  <c r="EQ16" i="4"/>
  <c r="EQ18" i="4" s="1"/>
  <c r="EQ47" i="2"/>
  <c r="EQ49" i="2" s="1"/>
  <c r="EQ52" i="2" s="1"/>
  <c r="EQ355" i="2"/>
  <c r="EQ358" i="2"/>
  <c r="EQ73" i="2"/>
  <c r="EQ219" i="2"/>
  <c r="EQ14" i="2"/>
  <c r="EQ32" i="2"/>
  <c r="EQ141" i="10"/>
  <c r="ER426" i="10"/>
  <c r="B2660" i="3"/>
  <c r="B2663" i="3"/>
  <c r="FG99" i="2"/>
  <c r="C2914" i="3"/>
  <c r="C2923" i="3"/>
  <c r="C2924" i="3" s="1"/>
  <c r="C2919" i="3"/>
  <c r="ES343" i="2"/>
  <c r="B120" i="38" s="1"/>
  <c r="B435" i="38" s="1"/>
  <c r="FC184" i="10"/>
  <c r="ER348" i="10"/>
  <c r="ES138" i="2"/>
  <c r="ES424" i="10"/>
  <c r="ES329" i="2"/>
  <c r="ES349" i="2"/>
  <c r="ES602" i="2"/>
  <c r="ER347" i="10"/>
  <c r="ES126" i="2"/>
  <c r="ET123" i="2" s="1"/>
  <c r="E224" i="11"/>
  <c r="F4857" i="3"/>
  <c r="ES451" i="2"/>
  <c r="ER432" i="10"/>
  <c r="ES367" i="2"/>
  <c r="EK149" i="18"/>
  <c r="EL106" i="18"/>
  <c r="EL108" i="18" s="1"/>
  <c r="EK114" i="18"/>
  <c r="EK107" i="18"/>
  <c r="EK112" i="18" s="1"/>
  <c r="EK150" i="18"/>
  <c r="EK110" i="18"/>
  <c r="E22" i="24"/>
  <c r="EK111" i="18"/>
  <c r="EK137" i="18"/>
  <c r="ES402" i="2"/>
  <c r="ES173" i="10"/>
  <c r="ES398" i="2"/>
  <c r="ES599" i="2"/>
  <c r="ER421" i="10"/>
  <c r="ES338" i="2"/>
  <c r="ES407" i="2"/>
  <c r="ES412" i="2" s="1"/>
  <c r="ES170" i="2"/>
  <c r="ES175" i="2" s="1"/>
  <c r="ES153" i="2" s="1"/>
  <c r="ES164" i="2" s="1"/>
  <c r="ER374" i="10"/>
  <c r="ES201" i="2"/>
  <c r="C324" i="38" s="1"/>
  <c r="ES441" i="2"/>
  <c r="ES446" i="2" s="1"/>
  <c r="ER264" i="10"/>
  <c r="ES396" i="2"/>
  <c r="ES401" i="2" s="1"/>
  <c r="ES317" i="2"/>
  <c r="ER372" i="10"/>
  <c r="ES199" i="2"/>
  <c r="ES352" i="10"/>
  <c r="ES188" i="10"/>
  <c r="F3276" i="3"/>
  <c r="G3276" i="3" s="1"/>
  <c r="H3276" i="3" s="1"/>
  <c r="I3276" i="3" s="1"/>
  <c r="ES432" i="2"/>
  <c r="ES436" i="2"/>
  <c r="ES561" i="2"/>
  <c r="B1943" i="3" s="1"/>
  <c r="EQ378" i="10"/>
  <c r="EQ427" i="10"/>
  <c r="EQ384" i="10"/>
  <c r="EQ375" i="10"/>
  <c r="EQ9" i="2"/>
  <c r="ES461" i="2"/>
  <c r="ES471" i="2" s="1"/>
  <c r="EW77" i="2" l="1"/>
  <c r="FB76" i="2"/>
  <c r="EW411" i="2"/>
  <c r="EW408" i="2"/>
  <c r="EW419" i="2"/>
  <c r="EW287" i="2"/>
  <c r="FB287" i="2" s="1"/>
  <c r="EW281" i="2"/>
  <c r="EW293" i="2"/>
  <c r="EW298" i="2" s="1"/>
  <c r="EW424" i="2" s="1"/>
  <c r="C1908" i="3"/>
  <c r="D1900" i="3"/>
  <c r="C1419" i="3"/>
  <c r="B1420" i="3" s="1"/>
  <c r="EV287" i="2"/>
  <c r="FA287" i="2" s="1"/>
  <c r="EV281" i="2"/>
  <c r="EV419" i="2"/>
  <c r="EV293" i="2"/>
  <c r="EV298" i="2" s="1"/>
  <c r="EV424" i="2" s="1"/>
  <c r="EV408" i="2"/>
  <c r="J1125" i="3"/>
  <c r="J1133" i="3"/>
  <c r="J1135" i="3" s="1"/>
  <c r="B2220" i="3"/>
  <c r="B2222" i="3" s="1"/>
  <c r="B2225" i="3" s="1"/>
  <c r="B2226" i="3" s="1"/>
  <c r="B2228" i="3" s="1"/>
  <c r="EU408" i="2"/>
  <c r="EU281" i="2"/>
  <c r="EU287" i="2"/>
  <c r="EZ287" i="2" s="1"/>
  <c r="EU419" i="2"/>
  <c r="EU293" i="2"/>
  <c r="EU298" i="2" s="1"/>
  <c r="EU424" i="2" s="1"/>
  <c r="F1292" i="3"/>
  <c r="D1297" i="3" s="1"/>
  <c r="D1295" i="3"/>
  <c r="D1299" i="3" s="1"/>
  <c r="ET451" i="2"/>
  <c r="EU401" i="2"/>
  <c r="P1350" i="3"/>
  <c r="B88" i="38"/>
  <c r="B404" i="38" s="1"/>
  <c r="D86" i="38"/>
  <c r="EX291" i="2"/>
  <c r="B1355" i="3"/>
  <c r="B1397" i="3"/>
  <c r="B1400" i="3" s="1"/>
  <c r="B1402" i="3" s="1"/>
  <c r="Q1347" i="3"/>
  <c r="B1557" i="3"/>
  <c r="C400" i="38"/>
  <c r="C402" i="38" s="1"/>
  <c r="C404" i="38" s="1"/>
  <c r="ET434" i="2"/>
  <c r="ET125" i="2"/>
  <c r="ET181" i="2"/>
  <c r="ET200" i="2" s="1"/>
  <c r="ET405" i="2"/>
  <c r="ET199" i="2"/>
  <c r="ET488" i="2"/>
  <c r="ET489" i="2" s="1"/>
  <c r="ET192" i="2"/>
  <c r="ET113" i="2"/>
  <c r="ET396" i="2"/>
  <c r="ET401" i="2" s="1"/>
  <c r="EX394" i="2"/>
  <c r="ET349" i="2"/>
  <c r="ET342" i="2"/>
  <c r="EY342" i="2" s="1"/>
  <c r="EY425" i="10" s="1"/>
  <c r="ET135" i="2"/>
  <c r="ET140" i="2"/>
  <c r="ET347" i="2"/>
  <c r="ET327" i="2"/>
  <c r="EY327" i="2" s="1"/>
  <c r="EY412" i="10" s="1"/>
  <c r="ET281" i="2"/>
  <c r="ET287" i="2"/>
  <c r="EY287" i="2" s="1"/>
  <c r="ET419" i="2"/>
  <c r="ET293" i="2"/>
  <c r="ET298" i="2" s="1"/>
  <c r="ET424" i="2" s="1"/>
  <c r="ET453" i="2"/>
  <c r="ET319" i="2"/>
  <c r="B313" i="39"/>
  <c r="D313" i="39" s="1"/>
  <c r="E190" i="39"/>
  <c r="E91" i="38"/>
  <c r="G302" i="38"/>
  <c r="G286" i="38" s="1"/>
  <c r="G356" i="38" s="1"/>
  <c r="G355" i="38" s="1"/>
  <c r="E104" i="39"/>
  <c r="F104" i="39" s="1"/>
  <c r="F288" i="38"/>
  <c r="C51" i="39"/>
  <c r="D191" i="38"/>
  <c r="F191" i="38" s="1"/>
  <c r="F189" i="38" s="1"/>
  <c r="F190" i="38" s="1"/>
  <c r="F192" i="38" s="1"/>
  <c r="J415" i="38"/>
  <c r="D195" i="38"/>
  <c r="F178" i="38"/>
  <c r="F267" i="38" s="1"/>
  <c r="F268" i="38" s="1"/>
  <c r="F248" i="38"/>
  <c r="G248" i="38" s="1"/>
  <c r="B278" i="38"/>
  <c r="B279" i="38"/>
  <c r="B277" i="38"/>
  <c r="C200" i="38"/>
  <c r="D197" i="38"/>
  <c r="D199" i="38" s="1"/>
  <c r="D190" i="38"/>
  <c r="D192" i="38" s="1"/>
  <c r="D367" i="38"/>
  <c r="C395" i="38"/>
  <c r="D395" i="38" s="1"/>
  <c r="C96" i="38"/>
  <c r="J412" i="38" s="1"/>
  <c r="J410" i="38"/>
  <c r="H406" i="38"/>
  <c r="G390" i="38"/>
  <c r="B95" i="38"/>
  <c r="B411" i="38" s="1"/>
  <c r="B409" i="38"/>
  <c r="I403" i="38"/>
  <c r="I401" i="38" s="1"/>
  <c r="I418" i="38" s="1"/>
  <c r="H401" i="38"/>
  <c r="H418" i="38" s="1"/>
  <c r="H477" i="38"/>
  <c r="G476" i="38"/>
  <c r="E399" i="38"/>
  <c r="D400" i="38"/>
  <c r="D402" i="38" s="1"/>
  <c r="D404" i="38" s="1"/>
  <c r="J468" i="38"/>
  <c r="F105" i="39"/>
  <c r="G362" i="38"/>
  <c r="D360" i="38"/>
  <c r="D358" i="38" s="1"/>
  <c r="F289" i="38"/>
  <c r="C206" i="38"/>
  <c r="D203" i="38"/>
  <c r="B325" i="39" s="1"/>
  <c r="D325" i="39" s="1"/>
  <c r="E151" i="38"/>
  <c r="E150" i="38" s="1"/>
  <c r="E147" i="38"/>
  <c r="C102" i="38"/>
  <c r="E99" i="38"/>
  <c r="E107" i="39"/>
  <c r="D362" i="38"/>
  <c r="D363" i="38" s="1"/>
  <c r="D304" i="38"/>
  <c r="D324" i="38" s="1"/>
  <c r="G324" i="38" s="1"/>
  <c r="E105" i="39"/>
  <c r="D290" i="38"/>
  <c r="D305" i="38"/>
  <c r="D307" i="38" s="1"/>
  <c r="B206" i="38"/>
  <c r="D1979" i="3"/>
  <c r="C2063" i="3"/>
  <c r="D2063" i="3" s="1"/>
  <c r="B2055" i="3"/>
  <c r="B2057" i="3" s="1"/>
  <c r="D2053" i="3"/>
  <c r="B106" i="38"/>
  <c r="B421" i="38" s="1"/>
  <c r="C317" i="38"/>
  <c r="B2052" i="3"/>
  <c r="C2055" i="3"/>
  <c r="D2054" i="3"/>
  <c r="D93" i="38"/>
  <c r="B33" i="37"/>
  <c r="B35" i="37" s="1"/>
  <c r="B101" i="38"/>
  <c r="B198" i="38"/>
  <c r="B200" i="38" s="1"/>
  <c r="B2010" i="3"/>
  <c r="B2007" i="3" s="1"/>
  <c r="B2011" i="3" s="1"/>
  <c r="C2011" i="3" s="1"/>
  <c r="C2007" i="3" s="1"/>
  <c r="B61" i="37"/>
  <c r="B18" i="37"/>
  <c r="I20" i="37"/>
  <c r="B1990" i="3"/>
  <c r="B2066" i="3" s="1"/>
  <c r="B37" i="37"/>
  <c r="B38" i="37" s="1"/>
  <c r="EW374" i="10"/>
  <c r="D1987" i="3"/>
  <c r="N28" i="30"/>
  <c r="Q28" i="30" s="1"/>
  <c r="B1986" i="3"/>
  <c r="D2046" i="3"/>
  <c r="B2048" i="3"/>
  <c r="B1945" i="3"/>
  <c r="C1943" i="3"/>
  <c r="ER42" i="2"/>
  <c r="ER11" i="4" s="1"/>
  <c r="ES11" i="4" s="1"/>
  <c r="B2711" i="3"/>
  <c r="G136" i="11"/>
  <c r="EQ48" i="4"/>
  <c r="H92" i="11"/>
  <c r="H93" i="11" s="1"/>
  <c r="H94" i="11" s="1"/>
  <c r="H134" i="11"/>
  <c r="EX428" i="2"/>
  <c r="G130" i="11"/>
  <c r="H127" i="11" s="1"/>
  <c r="ES132" i="2"/>
  <c r="B2668" i="3"/>
  <c r="B2673" i="3" s="1"/>
  <c r="B2675" i="3" s="1"/>
  <c r="N195" i="11"/>
  <c r="O174" i="11"/>
  <c r="F87" i="11"/>
  <c r="F95" i="11" s="1"/>
  <c r="G93" i="11"/>
  <c r="G94" i="11" s="1"/>
  <c r="EQ19" i="4"/>
  <c r="P175" i="11"/>
  <c r="P196" i="11" s="1"/>
  <c r="O196" i="11"/>
  <c r="G138" i="11"/>
  <c r="G144" i="11"/>
  <c r="G145" i="11" s="1"/>
  <c r="EV263" i="10"/>
  <c r="EW263" i="10"/>
  <c r="EQ356" i="2"/>
  <c r="EQ372" i="2"/>
  <c r="EQ220" i="2"/>
  <c r="EQ217" i="2"/>
  <c r="EQ31" i="2"/>
  <c r="EQ13" i="2"/>
  <c r="EQ12" i="2"/>
  <c r="ES559" i="2"/>
  <c r="ER10" i="32"/>
  <c r="B2665" i="3"/>
  <c r="FH99" i="2"/>
  <c r="ES426" i="10"/>
  <c r="ES351" i="2"/>
  <c r="FD100" i="2"/>
  <c r="EQ127" i="10"/>
  <c r="ES209" i="2"/>
  <c r="ES374" i="10"/>
  <c r="ES190" i="2"/>
  <c r="ES9" i="4"/>
  <c r="ES40" i="2"/>
  <c r="EQ379" i="10"/>
  <c r="EQ545" i="2"/>
  <c r="ES143" i="2"/>
  <c r="ES348" i="10"/>
  <c r="ES139" i="2"/>
  <c r="ER422" i="10"/>
  <c r="ES339" i="2"/>
  <c r="EQ128" i="10"/>
  <c r="EK32" i="18"/>
  <c r="EK151" i="18"/>
  <c r="EK153" i="18"/>
  <c r="ES264" i="10"/>
  <c r="EP102" i="10"/>
  <c r="EP1026" i="10" s="1"/>
  <c r="ER353" i="10"/>
  <c r="ES128" i="2"/>
  <c r="ES353" i="10" s="1"/>
  <c r="ES414" i="10"/>
  <c r="ES330" i="2"/>
  <c r="ER349" i="10"/>
  <c r="ES171" i="2"/>
  <c r="ER190" i="10"/>
  <c r="ES433" i="2"/>
  <c r="ES190" i="10" s="1"/>
  <c r="ES346" i="2"/>
  <c r="ES325" i="2"/>
  <c r="ES410" i="10" s="1"/>
  <c r="ES421" i="10"/>
  <c r="E30" i="24"/>
  <c r="E31" i="24" s="1"/>
  <c r="E27" i="24"/>
  <c r="E28" i="24" s="1"/>
  <c r="E23" i="24"/>
  <c r="E24" i="24"/>
  <c r="ES442" i="2"/>
  <c r="ET444" i="2" s="1"/>
  <c r="ES444" i="2"/>
  <c r="ES429" i="2"/>
  <c r="ES432" i="10"/>
  <c r="ES369" i="2"/>
  <c r="ET369" i="2" s="1"/>
  <c r="ES368" i="2"/>
  <c r="ES127" i="2"/>
  <c r="ES347" i="10"/>
  <c r="ES131" i="2"/>
  <c r="ER44" i="2"/>
  <c r="ES182" i="2"/>
  <c r="ES183" i="2" s="1"/>
  <c r="ES320" i="2" s="1"/>
  <c r="ES408" i="2"/>
  <c r="EK154" i="18"/>
  <c r="EK33" i="18"/>
  <c r="E6" i="24" s="1"/>
  <c r="ES207" i="2"/>
  <c r="ES372" i="10"/>
  <c r="ER41" i="2"/>
  <c r="ES181" i="2"/>
  <c r="ER354" i="10"/>
  <c r="ES140" i="2"/>
  <c r="EW413" i="2" l="1"/>
  <c r="EW409" i="2"/>
  <c r="EW410" i="2"/>
  <c r="EW414" i="2"/>
  <c r="EW452" i="2"/>
  <c r="EW485" i="2" s="1"/>
  <c r="EW486" i="2" s="1"/>
  <c r="EW418" i="2"/>
  <c r="EW286" i="2"/>
  <c r="FB286" i="2" s="1"/>
  <c r="EW292" i="2"/>
  <c r="EW297" i="2" s="1"/>
  <c r="EW423" i="2" s="1"/>
  <c r="EU369" i="2"/>
  <c r="EU370" i="2" s="1"/>
  <c r="EV413" i="2"/>
  <c r="EV409" i="2"/>
  <c r="EV410" i="2"/>
  <c r="EV414" i="2"/>
  <c r="EV452" i="2"/>
  <c r="EV485" i="2" s="1"/>
  <c r="EV486" i="2" s="1"/>
  <c r="EV418" i="2"/>
  <c r="EV286" i="2"/>
  <c r="FA286" i="2" s="1"/>
  <c r="EV292" i="2"/>
  <c r="EV297" i="2" s="1"/>
  <c r="EV423" i="2" s="1"/>
  <c r="EU413" i="2"/>
  <c r="EU452" i="2"/>
  <c r="EU485" i="2" s="1"/>
  <c r="EU486" i="2" s="1"/>
  <c r="EU409" i="2"/>
  <c r="EU414" i="2"/>
  <c r="B1311" i="3"/>
  <c r="B1313" i="3" s="1"/>
  <c r="J1158" i="3"/>
  <c r="J1168" i="3" s="1"/>
  <c r="D1320" i="3"/>
  <c r="ET573" i="2"/>
  <c r="D1296" i="3"/>
  <c r="D1300" i="3" s="1"/>
  <c r="D1304" i="3" s="1"/>
  <c r="D1301" i="3"/>
  <c r="EU286" i="2"/>
  <c r="EZ286" i="2" s="1"/>
  <c r="EU418" i="2"/>
  <c r="EU292" i="2"/>
  <c r="EU297" i="2" s="1"/>
  <c r="EU423" i="2" s="1"/>
  <c r="B1563" i="3"/>
  <c r="C1555" i="3"/>
  <c r="C1554" i="3" s="1"/>
  <c r="B1571" i="3"/>
  <c r="B1572" i="3" s="1"/>
  <c r="B1573" i="3" s="1"/>
  <c r="B1574" i="3" s="1"/>
  <c r="ET193" i="2"/>
  <c r="B2008" i="3"/>
  <c r="C2008" i="3" s="1"/>
  <c r="R1347" i="3"/>
  <c r="B1386" i="3"/>
  <c r="B1388" i="3" s="1"/>
  <c r="Q1350" i="3"/>
  <c r="C1502" i="3"/>
  <c r="E1502" i="3" s="1"/>
  <c r="F1545" i="3"/>
  <c r="ET350" i="2"/>
  <c r="ET425" i="10"/>
  <c r="ET418" i="2"/>
  <c r="ET420" i="2" s="1"/>
  <c r="EU417" i="2" s="1"/>
  <c r="ET286" i="2"/>
  <c r="EY286" i="2" s="1"/>
  <c r="ET292" i="2"/>
  <c r="ET297" i="2" s="1"/>
  <c r="ET423" i="2" s="1"/>
  <c r="ET207" i="2"/>
  <c r="ET461" i="2"/>
  <c r="ET201" i="2"/>
  <c r="B76" i="38"/>
  <c r="B129" i="38" s="1"/>
  <c r="ET173" i="2"/>
  <c r="B1524" i="3" s="1"/>
  <c r="B1526" i="3" s="1"/>
  <c r="ET328" i="2"/>
  <c r="ET412" i="10"/>
  <c r="ET370" i="2"/>
  <c r="ET367" i="2"/>
  <c r="ET368" i="2" s="1"/>
  <c r="ET561" i="2"/>
  <c r="ET118" i="2"/>
  <c r="EY118" i="2" s="1"/>
  <c r="ET395" i="2"/>
  <c r="ET400" i="2" s="1"/>
  <c r="ET208" i="2"/>
  <c r="ET462" i="2"/>
  <c r="ET472" i="2" s="1"/>
  <c r="ET182" i="2"/>
  <c r="ET439" i="2"/>
  <c r="ET454" i="2" s="1"/>
  <c r="ET455" i="2" s="1"/>
  <c r="ET137" i="2"/>
  <c r="ET168" i="2"/>
  <c r="EX168" i="2" s="1"/>
  <c r="ET130" i="2"/>
  <c r="EY130" i="2" s="1"/>
  <c r="ET407" i="2"/>
  <c r="ET412" i="2" s="1"/>
  <c r="B323" i="39"/>
  <c r="D323" i="39" s="1"/>
  <c r="G363" i="38"/>
  <c r="G288" i="38"/>
  <c r="G304" i="38" s="1"/>
  <c r="G330" i="38"/>
  <c r="G331" i="38" s="1"/>
  <c r="G289" i="38"/>
  <c r="G360" i="38" s="1"/>
  <c r="G366" i="38"/>
  <c r="G367" i="38" s="1"/>
  <c r="F203" i="38"/>
  <c r="F206" i="38" s="1"/>
  <c r="E102" i="38"/>
  <c r="F102" i="38" s="1"/>
  <c r="F99" i="38"/>
  <c r="F180" i="38"/>
  <c r="F210" i="38" s="1"/>
  <c r="F181" i="38"/>
  <c r="F257" i="38"/>
  <c r="F256" i="38" s="1"/>
  <c r="F290" i="38"/>
  <c r="D292" i="38"/>
  <c r="D198" i="38"/>
  <c r="D200" i="38" s="1"/>
  <c r="E317" i="38"/>
  <c r="C318" i="38"/>
  <c r="D318" i="38" s="1"/>
  <c r="G318" i="38" s="1"/>
  <c r="D303" i="38"/>
  <c r="D343" i="38"/>
  <c r="D346" i="38" s="1"/>
  <c r="C393" i="38"/>
  <c r="C409" i="38" s="1"/>
  <c r="C411" i="38" s="1"/>
  <c r="E395" i="38"/>
  <c r="D393" i="38"/>
  <c r="G466" i="38"/>
  <c r="B103" i="38"/>
  <c r="B417" i="38"/>
  <c r="F399" i="38"/>
  <c r="I406" i="38"/>
  <c r="I390" i="38" s="1"/>
  <c r="H390" i="38"/>
  <c r="D102" i="38"/>
  <c r="J418" i="38"/>
  <c r="K418" i="38" s="1"/>
  <c r="I477" i="38"/>
  <c r="H476" i="38"/>
  <c r="G359" i="38"/>
  <c r="D306" i="38"/>
  <c r="D308" i="38" s="1"/>
  <c r="D206" i="38"/>
  <c r="D311" i="38"/>
  <c r="B107" i="38"/>
  <c r="B422" i="38" s="1"/>
  <c r="C422" i="38" s="1"/>
  <c r="D106" i="38"/>
  <c r="B2086" i="3"/>
  <c r="B2084" i="3" s="1"/>
  <c r="C2084" i="3" s="1"/>
  <c r="D2055" i="3"/>
  <c r="B2764" i="3"/>
  <c r="B150" i="38"/>
  <c r="B468" i="38" s="1"/>
  <c r="B98" i="38"/>
  <c r="C310" i="38"/>
  <c r="C2057" i="3"/>
  <c r="B58" i="37"/>
  <c r="B62" i="37" s="1"/>
  <c r="C62" i="37" s="1"/>
  <c r="D62" i="37" s="1"/>
  <c r="E62" i="37" s="1"/>
  <c r="F62" i="37" s="1"/>
  <c r="G62" i="37" s="1"/>
  <c r="H62" i="37" s="1"/>
  <c r="I62" i="37" s="1"/>
  <c r="J62" i="37" s="1"/>
  <c r="K62" i="37" s="1"/>
  <c r="B59" i="37"/>
  <c r="C1990" i="3"/>
  <c r="C1991" i="3" s="1"/>
  <c r="B1983" i="3"/>
  <c r="B2059" i="3" s="1"/>
  <c r="C2059" i="3" s="1"/>
  <c r="C2062" i="3" s="1"/>
  <c r="C2064" i="3" s="1"/>
  <c r="B28" i="37"/>
  <c r="J20" i="37"/>
  <c r="B1991" i="3"/>
  <c r="B1969" i="3"/>
  <c r="D1969" i="3" s="1"/>
  <c r="B6" i="37"/>
  <c r="B22" i="37" s="1"/>
  <c r="B21" i="37" s="1"/>
  <c r="N30" i="30"/>
  <c r="P30" i="30" s="1"/>
  <c r="P28" i="30"/>
  <c r="D2007" i="3"/>
  <c r="B1988" i="3"/>
  <c r="B2062" i="3"/>
  <c r="C2066" i="3"/>
  <c r="C2067" i="3" s="1"/>
  <c r="B2067" i="3"/>
  <c r="C1945" i="3"/>
  <c r="C1947" i="3" s="1"/>
  <c r="D1943" i="3"/>
  <c r="B1947" i="3"/>
  <c r="ER43" i="2"/>
  <c r="ER10" i="4"/>
  <c r="ER12" i="4" s="1"/>
  <c r="ER46" i="2"/>
  <c r="ER13" i="4"/>
  <c r="ER15" i="4" s="1"/>
  <c r="EQ49" i="4"/>
  <c r="EQ50" i="4"/>
  <c r="B2670" i="3"/>
  <c r="B2678" i="3"/>
  <c r="B2680" i="3" s="1"/>
  <c r="H135" i="11"/>
  <c r="H128" i="11" s="1"/>
  <c r="B2168" i="3"/>
  <c r="B2169" i="3" s="1"/>
  <c r="F88" i="11"/>
  <c r="G85" i="11" s="1"/>
  <c r="EX123" i="2"/>
  <c r="EX405" i="2"/>
  <c r="O195" i="11"/>
  <c r="P174" i="11"/>
  <c r="P195" i="11" s="1"/>
  <c r="EX135" i="2"/>
  <c r="G86" i="11"/>
  <c r="H86" i="11"/>
  <c r="F102" i="11"/>
  <c r="F103" i="11" s="1"/>
  <c r="F96" i="11"/>
  <c r="EQ15" i="2"/>
  <c r="EQ575" i="2"/>
  <c r="EQ570" i="2"/>
  <c r="EQ373" i="2"/>
  <c r="EQ374" i="2"/>
  <c r="EQ375" i="2" s="1"/>
  <c r="EQ376" i="2"/>
  <c r="EQ377" i="2" s="1"/>
  <c r="EQ360" i="2"/>
  <c r="EQ378" i="2"/>
  <c r="EQ218" i="2"/>
  <c r="EQ235" i="2"/>
  <c r="ES562" i="2"/>
  <c r="ES560" i="2"/>
  <c r="B2899" i="3"/>
  <c r="B2900" i="3" s="1"/>
  <c r="B2902" i="3" s="1"/>
  <c r="B2683" i="3"/>
  <c r="B2685" i="3" s="1"/>
  <c r="FI99" i="2"/>
  <c r="C2932" i="3"/>
  <c r="C2934" i="3" s="1"/>
  <c r="ES463" i="2"/>
  <c r="ES42" i="2"/>
  <c r="N32" i="30" s="1"/>
  <c r="ER10" i="2"/>
  <c r="ES340" i="2"/>
  <c r="B2694" i="3" s="1"/>
  <c r="B2710" i="3" s="1"/>
  <c r="B2712" i="3" s="1"/>
  <c r="B2716" i="3" s="1"/>
  <c r="ER423" i="10"/>
  <c r="FD184" i="10"/>
  <c r="ES443" i="2"/>
  <c r="ES447" i="2"/>
  <c r="ES603" i="2"/>
  <c r="ES604" i="2" s="1"/>
  <c r="ES176" i="2"/>
  <c r="ES349" i="10"/>
  <c r="ES172" i="2"/>
  <c r="ES347" i="2"/>
  <c r="ES422" i="10"/>
  <c r="ES327" i="2"/>
  <c r="ES191" i="2"/>
  <c r="ES364" i="10"/>
  <c r="ES625" i="2"/>
  <c r="ES452" i="2"/>
  <c r="EK165" i="18"/>
  <c r="EK152" i="18"/>
  <c r="ER373" i="10"/>
  <c r="ES200" i="2"/>
  <c r="ES187" i="2"/>
  <c r="B30" i="37" s="1"/>
  <c r="ES360" i="10"/>
  <c r="F4913" i="3"/>
  <c r="F4911" i="3" s="1"/>
  <c r="F4567" i="3"/>
  <c r="ES617" i="2"/>
  <c r="D169" i="41" s="1"/>
  <c r="D174" i="41" s="1"/>
  <c r="D183" i="41" s="1"/>
  <c r="E36" i="24"/>
  <c r="E7" i="24"/>
  <c r="E37" i="24" s="1"/>
  <c r="ER187" i="10"/>
  <c r="ES410" i="2"/>
  <c r="ES187" i="10" s="1"/>
  <c r="E4" i="24"/>
  <c r="EK34" i="18"/>
  <c r="EK40" i="18" s="1"/>
  <c r="EK59" i="18" s="1"/>
  <c r="ES354" i="10"/>
  <c r="F3277" i="3"/>
  <c r="G3277" i="3" s="1"/>
  <c r="H3277" i="3" s="1"/>
  <c r="I3277" i="3" s="1"/>
  <c r="ES454" i="2"/>
  <c r="ES455" i="2"/>
  <c r="ES409" i="2"/>
  <c r="ES414" i="2"/>
  <c r="ES413" i="2"/>
  <c r="ES601" i="2"/>
  <c r="EQ8" i="32"/>
  <c r="ER376" i="10"/>
  <c r="ES203" i="2"/>
  <c r="ES370" i="2"/>
  <c r="ER355" i="10"/>
  <c r="ES173" i="2"/>
  <c r="EU367" i="2" l="1"/>
  <c r="EU368" i="2" s="1"/>
  <c r="EV369" i="2"/>
  <c r="EW369" i="2" s="1"/>
  <c r="EU420" i="2"/>
  <c r="B2009" i="3"/>
  <c r="C2009" i="3" s="1"/>
  <c r="C2010" i="3" s="1"/>
  <c r="D2010" i="3" s="1"/>
  <c r="R1350" i="3"/>
  <c r="EX439" i="2"/>
  <c r="C1563" i="3"/>
  <c r="D1563" i="3"/>
  <c r="C1503" i="3"/>
  <c r="E1503" i="3" s="1"/>
  <c r="D1502" i="3"/>
  <c r="S1347" i="3"/>
  <c r="D76" i="38"/>
  <c r="B75" i="38"/>
  <c r="B391" i="38" s="1"/>
  <c r="C391" i="38" s="1"/>
  <c r="ET408" i="2"/>
  <c r="EU410" i="2" s="1"/>
  <c r="F1546" i="3"/>
  <c r="F1547" i="3" s="1"/>
  <c r="B392" i="38"/>
  <c r="B78" i="38"/>
  <c r="B315" i="39" s="1"/>
  <c r="D315" i="39" s="1"/>
  <c r="B92" i="38"/>
  <c r="B131" i="38" s="1"/>
  <c r="B130" i="38" s="1"/>
  <c r="B52" i="38" s="1"/>
  <c r="B6" i="39"/>
  <c r="ET471" i="2"/>
  <c r="ET422" i="2"/>
  <c r="ET421" i="2"/>
  <c r="ET203" i="2"/>
  <c r="ET183" i="2"/>
  <c r="ET441" i="2"/>
  <c r="ET136" i="2"/>
  <c r="ET170" i="2"/>
  <c r="ET175" i="2" s="1"/>
  <c r="ET153" i="2" s="1"/>
  <c r="ET463" i="2"/>
  <c r="ET473" i="2" s="1"/>
  <c r="ET209" i="2"/>
  <c r="ET190" i="2"/>
  <c r="ET191" i="2" s="1"/>
  <c r="ET374" i="10"/>
  <c r="EX201" i="2"/>
  <c r="ER51" i="2"/>
  <c r="ER50" i="2"/>
  <c r="B337" i="39"/>
  <c r="D337" i="39" s="1"/>
  <c r="B335" i="39"/>
  <c r="D335" i="39" s="1"/>
  <c r="G358" i="38"/>
  <c r="N34" i="30"/>
  <c r="P34" i="30" s="1"/>
  <c r="B2083" i="3"/>
  <c r="B2087" i="3" s="1"/>
  <c r="C2087" i="3" s="1"/>
  <c r="C2083" i="3" s="1"/>
  <c r="D2083" i="3" s="1"/>
  <c r="G305" i="38"/>
  <c r="G307" i="38" s="1"/>
  <c r="G290" i="38"/>
  <c r="G306" i="38" s="1"/>
  <c r="G308" i="38" s="1"/>
  <c r="F182" i="38"/>
  <c r="F198" i="38" s="1"/>
  <c r="F200" i="38" s="1"/>
  <c r="C470" i="38"/>
  <c r="C468" i="38" s="1"/>
  <c r="F260" i="38"/>
  <c r="F261" i="38"/>
  <c r="F197" i="38"/>
  <c r="F199" i="38" s="1"/>
  <c r="F196" i="38"/>
  <c r="F195" i="38" s="1"/>
  <c r="D317" i="38"/>
  <c r="G303" i="38"/>
  <c r="G317" i="38"/>
  <c r="G343" i="38"/>
  <c r="B419" i="38"/>
  <c r="B104" i="38"/>
  <c r="I466" i="38"/>
  <c r="G465" i="38"/>
  <c r="G469" i="38"/>
  <c r="B414" i="38"/>
  <c r="C414" i="38" s="1"/>
  <c r="D470" i="38"/>
  <c r="D468" i="38" s="1"/>
  <c r="D409" i="38"/>
  <c r="D411" i="38" s="1"/>
  <c r="H466" i="38"/>
  <c r="D422" i="38"/>
  <c r="C421" i="38"/>
  <c r="I476" i="38"/>
  <c r="G399" i="38"/>
  <c r="F400" i="38"/>
  <c r="F402" i="38" s="1"/>
  <c r="F404" i="38" s="1"/>
  <c r="F395" i="38"/>
  <c r="D314" i="38"/>
  <c r="F311" i="38"/>
  <c r="G311" i="38" s="1"/>
  <c r="G314" i="38" s="1"/>
  <c r="C313" i="38"/>
  <c r="C315" i="38" s="1"/>
  <c r="E310" i="38"/>
  <c r="Q30" i="30"/>
  <c r="C1983" i="3"/>
  <c r="C1986" i="3" s="1"/>
  <c r="C1988" i="3" s="1"/>
  <c r="D1988" i="3" s="1"/>
  <c r="B202" i="38"/>
  <c r="C202" i="38" s="1"/>
  <c r="C98" i="38"/>
  <c r="D150" i="38"/>
  <c r="B154" i="38"/>
  <c r="B472" i="38" s="1"/>
  <c r="B46" i="37"/>
  <c r="B113" i="38"/>
  <c r="C113" i="38" s="1"/>
  <c r="B60" i="37"/>
  <c r="B1968" i="3"/>
  <c r="B2045" i="3"/>
  <c r="D2045" i="3" s="1"/>
  <c r="B1971" i="3"/>
  <c r="D1971" i="3" s="1"/>
  <c r="K20" i="37"/>
  <c r="B8" i="37"/>
  <c r="B5" i="37"/>
  <c r="ES473" i="2"/>
  <c r="B1997" i="3"/>
  <c r="D2062" i="3"/>
  <c r="B2064" i="3"/>
  <c r="D1945" i="3"/>
  <c r="D1947" i="3"/>
  <c r="ER47" i="2"/>
  <c r="ER49" i="2" s="1"/>
  <c r="ER52" i="2" s="1"/>
  <c r="ER16" i="4"/>
  <c r="ER18" i="4" s="1"/>
  <c r="ER32" i="2"/>
  <c r="ER14" i="2"/>
  <c r="H136" i="11"/>
  <c r="H129" i="11"/>
  <c r="H137" i="11" s="1"/>
  <c r="H144" i="11" s="1"/>
  <c r="H145" i="11" s="1"/>
  <c r="G87" i="11"/>
  <c r="G95" i="11" s="1"/>
  <c r="G102" i="11" s="1"/>
  <c r="G103" i="11" s="1"/>
  <c r="F105" i="11"/>
  <c r="F109" i="11"/>
  <c r="F111" i="11" s="1"/>
  <c r="F104" i="11"/>
  <c r="EQ364" i="2"/>
  <c r="EQ365" i="2" s="1"/>
  <c r="EQ361" i="2"/>
  <c r="EQ362" i="2"/>
  <c r="EQ239" i="2"/>
  <c r="EQ240" i="2" s="1"/>
  <c r="EQ222" i="2"/>
  <c r="EQ498" i="2" s="1"/>
  <c r="EQ236" i="2"/>
  <c r="EQ237" i="2"/>
  <c r="EQ238" i="2" s="1"/>
  <c r="EQ241" i="2"/>
  <c r="EQ385" i="10"/>
  <c r="EQ131" i="10"/>
  <c r="Q32" i="30"/>
  <c r="P32" i="30"/>
  <c r="ES423" i="10"/>
  <c r="ES348" i="2"/>
  <c r="ER427" i="10"/>
  <c r="ES344" i="2"/>
  <c r="ES427" i="10" s="1"/>
  <c r="E3431" i="3"/>
  <c r="ES355" i="10"/>
  <c r="ES465" i="2"/>
  <c r="ES475" i="2" s="1"/>
  <c r="ES41" i="2"/>
  <c r="N31" i="30" s="1"/>
  <c r="F3282" i="3"/>
  <c r="ER384" i="10"/>
  <c r="ES230" i="2"/>
  <c r="ES462" i="2"/>
  <c r="ER378" i="10"/>
  <c r="ES205" i="2"/>
  <c r="EK65" i="18"/>
  <c r="EK61" i="18"/>
  <c r="ES328" i="2"/>
  <c r="ES412" i="10"/>
  <c r="ES626" i="2"/>
  <c r="ES627" i="2" s="1"/>
  <c r="ES628" i="2" s="1"/>
  <c r="ES44" i="2"/>
  <c r="E8" i="24"/>
  <c r="E5" i="24"/>
  <c r="E34" i="24"/>
  <c r="E35" i="24" s="1"/>
  <c r="F4289" i="3"/>
  <c r="F4912" i="3"/>
  <c r="D169" i="6"/>
  <c r="D174" i="6" s="1"/>
  <c r="D183" i="6" s="1"/>
  <c r="F3280" i="3"/>
  <c r="ER375" i="10"/>
  <c r="ES202" i="2"/>
  <c r="B2689" i="3" s="1"/>
  <c r="B2705" i="3" s="1"/>
  <c r="B2707" i="3" s="1"/>
  <c r="B2715" i="3" s="1"/>
  <c r="ER9" i="2"/>
  <c r="E245" i="24"/>
  <c r="E246" i="24" s="1"/>
  <c r="EK166" i="18"/>
  <c r="EK172" i="18"/>
  <c r="EK687" i="18"/>
  <c r="ES211" i="2"/>
  <c r="ES376" i="10"/>
  <c r="ES194" i="2"/>
  <c r="F4568" i="3"/>
  <c r="ES208" i="2"/>
  <c r="ES373" i="10"/>
  <c r="ES188" i="2"/>
  <c r="ES362" i="10" s="1"/>
  <c r="ES10" i="2"/>
  <c r="EW367" i="2" l="1"/>
  <c r="EW368" i="2" s="1"/>
  <c r="EW370" i="2"/>
  <c r="EV367" i="2"/>
  <c r="EV368" i="2" s="1"/>
  <c r="EV370" i="2"/>
  <c r="EU422" i="2"/>
  <c r="EV417" i="2"/>
  <c r="EV420" i="2" s="1"/>
  <c r="EW417" i="2" s="1"/>
  <c r="EW420" i="2" s="1"/>
  <c r="EU421" i="2"/>
  <c r="D1503" i="3"/>
  <c r="ET452" i="2"/>
  <c r="ET485" i="2" s="1"/>
  <c r="ET486" i="2" s="1"/>
  <c r="B408" i="38"/>
  <c r="ET414" i="2"/>
  <c r="D78" i="38"/>
  <c r="B94" i="38"/>
  <c r="B410" i="38" s="1"/>
  <c r="B80" i="38"/>
  <c r="B396" i="38" s="1"/>
  <c r="T1347" i="3"/>
  <c r="ET413" i="2"/>
  <c r="ET409" i="2"/>
  <c r="ET410" i="2"/>
  <c r="S1350" i="3"/>
  <c r="N36" i="30"/>
  <c r="P36" i="30" s="1"/>
  <c r="D92" i="38"/>
  <c r="B91" i="38"/>
  <c r="B407" i="38" s="1"/>
  <c r="B2700" i="3"/>
  <c r="B2696" i="3" s="1"/>
  <c r="B2695" i="3" s="1"/>
  <c r="B394" i="38"/>
  <c r="ET164" i="2"/>
  <c r="ET159" i="2" s="1"/>
  <c r="ET158" i="2" s="1"/>
  <c r="ET148" i="2"/>
  <c r="ET147" i="2" s="1"/>
  <c r="ET152" i="2" s="1"/>
  <c r="F1514" i="3" s="1"/>
  <c r="EU425" i="10"/>
  <c r="ET141" i="2"/>
  <c r="EY141" i="2" s="1"/>
  <c r="ET440" i="2"/>
  <c r="ET445" i="2" s="1"/>
  <c r="ET169" i="2"/>
  <c r="ET174" i="2" s="1"/>
  <c r="EV425" i="10"/>
  <c r="EX209" i="2"/>
  <c r="ET247" i="2"/>
  <c r="ET248" i="2" s="1"/>
  <c r="ET320" i="2"/>
  <c r="ET464" i="2"/>
  <c r="ET211" i="2"/>
  <c r="ET465" i="2"/>
  <c r="ET204" i="2"/>
  <c r="EY204" i="2" s="1"/>
  <c r="EY377" i="10" s="1"/>
  <c r="Q34" i="30"/>
  <c r="B314" i="39"/>
  <c r="D314" i="39" s="1"/>
  <c r="B312" i="39"/>
  <c r="B2085" i="3"/>
  <c r="C2085" i="3" s="1"/>
  <c r="C2086" i="3" s="1"/>
  <c r="D2086" i="3" s="1"/>
  <c r="E130" i="38"/>
  <c r="E131" i="38" s="1"/>
  <c r="C130" i="38"/>
  <c r="C131" i="38" s="1"/>
  <c r="G292" i="38"/>
  <c r="F184" i="38"/>
  <c r="F317" i="38"/>
  <c r="F259" i="38"/>
  <c r="J414" i="38"/>
  <c r="D391" i="38"/>
  <c r="C392" i="38"/>
  <c r="E422" i="38"/>
  <c r="D421" i="38"/>
  <c r="G395" i="38"/>
  <c r="F393" i="38"/>
  <c r="H465" i="38"/>
  <c r="H469" i="38"/>
  <c r="B428" i="38"/>
  <c r="C428" i="38" s="1"/>
  <c r="D428" i="38" s="1"/>
  <c r="E428" i="38" s="1"/>
  <c r="F428" i="38" s="1"/>
  <c r="G428" i="38" s="1"/>
  <c r="H428" i="38" s="1"/>
  <c r="I428" i="38" s="1"/>
  <c r="H399" i="38"/>
  <c r="G400" i="38"/>
  <c r="G402" i="38" s="1"/>
  <c r="G404" i="38" s="1"/>
  <c r="C417" i="38"/>
  <c r="C419" i="38" s="1"/>
  <c r="D414" i="38"/>
  <c r="I465" i="38"/>
  <c r="I469" i="38"/>
  <c r="B119" i="38"/>
  <c r="D1986" i="3"/>
  <c r="C205" i="38"/>
  <c r="C207" i="38" s="1"/>
  <c r="C208" i="38" s="1"/>
  <c r="D202" i="38"/>
  <c r="E98" i="38"/>
  <c r="B155" i="38"/>
  <c r="B473" i="38" s="1"/>
  <c r="C101" i="38"/>
  <c r="B205" i="38"/>
  <c r="B207" i="38" s="1"/>
  <c r="B208" i="38" s="1"/>
  <c r="B111" i="38"/>
  <c r="C320" i="38"/>
  <c r="B109" i="38"/>
  <c r="B424" i="38" s="1"/>
  <c r="C424" i="38" s="1"/>
  <c r="B1973" i="3"/>
  <c r="B2004" i="3"/>
  <c r="B2002" i="3" s="1"/>
  <c r="B54" i="37"/>
  <c r="B2044" i="3"/>
  <c r="B2047" i="3"/>
  <c r="D2047" i="3" s="1"/>
  <c r="B43" i="37"/>
  <c r="B49" i="37" s="1"/>
  <c r="B40" i="37"/>
  <c r="B10" i="37"/>
  <c r="B24" i="37"/>
  <c r="B26" i="37" s="1"/>
  <c r="C1997" i="3"/>
  <c r="B2073" i="3"/>
  <c r="C2073" i="3" s="1"/>
  <c r="ES472" i="2"/>
  <c r="B1995" i="3"/>
  <c r="B1993" i="3"/>
  <c r="D2064" i="3"/>
  <c r="D1946" i="3"/>
  <c r="ER19" i="4"/>
  <c r="ER12" i="2"/>
  <c r="ER13" i="2"/>
  <c r="ER31" i="2"/>
  <c r="H130" i="11"/>
  <c r="I127" i="11" s="1"/>
  <c r="G88" i="11"/>
  <c r="H85" i="11" s="1"/>
  <c r="H87" i="11" s="1"/>
  <c r="H95" i="11" s="1"/>
  <c r="H138" i="11"/>
  <c r="G96" i="11"/>
  <c r="EQ363" i="2"/>
  <c r="G109" i="11"/>
  <c r="G111" i="11" s="1"/>
  <c r="G105" i="11"/>
  <c r="G104" i="11"/>
  <c r="ER141" i="10"/>
  <c r="EQ502" i="2"/>
  <c r="EQ503" i="2" s="1"/>
  <c r="EQ499" i="2"/>
  <c r="EQ500" i="2"/>
  <c r="EQ501" i="2" s="1"/>
  <c r="EQ510" i="2"/>
  <c r="EQ227" i="2"/>
  <c r="EQ228" i="2" s="1"/>
  <c r="EQ223" i="2"/>
  <c r="EQ224" i="2"/>
  <c r="EQ383" i="10"/>
  <c r="B2718" i="3"/>
  <c r="N47" i="30"/>
  <c r="Q31" i="30"/>
  <c r="P31" i="30"/>
  <c r="N33" i="30"/>
  <c r="ES352" i="2"/>
  <c r="FE184" i="10"/>
  <c r="FE100" i="2"/>
  <c r="E38" i="24"/>
  <c r="E45" i="24" s="1"/>
  <c r="E49" i="24" s="1"/>
  <c r="ER128" i="10"/>
  <c r="ES46" i="2"/>
  <c r="N40" i="30" s="1"/>
  <c r="G3282" i="3"/>
  <c r="F3281" i="3"/>
  <c r="E250" i="24"/>
  <c r="EK696" i="18"/>
  <c r="EK695" i="18" s="1"/>
  <c r="EK176" i="18"/>
  <c r="EK183" i="18" s="1"/>
  <c r="G3280" i="3"/>
  <c r="F3279" i="3"/>
  <c r="ES15" i="4"/>
  <c r="ES13" i="4"/>
  <c r="EQ102" i="10"/>
  <c r="EQ1026" i="10" s="1"/>
  <c r="E56" i="24"/>
  <c r="E247" i="24"/>
  <c r="EK173" i="18"/>
  <c r="EK174" i="18"/>
  <c r="ES210" i="2"/>
  <c r="ES375" i="10"/>
  <c r="ES192" i="2"/>
  <c r="ES193" i="2" s="1"/>
  <c r="E3430" i="3"/>
  <c r="E3432" i="3" s="1"/>
  <c r="F4914" i="3"/>
  <c r="F4876" i="3"/>
  <c r="F4302" i="3"/>
  <c r="ES213" i="2"/>
  <c r="ES378" i="10"/>
  <c r="ES633" i="2"/>
  <c r="D170" i="41" s="1"/>
  <c r="D175" i="41" s="1"/>
  <c r="D184" i="41" s="1"/>
  <c r="ER127" i="10"/>
  <c r="ES43" i="2"/>
  <c r="ES467" i="2"/>
  <c r="ES477" i="2" s="1"/>
  <c r="F4763" i="3"/>
  <c r="F4417" i="3"/>
  <c r="F4627" i="3"/>
  <c r="G4490" i="3"/>
  <c r="G4491" i="3" s="1"/>
  <c r="G4493" i="3" s="1"/>
  <c r="F4574" i="3"/>
  <c r="F4576" i="3" s="1"/>
  <c r="F4322" i="3"/>
  <c r="F4326" i="3" s="1"/>
  <c r="F4295" i="3"/>
  <c r="ES505" i="2"/>
  <c r="B2731" i="3" s="1"/>
  <c r="B2744" i="3" s="1"/>
  <c r="ES464" i="2"/>
  <c r="ES474" i="2" s="1"/>
  <c r="ES10" i="4"/>
  <c r="ES195" i="2"/>
  <c r="ES366" i="10"/>
  <c r="EK66" i="18"/>
  <c r="EK67" i="18"/>
  <c r="ES231" i="2"/>
  <c r="ES384" i="10"/>
  <c r="ES232" i="2"/>
  <c r="ET232" i="2" s="1"/>
  <c r="ER379" i="10"/>
  <c r="ES206" i="2"/>
  <c r="ER545" i="2"/>
  <c r="E225" i="24"/>
  <c r="E9" i="24"/>
  <c r="E39" i="24" s="1"/>
  <c r="E46" i="24" s="1"/>
  <c r="E12" i="24"/>
  <c r="ES14" i="2"/>
  <c r="EW421" i="2" l="1"/>
  <c r="EW422" i="2"/>
  <c r="EW425" i="10"/>
  <c r="FB342" i="2"/>
  <c r="EY466" i="2"/>
  <c r="EY45" i="2"/>
  <c r="EU232" i="2"/>
  <c r="EY232" i="2"/>
  <c r="EY209" i="2"/>
  <c r="EV421" i="2"/>
  <c r="EV422" i="2"/>
  <c r="D79" i="41"/>
  <c r="D81" i="41" s="1"/>
  <c r="C56" i="42"/>
  <c r="C58" i="42" s="1"/>
  <c r="D94" i="38"/>
  <c r="E1320" i="3"/>
  <c r="Q36" i="30"/>
  <c r="T1350" i="3"/>
  <c r="B96" i="38"/>
  <c r="B412" i="38" s="1"/>
  <c r="U1347" i="3"/>
  <c r="ET163" i="2"/>
  <c r="F1515" i="3" s="1"/>
  <c r="ET474" i="2"/>
  <c r="ET475" i="2"/>
  <c r="EX342" i="2"/>
  <c r="ET233" i="2"/>
  <c r="ET230" i="2"/>
  <c r="ET466" i="2"/>
  <c r="ET45" i="2"/>
  <c r="ET212" i="2"/>
  <c r="ET377" i="10"/>
  <c r="B324" i="39"/>
  <c r="D324" i="39" s="1"/>
  <c r="B322" i="39"/>
  <c r="B316" i="39"/>
  <c r="D312" i="39"/>
  <c r="D316" i="39" s="1"/>
  <c r="F202" i="38"/>
  <c r="F205" i="38" s="1"/>
  <c r="F207" i="38" s="1"/>
  <c r="F208" i="38" s="1"/>
  <c r="E101" i="38"/>
  <c r="F98" i="38"/>
  <c r="I399" i="38"/>
  <c r="I400" i="38" s="1"/>
  <c r="I402" i="38" s="1"/>
  <c r="I404" i="38" s="1"/>
  <c r="H400" i="38"/>
  <c r="H402" i="38" s="1"/>
  <c r="H404" i="38" s="1"/>
  <c r="E113" i="38"/>
  <c r="J428" i="38"/>
  <c r="K428" i="38" s="1"/>
  <c r="B115" i="38"/>
  <c r="B430" i="38" s="1"/>
  <c r="B426" i="38"/>
  <c r="C426" i="38"/>
  <c r="C430" i="38" s="1"/>
  <c r="D424" i="38"/>
  <c r="D417" i="38"/>
  <c r="D419" i="38" s="1"/>
  <c r="E414" i="38"/>
  <c r="F422" i="38"/>
  <c r="E421" i="38"/>
  <c r="C103" i="38"/>
  <c r="C106" i="39" s="1"/>
  <c r="J417" i="38"/>
  <c r="F409" i="38"/>
  <c r="F411" i="38" s="1"/>
  <c r="F470" i="38"/>
  <c r="C408" i="38"/>
  <c r="C394" i="38"/>
  <c r="B121" i="38"/>
  <c r="B434" i="38"/>
  <c r="H395" i="38"/>
  <c r="G393" i="38"/>
  <c r="E391" i="38"/>
  <c r="D392" i="38"/>
  <c r="C322" i="38"/>
  <c r="E320" i="38"/>
  <c r="D101" i="38"/>
  <c r="D205" i="38"/>
  <c r="D207" i="38" s="1"/>
  <c r="D310" i="38"/>
  <c r="B2080" i="3"/>
  <c r="B2077" i="3" s="1"/>
  <c r="B2001" i="3"/>
  <c r="B2013" i="3" s="1"/>
  <c r="B213" i="38"/>
  <c r="C213" i="38" s="1"/>
  <c r="C109" i="38"/>
  <c r="B2049" i="3"/>
  <c r="B52" i="37"/>
  <c r="B66" i="37" s="1"/>
  <c r="B51" i="37"/>
  <c r="C1993" i="3"/>
  <c r="B2069" i="3"/>
  <c r="C2069" i="3" s="1"/>
  <c r="C2071" i="3" s="1"/>
  <c r="C2002" i="3"/>
  <c r="C2014" i="3" s="1"/>
  <c r="B2014" i="3"/>
  <c r="B2071" i="3"/>
  <c r="B2075" i="3" s="1"/>
  <c r="B1999" i="3"/>
  <c r="ER575" i="2"/>
  <c r="ER570" i="2"/>
  <c r="ER15" i="2"/>
  <c r="H102" i="11"/>
  <c r="H103" i="11" s="1"/>
  <c r="H96" i="11"/>
  <c r="H88" i="11"/>
  <c r="I85" i="11" s="1"/>
  <c r="EQ512" i="2"/>
  <c r="EQ513" i="2" s="1"/>
  <c r="EQ514" i="2"/>
  <c r="EQ515" i="2" s="1"/>
  <c r="EQ516" i="2"/>
  <c r="EQ511" i="2"/>
  <c r="EQ518" i="2"/>
  <c r="EQ226" i="2"/>
  <c r="Q47" i="30"/>
  <c r="P47" i="30"/>
  <c r="P33" i="30"/>
  <c r="Q33" i="30"/>
  <c r="Q40" i="30"/>
  <c r="P40" i="30"/>
  <c r="N41" i="30"/>
  <c r="E52" i="24"/>
  <c r="E54" i="24" s="1"/>
  <c r="ES9" i="2"/>
  <c r="ER8" i="32"/>
  <c r="ES507" i="2"/>
  <c r="ES508" i="2" s="1"/>
  <c r="ES506" i="2"/>
  <c r="F4312" i="3"/>
  <c r="F4331" i="3"/>
  <c r="F4308" i="3"/>
  <c r="EK185" i="18"/>
  <c r="EK184" i="18"/>
  <c r="H3282" i="3"/>
  <c r="G3281" i="3"/>
  <c r="F3284" i="3"/>
  <c r="ES468" i="2"/>
  <c r="ES478" i="2" s="1"/>
  <c r="EL698" i="18"/>
  <c r="EK700" i="18"/>
  <c r="D170" i="6"/>
  <c r="D175" i="6" s="1"/>
  <c r="D184" i="6" s="1"/>
  <c r="F4941" i="3"/>
  <c r="ES610" i="2"/>
  <c r="ES611" i="2" s="1"/>
  <c r="ES651" i="2"/>
  <c r="ES643" i="2"/>
  <c r="F4887" i="3"/>
  <c r="D79" i="6"/>
  <c r="D81" i="6" s="1"/>
  <c r="F4878" i="3"/>
  <c r="E252" i="24"/>
  <c r="E251" i="24"/>
  <c r="ES233" i="2"/>
  <c r="ES12" i="4"/>
  <c r="F4578" i="3"/>
  <c r="F4423" i="3"/>
  <c r="F4426" i="3" s="1"/>
  <c r="F4628" i="3"/>
  <c r="F4629" i="3" s="1"/>
  <c r="F4577" i="3"/>
  <c r="F4392" i="3"/>
  <c r="G4496" i="3"/>
  <c r="E249" i="24"/>
  <c r="E253" i="24"/>
  <c r="E248" i="24"/>
  <c r="ES128" i="10"/>
  <c r="ES51" i="2"/>
  <c r="ES214" i="2"/>
  <c r="ES379" i="10"/>
  <c r="ES545" i="2"/>
  <c r="ES563" i="2"/>
  <c r="E58" i="24"/>
  <c r="E57" i="24"/>
  <c r="E13" i="24"/>
  <c r="E50" i="24" s="1"/>
  <c r="E16" i="24"/>
  <c r="E17" i="24" s="1"/>
  <c r="ES47" i="2"/>
  <c r="F4933" i="3"/>
  <c r="F4934" i="3" s="1"/>
  <c r="F4420" i="3"/>
  <c r="ES50" i="2"/>
  <c r="ES127" i="10"/>
  <c r="E231" i="24"/>
  <c r="E232" i="24" s="1"/>
  <c r="E226" i="24"/>
  <c r="H3280" i="3"/>
  <c r="G3279" i="3"/>
  <c r="FC342" i="2" l="1"/>
  <c r="FD342" i="2" s="1"/>
  <c r="FE342" i="2" s="1"/>
  <c r="FF342" i="2" s="1"/>
  <c r="FG342" i="2" s="1"/>
  <c r="FH342" i="2" s="1"/>
  <c r="FI342" i="2" s="1"/>
  <c r="FB425" i="10"/>
  <c r="EZ209" i="2"/>
  <c r="EY201" i="2"/>
  <c r="EY374" i="10" s="1"/>
  <c r="EV232" i="2"/>
  <c r="EW232" i="2" s="1"/>
  <c r="FB232" i="2" s="1"/>
  <c r="EZ232" i="2"/>
  <c r="EY14" i="4"/>
  <c r="EY476" i="2"/>
  <c r="EU230" i="2"/>
  <c r="EU231" i="2" s="1"/>
  <c r="EU233" i="2"/>
  <c r="FC350" i="2"/>
  <c r="U1350" i="3"/>
  <c r="ET476" i="2"/>
  <c r="ET231" i="2"/>
  <c r="ET505" i="2"/>
  <c r="EX350" i="2"/>
  <c r="EX425" i="10"/>
  <c r="ET467" i="2"/>
  <c r="ET14" i="4"/>
  <c r="C316" i="39"/>
  <c r="D322" i="39"/>
  <c r="B336" i="39"/>
  <c r="D336" i="39" s="1"/>
  <c r="B334" i="39"/>
  <c r="E103" i="38"/>
  <c r="F101" i="38"/>
  <c r="C407" i="38"/>
  <c r="D208" i="38"/>
  <c r="D103" i="38"/>
  <c r="C104" i="38"/>
  <c r="F414" i="38"/>
  <c r="D394" i="38"/>
  <c r="D408" i="38"/>
  <c r="G409" i="38"/>
  <c r="G411" i="38" s="1"/>
  <c r="G470" i="38"/>
  <c r="G468" i="38" s="1"/>
  <c r="C431" i="38"/>
  <c r="C432" i="38"/>
  <c r="E424" i="38"/>
  <c r="D426" i="38"/>
  <c r="D430" i="38" s="1"/>
  <c r="E109" i="38"/>
  <c r="J424" i="38"/>
  <c r="F391" i="38"/>
  <c r="H393" i="38"/>
  <c r="C396" i="38"/>
  <c r="C410" i="38"/>
  <c r="C412" i="38" s="1"/>
  <c r="B116" i="38"/>
  <c r="B431" i="38" s="1"/>
  <c r="J419" i="38"/>
  <c r="G422" i="38"/>
  <c r="F421" i="38"/>
  <c r="B117" i="38"/>
  <c r="B432" i="38" s="1"/>
  <c r="B436" i="38"/>
  <c r="C436" i="38" s="1"/>
  <c r="B156" i="38"/>
  <c r="B474" i="38" s="1"/>
  <c r="C474" i="38" s="1"/>
  <c r="C326" i="38"/>
  <c r="C328" i="38" s="1"/>
  <c r="E328" i="38" s="1"/>
  <c r="F310" i="38"/>
  <c r="G310" i="38" s="1"/>
  <c r="G313" i="38" s="1"/>
  <c r="G315" i="38" s="1"/>
  <c r="C215" i="38"/>
  <c r="D213" i="38"/>
  <c r="D313" i="38"/>
  <c r="D315" i="38" s="1"/>
  <c r="B215" i="38"/>
  <c r="B53" i="37"/>
  <c r="B67" i="37" s="1"/>
  <c r="B2078" i="3"/>
  <c r="B2079" i="3" s="1"/>
  <c r="B2005" i="3"/>
  <c r="C2005" i="3" s="1"/>
  <c r="C2001" i="3" s="1"/>
  <c r="D2001" i="3" s="1"/>
  <c r="B2003" i="3"/>
  <c r="B2015" i="3" s="1"/>
  <c r="B2016" i="3" s="1"/>
  <c r="B2020" i="3" s="1"/>
  <c r="C111" i="38"/>
  <c r="B65" i="37"/>
  <c r="B55" i="37"/>
  <c r="C55" i="37" s="1"/>
  <c r="D55" i="37" s="1"/>
  <c r="E55" i="37" s="1"/>
  <c r="F55" i="37" s="1"/>
  <c r="G55" i="37" s="1"/>
  <c r="H55" i="37" s="1"/>
  <c r="I55" i="37" s="1"/>
  <c r="J55" i="37" s="1"/>
  <c r="K55" i="37" s="1"/>
  <c r="D2014" i="3"/>
  <c r="D2071" i="3"/>
  <c r="C2075" i="3"/>
  <c r="C1995" i="3"/>
  <c r="B2089" i="3"/>
  <c r="B2081" i="3"/>
  <c r="C2081" i="3" s="1"/>
  <c r="C2077" i="3" s="1"/>
  <c r="H109" i="11"/>
  <c r="H111" i="11" s="1"/>
  <c r="H104" i="11"/>
  <c r="H105" i="11"/>
  <c r="EQ522" i="2"/>
  <c r="EQ523" i="2" s="1"/>
  <c r="EQ524" i="2"/>
  <c r="EQ519" i="2"/>
  <c r="EQ528" i="2"/>
  <c r="EQ520" i="2"/>
  <c r="EQ521" i="2" s="1"/>
  <c r="N46" i="30"/>
  <c r="Q46" i="30" s="1"/>
  <c r="B2699" i="3"/>
  <c r="N43" i="30"/>
  <c r="P41" i="30"/>
  <c r="Q41" i="30"/>
  <c r="E53" i="24"/>
  <c r="FF184" i="10"/>
  <c r="FF100" i="2"/>
  <c r="EX374" i="10"/>
  <c r="F4457" i="3"/>
  <c r="F4946" i="3"/>
  <c r="ER131" i="10"/>
  <c r="ES49" i="2"/>
  <c r="F4366" i="3"/>
  <c r="F4367" i="3" s="1"/>
  <c r="F4957" i="3"/>
  <c r="F4918" i="3"/>
  <c r="ES470" i="2"/>
  <c r="E254" i="24"/>
  <c r="E255" i="24"/>
  <c r="ES16" i="4"/>
  <c r="ES650" i="2"/>
  <c r="ES661" i="2" s="1"/>
  <c r="ES647" i="2"/>
  <c r="ES649" i="2"/>
  <c r="ES648" i="2"/>
  <c r="ES659" i="2" s="1"/>
  <c r="G3284" i="3"/>
  <c r="F3283" i="3"/>
  <c r="I3282" i="3"/>
  <c r="I3281" i="3" s="1"/>
  <c r="H3281" i="3"/>
  <c r="F4335" i="3"/>
  <c r="F4813" i="3"/>
  <c r="F4339" i="3"/>
  <c r="I3280" i="3"/>
  <c r="I3279" i="3" s="1"/>
  <c r="H3279" i="3"/>
  <c r="G4428" i="3"/>
  <c r="G4497" i="3"/>
  <c r="ES13" i="2"/>
  <c r="ES12" i="2"/>
  <c r="EW230" i="2" l="1"/>
  <c r="EW233" i="2"/>
  <c r="EU505" i="2"/>
  <c r="EU507" i="2" s="1"/>
  <c r="EU508" i="2" s="1"/>
  <c r="FA232" i="2"/>
  <c r="EV230" i="2"/>
  <c r="EV233" i="2"/>
  <c r="FA209" i="2"/>
  <c r="EZ201" i="2"/>
  <c r="EZ374" i="10" s="1"/>
  <c r="FD350" i="2"/>
  <c r="FC425" i="10"/>
  <c r="ET506" i="2"/>
  <c r="ET507" i="2"/>
  <c r="ET508" i="2" s="1"/>
  <c r="EU377" i="10"/>
  <c r="EU45" i="2"/>
  <c r="EU14" i="4" s="1"/>
  <c r="FB204" i="2"/>
  <c r="FB377" i="10" s="1"/>
  <c r="ET477" i="2"/>
  <c r="ET468" i="2"/>
  <c r="B327" i="39"/>
  <c r="B326" i="39"/>
  <c r="D334" i="39"/>
  <c r="F213" i="38"/>
  <c r="F215" i="38" s="1"/>
  <c r="E111" i="38"/>
  <c r="E115" i="38" s="1"/>
  <c r="E117" i="38" s="1"/>
  <c r="F109" i="38"/>
  <c r="E104" i="38"/>
  <c r="F103" i="38"/>
  <c r="D407" i="38"/>
  <c r="B217" i="38"/>
  <c r="C336" i="38"/>
  <c r="D431" i="38"/>
  <c r="D432" i="38"/>
  <c r="G391" i="38"/>
  <c r="F392" i="38"/>
  <c r="D396" i="38"/>
  <c r="D410" i="38"/>
  <c r="D412" i="38" s="1"/>
  <c r="J426" i="38"/>
  <c r="C434" i="38"/>
  <c r="C435" i="38" s="1"/>
  <c r="D436" i="38"/>
  <c r="F424" i="38"/>
  <c r="E426" i="38"/>
  <c r="H409" i="38"/>
  <c r="H411" i="38" s="1"/>
  <c r="H470" i="38"/>
  <c r="H468" i="38" s="1"/>
  <c r="G414" i="38"/>
  <c r="F417" i="38"/>
  <c r="F419" i="38" s="1"/>
  <c r="C472" i="38"/>
  <c r="D474" i="38"/>
  <c r="C327" i="38"/>
  <c r="E327" i="38" s="1"/>
  <c r="H422" i="38"/>
  <c r="G421" i="38"/>
  <c r="C440" i="38"/>
  <c r="C500" i="38" s="1"/>
  <c r="B68" i="37"/>
  <c r="B72" i="37" s="1"/>
  <c r="B2090" i="3"/>
  <c r="C2078" i="3"/>
  <c r="C2090" i="3" s="1"/>
  <c r="D215" i="38"/>
  <c r="D320" i="38"/>
  <c r="C2013" i="3"/>
  <c r="D2013" i="3" s="1"/>
  <c r="C2003" i="3"/>
  <c r="C2015" i="3" s="1"/>
  <c r="D2015" i="3" s="1"/>
  <c r="B125" i="38"/>
  <c r="C121" i="38"/>
  <c r="D111" i="38"/>
  <c r="C115" i="38"/>
  <c r="J430" i="38" s="1"/>
  <c r="C2079" i="3"/>
  <c r="C2091" i="3" s="1"/>
  <c r="B2091" i="3"/>
  <c r="C1999" i="3"/>
  <c r="D1995" i="3"/>
  <c r="D2075" i="3"/>
  <c r="D2077" i="3"/>
  <c r="C2089" i="3"/>
  <c r="EQ530" i="2"/>
  <c r="EQ529" i="2"/>
  <c r="ES8" i="32"/>
  <c r="B2171" i="3"/>
  <c r="B2173" i="3" s="1"/>
  <c r="B2175" i="3" s="1"/>
  <c r="P46" i="30"/>
  <c r="N48" i="30"/>
  <c r="P48" i="30" s="1"/>
  <c r="B2691" i="3"/>
  <c r="B2690" i="3" s="1"/>
  <c r="B2702" i="3"/>
  <c r="B2719" i="3" s="1"/>
  <c r="P43" i="30"/>
  <c r="Q43" i="30"/>
  <c r="G4499" i="3"/>
  <c r="G4561" i="3"/>
  <c r="ER102" i="10"/>
  <c r="ER1026" i="10" s="1"/>
  <c r="ES18" i="4"/>
  <c r="B20" i="41" s="1"/>
  <c r="ES52" i="2"/>
  <c r="ES131" i="10"/>
  <c r="ES15" i="2"/>
  <c r="G4459" i="3"/>
  <c r="G4430" i="3"/>
  <c r="G4432" i="3" s="1"/>
  <c r="G4449" i="3" s="1"/>
  <c r="G4450" i="3" s="1"/>
  <c r="ES526" i="2"/>
  <c r="ES527" i="2" s="1"/>
  <c r="F4951" i="3"/>
  <c r="F4995" i="3"/>
  <c r="ES480" i="2"/>
  <c r="F4921" i="3"/>
  <c r="F4919" i="3"/>
  <c r="F4922" i="3" s="1"/>
  <c r="F4468" i="3"/>
  <c r="F4458" i="3"/>
  <c r="F4965" i="3"/>
  <c r="F4801" i="3"/>
  <c r="F4962" i="3"/>
  <c r="H3284" i="3"/>
  <c r="G3283" i="3"/>
  <c r="ES54" i="2"/>
  <c r="ES55" i="2" s="1"/>
  <c r="EW231" i="2" l="1"/>
  <c r="EW505" i="2"/>
  <c r="EU506" i="2"/>
  <c r="FB209" i="2"/>
  <c r="FB201" i="2" s="1"/>
  <c r="FB374" i="10" s="1"/>
  <c r="FA201" i="2"/>
  <c r="FA374" i="10" s="1"/>
  <c r="FB466" i="2"/>
  <c r="FB45" i="2"/>
  <c r="FC204" i="2"/>
  <c r="EV231" i="2"/>
  <c r="EV505" i="2"/>
  <c r="E82" i="41"/>
  <c r="D59" i="42"/>
  <c r="FE350" i="2"/>
  <c r="ET470" i="2"/>
  <c r="ET478" i="2"/>
  <c r="EV377" i="10"/>
  <c r="EW377" i="10"/>
  <c r="EX204" i="2"/>
  <c r="B339" i="39"/>
  <c r="B338" i="39"/>
  <c r="D326" i="39"/>
  <c r="B328" i="39"/>
  <c r="C337" i="38"/>
  <c r="E337" i="38" s="1"/>
  <c r="B162" i="38"/>
  <c r="B2092" i="3"/>
  <c r="B2096" i="3" s="1"/>
  <c r="C372" i="38"/>
  <c r="C338" i="38"/>
  <c r="E116" i="38"/>
  <c r="F115" i="38"/>
  <c r="C217" i="38"/>
  <c r="D217" i="38" s="1"/>
  <c r="D2090" i="3"/>
  <c r="B221" i="38"/>
  <c r="E121" i="38"/>
  <c r="J436" i="38"/>
  <c r="E436" i="38"/>
  <c r="D434" i="38"/>
  <c r="D435" i="38" s="1"/>
  <c r="F394" i="38"/>
  <c r="F408" i="38"/>
  <c r="H391" i="38"/>
  <c r="G392" i="38"/>
  <c r="I422" i="38"/>
  <c r="I421" i="38" s="1"/>
  <c r="H421" i="38"/>
  <c r="B126" i="38"/>
  <c r="B440" i="38"/>
  <c r="B500" i="38" s="1"/>
  <c r="C513" i="38" s="1"/>
  <c r="H414" i="38"/>
  <c r="G417" i="38"/>
  <c r="G419" i="38" s="1"/>
  <c r="C473" i="38"/>
  <c r="C479" i="38"/>
  <c r="C442" i="38"/>
  <c r="C441" i="38"/>
  <c r="G424" i="38"/>
  <c r="F426" i="38"/>
  <c r="F430" i="38" s="1"/>
  <c r="E474" i="38"/>
  <c r="D472" i="38"/>
  <c r="D440" i="38"/>
  <c r="D500" i="38" s="1"/>
  <c r="D322" i="38"/>
  <c r="D326" i="38" s="1"/>
  <c r="F320" i="38"/>
  <c r="G320" i="38" s="1"/>
  <c r="B220" i="38"/>
  <c r="B62" i="38"/>
  <c r="C154" i="38"/>
  <c r="C107" i="39"/>
  <c r="C2016" i="3"/>
  <c r="D2016" i="3" s="1"/>
  <c r="C2004" i="3"/>
  <c r="D2004" i="3" s="1"/>
  <c r="B127" i="38"/>
  <c r="B165" i="38"/>
  <c r="B480" i="38" s="1"/>
  <c r="C119" i="38"/>
  <c r="J434" i="38" s="1"/>
  <c r="C117" i="38"/>
  <c r="D115" i="38"/>
  <c r="C116" i="38"/>
  <c r="C125" i="38"/>
  <c r="C2080" i="3"/>
  <c r="D2080" i="3" s="1"/>
  <c r="D2089" i="3"/>
  <c r="C2092" i="3"/>
  <c r="D1999" i="3"/>
  <c r="D2091" i="3"/>
  <c r="E173" i="3"/>
  <c r="EQ533" i="2"/>
  <c r="EQ534" i="2"/>
  <c r="EQ535" i="2"/>
  <c r="Q48" i="30"/>
  <c r="C2942" i="3"/>
  <c r="C2944" i="3" s="1"/>
  <c r="E122" i="19"/>
  <c r="FG100" i="2"/>
  <c r="FG184" i="10"/>
  <c r="I3284" i="3"/>
  <c r="I3283" i="3" s="1"/>
  <c r="H3283" i="3"/>
  <c r="F5002" i="3"/>
  <c r="F5009" i="3"/>
  <c r="G4560" i="3"/>
  <c r="G4795" i="3"/>
  <c r="G4451" i="3"/>
  <c r="G4445" i="3"/>
  <c r="G4446" i="3"/>
  <c r="E82" i="6"/>
  <c r="G4461" i="3"/>
  <c r="ES53" i="4"/>
  <c r="B105" i="41" s="1"/>
  <c r="ES102" i="10"/>
  <c r="ES1026" i="10" s="1"/>
  <c r="ES19" i="4"/>
  <c r="B118" i="41" s="1"/>
  <c r="EW506" i="2" l="1"/>
  <c r="EW507" i="2"/>
  <c r="EW508" i="2" s="1"/>
  <c r="FC201" i="2"/>
  <c r="FC209" i="2" s="1"/>
  <c r="FD209" i="2" s="1"/>
  <c r="FE209" i="2" s="1"/>
  <c r="FF209" i="2" s="1"/>
  <c r="FG209" i="2" s="1"/>
  <c r="FH209" i="2" s="1"/>
  <c r="FI209" i="2" s="1"/>
  <c r="FC212" i="2"/>
  <c r="FD212" i="2" s="1"/>
  <c r="FE212" i="2" s="1"/>
  <c r="FF212" i="2" s="1"/>
  <c r="FG212" i="2" s="1"/>
  <c r="FH212" i="2" s="1"/>
  <c r="FI212" i="2" s="1"/>
  <c r="EV506" i="2"/>
  <c r="EV507" i="2"/>
  <c r="EV508" i="2" s="1"/>
  <c r="FB14" i="4"/>
  <c r="FC45" i="2"/>
  <c r="FB476" i="2"/>
  <c r="FC466" i="2"/>
  <c r="FF350" i="2"/>
  <c r="EX466" i="2"/>
  <c r="EX476" i="2" s="1"/>
  <c r="FD425" i="10"/>
  <c r="EX14" i="4"/>
  <c r="EX212" i="2"/>
  <c r="EX377" i="10"/>
  <c r="FE425" i="10"/>
  <c r="ET480" i="2"/>
  <c r="ET526" i="2"/>
  <c r="ET527" i="2" s="1"/>
  <c r="EX45" i="2"/>
  <c r="D338" i="39"/>
  <c r="B340" i="39"/>
  <c r="E338" i="38"/>
  <c r="D328" i="38"/>
  <c r="E106" i="39"/>
  <c r="E125" i="38"/>
  <c r="F121" i="38"/>
  <c r="F407" i="38"/>
  <c r="C219" i="38"/>
  <c r="C229" i="38" s="1"/>
  <c r="J440" i="38"/>
  <c r="C162" i="38"/>
  <c r="D225" i="38"/>
  <c r="F225" i="38" s="1"/>
  <c r="C507" i="38"/>
  <c r="C516" i="38" s="1"/>
  <c r="C490" i="38"/>
  <c r="E154" i="38"/>
  <c r="E155" i="38" s="1"/>
  <c r="B265" i="38"/>
  <c r="C265" i="38" s="1"/>
  <c r="C263" i="38" s="1"/>
  <c r="C264" i="38" s="1"/>
  <c r="B516" i="38"/>
  <c r="D513" i="38"/>
  <c r="E119" i="38"/>
  <c r="E120" i="38" s="1"/>
  <c r="F432" i="38"/>
  <c r="F431" i="38"/>
  <c r="D473" i="38"/>
  <c r="D479" i="38"/>
  <c r="F436" i="38"/>
  <c r="D442" i="38"/>
  <c r="D441" i="38"/>
  <c r="D117" i="38"/>
  <c r="J432" i="38"/>
  <c r="C481" i="38"/>
  <c r="C480" i="38"/>
  <c r="G394" i="38"/>
  <c r="G408" i="38"/>
  <c r="F474" i="38"/>
  <c r="E472" i="38"/>
  <c r="B442" i="38"/>
  <c r="H392" i="38"/>
  <c r="B441" i="38"/>
  <c r="J472" i="38"/>
  <c r="H424" i="38"/>
  <c r="G426" i="38"/>
  <c r="G430" i="38" s="1"/>
  <c r="I414" i="38"/>
  <c r="H417" i="38"/>
  <c r="H419" i="38" s="1"/>
  <c r="D116" i="38"/>
  <c r="J431" i="38"/>
  <c r="F410" i="38"/>
  <c r="F412" i="38" s="1"/>
  <c r="F396" i="38"/>
  <c r="G322" i="38"/>
  <c r="G326" i="38" s="1"/>
  <c r="C223" i="38"/>
  <c r="C224" i="38" s="1"/>
  <c r="D154" i="38"/>
  <c r="C164" i="38"/>
  <c r="B219" i="39" s="1"/>
  <c r="C219" i="39" s="1"/>
  <c r="B223" i="38"/>
  <c r="B224" i="38" s="1"/>
  <c r="C155" i="38"/>
  <c r="D371" i="38"/>
  <c r="D219" i="39" s="1"/>
  <c r="D336" i="38"/>
  <c r="D338" i="38" s="1"/>
  <c r="D327" i="38"/>
  <c r="C108" i="39"/>
  <c r="C2020" i="3"/>
  <c r="C2034" i="3" s="1"/>
  <c r="D119" i="38"/>
  <c r="C120" i="38"/>
  <c r="J435" i="38" s="1"/>
  <c r="B13" i="38"/>
  <c r="C126" i="38"/>
  <c r="J441" i="38" s="1"/>
  <c r="C127" i="38"/>
  <c r="J442" i="38" s="1"/>
  <c r="D125" i="38"/>
  <c r="D2092" i="3"/>
  <c r="C2096" i="3"/>
  <c r="G4452" i="3"/>
  <c r="G4433" i="3" s="1"/>
  <c r="G4434" i="3" s="1"/>
  <c r="G4447" i="3"/>
  <c r="H4444" i="3" s="1"/>
  <c r="ES54" i="4"/>
  <c r="FC374" i="10" l="1"/>
  <c r="FD201" i="2"/>
  <c r="FE201" i="2" s="1"/>
  <c r="FF201" i="2" s="1"/>
  <c r="FG201" i="2" s="1"/>
  <c r="FH201" i="2" s="1"/>
  <c r="FI201" i="2" s="1"/>
  <c r="FC476" i="2"/>
  <c r="FC14" i="4"/>
  <c r="FD374" i="10"/>
  <c r="FG350" i="2"/>
  <c r="FF425" i="10"/>
  <c r="FC377" i="10"/>
  <c r="FD204" i="2"/>
  <c r="J500" i="38"/>
  <c r="E162" i="38"/>
  <c r="E126" i="38"/>
  <c r="E127" i="38"/>
  <c r="F125" i="38"/>
  <c r="B14" i="38" s="1"/>
  <c r="I440" i="38" s="1"/>
  <c r="G407" i="38"/>
  <c r="F217" i="38"/>
  <c r="F219" i="38" s="1"/>
  <c r="F229" i="38" s="1"/>
  <c r="D219" i="38"/>
  <c r="C220" i="38"/>
  <c r="C221" i="38"/>
  <c r="F107" i="39"/>
  <c r="C231" i="38"/>
  <c r="D263" i="38"/>
  <c r="D264" i="38" s="1"/>
  <c r="F263" i="38"/>
  <c r="F272" i="38" s="1"/>
  <c r="E164" i="38"/>
  <c r="E166" i="38" s="1"/>
  <c r="C272" i="38"/>
  <c r="C273" i="38" s="1"/>
  <c r="D507" i="38"/>
  <c r="D516" i="38" s="1"/>
  <c r="D490" i="38"/>
  <c r="G431" i="38"/>
  <c r="G432" i="38"/>
  <c r="H394" i="38"/>
  <c r="H408" i="38"/>
  <c r="G436" i="38"/>
  <c r="G440" i="38" s="1"/>
  <c r="G500" i="38" s="1"/>
  <c r="F434" i="38"/>
  <c r="F435" i="38" s="1"/>
  <c r="I424" i="38"/>
  <c r="H426" i="38"/>
  <c r="H430" i="38" s="1"/>
  <c r="D481" i="38"/>
  <c r="D480" i="38"/>
  <c r="G410" i="38"/>
  <c r="G412" i="38" s="1"/>
  <c r="G396" i="38"/>
  <c r="E473" i="38"/>
  <c r="F440" i="38"/>
  <c r="F500" i="38" s="1"/>
  <c r="C165" i="38"/>
  <c r="J480" i="38" s="1"/>
  <c r="J479" i="38"/>
  <c r="G474" i="38"/>
  <c r="F472" i="38"/>
  <c r="D155" i="38"/>
  <c r="J473" i="38"/>
  <c r="D164" i="38"/>
  <c r="C166" i="38"/>
  <c r="J481" i="38" s="1"/>
  <c r="B20" i="38"/>
  <c r="B21" i="38" s="1"/>
  <c r="C119" i="39" s="1"/>
  <c r="C230" i="38"/>
  <c r="D2020" i="3"/>
  <c r="C111" i="39"/>
  <c r="G328" i="38"/>
  <c r="G327" i="38"/>
  <c r="G336" i="38"/>
  <c r="D223" i="38"/>
  <c r="E108" i="39"/>
  <c r="E111" i="39"/>
  <c r="D373" i="38"/>
  <c r="G371" i="38" s="1"/>
  <c r="D372" i="38"/>
  <c r="E119" i="39" s="1"/>
  <c r="D337" i="38"/>
  <c r="D120" i="38"/>
  <c r="D127" i="38"/>
  <c r="D126" i="38"/>
  <c r="C2113" i="3"/>
  <c r="D2096" i="3"/>
  <c r="G4453" i="3"/>
  <c r="FH100" i="2"/>
  <c r="FH184" i="10"/>
  <c r="G4462" i="3"/>
  <c r="G4465" i="3" s="1"/>
  <c r="G4501" i="3"/>
  <c r="H4541" i="3"/>
  <c r="G4439" i="3"/>
  <c r="FI350" i="2" l="1"/>
  <c r="FH350" i="2"/>
  <c r="FE204" i="2"/>
  <c r="FD377" i="10"/>
  <c r="FD466" i="2"/>
  <c r="FD476" i="2" s="1"/>
  <c r="FD45" i="2"/>
  <c r="FD14" i="4" s="1"/>
  <c r="FG425" i="10"/>
  <c r="K440" i="38"/>
  <c r="I426" i="38"/>
  <c r="K426" i="38" s="1"/>
  <c r="K424" i="38"/>
  <c r="C116" i="39"/>
  <c r="B239" i="39"/>
  <c r="D229" i="38"/>
  <c r="F108" i="39" s="1"/>
  <c r="F106" i="39"/>
  <c r="H407" i="38"/>
  <c r="D220" i="38"/>
  <c r="D221" i="38"/>
  <c r="F221" i="38"/>
  <c r="F220" i="38"/>
  <c r="D272" i="38"/>
  <c r="C274" i="38"/>
  <c r="F264" i="38"/>
  <c r="F231" i="38"/>
  <c r="E165" i="38"/>
  <c r="F230" i="38"/>
  <c r="J507" i="38"/>
  <c r="J490" i="38"/>
  <c r="G513" i="38"/>
  <c r="H431" i="38"/>
  <c r="H432" i="38"/>
  <c r="H410" i="38"/>
  <c r="H412" i="38" s="1"/>
  <c r="H396" i="38"/>
  <c r="G441" i="38"/>
  <c r="G442" i="38"/>
  <c r="H474" i="38"/>
  <c r="G472" i="38"/>
  <c r="F441" i="38"/>
  <c r="F442" i="38"/>
  <c r="F473" i="38"/>
  <c r="H436" i="38"/>
  <c r="G434" i="38"/>
  <c r="G435" i="38" s="1"/>
  <c r="F273" i="38"/>
  <c r="F119" i="39" s="1"/>
  <c r="F274" i="38"/>
  <c r="D224" i="38"/>
  <c r="F223" i="38"/>
  <c r="F224" i="38" s="1"/>
  <c r="H336" i="38"/>
  <c r="E116" i="39" s="1"/>
  <c r="G338" i="38"/>
  <c r="G337" i="38"/>
  <c r="G373" i="38"/>
  <c r="G372" i="38"/>
  <c r="G4469" i="3"/>
  <c r="G4467" i="3"/>
  <c r="FI100" i="2"/>
  <c r="G4982" i="3"/>
  <c r="FE374" i="10"/>
  <c r="FH425" i="10" l="1"/>
  <c r="FE377" i="10"/>
  <c r="FF204" i="2"/>
  <c r="FE45" i="2"/>
  <c r="FE14" i="4" s="1"/>
  <c r="FE466" i="2"/>
  <c r="FE476" i="2" s="1"/>
  <c r="J516" i="38"/>
  <c r="J503" i="38"/>
  <c r="D274" i="38"/>
  <c r="E219" i="39"/>
  <c r="D231" i="38"/>
  <c r="D230" i="38"/>
  <c r="G229" i="38"/>
  <c r="F116" i="39" s="1"/>
  <c r="F111" i="39"/>
  <c r="D273" i="38"/>
  <c r="I474" i="38"/>
  <c r="H472" i="38"/>
  <c r="I436" i="38"/>
  <c r="I430" i="38" s="1"/>
  <c r="H434" i="38"/>
  <c r="H435" i="38" s="1"/>
  <c r="G473" i="38"/>
  <c r="G479" i="38"/>
  <c r="H440" i="38"/>
  <c r="H500" i="38" s="1"/>
  <c r="FI184" i="10"/>
  <c r="FI425" i="10" l="1"/>
  <c r="FF377" i="10"/>
  <c r="FG204" i="2"/>
  <c r="FF466" i="2"/>
  <c r="FF476" i="2" s="1"/>
  <c r="FF45" i="2"/>
  <c r="FF14" i="4" s="1"/>
  <c r="I419" i="38"/>
  <c r="K430" i="38"/>
  <c r="I432" i="38"/>
  <c r="G507" i="38"/>
  <c r="G516" i="38" s="1"/>
  <c r="G490" i="38"/>
  <c r="H513" i="38"/>
  <c r="I472" i="38"/>
  <c r="I434" i="38"/>
  <c r="I435" i="38" s="1"/>
  <c r="I500" i="38"/>
  <c r="K500" i="38" s="1"/>
  <c r="H442" i="38"/>
  <c r="H441" i="38"/>
  <c r="H473" i="38"/>
  <c r="H479" i="38"/>
  <c r="G480" i="38"/>
  <c r="G481" i="38"/>
  <c r="FF374" i="10"/>
  <c r="FH204" i="2" l="1"/>
  <c r="FG377" i="10"/>
  <c r="FG466" i="2"/>
  <c r="FG476" i="2" s="1"/>
  <c r="FG45" i="2"/>
  <c r="FG14" i="4" s="1"/>
  <c r="K419" i="38"/>
  <c r="I417" i="38"/>
  <c r="I473" i="38"/>
  <c r="H507" i="38"/>
  <c r="H516" i="38" s="1"/>
  <c r="H490" i="38"/>
  <c r="I513" i="38"/>
  <c r="J513" i="38"/>
  <c r="H480" i="38"/>
  <c r="H481" i="38"/>
  <c r="I442" i="38"/>
  <c r="FG374" i="10"/>
  <c r="FI204" i="2" l="1"/>
  <c r="FH377" i="10"/>
  <c r="FH466" i="2"/>
  <c r="FH476" i="2" s="1"/>
  <c r="FH45" i="2"/>
  <c r="FH14" i="4" s="1"/>
  <c r="K417" i="38"/>
  <c r="I393" i="38"/>
  <c r="FH374" i="10"/>
  <c r="FI377" i="10" l="1"/>
  <c r="FI45" i="2"/>
  <c r="FI14" i="4" s="1"/>
  <c r="FI466" i="2"/>
  <c r="FI476" i="2" s="1"/>
  <c r="I392" i="38"/>
  <c r="I395" i="38"/>
  <c r="I409" i="38"/>
  <c r="I470" i="38"/>
  <c r="I468" i="38" s="1"/>
  <c r="I479" i="38" s="1"/>
  <c r="FI374" i="10"/>
  <c r="I507" i="38" l="1"/>
  <c r="I516" i="38" s="1"/>
  <c r="I490" i="38"/>
  <c r="I480" i="38"/>
  <c r="I481" i="38"/>
  <c r="I411" i="38"/>
  <c r="I431" i="38"/>
  <c r="I391" i="38"/>
  <c r="I394" i="38"/>
  <c r="I408" i="38"/>
  <c r="ES324" i="2"/>
  <c r="B31" i="37" s="1"/>
  <c r="ES618" i="2"/>
  <c r="I396" i="38" l="1"/>
  <c r="I410" i="38"/>
  <c r="I412" i="38" s="1"/>
  <c r="I407" i="38"/>
  <c r="I441" i="38"/>
  <c r="ES619" i="2"/>
  <c r="ES457" i="2" l="1"/>
  <c r="ES640" i="2"/>
  <c r="ES658" i="2"/>
  <c r="ET408" i="10" l="1"/>
  <c r="ES662" i="2"/>
  <c r="ES458" i="2"/>
  <c r="EU408" i="10" l="1"/>
  <c r="ET420" i="10"/>
  <c r="EW408" i="10" l="1"/>
  <c r="EV408" i="10"/>
  <c r="ES189" i="2" l="1"/>
  <c r="ES621" i="2"/>
  <c r="ES326" i="2" l="1"/>
  <c r="ES622" i="2"/>
  <c r="ES623" i="2" s="1"/>
  <c r="ES660" i="2" l="1"/>
  <c r="ES632" i="2"/>
  <c r="ES634" i="2" l="1"/>
  <c r="ES608" i="2"/>
  <c r="ES161" i="10" s="1"/>
  <c r="F4935" i="3"/>
  <c r="ES642" i="2"/>
  <c r="ES629" i="2"/>
  <c r="ES641" i="2" l="1"/>
  <c r="ES609" i="2"/>
  <c r="ES639" i="2"/>
  <c r="ES636" i="2"/>
  <c r="D172" i="41" s="1"/>
  <c r="D171" i="41" s="1"/>
  <c r="F4948" i="3" l="1"/>
  <c r="ES644" i="2"/>
  <c r="ES638" i="2"/>
  <c r="D172" i="6"/>
  <c r="D171" i="6" l="1"/>
  <c r="F4953" i="3"/>
  <c r="F4949" i="3"/>
  <c r="ES630" i="2" l="1"/>
  <c r="ES137" i="4" l="1"/>
  <c r="G5084" i="3"/>
  <c r="G5085" i="3" s="1"/>
  <c r="G62" i="19" l="1"/>
  <c r="F62" i="19"/>
  <c r="B5441" i="3"/>
  <c r="C5441" i="3" l="1"/>
  <c r="D5441" i="3" l="1"/>
  <c r="E5441" i="3" l="1"/>
  <c r="F5441" i="3" l="1"/>
  <c r="G5441" i="3" l="1"/>
  <c r="H5441" i="3" l="1"/>
  <c r="I5441" i="3" l="1"/>
  <c r="J5441" i="3" l="1"/>
  <c r="K5441" i="3" l="1"/>
  <c r="L5441" i="3" l="1"/>
  <c r="M5441" i="3" l="1"/>
  <c r="EM67" i="2"/>
  <c r="EM72" i="2" s="1"/>
  <c r="EN483" i="2"/>
  <c r="EM133" i="10"/>
  <c r="EN484" i="2" l="1"/>
  <c r="EM357" i="2"/>
  <c r="EM358" i="2" s="1"/>
  <c r="EN67" i="2"/>
  <c r="EN72" i="2" s="1"/>
  <c r="EN357" i="2" s="1"/>
  <c r="EN358" i="2" s="1"/>
  <c r="EM43" i="4"/>
  <c r="EN485" i="2"/>
  <c r="EM71" i="2"/>
  <c r="EN71" i="2" s="1"/>
  <c r="EN133" i="10"/>
  <c r="EM73" i="2"/>
  <c r="EM219" i="2"/>
  <c r="EM19" i="2"/>
  <c r="EN19" i="2" s="1"/>
  <c r="EN380" i="2"/>
  <c r="EM434" i="10"/>
  <c r="EN23" i="2" l="1"/>
  <c r="EN16" i="2"/>
  <c r="EM355" i="2"/>
  <c r="EM430" i="10" s="1"/>
  <c r="EN73" i="2"/>
  <c r="EN486" i="2"/>
  <c r="H57" i="19"/>
  <c r="EN219" i="2"/>
  <c r="EN220" i="2" s="1"/>
  <c r="EM30" i="2"/>
  <c r="EM79" i="2"/>
  <c r="EM46" i="4"/>
  <c r="EM48" i="4" s="1"/>
  <c r="EN43" i="4"/>
  <c r="EN57" i="4"/>
  <c r="EM23" i="2"/>
  <c r="EM217" i="2"/>
  <c r="EN217" i="2" s="1"/>
  <c r="EM220" i="2"/>
  <c r="EM435" i="10"/>
  <c r="EN388" i="2"/>
  <c r="EN384" i="2"/>
  <c r="EN385" i="2" s="1"/>
  <c r="EN381" i="2"/>
  <c r="EN386" i="2"/>
  <c r="EN434" i="10"/>
  <c r="EN382" i="2"/>
  <c r="EN383" i="2" s="1"/>
  <c r="EN79" i="2"/>
  <c r="EN30" i="2"/>
  <c r="B2141" i="3" l="1"/>
  <c r="D2141" i="3"/>
  <c r="C2141" i="3"/>
  <c r="EN9" i="32"/>
  <c r="EN11" i="32" s="1"/>
  <c r="EM9" i="32"/>
  <c r="EM11" i="32" s="1"/>
  <c r="EN355" i="2"/>
  <c r="EN356" i="2" s="1"/>
  <c r="EM372" i="2"/>
  <c r="EM374" i="2" s="1"/>
  <c r="EM375" i="2" s="1"/>
  <c r="EM356" i="2"/>
  <c r="EN46" i="4"/>
  <c r="EN48" i="4" s="1"/>
  <c r="EM205" i="4"/>
  <c r="EM49" i="4"/>
  <c r="EM50" i="4"/>
  <c r="EM21" i="2"/>
  <c r="EM24" i="2" s="1"/>
  <c r="EM33" i="2"/>
  <c r="EM36" i="2"/>
  <c r="EN59" i="4"/>
  <c r="EM382" i="10"/>
  <c r="EM199" i="4"/>
  <c r="EN199" i="4" s="1"/>
  <c r="EM103" i="10"/>
  <c r="EM1027" i="10" s="1"/>
  <c r="EM1028" i="10" s="1"/>
  <c r="EN136" i="4"/>
  <c r="EM218" i="2"/>
  <c r="EM235" i="2"/>
  <c r="EN390" i="2"/>
  <c r="EN435" i="10"/>
  <c r="EN389" i="2"/>
  <c r="EN218" i="2"/>
  <c r="EN382" i="10"/>
  <c r="E4959" i="3"/>
  <c r="E4890" i="3"/>
  <c r="EN33" i="2"/>
  <c r="EN36" i="2"/>
  <c r="EM18" i="2"/>
  <c r="EN243" i="2"/>
  <c r="EM386" i="10"/>
  <c r="B61" i="42" l="1"/>
  <c r="B52" i="42" s="1"/>
  <c r="B72" i="42"/>
  <c r="D175" i="3"/>
  <c r="D174" i="3" s="1"/>
  <c r="D177" i="3" s="1"/>
  <c r="D179" i="3" s="1"/>
  <c r="D181" i="3" s="1"/>
  <c r="E185" i="3" s="1"/>
  <c r="C84" i="41"/>
  <c r="C75" i="41" s="1"/>
  <c r="C211" i="41"/>
  <c r="C95" i="41"/>
  <c r="EM360" i="2"/>
  <c r="EM362" i="2" s="1"/>
  <c r="EN430" i="10"/>
  <c r="EM376" i="2"/>
  <c r="EM377" i="2" s="1"/>
  <c r="EN372" i="2"/>
  <c r="EN433" i="10" s="1"/>
  <c r="EM433" i="10"/>
  <c r="EM378" i="2"/>
  <c r="EM373" i="2"/>
  <c r="C84" i="6"/>
  <c r="C75" i="6" s="1"/>
  <c r="B35" i="3"/>
  <c r="EN205" i="4"/>
  <c r="C95" i="6"/>
  <c r="EN49" i="4"/>
  <c r="D32" i="11"/>
  <c r="EN103" i="10"/>
  <c r="E5012" i="3"/>
  <c r="E5015" i="3" s="1"/>
  <c r="B123" i="19"/>
  <c r="D237" i="24"/>
  <c r="D234" i="24" s="1"/>
  <c r="C211" i="6"/>
  <c r="B2952" i="3"/>
  <c r="B2954" i="3" s="1"/>
  <c r="C3821" i="3"/>
  <c r="EN50" i="4"/>
  <c r="EJ68" i="18"/>
  <c r="EN61" i="4"/>
  <c r="D149" i="3" s="1"/>
  <c r="EM121" i="10"/>
  <c r="EM140" i="10"/>
  <c r="EM142" i="10" s="1"/>
  <c r="EM241" i="2"/>
  <c r="EM237" i="2"/>
  <c r="EM238" i="2" s="1"/>
  <c r="EM222" i="2"/>
  <c r="EM239" i="2"/>
  <c r="EM240" i="2" s="1"/>
  <c r="EM236" i="2"/>
  <c r="EM385" i="10"/>
  <c r="EN235" i="2"/>
  <c r="EN18" i="2"/>
  <c r="EN17" i="2" s="1"/>
  <c r="EM22" i="2"/>
  <c r="EM20" i="2"/>
  <c r="EN20" i="2" s="1"/>
  <c r="E4960" i="3"/>
  <c r="E4971" i="3"/>
  <c r="E4967" i="3"/>
  <c r="EN251" i="2"/>
  <c r="EM387" i="10"/>
  <c r="EN247" i="2"/>
  <c r="EN248" i="2" s="1"/>
  <c r="EN245" i="2"/>
  <c r="EN246" i="2" s="1"/>
  <c r="EN244" i="2"/>
  <c r="EN249" i="2"/>
  <c r="EN386" i="10"/>
  <c r="D192" i="3" l="1"/>
  <c r="D195" i="3" s="1"/>
  <c r="D201" i="3" s="1"/>
  <c r="D204" i="3" s="1"/>
  <c r="G187" i="3"/>
  <c r="D184" i="3"/>
  <c r="D190" i="3" s="1"/>
  <c r="D205" i="3" s="1"/>
  <c r="H188" i="3"/>
  <c r="F186" i="3"/>
  <c r="B70" i="42"/>
  <c r="B71" i="42" s="1"/>
  <c r="B74" i="42" s="1"/>
  <c r="B54" i="42"/>
  <c r="B63" i="42" s="1"/>
  <c r="C223" i="41"/>
  <c r="C213" i="41"/>
  <c r="C214" i="41"/>
  <c r="C77" i="41"/>
  <c r="C86" i="41" s="1"/>
  <c r="C85" i="41" s="1"/>
  <c r="C93" i="41"/>
  <c r="C94" i="41" s="1"/>
  <c r="C97" i="41" s="1"/>
  <c r="D206" i="3"/>
  <c r="D152" i="3"/>
  <c r="D157" i="3" s="1"/>
  <c r="D161" i="3" s="1"/>
  <c r="D158" i="3"/>
  <c r="D162" i="3" s="1"/>
  <c r="EN140" i="10"/>
  <c r="EN142" i="10" s="1"/>
  <c r="EN1027" i="10"/>
  <c r="EN1028" i="10" s="1"/>
  <c r="EN360" i="2"/>
  <c r="EN431" i="10" s="1"/>
  <c r="EM361" i="2"/>
  <c r="EM431" i="10"/>
  <c r="EM364" i="2"/>
  <c r="EM365" i="2" s="1"/>
  <c r="EM498" i="2"/>
  <c r="EM502" i="2" s="1"/>
  <c r="EM503" i="2" s="1"/>
  <c r="EN374" i="2"/>
  <c r="EN375" i="2" s="1"/>
  <c r="EN376" i="2"/>
  <c r="EN377" i="2" s="1"/>
  <c r="EN378" i="2"/>
  <c r="EN373" i="2"/>
  <c r="EM363" i="2"/>
  <c r="E136" i="19"/>
  <c r="F136" i="19" s="1"/>
  <c r="E153" i="19"/>
  <c r="G153" i="19" s="1"/>
  <c r="EN121" i="10"/>
  <c r="E5014" i="3"/>
  <c r="E5016" i="3"/>
  <c r="E5017" i="3" s="1"/>
  <c r="D238" i="24"/>
  <c r="D239" i="24"/>
  <c r="C213" i="6"/>
  <c r="B2947" i="3"/>
  <c r="B2949" i="3" s="1"/>
  <c r="C223" i="6"/>
  <c r="EN62" i="4"/>
  <c r="EN63" i="4"/>
  <c r="EN69" i="4"/>
  <c r="C93" i="6"/>
  <c r="C77" i="6"/>
  <c r="D235" i="24"/>
  <c r="D236" i="24"/>
  <c r="EN239" i="2"/>
  <c r="EN240" i="2" s="1"/>
  <c r="EN237" i="2"/>
  <c r="EN238" i="2" s="1"/>
  <c r="EN236" i="2"/>
  <c r="EN385" i="10"/>
  <c r="EN241" i="2"/>
  <c r="EM227" i="2"/>
  <c r="EM223" i="2"/>
  <c r="EM224" i="2"/>
  <c r="EM383" i="10"/>
  <c r="EN222" i="2"/>
  <c r="EN21" i="2"/>
  <c r="EN24" i="2" s="1"/>
  <c r="EN22" i="2"/>
  <c r="EN253" i="2"/>
  <c r="EN252" i="2"/>
  <c r="EN387" i="10"/>
  <c r="B62" i="42" l="1"/>
  <c r="B65" i="42"/>
  <c r="B68" i="42" s="1"/>
  <c r="C225" i="41"/>
  <c r="C226" i="41"/>
  <c r="D163" i="3"/>
  <c r="EN364" i="2"/>
  <c r="EN365" i="2" s="1"/>
  <c r="EN361" i="2"/>
  <c r="EN362" i="2"/>
  <c r="EN363" i="2" s="1"/>
  <c r="EM510" i="2"/>
  <c r="EM518" i="2" s="1"/>
  <c r="EM499" i="2"/>
  <c r="EM500" i="2"/>
  <c r="EM501" i="2" s="1"/>
  <c r="G136" i="19"/>
  <c r="F153" i="19"/>
  <c r="E5018" i="3"/>
  <c r="C225" i="6"/>
  <c r="C94" i="6"/>
  <c r="C3812" i="3" s="1"/>
  <c r="C3814" i="3" s="1"/>
  <c r="EN74" i="4"/>
  <c r="D75" i="3" s="1"/>
  <c r="D100" i="3" s="1"/>
  <c r="EM106" i="10"/>
  <c r="C86" i="6"/>
  <c r="EM228" i="2"/>
  <c r="EM226" i="2"/>
  <c r="EM225" i="2"/>
  <c r="EN224" i="2"/>
  <c r="EN383" i="10"/>
  <c r="EN227" i="2"/>
  <c r="EN228" i="2" s="1"/>
  <c r="EN223" i="2"/>
  <c r="EN498" i="2"/>
  <c r="EM514" i="2" l="1"/>
  <c r="EM515" i="2" s="1"/>
  <c r="EM516" i="2"/>
  <c r="EM511" i="2"/>
  <c r="EM512" i="2"/>
  <c r="EM513" i="2" s="1"/>
  <c r="EN152" i="4"/>
  <c r="EN154" i="4" s="1"/>
  <c r="C97" i="6"/>
  <c r="C3831" i="3"/>
  <c r="C3816" i="3"/>
  <c r="EN75" i="4"/>
  <c r="EM107" i="10"/>
  <c r="EM524" i="2"/>
  <c r="EM522" i="2"/>
  <c r="EM523" i="2" s="1"/>
  <c r="EM519" i="2"/>
  <c r="EM528" i="2"/>
  <c r="EM520" i="2"/>
  <c r="EM521" i="2" s="1"/>
  <c r="EN106" i="10"/>
  <c r="EN162" i="4"/>
  <c r="C85" i="6"/>
  <c r="EN500" i="2"/>
  <c r="EN501" i="2" s="1"/>
  <c r="EN499" i="2"/>
  <c r="EN502" i="2"/>
  <c r="EN503" i="2" s="1"/>
  <c r="EN226" i="2"/>
  <c r="EN510" i="2"/>
  <c r="EQ430" i="10"/>
  <c r="EQ18" i="2"/>
  <c r="EQ22" i="2" s="1"/>
  <c r="EQ382" i="10"/>
  <c r="G66" i="3" l="1"/>
  <c r="G68" i="3" s="1"/>
  <c r="D85" i="3"/>
  <c r="ER18" i="2"/>
  <c r="ER22" i="2" s="1"/>
  <c r="EN77" i="4"/>
  <c r="EN167" i="4"/>
  <c r="EN168" i="4" s="1"/>
  <c r="EN107" i="10"/>
  <c r="EN76" i="4"/>
  <c r="EN120" i="10" s="1"/>
  <c r="EM120" i="10"/>
  <c r="EM530" i="2"/>
  <c r="EM529" i="2"/>
  <c r="EN187" i="4"/>
  <c r="EN100" i="4"/>
  <c r="EN159" i="4"/>
  <c r="EN518" i="2"/>
  <c r="EN511" i="2"/>
  <c r="EN512" i="2"/>
  <c r="EN513" i="2" s="1"/>
  <c r="EN514" i="2"/>
  <c r="EN515" i="2" s="1"/>
  <c r="EN516" i="2"/>
  <c r="EQ386" i="10"/>
  <c r="C152" i="6" l="1"/>
  <c r="C154" i="6" s="1"/>
  <c r="C156" i="6" s="1"/>
  <c r="C152" i="41"/>
  <c r="C154" i="41" s="1"/>
  <c r="C156" i="41" s="1"/>
  <c r="D110" i="3"/>
  <c r="D112" i="3" s="1"/>
  <c r="D87" i="3"/>
  <c r="D80" i="3"/>
  <c r="ER386" i="10"/>
  <c r="EN158" i="4"/>
  <c r="EO157" i="4" s="1"/>
  <c r="EN79" i="4"/>
  <c r="EN1033" i="10" s="1"/>
  <c r="EN1032" i="10" s="1"/>
  <c r="EM535" i="2"/>
  <c r="EM533" i="2"/>
  <c r="EM534" i="2"/>
  <c r="E5090" i="3"/>
  <c r="E5089" i="3" s="1"/>
  <c r="E5091" i="3" s="1"/>
  <c r="E5095" i="3" s="1"/>
  <c r="EN108" i="10"/>
  <c r="EN524" i="2"/>
  <c r="EN519" i="2"/>
  <c r="EN522" i="2"/>
  <c r="EN523" i="2" s="1"/>
  <c r="EN520" i="2"/>
  <c r="EN521" i="2" s="1"/>
  <c r="EN528" i="2"/>
  <c r="EN529" i="2" s="1"/>
  <c r="EQ387" i="10"/>
  <c r="D105" i="3" l="1"/>
  <c r="D106" i="3" s="1"/>
  <c r="D81" i="3"/>
  <c r="D88" i="3" s="1"/>
  <c r="D89" i="3" s="1"/>
  <c r="ER387" i="10"/>
  <c r="EO159" i="4"/>
  <c r="EO160" i="4" s="1"/>
  <c r="EN81" i="4"/>
  <c r="EN109" i="10" s="1"/>
  <c r="EM109" i="10"/>
  <c r="EN96" i="4"/>
  <c r="ES157" i="4"/>
  <c r="EN163" i="4"/>
  <c r="EN164" i="4"/>
  <c r="EN530" i="2"/>
  <c r="C177" i="41" s="1"/>
  <c r="C181" i="41" l="1"/>
  <c r="C176" i="41"/>
  <c r="D113" i="3"/>
  <c r="D114" i="3" s="1"/>
  <c r="D116" i="3" s="1"/>
  <c r="D118" i="3" s="1"/>
  <c r="D164" i="3"/>
  <c r="D91" i="3"/>
  <c r="D93" i="3" s="1"/>
  <c r="D78" i="3"/>
  <c r="D79" i="3" s="1"/>
  <c r="D83" i="3" s="1"/>
  <c r="EO163" i="4"/>
  <c r="EO164" i="4" s="1"/>
  <c r="EP157" i="4"/>
  <c r="EN105" i="4"/>
  <c r="EN113" i="10" s="1"/>
  <c r="EM113" i="10"/>
  <c r="EN80" i="4"/>
  <c r="C201" i="41" s="1"/>
  <c r="EN532" i="2"/>
  <c r="EN535" i="2"/>
  <c r="EN534" i="2"/>
  <c r="EN533" i="2"/>
  <c r="C177" i="6"/>
  <c r="C185" i="41" l="1"/>
  <c r="C180" i="41"/>
  <c r="D103" i="3"/>
  <c r="D104" i="3" s="1"/>
  <c r="D108" i="3" s="1"/>
  <c r="EP159" i="4"/>
  <c r="EP160" i="4" s="1"/>
  <c r="EQ157" i="4" s="1"/>
  <c r="EN110" i="10"/>
  <c r="EN1020" i="10" s="1"/>
  <c r="C201" i="6"/>
  <c r="EN122" i="4"/>
  <c r="EN129" i="4"/>
  <c r="EN140" i="4"/>
  <c r="EN143" i="4"/>
  <c r="EO137" i="10"/>
  <c r="C176" i="6"/>
  <c r="C181" i="6"/>
  <c r="C186" i="41" l="1"/>
  <c r="EQ159" i="4"/>
  <c r="EQ160" i="4" s="1"/>
  <c r="EM122" i="10"/>
  <c r="EM1029" i="10" s="1"/>
  <c r="EN132" i="4"/>
  <c r="EN1037" i="10" s="1"/>
  <c r="EN124" i="4"/>
  <c r="EO123" i="4" s="1"/>
  <c r="EO124" i="4" s="1"/>
  <c r="EP123" i="4" s="1"/>
  <c r="EP124" i="4" s="1"/>
  <c r="EQ123" i="4" s="1"/>
  <c r="EQ124" i="4" s="1"/>
  <c r="ER123" i="4" s="1"/>
  <c r="ER124" i="4" s="1"/>
  <c r="EN145" i="4"/>
  <c r="EO138" i="10"/>
  <c r="C185" i="6"/>
  <c r="C186" i="6" s="1"/>
  <c r="C180" i="6"/>
  <c r="C195" i="41" l="1"/>
  <c r="C200" i="41" s="1"/>
  <c r="C190" i="41"/>
  <c r="C193" i="41"/>
  <c r="C198" i="41" s="1"/>
  <c r="C194" i="41"/>
  <c r="C199" i="41" s="1"/>
  <c r="EQ163" i="4"/>
  <c r="EQ164" i="4" s="1"/>
  <c r="ER157" i="4"/>
  <c r="EN171" i="4"/>
  <c r="D35" i="11"/>
  <c r="ES123" i="4"/>
  <c r="E4984" i="3"/>
  <c r="E4985" i="3" s="1"/>
  <c r="I17" i="27"/>
  <c r="E161" i="19"/>
  <c r="B41" i="3"/>
  <c r="B40" i="3" s="1"/>
  <c r="C17" i="27"/>
  <c r="C19" i="27" s="1"/>
  <c r="I18" i="27"/>
  <c r="B2962" i="3"/>
  <c r="B2964" i="3" s="1"/>
  <c r="D34" i="11"/>
  <c r="E144" i="19"/>
  <c r="EN122" i="10"/>
  <c r="EN1029" i="10" s="1"/>
  <c r="EN147" i="4"/>
  <c r="EN149" i="4" s="1"/>
  <c r="EN134" i="4"/>
  <c r="EM114" i="10"/>
  <c r="EM123" i="10" s="1"/>
  <c r="C190" i="6"/>
  <c r="C195" i="6"/>
  <c r="C193" i="6" s="1"/>
  <c r="C198" i="6" s="1"/>
  <c r="C192" i="41" l="1"/>
  <c r="C197" i="41" s="1"/>
  <c r="ER159" i="4"/>
  <c r="ER160" i="4" s="1"/>
  <c r="ER163" i="4" s="1"/>
  <c r="ER164" i="4" s="1"/>
  <c r="I19" i="27"/>
  <c r="C192" i="6"/>
  <c r="C197" i="6" s="1"/>
  <c r="G161" i="19"/>
  <c r="F161" i="19"/>
  <c r="EN133" i="4"/>
  <c r="EN114" i="10"/>
  <c r="EN123" i="10" s="1"/>
  <c r="G144" i="19"/>
  <c r="F144" i="19"/>
  <c r="EN176" i="4"/>
  <c r="EM116" i="10"/>
  <c r="EN197" i="4"/>
  <c r="EN116" i="10" s="1"/>
  <c r="C194" i="6"/>
  <c r="C199" i="6" s="1"/>
  <c r="C200" i="6"/>
  <c r="EN198" i="4" l="1"/>
  <c r="EM200" i="4"/>
  <c r="EM126" i="4" s="1"/>
  <c r="EM117" i="10"/>
  <c r="EM1021" i="10" s="1"/>
  <c r="EM1030" i="10" s="1"/>
  <c r="EN180" i="4"/>
  <c r="B75" i="42" l="1"/>
  <c r="B76" i="42" s="1"/>
  <c r="B78" i="42" s="1"/>
  <c r="EN16" i="32"/>
  <c r="EN17" i="32" s="1"/>
  <c r="C98" i="41"/>
  <c r="C99" i="41" s="1"/>
  <c r="C101" i="41" s="1"/>
  <c r="EN190" i="4"/>
  <c r="EN191" i="4"/>
  <c r="EN192" i="4" s="1"/>
  <c r="EN117" i="10"/>
  <c r="EN1021" i="10" s="1"/>
  <c r="C98" i="6"/>
  <c r="C99" i="6" s="1"/>
  <c r="C101" i="6" s="1"/>
  <c r="EN200" i="4"/>
  <c r="EO17" i="32" l="1"/>
  <c r="EN1030" i="10"/>
  <c r="I22" i="27"/>
  <c r="EN126" i="4"/>
  <c r="D36" i="11"/>
  <c r="I23" i="27"/>
  <c r="C22" i="27"/>
  <c r="C24" i="27" s="1"/>
  <c r="I24" i="27" l="1"/>
  <c r="FF115" i="10" l="1"/>
  <c r="FF202" i="4"/>
  <c r="FF211" i="4" l="1"/>
  <c r="FF218" i="4"/>
  <c r="FF220" i="4" s="1"/>
  <c r="FF87" i="4" l="1"/>
  <c r="FF88" i="4" s="1"/>
  <c r="FG85" i="4" l="1"/>
  <c r="FF91" i="4"/>
  <c r="FF93" i="4" s="1"/>
  <c r="FF80" i="4" s="1"/>
  <c r="FG89" i="4"/>
  <c r="FF133" i="4" l="1"/>
  <c r="I201" i="41"/>
  <c r="FF110" i="10"/>
  <c r="FF1020" i="10" s="1"/>
  <c r="I201" i="6"/>
  <c r="FF148" i="4"/>
  <c r="FH126" i="4" l="1"/>
  <c r="L36" i="11"/>
  <c r="FI126" i="4" l="1"/>
  <c r="M36" i="11"/>
  <c r="ES400" i="2" l="1"/>
  <c r="ES411" i="2"/>
  <c r="ES434" i="2"/>
  <c r="EO184" i="10"/>
  <c r="ES100" i="2" l="1"/>
  <c r="ES565" i="2"/>
  <c r="ES569" i="2" l="1"/>
  <c r="ES567" i="2"/>
  <c r="ES566" i="2"/>
  <c r="ES570" i="2"/>
  <c r="ES572" i="2"/>
  <c r="D1955" i="3" l="1"/>
  <c r="D1953" i="3" s="1"/>
  <c r="B87" i="37"/>
  <c r="ES10" i="32"/>
  <c r="B2033" i="3"/>
  <c r="B2112" i="3" s="1"/>
  <c r="EK666" i="18"/>
  <c r="EK664" i="18" s="1"/>
  <c r="EK665" i="18" s="1"/>
  <c r="B2767" i="3"/>
  <c r="B2766" i="3" s="1"/>
  <c r="B2774" i="3" s="1"/>
  <c r="B2775" i="3" s="1"/>
  <c r="B2781" i="3"/>
  <c r="ES588" i="2"/>
  <c r="ES589" i="2" s="1"/>
  <c r="D11" i="27"/>
  <c r="F4977" i="3"/>
  <c r="F4978" i="3" s="1"/>
  <c r="ES576" i="2"/>
  <c r="ES574" i="2"/>
  <c r="ES573" i="2"/>
  <c r="ES575" i="2"/>
  <c r="ES107" i="4"/>
  <c r="ES110" i="4"/>
  <c r="B36" i="30"/>
  <c r="D36" i="30" s="1"/>
  <c r="E92" i="3" l="1"/>
  <c r="E117" i="3" s="1"/>
  <c r="B112" i="41"/>
  <c r="B121" i="41" s="1"/>
  <c r="D218" i="41"/>
  <c r="D220" i="41" s="1"/>
  <c r="B96" i="37"/>
  <c r="B88" i="37"/>
  <c r="B2114" i="3"/>
  <c r="D2114" i="3" s="1"/>
  <c r="D2112" i="3"/>
  <c r="B2113" i="3"/>
  <c r="D2033" i="3"/>
  <c r="B2034" i="3"/>
  <c r="B2035" i="3"/>
  <c r="D2035" i="3" s="1"/>
  <c r="EK669" i="18"/>
  <c r="E278" i="24" s="1"/>
  <c r="B2789" i="3"/>
  <c r="B2776" i="3"/>
  <c r="EP141" i="10"/>
  <c r="ES144" i="4"/>
  <c r="EO141" i="10"/>
  <c r="ES130" i="4"/>
  <c r="D14" i="27"/>
  <c r="D13" i="27"/>
  <c r="ES112" i="10"/>
  <c r="D218" i="6"/>
  <c r="C36" i="3"/>
  <c r="C2957" i="3"/>
  <c r="C2959" i="3" s="1"/>
  <c r="F5021" i="3"/>
  <c r="D36" i="3" l="1"/>
  <c r="EK678" i="18"/>
  <c r="EK677" i="18" s="1"/>
  <c r="EL680" i="18" s="1"/>
  <c r="EK674" i="18"/>
  <c r="E33" i="11"/>
  <c r="EO104" i="10"/>
  <c r="EO1032" i="10" s="1"/>
  <c r="E110" i="19"/>
  <c r="ES141" i="10"/>
  <c r="D220" i="6"/>
  <c r="F5025" i="3"/>
  <c r="F5023" i="3"/>
  <c r="F5024" i="3"/>
  <c r="E279" i="24"/>
  <c r="E280" i="24"/>
  <c r="E281" i="24"/>
  <c r="EK325" i="18" l="1"/>
  <c r="EK332" i="18" s="1"/>
  <c r="EK334" i="18" s="1"/>
  <c r="EK682" i="18"/>
  <c r="EP104" i="10"/>
  <c r="EP1032" i="10" s="1"/>
  <c r="ES590" i="2"/>
  <c r="ES591" i="2" s="1"/>
  <c r="F5026" i="3"/>
  <c r="F5027" i="3"/>
  <c r="G110" i="19"/>
  <c r="F110" i="19"/>
  <c r="E282" i="24"/>
  <c r="E283" i="24"/>
  <c r="EK333" i="18" l="1"/>
  <c r="EQ104" i="10"/>
  <c r="EQ1032" i="10" s="1"/>
  <c r="ES587" i="2" l="1"/>
  <c r="ES592" i="2" s="1"/>
  <c r="ER592" i="2" l="1"/>
  <c r="B489" i="38"/>
  <c r="EQ592" i="2"/>
  <c r="EP592" i="2"/>
  <c r="EO592" i="2"/>
  <c r="ER104" i="10"/>
  <c r="ES153" i="4"/>
  <c r="ES65" i="4"/>
  <c r="B108" i="41" s="1"/>
  <c r="B113" i="41" l="1"/>
  <c r="B122" i="41"/>
  <c r="B503" i="38"/>
  <c r="C492" i="38"/>
  <c r="C489" i="38" s="1"/>
  <c r="E150" i="3"/>
  <c r="ES104" i="10"/>
  <c r="ES97" i="4"/>
  <c r="C503" i="38" l="1"/>
  <c r="D492" i="38"/>
  <c r="D489" i="38" s="1"/>
  <c r="B508" i="38"/>
  <c r="B517" i="38"/>
  <c r="ES178" i="4"/>
  <c r="ES1031" i="10" s="1"/>
  <c r="ER1031" i="10"/>
  <c r="E492" i="38" l="1"/>
  <c r="D503" i="38"/>
  <c r="C508" i="38"/>
  <c r="C517" i="38"/>
  <c r="G35" i="30"/>
  <c r="EO18" i="2"/>
  <c r="EO22" i="2" s="1"/>
  <c r="EO386" i="10"/>
  <c r="EO387" i="10"/>
  <c r="D517" i="38" l="1"/>
  <c r="D508" i="38"/>
  <c r="EO19" i="2"/>
  <c r="EO434" i="10"/>
  <c r="EO435" i="10"/>
  <c r="EO67" i="2"/>
  <c r="EO71" i="2" s="1"/>
  <c r="EO30" i="2" s="1"/>
  <c r="EO133" i="10"/>
  <c r="B1322" i="3" l="1"/>
  <c r="B1321" i="3" s="1"/>
  <c r="EO23" i="2"/>
  <c r="EO9" i="32"/>
  <c r="EO11" i="32" s="1"/>
  <c r="EO72" i="2"/>
  <c r="EO219" i="2" s="1"/>
  <c r="EO43" i="4"/>
  <c r="EO21" i="2"/>
  <c r="EO36" i="2"/>
  <c r="B1920" i="3" s="1"/>
  <c r="EO79" i="2"/>
  <c r="EO33" i="2"/>
  <c r="EO73" i="2" l="1"/>
  <c r="EO357" i="2"/>
  <c r="EO358" i="2" s="1"/>
  <c r="EO46" i="4"/>
  <c r="EO48" i="4" s="1"/>
  <c r="EO24" i="2"/>
  <c r="EO20" i="2"/>
  <c r="EO217" i="2"/>
  <c r="EO220" i="2"/>
  <c r="EO103" i="10" l="1"/>
  <c r="EO1027" i="10" s="1"/>
  <c r="EO1028" i="10" s="1"/>
  <c r="EO355" i="2"/>
  <c r="EO430" i="10" s="1"/>
  <c r="EO199" i="4"/>
  <c r="EO200" i="4" s="1"/>
  <c r="EO205" i="4"/>
  <c r="EO50" i="4"/>
  <c r="EO49" i="4"/>
  <c r="EO106" i="10"/>
  <c r="EO218" i="2"/>
  <c r="EO235" i="2"/>
  <c r="EO382" i="10"/>
  <c r="EO121" i="10" l="1"/>
  <c r="EO140" i="10"/>
  <c r="EO142" i="10" s="1"/>
  <c r="EO372" i="2"/>
  <c r="EO378" i="2" s="1"/>
  <c r="EO356" i="2"/>
  <c r="EO120" i="10"/>
  <c r="EO107" i="10"/>
  <c r="EO222" i="2"/>
  <c r="EO236" i="2"/>
  <c r="EO237" i="2"/>
  <c r="EO238" i="2" s="1"/>
  <c r="EO241" i="2"/>
  <c r="EO239" i="2"/>
  <c r="EO240" i="2" s="1"/>
  <c r="EO385" i="10"/>
  <c r="EO360" i="2" l="1"/>
  <c r="EO362" i="2" s="1"/>
  <c r="EO373" i="2"/>
  <c r="EO376" i="2"/>
  <c r="EO377" i="2" s="1"/>
  <c r="EO433" i="10"/>
  <c r="EO374" i="2"/>
  <c r="EO375" i="2" s="1"/>
  <c r="EO109" i="10"/>
  <c r="EO223" i="2"/>
  <c r="EO227" i="2"/>
  <c r="EO228" i="2" s="1"/>
  <c r="EO224" i="2"/>
  <c r="EO383" i="10"/>
  <c r="EO498" i="2" l="1"/>
  <c r="EO502" i="2" s="1"/>
  <c r="EO503" i="2" s="1"/>
  <c r="EO363" i="2"/>
  <c r="EO431" i="10"/>
  <c r="EO361" i="2"/>
  <c r="EO364" i="2"/>
  <c r="EO365" i="2" s="1"/>
  <c r="EO226" i="2"/>
  <c r="EO225" i="2"/>
  <c r="EO500" i="2" l="1"/>
  <c r="EO501" i="2" s="1"/>
  <c r="EO510" i="2"/>
  <c r="EO512" i="2" s="1"/>
  <c r="EO513" i="2" s="1"/>
  <c r="EO499" i="2"/>
  <c r="EO113" i="10"/>
  <c r="EO511" i="2" l="1"/>
  <c r="EO518" i="2"/>
  <c r="EO519" i="2" s="1"/>
  <c r="EO514" i="2"/>
  <c r="EO515" i="2" s="1"/>
  <c r="EO516" i="2"/>
  <c r="B35" i="30"/>
  <c r="EQ431" i="10"/>
  <c r="EO524" i="2" l="1"/>
  <c r="EO522" i="2"/>
  <c r="EO523" i="2" s="1"/>
  <c r="EO528" i="2"/>
  <c r="EO530" i="2" s="1"/>
  <c r="EO520" i="2"/>
  <c r="EO521" i="2" s="1"/>
  <c r="E35" i="30"/>
  <c r="D35" i="30"/>
  <c r="EO114" i="10"/>
  <c r="EO123" i="10" s="1"/>
  <c r="EO122" i="10"/>
  <c r="EO1029" i="10" s="1"/>
  <c r="B37" i="30"/>
  <c r="D37" i="30" s="1"/>
  <c r="EQ19" i="2"/>
  <c r="EQ23" i="2" s="1"/>
  <c r="EQ433" i="10"/>
  <c r="EO116" i="10"/>
  <c r="EO529" i="2" l="1"/>
  <c r="EO535" i="2"/>
  <c r="EO534" i="2"/>
  <c r="EO533" i="2"/>
  <c r="ES27" i="2"/>
  <c r="B2416" i="3" s="1"/>
  <c r="EO117" i="10"/>
  <c r="EO1021" i="10" s="1"/>
  <c r="EO1030" i="10" s="1"/>
  <c r="EO126" i="4"/>
  <c r="EQ434" i="10"/>
  <c r="B2749" i="3" l="1"/>
  <c r="ES34" i="2"/>
  <c r="ES31" i="2"/>
  <c r="ES70" i="2"/>
  <c r="EQ435" i="10"/>
  <c r="ES74" i="2" l="1"/>
  <c r="ES75" i="2" s="1"/>
  <c r="ES80" i="2"/>
  <c r="EP137" i="10"/>
  <c r="ES69" i="2"/>
  <c r="ES78" i="2" s="1"/>
  <c r="ES28" i="2"/>
  <c r="B2750" i="3" l="1"/>
  <c r="B2752" i="3" s="1"/>
  <c r="B2780" i="3" s="1"/>
  <c r="ES45" i="4"/>
  <c r="ES32" i="2"/>
  <c r="ES35" i="2"/>
  <c r="ER137" i="10"/>
  <c r="EQ137" i="10"/>
  <c r="EP138" i="10"/>
  <c r="ES59" i="2"/>
  <c r="ES137" i="10" l="1"/>
  <c r="E343" i="38"/>
  <c r="C346" i="38" s="1"/>
  <c r="B133" i="38"/>
  <c r="B132" i="38" s="1"/>
  <c r="B53" i="38" s="1"/>
  <c r="B137" i="39" s="1"/>
  <c r="B138" i="39" s="1"/>
  <c r="C2399" i="3"/>
  <c r="C2410" i="3" s="1"/>
  <c r="B2426" i="3" s="1"/>
  <c r="ES58" i="4"/>
  <c r="ER138" i="10"/>
  <c r="C132" i="38" l="1"/>
  <c r="C133" i="38" s="1"/>
  <c r="D133" i="38" s="1"/>
  <c r="E132" i="38"/>
  <c r="E133" i="38" s="1"/>
  <c r="B454" i="38"/>
  <c r="C454" i="38" s="1"/>
  <c r="D454" i="38" s="1"/>
  <c r="B135" i="38"/>
  <c r="B448" i="38"/>
  <c r="C345" i="38"/>
  <c r="C448" i="38" l="1"/>
  <c r="C450" i="38" s="1"/>
  <c r="B452" i="38"/>
  <c r="B451" i="38"/>
  <c r="E454" i="38"/>
  <c r="D448" i="38"/>
  <c r="B450" i="38"/>
  <c r="B139" i="38"/>
  <c r="B138" i="38"/>
  <c r="E2140" i="3"/>
  <c r="B457" i="38" l="1"/>
  <c r="B458" i="38"/>
  <c r="C451" i="38"/>
  <c r="C452" i="38"/>
  <c r="F454" i="38"/>
  <c r="D452" i="38"/>
  <c r="D451" i="38"/>
  <c r="G346" i="38"/>
  <c r="F346" i="38"/>
  <c r="D450" i="38" l="1"/>
  <c r="G454" i="38"/>
  <c r="F448" i="38"/>
  <c r="D345" i="38"/>
  <c r="G345" i="38"/>
  <c r="D2613" i="3"/>
  <c r="D2651" i="3" s="1"/>
  <c r="D2654" i="3" s="1"/>
  <c r="C2615" i="3"/>
  <c r="F450" i="38" l="1"/>
  <c r="H454" i="38"/>
  <c r="G448" i="38"/>
  <c r="F452" i="38"/>
  <c r="F451" i="38"/>
  <c r="D2807" i="3"/>
  <c r="C2621" i="3"/>
  <c r="C2638" i="3" s="1"/>
  <c r="C2770" i="3"/>
  <c r="D2624" i="3"/>
  <c r="D2623" i="3"/>
  <c r="D2631" i="3" s="1"/>
  <c r="D2633" i="3" s="1"/>
  <c r="E2613" i="3"/>
  <c r="E2651" i="3" s="1"/>
  <c r="E2654" i="3" s="1"/>
  <c r="E2807" i="3" s="1"/>
  <c r="D2615" i="3"/>
  <c r="I454" i="38" l="1"/>
  <c r="H448" i="38"/>
  <c r="G452" i="38"/>
  <c r="G451" i="38"/>
  <c r="G450" i="38"/>
  <c r="D2621" i="3"/>
  <c r="D2638" i="3" s="1"/>
  <c r="D2770" i="3"/>
  <c r="D2627" i="3"/>
  <c r="D2629" i="3" s="1"/>
  <c r="D2635" i="3" s="1"/>
  <c r="D2648" i="3"/>
  <c r="E2623" i="3"/>
  <c r="E2631" i="3" s="1"/>
  <c r="E2633" i="3" s="1"/>
  <c r="D2625" i="3"/>
  <c r="E2624" i="3"/>
  <c r="F2613" i="3"/>
  <c r="F2651" i="3" s="1"/>
  <c r="F2654" i="3" s="1"/>
  <c r="E2615" i="3"/>
  <c r="J454" i="38" l="1"/>
  <c r="J448" i="38" s="1"/>
  <c r="H451" i="38"/>
  <c r="H452" i="38"/>
  <c r="H450" i="38"/>
  <c r="D2808" i="3"/>
  <c r="F2807" i="3"/>
  <c r="E2627" i="3"/>
  <c r="E2629" i="3" s="1"/>
  <c r="E2635" i="3" s="1"/>
  <c r="E2648" i="3"/>
  <c r="E2621" i="3"/>
  <c r="E2638" i="3" s="1"/>
  <c r="E2770" i="3"/>
  <c r="F2624" i="3"/>
  <c r="F2623" i="3"/>
  <c r="F2631" i="3" s="1"/>
  <c r="F2633" i="3" s="1"/>
  <c r="E2625" i="3"/>
  <c r="G2613" i="3"/>
  <c r="F2615" i="3"/>
  <c r="J452" i="38" l="1"/>
  <c r="J451" i="38"/>
  <c r="E2808" i="3"/>
  <c r="F2627" i="3"/>
  <c r="F2629" i="3" s="1"/>
  <c r="F2635" i="3" s="1"/>
  <c r="F2648" i="3"/>
  <c r="F2621" i="3"/>
  <c r="F2638" i="3" s="1"/>
  <c r="F2770" i="3"/>
  <c r="G2615" i="3"/>
  <c r="G2651" i="3"/>
  <c r="G2654" i="3" s="1"/>
  <c r="G2623" i="3"/>
  <c r="G2631" i="3" s="1"/>
  <c r="G2633" i="3" s="1"/>
  <c r="F2625" i="3"/>
  <c r="G2624" i="3"/>
  <c r="G2807" i="3" l="1"/>
  <c r="B2831" i="3" s="1"/>
  <c r="F2808" i="3"/>
  <c r="G2621" i="3"/>
  <c r="G2638" i="3" s="1"/>
  <c r="G2770" i="3"/>
  <c r="G2627" i="3"/>
  <c r="G2629" i="3" s="1"/>
  <c r="G2635" i="3" s="1"/>
  <c r="G2648" i="3"/>
  <c r="G2808" i="3" s="1"/>
  <c r="B2832" i="3" s="1"/>
  <c r="B2839" i="3" s="1"/>
  <c r="B2841" i="3" s="1"/>
  <c r="B2851" i="3" s="1"/>
  <c r="G2625" i="3"/>
  <c r="B2833" i="3" l="1"/>
  <c r="B2847" i="3"/>
  <c r="B2849" i="3" s="1"/>
  <c r="B2855" i="3" l="1"/>
  <c r="B2852" i="3"/>
  <c r="B2853" i="3" s="1"/>
  <c r="C2809" i="3" l="1"/>
  <c r="D2809" i="3"/>
  <c r="E2809" i="3"/>
  <c r="F2809" i="3"/>
  <c r="G2809" i="3"/>
  <c r="C2811" i="3"/>
  <c r="C2813" i="3" s="1"/>
  <c r="C2819" i="3" s="1"/>
  <c r="D2811" i="3"/>
  <c r="D2813" i="3" s="1"/>
  <c r="E2811" i="3"/>
  <c r="E2813" i="3" s="1"/>
  <c r="F2811" i="3"/>
  <c r="F2813" i="3" s="1"/>
  <c r="F2819" i="3" s="1"/>
  <c r="G2811" i="3"/>
  <c r="G2813" i="3" s="1"/>
  <c r="G2819" i="3" s="1"/>
  <c r="C2815" i="3"/>
  <c r="C2817" i="3" s="1"/>
  <c r="C2820" i="3" s="1"/>
  <c r="D2815" i="3"/>
  <c r="D2817" i="3" s="1"/>
  <c r="D2820" i="3" s="1"/>
  <c r="E2815" i="3"/>
  <c r="E2817" i="3" s="1"/>
  <c r="E2820" i="3" s="1"/>
  <c r="F2815" i="3"/>
  <c r="F2817" i="3" s="1"/>
  <c r="F2820" i="3" s="1"/>
  <c r="G2815" i="3"/>
  <c r="G2817" i="3" s="1"/>
  <c r="G2820" i="3" s="1"/>
  <c r="C2821" i="3" l="1"/>
  <c r="G2821" i="3"/>
  <c r="F2821" i="3"/>
  <c r="E2823" i="3"/>
  <c r="E2819" i="3"/>
  <c r="E2821" i="3" s="1"/>
  <c r="D2823" i="3"/>
  <c r="D2819" i="3"/>
  <c r="D2821" i="3" s="1"/>
  <c r="C2823" i="3"/>
  <c r="G2823" i="3"/>
  <c r="F2823" i="3"/>
  <c r="EP67" i="2"/>
  <c r="EP71" i="2" s="1"/>
  <c r="EP79" i="2" s="1"/>
  <c r="EP133" i="10"/>
  <c r="EP72" i="2" l="1"/>
  <c r="EP357" i="2" s="1"/>
  <c r="EP30" i="2"/>
  <c r="EP43" i="4"/>
  <c r="D1305" i="3" l="1"/>
  <c r="D1306" i="3" s="1"/>
  <c r="C1322" i="3"/>
  <c r="C1321" i="3" s="1"/>
  <c r="EP21" i="2"/>
  <c r="EP24" i="2" s="1"/>
  <c r="EP36" i="2"/>
  <c r="C1920" i="3" s="1"/>
  <c r="EP33" i="2"/>
  <c r="EP219" i="2"/>
  <c r="EP73" i="2"/>
  <c r="EP9" i="32"/>
  <c r="EP11" i="32" s="1"/>
  <c r="B2212" i="3"/>
  <c r="B2213" i="3" s="1"/>
  <c r="EP46" i="4"/>
  <c r="EP48" i="4" s="1"/>
  <c r="EP358" i="2"/>
  <c r="EP355" i="2"/>
  <c r="E2268" i="3" l="1"/>
  <c r="F2268" i="3" s="1"/>
  <c r="EP220" i="2"/>
  <c r="EP217" i="2"/>
  <c r="EP205" i="4"/>
  <c r="EP49" i="4"/>
  <c r="EP50" i="4"/>
  <c r="EP356" i="2"/>
  <c r="EP372" i="2"/>
  <c r="EP430" i="10"/>
  <c r="EP199" i="4"/>
  <c r="EP103" i="10"/>
  <c r="EP1027" i="10" s="1"/>
  <c r="EP1028" i="10" s="1"/>
  <c r="EP235" i="2" l="1"/>
  <c r="EP385" i="10" s="1"/>
  <c r="EP382" i="10"/>
  <c r="EP218" i="2"/>
  <c r="EP360" i="2"/>
  <c r="EP378" i="2"/>
  <c r="EP373" i="2"/>
  <c r="EP374" i="2"/>
  <c r="EP375" i="2" s="1"/>
  <c r="EP376" i="2"/>
  <c r="EP377" i="2" s="1"/>
  <c r="EP433" i="10"/>
  <c r="EP386" i="10"/>
  <c r="EP18" i="2"/>
  <c r="ES243" i="2"/>
  <c r="EP19" i="2"/>
  <c r="EP434" i="10"/>
  <c r="EP121" i="10"/>
  <c r="EP140" i="10"/>
  <c r="EP142" i="10" s="1"/>
  <c r="EP106" i="10"/>
  <c r="EP241" i="2" l="1"/>
  <c r="EP237" i="2"/>
  <c r="EP238" i="2" s="1"/>
  <c r="EP239" i="2"/>
  <c r="EP240" i="2" s="1"/>
  <c r="EP236" i="2"/>
  <c r="EP222" i="2"/>
  <c r="EP383" i="10" s="1"/>
  <c r="EP361" i="2"/>
  <c r="EP362" i="2"/>
  <c r="EP364" i="2"/>
  <c r="EP365" i="2" s="1"/>
  <c r="EP431" i="10"/>
  <c r="EP23" i="2"/>
  <c r="ES386" i="10"/>
  <c r="ES245" i="2"/>
  <c r="ES246" i="2" s="1"/>
  <c r="ES247" i="2"/>
  <c r="ES248" i="2" s="1"/>
  <c r="ES244" i="2"/>
  <c r="ES249" i="2"/>
  <c r="EP20" i="2"/>
  <c r="ES18" i="2"/>
  <c r="EP22" i="2"/>
  <c r="EP435" i="10"/>
  <c r="EP387" i="10"/>
  <c r="ES251" i="2"/>
  <c r="EP107" i="10"/>
  <c r="EP120" i="10"/>
  <c r="EP227" i="2" l="1"/>
  <c r="EP228" i="2" s="1"/>
  <c r="EP498" i="2"/>
  <c r="EP500" i="2" s="1"/>
  <c r="EP501" i="2" s="1"/>
  <c r="EP224" i="2"/>
  <c r="EP223" i="2"/>
  <c r="EP363" i="2"/>
  <c r="ES387" i="10"/>
  <c r="ES252" i="2"/>
  <c r="ES253" i="2"/>
  <c r="ES22" i="2"/>
  <c r="B2723" i="3"/>
  <c r="B2735" i="3" s="1"/>
  <c r="EP502" i="2" l="1"/>
  <c r="EP503" i="2" s="1"/>
  <c r="EP510" i="2"/>
  <c r="EP511" i="2" s="1"/>
  <c r="EP499" i="2"/>
  <c r="EP225" i="2"/>
  <c r="EQ225" i="2"/>
  <c r="EP226" i="2"/>
  <c r="B2755" i="3"/>
  <c r="EP109" i="10"/>
  <c r="EP516" i="2" l="1"/>
  <c r="EP518" i="2"/>
  <c r="EP520" i="2" s="1"/>
  <c r="EP521" i="2" s="1"/>
  <c r="EP514" i="2"/>
  <c r="EP515" i="2" s="1"/>
  <c r="EP512" i="2"/>
  <c r="EP513" i="2" s="1"/>
  <c r="EP522" i="2" l="1"/>
  <c r="EP523" i="2" s="1"/>
  <c r="EP528" i="2"/>
  <c r="EP529" i="2" s="1"/>
  <c r="EP519" i="2"/>
  <c r="EP524" i="2"/>
  <c r="EP530" i="2" l="1"/>
  <c r="EP533" i="2" s="1"/>
  <c r="EP535" i="2" l="1"/>
  <c r="EP534" i="2"/>
  <c r="EP113" i="10"/>
  <c r="EP114" i="10" l="1"/>
  <c r="EP123" i="10" s="1"/>
  <c r="EP122" i="10"/>
  <c r="EP1029" i="10" s="1"/>
  <c r="EP116" i="10" l="1"/>
  <c r="EP200" i="4" l="1"/>
  <c r="EP126" i="4" s="1"/>
  <c r="B2637" i="3"/>
  <c r="EP117" i="10"/>
  <c r="EP1021" i="10" s="1"/>
  <c r="EP1030" i="10" s="1"/>
  <c r="C2637" i="3" l="1"/>
  <c r="B2640" i="3"/>
  <c r="B2642" i="3" s="1"/>
  <c r="C2640" i="3" l="1"/>
  <c r="C2642" i="3" s="1"/>
  <c r="D2637" i="3"/>
  <c r="E2637" i="3" l="1"/>
  <c r="D2640" i="3"/>
  <c r="D2642" i="3" s="1"/>
  <c r="E2640" i="3" l="1"/>
  <c r="E2642" i="3" s="1"/>
  <c r="F2637" i="3"/>
  <c r="F2640" i="3" l="1"/>
  <c r="F2642" i="3" s="1"/>
  <c r="G2637" i="3"/>
  <c r="G2640" i="3" s="1"/>
  <c r="G2642" i="3" s="1"/>
  <c r="EQ133" i="10"/>
  <c r="ES57" i="2" l="1"/>
  <c r="B136" i="38" s="1"/>
  <c r="B137" i="38" s="1"/>
  <c r="B456" i="38" l="1"/>
  <c r="B142" i="38"/>
  <c r="B446" i="38"/>
  <c r="B2024" i="3"/>
  <c r="B2100" i="3" s="1"/>
  <c r="B77" i="37"/>
  <c r="EQ30" i="2"/>
  <c r="D1322" i="3" l="1"/>
  <c r="D1321" i="3" s="1"/>
  <c r="B220" i="3"/>
  <c r="EQ9" i="32"/>
  <c r="EQ11" i="32" s="1"/>
  <c r="EQ21" i="2"/>
  <c r="EQ33" i="2"/>
  <c r="EQ36" i="2"/>
  <c r="D1920" i="3" s="1"/>
  <c r="ES62" i="2"/>
  <c r="ES64" i="2" s="1"/>
  <c r="EQ138" i="10"/>
  <c r="ES60" i="2"/>
  <c r="ES138" i="10" s="1"/>
  <c r="B7" i="39" l="1"/>
  <c r="B10" i="39" s="1"/>
  <c r="B460" i="38"/>
  <c r="B502" i="38" s="1"/>
  <c r="EQ103" i="10"/>
  <c r="EQ199" i="4"/>
  <c r="EQ20" i="2"/>
  <c r="EQ24" i="2"/>
  <c r="ES63" i="2"/>
  <c r="B515" i="38" l="1"/>
  <c r="B504" i="38"/>
  <c r="B505" i="38" s="1"/>
  <c r="B514" i="38"/>
  <c r="B501" i="38"/>
  <c r="EQ140" i="10"/>
  <c r="EQ142" i="10" s="1"/>
  <c r="EQ1027" i="10"/>
  <c r="EQ1028" i="10" s="1"/>
  <c r="EQ121" i="10"/>
  <c r="B506" i="38" l="1"/>
  <c r="EQ106" i="10"/>
  <c r="B509" i="38" l="1"/>
  <c r="B520" i="38" s="1"/>
  <c r="B522" i="38" s="1"/>
  <c r="H109" i="19"/>
  <c r="I109" i="19" s="1"/>
  <c r="H136" i="19"/>
  <c r="I136" i="19" s="1"/>
  <c r="J54" i="19"/>
  <c r="I54" i="19"/>
  <c r="EQ120" i="10"/>
  <c r="EQ107" i="10"/>
  <c r="J136" i="19" l="1"/>
  <c r="J109" i="19"/>
  <c r="EQ109" i="10" l="1"/>
  <c r="EQ113" i="10" l="1"/>
  <c r="EQ122" i="10" l="1"/>
  <c r="EQ1029" i="10" s="1"/>
  <c r="EQ114" i="10" l="1"/>
  <c r="EQ123" i="10" s="1"/>
  <c r="EQ16" i="32" l="1"/>
  <c r="EQ116" i="10"/>
  <c r="EQ17" i="32" l="1"/>
  <c r="EQ117" i="10"/>
  <c r="EQ1021" i="10" s="1"/>
  <c r="EQ1030" i="10" s="1"/>
  <c r="EQ200" i="4"/>
  <c r="EQ126" i="4" s="1"/>
  <c r="B3081" i="3" l="1"/>
  <c r="B3082" i="3" s="1"/>
  <c r="B3086" i="3" s="1"/>
  <c r="C3086" i="3" l="1"/>
  <c r="B3087" i="3"/>
  <c r="B3093" i="3" s="1"/>
  <c r="B3095" i="3" s="1"/>
  <c r="B3097" i="3" s="1"/>
  <c r="B3098" i="3" s="1"/>
  <c r="F2270" i="3" l="1"/>
  <c r="EQ105" i="10"/>
  <c r="EQ204" i="4"/>
  <c r="EQ203" i="4" l="1"/>
  <c r="EQ12" i="32"/>
  <c r="ER221" i="4"/>
  <c r="EX221" i="4" s="1"/>
  <c r="EQ205" i="4"/>
  <c r="ES138" i="4" l="1"/>
  <c r="ER1036" i="10" l="1"/>
  <c r="ER105" i="10" l="1"/>
  <c r="ES73" i="4"/>
  <c r="ES1036" i="10" l="1"/>
  <c r="E154" i="3"/>
  <c r="F5086" i="3"/>
  <c r="F5088" i="3" s="1"/>
  <c r="ES105" i="10"/>
  <c r="E114" i="19"/>
  <c r="F114" i="19" l="1"/>
  <c r="G114" i="19"/>
  <c r="R1607" i="3" l="1"/>
  <c r="ET342" i="10"/>
  <c r="ET343" i="10" s="1"/>
  <c r="R1627" i="3" l="1"/>
  <c r="S1627" i="3" s="1"/>
  <c r="R1608" i="3"/>
  <c r="ET185" i="10"/>
  <c r="S68" i="29"/>
  <c r="S69" i="29" s="1"/>
  <c r="S111" i="29" s="1"/>
  <c r="ET391" i="10"/>
  <c r="ET542" i="2"/>
  <c r="ET548" i="2" l="1"/>
  <c r="ET552" i="2"/>
  <c r="ET556" i="2" s="1"/>
  <c r="ET347" i="10"/>
  <c r="ET344" i="10"/>
  <c r="ET544" i="2"/>
  <c r="ET540" i="2"/>
  <c r="ET549" i="2" l="1"/>
  <c r="ET551" i="2"/>
  <c r="ET555" i="2"/>
  <c r="ET353" i="10"/>
  <c r="ET348" i="10"/>
  <c r="ET208" i="10"/>
  <c r="ET346" i="10"/>
  <c r="R1649" i="3"/>
  <c r="ET392" i="10"/>
  <c r="ET559" i="2" l="1"/>
  <c r="R1670" i="3"/>
  <c r="R1647" i="3"/>
  <c r="R1668" i="3" s="1"/>
  <c r="S1668" i="3" s="1"/>
  <c r="S1647" i="3" s="1"/>
  <c r="ET541" i="2"/>
  <c r="ET349" i="10"/>
  <c r="ET354" i="10"/>
  <c r="ET373" i="10"/>
  <c r="ET173" i="10"/>
  <c r="ET40" i="2"/>
  <c r="ET9" i="4" s="1"/>
  <c r="ET188" i="10"/>
  <c r="ET352" i="10"/>
  <c r="EU394" i="10"/>
  <c r="ET395" i="10"/>
  <c r="ET397" i="10"/>
  <c r="ET396" i="10"/>
  <c r="ET563" i="2" l="1"/>
  <c r="ET560" i="2"/>
  <c r="ET562" i="2"/>
  <c r="ET565" i="2"/>
  <c r="ET376" i="10"/>
  <c r="ET355" i="10"/>
  <c r="ET364" i="10"/>
  <c r="EX488" i="2"/>
  <c r="ET378" i="10"/>
  <c r="ET372" i="10"/>
  <c r="ET567" i="2" l="1"/>
  <c r="EY567" i="2" s="1"/>
  <c r="EY565" i="2" s="1"/>
  <c r="ET569" i="2"/>
  <c r="ET566" i="2"/>
  <c r="ET264" i="10"/>
  <c r="ET384" i="10"/>
  <c r="ET375" i="10"/>
  <c r="EU189" i="10"/>
  <c r="EU400" i="10"/>
  <c r="EX489" i="2"/>
  <c r="ET403" i="10"/>
  <c r="ET401" i="10"/>
  <c r="ET402" i="10"/>
  <c r="EU153" i="2"/>
  <c r="ET44" i="2"/>
  <c r="ET136" i="10"/>
  <c r="ET41" i="2"/>
  <c r="ET10" i="4" s="1"/>
  <c r="EU164" i="2" l="1"/>
  <c r="EU159" i="2" s="1"/>
  <c r="EU148" i="2"/>
  <c r="EU147" i="2" s="1"/>
  <c r="EU152" i="2" s="1"/>
  <c r="ET46" i="2"/>
  <c r="ET13" i="4"/>
  <c r="ET15" i="4" s="1"/>
  <c r="ET9" i="2"/>
  <c r="ET141" i="10"/>
  <c r="ET190" i="10"/>
  <c r="EU420" i="10"/>
  <c r="ET187" i="10"/>
  <c r="ET432" i="10"/>
  <c r="ET421" i="10"/>
  <c r="ET379" i="10"/>
  <c r="ET545" i="2"/>
  <c r="ET424" i="10"/>
  <c r="ET51" i="2" l="1"/>
  <c r="ET42" i="2"/>
  <c r="ET31" i="2"/>
  <c r="ET13" i="2"/>
  <c r="ET426" i="10"/>
  <c r="ET423" i="10"/>
  <c r="ET104" i="10"/>
  <c r="ET128" i="10"/>
  <c r="ET422" i="10"/>
  <c r="ET43" i="2" l="1"/>
  <c r="ET11" i="4"/>
  <c r="ET12" i="4" s="1"/>
  <c r="ET16" i="4" s="1"/>
  <c r="ET18" i="4" s="1"/>
  <c r="ET10" i="2"/>
  <c r="ET1031" i="10"/>
  <c r="ET50" i="2" l="1"/>
  <c r="ET47" i="2"/>
  <c r="ET49" i="2" s="1"/>
  <c r="ET52" i="2" s="1"/>
  <c r="ET19" i="4"/>
  <c r="ET14" i="2"/>
  <c r="ET32" i="2"/>
  <c r="ET12" i="2"/>
  <c r="ET127" i="10"/>
  <c r="ET427" i="10"/>
  <c r="ET8" i="32" l="1"/>
  <c r="F1320" i="3"/>
  <c r="ET575" i="2"/>
  <c r="ET570" i="2"/>
  <c r="ET15" i="2"/>
  <c r="ET131" i="10"/>
  <c r="ET102" i="10" l="1"/>
  <c r="ET1026" i="10" l="1"/>
  <c r="S1607" i="3" l="1"/>
  <c r="EX96" i="2"/>
  <c r="T68" i="29"/>
  <c r="T69" i="29" s="1"/>
  <c r="T112" i="29" s="1"/>
  <c r="EU342" i="10"/>
  <c r="EU343" i="10" s="1"/>
  <c r="G1545" i="3" l="1"/>
  <c r="G1546" i="3" s="1"/>
  <c r="G1547" i="3" s="1"/>
  <c r="S1628" i="3"/>
  <c r="S1608" i="3"/>
  <c r="EW342" i="10"/>
  <c r="EW343" i="10" s="1"/>
  <c r="EU552" i="2"/>
  <c r="EV342" i="10"/>
  <c r="EV343" i="10" s="1"/>
  <c r="EX86" i="2"/>
  <c r="EU347" i="10"/>
  <c r="EU185" i="10"/>
  <c r="EU542" i="2"/>
  <c r="EU391" i="10"/>
  <c r="C1332" i="3"/>
  <c r="C1334" i="3" s="1"/>
  <c r="EX342" i="10" l="1"/>
  <c r="EX343" i="10" s="1"/>
  <c r="EY86" i="2"/>
  <c r="EY342" i="10" s="1"/>
  <c r="EY343" i="10" s="1"/>
  <c r="V68" i="29"/>
  <c r="EU548" i="2"/>
  <c r="B936" i="3"/>
  <c r="D936" i="3" s="1"/>
  <c r="D938" i="3" s="1"/>
  <c r="B948" i="3"/>
  <c r="EV185" i="10"/>
  <c r="B633" i="3"/>
  <c r="B544" i="3" s="1"/>
  <c r="EW561" i="2"/>
  <c r="I1545" i="3"/>
  <c r="I1546" i="3" s="1"/>
  <c r="I1547" i="3" s="1"/>
  <c r="EV391" i="10"/>
  <c r="EV542" i="2"/>
  <c r="U68" i="29"/>
  <c r="U69" i="29" s="1"/>
  <c r="U113" i="29" s="1"/>
  <c r="EU556" i="2"/>
  <c r="EU551" i="2"/>
  <c r="EV344" i="10"/>
  <c r="EX88" i="2"/>
  <c r="EW542" i="2"/>
  <c r="EW344" i="10"/>
  <c r="EX90" i="2"/>
  <c r="EW185" i="10"/>
  <c r="EU348" i="10"/>
  <c r="EX105" i="2"/>
  <c r="EX106" i="2"/>
  <c r="EU208" i="10"/>
  <c r="EU346" i="10"/>
  <c r="EU540" i="2"/>
  <c r="EU549" i="2" s="1"/>
  <c r="EU544" i="2"/>
  <c r="EU546" i="2" s="1"/>
  <c r="EU344" i="10"/>
  <c r="EU173" i="10"/>
  <c r="EW540" i="2" l="1"/>
  <c r="EW549" i="2" s="1"/>
  <c r="EW548" i="2"/>
  <c r="EY88" i="2"/>
  <c r="EZ86" i="2"/>
  <c r="EY90" i="2"/>
  <c r="EY185" i="10" s="1"/>
  <c r="EY105" i="2"/>
  <c r="EV540" i="2"/>
  <c r="EV549" i="2" s="1"/>
  <c r="EX549" i="2" s="1"/>
  <c r="EV548" i="2"/>
  <c r="B568" i="3"/>
  <c r="F537" i="3"/>
  <c r="B640" i="3"/>
  <c r="C640" i="3" s="1"/>
  <c r="D640" i="3" s="1"/>
  <c r="E640" i="3" s="1"/>
  <c r="F640" i="3" s="1"/>
  <c r="G640" i="3" s="1"/>
  <c r="H640" i="3" s="1"/>
  <c r="I640" i="3" s="1"/>
  <c r="J640" i="3" s="1"/>
  <c r="K640" i="3" s="1"/>
  <c r="B646" i="3"/>
  <c r="B667" i="3" s="1"/>
  <c r="C667" i="3" s="1"/>
  <c r="B634" i="3"/>
  <c r="H1545" i="3"/>
  <c r="H1546" i="3" s="1"/>
  <c r="H1547" i="3" s="1"/>
  <c r="C1311" i="3"/>
  <c r="C1313" i="3" s="1"/>
  <c r="C1314" i="3" s="1"/>
  <c r="C1333" i="3"/>
  <c r="EV392" i="10"/>
  <c r="EV544" i="2"/>
  <c r="EW544" i="2" s="1"/>
  <c r="EX544" i="2" s="1"/>
  <c r="C4" i="37"/>
  <c r="C12" i="37" s="1"/>
  <c r="EV552" i="2"/>
  <c r="EV551" i="2" s="1"/>
  <c r="EX561" i="2"/>
  <c r="EX136" i="2"/>
  <c r="EX141" i="2" s="1"/>
  <c r="EU555" i="2"/>
  <c r="EU559" i="2" s="1"/>
  <c r="V69" i="29"/>
  <c r="V114" i="29" s="1"/>
  <c r="EX113" i="2"/>
  <c r="EW392" i="10"/>
  <c r="EX94" i="2"/>
  <c r="EW391" i="10"/>
  <c r="EX124" i="2"/>
  <c r="EX129" i="2" s="1"/>
  <c r="EX542" i="2"/>
  <c r="E3502" i="3" s="1"/>
  <c r="EX91" i="2"/>
  <c r="EX568" i="2"/>
  <c r="C2647" i="3"/>
  <c r="F212" i="11"/>
  <c r="EX185" i="10"/>
  <c r="EX92" i="2"/>
  <c r="G5710" i="3"/>
  <c r="G5717" i="3" s="1"/>
  <c r="G4845" i="3"/>
  <c r="EU160" i="2"/>
  <c r="EV157" i="2" s="1"/>
  <c r="EU397" i="10"/>
  <c r="EU392" i="10"/>
  <c r="EU353" i="10"/>
  <c r="EU352" i="10"/>
  <c r="EU188" i="10"/>
  <c r="EU541" i="2"/>
  <c r="EU395" i="10"/>
  <c r="EZ105" i="2" l="1"/>
  <c r="EZ106" i="2" s="1"/>
  <c r="EZ342" i="10"/>
  <c r="EZ343" i="10" s="1"/>
  <c r="EY92" i="2"/>
  <c r="EY91" i="2"/>
  <c r="EY344" i="10" s="1"/>
  <c r="EY542" i="2"/>
  <c r="EY94" i="2"/>
  <c r="EY391" i="10" s="1"/>
  <c r="FA86" i="2"/>
  <c r="FA342" i="10" s="1"/>
  <c r="FA343" i="10" s="1"/>
  <c r="EZ88" i="2"/>
  <c r="EZ90" i="2"/>
  <c r="EZ185" i="10" s="1"/>
  <c r="EY106" i="2"/>
  <c r="EZ113" i="2"/>
  <c r="EZ124" i="2"/>
  <c r="EZ136" i="2"/>
  <c r="EX540" i="2"/>
  <c r="D1696" i="3" s="1"/>
  <c r="D1716" i="3" s="1"/>
  <c r="EV159" i="2"/>
  <c r="EV162" i="2"/>
  <c r="C669" i="3"/>
  <c r="D667" i="3"/>
  <c r="G567" i="3"/>
  <c r="C596" i="3"/>
  <c r="B650" i="3"/>
  <c r="B671" i="3" s="1"/>
  <c r="I638" i="3"/>
  <c r="I639" i="3" s="1"/>
  <c r="I641" i="3" s="1"/>
  <c r="D638" i="3"/>
  <c r="D639" i="3" s="1"/>
  <c r="D641" i="3" s="1"/>
  <c r="J638" i="3"/>
  <c r="J639" i="3" s="1"/>
  <c r="J641" i="3" s="1"/>
  <c r="C638" i="3"/>
  <c r="C639" i="3" s="1"/>
  <c r="C641" i="3" s="1"/>
  <c r="K638" i="3"/>
  <c r="K639" i="3" s="1"/>
  <c r="K641" i="3" s="1"/>
  <c r="B638" i="3"/>
  <c r="H638" i="3"/>
  <c r="H639" i="3" s="1"/>
  <c r="H641" i="3" s="1"/>
  <c r="E638" i="3"/>
  <c r="E639" i="3" s="1"/>
  <c r="E641" i="3" s="1"/>
  <c r="G638" i="3"/>
  <c r="G639" i="3" s="1"/>
  <c r="G641" i="3" s="1"/>
  <c r="F638" i="3"/>
  <c r="F639" i="3" s="1"/>
  <c r="F641" i="3" s="1"/>
  <c r="C646" i="3"/>
  <c r="B648" i="3"/>
  <c r="EX107" i="2"/>
  <c r="EY258" i="2" s="1"/>
  <c r="EV136" i="10"/>
  <c r="EU563" i="2"/>
  <c r="EU562" i="2"/>
  <c r="EU560" i="2"/>
  <c r="EU565" i="2"/>
  <c r="EX118" i="2"/>
  <c r="EU162" i="2"/>
  <c r="EU158" i="2" s="1"/>
  <c r="EU161" i="2"/>
  <c r="EU165" i="2"/>
  <c r="EV556" i="2"/>
  <c r="EV555" i="2" s="1"/>
  <c r="EV559" i="2" s="1"/>
  <c r="C1353" i="3"/>
  <c r="EU364" i="10"/>
  <c r="C2653" i="3"/>
  <c r="D1700" i="3"/>
  <c r="D1702" i="3" s="1"/>
  <c r="D1717" i="3" s="1"/>
  <c r="B1793" i="3"/>
  <c r="EX391" i="10"/>
  <c r="B1780" i="3"/>
  <c r="G5711" i="3"/>
  <c r="G5712" i="3" s="1"/>
  <c r="EX97" i="2"/>
  <c r="EU349" i="10"/>
  <c r="S1649" i="3"/>
  <c r="EX95" i="2"/>
  <c r="EX392" i="10" s="1"/>
  <c r="C2650" i="3"/>
  <c r="EX344" i="10"/>
  <c r="G5726" i="3"/>
  <c r="EU354" i="10"/>
  <c r="EX169" i="2"/>
  <c r="EX174" i="2" s="1"/>
  <c r="EU396" i="10"/>
  <c r="EU10" i="32"/>
  <c r="EV347" i="10"/>
  <c r="EU373" i="10"/>
  <c r="EU264" i="10"/>
  <c r="EU372" i="10"/>
  <c r="EU40" i="2"/>
  <c r="EU9" i="4" s="1"/>
  <c r="K5" i="27" l="1"/>
  <c r="K6" i="27"/>
  <c r="E5" i="27"/>
  <c r="E8" i="27" s="1"/>
  <c r="C2763" i="3"/>
  <c r="D1698" i="3"/>
  <c r="EX543" i="2"/>
  <c r="EZ169" i="2"/>
  <c r="EZ174" i="2" s="1"/>
  <c r="EZ561" i="2"/>
  <c r="EY113" i="2"/>
  <c r="EY395" i="2" s="1"/>
  <c r="EY124" i="2"/>
  <c r="EY136" i="2"/>
  <c r="EZ542" i="2"/>
  <c r="EZ540" i="2" s="1"/>
  <c r="EZ92" i="2"/>
  <c r="EZ91" i="2"/>
  <c r="EZ344" i="10" s="1"/>
  <c r="EZ94" i="2"/>
  <c r="EZ391" i="10" s="1"/>
  <c r="FA105" i="2"/>
  <c r="FA88" i="2"/>
  <c r="FB86" i="2"/>
  <c r="FA90" i="2"/>
  <c r="FA185" i="10" s="1"/>
  <c r="EY95" i="2"/>
  <c r="EY392" i="10" s="1"/>
  <c r="EY97" i="2"/>
  <c r="EY568" i="2"/>
  <c r="EY569" i="2" s="1"/>
  <c r="EY540" i="2"/>
  <c r="EY544" i="2"/>
  <c r="EY107" i="2"/>
  <c r="EV158" i="2"/>
  <c r="EV163" i="2" s="1"/>
  <c r="K1174" i="3"/>
  <c r="EV560" i="2"/>
  <c r="EV563" i="2"/>
  <c r="EV562" i="2"/>
  <c r="EV565" i="2"/>
  <c r="EX258" i="2"/>
  <c r="EX263" i="2" s="1"/>
  <c r="C671" i="3"/>
  <c r="B673" i="3"/>
  <c r="D669" i="3"/>
  <c r="E667" i="3"/>
  <c r="E669" i="3" s="1"/>
  <c r="EX303" i="2"/>
  <c r="EX308" i="2" s="1"/>
  <c r="B639" i="3"/>
  <c r="B641" i="3" s="1"/>
  <c r="B542" i="3"/>
  <c r="EX108" i="2"/>
  <c r="EX269" i="2"/>
  <c r="EX274" i="2" s="1"/>
  <c r="EX406" i="2"/>
  <c r="EX411" i="2" s="1"/>
  <c r="D646" i="3"/>
  <c r="C648" i="3"/>
  <c r="C650" i="3"/>
  <c r="B652" i="3"/>
  <c r="B654" i="3" s="1"/>
  <c r="B662" i="3" s="1"/>
  <c r="EV394" i="10"/>
  <c r="EX440" i="2"/>
  <c r="EX445" i="2" s="1"/>
  <c r="EX281" i="2"/>
  <c r="EX286" i="2" s="1"/>
  <c r="EU569" i="2"/>
  <c r="EU566" i="2"/>
  <c r="EU567" i="2"/>
  <c r="EZ567" i="2" s="1"/>
  <c r="EZ565" i="2" s="1"/>
  <c r="EU163" i="2"/>
  <c r="D1332" i="3"/>
  <c r="D1334" i="3" s="1"/>
  <c r="C1354" i="3"/>
  <c r="C1352" i="3"/>
  <c r="EU355" i="10"/>
  <c r="C1524" i="3"/>
  <c r="C1526" i="3" s="1"/>
  <c r="S1670" i="3"/>
  <c r="S1648" i="3"/>
  <c r="S1669" i="3" s="1"/>
  <c r="D1718" i="3"/>
  <c r="G5733" i="3"/>
  <c r="G5718" i="3"/>
  <c r="G5719" i="3" s="1"/>
  <c r="G5722" i="3" s="1"/>
  <c r="B1795" i="3"/>
  <c r="B1798" i="3" s="1"/>
  <c r="B1800" i="3" s="1"/>
  <c r="B1786" i="3"/>
  <c r="B1782" i="3"/>
  <c r="EU376" i="10"/>
  <c r="C1339" i="3"/>
  <c r="G5730" i="3"/>
  <c r="EU402" i="10"/>
  <c r="EX395" i="2"/>
  <c r="EX400" i="2" s="1"/>
  <c r="EX418" i="2"/>
  <c r="EU190" i="10"/>
  <c r="EX125" i="2"/>
  <c r="EX130" i="2" s="1"/>
  <c r="EV353" i="10"/>
  <c r="EW136" i="10"/>
  <c r="EV348" i="10"/>
  <c r="EU375" i="10"/>
  <c r="K7" i="27"/>
  <c r="K8" i="27"/>
  <c r="EV354" i="10"/>
  <c r="EX68" i="2"/>
  <c r="EV346" i="10"/>
  <c r="EV208" i="10"/>
  <c r="EU403" i="10"/>
  <c r="EU384" i="10"/>
  <c r="EU136" i="10"/>
  <c r="EX137" i="2"/>
  <c r="EX142" i="2" s="1"/>
  <c r="EW552" i="2"/>
  <c r="EU401" i="10"/>
  <c r="EL657" i="18" l="1"/>
  <c r="EL655" i="18" s="1"/>
  <c r="FB105" i="2"/>
  <c r="FB106" i="2" s="1"/>
  <c r="FB136" i="2" s="1"/>
  <c r="FB342" i="10"/>
  <c r="FB343" i="10" s="1"/>
  <c r="E7" i="27"/>
  <c r="E3503" i="3"/>
  <c r="E3504" i="3" s="1"/>
  <c r="EZ544" i="2"/>
  <c r="FA106" i="2"/>
  <c r="EZ107" i="2"/>
  <c r="EZ568" i="2"/>
  <c r="EZ569" i="2" s="1"/>
  <c r="EZ97" i="2"/>
  <c r="EZ95" i="2"/>
  <c r="EZ392" i="10" s="1"/>
  <c r="EY269" i="2"/>
  <c r="EY406" i="2" s="1"/>
  <c r="EZ258" i="2"/>
  <c r="EY303" i="2"/>
  <c r="EY440" i="2" s="1"/>
  <c r="EY281" i="2"/>
  <c r="EZ547" i="2"/>
  <c r="EY547" i="2"/>
  <c r="EY400" i="2"/>
  <c r="EY108" i="2"/>
  <c r="EY169" i="2"/>
  <c r="EY561" i="2"/>
  <c r="FA92" i="2"/>
  <c r="FA542" i="2"/>
  <c r="FA91" i="2"/>
  <c r="FA344" i="10" s="1"/>
  <c r="FA94" i="2"/>
  <c r="FA391" i="10" s="1"/>
  <c r="FC86" i="2"/>
  <c r="FB88" i="2"/>
  <c r="FB90" i="2"/>
  <c r="FB185" i="10" s="1"/>
  <c r="EV567" i="2"/>
  <c r="FA567" i="2" s="1"/>
  <c r="FA565" i="2" s="1"/>
  <c r="EV569" i="2"/>
  <c r="EV566" i="2"/>
  <c r="EX292" i="2"/>
  <c r="EX297" i="2" s="1"/>
  <c r="EX423" i="2" s="1"/>
  <c r="F538" i="3"/>
  <c r="F539" i="3" s="1"/>
  <c r="C899" i="3"/>
  <c r="C900" i="3" s="1"/>
  <c r="C901" i="3" s="1"/>
  <c r="C902" i="3" s="1"/>
  <c r="C673" i="3"/>
  <c r="C675" i="3" s="1"/>
  <c r="D671" i="3"/>
  <c r="EX76" i="2"/>
  <c r="EX77" i="2" s="1"/>
  <c r="B566" i="3"/>
  <c r="EX44" i="4"/>
  <c r="D650" i="3"/>
  <c r="C652" i="3"/>
  <c r="C654" i="3" s="1"/>
  <c r="C662" i="3" s="1"/>
  <c r="E646" i="3"/>
  <c r="D648" i="3"/>
  <c r="H1290" i="3"/>
  <c r="C1356" i="3"/>
  <c r="D1333" i="3"/>
  <c r="C1397" i="3"/>
  <c r="C1400" i="3" s="1"/>
  <c r="C1402" i="3" s="1"/>
  <c r="C1355" i="3"/>
  <c r="B1813" i="3"/>
  <c r="EW556" i="2"/>
  <c r="EW551" i="2"/>
  <c r="EX552" i="2"/>
  <c r="B1796" i="3"/>
  <c r="B1802" i="3" s="1"/>
  <c r="B1804" i="3" s="1"/>
  <c r="B1806" i="3" s="1"/>
  <c r="EU378" i="10"/>
  <c r="B1785" i="3"/>
  <c r="EV349" i="10"/>
  <c r="EV189" i="10"/>
  <c r="EV400" i="10"/>
  <c r="EX58" i="2"/>
  <c r="EX136" i="10" s="1"/>
  <c r="EU44" i="2"/>
  <c r="EU13" i="4" s="1"/>
  <c r="EU15" i="4" s="1"/>
  <c r="EV541" i="2"/>
  <c r="EV173" i="10"/>
  <c r="EU187" i="10"/>
  <c r="EV352" i="10"/>
  <c r="EV188" i="10"/>
  <c r="EU424" i="10"/>
  <c r="EU421" i="10"/>
  <c r="EX259" i="2"/>
  <c r="EX264" i="2" s="1"/>
  <c r="EU426" i="10"/>
  <c r="EV420" i="10"/>
  <c r="EU41" i="2"/>
  <c r="EU10" i="4" s="1"/>
  <c r="EV395" i="10"/>
  <c r="FC105" i="2" l="1"/>
  <c r="EX114" i="2"/>
  <c r="EX119" i="2" s="1"/>
  <c r="FB124" i="2"/>
  <c r="FB113" i="2"/>
  <c r="FB561" i="2" s="1"/>
  <c r="EY411" i="2"/>
  <c r="EY418" i="2"/>
  <c r="EY292" i="2"/>
  <c r="FC88" i="2"/>
  <c r="FC342" i="10"/>
  <c r="FC343" i="10" s="1"/>
  <c r="FD86" i="2"/>
  <c r="EZ395" i="2"/>
  <c r="FC90" i="2"/>
  <c r="FB91" i="2"/>
  <c r="FB542" i="2"/>
  <c r="FB540" i="2" s="1"/>
  <c r="FB92" i="2"/>
  <c r="FB94" i="2"/>
  <c r="FB391" i="10" s="1"/>
  <c r="EY68" i="2"/>
  <c r="EY445" i="2"/>
  <c r="FA107" i="2"/>
  <c r="FA108" i="2" s="1"/>
  <c r="FA97" i="2"/>
  <c r="FA95" i="2"/>
  <c r="FA392" i="10" s="1"/>
  <c r="FA568" i="2"/>
  <c r="FA569" i="2" s="1"/>
  <c r="FA540" i="2"/>
  <c r="FA258" i="2"/>
  <c r="EZ269" i="2"/>
  <c r="EZ406" i="2" s="1"/>
  <c r="EZ411" i="2" s="1"/>
  <c r="EZ303" i="2"/>
  <c r="EZ440" i="2" s="1"/>
  <c r="EZ445" i="2" s="1"/>
  <c r="EZ281" i="2"/>
  <c r="EZ418" i="2" s="1"/>
  <c r="EZ108" i="2"/>
  <c r="EY548" i="2"/>
  <c r="FA113" i="2"/>
  <c r="FA124" i="2"/>
  <c r="FA136" i="2"/>
  <c r="FC136" i="2" s="1"/>
  <c r="FC106" i="2"/>
  <c r="EY174" i="2"/>
  <c r="EZ548" i="2"/>
  <c r="FA544" i="2"/>
  <c r="EV372" i="10"/>
  <c r="EV40" i="2"/>
  <c r="EV9" i="4" s="1"/>
  <c r="EV397" i="10"/>
  <c r="C683" i="3"/>
  <c r="D673" i="3"/>
  <c r="D675" i="3" s="1"/>
  <c r="E671" i="3"/>
  <c r="E673" i="3" s="1"/>
  <c r="E675" i="3" s="1"/>
  <c r="F646" i="3"/>
  <c r="E648" i="3"/>
  <c r="E650" i="3"/>
  <c r="D652" i="3"/>
  <c r="D654" i="3" s="1"/>
  <c r="D662" i="3" s="1"/>
  <c r="H1292" i="3"/>
  <c r="EU9" i="2"/>
  <c r="D1353" i="3"/>
  <c r="E1332" i="3"/>
  <c r="C1386" i="3"/>
  <c r="C1388" i="3" s="1"/>
  <c r="EV355" i="10"/>
  <c r="D1524" i="3"/>
  <c r="D1526" i="3" s="1"/>
  <c r="EU379" i="10"/>
  <c r="EV376" i="10"/>
  <c r="EU545" i="2"/>
  <c r="B1783" i="3"/>
  <c r="EX551" i="2"/>
  <c r="EX553" i="2" s="1"/>
  <c r="EW555" i="2"/>
  <c r="EX555" i="2" s="1"/>
  <c r="EX556" i="2"/>
  <c r="B1818" i="3"/>
  <c r="B1807" i="3"/>
  <c r="EV373" i="10"/>
  <c r="EV364" i="10"/>
  <c r="E39" i="19"/>
  <c r="EU432" i="10"/>
  <c r="EU46" i="2"/>
  <c r="EX314" i="2"/>
  <c r="EU42" i="2"/>
  <c r="EU11" i="4" s="1"/>
  <c r="EU12" i="4" s="1"/>
  <c r="EU16" i="4" s="1"/>
  <c r="EU18" i="4" s="1"/>
  <c r="EW264" i="10"/>
  <c r="E1560" i="3"/>
  <c r="E1557" i="3" s="1"/>
  <c r="E1563" i="3" s="1"/>
  <c r="EV396" i="10"/>
  <c r="EU422" i="10"/>
  <c r="EN657" i="18"/>
  <c r="EV264" i="10"/>
  <c r="EV384" i="10"/>
  <c r="EW347" i="10"/>
  <c r="EX126" i="2"/>
  <c r="EY123" i="2" s="1"/>
  <c r="EX405" i="10"/>
  <c r="EW208" i="10"/>
  <c r="EW346" i="10"/>
  <c r="EX115" i="2"/>
  <c r="EY112" i="2" s="1"/>
  <c r="EW394" i="10"/>
  <c r="EX260" i="2"/>
  <c r="EY257" i="2" s="1"/>
  <c r="EV402" i="10"/>
  <c r="EW348" i="10"/>
  <c r="EX138" i="2"/>
  <c r="EY135" i="2" s="1"/>
  <c r="EU104" i="10"/>
  <c r="EX181" i="2"/>
  <c r="FB169" i="2" l="1"/>
  <c r="FB174" i="2" s="1"/>
  <c r="FC124" i="2"/>
  <c r="EX170" i="2"/>
  <c r="EX175" i="2" s="1"/>
  <c r="EX153" i="2" s="1"/>
  <c r="EX164" i="2" s="1"/>
  <c r="B394" i="3"/>
  <c r="B390" i="3" s="1"/>
  <c r="EX357" i="10"/>
  <c r="FC91" i="2"/>
  <c r="FB344" i="10"/>
  <c r="FC129" i="2"/>
  <c r="FD129" i="2" s="1"/>
  <c r="FE129" i="2" s="1"/>
  <c r="FB544" i="2"/>
  <c r="FC544" i="2" s="1"/>
  <c r="EZ292" i="2"/>
  <c r="EZ297" i="2" s="1"/>
  <c r="EZ423" i="2" s="1"/>
  <c r="FC542" i="2"/>
  <c r="F3502" i="3" s="1"/>
  <c r="G3502" i="3" s="1"/>
  <c r="EZ400" i="2"/>
  <c r="FA169" i="2"/>
  <c r="FA561" i="2"/>
  <c r="FC561" i="2" s="1"/>
  <c r="FC113" i="2"/>
  <c r="EY125" i="2"/>
  <c r="EY126" i="2" s="1"/>
  <c r="EY347" i="10" s="1"/>
  <c r="FC123" i="2"/>
  <c r="FB258" i="2"/>
  <c r="FA269" i="2"/>
  <c r="FA303" i="2"/>
  <c r="FA281" i="2"/>
  <c r="FA292" i="2" s="1"/>
  <c r="FA297" i="2" s="1"/>
  <c r="FA423" i="2" s="1"/>
  <c r="FD105" i="2"/>
  <c r="FD106" i="2" s="1"/>
  <c r="FD90" i="2"/>
  <c r="FD342" i="10"/>
  <c r="FD343" i="10" s="1"/>
  <c r="FD88" i="2"/>
  <c r="EY297" i="2"/>
  <c r="EY423" i="2" s="1"/>
  <c r="EY58" i="2"/>
  <c r="EY136" i="10" s="1"/>
  <c r="EY44" i="4"/>
  <c r="EZ68" i="2"/>
  <c r="FC135" i="2"/>
  <c r="EY137" i="2"/>
  <c r="FB107" i="2"/>
  <c r="FC94" i="2"/>
  <c r="FB95" i="2"/>
  <c r="FB97" i="2"/>
  <c r="FB568" i="2"/>
  <c r="FA68" i="2"/>
  <c r="FC112" i="2"/>
  <c r="EY168" i="2"/>
  <c r="FC168" i="2" s="1"/>
  <c r="EY114" i="2"/>
  <c r="EY115" i="2" s="1"/>
  <c r="FA395" i="2"/>
  <c r="FA400" i="2" s="1"/>
  <c r="FB547" i="2"/>
  <c r="FC257" i="2"/>
  <c r="EY259" i="2"/>
  <c r="EY260" i="2" s="1"/>
  <c r="FC141" i="2"/>
  <c r="FD141" i="2" s="1"/>
  <c r="FA547" i="2"/>
  <c r="FC540" i="2"/>
  <c r="FC92" i="2"/>
  <c r="H4845" i="3"/>
  <c r="C3085" i="3"/>
  <c r="C3087" i="3" s="1"/>
  <c r="H5710" i="3"/>
  <c r="C544" i="3"/>
  <c r="C542" i="3" s="1"/>
  <c r="D2647" i="3"/>
  <c r="D8" i="19"/>
  <c r="E8" i="19" s="1"/>
  <c r="FC185" i="10"/>
  <c r="D4" i="37"/>
  <c r="D12" i="37" s="1"/>
  <c r="G212" i="11"/>
  <c r="EU51" i="2"/>
  <c r="C685" i="3"/>
  <c r="C684" i="3"/>
  <c r="E652" i="3"/>
  <c r="E654" i="3" s="1"/>
  <c r="E662" i="3" s="1"/>
  <c r="F650" i="3"/>
  <c r="G646" i="3"/>
  <c r="F648" i="3"/>
  <c r="EU19" i="4"/>
  <c r="I1290" i="3"/>
  <c r="I1292" i="3" s="1"/>
  <c r="E1297" i="3" s="1"/>
  <c r="E1301" i="3" s="1"/>
  <c r="C7" i="37"/>
  <c r="C9" i="37" s="1"/>
  <c r="E1333" i="3"/>
  <c r="E1353" i="3" s="1"/>
  <c r="E1354" i="3" s="1"/>
  <c r="E1397" i="3" s="1"/>
  <c r="E1400" i="3" s="1"/>
  <c r="EU13" i="2"/>
  <c r="EU31" i="2"/>
  <c r="EV378" i="10"/>
  <c r="EU141" i="10"/>
  <c r="EV10" i="32"/>
  <c r="E1334" i="3"/>
  <c r="D1354" i="3"/>
  <c r="D1352" i="3"/>
  <c r="EU423" i="10"/>
  <c r="B1814" i="3"/>
  <c r="EX549" i="36" s="1"/>
  <c r="EW549" i="36" s="1"/>
  <c r="EW547" i="36" s="1"/>
  <c r="C15" i="37"/>
  <c r="C17" i="37" s="1"/>
  <c r="EX557" i="2"/>
  <c r="EW559" i="2"/>
  <c r="EW565" i="2" s="1"/>
  <c r="EX565" i="2" s="1"/>
  <c r="EX157" i="2"/>
  <c r="E40" i="19" s="1"/>
  <c r="EX160" i="2"/>
  <c r="EY157" i="2" s="1"/>
  <c r="EX159" i="2"/>
  <c r="EX180" i="2"/>
  <c r="E42" i="19" s="1"/>
  <c r="EX182" i="2"/>
  <c r="EU128" i="10"/>
  <c r="EU10" i="2"/>
  <c r="EV375" i="10"/>
  <c r="EV9" i="2"/>
  <c r="EW420" i="10"/>
  <c r="EX262" i="2"/>
  <c r="EX400" i="10" s="1"/>
  <c r="EW188" i="10"/>
  <c r="EU43" i="2"/>
  <c r="EW541" i="2"/>
  <c r="EW189" i="10"/>
  <c r="EW400" i="10"/>
  <c r="EX399" i="2"/>
  <c r="EX451" i="2"/>
  <c r="EW173" i="10"/>
  <c r="EX397" i="2"/>
  <c r="EX117" i="2"/>
  <c r="EW352" i="10"/>
  <c r="EX282" i="2"/>
  <c r="EX287" i="2" s="1"/>
  <c r="EW354" i="10"/>
  <c r="EX140" i="2"/>
  <c r="EV401" i="10"/>
  <c r="EU1031" i="10"/>
  <c r="EX127" i="2"/>
  <c r="EX132" i="2"/>
  <c r="EX131" i="2"/>
  <c r="EX347" i="10"/>
  <c r="EX396" i="2"/>
  <c r="EX401" i="2" s="1"/>
  <c r="EX265" i="2"/>
  <c r="EX261" i="2"/>
  <c r="C2659" i="3"/>
  <c r="EX394" i="10"/>
  <c r="D2927" i="3"/>
  <c r="EX598" i="2"/>
  <c r="EX495" i="2" s="1"/>
  <c r="EX496" i="2" s="1"/>
  <c r="EX120" i="2"/>
  <c r="EY552" i="2" s="1"/>
  <c r="EX116" i="2"/>
  <c r="EX208" i="10"/>
  <c r="EX346" i="10"/>
  <c r="G4851" i="3"/>
  <c r="C2658" i="3"/>
  <c r="F218" i="11"/>
  <c r="D2922" i="3"/>
  <c r="EL109" i="18"/>
  <c r="EW353" i="10"/>
  <c r="EX128" i="2"/>
  <c r="EX353" i="10" s="1"/>
  <c r="EW349" i="10"/>
  <c r="EX171" i="2"/>
  <c r="C6" i="37" s="1"/>
  <c r="EV187" i="10"/>
  <c r="FF543" i="2"/>
  <c r="EO657" i="18"/>
  <c r="EV403" i="10"/>
  <c r="EX139" i="2"/>
  <c r="EX143" i="2"/>
  <c r="E38" i="19" s="1"/>
  <c r="C2668" i="3"/>
  <c r="EX348" i="10"/>
  <c r="EV41" i="2"/>
  <c r="EV10" i="4" s="1"/>
  <c r="EV44" i="2"/>
  <c r="B362" i="3" l="1"/>
  <c r="EX567" i="2"/>
  <c r="EL666" i="18" s="1"/>
  <c r="EL664" i="18" s="1"/>
  <c r="EX569" i="2"/>
  <c r="EW567" i="2"/>
  <c r="EW566" i="2"/>
  <c r="EW569" i="2"/>
  <c r="EX199" i="2"/>
  <c r="EW40" i="2"/>
  <c r="EW9" i="4" s="1"/>
  <c r="EW376" i="10"/>
  <c r="FC344" i="10"/>
  <c r="C1780" i="3"/>
  <c r="C1786" i="3" s="1"/>
  <c r="D2650" i="3"/>
  <c r="EY314" i="2"/>
  <c r="EY394" i="10"/>
  <c r="FC95" i="2"/>
  <c r="FC392" i="10" s="1"/>
  <c r="FB392" i="10"/>
  <c r="EY346" i="10"/>
  <c r="EY208" i="10"/>
  <c r="FD124" i="2"/>
  <c r="EY128" i="2"/>
  <c r="EY353" i="10" s="1"/>
  <c r="EY127" i="2"/>
  <c r="EY132" i="2"/>
  <c r="EY131" i="2"/>
  <c r="EZ123" i="2"/>
  <c r="EY181" i="2"/>
  <c r="FA440" i="2"/>
  <c r="FA406" i="2"/>
  <c r="EX402" i="2"/>
  <c r="EY394" i="2"/>
  <c r="FA548" i="2"/>
  <c r="FC547" i="2"/>
  <c r="FC548" i="2" s="1"/>
  <c r="FC97" i="2"/>
  <c r="FC391" i="10"/>
  <c r="H5711" i="3"/>
  <c r="D2653" i="3"/>
  <c r="C3089" i="3"/>
  <c r="C3091" i="3" s="1"/>
  <c r="C3093" i="3" s="1"/>
  <c r="C3095" i="3" s="1"/>
  <c r="C3097" i="3" s="1"/>
  <c r="C3098" i="3" s="1"/>
  <c r="FB395" i="2"/>
  <c r="FB400" i="2" s="1"/>
  <c r="FC258" i="2"/>
  <c r="FE141" i="2"/>
  <c r="FD136" i="2"/>
  <c r="FB548" i="2"/>
  <c r="FB269" i="2"/>
  <c r="FB406" i="2" s="1"/>
  <c r="FB411" i="2" s="1"/>
  <c r="FB303" i="2"/>
  <c r="FB440" i="2" s="1"/>
  <c r="FB445" i="2" s="1"/>
  <c r="FB281" i="2"/>
  <c r="FB418" i="2" s="1"/>
  <c r="FB108" i="2"/>
  <c r="EY170" i="2"/>
  <c r="EY116" i="2"/>
  <c r="EY120" i="2"/>
  <c r="EZ552" i="2" s="1"/>
  <c r="EZ112" i="2"/>
  <c r="EY117" i="2"/>
  <c r="EY180" i="2"/>
  <c r="EY496" i="2"/>
  <c r="EZ496" i="2" s="1"/>
  <c r="FA496" i="2" s="1"/>
  <c r="FB496" i="2" s="1"/>
  <c r="EY262" i="2"/>
  <c r="EZ257" i="2"/>
  <c r="EY261" i="2"/>
  <c r="EY265" i="2"/>
  <c r="EY397" i="2"/>
  <c r="EY173" i="10" s="1"/>
  <c r="H5717" i="3"/>
  <c r="H5726" i="3"/>
  <c r="FC118" i="2"/>
  <c r="C1793" i="3"/>
  <c r="FA58" i="2"/>
  <c r="FA136" i="10" s="1"/>
  <c r="FA44" i="4"/>
  <c r="EY138" i="2"/>
  <c r="EY551" i="2"/>
  <c r="EY556" i="2"/>
  <c r="C981" i="3"/>
  <c r="B31" i="6"/>
  <c r="I4845" i="3"/>
  <c r="FD91" i="2"/>
  <c r="H212" i="11"/>
  <c r="FD92" i="2"/>
  <c r="FE87" i="2"/>
  <c r="B31" i="41"/>
  <c r="B33" i="41" s="1"/>
  <c r="B41" i="41" s="1"/>
  <c r="E2647" i="3"/>
  <c r="FD542" i="2"/>
  <c r="FD94" i="2"/>
  <c r="FD107" i="2" s="1"/>
  <c r="FD185" i="10"/>
  <c r="E4" i="37"/>
  <c r="I5710" i="3"/>
  <c r="FA174" i="2"/>
  <c r="FC169" i="2"/>
  <c r="FC174" i="2" s="1"/>
  <c r="FF129" i="2"/>
  <c r="FG129" i="2" s="1"/>
  <c r="FH129" i="2" s="1"/>
  <c r="FI129" i="2" s="1"/>
  <c r="FC107" i="2"/>
  <c r="FC543" i="2"/>
  <c r="D2763" i="3"/>
  <c r="F5" i="27"/>
  <c r="L5" i="27"/>
  <c r="L6" i="27"/>
  <c r="B3868" i="3"/>
  <c r="FC568" i="2"/>
  <c r="EZ58" i="2"/>
  <c r="EZ136" i="10" s="1"/>
  <c r="EZ44" i="4"/>
  <c r="FA418" i="2"/>
  <c r="EV46" i="2"/>
  <c r="EV13" i="4"/>
  <c r="EV15" i="4" s="1"/>
  <c r="EV42" i="2"/>
  <c r="EV13" i="2"/>
  <c r="EV31" i="2"/>
  <c r="EU50" i="2"/>
  <c r="B494" i="3"/>
  <c r="B502" i="3" s="1"/>
  <c r="B503" i="3" s="1"/>
  <c r="B858" i="3"/>
  <c r="B859" i="3" s="1"/>
  <c r="B872" i="3"/>
  <c r="C568" i="3"/>
  <c r="C566" i="3" s="1"/>
  <c r="C567" i="3" s="1"/>
  <c r="C569" i="3" s="1"/>
  <c r="H646" i="3"/>
  <c r="H648" i="3" s="1"/>
  <c r="G648" i="3"/>
  <c r="F652" i="3"/>
  <c r="F654" i="3" s="1"/>
  <c r="F662" i="3" s="1"/>
  <c r="G650" i="3"/>
  <c r="E1295" i="3"/>
  <c r="E1299" i="3" s="1"/>
  <c r="E1524" i="3"/>
  <c r="E1526" i="3" s="1"/>
  <c r="D1339" i="3"/>
  <c r="EV112" i="10"/>
  <c r="EU32" i="2"/>
  <c r="EU14" i="2"/>
  <c r="EU12" i="2"/>
  <c r="D1397" i="3"/>
  <c r="D1400" i="3" s="1"/>
  <c r="D1355" i="3"/>
  <c r="D1356" i="3"/>
  <c r="E1352" i="3"/>
  <c r="B28" i="30"/>
  <c r="B1816" i="3"/>
  <c r="C23" i="37"/>
  <c r="C25" i="37" s="1"/>
  <c r="C5" i="37"/>
  <c r="C8" i="37"/>
  <c r="EW548" i="36"/>
  <c r="EW573" i="36"/>
  <c r="EX547" i="36"/>
  <c r="EX548" i="36" s="1"/>
  <c r="EW560" i="2"/>
  <c r="EW562" i="2"/>
  <c r="EX559" i="2"/>
  <c r="C1794" i="3"/>
  <c r="EX186" i="2"/>
  <c r="EX203" i="2"/>
  <c r="EX194" i="2" s="1"/>
  <c r="EX161" i="2"/>
  <c r="EX165" i="2"/>
  <c r="EX183" i="2"/>
  <c r="EX190" i="2"/>
  <c r="EW364" i="10"/>
  <c r="EX148" i="2"/>
  <c r="EX162" i="2"/>
  <c r="EU427" i="10"/>
  <c r="EU47" i="2"/>
  <c r="EX337" i="2"/>
  <c r="EV379" i="10"/>
  <c r="EV545" i="2"/>
  <c r="EX189" i="10"/>
  <c r="D2917" i="3"/>
  <c r="D2928" i="3" s="1"/>
  <c r="D2929" i="3" s="1"/>
  <c r="EU127" i="10"/>
  <c r="EX430" i="2"/>
  <c r="EX435" i="2" s="1"/>
  <c r="EY435" i="2" s="1"/>
  <c r="EY263" i="10" s="1"/>
  <c r="EV190" i="10"/>
  <c r="EX461" i="2"/>
  <c r="EX471" i="2" s="1"/>
  <c r="EX293" i="2"/>
  <c r="EX298" i="2" s="1"/>
  <c r="EX424" i="2" s="1"/>
  <c r="EW372" i="10"/>
  <c r="EX352" i="10"/>
  <c r="D2912" i="3"/>
  <c r="D2914" i="3" s="1"/>
  <c r="EX173" i="10"/>
  <c r="EX419" i="2"/>
  <c r="EX188" i="10"/>
  <c r="EX599" i="2"/>
  <c r="EX398" i="2"/>
  <c r="EW384" i="10"/>
  <c r="FG543" i="2"/>
  <c r="FH543" i="2" s="1"/>
  <c r="FI543" i="2" s="1"/>
  <c r="EP657" i="18"/>
  <c r="EX207" i="2"/>
  <c r="EX372" i="10"/>
  <c r="R28" i="30"/>
  <c r="F224" i="11"/>
  <c r="G4857" i="3"/>
  <c r="EW355" i="10"/>
  <c r="EX173" i="2"/>
  <c r="EV422" i="10"/>
  <c r="C2660" i="3"/>
  <c r="C2678" i="3"/>
  <c r="C2663" i="3"/>
  <c r="C2673" i="3"/>
  <c r="EX490" i="2"/>
  <c r="EX491" i="2" s="1"/>
  <c r="EX541" i="2"/>
  <c r="EX407" i="2"/>
  <c r="EX412" i="2" s="1"/>
  <c r="EX270" i="2"/>
  <c r="EX275" i="2" s="1"/>
  <c r="EV421" i="10"/>
  <c r="EL111" i="18"/>
  <c r="EL114" i="18"/>
  <c r="EL110" i="18"/>
  <c r="EL137" i="18"/>
  <c r="EM106" i="18"/>
  <c r="EM108" i="18" s="1"/>
  <c r="F22" i="24"/>
  <c r="EL107" i="18"/>
  <c r="EL112" i="18" s="1"/>
  <c r="EL149" i="18"/>
  <c r="EL150" i="18"/>
  <c r="EW373" i="10"/>
  <c r="EX200" i="2"/>
  <c r="EX188" i="2" s="1"/>
  <c r="B285" i="3" s="1"/>
  <c r="EW397" i="10"/>
  <c r="EX305" i="2"/>
  <c r="EX354" i="10"/>
  <c r="EV432" i="10"/>
  <c r="EV424" i="10"/>
  <c r="EX441" i="2"/>
  <c r="EX446" i="2" s="1"/>
  <c r="EX304" i="2"/>
  <c r="EX309" i="2" s="1"/>
  <c r="EX172" i="2"/>
  <c r="EX176" i="2"/>
  <c r="EX349" i="10"/>
  <c r="C2664" i="3"/>
  <c r="EX264" i="10"/>
  <c r="EX442" i="2"/>
  <c r="FB567" i="2" l="1"/>
  <c r="FB565" i="2" s="1"/>
  <c r="FD118" i="2"/>
  <c r="FE118" i="2" s="1"/>
  <c r="FF118" i="2" s="1"/>
  <c r="FG118" i="2" s="1"/>
  <c r="FH118" i="2" s="1"/>
  <c r="FI118" i="2" s="1"/>
  <c r="C33" i="37"/>
  <c r="EL669" i="18"/>
  <c r="EL665" i="18"/>
  <c r="C1782" i="3"/>
  <c r="C1813" i="3" s="1"/>
  <c r="C362" i="3"/>
  <c r="B363" i="3"/>
  <c r="EY189" i="10"/>
  <c r="EY400" i="10"/>
  <c r="EY352" i="10"/>
  <c r="EY188" i="10"/>
  <c r="EY171" i="2"/>
  <c r="EY349" i="10" s="1"/>
  <c r="EY348" i="10"/>
  <c r="EV51" i="2"/>
  <c r="FC269" i="2"/>
  <c r="FC274" i="2" s="1"/>
  <c r="FD274" i="2" s="1"/>
  <c r="FE274" i="2" s="1"/>
  <c r="FF274" i="2" s="1"/>
  <c r="FG274" i="2" s="1"/>
  <c r="FH274" i="2" s="1"/>
  <c r="FI274" i="2" s="1"/>
  <c r="FB292" i="2"/>
  <c r="FB297" i="2" s="1"/>
  <c r="FB423" i="2" s="1"/>
  <c r="FC281" i="2"/>
  <c r="FC286" i="2" s="1"/>
  <c r="FD286" i="2" s="1"/>
  <c r="FE286" i="2" s="1"/>
  <c r="FF286" i="2" s="1"/>
  <c r="FG286" i="2" s="1"/>
  <c r="FH286" i="2" s="1"/>
  <c r="FI286" i="2" s="1"/>
  <c r="FC418" i="2"/>
  <c r="C1795" i="3"/>
  <c r="C1798" i="3" s="1"/>
  <c r="C1800" i="3" s="1"/>
  <c r="FC263" i="2"/>
  <c r="FD263" i="2" s="1"/>
  <c r="FE263" i="2" s="1"/>
  <c r="FF263" i="2" s="1"/>
  <c r="FG263" i="2" s="1"/>
  <c r="FH263" i="2" s="1"/>
  <c r="FI263" i="2" s="1"/>
  <c r="FC303" i="2"/>
  <c r="FC308" i="2" s="1"/>
  <c r="FD308" i="2" s="1"/>
  <c r="FE308" i="2" s="1"/>
  <c r="FF308" i="2" s="1"/>
  <c r="FG308" i="2" s="1"/>
  <c r="FH308" i="2" s="1"/>
  <c r="FI308" i="2" s="1"/>
  <c r="C991" i="3"/>
  <c r="B981" i="3"/>
  <c r="FF141" i="2"/>
  <c r="FG141" i="2" s="1"/>
  <c r="FH141" i="2" s="1"/>
  <c r="FI141" i="2" s="1"/>
  <c r="B33" i="6"/>
  <c r="EZ435" i="2"/>
  <c r="EY555" i="2"/>
  <c r="FA411" i="2"/>
  <c r="FC406" i="2"/>
  <c r="FC411" i="2" s="1"/>
  <c r="C14" i="37"/>
  <c r="C22" i="37" s="1"/>
  <c r="C21" i="37" s="1"/>
  <c r="EY302" i="2"/>
  <c r="L8" i="27"/>
  <c r="L7" i="27"/>
  <c r="I5717" i="3"/>
  <c r="EY175" i="2"/>
  <c r="EY153" i="2" s="1"/>
  <c r="EY491" i="2"/>
  <c r="EZ491" i="2" s="1"/>
  <c r="FA491" i="2" s="1"/>
  <c r="FB491" i="2" s="1"/>
  <c r="F7" i="27"/>
  <c r="F8" i="27"/>
  <c r="F4" i="37"/>
  <c r="E12" i="37"/>
  <c r="EY396" i="2"/>
  <c r="EZ394" i="2"/>
  <c r="EY398" i="2"/>
  <c r="EY402" i="2"/>
  <c r="EY399" i="2"/>
  <c r="FA445" i="2"/>
  <c r="FC440" i="2"/>
  <c r="FC445" i="2" s="1"/>
  <c r="EY143" i="2"/>
  <c r="EY140" i="2"/>
  <c r="EY354" i="10" s="1"/>
  <c r="EZ135" i="2"/>
  <c r="EZ168" i="2" s="1"/>
  <c r="EY139" i="2"/>
  <c r="EY182" i="2"/>
  <c r="FD95" i="2"/>
  <c r="FD392" i="10" s="1"/>
  <c r="B36" i="41"/>
  <c r="B38" i="41" s="1"/>
  <c r="B36" i="6"/>
  <c r="E2653" i="3"/>
  <c r="I5711" i="3"/>
  <c r="I5718" i="3" s="1"/>
  <c r="FD568" i="2"/>
  <c r="FD97" i="2"/>
  <c r="FD391" i="10"/>
  <c r="F3503" i="3"/>
  <c r="F3504" i="3" s="1"/>
  <c r="G3504" i="3" s="1"/>
  <c r="G3503" i="3" s="1"/>
  <c r="EM657" i="18"/>
  <c r="EM655" i="18" s="1"/>
  <c r="ET655" i="18" s="1"/>
  <c r="FD540" i="2"/>
  <c r="FD544" i="2"/>
  <c r="EZ259" i="2"/>
  <c r="H5733" i="3"/>
  <c r="H5718" i="3"/>
  <c r="H5719" i="3" s="1"/>
  <c r="EZ125" i="2"/>
  <c r="EZ126" i="2" s="1"/>
  <c r="I43" i="11"/>
  <c r="N1329" i="3"/>
  <c r="FE96" i="2"/>
  <c r="FE86" i="2"/>
  <c r="FB68" i="2"/>
  <c r="FC108" i="2"/>
  <c r="FC395" i="2"/>
  <c r="FC400" i="2" s="1"/>
  <c r="I5726" i="3"/>
  <c r="EY488" i="2"/>
  <c r="EY199" i="2"/>
  <c r="EY372" i="10" s="1"/>
  <c r="EY190" i="2"/>
  <c r="EY541" i="2"/>
  <c r="FD108" i="2"/>
  <c r="E2650" i="3"/>
  <c r="FD344" i="10"/>
  <c r="D1780" i="3"/>
  <c r="EN196" i="18"/>
  <c r="H5712" i="3"/>
  <c r="FD113" i="2"/>
  <c r="H5730" i="3"/>
  <c r="EZ114" i="2"/>
  <c r="EZ115" i="2" s="1"/>
  <c r="EY275" i="2"/>
  <c r="EZ275" i="2" s="1"/>
  <c r="FA275" i="2" s="1"/>
  <c r="FB275" i="2" s="1"/>
  <c r="EZ551" i="2"/>
  <c r="EZ556" i="2"/>
  <c r="EZ555" i="2" s="1"/>
  <c r="FC394" i="2"/>
  <c r="EY451" i="2"/>
  <c r="EV43" i="2"/>
  <c r="EV11" i="4"/>
  <c r="EV12" i="4" s="1"/>
  <c r="EV16" i="4" s="1"/>
  <c r="EV18" i="4" s="1"/>
  <c r="B284" i="3"/>
  <c r="B385" i="3"/>
  <c r="B505" i="3"/>
  <c r="B383" i="3"/>
  <c r="C364" i="3"/>
  <c r="EX191" i="2"/>
  <c r="B286" i="3"/>
  <c r="B879" i="3"/>
  <c r="D872" i="3"/>
  <c r="B873" i="3"/>
  <c r="G1320" i="3"/>
  <c r="H650" i="3"/>
  <c r="H652" i="3" s="1"/>
  <c r="H654" i="3" s="1"/>
  <c r="H662" i="3" s="1"/>
  <c r="G652" i="3"/>
  <c r="G654" i="3" s="1"/>
  <c r="G662" i="3" s="1"/>
  <c r="E1296" i="3"/>
  <c r="E1300" i="3" s="1"/>
  <c r="E1304" i="3" s="1"/>
  <c r="EU575" i="2"/>
  <c r="EU570" i="2"/>
  <c r="D1402" i="3"/>
  <c r="EU15" i="2"/>
  <c r="EV141" i="10"/>
  <c r="E1356" i="3"/>
  <c r="E1355" i="3"/>
  <c r="E1386" i="3" s="1"/>
  <c r="E1388" i="3" s="1"/>
  <c r="D1386" i="3"/>
  <c r="D1388" i="3" s="1"/>
  <c r="EX547" i="2"/>
  <c r="EU49" i="2"/>
  <c r="EU52" i="2" s="1"/>
  <c r="D28" i="30"/>
  <c r="E28" i="30"/>
  <c r="EX205" i="2"/>
  <c r="EW378" i="10"/>
  <c r="C51" i="37"/>
  <c r="C28" i="37"/>
  <c r="C30" i="37" s="1"/>
  <c r="EX420" i="10"/>
  <c r="C34" i="37"/>
  <c r="C35" i="37" s="1"/>
  <c r="C10" i="37"/>
  <c r="EW575" i="36"/>
  <c r="EW577" i="36"/>
  <c r="EW107" i="35"/>
  <c r="EW589" i="36"/>
  <c r="EW579" i="36"/>
  <c r="EX573" i="36"/>
  <c r="EW574" i="36"/>
  <c r="EW576" i="36"/>
  <c r="EX562" i="2"/>
  <c r="EX560" i="2"/>
  <c r="C2764" i="3"/>
  <c r="C2771" i="3" s="1"/>
  <c r="C2775" i="3" s="1"/>
  <c r="C2789" i="3" s="1"/>
  <c r="G4913" i="3"/>
  <c r="G4911" i="3" s="1"/>
  <c r="G4912" i="3" s="1"/>
  <c r="G4567" i="3"/>
  <c r="EX187" i="2"/>
  <c r="E70" i="19" s="1"/>
  <c r="EX617" i="2"/>
  <c r="D2932" i="3"/>
  <c r="D2934" i="3" s="1"/>
  <c r="EX195" i="2"/>
  <c r="EX366" i="10"/>
  <c r="R34" i="30"/>
  <c r="T34" i="30" s="1"/>
  <c r="EX360" i="10"/>
  <c r="EX376" i="10"/>
  <c r="EX211" i="2"/>
  <c r="EX158" i="2"/>
  <c r="EX163" i="2" s="1"/>
  <c r="EX147" i="2"/>
  <c r="EX152" i="2" s="1"/>
  <c r="EX355" i="10"/>
  <c r="E68" i="19"/>
  <c r="EX189" i="2"/>
  <c r="EX362" i="10"/>
  <c r="EX621" i="2"/>
  <c r="R29" i="30"/>
  <c r="T29" i="30" s="1"/>
  <c r="EX323" i="2"/>
  <c r="EU8" i="32"/>
  <c r="EX345" i="2"/>
  <c r="EX40" i="2"/>
  <c r="EX452" i="2"/>
  <c r="EX316" i="2"/>
  <c r="EX294" i="2"/>
  <c r="EX299" i="2" s="1"/>
  <c r="EX425" i="2" s="1"/>
  <c r="EX202" i="2"/>
  <c r="EX283" i="2"/>
  <c r="EW375" i="10"/>
  <c r="EW396" i="10"/>
  <c r="EW402" i="10"/>
  <c r="EW9" i="2"/>
  <c r="D2919" i="3"/>
  <c r="EX263" i="10"/>
  <c r="EX420" i="2"/>
  <c r="D2923" i="3"/>
  <c r="D2924" i="3" s="1"/>
  <c r="EX230" i="2"/>
  <c r="EX232" i="2" s="1"/>
  <c r="EX318" i="2"/>
  <c r="EV426" i="10"/>
  <c r="EW395" i="10"/>
  <c r="EX271" i="2"/>
  <c r="EL33" i="18"/>
  <c r="F6" i="24" s="1"/>
  <c r="EL154" i="18"/>
  <c r="C2665" i="3"/>
  <c r="C2683" i="3"/>
  <c r="EL32" i="18"/>
  <c r="EL151" i="18"/>
  <c r="EL153" i="18"/>
  <c r="EV423" i="10"/>
  <c r="F23" i="24"/>
  <c r="F27" i="24"/>
  <c r="F28" i="24" s="1"/>
  <c r="F30" i="24"/>
  <c r="F31" i="24" s="1"/>
  <c r="F24" i="24"/>
  <c r="EX625" i="2"/>
  <c r="EX364" i="10"/>
  <c r="EX447" i="2"/>
  <c r="EX443" i="2"/>
  <c r="EX603" i="2"/>
  <c r="EX9" i="4"/>
  <c r="EX320" i="2"/>
  <c r="EW403" i="10"/>
  <c r="EX307" i="2"/>
  <c r="EX306" i="2"/>
  <c r="EX310" i="2"/>
  <c r="EX397" i="10"/>
  <c r="C2669" i="3"/>
  <c r="EX208" i="2"/>
  <c r="EX373" i="10"/>
  <c r="U28" i="30"/>
  <c r="T28" i="30"/>
  <c r="EX315" i="2"/>
  <c r="EV10" i="2"/>
  <c r="EX444" i="2"/>
  <c r="EX454" i="2"/>
  <c r="FC565" i="2" l="1"/>
  <c r="FB569" i="2"/>
  <c r="C363" i="3"/>
  <c r="D362" i="3"/>
  <c r="EL674" i="18"/>
  <c r="F278" i="24"/>
  <c r="EL678" i="18"/>
  <c r="EL677" i="18" s="1"/>
  <c r="EW44" i="2"/>
  <c r="EW31" i="2"/>
  <c r="EW13" i="2"/>
  <c r="FC292" i="2"/>
  <c r="FC297" i="2" s="1"/>
  <c r="FC423" i="2" s="1"/>
  <c r="FD281" i="2"/>
  <c r="FD418" i="2" s="1"/>
  <c r="EY172" i="2"/>
  <c r="EY176" i="2"/>
  <c r="EY173" i="2"/>
  <c r="EY355" i="10" s="1"/>
  <c r="FA435" i="2"/>
  <c r="EZ263" i="10"/>
  <c r="EZ181" i="2"/>
  <c r="EZ347" i="10"/>
  <c r="FD269" i="2"/>
  <c r="FD406" i="2" s="1"/>
  <c r="FD411" i="2" s="1"/>
  <c r="EZ346" i="10"/>
  <c r="EZ208" i="10"/>
  <c r="EY191" i="2"/>
  <c r="EY364" i="10"/>
  <c r="EY160" i="2"/>
  <c r="EZ157" i="2" s="1"/>
  <c r="C13" i="37"/>
  <c r="EV47" i="2"/>
  <c r="EV49" i="2" s="1"/>
  <c r="EV52" i="2" s="1"/>
  <c r="C16" i="37"/>
  <c r="C18" i="37" s="1"/>
  <c r="FD303" i="2"/>
  <c r="FD440" i="2" s="1"/>
  <c r="FD445" i="2" s="1"/>
  <c r="C1796" i="3"/>
  <c r="C1802" i="3" s="1"/>
  <c r="C1804" i="3" s="1"/>
  <c r="C1806" i="3" s="1"/>
  <c r="C1818" i="3" s="1"/>
  <c r="H5722" i="3"/>
  <c r="FD258" i="2"/>
  <c r="FD395" i="2" s="1"/>
  <c r="FD400" i="2" s="1"/>
  <c r="I5733" i="3"/>
  <c r="I5712" i="3"/>
  <c r="EZ120" i="2"/>
  <c r="FA552" i="2" s="1"/>
  <c r="EZ116" i="2"/>
  <c r="FA112" i="2"/>
  <c r="EZ117" i="2"/>
  <c r="EZ180" i="2"/>
  <c r="EZ137" i="2"/>
  <c r="EY559" i="2"/>
  <c r="E2763" i="3"/>
  <c r="FD547" i="2"/>
  <c r="FD548" i="2" s="1"/>
  <c r="EN656" i="18"/>
  <c r="EN195" i="18"/>
  <c r="EZ127" i="2"/>
  <c r="EZ131" i="2"/>
  <c r="EZ128" i="2"/>
  <c r="EZ353" i="10" s="1"/>
  <c r="EZ132" i="2"/>
  <c r="FA123" i="2"/>
  <c r="EY189" i="2"/>
  <c r="C52" i="27"/>
  <c r="C53" i="27" s="1"/>
  <c r="B41" i="6"/>
  <c r="I5730" i="3"/>
  <c r="EX421" i="2"/>
  <c r="EY417" i="2"/>
  <c r="D1782" i="3"/>
  <c r="D1786" i="3"/>
  <c r="E1786" i="3" s="1"/>
  <c r="E1780" i="3"/>
  <c r="C1783" i="3"/>
  <c r="EY164" i="2"/>
  <c r="EY159" i="2" s="1"/>
  <c r="EY148" i="2"/>
  <c r="EZ559" i="2"/>
  <c r="FD169" i="2"/>
  <c r="FD174" i="2" s="1"/>
  <c r="FD561" i="2"/>
  <c r="D1793" i="3"/>
  <c r="FB58" i="2"/>
  <c r="FB44" i="4"/>
  <c r="FC68" i="2"/>
  <c r="FC76" i="2" s="1"/>
  <c r="EY203" i="2"/>
  <c r="EY376" i="10" s="1"/>
  <c r="I5719" i="3"/>
  <c r="EY401" i="2"/>
  <c r="EY264" i="10" s="1"/>
  <c r="FC302" i="2"/>
  <c r="EY304" i="2"/>
  <c r="EY305" i="2" s="1"/>
  <c r="EY439" i="2"/>
  <c r="EY207" i="2"/>
  <c r="B38" i="6"/>
  <c r="EY489" i="2"/>
  <c r="FC488" i="2"/>
  <c r="M1329" i="3"/>
  <c r="O1329" i="3"/>
  <c r="N1348" i="3"/>
  <c r="B42" i="41"/>
  <c r="B43" i="41" s="1"/>
  <c r="B34" i="41" s="1"/>
  <c r="B983" i="3"/>
  <c r="B991" i="3"/>
  <c r="B993" i="3" s="1"/>
  <c r="FE105" i="2"/>
  <c r="FE106" i="2" s="1"/>
  <c r="FE90" i="2"/>
  <c r="FE88" i="2"/>
  <c r="FE342" i="10"/>
  <c r="FE343" i="10" s="1"/>
  <c r="EX396" i="10"/>
  <c r="EY280" i="2"/>
  <c r="EY183" i="2"/>
  <c r="EZ260" i="2"/>
  <c r="G4" i="37"/>
  <c r="F12" i="37"/>
  <c r="C37" i="37"/>
  <c r="C38" i="37" s="1"/>
  <c r="EY268" i="2"/>
  <c r="I42" i="11"/>
  <c r="I158" i="11"/>
  <c r="FE258" i="2"/>
  <c r="EV50" i="2"/>
  <c r="EV19" i="4"/>
  <c r="EV14" i="2"/>
  <c r="EV32" i="2"/>
  <c r="EV12" i="2"/>
  <c r="C54" i="37"/>
  <c r="C52" i="37" s="1"/>
  <c r="EX548" i="2"/>
  <c r="B364" i="3"/>
  <c r="C368" i="3"/>
  <c r="C369" i="3" s="1"/>
  <c r="D369" i="3" s="1"/>
  <c r="C365" i="3"/>
  <c r="B874" i="3"/>
  <c r="D879" i="3"/>
  <c r="B899" i="3" s="1"/>
  <c r="D899" i="3" s="1"/>
  <c r="B880" i="3"/>
  <c r="E169" i="6"/>
  <c r="E174" i="6" s="1"/>
  <c r="E183" i="6" s="1"/>
  <c r="E169" i="41"/>
  <c r="E174" i="41" s="1"/>
  <c r="E183" i="41" s="1"/>
  <c r="EX192" i="2"/>
  <c r="EX193" i="2" s="1"/>
  <c r="EX578" i="2"/>
  <c r="EW10" i="32"/>
  <c r="EX213" i="2"/>
  <c r="EX572" i="2"/>
  <c r="EU131" i="10"/>
  <c r="EX588" i="2"/>
  <c r="EX378" i="10"/>
  <c r="C29" i="37"/>
  <c r="C31" i="37" s="1"/>
  <c r="EX577" i="36"/>
  <c r="EX575" i="36"/>
  <c r="EX574" i="36"/>
  <c r="EX576" i="36"/>
  <c r="EW581" i="36"/>
  <c r="EX579" i="36"/>
  <c r="EX589" i="36"/>
  <c r="EX590" i="36" s="1"/>
  <c r="EW588" i="36"/>
  <c r="EW110" i="35"/>
  <c r="EW130" i="35"/>
  <c r="EX130" i="35" s="1"/>
  <c r="EW144" i="35"/>
  <c r="EX144" i="35" s="1"/>
  <c r="EX107" i="35"/>
  <c r="EX206" i="2"/>
  <c r="EX563" i="2" s="1"/>
  <c r="EW563" i="2"/>
  <c r="G4289" i="3"/>
  <c r="O4289" i="3" s="1"/>
  <c r="G4568" i="3"/>
  <c r="G4574" i="3" s="1"/>
  <c r="G4576" i="3" s="1"/>
  <c r="U34" i="30"/>
  <c r="R30" i="30"/>
  <c r="T30" i="30" s="1"/>
  <c r="EX408" i="10"/>
  <c r="EX618" i="2"/>
  <c r="EX324" i="2"/>
  <c r="EY324" i="2" s="1"/>
  <c r="EZ324" i="2" s="1"/>
  <c r="FA324" i="2" s="1"/>
  <c r="FB324" i="2" s="1"/>
  <c r="D2937" i="3"/>
  <c r="D2939" i="3" s="1"/>
  <c r="U29" i="30"/>
  <c r="G4302" i="3"/>
  <c r="G4876" i="3"/>
  <c r="G4914" i="3"/>
  <c r="EX285" i="2"/>
  <c r="EX402" i="10" s="1"/>
  <c r="EW545" i="2"/>
  <c r="EX408" i="2"/>
  <c r="EX413" i="2" s="1"/>
  <c r="EX410" i="2"/>
  <c r="EX187" i="10" s="1"/>
  <c r="EW379" i="10"/>
  <c r="EX288" i="2"/>
  <c r="EX284" i="2"/>
  <c r="EX453" i="2"/>
  <c r="EX566" i="2" s="1"/>
  <c r="EX319" i="2"/>
  <c r="EX384" i="10"/>
  <c r="EX295" i="2"/>
  <c r="C2689" i="3"/>
  <c r="C2705" i="3" s="1"/>
  <c r="EX210" i="2"/>
  <c r="E72" i="19" s="1"/>
  <c r="EX296" i="2"/>
  <c r="F3430" i="3"/>
  <c r="EX375" i="10"/>
  <c r="EX422" i="2"/>
  <c r="EX231" i="2"/>
  <c r="EV427" i="10"/>
  <c r="EX233" i="2"/>
  <c r="EX590" i="2"/>
  <c r="EX591" i="2" s="1"/>
  <c r="EL152" i="18"/>
  <c r="EL165" i="18"/>
  <c r="F4" i="24"/>
  <c r="EL34" i="18"/>
  <c r="EL40" i="18" s="1"/>
  <c r="EL59" i="18" s="1"/>
  <c r="C2674" i="3"/>
  <c r="C2670" i="3"/>
  <c r="C2679" i="3"/>
  <c r="C2680" i="3" s="1"/>
  <c r="EV104" i="10"/>
  <c r="EV127" i="10"/>
  <c r="F36" i="24"/>
  <c r="F7" i="24"/>
  <c r="F37" i="24" s="1"/>
  <c r="EU102" i="10"/>
  <c r="EW424" i="10"/>
  <c r="EX341" i="2"/>
  <c r="EX403" i="10"/>
  <c r="EX272" i="2"/>
  <c r="EX276" i="2"/>
  <c r="EX600" i="2"/>
  <c r="EX395" i="10"/>
  <c r="EW401" i="10"/>
  <c r="EX273" i="2"/>
  <c r="EX401" i="10" s="1"/>
  <c r="EV128" i="10"/>
  <c r="EW41" i="2"/>
  <c r="EW10" i="4" s="1"/>
  <c r="FC567" i="2" l="1"/>
  <c r="FD567" i="2" s="1"/>
  <c r="FC569" i="2"/>
  <c r="EL325" i="18"/>
  <c r="EL332" i="18" s="1"/>
  <c r="EL682" i="18"/>
  <c r="EM680" i="18"/>
  <c r="F281" i="24"/>
  <c r="F279" i="24"/>
  <c r="F280" i="24"/>
  <c r="E362" i="3"/>
  <c r="D363" i="3"/>
  <c r="EW46" i="2"/>
  <c r="EW51" i="2" s="1"/>
  <c r="EW13" i="4"/>
  <c r="EW15" i="4" s="1"/>
  <c r="EW42" i="2"/>
  <c r="EW11" i="4" s="1"/>
  <c r="EW12" i="4" s="1"/>
  <c r="C1807" i="3"/>
  <c r="EY165" i="2"/>
  <c r="FD292" i="2"/>
  <c r="FD297" i="2" s="1"/>
  <c r="FD423" i="2" s="1"/>
  <c r="EY162" i="2"/>
  <c r="EY161" i="2"/>
  <c r="C24" i="37"/>
  <c r="C26" i="37" s="1"/>
  <c r="C58" i="37"/>
  <c r="C65" i="37" s="1"/>
  <c r="EY318" i="2"/>
  <c r="EY397" i="10"/>
  <c r="EZ352" i="10"/>
  <c r="EZ188" i="10"/>
  <c r="FC58" i="2"/>
  <c r="FC136" i="10" s="1"/>
  <c r="FB136" i="10"/>
  <c r="FB435" i="2"/>
  <c r="FB263" i="10" s="1"/>
  <c r="FA263" i="10"/>
  <c r="EZ397" i="2"/>
  <c r="EZ173" i="10" s="1"/>
  <c r="EZ394" i="10"/>
  <c r="I5722" i="3"/>
  <c r="N1371" i="3"/>
  <c r="Q1374" i="3"/>
  <c r="S1376" i="3"/>
  <c r="N1394" i="3"/>
  <c r="P1373" i="3"/>
  <c r="O1372" i="3"/>
  <c r="R1375" i="3"/>
  <c r="T1377" i="3"/>
  <c r="U1378" i="3"/>
  <c r="D1813" i="3"/>
  <c r="E1782" i="3"/>
  <c r="P1329" i="3"/>
  <c r="O1348" i="3"/>
  <c r="EY442" i="2"/>
  <c r="EY454" i="2" s="1"/>
  <c r="EY310" i="2"/>
  <c r="EY307" i="2"/>
  <c r="EY403" i="10" s="1"/>
  <c r="EZ302" i="2"/>
  <c r="EY306" i="2"/>
  <c r="FC417" i="2"/>
  <c r="EY230" i="2"/>
  <c r="EY384" i="10" s="1"/>
  <c r="EY320" i="2"/>
  <c r="L1329" i="3"/>
  <c r="M1348" i="3"/>
  <c r="EN661" i="18"/>
  <c r="EN660" i="18" s="1"/>
  <c r="EN200" i="18"/>
  <c r="EN211" i="18"/>
  <c r="EN234" i="18"/>
  <c r="EN284" i="18"/>
  <c r="EN286" i="18" s="1"/>
  <c r="EN83" i="18"/>
  <c r="EN213" i="18"/>
  <c r="EN197" i="18"/>
  <c r="EY562" i="2"/>
  <c r="EY560" i="2"/>
  <c r="EY572" i="2"/>
  <c r="FC280" i="2"/>
  <c r="EY282" i="2"/>
  <c r="EY283" i="2" s="1"/>
  <c r="EY291" i="2"/>
  <c r="FC489" i="2"/>
  <c r="EN658" i="18"/>
  <c r="EN655" i="18"/>
  <c r="B42" i="6"/>
  <c r="D53" i="27" s="1"/>
  <c r="EZ138" i="2"/>
  <c r="EZ348" i="10" s="1"/>
  <c r="FE185" i="10"/>
  <c r="F2647" i="3"/>
  <c r="J5710" i="3"/>
  <c r="FE94" i="2"/>
  <c r="FE542" i="2"/>
  <c r="I212" i="11"/>
  <c r="FE92" i="2"/>
  <c r="FF87" i="2"/>
  <c r="FE91" i="2"/>
  <c r="J4845" i="3"/>
  <c r="EZ488" i="2"/>
  <c r="EZ489" i="2" s="1"/>
  <c r="EZ199" i="2"/>
  <c r="EZ372" i="10" s="1"/>
  <c r="EZ190" i="2"/>
  <c r="EZ541" i="2"/>
  <c r="I166" i="11"/>
  <c r="I210" i="11" s="1"/>
  <c r="I211" i="11" s="1"/>
  <c r="J158" i="11"/>
  <c r="I177" i="11"/>
  <c r="FE113" i="2"/>
  <c r="FE395" i="2" s="1"/>
  <c r="FE400" i="2" s="1"/>
  <c r="FE124" i="2"/>
  <c r="FE136" i="2"/>
  <c r="EZ562" i="2"/>
  <c r="EZ560" i="2"/>
  <c r="EZ572" i="2"/>
  <c r="I66" i="11"/>
  <c r="I57" i="11"/>
  <c r="EY147" i="2"/>
  <c r="FC268" i="2"/>
  <c r="EY270" i="2"/>
  <c r="EY405" i="2"/>
  <c r="EZ170" i="2"/>
  <c r="EY211" i="2"/>
  <c r="EY205" i="2"/>
  <c r="EY378" i="10" s="1"/>
  <c r="EZ189" i="2"/>
  <c r="EY188" i="2"/>
  <c r="EY362" i="10" s="1"/>
  <c r="FA114" i="2"/>
  <c r="EY591" i="2"/>
  <c r="FC77" i="2"/>
  <c r="FD76" i="2"/>
  <c r="FC44" i="4"/>
  <c r="D1783" i="3"/>
  <c r="C1814" i="3"/>
  <c r="C1785" i="3"/>
  <c r="C1787" i="3" s="1"/>
  <c r="FA125" i="2"/>
  <c r="FA551" i="2"/>
  <c r="FA556" i="2"/>
  <c r="H4" i="37"/>
  <c r="G12" i="37"/>
  <c r="B39" i="41"/>
  <c r="FC439" i="2"/>
  <c r="EZ261" i="2"/>
  <c r="EZ265" i="2"/>
  <c r="EZ262" i="2"/>
  <c r="FA257" i="2"/>
  <c r="EZ314" i="2"/>
  <c r="EY441" i="2"/>
  <c r="EY158" i="2"/>
  <c r="EV575" i="2"/>
  <c r="EV570" i="2"/>
  <c r="C53" i="37"/>
  <c r="EV15" i="2"/>
  <c r="E79" i="41"/>
  <c r="E81" i="41" s="1"/>
  <c r="D56" i="42"/>
  <c r="D58" i="42" s="1"/>
  <c r="D63" i="42" s="1"/>
  <c r="E369" i="3"/>
  <c r="B368" i="3"/>
  <c r="B365" i="3"/>
  <c r="F899" i="3"/>
  <c r="E899" i="3"/>
  <c r="B881" i="3"/>
  <c r="B875" i="3"/>
  <c r="C87" i="37"/>
  <c r="C96" i="37" s="1"/>
  <c r="C1832" i="3"/>
  <c r="EX574" i="2"/>
  <c r="EX10" i="32"/>
  <c r="C2767" i="3"/>
  <c r="C2766" i="3" s="1"/>
  <c r="C2774" i="3" s="1"/>
  <c r="E11" i="27"/>
  <c r="E14" i="27" s="1"/>
  <c r="B1825" i="3"/>
  <c r="B1823" i="3" s="1"/>
  <c r="B1821" i="3" s="1"/>
  <c r="B1820" i="3" s="1"/>
  <c r="C1820" i="3" s="1"/>
  <c r="D1820" i="3" s="1"/>
  <c r="D1721" i="3"/>
  <c r="D1719" i="3" s="1"/>
  <c r="C2781" i="3"/>
  <c r="B1865" i="3"/>
  <c r="D1865" i="3" s="1"/>
  <c r="EX589" i="2"/>
  <c r="G4977" i="3"/>
  <c r="G4978" i="3" s="1"/>
  <c r="EX576" i="2"/>
  <c r="EU1026" i="10"/>
  <c r="B29" i="30"/>
  <c r="EX545" i="2"/>
  <c r="EX379" i="10"/>
  <c r="EX214" i="2"/>
  <c r="E71" i="19" s="1"/>
  <c r="EW585" i="36"/>
  <c r="EX585" i="36" s="1"/>
  <c r="EX581" i="36"/>
  <c r="EX110" i="35"/>
  <c r="EW593" i="36"/>
  <c r="EY591" i="36"/>
  <c r="EX588" i="36"/>
  <c r="EX593" i="36" s="1"/>
  <c r="EW65" i="35"/>
  <c r="G4322" i="3"/>
  <c r="O4322" i="3" s="1"/>
  <c r="G4295" i="3"/>
  <c r="G4763" i="3"/>
  <c r="H4490" i="3"/>
  <c r="H4491" i="3" s="1"/>
  <c r="H4493" i="3" s="1"/>
  <c r="G4627" i="3"/>
  <c r="G4417" i="3"/>
  <c r="G4933" i="3" s="1"/>
  <c r="G4934" i="3" s="1"/>
  <c r="U30" i="30"/>
  <c r="EX619" i="2"/>
  <c r="G4878" i="3"/>
  <c r="G4887" i="3"/>
  <c r="E79" i="6"/>
  <c r="E81" i="6" s="1"/>
  <c r="O4876" i="3"/>
  <c r="G4312" i="3"/>
  <c r="O4302" i="3"/>
  <c r="G4331" i="3"/>
  <c r="G4308" i="3"/>
  <c r="G4577" i="3"/>
  <c r="H4496" i="3"/>
  <c r="G4628" i="3"/>
  <c r="G4392" i="3"/>
  <c r="G4578" i="3"/>
  <c r="G4423" i="3"/>
  <c r="G4426" i="3" s="1"/>
  <c r="EX317" i="2"/>
  <c r="EX573" i="2"/>
  <c r="EX414" i="2"/>
  <c r="EX409" i="2"/>
  <c r="EX367" i="2"/>
  <c r="EX368" i="2" s="1"/>
  <c r="EW187" i="10"/>
  <c r="EW432" i="10"/>
  <c r="EX601" i="2"/>
  <c r="EX629" i="2" s="1"/>
  <c r="EX641" i="2" s="1"/>
  <c r="EX505" i="2"/>
  <c r="EX9" i="2"/>
  <c r="EX431" i="2"/>
  <c r="EY428" i="2" s="1"/>
  <c r="EX465" i="2"/>
  <c r="EX475" i="2" s="1"/>
  <c r="F34" i="24"/>
  <c r="F35" i="24" s="1"/>
  <c r="F5" i="24"/>
  <c r="EW422" i="10"/>
  <c r="EX339" i="2"/>
  <c r="F8" i="24"/>
  <c r="C2684" i="3"/>
  <c r="C2685" i="3" s="1"/>
  <c r="C2675" i="3"/>
  <c r="EW426" i="10"/>
  <c r="EX343" i="2"/>
  <c r="F245" i="24"/>
  <c r="F246" i="24" s="1"/>
  <c r="EL172" i="18"/>
  <c r="EL687" i="18"/>
  <c r="EL166" i="18"/>
  <c r="EX349" i="2"/>
  <c r="EX329" i="2"/>
  <c r="EX424" i="10"/>
  <c r="R36" i="30"/>
  <c r="EW421" i="10"/>
  <c r="EX338" i="2"/>
  <c r="EX44" i="2"/>
  <c r="EV1031" i="10"/>
  <c r="EL65" i="18"/>
  <c r="EL61" i="18"/>
  <c r="EX462" i="2"/>
  <c r="FE567" i="2" l="1"/>
  <c r="FF567" i="2" s="1"/>
  <c r="FG567" i="2" s="1"/>
  <c r="FH567" i="2" s="1"/>
  <c r="FI567" i="2" s="1"/>
  <c r="FD565" i="2"/>
  <c r="EX11" i="4"/>
  <c r="EW16" i="4"/>
  <c r="EW18" i="4" s="1"/>
  <c r="EW19" i="4" s="1"/>
  <c r="EW43" i="2"/>
  <c r="F362" i="3"/>
  <c r="E363" i="3"/>
  <c r="F283" i="24"/>
  <c r="F282" i="24"/>
  <c r="EL333" i="18"/>
  <c r="EL334" i="18"/>
  <c r="EW47" i="2"/>
  <c r="EW49" i="2" s="1"/>
  <c r="EW52" i="2" s="1"/>
  <c r="EW50" i="2"/>
  <c r="FA394" i="2"/>
  <c r="EY316" i="2"/>
  <c r="EY453" i="2" s="1"/>
  <c r="EY573" i="2" s="1"/>
  <c r="EY396" i="10"/>
  <c r="EZ191" i="2"/>
  <c r="EZ364" i="10"/>
  <c r="EZ189" i="10"/>
  <c r="EZ400" i="10"/>
  <c r="EZ451" i="2"/>
  <c r="EZ396" i="2"/>
  <c r="EZ401" i="2" s="1"/>
  <c r="EZ264" i="10" s="1"/>
  <c r="EZ402" i="2"/>
  <c r="EZ399" i="2"/>
  <c r="EZ398" i="2"/>
  <c r="B43" i="6"/>
  <c r="B34" i="6" s="1"/>
  <c r="J177" i="11"/>
  <c r="I185" i="11"/>
  <c r="I198" i="11"/>
  <c r="EZ304" i="2"/>
  <c r="EZ439" i="2"/>
  <c r="FA555" i="2"/>
  <c r="FA559" i="2" s="1"/>
  <c r="EY407" i="2"/>
  <c r="EY408" i="2" s="1"/>
  <c r="EY452" i="2" s="1"/>
  <c r="FA259" i="2"/>
  <c r="FA115" i="2"/>
  <c r="K158" i="11"/>
  <c r="L158" i="11" s="1"/>
  <c r="M158" i="11" s="1"/>
  <c r="N158" i="11" s="1"/>
  <c r="O158" i="11" s="1"/>
  <c r="P158" i="11" s="1"/>
  <c r="FE540" i="2"/>
  <c r="FE544" i="2"/>
  <c r="EN86" i="18"/>
  <c r="EY152" i="2"/>
  <c r="EN305" i="18"/>
  <c r="EN287" i="18"/>
  <c r="EN291" i="18"/>
  <c r="EN288" i="18"/>
  <c r="EO283" i="18"/>
  <c r="EO285" i="18" s="1"/>
  <c r="FA126" i="2"/>
  <c r="FA347" i="10" s="1"/>
  <c r="EY200" i="2"/>
  <c r="EY373" i="10" s="1"/>
  <c r="J5726" i="3"/>
  <c r="J5717" i="3"/>
  <c r="EY443" i="2"/>
  <c r="EY447" i="2"/>
  <c r="EY444" i="2"/>
  <c r="FE95" i="2"/>
  <c r="FE392" i="10" s="1"/>
  <c r="FE568" i="2"/>
  <c r="FE107" i="2"/>
  <c r="FE97" i="2"/>
  <c r="J5711" i="3"/>
  <c r="FE391" i="10"/>
  <c r="F2653" i="3"/>
  <c r="FA189" i="2"/>
  <c r="EZ188" i="2"/>
  <c r="FC291" i="2"/>
  <c r="R1374" i="3"/>
  <c r="S1375" i="3"/>
  <c r="P1372" i="3"/>
  <c r="T1376" i="3"/>
  <c r="O1371" i="3"/>
  <c r="U1377" i="3"/>
  <c r="Q1373" i="3"/>
  <c r="O1394" i="3"/>
  <c r="FC549" i="36"/>
  <c r="FB549" i="36" s="1"/>
  <c r="FB547" i="36" s="1"/>
  <c r="C1816" i="3"/>
  <c r="EN202" i="18"/>
  <c r="EN216" i="18"/>
  <c r="EN218" i="18" s="1"/>
  <c r="EN201" i="18"/>
  <c r="EN295" i="18"/>
  <c r="EN297" i="18" s="1"/>
  <c r="EN84" i="18"/>
  <c r="EN87" i="18" s="1"/>
  <c r="EN667" i="18"/>
  <c r="EN239" i="18"/>
  <c r="EN241" i="18" s="1"/>
  <c r="P1348" i="3"/>
  <c r="Q1329" i="3"/>
  <c r="Q1348" i="3" s="1"/>
  <c r="D1785" i="3"/>
  <c r="D1787" i="3" s="1"/>
  <c r="D1814" i="3"/>
  <c r="FH549" i="36" s="1"/>
  <c r="FF549" i="36" s="1"/>
  <c r="FF547" i="36" s="1"/>
  <c r="EZ207" i="2"/>
  <c r="FA135" i="2"/>
  <c r="EZ139" i="2"/>
  <c r="EZ143" i="2"/>
  <c r="EZ140" i="2"/>
  <c r="EZ354" i="10" s="1"/>
  <c r="EZ171" i="2"/>
  <c r="EZ349" i="10" s="1"/>
  <c r="EZ182" i="2"/>
  <c r="EY285" i="2"/>
  <c r="EY402" i="10" s="1"/>
  <c r="EY288" i="2"/>
  <c r="EY284" i="2"/>
  <c r="EZ280" i="2"/>
  <c r="EY294" i="2"/>
  <c r="EY317" i="2" s="1"/>
  <c r="E1785" i="3"/>
  <c r="E1781" i="3"/>
  <c r="EY419" i="2"/>
  <c r="EY293" i="2"/>
  <c r="T1378" i="3"/>
  <c r="M1394" i="3"/>
  <c r="R1376" i="3"/>
  <c r="N1372" i="3"/>
  <c r="Q1375" i="3"/>
  <c r="M1371" i="3"/>
  <c r="O1373" i="3"/>
  <c r="S1377" i="3"/>
  <c r="P1374" i="3"/>
  <c r="U1379" i="3"/>
  <c r="FE169" i="2"/>
  <c r="FE174" i="2" s="1"/>
  <c r="FE561" i="2"/>
  <c r="EY213" i="2"/>
  <c r="EZ574" i="2"/>
  <c r="EZ576" i="2"/>
  <c r="EZ578" i="2"/>
  <c r="EZ580" i="2" s="1"/>
  <c r="EZ112" i="10" s="1"/>
  <c r="EZ141" i="10" s="1"/>
  <c r="EZ588" i="2"/>
  <c r="L1330" i="3"/>
  <c r="M1330" i="3" s="1"/>
  <c r="N1330" i="3" s="1"/>
  <c r="O1330" i="3" s="1"/>
  <c r="P1330" i="3" s="1"/>
  <c r="L1348" i="3"/>
  <c r="EY576" i="2"/>
  <c r="EY578" i="2"/>
  <c r="EY588" i="2"/>
  <c r="EY574" i="2"/>
  <c r="EY231" i="2"/>
  <c r="EY163" i="2"/>
  <c r="EZ175" i="2"/>
  <c r="EZ153" i="2" s="1"/>
  <c r="I4" i="37"/>
  <c r="H12" i="37"/>
  <c r="EY323" i="2"/>
  <c r="FC405" i="2"/>
  <c r="FE76" i="2"/>
  <c r="FF76" i="2" s="1"/>
  <c r="FG76" i="2" s="1"/>
  <c r="FH76" i="2" s="1"/>
  <c r="FI76" i="2" s="1"/>
  <c r="FD68" i="2"/>
  <c r="EY446" i="2"/>
  <c r="F2650" i="3"/>
  <c r="EO196" i="18"/>
  <c r="FE344" i="10"/>
  <c r="FC428" i="2"/>
  <c r="EY430" i="2"/>
  <c r="EY590" i="2"/>
  <c r="EZ591" i="2"/>
  <c r="FA591" i="2" s="1"/>
  <c r="FB591" i="2" s="1"/>
  <c r="EY271" i="2"/>
  <c r="EY395" i="10" s="1"/>
  <c r="FF96" i="2"/>
  <c r="R1329" i="3"/>
  <c r="J43" i="11"/>
  <c r="FF86" i="2"/>
  <c r="EW104" i="10"/>
  <c r="B369" i="3"/>
  <c r="D65" i="42"/>
  <c r="D68" i="42" s="1"/>
  <c r="F369" i="3"/>
  <c r="B882" i="3"/>
  <c r="EV8" i="32"/>
  <c r="H1320" i="3"/>
  <c r="EX506" i="2"/>
  <c r="EX13" i="2"/>
  <c r="EV131" i="10"/>
  <c r="E1339" i="3"/>
  <c r="E1402" i="3" s="1"/>
  <c r="E1403" i="3" s="1"/>
  <c r="EW112" i="10"/>
  <c r="EX580" i="2"/>
  <c r="EX584" i="2"/>
  <c r="EX110" i="4"/>
  <c r="EX587" i="2"/>
  <c r="EW592" i="2" s="1"/>
  <c r="C2776" i="3"/>
  <c r="E13" i="27"/>
  <c r="C1821" i="3"/>
  <c r="C1823" i="3" s="1"/>
  <c r="E1865" i="3"/>
  <c r="E29" i="30"/>
  <c r="D29" i="30"/>
  <c r="B31" i="30"/>
  <c r="G4326" i="3"/>
  <c r="C61" i="37"/>
  <c r="EX472" i="2"/>
  <c r="C43" i="37"/>
  <c r="C44" i="37" s="1"/>
  <c r="C40" i="37"/>
  <c r="C41" i="37" s="1"/>
  <c r="EW97" i="35"/>
  <c r="EW153" i="35"/>
  <c r="EX153" i="35" s="1"/>
  <c r="EX65" i="35"/>
  <c r="EW69" i="35"/>
  <c r="EY588" i="36"/>
  <c r="G4629" i="3"/>
  <c r="EX640" i="2"/>
  <c r="G4420" i="3"/>
  <c r="G4457" i="3" s="1"/>
  <c r="EX457" i="2"/>
  <c r="G4957" i="3"/>
  <c r="G4366" i="3"/>
  <c r="G4367" i="3" s="1"/>
  <c r="G4918" i="3"/>
  <c r="G4339" i="3"/>
  <c r="G4335" i="3"/>
  <c r="G4813" i="3"/>
  <c r="H4428" i="3"/>
  <c r="H4497" i="3"/>
  <c r="EX432" i="10"/>
  <c r="EX369" i="2"/>
  <c r="EX370" i="2" s="1"/>
  <c r="C2731" i="3"/>
  <c r="C2744" i="3" s="1"/>
  <c r="EX455" i="2"/>
  <c r="E27" i="19" s="1"/>
  <c r="R46" i="30"/>
  <c r="T46" i="30" s="1"/>
  <c r="C2699" i="3"/>
  <c r="C2691" i="3" s="1"/>
  <c r="C2690" i="3" s="1"/>
  <c r="C2706" i="3" s="1"/>
  <c r="C2707" i="3" s="1"/>
  <c r="C2715" i="3" s="1"/>
  <c r="EX433" i="2"/>
  <c r="EX190" i="10" s="1"/>
  <c r="EW190" i="10"/>
  <c r="EX429" i="2"/>
  <c r="EX434" i="2" s="1"/>
  <c r="EX602" i="2"/>
  <c r="EX432" i="2"/>
  <c r="EX436" i="2"/>
  <c r="G5714" i="3"/>
  <c r="EX42" i="2"/>
  <c r="B381" i="3" s="1"/>
  <c r="F38" i="24"/>
  <c r="F45" i="24" s="1"/>
  <c r="F49" i="24" s="1"/>
  <c r="EL67" i="18"/>
  <c r="EL66" i="18"/>
  <c r="T36" i="30"/>
  <c r="U36" i="30"/>
  <c r="F225" i="24"/>
  <c r="F9" i="24"/>
  <c r="F39" i="24" s="1"/>
  <c r="F46" i="24" s="1"/>
  <c r="F12" i="24"/>
  <c r="EX463" i="2"/>
  <c r="EX15" i="4"/>
  <c r="EX13" i="4"/>
  <c r="EX351" i="2"/>
  <c r="EX426" i="10"/>
  <c r="EX633" i="2"/>
  <c r="E170" i="41" s="1"/>
  <c r="E175" i="41" s="1"/>
  <c r="E184" i="41" s="1"/>
  <c r="EW128" i="10"/>
  <c r="EX46" i="2"/>
  <c r="EX330" i="2"/>
  <c r="EX414" i="10"/>
  <c r="EX467" i="2"/>
  <c r="EX477" i="2" s="1"/>
  <c r="EX346" i="2"/>
  <c r="EX325" i="2"/>
  <c r="EX421" i="10"/>
  <c r="EX327" i="2"/>
  <c r="EX347" i="2"/>
  <c r="EX422" i="10"/>
  <c r="EX41" i="2"/>
  <c r="B380" i="3" s="1"/>
  <c r="F250" i="24"/>
  <c r="EL696" i="18"/>
  <c r="EL695" i="18" s="1"/>
  <c r="EL176" i="18"/>
  <c r="EL183" i="18" s="1"/>
  <c r="EW423" i="10"/>
  <c r="EX340" i="2"/>
  <c r="F56" i="24"/>
  <c r="F247" i="24"/>
  <c r="EL174" i="18"/>
  <c r="EL173" i="18"/>
  <c r="EX464" i="2"/>
  <c r="EX474" i="2" s="1"/>
  <c r="EW10" i="2"/>
  <c r="G362" i="3" l="1"/>
  <c r="F363" i="3"/>
  <c r="EW14" i="2"/>
  <c r="EW32" i="2"/>
  <c r="EW12" i="2"/>
  <c r="F27" i="19"/>
  <c r="G27" i="19"/>
  <c r="EY319" i="2"/>
  <c r="B39" i="6"/>
  <c r="FA346" i="10"/>
  <c r="FA208" i="10"/>
  <c r="C1825" i="3"/>
  <c r="FC573" i="36" s="1"/>
  <c r="FC575" i="36" s="1"/>
  <c r="EZ200" i="2"/>
  <c r="EZ373" i="10" s="1"/>
  <c r="EZ362" i="10"/>
  <c r="EY337" i="2"/>
  <c r="EY420" i="10" s="1"/>
  <c r="EY408" i="10"/>
  <c r="EX65" i="4"/>
  <c r="C108" i="41" s="1"/>
  <c r="D1816" i="3"/>
  <c r="EN85" i="18"/>
  <c r="EY339" i="2"/>
  <c r="EY422" i="10" s="1"/>
  <c r="EZ203" i="2"/>
  <c r="EZ376" i="10" s="1"/>
  <c r="EZ183" i="2"/>
  <c r="Q1394" i="3"/>
  <c r="U1375" i="3"/>
  <c r="S1373" i="3"/>
  <c r="R1372" i="3"/>
  <c r="Q1371" i="3"/>
  <c r="T1374" i="3"/>
  <c r="I12" i="37"/>
  <c r="J4" i="37"/>
  <c r="EY580" i="2"/>
  <c r="EY112" i="10" s="1"/>
  <c r="EY141" i="10" s="1"/>
  <c r="EZ160" i="2"/>
  <c r="EZ172" i="2"/>
  <c r="EZ173" i="2"/>
  <c r="EZ355" i="10" s="1"/>
  <c r="EZ176" i="2"/>
  <c r="T1375" i="3"/>
  <c r="P1394" i="3"/>
  <c r="U1376" i="3"/>
  <c r="S1374" i="3"/>
  <c r="R1373" i="3"/>
  <c r="P1371" i="3"/>
  <c r="Q1372" i="3"/>
  <c r="EZ441" i="2"/>
  <c r="EY298" i="2"/>
  <c r="EY424" i="2" s="1"/>
  <c r="EN243" i="18"/>
  <c r="EO238" i="18"/>
  <c r="EO240" i="18" s="1"/>
  <c r="EN242" i="18"/>
  <c r="J5730" i="3"/>
  <c r="EY208" i="2"/>
  <c r="EY202" i="2"/>
  <c r="EY375" i="10" s="1"/>
  <c r="EZ305" i="2"/>
  <c r="EZ397" i="10" s="1"/>
  <c r="EO656" i="18"/>
  <c r="EO195" i="18"/>
  <c r="EY420" i="2"/>
  <c r="F2763" i="3"/>
  <c r="FE547" i="2"/>
  <c r="FE548" i="2" s="1"/>
  <c r="EZ164" i="2"/>
  <c r="EZ159" i="2" s="1"/>
  <c r="EZ148" i="2"/>
  <c r="FA137" i="2"/>
  <c r="FA138" i="2" s="1"/>
  <c r="FA168" i="2"/>
  <c r="EN298" i="18"/>
  <c r="EN302" i="18"/>
  <c r="EN299" i="18"/>
  <c r="EO294" i="18"/>
  <c r="EO296" i="18" s="1"/>
  <c r="EN306" i="18"/>
  <c r="EN308" i="18" s="1"/>
  <c r="EN309" i="18" s="1"/>
  <c r="I206" i="11"/>
  <c r="I216" i="11"/>
  <c r="I48" i="11"/>
  <c r="FF342" i="10"/>
  <c r="FF343" i="10" s="1"/>
  <c r="FF88" i="2"/>
  <c r="FF105" i="2"/>
  <c r="FF106" i="2" s="1"/>
  <c r="FF90" i="2"/>
  <c r="FA188" i="2"/>
  <c r="FA362" i="10" s="1"/>
  <c r="FB189" i="2"/>
  <c r="FB188" i="2" s="1"/>
  <c r="FB362" i="10" s="1"/>
  <c r="FA128" i="2"/>
  <c r="FA353" i="10" s="1"/>
  <c r="FA127" i="2"/>
  <c r="FB123" i="2"/>
  <c r="FA131" i="2"/>
  <c r="FA132" i="2"/>
  <c r="FA181" i="2"/>
  <c r="J198" i="11"/>
  <c r="K177" i="11"/>
  <c r="J159" i="11"/>
  <c r="J42" i="11"/>
  <c r="EN220" i="18"/>
  <c r="EO215" i="18"/>
  <c r="EN276" i="18"/>
  <c r="EN277" i="18"/>
  <c r="EN48" i="18" s="1"/>
  <c r="EN219" i="18"/>
  <c r="EN223" i="18"/>
  <c r="FA180" i="2"/>
  <c r="FA560" i="2" s="1"/>
  <c r="FA116" i="2"/>
  <c r="FB112" i="2"/>
  <c r="FA117" i="2"/>
  <c r="FA120" i="2"/>
  <c r="FB552" i="2" s="1"/>
  <c r="S1329" i="3"/>
  <c r="R1348" i="3"/>
  <c r="FD44" i="4"/>
  <c r="FD58" i="2"/>
  <c r="FD136" i="10" s="1"/>
  <c r="J5712" i="3"/>
  <c r="J5718" i="3"/>
  <c r="J5719" i="3" s="1"/>
  <c r="J5733" i="3"/>
  <c r="S1378" i="3"/>
  <c r="T1379" i="3"/>
  <c r="L1394" i="3"/>
  <c r="P1375" i="3"/>
  <c r="M1372" i="3"/>
  <c r="M1381" i="3" s="1"/>
  <c r="M1355" i="3" s="1"/>
  <c r="L1349" i="3"/>
  <c r="M1349" i="3" s="1"/>
  <c r="N1349" i="3" s="1"/>
  <c r="O1349" i="3" s="1"/>
  <c r="P1349" i="3" s="1"/>
  <c r="Q1349" i="3" s="1"/>
  <c r="Q1376" i="3"/>
  <c r="N1373" i="3"/>
  <c r="N1381" i="3" s="1"/>
  <c r="N1355" i="3" s="1"/>
  <c r="L1371" i="3"/>
  <c r="L1381" i="3" s="1"/>
  <c r="L1355" i="3" s="1"/>
  <c r="U1380" i="3"/>
  <c r="O1374" i="3"/>
  <c r="O1381" i="3" s="1"/>
  <c r="O1355" i="3" s="1"/>
  <c r="R1377" i="3"/>
  <c r="FB548" i="36"/>
  <c r="FC547" i="36"/>
  <c r="FC548" i="36" s="1"/>
  <c r="FA562" i="2"/>
  <c r="FA572" i="2"/>
  <c r="EY273" i="2"/>
  <c r="EY401" i="10" s="1"/>
  <c r="EZ268" i="2"/>
  <c r="EY272" i="2"/>
  <c r="EY276" i="2"/>
  <c r="EY315" i="2"/>
  <c r="Q1330" i="3"/>
  <c r="R1330" i="3" s="1"/>
  <c r="EY299" i="2"/>
  <c r="EY425" i="2" s="1"/>
  <c r="EY295" i="2"/>
  <c r="EY296" i="2"/>
  <c r="FE269" i="2"/>
  <c r="FE406" i="2" s="1"/>
  <c r="FE411" i="2" s="1"/>
  <c r="FE303" i="2"/>
  <c r="FE440" i="2" s="1"/>
  <c r="FE445" i="2" s="1"/>
  <c r="FE281" i="2"/>
  <c r="FF258" i="2"/>
  <c r="FE108" i="2"/>
  <c r="FE68" i="2" s="1"/>
  <c r="EN310" i="18"/>
  <c r="EN52" i="18"/>
  <c r="FA260" i="2"/>
  <c r="FA394" i="10" s="1"/>
  <c r="EY370" i="2"/>
  <c r="EY410" i="2"/>
  <c r="EY187" i="10" s="1"/>
  <c r="EY414" i="2"/>
  <c r="EY409" i="2"/>
  <c r="EY413" i="2"/>
  <c r="EZ282" i="2"/>
  <c r="EZ291" i="2"/>
  <c r="FF548" i="36"/>
  <c r="FH547" i="36"/>
  <c r="FH548" i="36" s="1"/>
  <c r="EY412" i="2"/>
  <c r="EY587" i="2"/>
  <c r="EY455" i="2"/>
  <c r="EY566" i="2"/>
  <c r="EY330" i="2"/>
  <c r="EZ323" i="2"/>
  <c r="EZ584" i="2"/>
  <c r="EZ107" i="4"/>
  <c r="EX97" i="4"/>
  <c r="B461" i="3"/>
  <c r="B480" i="3" s="1"/>
  <c r="C46" i="3"/>
  <c r="B56" i="3" s="1"/>
  <c r="EX592" i="2"/>
  <c r="EU592" i="2"/>
  <c r="ET592" i="2"/>
  <c r="EV592" i="2"/>
  <c r="B499" i="3"/>
  <c r="B378" i="3"/>
  <c r="G369" i="3"/>
  <c r="R31" i="30"/>
  <c r="U31" i="30" s="1"/>
  <c r="B497" i="3"/>
  <c r="B506" i="3" s="1"/>
  <c r="R32" i="30"/>
  <c r="T32" i="30" s="1"/>
  <c r="B498" i="3"/>
  <c r="B507" i="3" s="1"/>
  <c r="E1340" i="3"/>
  <c r="EX144" i="4"/>
  <c r="EX153" i="4"/>
  <c r="EX130" i="4"/>
  <c r="E55" i="19"/>
  <c r="F55" i="19" s="1"/>
  <c r="EX112" i="10"/>
  <c r="EW141" i="10"/>
  <c r="EX107" i="4"/>
  <c r="E31" i="30"/>
  <c r="D31" i="30"/>
  <c r="C59" i="37"/>
  <c r="C66" i="37" s="1"/>
  <c r="EX473" i="2"/>
  <c r="C46" i="37"/>
  <c r="EZ591" i="36"/>
  <c r="EY65" i="35"/>
  <c r="EY593" i="36"/>
  <c r="EX69" i="35"/>
  <c r="EW178" i="35"/>
  <c r="EX97" i="35"/>
  <c r="G4946" i="3"/>
  <c r="EX458" i="2"/>
  <c r="G4468" i="3"/>
  <c r="G4458" i="3"/>
  <c r="G4921" i="3"/>
  <c r="G4919" i="3"/>
  <c r="G4922" i="3" s="1"/>
  <c r="H4499" i="3"/>
  <c r="H4561" i="3"/>
  <c r="H4459" i="3"/>
  <c r="H4430" i="3"/>
  <c r="H4432" i="3" s="1"/>
  <c r="H4449" i="3" s="1"/>
  <c r="G4962" i="3"/>
  <c r="G4801" i="3"/>
  <c r="EX507" i="2"/>
  <c r="EX508" i="2" s="1"/>
  <c r="U46" i="30"/>
  <c r="EX604" i="2"/>
  <c r="EX630" i="2"/>
  <c r="F52" i="24"/>
  <c r="F54" i="24" s="1"/>
  <c r="EV102" i="10"/>
  <c r="EW427" i="10"/>
  <c r="EX344" i="2"/>
  <c r="F253" i="24"/>
  <c r="F249" i="24"/>
  <c r="F248" i="24"/>
  <c r="EX10" i="4"/>
  <c r="F57" i="24"/>
  <c r="F58" i="24"/>
  <c r="EX348" i="2"/>
  <c r="C2694" i="3"/>
  <c r="C2710" i="3" s="1"/>
  <c r="F3431" i="3"/>
  <c r="F3432" i="3" s="1"/>
  <c r="EX423" i="10"/>
  <c r="EW127" i="10"/>
  <c r="EX43" i="2"/>
  <c r="EL184" i="18"/>
  <c r="EL185" i="18"/>
  <c r="EL700" i="18"/>
  <c r="EM698" i="18"/>
  <c r="EX328" i="2"/>
  <c r="EX626" i="2"/>
  <c r="EX627" i="2" s="1"/>
  <c r="EX628" i="2" s="1"/>
  <c r="EX412" i="10"/>
  <c r="F16" i="24"/>
  <c r="F17" i="24" s="1"/>
  <c r="F13" i="24"/>
  <c r="F50" i="24" s="1"/>
  <c r="F251" i="24"/>
  <c r="F252" i="24"/>
  <c r="EX326" i="2"/>
  <c r="EX410" i="10"/>
  <c r="EX622" i="2"/>
  <c r="EX623" i="2" s="1"/>
  <c r="EX51" i="2"/>
  <c r="E74" i="19" s="1"/>
  <c r="EX128" i="10"/>
  <c r="R40" i="30"/>
  <c r="G4941" i="3"/>
  <c r="EX610" i="2"/>
  <c r="EX611" i="2" s="1"/>
  <c r="EX643" i="2"/>
  <c r="EX651" i="2"/>
  <c r="E170" i="6"/>
  <c r="E175" i="6" s="1"/>
  <c r="E184" i="6" s="1"/>
  <c r="F226" i="24"/>
  <c r="F231" i="24"/>
  <c r="EX468" i="2"/>
  <c r="EX478" i="2" s="1"/>
  <c r="EW575" i="2" l="1"/>
  <c r="EW570" i="2"/>
  <c r="G363" i="3"/>
  <c r="H362" i="3"/>
  <c r="EW15" i="2"/>
  <c r="J27" i="19"/>
  <c r="I27" i="19"/>
  <c r="FC576" i="36"/>
  <c r="FC574" i="36"/>
  <c r="FC577" i="36"/>
  <c r="EZ208" i="2"/>
  <c r="EX104" i="10"/>
  <c r="B108" i="6"/>
  <c r="F150" i="3"/>
  <c r="EY40" i="2"/>
  <c r="EY9" i="4" s="1"/>
  <c r="EY461" i="2"/>
  <c r="EY471" i="2" s="1"/>
  <c r="FA352" i="10"/>
  <c r="FA188" i="10"/>
  <c r="EZ337" i="2"/>
  <c r="EZ420" i="10" s="1"/>
  <c r="EZ408" i="10"/>
  <c r="FA182" i="2"/>
  <c r="FA203" i="2" s="1"/>
  <c r="FA376" i="10" s="1"/>
  <c r="FA348" i="10"/>
  <c r="EY345" i="2"/>
  <c r="EZ202" i="2"/>
  <c r="EZ375" i="10" s="1"/>
  <c r="EW1031" i="10"/>
  <c r="J5722" i="3"/>
  <c r="N1354" i="3"/>
  <c r="N1397" i="3" s="1"/>
  <c r="N1400" i="3" s="1"/>
  <c r="FA171" i="2"/>
  <c r="FA349" i="10" s="1"/>
  <c r="S1330" i="3"/>
  <c r="FC565" i="36"/>
  <c r="FB565" i="36" s="1"/>
  <c r="M1354" i="3"/>
  <c r="M1397" i="3" s="1"/>
  <c r="M1400" i="3" s="1"/>
  <c r="EZ419" i="2"/>
  <c r="EZ293" i="2"/>
  <c r="EO217" i="18"/>
  <c r="FF185" i="10"/>
  <c r="C3843" i="3"/>
  <c r="FF92" i="2"/>
  <c r="J212" i="11"/>
  <c r="K4845" i="3"/>
  <c r="FF94" i="2"/>
  <c r="FF91" i="2"/>
  <c r="G2647" i="3"/>
  <c r="FG87" i="2"/>
  <c r="K5710" i="3"/>
  <c r="FF542" i="2"/>
  <c r="FA170" i="2"/>
  <c r="EY192" i="2"/>
  <c r="EY193" i="2" s="1"/>
  <c r="EY210" i="2"/>
  <c r="EY206" i="2"/>
  <c r="EY379" i="10" s="1"/>
  <c r="EZ446" i="2"/>
  <c r="O1354" i="3"/>
  <c r="O1397" i="3" s="1"/>
  <c r="O1400" i="3" s="1"/>
  <c r="FF113" i="2"/>
  <c r="FF395" i="2" s="1"/>
  <c r="FF136" i="2"/>
  <c r="FF124" i="2"/>
  <c r="FJ124" i="2" s="1"/>
  <c r="J66" i="11"/>
  <c r="J57" i="11"/>
  <c r="P1381" i="3"/>
  <c r="P1355" i="3" s="1"/>
  <c r="P1354" i="3" s="1"/>
  <c r="P1397" i="3" s="1"/>
  <c r="P1400" i="3" s="1"/>
  <c r="Q1381" i="3"/>
  <c r="Q1355" i="3" s="1"/>
  <c r="R1371" i="3"/>
  <c r="R1381" i="3" s="1"/>
  <c r="R1355" i="3" s="1"/>
  <c r="R1394" i="3"/>
  <c r="U1374" i="3"/>
  <c r="S1372" i="3"/>
  <c r="T1373" i="3"/>
  <c r="K159" i="11"/>
  <c r="J178" i="11"/>
  <c r="J166" i="11"/>
  <c r="J210" i="11" s="1"/>
  <c r="J211" i="11" s="1"/>
  <c r="FA140" i="2"/>
  <c r="FA354" i="10" s="1"/>
  <c r="FB135" i="2"/>
  <c r="FB168" i="2" s="1"/>
  <c r="FA139" i="2"/>
  <c r="FA143" i="2"/>
  <c r="EZ144" i="4"/>
  <c r="EZ110" i="4"/>
  <c r="EZ130" i="4"/>
  <c r="EZ370" i="2"/>
  <c r="EY369" i="2"/>
  <c r="EY367" i="2" s="1"/>
  <c r="EY432" i="10" s="1"/>
  <c r="EY338" i="2"/>
  <c r="EY421" i="10" s="1"/>
  <c r="S1348" i="3"/>
  <c r="T1329" i="3"/>
  <c r="I49" i="11"/>
  <c r="I67" i="11" s="1"/>
  <c r="I68" i="11" s="1"/>
  <c r="J45" i="11"/>
  <c r="J47" i="11" s="1"/>
  <c r="I46" i="11"/>
  <c r="I59" i="11" s="1"/>
  <c r="I54" i="11"/>
  <c r="I50" i="11"/>
  <c r="EZ147" i="2"/>
  <c r="FB257" i="2"/>
  <c r="FA265" i="2"/>
  <c r="FA262" i="2"/>
  <c r="FA261" i="2"/>
  <c r="FA397" i="2"/>
  <c r="FA173" i="10" s="1"/>
  <c r="FA314" i="2"/>
  <c r="R1349" i="3"/>
  <c r="I217" i="11"/>
  <c r="I223" i="11" s="1"/>
  <c r="I222" i="11"/>
  <c r="FB323" i="2"/>
  <c r="FA323" i="2"/>
  <c r="FA408" i="10" s="1"/>
  <c r="EY65" i="4"/>
  <c r="EY104" i="10" s="1"/>
  <c r="EZ590" i="2"/>
  <c r="EZ587" i="2" s="1"/>
  <c r="EY592" i="2"/>
  <c r="EZ270" i="2"/>
  <c r="EZ271" i="2" s="1"/>
  <c r="EZ405" i="2"/>
  <c r="EZ230" i="2"/>
  <c r="EZ384" i="10" s="1"/>
  <c r="EZ320" i="2"/>
  <c r="FB551" i="2"/>
  <c r="FB556" i="2"/>
  <c r="FC552" i="2"/>
  <c r="EY329" i="2"/>
  <c r="EZ330" i="2"/>
  <c r="FB114" i="2"/>
  <c r="K198" i="11"/>
  <c r="L177" i="11"/>
  <c r="EZ211" i="2"/>
  <c r="EZ205" i="2"/>
  <c r="EZ378" i="10" s="1"/>
  <c r="FE58" i="2"/>
  <c r="FE136" i="10" s="1"/>
  <c r="FE44" i="4"/>
  <c r="FA578" i="2"/>
  <c r="FA574" i="2"/>
  <c r="FA576" i="2"/>
  <c r="FA588" i="2"/>
  <c r="FA488" i="2"/>
  <c r="FA489" i="2" s="1"/>
  <c r="FA199" i="2"/>
  <c r="FA372" i="10" s="1"/>
  <c r="FA190" i="2"/>
  <c r="FA541" i="2"/>
  <c r="FB125" i="2"/>
  <c r="EN53" i="18"/>
  <c r="EN55" i="18" s="1"/>
  <c r="EN311" i="18"/>
  <c r="EY431" i="2"/>
  <c r="EY421" i="2"/>
  <c r="EY422" i="2"/>
  <c r="EZ417" i="2"/>
  <c r="FJ258" i="2"/>
  <c r="EZ162" i="2"/>
  <c r="EZ161" i="2"/>
  <c r="FA157" i="2"/>
  <c r="EZ165" i="2"/>
  <c r="FE418" i="2"/>
  <c r="FE292" i="2"/>
  <c r="FE297" i="2" s="1"/>
  <c r="FE423" i="2" s="1"/>
  <c r="EO234" i="18"/>
  <c r="EO200" i="18"/>
  <c r="EO83" i="18"/>
  <c r="EO197" i="18"/>
  <c r="EO661" i="18"/>
  <c r="EO660" i="18" s="1"/>
  <c r="EO213" i="18"/>
  <c r="EO211" i="18"/>
  <c r="EO284" i="18"/>
  <c r="EO286" i="18" s="1"/>
  <c r="EO655" i="18"/>
  <c r="EO658" i="18"/>
  <c r="EY584" i="2"/>
  <c r="EY107" i="4"/>
  <c r="EZ283" i="2"/>
  <c r="EZ396" i="10" s="1"/>
  <c r="EN279" i="18"/>
  <c r="EN314" i="18" s="1"/>
  <c r="EN47" i="18"/>
  <c r="EN50" i="18" s="1"/>
  <c r="FA200" i="2"/>
  <c r="FA373" i="10" s="1"/>
  <c r="EZ442" i="2"/>
  <c r="EZ310" i="2"/>
  <c r="EZ306" i="2"/>
  <c r="EZ307" i="2"/>
  <c r="EZ403" i="10" s="1"/>
  <c r="FA302" i="2"/>
  <c r="EZ318" i="2"/>
  <c r="B149" i="37"/>
  <c r="K4" i="37"/>
  <c r="J7" i="37"/>
  <c r="J12" i="37"/>
  <c r="K12" i="37" s="1"/>
  <c r="J6" i="37"/>
  <c r="EY347" i="2"/>
  <c r="EY463" i="2"/>
  <c r="EY42" i="2"/>
  <c r="B463" i="3"/>
  <c r="E59" i="42"/>
  <c r="U32" i="30"/>
  <c r="R33" i="30"/>
  <c r="T33" i="30" s="1"/>
  <c r="T31" i="30"/>
  <c r="C378" i="3"/>
  <c r="B382" i="3"/>
  <c r="B384" i="3" s="1"/>
  <c r="H369" i="3"/>
  <c r="B508" i="3"/>
  <c r="F82" i="41"/>
  <c r="E218" i="41"/>
  <c r="C112" i="41"/>
  <c r="C122" i="41" s="1"/>
  <c r="C113" i="41"/>
  <c r="EX47" i="2"/>
  <c r="F33" i="11"/>
  <c r="D2957" i="3"/>
  <c r="D2959" i="3" s="1"/>
  <c r="G55" i="19"/>
  <c r="D46" i="3"/>
  <c r="G5021" i="3"/>
  <c r="G5024" i="3" s="1"/>
  <c r="B112" i="6"/>
  <c r="F92" i="3"/>
  <c r="I92" i="3" s="1"/>
  <c r="E218" i="6"/>
  <c r="E220" i="6" s="1"/>
  <c r="EV1026" i="10"/>
  <c r="EX141" i="10"/>
  <c r="G4951" i="3"/>
  <c r="C60" i="37"/>
  <c r="C67" i="37" s="1"/>
  <c r="C68" i="37" s="1"/>
  <c r="C47" i="37"/>
  <c r="C49" i="37"/>
  <c r="EX178" i="35"/>
  <c r="EZ588" i="36"/>
  <c r="EM666" i="18"/>
  <c r="EM664" i="18" s="1"/>
  <c r="G4995" i="3"/>
  <c r="G5002" i="3" s="1"/>
  <c r="EY97" i="35"/>
  <c r="EY153" i="35"/>
  <c r="EY69" i="35"/>
  <c r="G4965" i="3"/>
  <c r="H4560" i="3"/>
  <c r="H4795" i="3"/>
  <c r="H4450" i="3"/>
  <c r="H4451" i="3" s="1"/>
  <c r="F82" i="6"/>
  <c r="H4461" i="3"/>
  <c r="EX10" i="2"/>
  <c r="EX14" i="2" s="1"/>
  <c r="F53" i="24"/>
  <c r="EX632" i="2"/>
  <c r="F254" i="24"/>
  <c r="F255" i="24"/>
  <c r="EX352" i="2"/>
  <c r="EX427" i="10"/>
  <c r="U40" i="30"/>
  <c r="T40" i="30"/>
  <c r="EX12" i="4"/>
  <c r="EX647" i="2"/>
  <c r="EX658" i="2" s="1"/>
  <c r="EX650" i="2"/>
  <c r="EX661" i="2" s="1"/>
  <c r="EX648" i="2"/>
  <c r="EX659" i="2" s="1"/>
  <c r="EX649" i="2"/>
  <c r="EX660" i="2" s="1"/>
  <c r="EX50" i="2"/>
  <c r="E73" i="19" s="1"/>
  <c r="EX127" i="10"/>
  <c r="F232" i="24"/>
  <c r="EX470" i="2"/>
  <c r="FB408" i="10" l="1"/>
  <c r="I362" i="3"/>
  <c r="H363" i="3"/>
  <c r="B113" i="6"/>
  <c r="EZ40" i="2"/>
  <c r="EZ9" i="4" s="1"/>
  <c r="EZ461" i="2"/>
  <c r="EZ345" i="2"/>
  <c r="FA183" i="2"/>
  <c r="FA320" i="2" s="1"/>
  <c r="EZ210" i="2"/>
  <c r="FA176" i="2"/>
  <c r="FA160" i="2"/>
  <c r="FB157" i="2" s="1"/>
  <c r="FC157" i="2" s="1"/>
  <c r="FA172" i="2"/>
  <c r="FA173" i="2"/>
  <c r="FA355" i="10" s="1"/>
  <c r="EZ192" i="2"/>
  <c r="EZ193" i="2" s="1"/>
  <c r="EX178" i="4"/>
  <c r="EX1031" i="10" s="1"/>
  <c r="EZ315" i="2"/>
  <c r="EZ338" i="2" s="1"/>
  <c r="EZ421" i="10" s="1"/>
  <c r="EZ395" i="10"/>
  <c r="FA189" i="10"/>
  <c r="FA400" i="10"/>
  <c r="FF169" i="2"/>
  <c r="FF174" i="2" s="1"/>
  <c r="FA191" i="2"/>
  <c r="FA364" i="10"/>
  <c r="EY341" i="2"/>
  <c r="EY424" i="10" s="1"/>
  <c r="EY414" i="10"/>
  <c r="FC570" i="36"/>
  <c r="FC566" i="36"/>
  <c r="FC569" i="36"/>
  <c r="T1330" i="3"/>
  <c r="FC567" i="36"/>
  <c r="J8" i="37"/>
  <c r="Q1354" i="3"/>
  <c r="Q1397" i="3" s="1"/>
  <c r="Q1400" i="3" s="1"/>
  <c r="R1354" i="3"/>
  <c r="R1397" i="3" s="1"/>
  <c r="R1400" i="3" s="1"/>
  <c r="FA337" i="2"/>
  <c r="EN57" i="18"/>
  <c r="EZ231" i="2"/>
  <c r="EO305" i="18"/>
  <c r="EO287" i="18"/>
  <c r="EO288" i="18"/>
  <c r="EP283" i="18"/>
  <c r="EO291" i="18"/>
  <c r="EZ158" i="2"/>
  <c r="EZ213" i="2"/>
  <c r="EZ447" i="2"/>
  <c r="EZ444" i="2"/>
  <c r="EZ443" i="2"/>
  <c r="EZ454" i="2"/>
  <c r="FF400" i="2"/>
  <c r="FJ395" i="2"/>
  <c r="FA207" i="2"/>
  <c r="FA202" i="2"/>
  <c r="FA375" i="10" s="1"/>
  <c r="S1349" i="3"/>
  <c r="FB137" i="2"/>
  <c r="FB170" i="2" s="1"/>
  <c r="FB175" i="2" s="1"/>
  <c r="FB153" i="2" s="1"/>
  <c r="FF540" i="2"/>
  <c r="FF544" i="2"/>
  <c r="FA208" i="2"/>
  <c r="I56" i="11"/>
  <c r="I71" i="11" s="1"/>
  <c r="I58" i="11"/>
  <c r="K5717" i="3"/>
  <c r="K5726" i="3"/>
  <c r="EZ152" i="2"/>
  <c r="FA175" i="2"/>
  <c r="FA153" i="2" s="1"/>
  <c r="EY11" i="4"/>
  <c r="L198" i="11"/>
  <c r="M177" i="11"/>
  <c r="EZ272" i="2"/>
  <c r="EZ276" i="2"/>
  <c r="EZ273" i="2"/>
  <c r="EZ401" i="10" s="1"/>
  <c r="FA268" i="2"/>
  <c r="EY473" i="2"/>
  <c r="EN321" i="18"/>
  <c r="EN315" i="18"/>
  <c r="EZ407" i="2"/>
  <c r="EZ408" i="2" s="1"/>
  <c r="FB394" i="2"/>
  <c r="FA398" i="2"/>
  <c r="FA402" i="2"/>
  <c r="FA399" i="2"/>
  <c r="FA396" i="2"/>
  <c r="FA451" i="2"/>
  <c r="K178" i="11"/>
  <c r="J199" i="11"/>
  <c r="J185" i="11"/>
  <c r="FJ113" i="2"/>
  <c r="FF561" i="2"/>
  <c r="K43" i="11"/>
  <c r="FG96" i="2"/>
  <c r="FG86" i="2"/>
  <c r="EZ298" i="2"/>
  <c r="EZ424" i="2" s="1"/>
  <c r="EZ420" i="2"/>
  <c r="EZ65" i="4"/>
  <c r="EZ104" i="10" s="1"/>
  <c r="FA590" i="2"/>
  <c r="FA587" i="2" s="1"/>
  <c r="EZ592" i="2"/>
  <c r="EO86" i="18"/>
  <c r="U1329" i="3"/>
  <c r="U1348" i="3" s="1"/>
  <c r="T1348" i="3"/>
  <c r="EZ206" i="2"/>
  <c r="EZ379" i="10" s="1"/>
  <c r="EP196" i="18"/>
  <c r="G2650" i="3"/>
  <c r="FF344" i="10"/>
  <c r="EO84" i="18"/>
  <c r="EO87" i="18" s="1"/>
  <c r="EO239" i="18"/>
  <c r="EO241" i="18" s="1"/>
  <c r="EO216" i="18"/>
  <c r="EO218" i="18" s="1"/>
  <c r="EO201" i="18"/>
  <c r="EO667" i="18"/>
  <c r="EO295" i="18"/>
  <c r="EO297" i="18" s="1"/>
  <c r="EO202" i="18"/>
  <c r="EY153" i="4"/>
  <c r="EY97" i="4"/>
  <c r="S1394" i="3"/>
  <c r="S1371" i="3"/>
  <c r="S1381" i="3" s="1"/>
  <c r="S1355" i="3" s="1"/>
  <c r="S1354" i="3" s="1"/>
  <c r="S1397" i="3" s="1"/>
  <c r="U1373" i="3"/>
  <c r="T1372" i="3"/>
  <c r="G2653" i="3"/>
  <c r="FF391" i="10"/>
  <c r="FF97" i="2"/>
  <c r="FF568" i="2"/>
  <c r="FF95" i="2"/>
  <c r="FF392" i="10" s="1"/>
  <c r="K5711" i="3"/>
  <c r="K5712" i="3" s="1"/>
  <c r="FF107" i="2"/>
  <c r="EY346" i="2"/>
  <c r="EY462" i="2"/>
  <c r="EY41" i="2"/>
  <c r="EY340" i="2"/>
  <c r="EY423" i="10" s="1"/>
  <c r="L159" i="11"/>
  <c r="M159" i="11" s="1"/>
  <c r="N159" i="11" s="1"/>
  <c r="O159" i="11" s="1"/>
  <c r="P159" i="11" s="1"/>
  <c r="EY130" i="4"/>
  <c r="EY110" i="4"/>
  <c r="EY144" i="4"/>
  <c r="EZ428" i="2"/>
  <c r="EZ430" i="2" s="1"/>
  <c r="EY432" i="2"/>
  <c r="EY433" i="2"/>
  <c r="EY190" i="10" s="1"/>
  <c r="EY429" i="2"/>
  <c r="EY436" i="2"/>
  <c r="FA330" i="2"/>
  <c r="EZ329" i="2"/>
  <c r="FB259" i="2"/>
  <c r="FA580" i="2"/>
  <c r="FA112" i="10" s="1"/>
  <c r="FA141" i="10" s="1"/>
  <c r="EZ471" i="2"/>
  <c r="EY505" i="2"/>
  <c r="EY368" i="2"/>
  <c r="EZ284" i="2"/>
  <c r="FA280" i="2"/>
  <c r="EZ288" i="2"/>
  <c r="EZ285" i="2"/>
  <c r="EZ402" i="10" s="1"/>
  <c r="EZ294" i="2"/>
  <c r="EZ316" i="2"/>
  <c r="FB115" i="2"/>
  <c r="FC114" i="2"/>
  <c r="FC119" i="2" s="1"/>
  <c r="I69" i="11"/>
  <c r="B151" i="37"/>
  <c r="B153" i="37" s="1"/>
  <c r="B180" i="37"/>
  <c r="B182" i="37" s="1"/>
  <c r="B184" i="37" s="1"/>
  <c r="FB555" i="2"/>
  <c r="FC555" i="2" s="1"/>
  <c r="FC556" i="2"/>
  <c r="FA370" i="2"/>
  <c r="EZ369" i="2"/>
  <c r="EY9" i="2"/>
  <c r="EY214" i="2"/>
  <c r="EY545" i="2"/>
  <c r="EY563" i="2"/>
  <c r="B3936" i="3"/>
  <c r="B3867" i="3"/>
  <c r="B3979" i="3"/>
  <c r="B3843" i="3"/>
  <c r="FC551" i="2"/>
  <c r="FC553" i="2" s="1"/>
  <c r="FA304" i="2"/>
  <c r="FA439" i="2"/>
  <c r="FB126" i="2"/>
  <c r="FB347" i="10" s="1"/>
  <c r="FC125" i="2"/>
  <c r="FC130" i="2" s="1"/>
  <c r="FD130" i="2" s="1"/>
  <c r="FE130" i="2" s="1"/>
  <c r="FF130" i="2" s="1"/>
  <c r="FG130" i="2" s="1"/>
  <c r="FH130" i="2" s="1"/>
  <c r="FI130" i="2" s="1"/>
  <c r="FA205" i="2"/>
  <c r="FA211" i="2"/>
  <c r="EX49" i="2"/>
  <c r="EX52" i="2" s="1"/>
  <c r="EW131" i="10"/>
  <c r="R41" i="30"/>
  <c r="T41" i="30" s="1"/>
  <c r="U33" i="30"/>
  <c r="B386" i="3"/>
  <c r="B393" i="3" s="1"/>
  <c r="B392" i="3" s="1"/>
  <c r="B399" i="3" s="1"/>
  <c r="D378" i="3"/>
  <c r="I369" i="3"/>
  <c r="E220" i="41"/>
  <c r="EW8" i="32"/>
  <c r="I1320" i="3"/>
  <c r="G5023" i="3"/>
  <c r="EX634" i="2"/>
  <c r="EX639" i="2" s="1"/>
  <c r="G5025" i="3"/>
  <c r="G5027" i="3" s="1"/>
  <c r="F117" i="3"/>
  <c r="I117" i="3" s="1"/>
  <c r="C72" i="37"/>
  <c r="C88" i="37" s="1"/>
  <c r="G5009" i="3"/>
  <c r="EN666" i="18"/>
  <c r="EN664" i="18" s="1"/>
  <c r="EN665" i="18" s="1"/>
  <c r="FD569" i="2"/>
  <c r="EY178" i="35"/>
  <c r="EZ65" i="35"/>
  <c r="FA591" i="36"/>
  <c r="EZ593" i="36"/>
  <c r="ET664" i="18"/>
  <c r="EM665" i="18"/>
  <c r="EM669" i="18"/>
  <c r="FB567" i="36"/>
  <c r="FB569" i="36"/>
  <c r="FB566" i="36"/>
  <c r="FB570" i="36"/>
  <c r="FB573" i="36"/>
  <c r="FE565" i="2"/>
  <c r="EO666" i="18"/>
  <c r="EO664" i="18" s="1"/>
  <c r="H4446" i="3"/>
  <c r="H4445" i="3"/>
  <c r="EX12" i="2"/>
  <c r="B451" i="3" s="1"/>
  <c r="B493" i="3" s="1"/>
  <c r="B495" i="3" s="1"/>
  <c r="R47" i="30"/>
  <c r="R48" i="30" s="1"/>
  <c r="C2700" i="3"/>
  <c r="C2696" i="3" s="1"/>
  <c r="C2695" i="3" s="1"/>
  <c r="C2711" i="3" s="1"/>
  <c r="C2712" i="3" s="1"/>
  <c r="C2716" i="3" s="1"/>
  <c r="C2718" i="3" s="1"/>
  <c r="G4935" i="3"/>
  <c r="EX642" i="2"/>
  <c r="EX608" i="2"/>
  <c r="EX609" i="2" s="1"/>
  <c r="EX16" i="4"/>
  <c r="EX662" i="2"/>
  <c r="EX480" i="2"/>
  <c r="EX54" i="2"/>
  <c r="EX55" i="2" s="1"/>
  <c r="EX526" i="2"/>
  <c r="FA230" i="2" l="1"/>
  <c r="FA384" i="10" s="1"/>
  <c r="J362" i="3"/>
  <c r="I363" i="3"/>
  <c r="EY178" i="4"/>
  <c r="EY1031" i="10" s="1"/>
  <c r="FA165" i="2"/>
  <c r="FA162" i="2"/>
  <c r="FA161" i="2"/>
  <c r="EY44" i="2"/>
  <c r="EY13" i="4" s="1"/>
  <c r="EY349" i="2"/>
  <c r="EZ341" i="2"/>
  <c r="EZ424" i="10" s="1"/>
  <c r="EZ414" i="10"/>
  <c r="FB346" i="10"/>
  <c r="FB208" i="10"/>
  <c r="FA213" i="2"/>
  <c r="FA378" i="10"/>
  <c r="EY465" i="2"/>
  <c r="EY467" i="2" s="1"/>
  <c r="FA461" i="2"/>
  <c r="FA471" i="2" s="1"/>
  <c r="FA420" i="10"/>
  <c r="EY343" i="2"/>
  <c r="EY426" i="10" s="1"/>
  <c r="FA345" i="2"/>
  <c r="FA40" i="2"/>
  <c r="FA9" i="4" s="1"/>
  <c r="FB559" i="2"/>
  <c r="FB572" i="2" s="1"/>
  <c r="EX131" i="10"/>
  <c r="S1400" i="3"/>
  <c r="EO85" i="18"/>
  <c r="U1330" i="3"/>
  <c r="J216" i="11"/>
  <c r="J206" i="11"/>
  <c r="J48" i="11"/>
  <c r="EZ452" i="2"/>
  <c r="EZ409" i="2"/>
  <c r="EZ410" i="2"/>
  <c r="EZ187" i="10" s="1"/>
  <c r="EZ414" i="2"/>
  <c r="EZ413" i="2"/>
  <c r="FC557" i="2"/>
  <c r="EO306" i="18"/>
  <c r="EO299" i="18"/>
  <c r="EO298" i="18"/>
  <c r="EP294" i="18"/>
  <c r="EO302" i="18"/>
  <c r="I60" i="11"/>
  <c r="EP285" i="18"/>
  <c r="L178" i="11"/>
  <c r="K199" i="11"/>
  <c r="FA206" i="2"/>
  <c r="FA379" i="10" s="1"/>
  <c r="FA210" i="2"/>
  <c r="FA192" i="2"/>
  <c r="FA193" i="2" s="1"/>
  <c r="EY506" i="2"/>
  <c r="EY507" i="2"/>
  <c r="EY508" i="2" s="1"/>
  <c r="FC259" i="2"/>
  <c r="FC264" i="2" s="1"/>
  <c r="M198" i="11"/>
  <c r="N177" i="11"/>
  <c r="EO276" i="18"/>
  <c r="EO223" i="18"/>
  <c r="EO220" i="18"/>
  <c r="EP215" i="18"/>
  <c r="EO219" i="18"/>
  <c r="EO277" i="18"/>
  <c r="EO48" i="18" s="1"/>
  <c r="FA401" i="2"/>
  <c r="FA264" i="10" s="1"/>
  <c r="EO310" i="18"/>
  <c r="EO52" i="18"/>
  <c r="B3980" i="3"/>
  <c r="B3983" i="3" s="1"/>
  <c r="B3985" i="3" s="1"/>
  <c r="B3987" i="3" s="1"/>
  <c r="B3989" i="3" s="1"/>
  <c r="B3991" i="3" s="1"/>
  <c r="B3996" i="3" s="1"/>
  <c r="C3979" i="3"/>
  <c r="C3980" i="3" s="1"/>
  <c r="C3983" i="3" s="1"/>
  <c r="C3985" i="3" s="1"/>
  <c r="C3987" i="3" s="1"/>
  <c r="C3989" i="3" s="1"/>
  <c r="C3991" i="3" s="1"/>
  <c r="C3996" i="3" s="1"/>
  <c r="B4000" i="3"/>
  <c r="C4000" i="3" s="1"/>
  <c r="EO242" i="18"/>
  <c r="EP238" i="18"/>
  <c r="EP240" i="18" s="1"/>
  <c r="EO243" i="18"/>
  <c r="B3878" i="3"/>
  <c r="B3869" i="3"/>
  <c r="B3871" i="3"/>
  <c r="I79" i="11"/>
  <c r="I78" i="11" s="1"/>
  <c r="I133" i="11" s="1"/>
  <c r="I74" i="11"/>
  <c r="I101" i="11"/>
  <c r="I143" i="11" s="1"/>
  <c r="I70" i="11"/>
  <c r="FB260" i="2"/>
  <c r="FB394" i="10" s="1"/>
  <c r="EY348" i="2"/>
  <c r="EZ97" i="4"/>
  <c r="EZ178" i="4" s="1"/>
  <c r="EZ1031" i="10" s="1"/>
  <c r="EZ153" i="4"/>
  <c r="B3953" i="3"/>
  <c r="C3967" i="3"/>
  <c r="B3967" i="3" s="1"/>
  <c r="C394" i="3"/>
  <c r="FD119" i="2"/>
  <c r="FC357" i="10"/>
  <c r="EY10" i="4"/>
  <c r="EY43" i="2"/>
  <c r="EY127" i="10" s="1"/>
  <c r="FC170" i="2"/>
  <c r="FC175" i="2" s="1"/>
  <c r="FC153" i="2" s="1"/>
  <c r="FC164" i="2" s="1"/>
  <c r="EZ421" i="2"/>
  <c r="FA417" i="2"/>
  <c r="EZ422" i="2"/>
  <c r="EZ431" i="2"/>
  <c r="FA148" i="2"/>
  <c r="FA164" i="2"/>
  <c r="FA159" i="2" s="1"/>
  <c r="FC115" i="2"/>
  <c r="FB116" i="2"/>
  <c r="FB120" i="2"/>
  <c r="FB117" i="2"/>
  <c r="FB180" i="2"/>
  <c r="FC126" i="2"/>
  <c r="FB128" i="2"/>
  <c r="FB127" i="2"/>
  <c r="FB131" i="2"/>
  <c r="FB132" i="2"/>
  <c r="FB181" i="2"/>
  <c r="EZ453" i="2"/>
  <c r="EZ319" i="2"/>
  <c r="EZ367" i="2" s="1"/>
  <c r="EZ432" i="10" s="1"/>
  <c r="EY434" i="2"/>
  <c r="EZ412" i="2"/>
  <c r="FB164" i="2"/>
  <c r="FB159" i="2" s="1"/>
  <c r="FB148" i="2"/>
  <c r="FB147" i="2" s="1"/>
  <c r="FB152" i="2" s="1"/>
  <c r="FA584" i="2"/>
  <c r="FA107" i="4"/>
  <c r="FB330" i="2"/>
  <c r="FB329" i="2" s="1"/>
  <c r="FB414" i="10" s="1"/>
  <c r="FA329" i="2"/>
  <c r="FA414" i="10" s="1"/>
  <c r="EY472" i="2"/>
  <c r="EY464" i="2"/>
  <c r="EZ299" i="2"/>
  <c r="EZ425" i="2" s="1"/>
  <c r="EZ296" i="2"/>
  <c r="EZ295" i="2"/>
  <c r="EZ317" i="2"/>
  <c r="EP656" i="18"/>
  <c r="EP195" i="18"/>
  <c r="FG90" i="2"/>
  <c r="FG88" i="2"/>
  <c r="FG342" i="10"/>
  <c r="FG343" i="10" s="1"/>
  <c r="FG105" i="2"/>
  <c r="FG106" i="2" s="1"/>
  <c r="FA441" i="2"/>
  <c r="EY13" i="2"/>
  <c r="FA65" i="4"/>
  <c r="FA104" i="10" s="1"/>
  <c r="FB590" i="2"/>
  <c r="FC590" i="2" s="1"/>
  <c r="FC591" i="2" s="1"/>
  <c r="FD591" i="2" s="1"/>
  <c r="FE591" i="2" s="1"/>
  <c r="FA592" i="2"/>
  <c r="EZ9" i="2"/>
  <c r="EZ214" i="2"/>
  <c r="EZ545" i="2"/>
  <c r="EZ563" i="2"/>
  <c r="EN322" i="18"/>
  <c r="EN323" i="18"/>
  <c r="FJ540" i="2"/>
  <c r="G2763" i="3"/>
  <c r="FF547" i="2"/>
  <c r="FF548" i="2" s="1"/>
  <c r="FF108" i="2"/>
  <c r="FF68" i="2" s="1"/>
  <c r="FF303" i="2"/>
  <c r="FF440" i="2" s="1"/>
  <c r="FF445" i="2" s="1"/>
  <c r="FF269" i="2"/>
  <c r="FG258" i="2"/>
  <c r="FF281" i="2"/>
  <c r="T1394" i="3"/>
  <c r="T1371" i="3"/>
  <c r="T1381" i="3" s="1"/>
  <c r="T1355" i="3" s="1"/>
  <c r="T1354" i="3" s="1"/>
  <c r="T1397" i="3" s="1"/>
  <c r="U1372" i="3"/>
  <c r="K160" i="11"/>
  <c r="K42" i="11"/>
  <c r="FB138" i="2"/>
  <c r="FB348" i="10" s="1"/>
  <c r="FC137" i="2"/>
  <c r="FC142" i="2" s="1"/>
  <c r="FD142" i="2" s="1"/>
  <c r="FA305" i="2"/>
  <c r="FA397" i="10" s="1"/>
  <c r="FA282" i="2"/>
  <c r="FA291" i="2"/>
  <c r="K5718" i="3"/>
  <c r="K5719" i="3" s="1"/>
  <c r="K5722" i="3" s="1"/>
  <c r="K5733" i="3"/>
  <c r="L5733" i="3" s="1"/>
  <c r="U1371" i="3"/>
  <c r="U1394" i="3"/>
  <c r="K5730" i="3"/>
  <c r="EZ346" i="2"/>
  <c r="EZ462" i="2"/>
  <c r="EZ41" i="2"/>
  <c r="FB370" i="2"/>
  <c r="FB369" i="2" s="1"/>
  <c r="FA369" i="2"/>
  <c r="FA270" i="2"/>
  <c r="FA271" i="2" s="1"/>
  <c r="FA405" i="2"/>
  <c r="T1349" i="3"/>
  <c r="U1349" i="3" s="1"/>
  <c r="EZ163" i="2"/>
  <c r="R43" i="30"/>
  <c r="U43" i="30" s="1"/>
  <c r="U41" i="30"/>
  <c r="C388" i="3"/>
  <c r="B391" i="3"/>
  <c r="B389" i="3" s="1"/>
  <c r="B400" i="3"/>
  <c r="B406" i="3"/>
  <c r="E378" i="3"/>
  <c r="J369" i="3"/>
  <c r="B453" i="3"/>
  <c r="B478" i="3"/>
  <c r="EX636" i="2"/>
  <c r="G5026" i="3"/>
  <c r="EX15" i="2"/>
  <c r="EX8" i="32"/>
  <c r="EN669" i="18"/>
  <c r="EN674" i="18" s="1"/>
  <c r="G278" i="24"/>
  <c r="EM678" i="18"/>
  <c r="EM677" i="18" s="1"/>
  <c r="EM674" i="18"/>
  <c r="FB579" i="36"/>
  <c r="FB107" i="35"/>
  <c r="FB575" i="36"/>
  <c r="FB577" i="36"/>
  <c r="FB589" i="36"/>
  <c r="FC589" i="36" s="1"/>
  <c r="FC590" i="36" s="1"/>
  <c r="FB574" i="36"/>
  <c r="FB576" i="36"/>
  <c r="FA588" i="36"/>
  <c r="EZ153" i="35"/>
  <c r="EZ97" i="35"/>
  <c r="EZ69" i="35"/>
  <c r="EO669" i="18"/>
  <c r="EO665" i="18"/>
  <c r="FE569" i="2"/>
  <c r="FF565" i="2"/>
  <c r="EP666" i="18"/>
  <c r="H4452" i="3"/>
  <c r="H4453" i="3" s="1"/>
  <c r="H4447" i="3"/>
  <c r="I4444" i="3" s="1"/>
  <c r="T47" i="30"/>
  <c r="C2702" i="3"/>
  <c r="C2719" i="3" s="1"/>
  <c r="EX570" i="2"/>
  <c r="EX575" i="2"/>
  <c r="U47" i="30"/>
  <c r="EX161" i="10"/>
  <c r="EW102" i="10"/>
  <c r="EX18" i="4"/>
  <c r="U48" i="30"/>
  <c r="T48" i="30"/>
  <c r="EX527" i="2"/>
  <c r="FA231" i="2" l="1"/>
  <c r="K362" i="3"/>
  <c r="K363" i="3" s="1"/>
  <c r="J363" i="3"/>
  <c r="EZ349" i="2"/>
  <c r="EY46" i="2"/>
  <c r="EY128" i="10" s="1"/>
  <c r="EZ44" i="2"/>
  <c r="EZ13" i="4" s="1"/>
  <c r="EZ15" i="4" s="1"/>
  <c r="EZ465" i="2"/>
  <c r="EZ475" i="2" s="1"/>
  <c r="EZ343" i="2"/>
  <c r="EZ426" i="10" s="1"/>
  <c r="EY475" i="2"/>
  <c r="FB562" i="2"/>
  <c r="FB560" i="2"/>
  <c r="EY351" i="2"/>
  <c r="EY344" i="2"/>
  <c r="EY427" i="10" s="1"/>
  <c r="FC559" i="2"/>
  <c r="D2764" i="3" s="1"/>
  <c r="D2771" i="3" s="1"/>
  <c r="D2775" i="3" s="1"/>
  <c r="FC128" i="2"/>
  <c r="FC353" i="10" s="1"/>
  <c r="FB353" i="10"/>
  <c r="FC117" i="2"/>
  <c r="F1333" i="3" s="1"/>
  <c r="FB188" i="10"/>
  <c r="FB352" i="10"/>
  <c r="FA315" i="2"/>
  <c r="FA338" i="2" s="1"/>
  <c r="FA421" i="10" s="1"/>
  <c r="FA395" i="10"/>
  <c r="C390" i="3"/>
  <c r="T1400" i="3"/>
  <c r="FC159" i="2"/>
  <c r="J50" i="11"/>
  <c r="J49" i="11"/>
  <c r="J67" i="11" s="1"/>
  <c r="K45" i="11"/>
  <c r="K47" i="11" s="1"/>
  <c r="J46" i="11"/>
  <c r="J59" i="11" s="1"/>
  <c r="J54" i="11"/>
  <c r="U1381" i="3"/>
  <c r="U1355" i="3" s="1"/>
  <c r="U1354" i="3" s="1"/>
  <c r="U1397" i="3" s="1"/>
  <c r="U1400" i="3" s="1"/>
  <c r="D394" i="3"/>
  <c r="FE119" i="2"/>
  <c r="FD357" i="10"/>
  <c r="FA446" i="2"/>
  <c r="EY474" i="2"/>
  <c r="EY468" i="2"/>
  <c r="EZ505" i="2"/>
  <c r="EZ368" i="2"/>
  <c r="FC116" i="2"/>
  <c r="FC120" i="2"/>
  <c r="H4851" i="3"/>
  <c r="FD112" i="2"/>
  <c r="FD114" i="2" s="1"/>
  <c r="D2658" i="3"/>
  <c r="FC208" i="10"/>
  <c r="FC346" i="10"/>
  <c r="G218" i="11"/>
  <c r="E2922" i="3"/>
  <c r="D7" i="37"/>
  <c r="EM109" i="18"/>
  <c r="I90" i="11"/>
  <c r="I132" i="11" s="1"/>
  <c r="I61" i="11"/>
  <c r="I62" i="11"/>
  <c r="I100" i="11"/>
  <c r="J222" i="11"/>
  <c r="J217" i="11"/>
  <c r="J223" i="11" s="1"/>
  <c r="FA272" i="2"/>
  <c r="FA273" i="2"/>
  <c r="FA401" i="10" s="1"/>
  <c r="FA276" i="2"/>
  <c r="FB268" i="2"/>
  <c r="M5733" i="3"/>
  <c r="N5733" i="3" s="1"/>
  <c r="FJ281" i="2"/>
  <c r="FF292" i="2"/>
  <c r="FF418" i="2"/>
  <c r="FJ418" i="2" s="1"/>
  <c r="I73" i="11"/>
  <c r="FA407" i="2"/>
  <c r="EZ573" i="2"/>
  <c r="EZ455" i="2"/>
  <c r="EZ566" i="2"/>
  <c r="FC405" i="10"/>
  <c r="FD264" i="2"/>
  <c r="EP296" i="18"/>
  <c r="FF406" i="2"/>
  <c r="FJ269" i="2"/>
  <c r="FG113" i="2"/>
  <c r="FG561" i="2" s="1"/>
  <c r="FG124" i="2"/>
  <c r="FG136" i="2"/>
  <c r="FB200" i="2"/>
  <c r="FB373" i="10" s="1"/>
  <c r="FC181" i="2"/>
  <c r="FA147" i="2"/>
  <c r="FC148" i="2"/>
  <c r="B3888" i="3"/>
  <c r="B3873" i="3"/>
  <c r="B3875" i="3" s="1"/>
  <c r="B3877" i="3" s="1"/>
  <c r="B3879" i="3" s="1"/>
  <c r="FB578" i="2"/>
  <c r="FB588" i="2"/>
  <c r="FB574" i="2"/>
  <c r="FB576" i="2"/>
  <c r="FC572" i="2"/>
  <c r="FC260" i="2"/>
  <c r="FB265" i="2"/>
  <c r="FB262" i="2"/>
  <c r="FB261" i="2"/>
  <c r="FB397" i="2"/>
  <c r="FB173" i="10" s="1"/>
  <c r="FB314" i="2"/>
  <c r="FA428" i="2"/>
  <c r="FA430" i="2" s="1"/>
  <c r="EZ436" i="2"/>
  <c r="EZ429" i="2"/>
  <c r="EZ432" i="2"/>
  <c r="EZ433" i="2"/>
  <c r="EZ190" i="10" s="1"/>
  <c r="C3953" i="3"/>
  <c r="C3955" i="3" s="1"/>
  <c r="C3957" i="3" s="1"/>
  <c r="C3958" i="3" s="1"/>
  <c r="B3955" i="3"/>
  <c r="B3957" i="3" s="1"/>
  <c r="B3958" i="3" s="1"/>
  <c r="EY477" i="2"/>
  <c r="FJ68" i="2"/>
  <c r="FF58" i="2"/>
  <c r="FF44" i="4"/>
  <c r="FJ44" i="4" s="1"/>
  <c r="FA158" i="2"/>
  <c r="EO308" i="18"/>
  <c r="EO309" i="18" s="1"/>
  <c r="EO53" i="18"/>
  <c r="EO55" i="18" s="1"/>
  <c r="EO311" i="18"/>
  <c r="EZ13" i="2"/>
  <c r="FA144" i="4"/>
  <c r="FA110" i="4"/>
  <c r="FA130" i="4"/>
  <c r="EY15" i="4"/>
  <c r="FH87" i="2"/>
  <c r="K212" i="11"/>
  <c r="FG91" i="2"/>
  <c r="FG542" i="2"/>
  <c r="FG185" i="10"/>
  <c r="L4845" i="3"/>
  <c r="L5710" i="3"/>
  <c r="FG92" i="2"/>
  <c r="FG94" i="2"/>
  <c r="EP661" i="18"/>
  <c r="EP660" i="18" s="1"/>
  <c r="EP213" i="18"/>
  <c r="EP234" i="18"/>
  <c r="EP200" i="18"/>
  <c r="EP664" i="18" s="1"/>
  <c r="EP197" i="18"/>
  <c r="EP83" i="18"/>
  <c r="EP284" i="18"/>
  <c r="EP286" i="18" s="1"/>
  <c r="EP211" i="18"/>
  <c r="FC131" i="2"/>
  <c r="FC132" i="2"/>
  <c r="FC127" i="2"/>
  <c r="FC347" i="10"/>
  <c r="FD123" i="2"/>
  <c r="EZ472" i="2"/>
  <c r="FA442" i="2"/>
  <c r="FA307" i="2"/>
  <c r="FA403" i="10" s="1"/>
  <c r="FB302" i="2"/>
  <c r="FA306" i="2"/>
  <c r="FA310" i="2"/>
  <c r="FA318" i="2"/>
  <c r="EY51" i="2"/>
  <c r="FF591" i="2"/>
  <c r="FG591" i="2" s="1"/>
  <c r="FH591" i="2" s="1"/>
  <c r="FE668" i="2"/>
  <c r="EP655" i="18"/>
  <c r="EP658" i="18"/>
  <c r="EP217" i="18"/>
  <c r="EZ46" i="2"/>
  <c r="FE142" i="2"/>
  <c r="FA97" i="4"/>
  <c r="FA153" i="4"/>
  <c r="EY50" i="2"/>
  <c r="FA214" i="2"/>
  <c r="FA9" i="2"/>
  <c r="FA545" i="2"/>
  <c r="FA563" i="2"/>
  <c r="EZ467" i="2"/>
  <c r="EZ477" i="2" s="1"/>
  <c r="EZ10" i="4"/>
  <c r="FB182" i="2"/>
  <c r="FB183" i="2" s="1"/>
  <c r="FC138" i="2"/>
  <c r="FB139" i="2"/>
  <c r="FB140" i="2"/>
  <c r="FB143" i="2"/>
  <c r="EZ339" i="2"/>
  <c r="EZ422" i="10" s="1"/>
  <c r="FB488" i="2"/>
  <c r="FB489" i="2" s="1"/>
  <c r="FB199" i="2"/>
  <c r="FB372" i="10" s="1"/>
  <c r="FB190" i="2"/>
  <c r="FB541" i="2"/>
  <c r="FC180" i="2"/>
  <c r="FA283" i="2"/>
  <c r="FA396" i="10" s="1"/>
  <c r="FA419" i="2"/>
  <c r="FA293" i="2"/>
  <c r="K66" i="11"/>
  <c r="K57" i="11"/>
  <c r="FB171" i="2"/>
  <c r="FB349" i="10" s="1"/>
  <c r="EY12" i="4"/>
  <c r="EO47" i="18"/>
  <c r="EO50" i="18" s="1"/>
  <c r="EO279" i="18"/>
  <c r="K179" i="11"/>
  <c r="L160" i="11"/>
  <c r="K166" i="11"/>
  <c r="K210" i="11" s="1"/>
  <c r="K211" i="11" s="1"/>
  <c r="N198" i="11"/>
  <c r="O177" i="11"/>
  <c r="L199" i="11"/>
  <c r="M178" i="11"/>
  <c r="T43" i="30"/>
  <c r="EW1026" i="10"/>
  <c r="B373" i="3"/>
  <c r="B414" i="3"/>
  <c r="B407" i="3"/>
  <c r="C20" i="41"/>
  <c r="F378" i="3"/>
  <c r="K369" i="3"/>
  <c r="G4948" i="3"/>
  <c r="G4953" i="3" s="1"/>
  <c r="E172" i="41"/>
  <c r="E171" i="41" s="1"/>
  <c r="EX644" i="2"/>
  <c r="E172" i="6"/>
  <c r="E171" i="6" s="1"/>
  <c r="EX638" i="2"/>
  <c r="EN678" i="18"/>
  <c r="FB591" i="36"/>
  <c r="FA593" i="36"/>
  <c r="FA65" i="35"/>
  <c r="FB144" i="35"/>
  <c r="FC144" i="35" s="1"/>
  <c r="FB110" i="35"/>
  <c r="FC107" i="35"/>
  <c r="FB130" i="35"/>
  <c r="FC130" i="35" s="1"/>
  <c r="EN680" i="18"/>
  <c r="EM682" i="18"/>
  <c r="EM325" i="18"/>
  <c r="EM332" i="18" s="1"/>
  <c r="FB581" i="36"/>
  <c r="FC579" i="36"/>
  <c r="G281" i="24"/>
  <c r="G279" i="24"/>
  <c r="G280" i="24"/>
  <c r="EZ178" i="35"/>
  <c r="FJ565" i="2"/>
  <c r="FF569" i="2"/>
  <c r="FG565" i="2"/>
  <c r="EQ666" i="18"/>
  <c r="EO678" i="18"/>
  <c r="H4462" i="3"/>
  <c r="H4465" i="3" s="1"/>
  <c r="H4433" i="3"/>
  <c r="H4434" i="3" s="1"/>
  <c r="H4439" i="3" s="1"/>
  <c r="H4501" i="3"/>
  <c r="F173" i="3"/>
  <c r="EX53" i="4"/>
  <c r="C105" i="41" s="1"/>
  <c r="EX19" i="4"/>
  <c r="D2942" i="3"/>
  <c r="EX102" i="10"/>
  <c r="EY47" i="2" l="1"/>
  <c r="EZ351" i="2"/>
  <c r="FC562" i="2"/>
  <c r="FC560" i="2"/>
  <c r="EY352" i="2"/>
  <c r="EY10" i="2"/>
  <c r="EY12" i="2" s="1"/>
  <c r="I1333" i="3"/>
  <c r="I1353" i="3" s="1"/>
  <c r="I1354" i="3" s="1"/>
  <c r="I1397" i="3" s="1"/>
  <c r="I1400" i="3" s="1"/>
  <c r="G1333" i="3"/>
  <c r="G1353" i="3" s="1"/>
  <c r="G1354" i="3" s="1"/>
  <c r="G1397" i="3" s="1"/>
  <c r="G1400" i="3" s="1"/>
  <c r="H1333" i="3"/>
  <c r="H1353" i="3" s="1"/>
  <c r="H1354" i="3" s="1"/>
  <c r="H1397" i="3" s="1"/>
  <c r="H1400" i="3" s="1"/>
  <c r="FC188" i="10"/>
  <c r="FC352" i="10"/>
  <c r="E2912" i="3"/>
  <c r="E2914" i="3" s="1"/>
  <c r="FG169" i="2"/>
  <c r="FG174" i="2" s="1"/>
  <c r="FB191" i="2"/>
  <c r="FB364" i="10"/>
  <c r="FC262" i="2"/>
  <c r="FB400" i="10"/>
  <c r="FB189" i="10"/>
  <c r="FC140" i="2"/>
  <c r="FC354" i="10" s="1"/>
  <c r="FB354" i="10"/>
  <c r="EZ51" i="2"/>
  <c r="EZ128" i="10"/>
  <c r="FG395" i="2"/>
  <c r="FG400" i="2" s="1"/>
  <c r="EP669" i="18"/>
  <c r="EP678" i="18" s="1"/>
  <c r="D2663" i="3"/>
  <c r="FD115" i="2"/>
  <c r="FF411" i="2"/>
  <c r="FJ406" i="2"/>
  <c r="FB207" i="2"/>
  <c r="FB202" i="2"/>
  <c r="FB375" i="10" s="1"/>
  <c r="FC199" i="2"/>
  <c r="FD125" i="2"/>
  <c r="FD126" i="2" s="1"/>
  <c r="FD181" i="2" s="1"/>
  <c r="FB587" i="2"/>
  <c r="FC588" i="2"/>
  <c r="FC589" i="2" s="1"/>
  <c r="E394" i="3"/>
  <c r="FE357" i="10"/>
  <c r="FF119" i="2"/>
  <c r="FB230" i="2"/>
  <c r="FB384" i="10" s="1"/>
  <c r="FB320" i="2"/>
  <c r="FG95" i="2"/>
  <c r="FG392" i="10" s="1"/>
  <c r="L5711" i="3"/>
  <c r="FG391" i="10"/>
  <c r="FG568" i="2"/>
  <c r="FG569" i="2" s="1"/>
  <c r="FG97" i="2"/>
  <c r="FG107" i="2"/>
  <c r="EZ434" i="2"/>
  <c r="FB580" i="2"/>
  <c r="FC578" i="2"/>
  <c r="D1832" i="3" s="1"/>
  <c r="D2789" i="3"/>
  <c r="C3550" i="3"/>
  <c r="B3998" i="3"/>
  <c r="C3998" i="3" s="1"/>
  <c r="C3841" i="3"/>
  <c r="B3934" i="3"/>
  <c r="B3886" i="3"/>
  <c r="D1794" i="3"/>
  <c r="D1795" i="3" s="1"/>
  <c r="FD552" i="2"/>
  <c r="H4857" i="3"/>
  <c r="G224" i="11"/>
  <c r="EY16" i="4"/>
  <c r="FA13" i="2"/>
  <c r="FC171" i="2"/>
  <c r="FB173" i="2"/>
  <c r="FB172" i="2"/>
  <c r="FB176" i="2"/>
  <c r="FB160" i="2"/>
  <c r="L5717" i="3"/>
  <c r="L5726" i="3"/>
  <c r="FA412" i="2"/>
  <c r="FB337" i="2"/>
  <c r="FB420" i="10" s="1"/>
  <c r="FC314" i="2"/>
  <c r="EY49" i="2"/>
  <c r="EY131" i="10" s="1"/>
  <c r="FA152" i="2"/>
  <c r="FC147" i="2"/>
  <c r="FC152" i="2" s="1"/>
  <c r="I91" i="11"/>
  <c r="I92" i="11" s="1"/>
  <c r="I142" i="11"/>
  <c r="I134" i="11"/>
  <c r="FA408" i="2"/>
  <c r="FA163" i="2"/>
  <c r="FB451" i="2"/>
  <c r="FC397" i="2"/>
  <c r="FB396" i="2"/>
  <c r="FB402" i="2"/>
  <c r="FB398" i="2"/>
  <c r="FB399" i="2"/>
  <c r="FC399" i="2" s="1"/>
  <c r="G22" i="24"/>
  <c r="EM107" i="18"/>
  <c r="EM112" i="18" s="1"/>
  <c r="EN106" i="18"/>
  <c r="EN108" i="18" s="1"/>
  <c r="EM110" i="18"/>
  <c r="EM111" i="18"/>
  <c r="EM114" i="18"/>
  <c r="EM137" i="18"/>
  <c r="EM149" i="18"/>
  <c r="EM150" i="18"/>
  <c r="EZ506" i="2"/>
  <c r="EZ507" i="2"/>
  <c r="EZ508" i="2" s="1"/>
  <c r="FG540" i="2"/>
  <c r="FG544" i="2"/>
  <c r="FB208" i="2"/>
  <c r="FC200" i="2"/>
  <c r="FF297" i="2"/>
  <c r="FF423" i="2" s="1"/>
  <c r="FJ292" i="2"/>
  <c r="D9" i="37"/>
  <c r="EY478" i="2"/>
  <c r="EY470" i="2"/>
  <c r="J58" i="11"/>
  <c r="J56" i="11"/>
  <c r="M160" i="11"/>
  <c r="N160" i="11" s="1"/>
  <c r="O160" i="11" s="1"/>
  <c r="P160" i="11" s="1"/>
  <c r="FA298" i="2"/>
  <c r="FA424" i="2" s="1"/>
  <c r="FC139" i="2"/>
  <c r="FC143" i="2"/>
  <c r="D2668" i="3"/>
  <c r="FD135" i="2"/>
  <c r="FD168" i="2" s="1"/>
  <c r="FC348" i="10"/>
  <c r="EP291" i="18"/>
  <c r="EQ283" i="18"/>
  <c r="EP288" i="18"/>
  <c r="EP287" i="18"/>
  <c r="EP305" i="18"/>
  <c r="EQ196" i="18"/>
  <c r="FG344" i="10"/>
  <c r="FA341" i="2"/>
  <c r="FA424" i="10" s="1"/>
  <c r="K200" i="11"/>
  <c r="L179" i="11"/>
  <c r="K185" i="11"/>
  <c r="FA420" i="2"/>
  <c r="FB203" i="2"/>
  <c r="FB376" i="10" s="1"/>
  <c r="FC182" i="2"/>
  <c r="FC183" i="2" s="1"/>
  <c r="FC320" i="2" s="1"/>
  <c r="FF136" i="10"/>
  <c r="FJ58" i="2"/>
  <c r="FE264" i="2"/>
  <c r="FD405" i="10"/>
  <c r="F1353" i="3"/>
  <c r="F1332" i="3"/>
  <c r="M199" i="11"/>
  <c r="N178" i="11"/>
  <c r="FA316" i="2"/>
  <c r="FA285" i="2"/>
  <c r="FA402" i="10" s="1"/>
  <c r="FB280" i="2"/>
  <c r="FA288" i="2"/>
  <c r="FA284" i="2"/>
  <c r="FA294" i="2"/>
  <c r="FB304" i="2"/>
  <c r="FB439" i="2"/>
  <c r="EP86" i="18"/>
  <c r="L43" i="11"/>
  <c r="FH96" i="2"/>
  <c r="FH86" i="2"/>
  <c r="FC265" i="2"/>
  <c r="FC261" i="2"/>
  <c r="D2659" i="3"/>
  <c r="FC598" i="2"/>
  <c r="FC495" i="2" s="1"/>
  <c r="FC496" i="2" s="1"/>
  <c r="FD496" i="2" s="1"/>
  <c r="FE496" i="2" s="1"/>
  <c r="FF496" i="2" s="1"/>
  <c r="FG496" i="2" s="1"/>
  <c r="FH496" i="2" s="1"/>
  <c r="FI496" i="2" s="1"/>
  <c r="E2927" i="3"/>
  <c r="FC394" i="10"/>
  <c r="FD257" i="2"/>
  <c r="FD259" i="2" s="1"/>
  <c r="D15" i="37"/>
  <c r="D17" i="37" s="1"/>
  <c r="J68" i="11"/>
  <c r="EZ347" i="2"/>
  <c r="EZ463" i="2"/>
  <c r="EZ42" i="2"/>
  <c r="EZ340" i="2"/>
  <c r="EZ423" i="10" s="1"/>
  <c r="EO314" i="18"/>
  <c r="FF142" i="2"/>
  <c r="FC574" i="2"/>
  <c r="FC576" i="2"/>
  <c r="H4977" i="3"/>
  <c r="H4978" i="3" s="1"/>
  <c r="EY10" i="32"/>
  <c r="B1866" i="3"/>
  <c r="F11" i="27"/>
  <c r="D2781" i="3"/>
  <c r="D2767" i="3"/>
  <c r="D2766" i="3" s="1"/>
  <c r="D2774" i="3" s="1"/>
  <c r="D87" i="37"/>
  <c r="D96" i="37" s="1"/>
  <c r="FB270" i="2"/>
  <c r="FB271" i="2" s="1"/>
  <c r="FB405" i="2"/>
  <c r="O198" i="11"/>
  <c r="P177" i="11"/>
  <c r="P198" i="11" s="1"/>
  <c r="EO57" i="18"/>
  <c r="FA443" i="2"/>
  <c r="FA444" i="2"/>
  <c r="FA447" i="2"/>
  <c r="FA454" i="2"/>
  <c r="EP84" i="18"/>
  <c r="EP87" i="18" s="1"/>
  <c r="EP201" i="18"/>
  <c r="EP667" i="18"/>
  <c r="EP202" i="18"/>
  <c r="EP239" i="18"/>
  <c r="EP241" i="18" s="1"/>
  <c r="EP216" i="18"/>
  <c r="EP218" i="18" s="1"/>
  <c r="EP295" i="18"/>
  <c r="EP297" i="18" s="1"/>
  <c r="FA178" i="4"/>
  <c r="FA1031" i="10" s="1"/>
  <c r="B5429" i="3"/>
  <c r="FI591" i="2"/>
  <c r="C5429" i="3" s="1"/>
  <c r="D5429" i="3" s="1"/>
  <c r="E5429" i="3" s="1"/>
  <c r="F5429" i="3" s="1"/>
  <c r="G5429" i="3" s="1"/>
  <c r="H5429" i="3" s="1"/>
  <c r="I5429" i="3" s="1"/>
  <c r="J5429" i="3" s="1"/>
  <c r="K5429" i="3" s="1"/>
  <c r="L5429" i="3" s="1"/>
  <c r="M5429" i="3" s="1"/>
  <c r="FC190" i="2"/>
  <c r="FC541" i="2"/>
  <c r="FC490" i="2"/>
  <c r="FC491" i="2" s="1"/>
  <c r="FD491" i="2" s="1"/>
  <c r="FE491" i="2" s="1"/>
  <c r="FF491" i="2" s="1"/>
  <c r="FG491" i="2" s="1"/>
  <c r="FH491" i="2" s="1"/>
  <c r="FI491" i="2" s="1"/>
  <c r="FA346" i="2"/>
  <c r="FA462" i="2"/>
  <c r="FA41" i="2"/>
  <c r="G378" i="3"/>
  <c r="B417" i="3"/>
  <c r="B415" i="3"/>
  <c r="B418" i="3" s="1"/>
  <c r="G4949" i="3"/>
  <c r="C118" i="41"/>
  <c r="C121" i="41"/>
  <c r="EN677" i="18"/>
  <c r="EO680" i="18" s="1"/>
  <c r="EO677" i="18" s="1"/>
  <c r="H4469" i="3"/>
  <c r="FB588" i="36"/>
  <c r="FC591" i="36"/>
  <c r="FC592" i="36" s="1"/>
  <c r="FD592" i="36" s="1"/>
  <c r="FE592" i="36" s="1"/>
  <c r="FF592" i="36" s="1"/>
  <c r="FG592" i="36" s="1"/>
  <c r="G283" i="24"/>
  <c r="G282" i="24"/>
  <c r="H281" i="24"/>
  <c r="FC110" i="35"/>
  <c r="FB585" i="36"/>
  <c r="FC585" i="36" s="1"/>
  <c r="FC581" i="36"/>
  <c r="EM334" i="18"/>
  <c r="EM333" i="18"/>
  <c r="FA97" i="35"/>
  <c r="FA178" i="35" s="1"/>
  <c r="FA153" i="35"/>
  <c r="FA69" i="35"/>
  <c r="I4541" i="3"/>
  <c r="H4467" i="3"/>
  <c r="FH565" i="2"/>
  <c r="ER666" i="18"/>
  <c r="H4982" i="3"/>
  <c r="EX1026" i="10"/>
  <c r="EX54" i="4"/>
  <c r="B105" i="6"/>
  <c r="D2944" i="3"/>
  <c r="FB112" i="10" l="1"/>
  <c r="FB141" i="10" s="1"/>
  <c r="EY14" i="2"/>
  <c r="E2923" i="3"/>
  <c r="E2924" i="3" s="1"/>
  <c r="FC189" i="10"/>
  <c r="E2917" i="3"/>
  <c r="E2919" i="3" s="1"/>
  <c r="FC400" i="10"/>
  <c r="FC173" i="2"/>
  <c r="FC355" i="10" s="1"/>
  <c r="FB355" i="10"/>
  <c r="FB315" i="2"/>
  <c r="FC315" i="2" s="1"/>
  <c r="FB395" i="10"/>
  <c r="J71" i="11"/>
  <c r="FA296" i="2"/>
  <c r="FA299" i="2"/>
  <c r="FA425" i="2" s="1"/>
  <c r="FA295" i="2"/>
  <c r="FA317" i="2"/>
  <c r="EO315" i="18"/>
  <c r="EO321" i="18"/>
  <c r="EO674" i="18"/>
  <c r="D2664" i="3"/>
  <c r="FB282" i="2"/>
  <c r="FB283" i="2" s="1"/>
  <c r="FB396" i="10" s="1"/>
  <c r="FB291" i="2"/>
  <c r="EP52" i="18"/>
  <c r="EP310" i="18"/>
  <c r="EY526" i="2"/>
  <c r="EY480" i="2"/>
  <c r="FB401" i="2"/>
  <c r="FB264" i="10" s="1"/>
  <c r="FC396" i="2"/>
  <c r="FC401" i="2" s="1"/>
  <c r="EY52" i="2"/>
  <c r="FC160" i="2"/>
  <c r="FB162" i="2"/>
  <c r="FB165" i="2"/>
  <c r="FB161" i="2"/>
  <c r="EZ348" i="2"/>
  <c r="EZ344" i="2"/>
  <c r="EZ427" i="10" s="1"/>
  <c r="FB205" i="2"/>
  <c r="FB211" i="2"/>
  <c r="FC203" i="2"/>
  <c r="FC398" i="2"/>
  <c r="FC402" i="2"/>
  <c r="FC173" i="10"/>
  <c r="FC599" i="2"/>
  <c r="FD394" i="2"/>
  <c r="FH258" i="2"/>
  <c r="FG281" i="2"/>
  <c r="FG303" i="2"/>
  <c r="FG440" i="2" s="1"/>
  <c r="FG445" i="2" s="1"/>
  <c r="FG269" i="2"/>
  <c r="FG406" i="2" s="1"/>
  <c r="FG411" i="2" s="1"/>
  <c r="FG108" i="2"/>
  <c r="FG68" i="2" s="1"/>
  <c r="F2922" i="3"/>
  <c r="EN109" i="18"/>
  <c r="FD180" i="2"/>
  <c r="I4851" i="3"/>
  <c r="FE112" i="2"/>
  <c r="FD120" i="2"/>
  <c r="E7" i="37"/>
  <c r="FD346" i="10"/>
  <c r="E2658" i="3"/>
  <c r="FD116" i="2"/>
  <c r="FD117" i="2"/>
  <c r="FD208" i="10"/>
  <c r="H218" i="11"/>
  <c r="FC451" i="2"/>
  <c r="FD556" i="2"/>
  <c r="FD555" i="2" s="1"/>
  <c r="FD551" i="2"/>
  <c r="FB592" i="2"/>
  <c r="FB65" i="4"/>
  <c r="FB104" i="10" s="1"/>
  <c r="FC587" i="2"/>
  <c r="FC191" i="2"/>
  <c r="C286" i="3"/>
  <c r="FC625" i="2"/>
  <c r="FC364" i="10"/>
  <c r="F14" i="27"/>
  <c r="F13" i="27"/>
  <c r="EZ11" i="4"/>
  <c r="EZ43" i="2"/>
  <c r="EZ127" i="10" s="1"/>
  <c r="FH88" i="2"/>
  <c r="FH342" i="10"/>
  <c r="FH343" i="10" s="1"/>
  <c r="FH90" i="2"/>
  <c r="FH105" i="2"/>
  <c r="FH106" i="2" s="1"/>
  <c r="O178" i="11"/>
  <c r="N199" i="11"/>
  <c r="FA431" i="2"/>
  <c r="FA421" i="2"/>
  <c r="FB417" i="2"/>
  <c r="FA422" i="2"/>
  <c r="EQ285" i="18"/>
  <c r="D23" i="37"/>
  <c r="D25" i="37" s="1"/>
  <c r="EM154" i="18"/>
  <c r="EM33" i="18"/>
  <c r="G6" i="24" s="1"/>
  <c r="D1798" i="3"/>
  <c r="D1800" i="3" s="1"/>
  <c r="D1796" i="3"/>
  <c r="D1802" i="3" s="1"/>
  <c r="D1804" i="3" s="1"/>
  <c r="E1866" i="3"/>
  <c r="D1866" i="3"/>
  <c r="EZ473" i="2"/>
  <c r="EZ464" i="2"/>
  <c r="K206" i="11"/>
  <c r="K48" i="11"/>
  <c r="K216" i="11"/>
  <c r="EM151" i="18"/>
  <c r="EM153" i="18"/>
  <c r="EM32" i="18"/>
  <c r="FC176" i="2"/>
  <c r="FC172" i="2"/>
  <c r="D6" i="37"/>
  <c r="FC349" i="10"/>
  <c r="F139" i="24"/>
  <c r="G139" i="24"/>
  <c r="B3965" i="3"/>
  <c r="C3965" i="3" s="1"/>
  <c r="E139" i="24"/>
  <c r="H139" i="24"/>
  <c r="D139" i="24"/>
  <c r="C139" i="24"/>
  <c r="B139" i="24"/>
  <c r="L161" i="11"/>
  <c r="L42" i="11"/>
  <c r="M179" i="11"/>
  <c r="L200" i="11"/>
  <c r="L5718" i="3"/>
  <c r="L5719" i="3" s="1"/>
  <c r="L5727" i="3"/>
  <c r="EY15" i="2"/>
  <c r="EY54" i="2"/>
  <c r="EY570" i="2"/>
  <c r="EY575" i="2"/>
  <c r="EP85" i="18"/>
  <c r="G1332" i="3"/>
  <c r="F1334" i="3"/>
  <c r="FD137" i="2"/>
  <c r="FB345" i="2"/>
  <c r="FC337" i="2"/>
  <c r="FD127" i="2"/>
  <c r="FE123" i="2"/>
  <c r="FD128" i="2"/>
  <c r="FD353" i="10" s="1"/>
  <c r="FD131" i="2"/>
  <c r="FD347" i="10"/>
  <c r="FD132" i="2"/>
  <c r="EP220" i="18"/>
  <c r="EP219" i="18"/>
  <c r="EQ215" i="18"/>
  <c r="EP223" i="18"/>
  <c r="EP665" i="18"/>
  <c r="EP276" i="18"/>
  <c r="EP277" i="18"/>
  <c r="EP48" i="18" s="1"/>
  <c r="J69" i="11"/>
  <c r="F1354" i="3"/>
  <c r="F1352" i="3"/>
  <c r="D2673" i="3"/>
  <c r="D2683" i="3" s="1"/>
  <c r="FC208" i="2"/>
  <c r="FC188" i="2"/>
  <c r="FC373" i="10"/>
  <c r="FC186" i="2"/>
  <c r="FC207" i="2"/>
  <c r="V28" i="30"/>
  <c r="FC372" i="10"/>
  <c r="D33" i="37"/>
  <c r="C494" i="3"/>
  <c r="C502" i="3" s="1"/>
  <c r="C503" i="3" s="1"/>
  <c r="FA453" i="2"/>
  <c r="FA455" i="2" s="1"/>
  <c r="FA319" i="2"/>
  <c r="FA367" i="2" s="1"/>
  <c r="FA432" i="10" s="1"/>
  <c r="FA343" i="2"/>
  <c r="FA426" i="10" s="1"/>
  <c r="FA349" i="2"/>
  <c r="FA465" i="2"/>
  <c r="FA44" i="2"/>
  <c r="FA452" i="2"/>
  <c r="FA410" i="2"/>
  <c r="FA187" i="10" s="1"/>
  <c r="FA409" i="2"/>
  <c r="FA414" i="2"/>
  <c r="FA413" i="2"/>
  <c r="D3550" i="3"/>
  <c r="F3550" i="3"/>
  <c r="C3552" i="3"/>
  <c r="FB210" i="2"/>
  <c r="FB192" i="2"/>
  <c r="FB193" i="2" s="1"/>
  <c r="FC202" i="2"/>
  <c r="D2678" i="3"/>
  <c r="FB441" i="2"/>
  <c r="FC304" i="2"/>
  <c r="FC309" i="2" s="1"/>
  <c r="FD309" i="2" s="1"/>
  <c r="I135" i="11"/>
  <c r="I136" i="11" s="1"/>
  <c r="FB231" i="2"/>
  <c r="FC230" i="2"/>
  <c r="FD260" i="2"/>
  <c r="FD314" i="2" s="1"/>
  <c r="D2776" i="3"/>
  <c r="FB461" i="2"/>
  <c r="D2660" i="3"/>
  <c r="FA10" i="4"/>
  <c r="FB305" i="2"/>
  <c r="FB397" i="10" s="1"/>
  <c r="G27" i="24"/>
  <c r="H22" i="24"/>
  <c r="G30" i="24"/>
  <c r="G23" i="24"/>
  <c r="G24" i="24"/>
  <c r="EY18" i="4"/>
  <c r="EY102" i="10" s="1"/>
  <c r="EY1026" i="10" s="1"/>
  <c r="FB40" i="2"/>
  <c r="FA472" i="2"/>
  <c r="EP302" i="18"/>
  <c r="EQ294" i="18"/>
  <c r="EP299" i="18"/>
  <c r="EP298" i="18"/>
  <c r="EP306" i="18"/>
  <c r="FE405" i="10"/>
  <c r="FF264" i="2"/>
  <c r="FG547" i="2"/>
  <c r="FG548" i="2" s="1"/>
  <c r="I93" i="11"/>
  <c r="I94" i="11" s="1"/>
  <c r="FB584" i="2"/>
  <c r="FC584" i="2" s="1"/>
  <c r="FB107" i="4"/>
  <c r="FC580" i="2"/>
  <c r="F394" i="3"/>
  <c r="FG119" i="2"/>
  <c r="FF357" i="10"/>
  <c r="EP242" i="18"/>
  <c r="EQ238" i="18"/>
  <c r="EQ240" i="18" s="1"/>
  <c r="EP243" i="18"/>
  <c r="FC271" i="2"/>
  <c r="FB272" i="2"/>
  <c r="FB276" i="2"/>
  <c r="FB273" i="2"/>
  <c r="J60" i="11"/>
  <c r="FB407" i="2"/>
  <c r="FC270" i="2"/>
  <c r="FC275" i="2" s="1"/>
  <c r="FD275" i="2" s="1"/>
  <c r="FE275" i="2" s="1"/>
  <c r="FF275" i="2" s="1"/>
  <c r="FG275" i="2" s="1"/>
  <c r="FH275" i="2" s="1"/>
  <c r="FI275" i="2" s="1"/>
  <c r="FG142" i="2"/>
  <c r="FH142" i="2" s="1"/>
  <c r="EQ656" i="18"/>
  <c r="EQ195" i="18"/>
  <c r="L5712" i="3"/>
  <c r="H378" i="3"/>
  <c r="EN682" i="18"/>
  <c r="EN325" i="18"/>
  <c r="EN332" i="18" s="1"/>
  <c r="EN334" i="18" s="1"/>
  <c r="EO325" i="18"/>
  <c r="EO682" i="18"/>
  <c r="EP680" i="18"/>
  <c r="EP677" i="18" s="1"/>
  <c r="EP325" i="18" s="1"/>
  <c r="FB65" i="35"/>
  <c r="FD591" i="36"/>
  <c r="FB593" i="36"/>
  <c r="FC588" i="36"/>
  <c r="FC593" i="36" s="1"/>
  <c r="FI565" i="2"/>
  <c r="ES666" i="18"/>
  <c r="E25" i="19" l="1"/>
  <c r="G25" i="19" s="1"/>
  <c r="C56" i="3"/>
  <c r="D56" i="3" s="1"/>
  <c r="FB338" i="2"/>
  <c r="FB421" i="10" s="1"/>
  <c r="E2928" i="3"/>
  <c r="E2929" i="3" s="1"/>
  <c r="FB206" i="2"/>
  <c r="FB379" i="10" s="1"/>
  <c r="FB378" i="10"/>
  <c r="FC273" i="2"/>
  <c r="FC401" i="10" s="1"/>
  <c r="FB401" i="10"/>
  <c r="EO332" i="18"/>
  <c r="EO334" i="18" s="1"/>
  <c r="FC283" i="2"/>
  <c r="FB288" i="2"/>
  <c r="FB285" i="2"/>
  <c r="FB284" i="2"/>
  <c r="FB294" i="2"/>
  <c r="FB317" i="2" s="1"/>
  <c r="FB339" i="2" s="1"/>
  <c r="FB422" i="10" s="1"/>
  <c r="FB316" i="2"/>
  <c r="EP53" i="18"/>
  <c r="EP55" i="18" s="1"/>
  <c r="EP311" i="18"/>
  <c r="FA368" i="2"/>
  <c r="FA505" i="2"/>
  <c r="F1397" i="3"/>
  <c r="F1400" i="3" s="1"/>
  <c r="F1355" i="3"/>
  <c r="G1355" i="3" s="1"/>
  <c r="FC345" i="2"/>
  <c r="FC323" i="2"/>
  <c r="D34" i="37"/>
  <c r="D35" i="37" s="1"/>
  <c r="C505" i="3"/>
  <c r="C383" i="3"/>
  <c r="V29" i="30"/>
  <c r="FC420" i="10"/>
  <c r="EY55" i="2"/>
  <c r="K46" i="11"/>
  <c r="K59" i="11" s="1"/>
  <c r="K49" i="11"/>
  <c r="K67" i="11" s="1"/>
  <c r="K50" i="11"/>
  <c r="L45" i="11"/>
  <c r="L47" i="11" s="1"/>
  <c r="K54" i="11"/>
  <c r="FD188" i="10"/>
  <c r="FD352" i="10"/>
  <c r="F2912" i="3"/>
  <c r="F2914" i="3" s="1"/>
  <c r="K1333" i="3"/>
  <c r="L1333" i="3"/>
  <c r="M1333" i="3"/>
  <c r="J1333" i="3"/>
  <c r="FG418" i="2"/>
  <c r="FG292" i="2"/>
  <c r="FG297" i="2" s="1"/>
  <c r="FG423" i="2" s="1"/>
  <c r="FC305" i="2"/>
  <c r="FB442" i="2"/>
  <c r="FB307" i="2"/>
  <c r="FB306" i="2"/>
  <c r="FB310" i="2"/>
  <c r="FB318" i="2"/>
  <c r="C3554" i="3"/>
  <c r="D3554" i="3" s="1"/>
  <c r="D3552" i="3"/>
  <c r="FA566" i="2"/>
  <c r="FA573" i="2"/>
  <c r="J101" i="11"/>
  <c r="J143" i="11" s="1"/>
  <c r="J70" i="11"/>
  <c r="J79" i="11"/>
  <c r="J78" i="11" s="1"/>
  <c r="J133" i="11" s="1"/>
  <c r="J74" i="11"/>
  <c r="FB428" i="2"/>
  <c r="FB430" i="2" s="1"/>
  <c r="FC430" i="2" s="1"/>
  <c r="FC435" i="2" s="1"/>
  <c r="FA432" i="2"/>
  <c r="FA429" i="2"/>
  <c r="FA436" i="2"/>
  <c r="FA433" i="2"/>
  <c r="FA190" i="10" s="1"/>
  <c r="EZ352" i="2"/>
  <c r="EZ10" i="2"/>
  <c r="FC276" i="2"/>
  <c r="FC272" i="2"/>
  <c r="FD268" i="2"/>
  <c r="FC600" i="2"/>
  <c r="FC395" i="10"/>
  <c r="D37" i="37"/>
  <c r="D38" i="37" s="1"/>
  <c r="I128" i="11"/>
  <c r="EZ474" i="2"/>
  <c r="EZ468" i="2"/>
  <c r="EQ296" i="18"/>
  <c r="P178" i="11"/>
  <c r="P199" i="11" s="1"/>
  <c r="O199" i="11"/>
  <c r="E2663" i="3"/>
  <c r="EQ83" i="18"/>
  <c r="EQ197" i="18"/>
  <c r="EQ234" i="18"/>
  <c r="EQ661" i="18"/>
  <c r="EQ660" i="18" s="1"/>
  <c r="EQ200" i="18"/>
  <c r="EQ664" i="18" s="1"/>
  <c r="EQ213" i="18"/>
  <c r="EQ211" i="18"/>
  <c r="EQ284" i="18"/>
  <c r="EQ286" i="18" s="1"/>
  <c r="I86" i="11"/>
  <c r="I87" i="11" s="1"/>
  <c r="I95" i="11" s="1"/>
  <c r="EP279" i="18"/>
  <c r="EP47" i="18"/>
  <c r="EP50" i="18" s="1"/>
  <c r="EQ657" i="18"/>
  <c r="EQ658" i="18"/>
  <c r="FH136" i="2"/>
  <c r="FH113" i="2"/>
  <c r="FH124" i="2"/>
  <c r="FC592" i="2"/>
  <c r="FD590" i="2"/>
  <c r="K7" i="37"/>
  <c r="E9" i="37"/>
  <c r="FB419" i="2"/>
  <c r="FB293" i="2"/>
  <c r="FC282" i="2"/>
  <c r="FC287" i="2" s="1"/>
  <c r="FD287" i="2" s="1"/>
  <c r="FE287" i="2" s="1"/>
  <c r="FF287" i="2" s="1"/>
  <c r="FG287" i="2" s="1"/>
  <c r="FH287" i="2" s="1"/>
  <c r="FI287" i="2" s="1"/>
  <c r="FE309" i="2"/>
  <c r="FF309" i="2" s="1"/>
  <c r="FG309" i="2" s="1"/>
  <c r="FH309" i="2" s="1"/>
  <c r="FI309" i="2" s="1"/>
  <c r="FD138" i="2"/>
  <c r="FD170" i="2"/>
  <c r="FD175" i="2" s="1"/>
  <c r="FD153" i="2" s="1"/>
  <c r="L5722" i="3"/>
  <c r="FB97" i="4"/>
  <c r="FB153" i="4"/>
  <c r="FC153" i="4" s="1"/>
  <c r="FC65" i="4"/>
  <c r="FB158" i="2"/>
  <c r="FC162" i="2"/>
  <c r="FI142" i="2"/>
  <c r="FB471" i="2"/>
  <c r="FC461" i="2"/>
  <c r="FC471" i="2" s="1"/>
  <c r="FB446" i="2"/>
  <c r="FC441" i="2"/>
  <c r="FC446" i="2" s="1"/>
  <c r="X28" i="30"/>
  <c r="Y28" i="30"/>
  <c r="EQ217" i="18"/>
  <c r="D1806" i="3"/>
  <c r="FI87" i="2"/>
  <c r="B5337" i="3"/>
  <c r="B5339" i="3" s="1"/>
  <c r="B5342" i="3" s="1"/>
  <c r="B5359" i="3" s="1"/>
  <c r="FH91" i="2"/>
  <c r="FH92" i="2"/>
  <c r="L212" i="11"/>
  <c r="FH185" i="10"/>
  <c r="FH542" i="2"/>
  <c r="B5345" i="3"/>
  <c r="B5347" i="3" s="1"/>
  <c r="B5349" i="3" s="1"/>
  <c r="B5351" i="3" s="1"/>
  <c r="FH94" i="2"/>
  <c r="M4845" i="3"/>
  <c r="M5710" i="3"/>
  <c r="I4857" i="3"/>
  <c r="FE552" i="2"/>
  <c r="H224" i="11"/>
  <c r="FC165" i="2"/>
  <c r="FC161" i="2"/>
  <c r="FD157" i="2"/>
  <c r="FD559" i="2"/>
  <c r="FE114" i="2"/>
  <c r="FB412" i="2"/>
  <c r="FC407" i="2"/>
  <c r="FC412" i="2" s="1"/>
  <c r="D5" i="37"/>
  <c r="D8" i="37"/>
  <c r="H6" i="24"/>
  <c r="G36" i="24"/>
  <c r="G7" i="24"/>
  <c r="G37" i="24" s="1"/>
  <c r="EO322" i="18"/>
  <c r="EO323" i="18"/>
  <c r="FC187" i="2"/>
  <c r="C284" i="3"/>
  <c r="C385" i="3"/>
  <c r="FC360" i="10"/>
  <c r="H4567" i="3"/>
  <c r="H4913" i="3"/>
  <c r="H4911" i="3" s="1"/>
  <c r="E2932" i="3"/>
  <c r="E2934" i="3" s="1"/>
  <c r="FC617" i="2"/>
  <c r="D28" i="37"/>
  <c r="D30" i="37" s="1"/>
  <c r="G394" i="3"/>
  <c r="FH119" i="2"/>
  <c r="FG357" i="10"/>
  <c r="EY19" i="4"/>
  <c r="EY53" i="4"/>
  <c r="FA46" i="2"/>
  <c r="FA128" i="10" s="1"/>
  <c r="FA13" i="4"/>
  <c r="H1332" i="3"/>
  <c r="G1334" i="3"/>
  <c r="EZ47" i="2"/>
  <c r="EZ50" i="2"/>
  <c r="FD488" i="2"/>
  <c r="FD489" i="2" s="1"/>
  <c r="FD541" i="2"/>
  <c r="FD190" i="2"/>
  <c r="FC211" i="2"/>
  <c r="FC194" i="2"/>
  <c r="FC376" i="10"/>
  <c r="V34" i="30"/>
  <c r="FC264" i="10"/>
  <c r="FB9" i="4"/>
  <c r="FC9" i="4" s="1"/>
  <c r="FC40" i="2"/>
  <c r="FD394" i="10"/>
  <c r="FD262" i="2"/>
  <c r="FD598" i="2"/>
  <c r="FD493" i="2" s="1"/>
  <c r="FD494" i="2" s="1"/>
  <c r="E15" i="37"/>
  <c r="E17" i="37" s="1"/>
  <c r="F2927" i="3"/>
  <c r="FD261" i="2"/>
  <c r="E2659" i="3"/>
  <c r="E2660" i="3" s="1"/>
  <c r="FD265" i="2"/>
  <c r="FE257" i="2"/>
  <c r="FD397" i="2"/>
  <c r="FA475" i="2"/>
  <c r="FA467" i="2"/>
  <c r="FC189" i="2"/>
  <c r="FD189" i="2" s="1"/>
  <c r="FE189" i="2" s="1"/>
  <c r="FF189" i="2" s="1"/>
  <c r="FG189" i="2" s="1"/>
  <c r="FH189" i="2" s="1"/>
  <c r="FI189" i="2" s="1"/>
  <c r="C285" i="3"/>
  <c r="FC621" i="2"/>
  <c r="FC362" i="10"/>
  <c r="EN111" i="18"/>
  <c r="EN137" i="18"/>
  <c r="EN107" i="18"/>
  <c r="EN112" i="18" s="1"/>
  <c r="EO106" i="18"/>
  <c r="EO108" i="18" s="1"/>
  <c r="EN110" i="18"/>
  <c r="EN114" i="18"/>
  <c r="EN149" i="18"/>
  <c r="EN150" i="18"/>
  <c r="FA339" i="2"/>
  <c r="FA422" i="10" s="1"/>
  <c r="C461" i="3"/>
  <c r="F1339" i="3"/>
  <c r="G1339" i="3"/>
  <c r="I1339" i="3"/>
  <c r="H1339" i="3"/>
  <c r="FC112" i="10"/>
  <c r="FF405" i="10"/>
  <c r="FG264" i="2"/>
  <c r="FC192" i="2"/>
  <c r="FC193" i="2" s="1"/>
  <c r="FC210" i="2"/>
  <c r="FC375" i="10"/>
  <c r="G3430" i="3"/>
  <c r="D2689" i="3"/>
  <c r="D2705" i="3" s="1"/>
  <c r="M200" i="11"/>
  <c r="N179" i="11"/>
  <c r="G4" i="24"/>
  <c r="G8" i="24" s="1"/>
  <c r="EM34" i="18"/>
  <c r="EM40" i="18" s="1"/>
  <c r="EM59" i="18" s="1"/>
  <c r="EZ12" i="4"/>
  <c r="G2922" i="3"/>
  <c r="FB110" i="4"/>
  <c r="FC110" i="4" s="1"/>
  <c r="FB130" i="4"/>
  <c r="FC130" i="4" s="1"/>
  <c r="FB144" i="4"/>
  <c r="FC144" i="4" s="1"/>
  <c r="FC107" i="4"/>
  <c r="H30" i="24"/>
  <c r="G31" i="24"/>
  <c r="D2665" i="3"/>
  <c r="FA351" i="2"/>
  <c r="FB346" i="2"/>
  <c r="FB462" i="2"/>
  <c r="FB41" i="2"/>
  <c r="FC338" i="2"/>
  <c r="L57" i="11"/>
  <c r="L66" i="11"/>
  <c r="FG58" i="2"/>
  <c r="FG136" i="10" s="1"/>
  <c r="FG44" i="4"/>
  <c r="EY527" i="2"/>
  <c r="J100" i="11"/>
  <c r="J62" i="11"/>
  <c r="J61" i="11"/>
  <c r="J90" i="11"/>
  <c r="J132" i="11" s="1"/>
  <c r="FC232" i="2"/>
  <c r="FC231" i="2"/>
  <c r="FC384" i="10"/>
  <c r="FE125" i="2"/>
  <c r="FE126" i="2" s="1"/>
  <c r="FE181" i="2" s="1"/>
  <c r="M161" i="11"/>
  <c r="L180" i="11"/>
  <c r="L166" i="11"/>
  <c r="L210" i="11" s="1"/>
  <c r="L211" i="11" s="1"/>
  <c r="EM165" i="18"/>
  <c r="EM152" i="18"/>
  <c r="FB213" i="2"/>
  <c r="FC205" i="2"/>
  <c r="L5730" i="3"/>
  <c r="FB408" i="2"/>
  <c r="G28" i="24"/>
  <c r="H27" i="24"/>
  <c r="G1352" i="3"/>
  <c r="F1356" i="3"/>
  <c r="K222" i="11"/>
  <c r="K217" i="11"/>
  <c r="K223" i="11" s="1"/>
  <c r="EP308" i="18"/>
  <c r="EP309" i="18" s="1"/>
  <c r="I378" i="3"/>
  <c r="EN333" i="18"/>
  <c r="EQ680" i="18"/>
  <c r="EP682" i="18"/>
  <c r="FB97" i="35"/>
  <c r="FB153" i="35"/>
  <c r="FC153" i="35" s="1"/>
  <c r="FB69" i="35"/>
  <c r="FC65" i="35"/>
  <c r="F25" i="19" l="1"/>
  <c r="FC206" i="2"/>
  <c r="FB563" i="2"/>
  <c r="FB9" i="2"/>
  <c r="FB214" i="2"/>
  <c r="FB545" i="2"/>
  <c r="EO333" i="18"/>
  <c r="F2923" i="3"/>
  <c r="G2923" i="3" s="1"/>
  <c r="FC307" i="2"/>
  <c r="FB403" i="10"/>
  <c r="FC285" i="2"/>
  <c r="FC402" i="10" s="1"/>
  <c r="FB402" i="10"/>
  <c r="FC317" i="2"/>
  <c r="FD188" i="2"/>
  <c r="FD200" i="2" s="1"/>
  <c r="EQ669" i="18"/>
  <c r="G33" i="11"/>
  <c r="M5717" i="3"/>
  <c r="M5726" i="3"/>
  <c r="FH169" i="2"/>
  <c r="FH174" i="2" s="1"/>
  <c r="FH561" i="2"/>
  <c r="FA347" i="2"/>
  <c r="FA42" i="2"/>
  <c r="FA463" i="2"/>
  <c r="FA340" i="2"/>
  <c r="FA423" i="10" s="1"/>
  <c r="FC339" i="2"/>
  <c r="F1384" i="3"/>
  <c r="FD187" i="2"/>
  <c r="FE115" i="2"/>
  <c r="FE132" i="2" s="1"/>
  <c r="FD164" i="2"/>
  <c r="FD159" i="2" s="1"/>
  <c r="FD148" i="2"/>
  <c r="FD147" i="2" s="1"/>
  <c r="FD152" i="2" s="1"/>
  <c r="I102" i="11"/>
  <c r="I103" i="11" s="1"/>
  <c r="I96" i="11"/>
  <c r="FC310" i="2"/>
  <c r="FC306" i="2"/>
  <c r="FC397" i="10"/>
  <c r="FD302" i="2"/>
  <c r="D2669" i="3"/>
  <c r="D14" i="37"/>
  <c r="K68" i="11"/>
  <c r="K69" i="11" s="1"/>
  <c r="K74" i="11" s="1"/>
  <c r="FA506" i="2"/>
  <c r="FA507" i="2"/>
  <c r="FA508" i="2" s="1"/>
  <c r="FB13" i="2"/>
  <c r="FC9" i="2"/>
  <c r="EN33" i="18"/>
  <c r="EN154" i="18"/>
  <c r="FD189" i="10"/>
  <c r="FD400" i="10"/>
  <c r="F2917" i="3"/>
  <c r="F2919" i="3" s="1"/>
  <c r="FH391" i="10"/>
  <c r="FH97" i="2"/>
  <c r="FH568" i="2"/>
  <c r="FH95" i="2"/>
  <c r="FH392" i="10" s="1"/>
  <c r="M5711" i="3"/>
  <c r="FH107" i="2"/>
  <c r="FD139" i="2"/>
  <c r="FD348" i="10"/>
  <c r="FD140" i="2"/>
  <c r="E2668" i="3"/>
  <c r="FE135" i="2"/>
  <c r="FD143" i="2"/>
  <c r="FD171" i="2"/>
  <c r="FD182" i="2"/>
  <c r="I88" i="11"/>
  <c r="J85" i="11" s="1"/>
  <c r="FD435" i="2"/>
  <c r="FC263" i="10"/>
  <c r="N161" i="11"/>
  <c r="O161" i="11" s="1"/>
  <c r="P161" i="11" s="1"/>
  <c r="H394" i="3"/>
  <c r="FI119" i="2"/>
  <c r="FH357" i="10"/>
  <c r="FC442" i="2"/>
  <c r="FB444" i="2"/>
  <c r="FC444" i="2" s="1"/>
  <c r="FB447" i="2"/>
  <c r="FB443" i="2"/>
  <c r="FB454" i="2"/>
  <c r="FE131" i="2"/>
  <c r="FE347" i="10"/>
  <c r="FE127" i="2"/>
  <c r="FF123" i="2"/>
  <c r="FE128" i="2"/>
  <c r="FE353" i="10" s="1"/>
  <c r="EN32" i="18"/>
  <c r="EN153" i="18"/>
  <c r="EN151" i="18"/>
  <c r="FD572" i="2"/>
  <c r="FD562" i="2"/>
  <c r="D373" i="3" s="1"/>
  <c r="E2764" i="3"/>
  <c r="E2771" i="3" s="1"/>
  <c r="E2775" i="3" s="1"/>
  <c r="FD560" i="2"/>
  <c r="E5351" i="3"/>
  <c r="B5353" i="3"/>
  <c r="B5356" i="3"/>
  <c r="B5358" i="3" s="1"/>
  <c r="B5360" i="3" s="1"/>
  <c r="J73" i="11"/>
  <c r="J91" i="11" s="1"/>
  <c r="J92" i="11" s="1"/>
  <c r="FA434" i="2"/>
  <c r="FA477" i="2"/>
  <c r="FH540" i="2"/>
  <c r="FH544" i="2"/>
  <c r="FD270" i="2"/>
  <c r="FD407" i="2" s="1"/>
  <c r="FD405" i="2"/>
  <c r="J1353" i="3"/>
  <c r="J1354" i="3" s="1"/>
  <c r="J1397" i="3" s="1"/>
  <c r="J1400" i="3" s="1"/>
  <c r="FC346" i="2"/>
  <c r="FC325" i="2"/>
  <c r="FC421" i="10"/>
  <c r="FC408" i="2"/>
  <c r="FB410" i="2"/>
  <c r="FB413" i="2"/>
  <c r="FB409" i="2"/>
  <c r="FB414" i="2"/>
  <c r="FB452" i="2"/>
  <c r="FC452" i="2" s="1"/>
  <c r="FB10" i="4"/>
  <c r="FC41" i="2"/>
  <c r="FB298" i="2"/>
  <c r="FB424" i="2" s="1"/>
  <c r="FC293" i="2"/>
  <c r="FC298" i="2" s="1"/>
  <c r="FC424" i="2" s="1"/>
  <c r="ER283" i="18"/>
  <c r="EQ291" i="18"/>
  <c r="EQ288" i="18"/>
  <c r="EQ287" i="18"/>
  <c r="EQ305" i="18"/>
  <c r="M1353" i="3"/>
  <c r="EZ49" i="2"/>
  <c r="EZ131" i="10" s="1"/>
  <c r="FB420" i="2"/>
  <c r="FC419" i="2"/>
  <c r="V30" i="30"/>
  <c r="Y29" i="30"/>
  <c r="X29" i="30"/>
  <c r="FB472" i="2"/>
  <c r="FC462" i="2"/>
  <c r="EM61" i="18"/>
  <c r="EM65" i="18"/>
  <c r="I1332" i="3"/>
  <c r="H1334" i="3"/>
  <c r="H8" i="24"/>
  <c r="G12" i="24"/>
  <c r="G225" i="24"/>
  <c r="G9" i="24"/>
  <c r="G39" i="24" s="1"/>
  <c r="G46" i="24" s="1"/>
  <c r="FC233" i="2"/>
  <c r="FD233" i="2" s="1"/>
  <c r="FE233" i="2" s="1"/>
  <c r="FF233" i="2" s="1"/>
  <c r="FG233" i="2" s="1"/>
  <c r="FH233" i="2" s="1"/>
  <c r="FI233" i="2" s="1"/>
  <c r="G5" i="24"/>
  <c r="G34" i="24"/>
  <c r="H4" i="24"/>
  <c r="FG405" i="10"/>
  <c r="FH264" i="2"/>
  <c r="FD173" i="10"/>
  <c r="FD599" i="2"/>
  <c r="FD398" i="2"/>
  <c r="FE394" i="2"/>
  <c r="FD399" i="2"/>
  <c r="FD402" i="2"/>
  <c r="FD396" i="2"/>
  <c r="FD401" i="2" s="1"/>
  <c r="F169" i="41"/>
  <c r="F174" i="41" s="1"/>
  <c r="F183" i="41" s="1"/>
  <c r="F169" i="6"/>
  <c r="F174" i="6" s="1"/>
  <c r="F183" i="6" s="1"/>
  <c r="FD451" i="2"/>
  <c r="EZ14" i="2"/>
  <c r="EZ12" i="2"/>
  <c r="K1353" i="3"/>
  <c r="K1354" i="3" s="1"/>
  <c r="K1397" i="3" s="1"/>
  <c r="K1400" i="3" s="1"/>
  <c r="FB453" i="2"/>
  <c r="FB319" i="2"/>
  <c r="FB367" i="2" s="1"/>
  <c r="FB432" i="10" s="1"/>
  <c r="FC316" i="2"/>
  <c r="FC213" i="2"/>
  <c r="FC378" i="10"/>
  <c r="D54" i="37"/>
  <c r="J142" i="11"/>
  <c r="J134" i="11"/>
  <c r="O179" i="11"/>
  <c r="N200" i="11"/>
  <c r="FE259" i="2"/>
  <c r="FE260" i="2" s="1"/>
  <c r="FA15" i="4"/>
  <c r="FH344" i="10"/>
  <c r="ER196" i="18"/>
  <c r="FB347" i="2"/>
  <c r="FB42" i="2"/>
  <c r="FB11" i="4" s="1"/>
  <c r="FB463" i="2"/>
  <c r="FB473" i="2" s="1"/>
  <c r="FB340" i="2"/>
  <c r="FB423" i="10" s="1"/>
  <c r="FC294" i="2"/>
  <c r="FB299" i="2"/>
  <c r="FB425" i="2" s="1"/>
  <c r="FB296" i="2"/>
  <c r="FC296" i="2" s="1"/>
  <c r="FB295" i="2"/>
  <c r="EZ16" i="4"/>
  <c r="FC141" i="10"/>
  <c r="X34" i="30"/>
  <c r="Y34" i="30"/>
  <c r="FA51" i="2"/>
  <c r="E23" i="37"/>
  <c r="E25" i="37" s="1"/>
  <c r="EQ202" i="18"/>
  <c r="EQ84" i="18"/>
  <c r="EQ87" i="18" s="1"/>
  <c r="EQ201" i="18"/>
  <c r="EQ667" i="18"/>
  <c r="EQ216" i="18"/>
  <c r="EQ218" i="18" s="1"/>
  <c r="EQ239" i="18"/>
  <c r="EQ241" i="18" s="1"/>
  <c r="EQ295" i="18"/>
  <c r="EQ297" i="18" s="1"/>
  <c r="H1402" i="3"/>
  <c r="E2664" i="3"/>
  <c r="EY54" i="4"/>
  <c r="H4289" i="3"/>
  <c r="H4912" i="3"/>
  <c r="D10" i="37"/>
  <c r="D51" i="37"/>
  <c r="M43" i="11"/>
  <c r="FI96" i="2"/>
  <c r="FI86" i="2"/>
  <c r="FB163" i="2"/>
  <c r="FC158" i="2"/>
  <c r="FC163" i="2" s="1"/>
  <c r="D1807" i="3"/>
  <c r="D1818" i="3"/>
  <c r="D1821" i="3" s="1"/>
  <c r="D1823" i="3" s="1"/>
  <c r="D1825" i="3" s="1"/>
  <c r="FH573" i="36" s="1"/>
  <c r="EP57" i="18"/>
  <c r="FB341" i="2"/>
  <c r="FB424" i="10" s="1"/>
  <c r="FC318" i="2"/>
  <c r="FC324" i="2"/>
  <c r="FD324" i="2" s="1"/>
  <c r="FE324" i="2" s="1"/>
  <c r="FF324" i="2" s="1"/>
  <c r="FG324" i="2" s="1"/>
  <c r="FH324" i="2" s="1"/>
  <c r="FI324" i="2" s="1"/>
  <c r="FC618" i="2"/>
  <c r="FC408" i="10"/>
  <c r="E2937" i="3"/>
  <c r="E2939" i="3" s="1"/>
  <c r="D29" i="37"/>
  <c r="D31" i="37" s="1"/>
  <c r="H4568" i="3"/>
  <c r="G245" i="24"/>
  <c r="G246" i="24" s="1"/>
  <c r="EM172" i="18"/>
  <c r="EM166" i="18"/>
  <c r="EM687" i="18"/>
  <c r="G1402" i="3"/>
  <c r="FC195" i="2"/>
  <c r="FD195" i="2" s="1"/>
  <c r="FE195" i="2" s="1"/>
  <c r="FF195" i="2" s="1"/>
  <c r="FG195" i="2" s="1"/>
  <c r="FH195" i="2" s="1"/>
  <c r="FI195" i="2" s="1"/>
  <c r="FC366" i="10"/>
  <c r="FE551" i="2"/>
  <c r="FE556" i="2"/>
  <c r="FE555" i="2" s="1"/>
  <c r="C108" i="6"/>
  <c r="FC104" i="10"/>
  <c r="D108" i="41"/>
  <c r="D113" i="41" s="1"/>
  <c r="G150" i="3"/>
  <c r="EP314" i="18"/>
  <c r="EZ470" i="2"/>
  <c r="EZ478" i="2"/>
  <c r="FH395" i="2"/>
  <c r="FH400" i="2" s="1"/>
  <c r="FC288" i="2"/>
  <c r="FC284" i="2"/>
  <c r="FD280" i="2"/>
  <c r="FC396" i="10"/>
  <c r="EQ86" i="18"/>
  <c r="K58" i="11"/>
  <c r="K56" i="11"/>
  <c r="H1355" i="3"/>
  <c r="I1402" i="3"/>
  <c r="G1356" i="3"/>
  <c r="H1352" i="3"/>
  <c r="C112" i="6"/>
  <c r="E2957" i="3"/>
  <c r="E2959" i="3" s="1"/>
  <c r="G92" i="3"/>
  <c r="F218" i="6"/>
  <c r="F220" i="6" s="1"/>
  <c r="F218" i="41"/>
  <c r="F220" i="41" s="1"/>
  <c r="D112" i="41"/>
  <c r="F1402" i="3"/>
  <c r="G1340" i="3"/>
  <c r="F1340" i="3"/>
  <c r="H1340" i="3"/>
  <c r="I1340" i="3"/>
  <c r="FC214" i="2"/>
  <c r="FC545" i="2"/>
  <c r="FC379" i="10"/>
  <c r="FC563" i="2"/>
  <c r="L201" i="11"/>
  <c r="M180" i="11"/>
  <c r="L185" i="11"/>
  <c r="C463" i="3"/>
  <c r="C480" i="3"/>
  <c r="G2927" i="3"/>
  <c r="D286" i="3"/>
  <c r="D291" i="3" s="1"/>
  <c r="FD191" i="2"/>
  <c r="FD625" i="2"/>
  <c r="FD364" i="10"/>
  <c r="FC97" i="4"/>
  <c r="FB178" i="4"/>
  <c r="I129" i="11"/>
  <c r="I137" i="11" s="1"/>
  <c r="FC69" i="35"/>
  <c r="FB178" i="35"/>
  <c r="FC97" i="35"/>
  <c r="FC403" i="10" l="1"/>
  <c r="D285" i="3"/>
  <c r="FD621" i="2"/>
  <c r="FD362" i="10"/>
  <c r="F2924" i="3"/>
  <c r="FE188" i="2"/>
  <c r="FF188" i="2" s="1"/>
  <c r="FC178" i="4"/>
  <c r="FC1031" i="10" s="1"/>
  <c r="FB1031" i="10"/>
  <c r="FC410" i="2"/>
  <c r="FC187" i="10" s="1"/>
  <c r="FB187" i="10"/>
  <c r="FD232" i="2"/>
  <c r="FE232" i="2" s="1"/>
  <c r="FF232" i="2" s="1"/>
  <c r="F2928" i="3"/>
  <c r="G2928" i="3" s="1"/>
  <c r="FD323" i="2"/>
  <c r="FE559" i="2"/>
  <c r="F2764" i="3" s="1"/>
  <c r="F2771" i="3" s="1"/>
  <c r="F2775" i="3" s="1"/>
  <c r="EN34" i="18"/>
  <c r="EN40" i="18" s="1"/>
  <c r="EN59" i="18" s="1"/>
  <c r="EN61" i="18" s="1"/>
  <c r="FE598" i="2"/>
  <c r="FE493" i="2" s="1"/>
  <c r="FE494" i="2" s="1"/>
  <c r="FE261" i="2"/>
  <c r="F2659" i="3"/>
  <c r="F2664" i="3" s="1"/>
  <c r="FE394" i="10"/>
  <c r="FE265" i="2"/>
  <c r="FE262" i="2"/>
  <c r="FF257" i="2"/>
  <c r="FE397" i="2"/>
  <c r="FE451" i="2" s="1"/>
  <c r="FB368" i="2"/>
  <c r="FB505" i="2"/>
  <c r="FC367" i="2"/>
  <c r="J1332" i="3"/>
  <c r="I1334" i="3"/>
  <c r="D22" i="37"/>
  <c r="D21" i="37" s="1"/>
  <c r="D13" i="37"/>
  <c r="D16" i="37"/>
  <c r="FA11" i="4"/>
  <c r="FC42" i="2"/>
  <c r="FA43" i="2"/>
  <c r="FA127" i="10" s="1"/>
  <c r="M201" i="11"/>
  <c r="N180" i="11"/>
  <c r="FD282" i="2"/>
  <c r="FD291" i="2"/>
  <c r="FI264" i="2"/>
  <c r="FI405" i="10" s="1"/>
  <c r="FH405" i="10"/>
  <c r="I144" i="11"/>
  <c r="I145" i="11" s="1"/>
  <c r="I138" i="11"/>
  <c r="FB566" i="2"/>
  <c r="FB573" i="2"/>
  <c r="FC453" i="2"/>
  <c r="EM66" i="18"/>
  <c r="EM67" i="18"/>
  <c r="FC326" i="2"/>
  <c r="FD326" i="2" s="1"/>
  <c r="FE326" i="2" s="1"/>
  <c r="FF326" i="2" s="1"/>
  <c r="FG326" i="2" s="1"/>
  <c r="FH326" i="2" s="1"/>
  <c r="FI326" i="2" s="1"/>
  <c r="FC410" i="10"/>
  <c r="FC622" i="2"/>
  <c r="FC623" i="2" s="1"/>
  <c r="FD183" i="2"/>
  <c r="D2674" i="3"/>
  <c r="D2670" i="3"/>
  <c r="D2679" i="3"/>
  <c r="D2680" i="3" s="1"/>
  <c r="E2789" i="3"/>
  <c r="FD172" i="2"/>
  <c r="FD160" i="2"/>
  <c r="E6" i="37"/>
  <c r="FD173" i="2"/>
  <c r="FD355" i="10" s="1"/>
  <c r="FD176" i="2"/>
  <c r="FD349" i="10"/>
  <c r="FD439" i="2"/>
  <c r="FD304" i="2"/>
  <c r="FD441" i="2" s="1"/>
  <c r="I130" i="11"/>
  <c r="J127" i="11" s="1"/>
  <c r="G117" i="3"/>
  <c r="J117" i="3" s="1"/>
  <c r="J92" i="3"/>
  <c r="FC299" i="2"/>
  <c r="FC425" i="2" s="1"/>
  <c r="FC295" i="2"/>
  <c r="O200" i="11"/>
  <c r="P179" i="11"/>
  <c r="P200" i="11" s="1"/>
  <c r="L206" i="11"/>
  <c r="L216" i="11"/>
  <c r="L48" i="11"/>
  <c r="FD194" i="2"/>
  <c r="FB348" i="2"/>
  <c r="J135" i="11"/>
  <c r="J128" i="11" s="1"/>
  <c r="FC472" i="2"/>
  <c r="D43" i="37"/>
  <c r="D40" i="37"/>
  <c r="D41" i="37" s="1"/>
  <c r="ER285" i="18"/>
  <c r="FC447" i="2"/>
  <c r="FC443" i="2"/>
  <c r="FC603" i="2"/>
  <c r="FE137" i="2"/>
  <c r="FE168" i="2"/>
  <c r="H1356" i="3"/>
  <c r="I1352" i="3"/>
  <c r="FI88" i="2"/>
  <c r="FI90" i="2"/>
  <c r="FI342" i="10"/>
  <c r="FI343" i="10" s="1"/>
  <c r="FI105" i="2"/>
  <c r="FI106" i="2" s="1"/>
  <c r="EZ15" i="2"/>
  <c r="EZ54" i="2"/>
  <c r="EZ570" i="2"/>
  <c r="EZ575" i="2"/>
  <c r="FD412" i="2"/>
  <c r="FD408" i="2"/>
  <c r="EN152" i="18"/>
  <c r="EN165" i="18"/>
  <c r="FI357" i="10"/>
  <c r="I394" i="3"/>
  <c r="J394" i="3" s="1"/>
  <c r="K394" i="3" s="1"/>
  <c r="E2673" i="3"/>
  <c r="E2683" i="3" s="1"/>
  <c r="E2678" i="3"/>
  <c r="E87" i="37"/>
  <c r="EZ10" i="32"/>
  <c r="FD578" i="2"/>
  <c r="B1867" i="3"/>
  <c r="I4977" i="3"/>
  <c r="I4978" i="3" s="1"/>
  <c r="FD588" i="2"/>
  <c r="FD587" i="2" s="1"/>
  <c r="FD576" i="2"/>
  <c r="FD574" i="2"/>
  <c r="E2767" i="3"/>
  <c r="E2766" i="3" s="1"/>
  <c r="E2774" i="3" s="1"/>
  <c r="E2781" i="3"/>
  <c r="V31" i="30"/>
  <c r="C497" i="3"/>
  <c r="C506" i="3" s="1"/>
  <c r="C380" i="3"/>
  <c r="FD354" i="10"/>
  <c r="EM696" i="18"/>
  <c r="EM695" i="18" s="1"/>
  <c r="G250" i="24"/>
  <c r="EM176" i="18"/>
  <c r="EM183" i="18" s="1"/>
  <c r="M162" i="11"/>
  <c r="M42" i="11"/>
  <c r="D52" i="37"/>
  <c r="D53" i="37" s="1"/>
  <c r="G38" i="24"/>
  <c r="H34" i="24"/>
  <c r="G35" i="24"/>
  <c r="Y30" i="30"/>
  <c r="X30" i="30"/>
  <c r="FB12" i="4"/>
  <c r="FC10" i="4"/>
  <c r="I104" i="11"/>
  <c r="I109" i="11"/>
  <c r="I111" i="11" s="1"/>
  <c r="I105" i="11"/>
  <c r="EQ298" i="18"/>
  <c r="ER294" i="18"/>
  <c r="EQ302" i="18"/>
  <c r="EQ299" i="18"/>
  <c r="EQ306" i="18"/>
  <c r="EQ308" i="18" s="1"/>
  <c r="EQ309" i="18" s="1"/>
  <c r="FC619" i="2"/>
  <c r="FB43" i="2"/>
  <c r="FB127" i="10" s="1"/>
  <c r="FD271" i="2"/>
  <c r="J93" i="11"/>
  <c r="J94" i="11" s="1"/>
  <c r="FC13" i="2"/>
  <c r="D2699" i="3"/>
  <c r="V46" i="30"/>
  <c r="I1355" i="3"/>
  <c r="EM174" i="18"/>
  <c r="G247" i="24"/>
  <c r="G56" i="24"/>
  <c r="EM173" i="18"/>
  <c r="EQ243" i="18"/>
  <c r="ER238" i="18"/>
  <c r="ER240" i="18" s="1"/>
  <c r="EQ242" i="18"/>
  <c r="ER656" i="18"/>
  <c r="ER195" i="18"/>
  <c r="K73" i="11"/>
  <c r="EZ480" i="2"/>
  <c r="EZ526" i="2"/>
  <c r="EQ220" i="18"/>
  <c r="ER215" i="18"/>
  <c r="EQ223" i="18"/>
  <c r="EQ219" i="18"/>
  <c r="EQ277" i="18"/>
  <c r="EQ48" i="18" s="1"/>
  <c r="EQ276" i="18"/>
  <c r="FC420" i="2"/>
  <c r="FB421" i="2"/>
  <c r="FB422" i="2"/>
  <c r="FC422" i="2" s="1"/>
  <c r="FB431" i="2"/>
  <c r="FH281" i="2"/>
  <c r="FH269" i="2"/>
  <c r="FH406" i="2" s="1"/>
  <c r="FH411" i="2" s="1"/>
  <c r="FH303" i="2"/>
  <c r="FH440" i="2" s="1"/>
  <c r="FH445" i="2" s="1"/>
  <c r="FI258" i="2"/>
  <c r="FH108" i="2"/>
  <c r="FH68" i="2" s="1"/>
  <c r="EO109" i="18"/>
  <c r="FE120" i="2"/>
  <c r="J4851" i="3"/>
  <c r="I218" i="11"/>
  <c r="FF112" i="2"/>
  <c r="FE116" i="2"/>
  <c r="F2658" i="3"/>
  <c r="FE346" i="10"/>
  <c r="FE117" i="2"/>
  <c r="FE180" i="2"/>
  <c r="FE208" i="10"/>
  <c r="K60" i="11"/>
  <c r="EP321" i="18"/>
  <c r="EP315" i="18"/>
  <c r="EP674" i="18"/>
  <c r="H4763" i="3"/>
  <c r="H4574" i="3"/>
  <c r="H4576" i="3" s="1"/>
  <c r="H4627" i="3"/>
  <c r="I4490" i="3"/>
  <c r="I4491" i="3" s="1"/>
  <c r="I4493" i="3" s="1"/>
  <c r="H4417" i="3"/>
  <c r="H4420" i="3" s="1"/>
  <c r="FH547" i="2"/>
  <c r="FH548" i="2" s="1"/>
  <c r="FJ123" i="2"/>
  <c r="FF125" i="2"/>
  <c r="FF126" i="2" s="1"/>
  <c r="FF181" i="2" s="1"/>
  <c r="M5712" i="3"/>
  <c r="M5727" i="3"/>
  <c r="M5718" i="3"/>
  <c r="M5719" i="3" s="1"/>
  <c r="FE187" i="2"/>
  <c r="J1384" i="3"/>
  <c r="K1384" i="3" s="1"/>
  <c r="L1384" i="3" s="1"/>
  <c r="M1384" i="3" s="1"/>
  <c r="FD186" i="2"/>
  <c r="G1384" i="3"/>
  <c r="F1383" i="3"/>
  <c r="H4322" i="3"/>
  <c r="H4326" i="3" s="1"/>
  <c r="H4295" i="3"/>
  <c r="EZ18" i="4"/>
  <c r="EZ102" i="10" s="1"/>
  <c r="EZ1026" i="10" s="1"/>
  <c r="FD264" i="10"/>
  <c r="G16" i="24"/>
  <c r="H12" i="24"/>
  <c r="G13" i="24"/>
  <c r="G50" i="24" s="1"/>
  <c r="FE435" i="2"/>
  <c r="FD263" i="10"/>
  <c r="FH569" i="2"/>
  <c r="FC327" i="2"/>
  <c r="FC347" i="2"/>
  <c r="FC422" i="10"/>
  <c r="FB464" i="2"/>
  <c r="I1403" i="3"/>
  <c r="F1403" i="3"/>
  <c r="G1403" i="3"/>
  <c r="H1403" i="3"/>
  <c r="EQ85" i="18"/>
  <c r="FH565" i="36"/>
  <c r="FH575" i="36"/>
  <c r="FH577" i="36"/>
  <c r="FH574" i="36"/>
  <c r="FH576" i="36"/>
  <c r="FC413" i="2"/>
  <c r="FC409" i="2"/>
  <c r="FC414" i="2"/>
  <c r="FC601" i="2"/>
  <c r="FC629" i="2" s="1"/>
  <c r="K70" i="11"/>
  <c r="K79" i="11"/>
  <c r="K78" i="11" s="1"/>
  <c r="K133" i="11" s="1"/>
  <c r="K101" i="11"/>
  <c r="K143" i="11" s="1"/>
  <c r="FA344" i="2"/>
  <c r="FA427" i="10" s="1"/>
  <c r="FA348" i="2"/>
  <c r="FC340" i="2"/>
  <c r="EQ665" i="18"/>
  <c r="FB349" i="2"/>
  <c r="FB343" i="2"/>
  <c r="FB465" i="2"/>
  <c r="FB44" i="2"/>
  <c r="FC341" i="2"/>
  <c r="H4914" i="3"/>
  <c r="H4302" i="3"/>
  <c r="H4876" i="3"/>
  <c r="G231" i="24"/>
  <c r="G226" i="24"/>
  <c r="H225" i="24"/>
  <c r="EZ52" i="2"/>
  <c r="FD208" i="2"/>
  <c r="FD373" i="10"/>
  <c r="D122" i="41"/>
  <c r="C113" i="6"/>
  <c r="C122" i="6"/>
  <c r="FE314" i="2"/>
  <c r="FC319" i="2"/>
  <c r="EQ310" i="18"/>
  <c r="EQ52" i="18"/>
  <c r="FB455" i="2"/>
  <c r="FC454" i="2"/>
  <c r="E2665" i="3"/>
  <c r="K71" i="11"/>
  <c r="FA473" i="2"/>
  <c r="FA464" i="2"/>
  <c r="FC463" i="2"/>
  <c r="EQ678" i="18"/>
  <c r="EQ677" i="18" s="1"/>
  <c r="FC178" i="35"/>
  <c r="F2937" i="3" l="1"/>
  <c r="FE323" i="2"/>
  <c r="FD408" i="10"/>
  <c r="E29" i="37"/>
  <c r="FE200" i="2"/>
  <c r="FD337" i="2"/>
  <c r="D383" i="3" s="1"/>
  <c r="FE362" i="10"/>
  <c r="FE621" i="2"/>
  <c r="E285" i="3"/>
  <c r="F2929" i="3"/>
  <c r="FD618" i="2"/>
  <c r="EN65" i="18"/>
  <c r="EN67" i="18" s="1"/>
  <c r="FE560" i="2"/>
  <c r="FB344" i="2"/>
  <c r="FB427" i="10" s="1"/>
  <c r="FB426" i="10"/>
  <c r="FE562" i="2"/>
  <c r="E373" i="3" s="1"/>
  <c r="FE572" i="2"/>
  <c r="FE576" i="2" s="1"/>
  <c r="M5730" i="3"/>
  <c r="FA352" i="2"/>
  <c r="FA10" i="2"/>
  <c r="ER657" i="18"/>
  <c r="ER658" i="18"/>
  <c r="D2684" i="3"/>
  <c r="D2685" i="3" s="1"/>
  <c r="D2675" i="3"/>
  <c r="FJ112" i="2"/>
  <c r="FF114" i="2"/>
  <c r="FC421" i="2"/>
  <c r="FD417" i="2"/>
  <c r="EQ53" i="18"/>
  <c r="EQ55" i="18" s="1"/>
  <c r="EQ311" i="18"/>
  <c r="Z29" i="30"/>
  <c r="E34" i="37"/>
  <c r="D505" i="3"/>
  <c r="EN172" i="18"/>
  <c r="EN687" i="18"/>
  <c r="EN166" i="18"/>
  <c r="FD230" i="2"/>
  <c r="FD320" i="2"/>
  <c r="K1332" i="3"/>
  <c r="J1334" i="3"/>
  <c r="F2789" i="3"/>
  <c r="FB474" i="2"/>
  <c r="EZ19" i="4"/>
  <c r="EZ53" i="4"/>
  <c r="EQ47" i="18"/>
  <c r="EQ50" i="18" s="1"/>
  <c r="EQ279" i="18"/>
  <c r="EQ314" i="18" s="1"/>
  <c r="Y46" i="30"/>
  <c r="X46" i="30"/>
  <c r="FD366" i="10"/>
  <c r="FE194" i="2"/>
  <c r="FD446" i="2"/>
  <c r="FD203" i="2"/>
  <c r="FC369" i="2"/>
  <c r="FC368" i="2"/>
  <c r="FC432" i="10"/>
  <c r="G232" i="24"/>
  <c r="H231" i="24"/>
  <c r="G2937" i="3"/>
  <c r="F2939" i="3"/>
  <c r="FD452" i="2"/>
  <c r="FD409" i="2"/>
  <c r="FD413" i="2"/>
  <c r="FD414" i="2"/>
  <c r="FD601" i="2"/>
  <c r="FD629" i="2" s="1"/>
  <c r="FD410" i="2"/>
  <c r="FD187" i="10" s="1"/>
  <c r="FE138" i="2"/>
  <c r="FE170" i="2"/>
  <c r="FE175" i="2" s="1"/>
  <c r="FE153" i="2" s="1"/>
  <c r="L50" i="11"/>
  <c r="L49" i="11"/>
  <c r="L67" i="11" s="1"/>
  <c r="L46" i="11"/>
  <c r="L59" i="11" s="1"/>
  <c r="M45" i="11"/>
  <c r="M47" i="11" s="1"/>
  <c r="L54" i="11"/>
  <c r="EQ682" i="18"/>
  <c r="EQ325" i="18"/>
  <c r="ER680" i="18"/>
  <c r="F79" i="41"/>
  <c r="F81" i="41" s="1"/>
  <c r="E56" i="42"/>
  <c r="E58" i="42" s="1"/>
  <c r="E63" i="42" s="1"/>
  <c r="E65" i="42" s="1"/>
  <c r="E68" i="42" s="1"/>
  <c r="H4878" i="3"/>
  <c r="F79" i="6"/>
  <c r="F81" i="6" s="1"/>
  <c r="FC641" i="2"/>
  <c r="FJ125" i="2"/>
  <c r="ER296" i="18"/>
  <c r="FF323" i="2"/>
  <c r="FE408" i="10"/>
  <c r="FE618" i="2"/>
  <c r="FE337" i="2"/>
  <c r="L217" i="11"/>
  <c r="L223" i="11" s="1"/>
  <c r="L222" i="11"/>
  <c r="FB506" i="2"/>
  <c r="FB507" i="2"/>
  <c r="FB508" i="2" s="1"/>
  <c r="FC505" i="2"/>
  <c r="FG123" i="2"/>
  <c r="FG125" i="2" s="1"/>
  <c r="FG126" i="2" s="1"/>
  <c r="FF127" i="2"/>
  <c r="FJ126" i="2"/>
  <c r="FF347" i="10"/>
  <c r="FF128" i="2"/>
  <c r="FF353" i="10" s="1"/>
  <c r="FF131" i="2"/>
  <c r="I4496" i="3"/>
  <c r="H4392" i="3"/>
  <c r="H4628" i="3"/>
  <c r="H4629" i="3" s="1"/>
  <c r="H4577" i="3"/>
  <c r="H4578" i="3"/>
  <c r="H4423" i="3"/>
  <c r="H4426" i="3" s="1"/>
  <c r="FC473" i="2"/>
  <c r="D46" i="37"/>
  <c r="D47" i="37" s="1"/>
  <c r="FC328" i="2"/>
  <c r="FD328" i="2" s="1"/>
  <c r="FE328" i="2" s="1"/>
  <c r="FF328" i="2" s="1"/>
  <c r="FG328" i="2" s="1"/>
  <c r="FH328" i="2" s="1"/>
  <c r="FI328" i="2" s="1"/>
  <c r="FC412" i="10"/>
  <c r="FC626" i="2"/>
  <c r="FC627" i="2" s="1"/>
  <c r="FC628" i="2" s="1"/>
  <c r="J1383" i="3"/>
  <c r="F1386" i="3"/>
  <c r="F1388" i="3" s="1"/>
  <c r="I224" i="11"/>
  <c r="J4857" i="3"/>
  <c r="FF552" i="2"/>
  <c r="D2691" i="3"/>
  <c r="D2690" i="3" s="1"/>
  <c r="D2706" i="3" s="1"/>
  <c r="D2707" i="3" s="1"/>
  <c r="D2715" i="3" s="1"/>
  <c r="FD592" i="2"/>
  <c r="FE590" i="2"/>
  <c r="FD65" i="4"/>
  <c r="FD305" i="2"/>
  <c r="FD325" i="2"/>
  <c r="FD283" i="2"/>
  <c r="FD419" i="2"/>
  <c r="FD293" i="2"/>
  <c r="FD298" i="2" s="1"/>
  <c r="FD424" i="2" s="1"/>
  <c r="FA468" i="2"/>
  <c r="FA474" i="2"/>
  <c r="FC464" i="2"/>
  <c r="FC474" i="2" s="1"/>
  <c r="H4331" i="3"/>
  <c r="H4308" i="3"/>
  <c r="H4312" i="3"/>
  <c r="H1384" i="3"/>
  <c r="G1383" i="3"/>
  <c r="ER217" i="18"/>
  <c r="E31" i="37"/>
  <c r="F31" i="37" s="1"/>
  <c r="G31" i="37" s="1"/>
  <c r="H31" i="37" s="1"/>
  <c r="I31" i="37" s="1"/>
  <c r="J31" i="37" s="1"/>
  <c r="FE399" i="2"/>
  <c r="FE402" i="2"/>
  <c r="FF394" i="2"/>
  <c r="FE396" i="2"/>
  <c r="FE401" i="2" s="1"/>
  <c r="FE264" i="10" s="1"/>
  <c r="FE398" i="2"/>
  <c r="FE599" i="2"/>
  <c r="FE173" i="10"/>
  <c r="EO137" i="18"/>
  <c r="EO107" i="18"/>
  <c r="EO112" i="18" s="1"/>
  <c r="EP106" i="18"/>
  <c r="EP108" i="18" s="1"/>
  <c r="EO110" i="18"/>
  <c r="EO114" i="18"/>
  <c r="EO111" i="18"/>
  <c r="EO150" i="18"/>
  <c r="EO149" i="18"/>
  <c r="G45" i="24"/>
  <c r="H38" i="24"/>
  <c r="B1868" i="3"/>
  <c r="E1867" i="3"/>
  <c r="D1867" i="3"/>
  <c r="EZ55" i="2"/>
  <c r="N201" i="11"/>
  <c r="O180" i="11"/>
  <c r="FJ257" i="2"/>
  <c r="FF259" i="2"/>
  <c r="FE373" i="10"/>
  <c r="FE208" i="2"/>
  <c r="EP322" i="18"/>
  <c r="EP323" i="18"/>
  <c r="EP332" i="18"/>
  <c r="FH58" i="2"/>
  <c r="FH136" i="10" s="1"/>
  <c r="FH44" i="4"/>
  <c r="G57" i="24"/>
  <c r="H56" i="24"/>
  <c r="FD580" i="2"/>
  <c r="E1832" i="3"/>
  <c r="FE400" i="10"/>
  <c r="FE189" i="10"/>
  <c r="FE263" i="10"/>
  <c r="FF435" i="2"/>
  <c r="I4567" i="3"/>
  <c r="FD360" i="10"/>
  <c r="I4913" i="3"/>
  <c r="I4911" i="3" s="1"/>
  <c r="E28" i="37"/>
  <c r="F2932" i="3"/>
  <c r="D284" i="3"/>
  <c r="D290" i="3" s="1"/>
  <c r="D293" i="3" s="1"/>
  <c r="FE186" i="2"/>
  <c r="D385" i="3"/>
  <c r="FD199" i="2"/>
  <c r="FD617" i="2"/>
  <c r="K62" i="11"/>
  <c r="K100" i="11"/>
  <c r="K90" i="11"/>
  <c r="K61" i="11"/>
  <c r="EZ527" i="2"/>
  <c r="G253" i="24"/>
  <c r="G249" i="24"/>
  <c r="H247" i="24"/>
  <c r="G248" i="24"/>
  <c r="J86" i="11"/>
  <c r="J87" i="11" s="1"/>
  <c r="J95" i="11" s="1"/>
  <c r="K6" i="37"/>
  <c r="E8" i="37"/>
  <c r="E5" i="37"/>
  <c r="F5" i="37" s="1"/>
  <c r="FC573" i="2"/>
  <c r="FC566" i="2"/>
  <c r="FA50" i="2"/>
  <c r="FA47" i="2"/>
  <c r="FC43" i="2"/>
  <c r="E37" i="37"/>
  <c r="FD273" i="2"/>
  <c r="FD401" i="10" s="1"/>
  <c r="FD276" i="2"/>
  <c r="FD395" i="10"/>
  <c r="FE268" i="2"/>
  <c r="FD272" i="2"/>
  <c r="FD600" i="2"/>
  <c r="FD315" i="2"/>
  <c r="E96" i="37"/>
  <c r="K87" i="37"/>
  <c r="FI136" i="2"/>
  <c r="FI113" i="2"/>
  <c r="FI124" i="2"/>
  <c r="FD161" i="2"/>
  <c r="FE157" i="2"/>
  <c r="FD162" i="2"/>
  <c r="FD158" i="2" s="1"/>
  <c r="FD163" i="2" s="1"/>
  <c r="FD165" i="2"/>
  <c r="C498" i="3"/>
  <c r="C507" i="3" s="1"/>
  <c r="C508" i="3" s="1"/>
  <c r="V32" i="30"/>
  <c r="C381" i="3"/>
  <c r="C382" i="3" s="1"/>
  <c r="C384" i="3" s="1"/>
  <c r="C386" i="3" s="1"/>
  <c r="C393" i="3" s="1"/>
  <c r="C392" i="3" s="1"/>
  <c r="F285" i="3"/>
  <c r="FF362" i="10"/>
  <c r="FG188" i="2"/>
  <c r="FJ188" i="2"/>
  <c r="FF621" i="2"/>
  <c r="FF200" i="2"/>
  <c r="FC329" i="2"/>
  <c r="FC349" i="2"/>
  <c r="FC424" i="10"/>
  <c r="V36" i="30"/>
  <c r="FC455" i="2"/>
  <c r="FB351" i="2"/>
  <c r="FC343" i="2"/>
  <c r="N1384" i="3"/>
  <c r="O1384" i="3" s="1"/>
  <c r="P1384" i="3" s="1"/>
  <c r="Q1384" i="3" s="1"/>
  <c r="FF187" i="2"/>
  <c r="FE190" i="2"/>
  <c r="FE488" i="2"/>
  <c r="FE489" i="2" s="1"/>
  <c r="FE541" i="2"/>
  <c r="J1355" i="3"/>
  <c r="FB50" i="2"/>
  <c r="M66" i="11"/>
  <c r="N42" i="11"/>
  <c r="M57" i="11"/>
  <c r="FC11" i="4"/>
  <c r="FA12" i="4"/>
  <c r="FB475" i="2"/>
  <c r="FB467" i="2"/>
  <c r="FB468" i="2" s="1"/>
  <c r="FC465" i="2"/>
  <c r="FC475" i="2" s="1"/>
  <c r="FH569" i="36"/>
  <c r="FH567" i="36"/>
  <c r="FH566" i="36"/>
  <c r="FH570" i="36"/>
  <c r="H16" i="24"/>
  <c r="G17" i="24"/>
  <c r="FE188" i="10"/>
  <c r="FE352" i="10"/>
  <c r="Q1333" i="3"/>
  <c r="P1333" i="3"/>
  <c r="N1333" i="3"/>
  <c r="O1333" i="3"/>
  <c r="FH418" i="2"/>
  <c r="FH292" i="2"/>
  <c r="FH297" i="2" s="1"/>
  <c r="FH423" i="2" s="1"/>
  <c r="K91" i="11"/>
  <c r="FC640" i="2"/>
  <c r="FC457" i="2"/>
  <c r="N162" i="11"/>
  <c r="O162" i="11" s="1"/>
  <c r="M181" i="11"/>
  <c r="M166" i="11"/>
  <c r="M210" i="11" s="1"/>
  <c r="M211" i="11" s="1"/>
  <c r="FI542" i="2"/>
  <c r="FI91" i="2"/>
  <c r="N5710" i="3"/>
  <c r="M212" i="11"/>
  <c r="FI94" i="2"/>
  <c r="N4845" i="3"/>
  <c r="FI185" i="10"/>
  <c r="FI92" i="2"/>
  <c r="D44" i="37"/>
  <c r="E2776" i="3"/>
  <c r="D18" i="37"/>
  <c r="D58" i="37"/>
  <c r="D65" i="37" s="1"/>
  <c r="D24" i="37"/>
  <c r="D26" i="37" s="1"/>
  <c r="EM185" i="18"/>
  <c r="EM184" i="18"/>
  <c r="X31" i="30"/>
  <c r="Y31" i="30"/>
  <c r="FB46" i="2"/>
  <c r="FB13" i="4"/>
  <c r="FC44" i="2"/>
  <c r="FC348" i="2"/>
  <c r="D2694" i="3"/>
  <c r="D2710" i="3" s="1"/>
  <c r="FC423" i="10"/>
  <c r="G3431" i="3"/>
  <c r="G3432" i="3" s="1"/>
  <c r="M5722" i="3"/>
  <c r="FC431" i="2"/>
  <c r="FB436" i="2"/>
  <c r="FB433" i="2"/>
  <c r="FB429" i="2"/>
  <c r="FB432" i="2"/>
  <c r="FG232" i="2"/>
  <c r="G252" i="24"/>
  <c r="G251" i="24"/>
  <c r="J1352" i="3"/>
  <c r="I1356" i="3"/>
  <c r="J136" i="11"/>
  <c r="H4457" i="3"/>
  <c r="H4946" i="3"/>
  <c r="F2663" i="3"/>
  <c r="F2660" i="3"/>
  <c r="ER197" i="18"/>
  <c r="ER213" i="18"/>
  <c r="ER234" i="18"/>
  <c r="ER661" i="18"/>
  <c r="ER660" i="18" s="1"/>
  <c r="ER200" i="18"/>
  <c r="ER664" i="18" s="1"/>
  <c r="ER83" i="18"/>
  <c r="ER284" i="18"/>
  <c r="ER286" i="18" s="1"/>
  <c r="ER211" i="18"/>
  <c r="EM700" i="18"/>
  <c r="EN698" i="18"/>
  <c r="J129" i="11"/>
  <c r="J137" i="11" s="1"/>
  <c r="FD345" i="2" l="1"/>
  <c r="FD420" i="10"/>
  <c r="EN66" i="18"/>
  <c r="FB10" i="2"/>
  <c r="FB352" i="2"/>
  <c r="FC344" i="2"/>
  <c r="FC352" i="2" s="1"/>
  <c r="FD420" i="2"/>
  <c r="FD431" i="2" s="1"/>
  <c r="F87" i="37"/>
  <c r="F96" i="37" s="1"/>
  <c r="J4977" i="3"/>
  <c r="J4978" i="3" s="1"/>
  <c r="F2767" i="3"/>
  <c r="F2766" i="3" s="1"/>
  <c r="F2774" i="3" s="1"/>
  <c r="FE578" i="2"/>
  <c r="FE580" i="2" s="1"/>
  <c r="O1339" i="3" s="1"/>
  <c r="FE574" i="2"/>
  <c r="F2781" i="3"/>
  <c r="FA10" i="32"/>
  <c r="FE588" i="2"/>
  <c r="FE587" i="2" s="1"/>
  <c r="FC433" i="2"/>
  <c r="FC190" i="10" s="1"/>
  <c r="FB190" i="10"/>
  <c r="FB47" i="2"/>
  <c r="FB49" i="2" s="1"/>
  <c r="FB128" i="10"/>
  <c r="D49" i="37"/>
  <c r="F29" i="37"/>
  <c r="G29" i="37" s="1"/>
  <c r="H29" i="37" s="1"/>
  <c r="N1383" i="3"/>
  <c r="N1386" i="3" s="1"/>
  <c r="N1388" i="3" s="1"/>
  <c r="FB478" i="2"/>
  <c r="FB470" i="2"/>
  <c r="J102" i="11"/>
  <c r="J103" i="11" s="1"/>
  <c r="J96" i="11"/>
  <c r="J144" i="11"/>
  <c r="J145" i="11" s="1"/>
  <c r="J138" i="11"/>
  <c r="F2665" i="3"/>
  <c r="FH232" i="2"/>
  <c r="FI232" i="2" s="1"/>
  <c r="K8" i="37"/>
  <c r="E10" i="37"/>
  <c r="E51" i="37"/>
  <c r="FF263" i="10"/>
  <c r="FG435" i="2"/>
  <c r="FF551" i="2"/>
  <c r="FF556" i="2"/>
  <c r="FF555" i="2" s="1"/>
  <c r="AB29" i="30"/>
  <c r="AC29" i="30"/>
  <c r="L68" i="11"/>
  <c r="L69" i="11" s="1"/>
  <c r="FC370" i="2"/>
  <c r="FD370" i="2" s="1"/>
  <c r="FE370" i="2" s="1"/>
  <c r="FF370" i="2" s="1"/>
  <c r="FG370" i="2" s="1"/>
  <c r="FH370" i="2" s="1"/>
  <c r="FI370" i="2" s="1"/>
  <c r="H4951" i="3"/>
  <c r="FB434" i="2"/>
  <c r="FC429" i="2"/>
  <c r="FC434" i="2" s="1"/>
  <c r="M202" i="11"/>
  <c r="N181" i="11"/>
  <c r="M185" i="11"/>
  <c r="G169" i="41"/>
  <c r="G174" i="41" s="1"/>
  <c r="G183" i="41" s="1"/>
  <c r="G169" i="6"/>
  <c r="G174" i="6" s="1"/>
  <c r="G183" i="6" s="1"/>
  <c r="FD619" i="2"/>
  <c r="E1868" i="3"/>
  <c r="D1868" i="3"/>
  <c r="FA478" i="2"/>
  <c r="FA470" i="2"/>
  <c r="FC468" i="2"/>
  <c r="FC478" i="2" s="1"/>
  <c r="I4497" i="3"/>
  <c r="I4428" i="3"/>
  <c r="FD205" i="2"/>
  <c r="Z34" i="30"/>
  <c r="FD376" i="10"/>
  <c r="FD211" i="2"/>
  <c r="H4468" i="3"/>
  <c r="H4458" i="3"/>
  <c r="P162" i="11"/>
  <c r="N43" i="11"/>
  <c r="N163" i="11" s="1"/>
  <c r="N57" i="11"/>
  <c r="O42" i="11"/>
  <c r="FD461" i="2"/>
  <c r="FD372" i="10"/>
  <c r="Z28" i="30"/>
  <c r="E33" i="37"/>
  <c r="E35" i="37" s="1"/>
  <c r="D494" i="3"/>
  <c r="D502" i="3" s="1"/>
  <c r="D503" i="3" s="1"/>
  <c r="FD40" i="2"/>
  <c r="FD202" i="2"/>
  <c r="FD207" i="2"/>
  <c r="FJ394" i="2"/>
  <c r="FE148" i="2"/>
  <c r="FE147" i="2" s="1"/>
  <c r="FE152" i="2" s="1"/>
  <c r="FE164" i="2"/>
  <c r="FE159" i="2" s="1"/>
  <c r="D388" i="3"/>
  <c r="D390" i="3" s="1"/>
  <c r="C391" i="3"/>
  <c r="C389" i="3" s="1"/>
  <c r="C373" i="3" s="1"/>
  <c r="C399" i="3"/>
  <c r="Y32" i="30"/>
  <c r="X32" i="30"/>
  <c r="V33" i="30"/>
  <c r="FE270" i="2"/>
  <c r="FE407" i="2" s="1"/>
  <c r="FE405" i="2"/>
  <c r="J88" i="11"/>
  <c r="K85" i="11" s="1"/>
  <c r="H45" i="24"/>
  <c r="G49" i="24"/>
  <c r="FE139" i="2"/>
  <c r="F2668" i="3"/>
  <c r="FE348" i="10"/>
  <c r="FE143" i="2"/>
  <c r="FE140" i="2"/>
  <c r="FF135" i="2"/>
  <c r="FE171" i="2"/>
  <c r="FE182" i="2"/>
  <c r="FE366" i="10"/>
  <c r="FF194" i="2"/>
  <c r="FC436" i="2"/>
  <c r="FC432" i="2"/>
  <c r="FC602" i="2"/>
  <c r="H5714" i="3"/>
  <c r="FD428" i="2"/>
  <c r="FD430" i="2" s="1"/>
  <c r="FB15" i="4"/>
  <c r="FC13" i="4"/>
  <c r="EO153" i="18"/>
  <c r="EO32" i="18"/>
  <c r="EO151" i="18"/>
  <c r="FD285" i="2"/>
  <c r="FD402" i="10" s="1"/>
  <c r="FD288" i="2"/>
  <c r="FD396" i="10"/>
  <c r="FD284" i="2"/>
  <c r="FE280" i="2"/>
  <c r="FD294" i="2"/>
  <c r="FD316" i="2"/>
  <c r="FC507" i="2"/>
  <c r="FC508" i="2" s="1"/>
  <c r="FC506" i="2"/>
  <c r="D2731" i="3"/>
  <c r="D2744" i="3" s="1"/>
  <c r="EO33" i="18"/>
  <c r="EO154" i="18"/>
  <c r="FD622" i="2"/>
  <c r="FD623" i="2" s="1"/>
  <c r="FE325" i="2"/>
  <c r="FD410" i="10"/>
  <c r="FD338" i="2"/>
  <c r="FD641" i="2"/>
  <c r="K1334" i="3"/>
  <c r="L1332" i="3"/>
  <c r="FB51" i="2"/>
  <c r="FC46" i="2"/>
  <c r="FC458" i="2"/>
  <c r="J4567" i="3"/>
  <c r="FF186" i="2"/>
  <c r="FE360" i="10"/>
  <c r="E284" i="3"/>
  <c r="E290" i="3" s="1"/>
  <c r="E385" i="3"/>
  <c r="J4913" i="3"/>
  <c r="J4911" i="3" s="1"/>
  <c r="J4289" i="3" s="1"/>
  <c r="FE617" i="2"/>
  <c r="FE199" i="2"/>
  <c r="D461" i="3"/>
  <c r="J1339" i="3"/>
  <c r="M1339" i="3"/>
  <c r="K1339" i="3"/>
  <c r="FD112" i="10"/>
  <c r="L1339" i="3"/>
  <c r="FD584" i="2"/>
  <c r="FD107" i="4"/>
  <c r="FD153" i="4" s="1"/>
  <c r="FJ259" i="2"/>
  <c r="ER288" i="18"/>
  <c r="ER291" i="18"/>
  <c r="ES283" i="18"/>
  <c r="ER287" i="18"/>
  <c r="ER305" i="18"/>
  <c r="J1386" i="3"/>
  <c r="J1388" i="3" s="1"/>
  <c r="K1355" i="3"/>
  <c r="Y36" i="30"/>
  <c r="X36" i="30"/>
  <c r="FD307" i="2"/>
  <c r="E2669" i="3"/>
  <c r="FD397" i="10"/>
  <c r="FD442" i="2"/>
  <c r="FD306" i="2"/>
  <c r="FD310" i="2"/>
  <c r="FE302" i="2"/>
  <c r="E14" i="37"/>
  <c r="FD318" i="2"/>
  <c r="FA14" i="2"/>
  <c r="FA12" i="2"/>
  <c r="FF260" i="2"/>
  <c r="E108" i="41"/>
  <c r="H150" i="3"/>
  <c r="D108" i="6"/>
  <c r="FD104" i="10"/>
  <c r="FD97" i="4"/>
  <c r="FD327" i="2"/>
  <c r="FD384" i="10"/>
  <c r="FD231" i="2"/>
  <c r="F2934" i="3"/>
  <c r="G2932" i="3"/>
  <c r="ER86" i="18"/>
  <c r="FC50" i="2"/>
  <c r="FC127" i="10"/>
  <c r="EQ321" i="18"/>
  <c r="EQ315" i="18"/>
  <c r="EQ674" i="18"/>
  <c r="J130" i="11"/>
  <c r="K127" i="11" s="1"/>
  <c r="ER669" i="18"/>
  <c r="FI567" i="36"/>
  <c r="FD567" i="36"/>
  <c r="F37" i="37"/>
  <c r="E38" i="37"/>
  <c r="ER84" i="18"/>
  <c r="ER87" i="18" s="1"/>
  <c r="ER202" i="18"/>
  <c r="ER201" i="18"/>
  <c r="ER667" i="18"/>
  <c r="ER295" i="18"/>
  <c r="ER297" i="18" s="1"/>
  <c r="ER239" i="18"/>
  <c r="ER241" i="18" s="1"/>
  <c r="ER216" i="18"/>
  <c r="ER218" i="18" s="1"/>
  <c r="ER665" i="18" s="1"/>
  <c r="J1356" i="3"/>
  <c r="K1352" i="3"/>
  <c r="K1356" i="3" s="1"/>
  <c r="FI391" i="10"/>
  <c r="FI97" i="2"/>
  <c r="N5711" i="3"/>
  <c r="N5712" i="3" s="1"/>
  <c r="FI95" i="2"/>
  <c r="FI392" i="10" s="1"/>
  <c r="FI568" i="2"/>
  <c r="FI569" i="2" s="1"/>
  <c r="FI107" i="2"/>
  <c r="FC330" i="2"/>
  <c r="FD330" i="2" s="1"/>
  <c r="FE330" i="2" s="1"/>
  <c r="FF330" i="2" s="1"/>
  <c r="FG330" i="2" s="1"/>
  <c r="FH330" i="2" s="1"/>
  <c r="FI330" i="2" s="1"/>
  <c r="FC414" i="10"/>
  <c r="FA49" i="2"/>
  <c r="FA131" i="10" s="1"/>
  <c r="E30" i="37"/>
  <c r="F28" i="37"/>
  <c r="FG181" i="2"/>
  <c r="FG200" i="2" s="1"/>
  <c r="FG347" i="10"/>
  <c r="FG127" i="2"/>
  <c r="FH123" i="2"/>
  <c r="FH125" i="2" s="1"/>
  <c r="FH126" i="2" s="1"/>
  <c r="FG128" i="2"/>
  <c r="FG353" i="10" s="1"/>
  <c r="FG131" i="2"/>
  <c r="FE345" i="2"/>
  <c r="E505" i="3"/>
  <c r="E383" i="3"/>
  <c r="FE420" i="10"/>
  <c r="EQ57" i="18"/>
  <c r="FJ114" i="2"/>
  <c r="G255" i="24"/>
  <c r="H253" i="24"/>
  <c r="G254" i="24"/>
  <c r="FB477" i="2"/>
  <c r="FC467" i="2"/>
  <c r="FC477" i="2" s="1"/>
  <c r="FF208" i="2"/>
  <c r="FF373" i="10"/>
  <c r="I4289" i="3"/>
  <c r="I4912" i="3"/>
  <c r="O201" i="11"/>
  <c r="P180" i="11"/>
  <c r="K1383" i="3"/>
  <c r="O1383" i="3" s="1"/>
  <c r="G1386" i="3"/>
  <c r="G1388" i="3" s="1"/>
  <c r="EN696" i="18"/>
  <c r="EN695" i="18" s="1"/>
  <c r="EN176" i="18"/>
  <c r="EN183" i="18" s="1"/>
  <c r="FF115" i="2"/>
  <c r="N5717" i="3"/>
  <c r="N5726" i="3"/>
  <c r="O1353" i="3"/>
  <c r="E286" i="3"/>
  <c r="E291" i="3" s="1"/>
  <c r="FE625" i="2"/>
  <c r="FE191" i="2"/>
  <c r="FE364" i="10"/>
  <c r="FI561" i="2"/>
  <c r="FI169" i="2"/>
  <c r="FI174" i="2" s="1"/>
  <c r="I1384" i="3"/>
  <c r="I1383" i="3" s="1"/>
  <c r="H1383" i="3"/>
  <c r="H4918" i="3"/>
  <c r="H4366" i="3"/>
  <c r="H4367" i="3" s="1"/>
  <c r="H4957" i="3"/>
  <c r="FC632" i="2"/>
  <c r="EN173" i="18"/>
  <c r="EN174" i="18"/>
  <c r="FI344" i="10"/>
  <c r="ES196" i="18"/>
  <c r="N1353" i="3"/>
  <c r="FA16" i="4"/>
  <c r="FC12" i="4"/>
  <c r="FG187" i="2"/>
  <c r="FH187" i="2" s="1"/>
  <c r="FI187" i="2" s="1"/>
  <c r="R1384" i="3"/>
  <c r="S1384" i="3" s="1"/>
  <c r="T1384" i="3" s="1"/>
  <c r="U1384" i="3" s="1"/>
  <c r="FI395" i="2"/>
  <c r="FI400" i="2" s="1"/>
  <c r="FJ323" i="2"/>
  <c r="FF408" i="10"/>
  <c r="FG323" i="2"/>
  <c r="P1353" i="3"/>
  <c r="G285" i="3"/>
  <c r="FG362" i="10"/>
  <c r="FH188" i="2"/>
  <c r="I4568" i="3"/>
  <c r="L58" i="11"/>
  <c r="L56" i="11"/>
  <c r="FI540" i="2"/>
  <c r="FI544" i="2"/>
  <c r="Q1353" i="3"/>
  <c r="FC351" i="2"/>
  <c r="D61" i="37"/>
  <c r="FC426" i="10"/>
  <c r="FC633" i="2"/>
  <c r="F6" i="37"/>
  <c r="G5" i="37"/>
  <c r="F9" i="37"/>
  <c r="K132" i="11"/>
  <c r="K92" i="11"/>
  <c r="EP334" i="18"/>
  <c r="EP333" i="18"/>
  <c r="H4339" i="3"/>
  <c r="H4813" i="3"/>
  <c r="H4335" i="3"/>
  <c r="EZ54" i="4"/>
  <c r="FB14" i="2" l="1"/>
  <c r="G87" i="37"/>
  <c r="FC427" i="10"/>
  <c r="FD421" i="2"/>
  <c r="FD422" i="2"/>
  <c r="FE417" i="2"/>
  <c r="FB12" i="2"/>
  <c r="FC10" i="2"/>
  <c r="V47" i="30" s="1"/>
  <c r="N1339" i="3"/>
  <c r="O1340" i="3" s="1"/>
  <c r="FE584" i="2"/>
  <c r="FE112" i="10"/>
  <c r="FE141" i="10" s="1"/>
  <c r="P1339" i="3"/>
  <c r="Q1339" i="3"/>
  <c r="E461" i="3"/>
  <c r="E480" i="3" s="1"/>
  <c r="FE107" i="4"/>
  <c r="FE144" i="4" s="1"/>
  <c r="F2776" i="3"/>
  <c r="FC47" i="2"/>
  <c r="FB52" i="2"/>
  <c r="FB131" i="10"/>
  <c r="FD369" i="2"/>
  <c r="FE369" i="2" s="1"/>
  <c r="FF369" i="2" s="1"/>
  <c r="FG369" i="2" s="1"/>
  <c r="FH369" i="2" s="1"/>
  <c r="FI369" i="2" s="1"/>
  <c r="FG621" i="2"/>
  <c r="FD329" i="2"/>
  <c r="FE329" i="2" s="1"/>
  <c r="FE412" i="2"/>
  <c r="FD178" i="4"/>
  <c r="FD1031" i="10" s="1"/>
  <c r="D59" i="37"/>
  <c r="D66" i="37" s="1"/>
  <c r="FE291" i="2"/>
  <c r="FE282" i="2"/>
  <c r="FE283" i="2" s="1"/>
  <c r="K93" i="11"/>
  <c r="K86" i="11" s="1"/>
  <c r="ER243" i="18"/>
  <c r="ES238" i="18"/>
  <c r="ES240" i="18" s="1"/>
  <c r="ER242" i="18"/>
  <c r="FD433" i="2"/>
  <c r="FD190" i="10" s="1"/>
  <c r="FD602" i="2"/>
  <c r="FD630" i="2" s="1"/>
  <c r="FD429" i="2"/>
  <c r="FD434" i="2" s="1"/>
  <c r="I5714" i="3"/>
  <c r="FE428" i="2"/>
  <c r="FE430" i="2" s="1"/>
  <c r="FD432" i="2"/>
  <c r="FD436" i="2"/>
  <c r="FA480" i="2"/>
  <c r="FA526" i="2"/>
  <c r="FC470" i="2"/>
  <c r="FC480" i="2" s="1"/>
  <c r="I4295" i="3"/>
  <c r="I4322" i="3"/>
  <c r="I4326" i="3" s="1"/>
  <c r="ER299" i="18"/>
  <c r="ER298" i="18"/>
  <c r="ER302" i="18"/>
  <c r="ES294" i="18"/>
  <c r="ER306" i="18"/>
  <c r="ER308" i="18" s="1"/>
  <c r="ER309" i="18" s="1"/>
  <c r="EQ322" i="18"/>
  <c r="EQ323" i="18"/>
  <c r="E2670" i="3"/>
  <c r="E2674" i="3"/>
  <c r="E2679" i="3"/>
  <c r="E2680" i="3" s="1"/>
  <c r="FD346" i="2"/>
  <c r="FD421" i="10"/>
  <c r="FD462" i="2"/>
  <c r="FD41" i="2"/>
  <c r="Y33" i="30"/>
  <c r="X33" i="30"/>
  <c r="I4914" i="3"/>
  <c r="I4876" i="3"/>
  <c r="I4302" i="3"/>
  <c r="J4912" i="3"/>
  <c r="FA52" i="2"/>
  <c r="FC49" i="2"/>
  <c r="K134" i="11"/>
  <c r="K142" i="11"/>
  <c r="G9" i="37"/>
  <c r="F7" i="37"/>
  <c r="F33" i="37" s="1"/>
  <c r="H4919" i="3"/>
  <c r="H4922" i="3" s="1"/>
  <c r="H4921" i="3"/>
  <c r="FD403" i="10"/>
  <c r="N166" i="11"/>
  <c r="N210" i="11" s="1"/>
  <c r="N211" i="11" s="1"/>
  <c r="O163" i="11"/>
  <c r="N182" i="11"/>
  <c r="H5" i="37"/>
  <c r="G6" i="37"/>
  <c r="L71" i="11"/>
  <c r="L60" i="11"/>
  <c r="D113" i="6"/>
  <c r="F284" i="3"/>
  <c r="F290" i="3" s="1"/>
  <c r="F385" i="3"/>
  <c r="FG186" i="2"/>
  <c r="K4913" i="3"/>
  <c r="K4911" i="3" s="1"/>
  <c r="K4289" i="3" s="1"/>
  <c r="FJ186" i="2"/>
  <c r="FF360" i="10"/>
  <c r="K4567" i="3"/>
  <c r="FF325" i="2"/>
  <c r="FE410" i="10"/>
  <c r="L1383" i="3"/>
  <c r="H1386" i="3"/>
  <c r="H1388" i="3" s="1"/>
  <c r="FI281" i="2"/>
  <c r="FI269" i="2"/>
  <c r="FI406" i="2" s="1"/>
  <c r="FI411" i="2" s="1"/>
  <c r="FI303" i="2"/>
  <c r="FI440" i="2" s="1"/>
  <c r="FI445" i="2" s="1"/>
  <c r="FI108" i="2"/>
  <c r="FI68" i="2" s="1"/>
  <c r="FD130" i="4"/>
  <c r="E112" i="41"/>
  <c r="E122" i="41" s="1"/>
  <c r="H92" i="3"/>
  <c r="H117" i="3" s="1"/>
  <c r="F2957" i="3"/>
  <c r="FD110" i="4"/>
  <c r="D112" i="6"/>
  <c r="D122" i="6" s="1"/>
  <c r="FD144" i="4"/>
  <c r="J4568" i="3"/>
  <c r="FJ194" i="2"/>
  <c r="FG194" i="2"/>
  <c r="FF366" i="10"/>
  <c r="G52" i="24"/>
  <c r="G58" i="24"/>
  <c r="H58" i="24" s="1"/>
  <c r="FD640" i="2"/>
  <c r="FD457" i="2"/>
  <c r="L70" i="11"/>
  <c r="L101" i="11"/>
  <c r="L143" i="11" s="1"/>
  <c r="L79" i="11"/>
  <c r="L78" i="11" s="1"/>
  <c r="L133" i="11" s="1"/>
  <c r="L74" i="11"/>
  <c r="EO152" i="18"/>
  <c r="EO165" i="18"/>
  <c r="FD192" i="2"/>
  <c r="FD193" i="2" s="1"/>
  <c r="FD206" i="2"/>
  <c r="FD210" i="2"/>
  <c r="E2689" i="3"/>
  <c r="E2705" i="3" s="1"/>
  <c r="FD375" i="10"/>
  <c r="I1386" i="3"/>
  <c r="I1388" i="3" s="1"/>
  <c r="M1383" i="3"/>
  <c r="E113" i="41"/>
  <c r="K1386" i="3"/>
  <c r="K1388" i="3" s="1"/>
  <c r="L1354" i="3"/>
  <c r="I4417" i="3"/>
  <c r="I4420" i="3" s="1"/>
  <c r="I4763" i="3"/>
  <c r="J4490" i="3"/>
  <c r="J4491" i="3" s="1"/>
  <c r="J4493" i="3" s="1"/>
  <c r="I4627" i="3"/>
  <c r="I4574" i="3"/>
  <c r="I4576" i="3" s="1"/>
  <c r="FA18" i="4"/>
  <c r="FA102" i="10" s="1"/>
  <c r="FA1026" i="10" s="1"/>
  <c r="FF180" i="2"/>
  <c r="FJ115" i="2"/>
  <c r="N218" i="11" s="1"/>
  <c r="FF120" i="2"/>
  <c r="J218" i="11"/>
  <c r="FG112" i="2"/>
  <c r="G2658" i="3"/>
  <c r="FF346" i="10"/>
  <c r="K4851" i="3"/>
  <c r="FF116" i="2"/>
  <c r="FF208" i="10"/>
  <c r="FF117" i="2"/>
  <c r="EP109" i="18"/>
  <c r="FF132" i="2"/>
  <c r="FF397" i="2"/>
  <c r="FG257" i="2"/>
  <c r="FG259" i="2" s="1"/>
  <c r="FF261" i="2"/>
  <c r="FF598" i="2"/>
  <c r="FJ260" i="2"/>
  <c r="FF394" i="10"/>
  <c r="G2659" i="3"/>
  <c r="FF262" i="2"/>
  <c r="FF265" i="2"/>
  <c r="FF314" i="2"/>
  <c r="I29" i="37"/>
  <c r="EO34" i="18"/>
  <c r="EO40" i="18" s="1"/>
  <c r="EO59" i="18" s="1"/>
  <c r="FE203" i="2"/>
  <c r="FE183" i="2"/>
  <c r="FD9" i="4"/>
  <c r="N5727" i="3"/>
  <c r="N5718" i="3"/>
  <c r="N5719" i="3" s="1"/>
  <c r="N5722" i="3" s="1"/>
  <c r="G37" i="37"/>
  <c r="F38" i="37"/>
  <c r="FD141" i="10"/>
  <c r="FE160" i="2"/>
  <c r="FE173" i="2"/>
  <c r="FE355" i="10" s="1"/>
  <c r="FE176" i="2"/>
  <c r="FE172" i="2"/>
  <c r="FE349" i="10"/>
  <c r="EN185" i="18"/>
  <c r="EN184" i="18"/>
  <c r="FG208" i="2"/>
  <c r="FG373" i="10"/>
  <c r="EO698" i="18"/>
  <c r="EN700" i="18"/>
  <c r="FE567" i="36"/>
  <c r="FD565" i="36"/>
  <c r="ER85" i="18"/>
  <c r="FA54" i="2"/>
  <c r="FA15" i="2"/>
  <c r="FA570" i="2"/>
  <c r="FA575" i="2"/>
  <c r="FF137" i="2"/>
  <c r="FF168" i="2"/>
  <c r="FC51" i="2"/>
  <c r="C499" i="3"/>
  <c r="V40" i="30"/>
  <c r="FC128" i="10"/>
  <c r="FE354" i="10"/>
  <c r="AC28" i="30"/>
  <c r="AB28" i="30"/>
  <c r="Z30" i="30"/>
  <c r="AB34" i="30"/>
  <c r="AC34" i="30"/>
  <c r="M1340" i="3"/>
  <c r="L1340" i="3"/>
  <c r="J1340" i="3"/>
  <c r="K1340" i="3"/>
  <c r="FC15" i="4"/>
  <c r="FB16" i="4"/>
  <c r="FB18" i="4" s="1"/>
  <c r="FB102" i="10" s="1"/>
  <c r="FB1026" i="10" s="1"/>
  <c r="FF559" i="2"/>
  <c r="H87" i="37"/>
  <c r="G96" i="37"/>
  <c r="ER52" i="18"/>
  <c r="ER310" i="18"/>
  <c r="E16" i="37"/>
  <c r="E13" i="37"/>
  <c r="F13" i="37" s="1"/>
  <c r="E22" i="37"/>
  <c r="E21" i="37" s="1"/>
  <c r="ES285" i="18"/>
  <c r="D480" i="3"/>
  <c r="D463" i="3"/>
  <c r="E54" i="37"/>
  <c r="FD213" i="2"/>
  <c r="FD378" i="10"/>
  <c r="M48" i="11"/>
  <c r="M216" i="11"/>
  <c r="M206" i="11"/>
  <c r="H285" i="3"/>
  <c r="FH362" i="10"/>
  <c r="FI188" i="2"/>
  <c r="S1383" i="3"/>
  <c r="S1386" i="3" s="1"/>
  <c r="S1388" i="3" s="1"/>
  <c r="O1386" i="3"/>
  <c r="O1388" i="3" s="1"/>
  <c r="FE304" i="2"/>
  <c r="FE441" i="2" s="1"/>
  <c r="FE439" i="2"/>
  <c r="E494" i="3"/>
  <c r="E502" i="3" s="1"/>
  <c r="E503" i="3" s="1"/>
  <c r="FE372" i="10"/>
  <c r="FE207" i="2"/>
  <c r="FE202" i="2"/>
  <c r="FE40" i="2"/>
  <c r="FE461" i="2"/>
  <c r="F2673" i="3"/>
  <c r="F2683" i="3" s="1"/>
  <c r="F2678" i="3"/>
  <c r="FE408" i="2"/>
  <c r="C400" i="3"/>
  <c r="C406" i="3"/>
  <c r="FD471" i="2"/>
  <c r="FE592" i="2"/>
  <c r="FF590" i="2"/>
  <c r="FE65" i="4"/>
  <c r="I150" i="3" s="1"/>
  <c r="O181" i="11"/>
  <c r="N202" i="11"/>
  <c r="F170" i="41"/>
  <c r="F175" i="41" s="1"/>
  <c r="F184" i="41" s="1"/>
  <c r="F170" i="6"/>
  <c r="F175" i="6" s="1"/>
  <c r="F184" i="6" s="1"/>
  <c r="FC643" i="2"/>
  <c r="FC651" i="2"/>
  <c r="FC610" i="2"/>
  <c r="FC611" i="2" s="1"/>
  <c r="ES656" i="18"/>
  <c r="ES195" i="18"/>
  <c r="FH181" i="2"/>
  <c r="FH200" i="2" s="1"/>
  <c r="FH128" i="2"/>
  <c r="FH353" i="10" s="1"/>
  <c r="FH131" i="2"/>
  <c r="FI123" i="2"/>
  <c r="FH347" i="10"/>
  <c r="FH127" i="2"/>
  <c r="FI565" i="36"/>
  <c r="FJ567" i="36"/>
  <c r="G28" i="37"/>
  <c r="ER678" i="18"/>
  <c r="ER677" i="18" s="1"/>
  <c r="H169" i="41"/>
  <c r="H174" i="41" s="1"/>
  <c r="H183" i="41" s="1"/>
  <c r="H169" i="6"/>
  <c r="H174" i="6" s="1"/>
  <c r="H183" i="6" s="1"/>
  <c r="FE619" i="2"/>
  <c r="M1332" i="3"/>
  <c r="L1334" i="3"/>
  <c r="R1383" i="3"/>
  <c r="R1386" i="3" s="1"/>
  <c r="R1388" i="3" s="1"/>
  <c r="FC604" i="2"/>
  <c r="FC630" i="2"/>
  <c r="N66" i="11"/>
  <c r="I4459" i="3"/>
  <c r="I4430" i="3"/>
  <c r="I4432" i="3" s="1"/>
  <c r="I4449" i="3" s="1"/>
  <c r="I4450" i="3" s="1"/>
  <c r="FH435" i="2"/>
  <c r="FG263" i="10"/>
  <c r="J109" i="11"/>
  <c r="J111" i="11" s="1"/>
  <c r="J104" i="11"/>
  <c r="J105" i="11"/>
  <c r="E293" i="3"/>
  <c r="FC642" i="2"/>
  <c r="FC608" i="2"/>
  <c r="FC634" i="2"/>
  <c r="P201" i="11"/>
  <c r="J4322" i="3"/>
  <c r="J4295" i="3"/>
  <c r="FD453" i="2"/>
  <c r="FD319" i="2"/>
  <c r="O57" i="11"/>
  <c r="P42" i="11"/>
  <c r="O43" i="11"/>
  <c r="O164" i="11" s="1"/>
  <c r="I4561" i="3"/>
  <c r="I4499" i="3"/>
  <c r="FB480" i="2"/>
  <c r="FB526" i="2"/>
  <c r="FI547" i="2"/>
  <c r="FI548" i="2" s="1"/>
  <c r="FG408" i="10"/>
  <c r="FH323" i="2"/>
  <c r="H4962" i="3"/>
  <c r="H4965" i="3"/>
  <c r="H4801" i="3"/>
  <c r="EQ332" i="18"/>
  <c r="ER223" i="18"/>
  <c r="ER219" i="18"/>
  <c r="ER220" i="18"/>
  <c r="ES215" i="18"/>
  <c r="ER276" i="18"/>
  <c r="ER277" i="18"/>
  <c r="ER48" i="18" s="1"/>
  <c r="FD412" i="10"/>
  <c r="FD626" i="2"/>
  <c r="FD627" i="2" s="1"/>
  <c r="FD628" i="2" s="1"/>
  <c r="FE327" i="2"/>
  <c r="FD454" i="2"/>
  <c r="FD447" i="2"/>
  <c r="FD444" i="2"/>
  <c r="FD443" i="2"/>
  <c r="FD603" i="2"/>
  <c r="FD317" i="2"/>
  <c r="FD339" i="2" s="1"/>
  <c r="FD296" i="2"/>
  <c r="FD299" i="2"/>
  <c r="FD425" i="2" s="1"/>
  <c r="FD295" i="2"/>
  <c r="FE271" i="2"/>
  <c r="FB570" i="2" l="1"/>
  <c r="FB15" i="2"/>
  <c r="FB54" i="2"/>
  <c r="FC12" i="2"/>
  <c r="FC570" i="2" s="1"/>
  <c r="D2700" i="3"/>
  <c r="D2696" i="3" s="1"/>
  <c r="D2695" i="3" s="1"/>
  <c r="D2711" i="3" s="1"/>
  <c r="D2712" i="3" s="1"/>
  <c r="D2716" i="3" s="1"/>
  <c r="D2718" i="3" s="1"/>
  <c r="FD367" i="2"/>
  <c r="FD368" i="2" s="1"/>
  <c r="FC14" i="2"/>
  <c r="Q1340" i="3"/>
  <c r="P1340" i="3"/>
  <c r="N1340" i="3"/>
  <c r="E463" i="3"/>
  <c r="E112" i="6"/>
  <c r="F112" i="41"/>
  <c r="FE110" i="4"/>
  <c r="FB575" i="2"/>
  <c r="FE130" i="4"/>
  <c r="I33" i="11" s="1"/>
  <c r="FD341" i="2"/>
  <c r="FD343" i="2" s="1"/>
  <c r="FD604" i="2"/>
  <c r="J4326" i="3"/>
  <c r="FE305" i="2"/>
  <c r="FE318" i="2" s="1"/>
  <c r="FE341" i="2" s="1"/>
  <c r="FD414" i="10"/>
  <c r="K87" i="11"/>
  <c r="K95" i="11" s="1"/>
  <c r="K96" i="11" s="1"/>
  <c r="FE446" i="2"/>
  <c r="FH621" i="2"/>
  <c r="D60" i="37"/>
  <c r="D67" i="37" s="1"/>
  <c r="D68" i="37" s="1"/>
  <c r="D72" i="37" s="1"/>
  <c r="D88" i="37" s="1"/>
  <c r="FH208" i="2"/>
  <c r="FH373" i="10"/>
  <c r="FE294" i="2"/>
  <c r="FE317" i="2" s="1"/>
  <c r="FE339" i="2" s="1"/>
  <c r="FE285" i="2"/>
  <c r="FE402" i="10" s="1"/>
  <c r="FE288" i="2"/>
  <c r="FF280" i="2"/>
  <c r="FE396" i="10"/>
  <c r="FE284" i="2"/>
  <c r="FE316" i="2"/>
  <c r="FD42" i="2"/>
  <c r="FD422" i="10"/>
  <c r="FD347" i="2"/>
  <c r="FD463" i="2"/>
  <c r="FD340" i="2"/>
  <c r="O183" i="11"/>
  <c r="P164" i="11"/>
  <c r="FE409" i="2"/>
  <c r="FE601" i="2"/>
  <c r="FE629" i="2" s="1"/>
  <c r="FE414" i="2"/>
  <c r="FE413" i="2"/>
  <c r="FE410" i="2"/>
  <c r="FE187" i="10" s="1"/>
  <c r="M46" i="11"/>
  <c r="M59" i="11" s="1"/>
  <c r="M49" i="11"/>
  <c r="M67" i="11" s="1"/>
  <c r="M50" i="11"/>
  <c r="N45" i="11"/>
  <c r="N47" i="11" s="1"/>
  <c r="M54" i="11"/>
  <c r="E18" i="37"/>
  <c r="E58" i="37"/>
  <c r="E65" i="37" s="1"/>
  <c r="E24" i="37"/>
  <c r="E26" i="37" s="1"/>
  <c r="FF138" i="2"/>
  <c r="FF170" i="2"/>
  <c r="FF175" i="2" s="1"/>
  <c r="FF153" i="2" s="1"/>
  <c r="H6" i="37"/>
  <c r="I5" i="37"/>
  <c r="I6" i="37" s="1"/>
  <c r="FB55" i="2"/>
  <c r="FD455" i="2"/>
  <c r="P43" i="11"/>
  <c r="P165" i="11" s="1"/>
  <c r="P184" i="11" s="1"/>
  <c r="P205" i="11" s="1"/>
  <c r="P57" i="11"/>
  <c r="FF400" i="10"/>
  <c r="FF189" i="10"/>
  <c r="K4295" i="3"/>
  <c r="K4322" i="3"/>
  <c r="K4326" i="3" s="1"/>
  <c r="N185" i="11"/>
  <c r="N203" i="11"/>
  <c r="O182" i="11"/>
  <c r="FA527" i="2"/>
  <c r="FC526" i="2"/>
  <c r="FC527" i="2" s="1"/>
  <c r="ES680" i="18"/>
  <c r="ER325" i="18"/>
  <c r="ER682" i="18"/>
  <c r="FC647" i="2"/>
  <c r="FC658" i="2" s="1"/>
  <c r="FC662" i="2" s="1"/>
  <c r="FC648" i="2"/>
  <c r="FC659" i="2" s="1"/>
  <c r="FC650" i="2"/>
  <c r="FC661" i="2" s="1"/>
  <c r="FC649" i="2"/>
  <c r="FC660" i="2" s="1"/>
  <c r="G2664" i="3"/>
  <c r="H33" i="11"/>
  <c r="G284" i="3"/>
  <c r="G290" i="3" s="1"/>
  <c r="G385" i="3"/>
  <c r="L4913" i="3"/>
  <c r="L4911" i="3" s="1"/>
  <c r="L4289" i="3" s="1"/>
  <c r="FH186" i="2"/>
  <c r="L4567" i="3"/>
  <c r="FG360" i="10"/>
  <c r="P163" i="11"/>
  <c r="O166" i="11"/>
  <c r="O210" i="11" s="1"/>
  <c r="O211" i="11" s="1"/>
  <c r="K135" i="11"/>
  <c r="K128" i="11" s="1"/>
  <c r="E2675" i="3"/>
  <c r="E2684" i="3"/>
  <c r="E2685" i="3" s="1"/>
  <c r="FE412" i="10"/>
  <c r="FF327" i="2"/>
  <c r="FE626" i="2"/>
  <c r="FE627" i="2" s="1"/>
  <c r="FE628" i="2" s="1"/>
  <c r="I4946" i="3"/>
  <c r="I4457" i="3"/>
  <c r="FI44" i="4"/>
  <c r="FI58" i="2"/>
  <c r="FI136" i="10" s="1"/>
  <c r="FK68" i="2"/>
  <c r="FC52" i="2"/>
  <c r="FC131" i="10"/>
  <c r="FD566" i="2"/>
  <c r="FD573" i="2"/>
  <c r="FI435" i="2"/>
  <c r="FI263" i="10" s="1"/>
  <c r="FH263" i="10"/>
  <c r="H28" i="37"/>
  <c r="FE471" i="2"/>
  <c r="AB30" i="30"/>
  <c r="AC30" i="30"/>
  <c r="H37" i="37"/>
  <c r="G38" i="37"/>
  <c r="G2663" i="3"/>
  <c r="G2660" i="3"/>
  <c r="L1397" i="3"/>
  <c r="L1400" i="3" s="1"/>
  <c r="L1353" i="3"/>
  <c r="L1352" i="3" s="1"/>
  <c r="G54" i="24"/>
  <c r="G53" i="24"/>
  <c r="FE293" i="2"/>
  <c r="FE298" i="2" s="1"/>
  <c r="FE424" i="2" s="1"/>
  <c r="FE419" i="2"/>
  <c r="FE420" i="2" s="1"/>
  <c r="I4451" i="3"/>
  <c r="I4446" i="3"/>
  <c r="I4445" i="3"/>
  <c r="FE9" i="4"/>
  <c r="H96" i="37"/>
  <c r="I87" i="37"/>
  <c r="I96" i="37" s="1"/>
  <c r="FF493" i="2"/>
  <c r="FF494" i="2" s="1"/>
  <c r="FJ598" i="2"/>
  <c r="FF618" i="2"/>
  <c r="FG114" i="2"/>
  <c r="FG115" i="2" s="1"/>
  <c r="FD545" i="2"/>
  <c r="FD379" i="10"/>
  <c r="FD9" i="2"/>
  <c r="FD214" i="2"/>
  <c r="FD563" i="2"/>
  <c r="G82" i="41"/>
  <c r="G82" i="6"/>
  <c r="F59" i="42"/>
  <c r="I4461" i="3"/>
  <c r="FI570" i="36"/>
  <c r="FI573" i="36"/>
  <c r="FI566" i="36"/>
  <c r="FI569" i="36"/>
  <c r="FF562" i="2"/>
  <c r="F373" i="3" s="1"/>
  <c r="FF560" i="2"/>
  <c r="G2764" i="3"/>
  <c r="G2771" i="3" s="1"/>
  <c r="G2775" i="3" s="1"/>
  <c r="FJ559" i="2"/>
  <c r="FF572" i="2"/>
  <c r="FH194" i="2"/>
  <c r="FG366" i="10"/>
  <c r="FI418" i="2"/>
  <c r="FI292" i="2"/>
  <c r="FI297" i="2" s="1"/>
  <c r="FI423" i="2" s="1"/>
  <c r="J4914" i="3"/>
  <c r="J4302" i="3"/>
  <c r="J4876" i="3"/>
  <c r="K4912" i="3"/>
  <c r="ER53" i="18"/>
  <c r="ER55" i="18" s="1"/>
  <c r="ER311" i="18"/>
  <c r="FJ565" i="36"/>
  <c r="FK567" i="36"/>
  <c r="ER279" i="18"/>
  <c r="ER314" i="18" s="1"/>
  <c r="ER47" i="18"/>
  <c r="ER50" i="18" s="1"/>
  <c r="P181" i="11"/>
  <c r="O202" i="11"/>
  <c r="F2689" i="3"/>
  <c r="F2705" i="3" s="1"/>
  <c r="FE375" i="10"/>
  <c r="FE192" i="2"/>
  <c r="FE193" i="2" s="1"/>
  <c r="FE210" i="2"/>
  <c r="E52" i="37"/>
  <c r="E53" i="37" s="1"/>
  <c r="FA55" i="2"/>
  <c r="FC54" i="2"/>
  <c r="FC55" i="2" s="1"/>
  <c r="FG260" i="2"/>
  <c r="J224" i="11"/>
  <c r="FG552" i="2"/>
  <c r="K4857" i="3"/>
  <c r="EO172" i="18"/>
  <c r="EO687" i="18"/>
  <c r="EO166" i="18"/>
  <c r="I4308" i="3"/>
  <c r="I4312" i="3"/>
  <c r="I4331" i="3"/>
  <c r="ES296" i="18"/>
  <c r="FD632" i="2"/>
  <c r="P1383" i="3"/>
  <c r="L1386" i="3"/>
  <c r="L1388" i="3" s="1"/>
  <c r="F56" i="42"/>
  <c r="F58" i="42" s="1"/>
  <c r="F63" i="42" s="1"/>
  <c r="F65" i="42" s="1"/>
  <c r="F68" i="42" s="1"/>
  <c r="I4878" i="3"/>
  <c r="G79" i="6"/>
  <c r="G81" i="6" s="1"/>
  <c r="G79" i="41"/>
  <c r="G81" i="41" s="1"/>
  <c r="N5730" i="3"/>
  <c r="FD566" i="36"/>
  <c r="FD573" i="36"/>
  <c r="FD569" i="36"/>
  <c r="FD570" i="36"/>
  <c r="FE161" i="2"/>
  <c r="FF157" i="2"/>
  <c r="FE165" i="2"/>
  <c r="FE162" i="2"/>
  <c r="FE158" i="2" s="1"/>
  <c r="FE163" i="2" s="1"/>
  <c r="FE320" i="2"/>
  <c r="FE230" i="2"/>
  <c r="FF402" i="2"/>
  <c r="FF399" i="2"/>
  <c r="FG394" i="2"/>
  <c r="FF396" i="2"/>
  <c r="FJ397" i="2"/>
  <c r="FF398" i="2"/>
  <c r="FF173" i="10"/>
  <c r="FF599" i="2"/>
  <c r="FJ599" i="2" s="1"/>
  <c r="FF451" i="2"/>
  <c r="FF190" i="2"/>
  <c r="FF488" i="2"/>
  <c r="FF489" i="2" s="1"/>
  <c r="FF541" i="2"/>
  <c r="FJ180" i="2"/>
  <c r="J4627" i="3"/>
  <c r="K4490" i="3"/>
  <c r="K4491" i="3" s="1"/>
  <c r="K4493" i="3" s="1"/>
  <c r="J4574" i="3"/>
  <c r="J4576" i="3" s="1"/>
  <c r="J4417" i="3"/>
  <c r="J4420" i="3" s="1"/>
  <c r="J4763" i="3"/>
  <c r="FE395" i="10"/>
  <c r="FE272" i="2"/>
  <c r="FE276" i="2"/>
  <c r="FE273" i="2"/>
  <c r="FE401" i="10" s="1"/>
  <c r="FF268" i="2"/>
  <c r="FE600" i="2"/>
  <c r="FE622" i="2" s="1"/>
  <c r="FE623" i="2" s="1"/>
  <c r="FE315" i="2"/>
  <c r="FE338" i="2" s="1"/>
  <c r="ES217" i="18"/>
  <c r="FI125" i="2"/>
  <c r="FI126" i="2" s="1"/>
  <c r="FI181" i="2" s="1"/>
  <c r="FI621" i="2" s="1"/>
  <c r="FB53" i="4"/>
  <c r="FB19" i="4"/>
  <c r="FF567" i="36"/>
  <c r="FF565" i="36" s="1"/>
  <c r="FE565" i="36"/>
  <c r="FE211" i="2"/>
  <c r="FE376" i="10"/>
  <c r="FE205" i="2"/>
  <c r="F8" i="37"/>
  <c r="FI323" i="2"/>
  <c r="FH408" i="10"/>
  <c r="FC639" i="2"/>
  <c r="FC636" i="2"/>
  <c r="X40" i="30"/>
  <c r="Y40" i="30"/>
  <c r="V41" i="30"/>
  <c r="EO65" i="18"/>
  <c r="EO61" i="18"/>
  <c r="FC16" i="4"/>
  <c r="Q1383" i="3"/>
  <c r="M1386" i="3"/>
  <c r="M1388" i="3" s="1"/>
  <c r="L73" i="11"/>
  <c r="L91" i="11" s="1"/>
  <c r="FJ325" i="2"/>
  <c r="FG325" i="2"/>
  <c r="FF410" i="10"/>
  <c r="H9" i="37"/>
  <c r="G7" i="37"/>
  <c r="G33" i="37" s="1"/>
  <c r="FF329" i="2"/>
  <c r="FE414" i="10"/>
  <c r="FB527" i="2"/>
  <c r="FC609" i="2"/>
  <c r="FC161" i="10"/>
  <c r="FI362" i="10"/>
  <c r="I285" i="3"/>
  <c r="J285" i="3" s="1"/>
  <c r="K285" i="3" s="1"/>
  <c r="N1332" i="3"/>
  <c r="M1334" i="3"/>
  <c r="FA53" i="4"/>
  <c r="FA19" i="4"/>
  <c r="FC18" i="4"/>
  <c r="FF199" i="2"/>
  <c r="FC15" i="2"/>
  <c r="J29" i="37"/>
  <c r="EQ106" i="18"/>
  <c r="EQ108" i="18" s="1"/>
  <c r="EP137" i="18"/>
  <c r="EP114" i="18"/>
  <c r="EP111" i="18"/>
  <c r="EP110" i="18"/>
  <c r="EP107" i="18"/>
  <c r="EP112" i="18" s="1"/>
  <c r="EP149" i="18"/>
  <c r="EP150" i="18"/>
  <c r="I4578" i="3"/>
  <c r="I4392" i="3"/>
  <c r="J4496" i="3"/>
  <c r="I4628" i="3"/>
  <c r="I4629" i="3" s="1"/>
  <c r="I4423" i="3"/>
  <c r="I4426" i="3" s="1"/>
  <c r="I4577" i="3"/>
  <c r="FF617" i="2"/>
  <c r="L61" i="11"/>
  <c r="L100" i="11"/>
  <c r="L90" i="11"/>
  <c r="L132" i="11" s="1"/>
  <c r="L62" i="11"/>
  <c r="D497" i="3"/>
  <c r="D506" i="3" s="1"/>
  <c r="D380" i="3"/>
  <c r="Z31" i="30"/>
  <c r="FD10" i="4"/>
  <c r="FE104" i="10"/>
  <c r="F108" i="41"/>
  <c r="FE153" i="4"/>
  <c r="E108" i="6"/>
  <c r="FE97" i="4"/>
  <c r="FE178" i="4" s="1"/>
  <c r="FE1031" i="10" s="1"/>
  <c r="C407" i="3"/>
  <c r="C414" i="3"/>
  <c r="I4795" i="3"/>
  <c r="I4560" i="3"/>
  <c r="FE457" i="2"/>
  <c r="FE458" i="2" s="1"/>
  <c r="FE640" i="2"/>
  <c r="ES213" i="18"/>
  <c r="ES200" i="18"/>
  <c r="ES83" i="18"/>
  <c r="ES234" i="18"/>
  <c r="ES661" i="18"/>
  <c r="ES660" i="18" s="1"/>
  <c r="ES197" i="18"/>
  <c r="ES284" i="18"/>
  <c r="ES286" i="18" s="1"/>
  <c r="ES211" i="18"/>
  <c r="X47" i="30"/>
  <c r="Y47" i="30"/>
  <c r="V48" i="30"/>
  <c r="FF188" i="10"/>
  <c r="FF352" i="10"/>
  <c r="S1333" i="3"/>
  <c r="S1353" i="3" s="1"/>
  <c r="R1333" i="3"/>
  <c r="R1353" i="3" s="1"/>
  <c r="T1333" i="3"/>
  <c r="T1353" i="3" s="1"/>
  <c r="U1333" i="3"/>
  <c r="U1353" i="3" s="1"/>
  <c r="K4568" i="3"/>
  <c r="E43" i="37"/>
  <c r="E40" i="37"/>
  <c r="FD472" i="2"/>
  <c r="EQ333" i="18"/>
  <c r="EQ334" i="18"/>
  <c r="O66" i="11"/>
  <c r="ES657" i="18"/>
  <c r="ES658" i="18"/>
  <c r="FE452" i="2"/>
  <c r="M222" i="11"/>
  <c r="M217" i="11"/>
  <c r="M223" i="11" s="1"/>
  <c r="F14" i="37"/>
  <c r="F22" i="37" s="1"/>
  <c r="F21" i="37" s="1"/>
  <c r="G13" i="37"/>
  <c r="F17" i="37"/>
  <c r="FF337" i="2"/>
  <c r="FD458" i="2"/>
  <c r="F2959" i="3"/>
  <c r="G2957" i="3"/>
  <c r="K94" i="11"/>
  <c r="FE397" i="10" l="1"/>
  <c r="C451" i="3"/>
  <c r="EY8" i="32"/>
  <c r="FC575" i="2"/>
  <c r="FD44" i="2"/>
  <c r="Z36" i="30"/>
  <c r="AB36" i="30" s="1"/>
  <c r="FF302" i="2"/>
  <c r="FF304" i="2" s="1"/>
  <c r="FF441" i="2" s="1"/>
  <c r="FE307" i="2"/>
  <c r="FE403" i="10" s="1"/>
  <c r="F2669" i="3"/>
  <c r="F2679" i="3" s="1"/>
  <c r="F2680" i="3" s="1"/>
  <c r="FE442" i="2"/>
  <c r="FE443" i="2" s="1"/>
  <c r="FE310" i="2"/>
  <c r="FE306" i="2"/>
  <c r="D2702" i="3"/>
  <c r="D2719" i="3" s="1"/>
  <c r="FD505" i="2"/>
  <c r="FD507" i="2" s="1"/>
  <c r="FD508" i="2" s="1"/>
  <c r="FD432" i="10"/>
  <c r="FD465" i="2"/>
  <c r="FD475" i="2" s="1"/>
  <c r="FD424" i="10"/>
  <c r="FD349" i="2"/>
  <c r="K102" i="11"/>
  <c r="K103" i="11" s="1"/>
  <c r="K105" i="11" s="1"/>
  <c r="I4447" i="3"/>
  <c r="J4444" i="3" s="1"/>
  <c r="FE44" i="2"/>
  <c r="FE13" i="4" s="1"/>
  <c r="FE15" i="4" s="1"/>
  <c r="FE349" i="2"/>
  <c r="FE424" i="10"/>
  <c r="FE343" i="2"/>
  <c r="FE633" i="2" s="1"/>
  <c r="FE465" i="2"/>
  <c r="K88" i="11"/>
  <c r="L85" i="11" s="1"/>
  <c r="O185" i="11"/>
  <c r="O48" i="11" s="1"/>
  <c r="FI200" i="2"/>
  <c r="FI208" i="2" s="1"/>
  <c r="G8" i="37"/>
  <c r="G10" i="37" s="1"/>
  <c r="FE632" i="2"/>
  <c r="F53" i="37"/>
  <c r="K4417" i="3"/>
  <c r="K4420" i="3" s="1"/>
  <c r="L4490" i="3"/>
  <c r="L4491" i="3" s="1"/>
  <c r="L4493" i="3" s="1"/>
  <c r="K4574" i="3"/>
  <c r="K4576" i="3" s="1"/>
  <c r="K4627" i="3"/>
  <c r="K4763" i="3"/>
  <c r="U1383" i="3"/>
  <c r="U1386" i="3" s="1"/>
  <c r="U1388" i="3" s="1"/>
  <c r="Q1386" i="3"/>
  <c r="Q1388" i="3" s="1"/>
  <c r="F10" i="37"/>
  <c r="F51" i="37"/>
  <c r="FI131" i="2"/>
  <c r="FI127" i="2"/>
  <c r="FI128" i="2"/>
  <c r="FI353" i="10" s="1"/>
  <c r="FI347" i="10"/>
  <c r="J4578" i="3"/>
  <c r="J4423" i="3"/>
  <c r="J4426" i="3" s="1"/>
  <c r="J4577" i="3"/>
  <c r="K4496" i="3"/>
  <c r="J4628" i="3"/>
  <c r="J4629" i="3" s="1"/>
  <c r="J4392" i="3"/>
  <c r="FL567" i="36"/>
  <c r="FK565" i="36"/>
  <c r="FF588" i="2"/>
  <c r="FF587" i="2" s="1"/>
  <c r="FF578" i="2"/>
  <c r="FF580" i="2" s="1"/>
  <c r="FF574" i="2"/>
  <c r="FB10" i="32"/>
  <c r="G2767" i="3"/>
  <c r="G2766" i="3" s="1"/>
  <c r="G2774" i="3" s="1"/>
  <c r="G2781" i="3"/>
  <c r="FF576" i="2"/>
  <c r="K4977" i="3"/>
  <c r="K4978" i="3" s="1"/>
  <c r="FJ572" i="2"/>
  <c r="K136" i="11"/>
  <c r="M58" i="11"/>
  <c r="M56" i="11"/>
  <c r="FD344" i="2"/>
  <c r="FD348" i="2"/>
  <c r="FD423" i="10"/>
  <c r="E2694" i="3"/>
  <c r="E2710" i="3" s="1"/>
  <c r="FI194" i="2"/>
  <c r="FI366" i="10" s="1"/>
  <c r="FH366" i="10"/>
  <c r="ES86" i="18"/>
  <c r="EO176" i="18"/>
  <c r="EO183" i="18" s="1"/>
  <c r="EO696" i="18"/>
  <c r="EO695" i="18" s="1"/>
  <c r="F52" i="37"/>
  <c r="FN565" i="36"/>
  <c r="FJ569" i="36"/>
  <c r="FJ573" i="36"/>
  <c r="FJ570" i="36"/>
  <c r="FJ566" i="36"/>
  <c r="FE42" i="2"/>
  <c r="FE347" i="2"/>
  <c r="FE463" i="2"/>
  <c r="FE473" i="2" s="1"/>
  <c r="FE422" i="10"/>
  <c r="I37" i="37"/>
  <c r="H38" i="37"/>
  <c r="K129" i="11"/>
  <c r="K137" i="11" s="1"/>
  <c r="FD473" i="2"/>
  <c r="E46" i="37"/>
  <c r="E49" i="37" s="1"/>
  <c r="FD464" i="2"/>
  <c r="G2665" i="3"/>
  <c r="FE384" i="10"/>
  <c r="FE231" i="2"/>
  <c r="EO174" i="18"/>
  <c r="EO173" i="18"/>
  <c r="ES288" i="18"/>
  <c r="ES291" i="18"/>
  <c r="ES287" i="18"/>
  <c r="ES305" i="18"/>
  <c r="L142" i="11"/>
  <c r="L134" i="11"/>
  <c r="C417" i="3"/>
  <c r="C415" i="3"/>
  <c r="C418" i="3" s="1"/>
  <c r="EO66" i="18"/>
  <c r="EO67" i="18"/>
  <c r="G2789" i="3"/>
  <c r="I4452" i="3"/>
  <c r="P166" i="11"/>
  <c r="P210" i="11" s="1"/>
  <c r="P211" i="11" s="1"/>
  <c r="M68" i="11"/>
  <c r="M69" i="11" s="1"/>
  <c r="FF372" i="10"/>
  <c r="F494" i="3"/>
  <c r="F502" i="3" s="1"/>
  <c r="F503" i="3" s="1"/>
  <c r="FF461" i="2"/>
  <c r="FF207" i="2"/>
  <c r="FF202" i="2"/>
  <c r="FF40" i="2"/>
  <c r="FE378" i="10"/>
  <c r="FE213" i="2"/>
  <c r="FE421" i="10"/>
  <c r="FE346" i="2"/>
  <c r="FE41" i="2"/>
  <c r="FE462" i="2"/>
  <c r="FE340" i="2"/>
  <c r="D498" i="3"/>
  <c r="D507" i="3" s="1"/>
  <c r="D508" i="3" s="1"/>
  <c r="D381" i="3"/>
  <c r="D382" i="3" s="1"/>
  <c r="D384" i="3" s="1"/>
  <c r="D386" i="3" s="1"/>
  <c r="D393" i="3" s="1"/>
  <c r="D392" i="3" s="1"/>
  <c r="Z32" i="30"/>
  <c r="FD11" i="4"/>
  <c r="FD12" i="4" s="1"/>
  <c r="FD43" i="2"/>
  <c r="P1386" i="3"/>
  <c r="P1388" i="3" s="1"/>
  <c r="T1383" i="3"/>
  <c r="T1386" i="3" s="1"/>
  <c r="T1388" i="3" s="1"/>
  <c r="FG551" i="2"/>
  <c r="FG556" i="2"/>
  <c r="FG555" i="2" s="1"/>
  <c r="FE206" i="2"/>
  <c r="K4914" i="3"/>
  <c r="K4302" i="3"/>
  <c r="K4876" i="3"/>
  <c r="L4912" i="3"/>
  <c r="I4468" i="3"/>
  <c r="I4458" i="3"/>
  <c r="FF148" i="2"/>
  <c r="FF147" i="2" s="1"/>
  <c r="FF152" i="2" s="1"/>
  <c r="FF164" i="2"/>
  <c r="FF159" i="2" s="1"/>
  <c r="FE453" i="2"/>
  <c r="FE319" i="2"/>
  <c r="FE367" i="2" s="1"/>
  <c r="FE505" i="2" s="1"/>
  <c r="N48" i="11"/>
  <c r="N216" i="11"/>
  <c r="N206" i="11"/>
  <c r="ES84" i="18"/>
  <c r="ES87" i="18" s="1"/>
  <c r="ES667" i="18"/>
  <c r="ES202" i="18"/>
  <c r="ES201" i="18"/>
  <c r="ES239" i="18"/>
  <c r="ES241" i="18" s="1"/>
  <c r="ES216" i="18"/>
  <c r="ES218" i="18" s="1"/>
  <c r="ES295" i="18"/>
  <c r="ES297" i="18" s="1"/>
  <c r="FC19" i="4"/>
  <c r="E2942" i="3"/>
  <c r="E2944" i="3" s="1"/>
  <c r="FC102" i="10"/>
  <c r="G173" i="3"/>
  <c r="D20" i="41"/>
  <c r="E113" i="6"/>
  <c r="E122" i="6"/>
  <c r="I4366" i="3"/>
  <c r="I4367" i="3" s="1"/>
  <c r="I4957" i="3"/>
  <c r="I4918" i="3"/>
  <c r="X41" i="30"/>
  <c r="V43" i="30"/>
  <c r="Y41" i="30"/>
  <c r="FJ268" i="2"/>
  <c r="FF270" i="2"/>
  <c r="FF271" i="2" s="1"/>
  <c r="FF315" i="2" s="1"/>
  <c r="FF338" i="2" s="1"/>
  <c r="FF405" i="2"/>
  <c r="F286" i="3"/>
  <c r="F291" i="3" s="1"/>
  <c r="F293" i="3" s="1"/>
  <c r="FF625" i="2"/>
  <c r="FJ190" i="2"/>
  <c r="FF191" i="2"/>
  <c r="FF364" i="10"/>
  <c r="FD608" i="2"/>
  <c r="FD642" i="2"/>
  <c r="G56" i="42"/>
  <c r="G58" i="42" s="1"/>
  <c r="G63" i="42" s="1"/>
  <c r="G65" i="42" s="1"/>
  <c r="G68" i="42" s="1"/>
  <c r="J4878" i="3"/>
  <c r="J4879" i="3" s="1"/>
  <c r="H79" i="41"/>
  <c r="H81" i="41" s="1"/>
  <c r="H79" i="6"/>
  <c r="H81" i="6" s="1"/>
  <c r="E2699" i="3"/>
  <c r="Z46" i="30"/>
  <c r="FD13" i="2"/>
  <c r="I4951" i="3"/>
  <c r="FF182" i="2"/>
  <c r="FF348" i="10"/>
  <c r="FF143" i="2"/>
  <c r="FF139" i="2"/>
  <c r="G2668" i="3"/>
  <c r="FF140" i="2"/>
  <c r="FG135" i="2"/>
  <c r="FF171" i="2"/>
  <c r="FF414" i="10"/>
  <c r="FG329" i="2"/>
  <c r="J4308" i="3"/>
  <c r="J4312" i="3"/>
  <c r="J4331" i="3"/>
  <c r="FE431" i="2"/>
  <c r="FE422" i="2"/>
  <c r="FE421" i="2"/>
  <c r="FF417" i="2"/>
  <c r="L4568" i="3"/>
  <c r="F505" i="3"/>
  <c r="F383" i="3"/>
  <c r="FF345" i="2"/>
  <c r="FF420" i="10"/>
  <c r="FA54" i="4"/>
  <c r="FC53" i="4"/>
  <c r="G17" i="37"/>
  <c r="F15" i="37"/>
  <c r="Y48" i="30"/>
  <c r="X48" i="30"/>
  <c r="F122" i="41"/>
  <c r="F113" i="41"/>
  <c r="J4428" i="3"/>
  <c r="J4497" i="3"/>
  <c r="K29" i="37"/>
  <c r="FE573" i="36"/>
  <c r="FE569" i="36"/>
  <c r="FE570" i="36"/>
  <c r="FE566" i="36"/>
  <c r="FG565" i="36"/>
  <c r="H385" i="3"/>
  <c r="FH360" i="10"/>
  <c r="M4913" i="3"/>
  <c r="M4911" i="3" s="1"/>
  <c r="M4289" i="3" s="1"/>
  <c r="H284" i="3"/>
  <c r="H290" i="3" s="1"/>
  <c r="FI186" i="2"/>
  <c r="M4567" i="3"/>
  <c r="FD13" i="4"/>
  <c r="FD15" i="4" s="1"/>
  <c r="FD46" i="2"/>
  <c r="FE641" i="2"/>
  <c r="FF282" i="2"/>
  <c r="FF283" i="2" s="1"/>
  <c r="FJ280" i="2"/>
  <c r="FF291" i="2"/>
  <c r="I169" i="41"/>
  <c r="I174" i="41" s="1"/>
  <c r="I183" i="41" s="1"/>
  <c r="FF619" i="2"/>
  <c r="FJ617" i="2"/>
  <c r="I169" i="6"/>
  <c r="I174" i="6" s="1"/>
  <c r="I183" i="6" s="1"/>
  <c r="F172" i="41"/>
  <c r="F171" i="41" s="1"/>
  <c r="FC644" i="2"/>
  <c r="F172" i="6"/>
  <c r="F171" i="6" s="1"/>
  <c r="H4948" i="3"/>
  <c r="FC638" i="2"/>
  <c r="L4322" i="3"/>
  <c r="L4326" i="3" s="1"/>
  <c r="L4295" i="3"/>
  <c r="P66" i="11"/>
  <c r="F17" i="11" s="1"/>
  <c r="H13" i="37"/>
  <c r="G14" i="37"/>
  <c r="I9" i="37"/>
  <c r="I7" i="37" s="1"/>
  <c r="H7" i="37"/>
  <c r="H8" i="37" s="1"/>
  <c r="FF569" i="36"/>
  <c r="FF570" i="36"/>
  <c r="FF573" i="36"/>
  <c r="FF566" i="36"/>
  <c r="FG314" i="2"/>
  <c r="FG337" i="2" s="1"/>
  <c r="FH257" i="2"/>
  <c r="FG598" i="2"/>
  <c r="FG394" i="10"/>
  <c r="FG261" i="2"/>
  <c r="FG262" i="2"/>
  <c r="FG265" i="2"/>
  <c r="FG397" i="2"/>
  <c r="FG451" i="2" s="1"/>
  <c r="FG116" i="2"/>
  <c r="FG117" i="2"/>
  <c r="FG346" i="10"/>
  <c r="FG120" i="2"/>
  <c r="FG180" i="2"/>
  <c r="K218" i="11"/>
  <c r="FH112" i="2"/>
  <c r="EQ109" i="18"/>
  <c r="FG208" i="10"/>
  <c r="L4851" i="3"/>
  <c r="FG132" i="2"/>
  <c r="C493" i="3"/>
  <c r="C495" i="3" s="1"/>
  <c r="C453" i="3"/>
  <c r="C478" i="3"/>
  <c r="N1334" i="3"/>
  <c r="O1332" i="3"/>
  <c r="P202" i="11"/>
  <c r="I28" i="37"/>
  <c r="AC31" i="30"/>
  <c r="AB31" i="30"/>
  <c r="FH325" i="2"/>
  <c r="FG410" i="10"/>
  <c r="FD577" i="36"/>
  <c r="FD589" i="36"/>
  <c r="FD588" i="36" s="1"/>
  <c r="FD576" i="36"/>
  <c r="FD574" i="36"/>
  <c r="FD575" i="36"/>
  <c r="FD107" i="35"/>
  <c r="FD579" i="36"/>
  <c r="FI575" i="36"/>
  <c r="FI574" i="36"/>
  <c r="FI576" i="36"/>
  <c r="FI589" i="36"/>
  <c r="FI577" i="36"/>
  <c r="FI107" i="35"/>
  <c r="FI579" i="36"/>
  <c r="FI581" i="36" s="1"/>
  <c r="FI585" i="36" s="1"/>
  <c r="L1356" i="3"/>
  <c r="M1352" i="3"/>
  <c r="E61" i="37"/>
  <c r="FD351" i="2"/>
  <c r="FD426" i="10"/>
  <c r="FD633" i="2"/>
  <c r="FD634" i="2" s="1"/>
  <c r="O204" i="11"/>
  <c r="P183" i="11"/>
  <c r="P204" i="11" s="1"/>
  <c r="FE295" i="2"/>
  <c r="FE296" i="2"/>
  <c r="FE299" i="2"/>
  <c r="FE425" i="2" s="1"/>
  <c r="FJ618" i="2"/>
  <c r="K1402" i="3"/>
  <c r="J1402" i="3"/>
  <c r="M1402" i="3"/>
  <c r="L1402" i="3"/>
  <c r="FJ327" i="2"/>
  <c r="FG327" i="2"/>
  <c r="FF412" i="10"/>
  <c r="FF626" i="2"/>
  <c r="EP33" i="18"/>
  <c r="EP154" i="18"/>
  <c r="FB54" i="4"/>
  <c r="I4335" i="3"/>
  <c r="I4339" i="3"/>
  <c r="I4813" i="3"/>
  <c r="ER57" i="18"/>
  <c r="P182" i="11"/>
  <c r="P203" i="11" s="1"/>
  <c r="O203" i="11"/>
  <c r="E41" i="37"/>
  <c r="F41" i="37" s="1"/>
  <c r="G41" i="37" s="1"/>
  <c r="H41" i="37" s="1"/>
  <c r="I41" i="37" s="1"/>
  <c r="J41" i="37" s="1"/>
  <c r="ES664" i="18"/>
  <c r="E44" i="37"/>
  <c r="EP32" i="18"/>
  <c r="EP153" i="18"/>
  <c r="EP151" i="18"/>
  <c r="L92" i="11"/>
  <c r="FI408" i="10"/>
  <c r="J4457" i="3"/>
  <c r="J4946" i="3"/>
  <c r="FF401" i="2"/>
  <c r="FF264" i="10" s="1"/>
  <c r="FJ396" i="2"/>
  <c r="ER321" i="18"/>
  <c r="ER315" i="18"/>
  <c r="ER674" i="18"/>
  <c r="F2670" i="3" l="1"/>
  <c r="FF439" i="2"/>
  <c r="F2674" i="3"/>
  <c r="AC36" i="30"/>
  <c r="FE447" i="2"/>
  <c r="FE603" i="2"/>
  <c r="FE444" i="2"/>
  <c r="FE454" i="2"/>
  <c r="FE455" i="2" s="1"/>
  <c r="FE507" i="2" s="1"/>
  <c r="FE508" i="2" s="1"/>
  <c r="E2731" i="3"/>
  <c r="E2744" i="3" s="1"/>
  <c r="FD506" i="2"/>
  <c r="FD467" i="2"/>
  <c r="FD477" i="2" s="1"/>
  <c r="FE475" i="2"/>
  <c r="K104" i="11"/>
  <c r="FE351" i="2"/>
  <c r="FE426" i="10"/>
  <c r="K109" i="11"/>
  <c r="K111" i="11" s="1"/>
  <c r="FF354" i="10"/>
  <c r="O206" i="11"/>
  <c r="O216" i="11"/>
  <c r="O217" i="11" s="1"/>
  <c r="O223" i="11" s="1"/>
  <c r="FE467" i="2"/>
  <c r="FE46" i="2"/>
  <c r="FE128" i="10" s="1"/>
  <c r="G51" i="37"/>
  <c r="FI373" i="10"/>
  <c r="FE642" i="2"/>
  <c r="EP34" i="18"/>
  <c r="EP40" i="18" s="1"/>
  <c r="EP59" i="18" s="1"/>
  <c r="EP61" i="18" s="1"/>
  <c r="K130" i="11"/>
  <c r="L127" i="11" s="1"/>
  <c r="FF305" i="2"/>
  <c r="G2669" i="3" s="1"/>
  <c r="G2670" i="3" s="1"/>
  <c r="O1402" i="3"/>
  <c r="ES665" i="18"/>
  <c r="H10" i="37"/>
  <c r="H51" i="37"/>
  <c r="M101" i="11"/>
  <c r="M143" i="11" s="1"/>
  <c r="M70" i="11"/>
  <c r="M79" i="11"/>
  <c r="M78" i="11" s="1"/>
  <c r="M133" i="11" s="1"/>
  <c r="M74" i="11"/>
  <c r="FF346" i="2"/>
  <c r="FF421" i="10"/>
  <c r="FF462" i="2"/>
  <c r="FF472" i="2" s="1"/>
  <c r="FF41" i="2"/>
  <c r="F2731" i="3"/>
  <c r="FE506" i="2"/>
  <c r="J4430" i="3"/>
  <c r="J4432" i="3" s="1"/>
  <c r="J4449" i="3" s="1"/>
  <c r="J4450" i="3" s="1"/>
  <c r="J4459" i="3"/>
  <c r="J4458" i="3" s="1"/>
  <c r="FJ405" i="2"/>
  <c r="ES242" i="18"/>
  <c r="ES243" i="18"/>
  <c r="FE643" i="2"/>
  <c r="H170" i="41"/>
  <c r="H175" i="41" s="1"/>
  <c r="H184" i="41" s="1"/>
  <c r="H170" i="6"/>
  <c r="H175" i="6" s="1"/>
  <c r="H184" i="6" s="1"/>
  <c r="FE651" i="2"/>
  <c r="FE610" i="2"/>
  <c r="FG412" i="10"/>
  <c r="FH327" i="2"/>
  <c r="FG626" i="2"/>
  <c r="H33" i="37"/>
  <c r="EQ110" i="18"/>
  <c r="EQ137" i="18"/>
  <c r="EQ107" i="18"/>
  <c r="EQ112" i="18" s="1"/>
  <c r="EQ114" i="18"/>
  <c r="ER106" i="18"/>
  <c r="ER108" i="18" s="1"/>
  <c r="EQ111" i="18"/>
  <c r="EQ149" i="18"/>
  <c r="EQ150" i="18"/>
  <c r="FF600" i="2"/>
  <c r="FF622" i="2" s="1"/>
  <c r="FF623" i="2" s="1"/>
  <c r="FF294" i="2"/>
  <c r="FF317" i="2" s="1"/>
  <c r="FF339" i="2" s="1"/>
  <c r="FF340" i="2" s="1"/>
  <c r="FF285" i="2"/>
  <c r="FF402" i="10" s="1"/>
  <c r="FJ283" i="2"/>
  <c r="FF284" i="2"/>
  <c r="FF396" i="10"/>
  <c r="FG280" i="2"/>
  <c r="FF288" i="2"/>
  <c r="FG137" i="2"/>
  <c r="FG168" i="2"/>
  <c r="J4951" i="3"/>
  <c r="G170" i="41"/>
  <c r="G175" i="41" s="1"/>
  <c r="G184" i="41" s="1"/>
  <c r="FD610" i="2"/>
  <c r="FD611" i="2" s="1"/>
  <c r="FD643" i="2"/>
  <c r="G170" i="6"/>
  <c r="G175" i="6" s="1"/>
  <c r="G184" i="6" s="1"/>
  <c r="FD651" i="2"/>
  <c r="J28" i="37"/>
  <c r="I33" i="37"/>
  <c r="FH114" i="2"/>
  <c r="FH115" i="2" s="1"/>
  <c r="G22" i="37"/>
  <c r="G21" i="37" s="1"/>
  <c r="FJ282" i="2"/>
  <c r="FF419" i="2"/>
  <c r="FJ419" i="2" s="1"/>
  <c r="FF293" i="2"/>
  <c r="G2673" i="3"/>
  <c r="G2678" i="3"/>
  <c r="L4876" i="3"/>
  <c r="L4914" i="3"/>
  <c r="L4302" i="3"/>
  <c r="M4912" i="3"/>
  <c r="FD47" i="2"/>
  <c r="FD127" i="10"/>
  <c r="FD50" i="2"/>
  <c r="K4428" i="3"/>
  <c r="K4497" i="3"/>
  <c r="P1402" i="3"/>
  <c r="I13" i="37"/>
  <c r="H14" i="37"/>
  <c r="O54" i="11"/>
  <c r="O50" i="11"/>
  <c r="O49" i="11"/>
  <c r="O67" i="11" s="1"/>
  <c r="P45" i="11"/>
  <c r="P47" i="11" s="1"/>
  <c r="L4574" i="3"/>
  <c r="L4576" i="3" s="1"/>
  <c r="L4417" i="3"/>
  <c r="L4420" i="3" s="1"/>
  <c r="L4627" i="3"/>
  <c r="M4490" i="3"/>
  <c r="M4491" i="3" s="1"/>
  <c r="M4493" i="3" s="1"/>
  <c r="L4763" i="3"/>
  <c r="FF395" i="10"/>
  <c r="FF272" i="2"/>
  <c r="FG268" i="2"/>
  <c r="FF276" i="2"/>
  <c r="FJ271" i="2"/>
  <c r="FF273" i="2"/>
  <c r="FF401" i="10" s="1"/>
  <c r="FC1026" i="10"/>
  <c r="K4878" i="3"/>
  <c r="I79" i="41"/>
  <c r="I81" i="41" s="1"/>
  <c r="H56" i="42"/>
  <c r="H58" i="42" s="1"/>
  <c r="H63" i="42" s="1"/>
  <c r="H65" i="42" s="1"/>
  <c r="H68" i="42" s="1"/>
  <c r="I79" i="6"/>
  <c r="I81" i="6" s="1"/>
  <c r="E381" i="3"/>
  <c r="FE11" i="4"/>
  <c r="E498" i="3"/>
  <c r="E507" i="3" s="1"/>
  <c r="FH259" i="2"/>
  <c r="FJ270" i="2"/>
  <c r="FF407" i="2"/>
  <c r="FF408" i="2" s="1"/>
  <c r="K4308" i="3"/>
  <c r="K4331" i="3"/>
  <c r="K4312" i="3"/>
  <c r="AC32" i="30"/>
  <c r="AB32" i="30"/>
  <c r="Z33" i="30"/>
  <c r="J4366" i="3"/>
  <c r="J4367" i="3" s="1"/>
  <c r="J4957" i="3"/>
  <c r="J4918" i="3"/>
  <c r="J4468" i="3"/>
  <c r="P185" i="11"/>
  <c r="FG493" i="2"/>
  <c r="FG494" i="2" s="1"/>
  <c r="FG618" i="2"/>
  <c r="Q1402" i="3"/>
  <c r="L1403" i="3"/>
  <c r="K1403" i="3"/>
  <c r="J1403" i="3"/>
  <c r="M1403" i="3"/>
  <c r="N1402" i="3"/>
  <c r="F18" i="11"/>
  <c r="P1332" i="3"/>
  <c r="O1334" i="3"/>
  <c r="FG488" i="2"/>
  <c r="FG489" i="2" s="1"/>
  <c r="FG190" i="2"/>
  <c r="FG541" i="2"/>
  <c r="FG617" i="2"/>
  <c r="FG199" i="2"/>
  <c r="G383" i="3"/>
  <c r="G505" i="3"/>
  <c r="FG345" i="2"/>
  <c r="FG420" i="10"/>
  <c r="F2675" i="3"/>
  <c r="F2684" i="3"/>
  <c r="F2685" i="3" s="1"/>
  <c r="FJ619" i="2"/>
  <c r="FF640" i="2"/>
  <c r="FF457" i="2"/>
  <c r="D499" i="3"/>
  <c r="Z40" i="30"/>
  <c r="FD128" i="10"/>
  <c r="FD51" i="2"/>
  <c r="F16" i="37"/>
  <c r="F34" i="37"/>
  <c r="F35" i="37" s="1"/>
  <c r="F23" i="37"/>
  <c r="F25" i="37" s="1"/>
  <c r="FF9" i="4"/>
  <c r="FD581" i="36"/>
  <c r="FG567" i="36"/>
  <c r="FG569" i="36"/>
  <c r="FG566" i="36"/>
  <c r="FG570" i="36"/>
  <c r="FG573" i="36"/>
  <c r="G15" i="37"/>
  <c r="H17" i="37"/>
  <c r="FJ417" i="2"/>
  <c r="FF203" i="2"/>
  <c r="FF183" i="2"/>
  <c r="FD639" i="2"/>
  <c r="FD636" i="2"/>
  <c r="N222" i="11"/>
  <c r="N217" i="11"/>
  <c r="N223" i="11" s="1"/>
  <c r="FE9" i="2"/>
  <c r="FE214" i="2"/>
  <c r="FE545" i="2"/>
  <c r="FE379" i="10"/>
  <c r="FE563" i="2"/>
  <c r="FF210" i="2"/>
  <c r="FF192" i="2"/>
  <c r="G2689" i="3"/>
  <c r="G2705" i="3" s="1"/>
  <c r="FF375" i="10"/>
  <c r="FJ107" i="35"/>
  <c r="FJ577" i="36"/>
  <c r="FJ589" i="36"/>
  <c r="FJ575" i="36"/>
  <c r="FN573" i="36"/>
  <c r="FJ579" i="36"/>
  <c r="FJ581" i="36" s="1"/>
  <c r="FJ585" i="36" s="1"/>
  <c r="FJ574" i="36"/>
  <c r="FJ576" i="36"/>
  <c r="FH552" i="2"/>
  <c r="L4857" i="3"/>
  <c r="K224" i="11"/>
  <c r="L93" i="11"/>
  <c r="L94" i="11" s="1"/>
  <c r="E59" i="37"/>
  <c r="E60" i="37" s="1"/>
  <c r="FD144" i="35"/>
  <c r="FD110" i="35"/>
  <c r="FD130" i="35"/>
  <c r="FF576" i="36"/>
  <c r="FF107" i="35"/>
  <c r="FF579" i="36"/>
  <c r="FF581" i="36" s="1"/>
  <c r="FF585" i="36" s="1"/>
  <c r="FF589" i="36"/>
  <c r="FF574" i="36"/>
  <c r="FF575" i="36"/>
  <c r="FF577" i="36"/>
  <c r="FC54" i="4"/>
  <c r="D105" i="41"/>
  <c r="C105" i="6"/>
  <c r="X43" i="30"/>
  <c r="Y43" i="30"/>
  <c r="N54" i="11"/>
  <c r="O45" i="11"/>
  <c r="O47" i="11" s="1"/>
  <c r="O46" i="11" s="1"/>
  <c r="O59" i="11" s="1"/>
  <c r="N46" i="11"/>
  <c r="N59" i="11" s="1"/>
  <c r="N50" i="11"/>
  <c r="N49" i="11"/>
  <c r="N67" i="11" s="1"/>
  <c r="N1352" i="3"/>
  <c r="M1356" i="3"/>
  <c r="FG188" i="10"/>
  <c r="FG352" i="10"/>
  <c r="FG559" i="2"/>
  <c r="FF471" i="2"/>
  <c r="ES669" i="18"/>
  <c r="FF428" i="2"/>
  <c r="FE433" i="2"/>
  <c r="FE190" i="10" s="1"/>
  <c r="FE429" i="2"/>
  <c r="FE434" i="2" s="1"/>
  <c r="FE436" i="2"/>
  <c r="FE432" i="2"/>
  <c r="FE602" i="2"/>
  <c r="FE604" i="2" s="1"/>
  <c r="J5714" i="3"/>
  <c r="I4921" i="3"/>
  <c r="I4919" i="3"/>
  <c r="I4922" i="3" s="1"/>
  <c r="FE432" i="10"/>
  <c r="FE368" i="2"/>
  <c r="FD474" i="2"/>
  <c r="FD609" i="2"/>
  <c r="FD161" i="10"/>
  <c r="FE566" i="2"/>
  <c r="FE573" i="2"/>
  <c r="E47" i="37"/>
  <c r="F47" i="37" s="1"/>
  <c r="G47" i="37" s="1"/>
  <c r="H47" i="37" s="1"/>
  <c r="I47" i="37" s="1"/>
  <c r="J47" i="37" s="1"/>
  <c r="G52" i="37"/>
  <c r="K4578" i="3"/>
  <c r="K4628" i="3"/>
  <c r="K4629" i="3" s="1"/>
  <c r="K4423" i="3"/>
  <c r="K4426" i="3" s="1"/>
  <c r="L4496" i="3"/>
  <c r="K4392" i="3"/>
  <c r="K4577" i="3"/>
  <c r="FE577" i="36"/>
  <c r="FE589" i="36"/>
  <c r="FE107" i="35"/>
  <c r="FE575" i="36"/>
  <c r="FE579" i="36"/>
  <c r="FE581" i="36" s="1"/>
  <c r="FE585" i="36" s="1"/>
  <c r="FE574" i="36"/>
  <c r="FE576" i="36"/>
  <c r="AB46" i="30"/>
  <c r="AC46" i="30"/>
  <c r="I4962" i="3"/>
  <c r="I4965" i="3"/>
  <c r="I4801" i="3"/>
  <c r="FE634" i="2"/>
  <c r="FE344" i="2"/>
  <c r="FE423" i="10"/>
  <c r="FE348" i="2"/>
  <c r="F2694" i="3"/>
  <c r="F2710" i="3" s="1"/>
  <c r="L135" i="11"/>
  <c r="L128" i="11" s="1"/>
  <c r="EP698" i="18"/>
  <c r="EO700" i="18"/>
  <c r="FD10" i="2"/>
  <c r="FD352" i="2"/>
  <c r="FD427" i="10"/>
  <c r="F461" i="3"/>
  <c r="R1339" i="3"/>
  <c r="FF112" i="10"/>
  <c r="FF141" i="10" s="1"/>
  <c r="FF584" i="2"/>
  <c r="FF107" i="4"/>
  <c r="S1339" i="3"/>
  <c r="S1402" i="3" s="1"/>
  <c r="T1339" i="3"/>
  <c r="T1402" i="3" s="1"/>
  <c r="U1339" i="3"/>
  <c r="U1402" i="3" s="1"/>
  <c r="EO184" i="18"/>
  <c r="EO185" i="18"/>
  <c r="M71" i="11"/>
  <c r="M60" i="11"/>
  <c r="FF592" i="2"/>
  <c r="FJ587" i="2"/>
  <c r="FF65" i="4"/>
  <c r="J150" i="3" s="1"/>
  <c r="FG590" i="2"/>
  <c r="F54" i="37"/>
  <c r="M4568" i="3"/>
  <c r="J4335" i="3"/>
  <c r="J4339" i="3"/>
  <c r="J4813" i="3"/>
  <c r="I385" i="3"/>
  <c r="J385" i="3" s="1"/>
  <c r="K385" i="3" s="1"/>
  <c r="N4567" i="3"/>
  <c r="I284" i="3"/>
  <c r="N4913" i="3"/>
  <c r="N4911" i="3" s="1"/>
  <c r="N4289" i="3" s="1"/>
  <c r="FI360" i="10"/>
  <c r="FI110" i="35"/>
  <c r="FI130" i="35"/>
  <c r="FI144" i="35"/>
  <c r="FG396" i="2"/>
  <c r="FG401" i="2" s="1"/>
  <c r="FG264" i="10" s="1"/>
  <c r="FG399" i="2"/>
  <c r="FG398" i="2"/>
  <c r="FG599" i="2"/>
  <c r="FG402" i="2"/>
  <c r="FH394" i="2"/>
  <c r="FG173" i="10"/>
  <c r="FE472" i="2"/>
  <c r="FE464" i="2"/>
  <c r="D399" i="3"/>
  <c r="E388" i="3"/>
  <c r="E390" i="3" s="1"/>
  <c r="D391" i="3"/>
  <c r="D389" i="3" s="1"/>
  <c r="D365" i="3" s="1"/>
  <c r="D364" i="3" s="1"/>
  <c r="D368" i="3" s="1"/>
  <c r="D370" i="3" s="1"/>
  <c r="D398" i="3" s="1"/>
  <c r="M4322" i="3"/>
  <c r="M4326" i="3" s="1"/>
  <c r="M4295" i="3"/>
  <c r="FH329" i="2"/>
  <c r="FG414" i="10"/>
  <c r="E2691" i="3"/>
  <c r="E2690" i="3" s="1"/>
  <c r="E2706" i="3" s="1"/>
  <c r="E2707" i="3" s="1"/>
  <c r="E2715" i="3" s="1"/>
  <c r="E497" i="3"/>
  <c r="E506" i="3" s="1"/>
  <c r="E380" i="3"/>
  <c r="FE10" i="4"/>
  <c r="FE43" i="2"/>
  <c r="ES52" i="18"/>
  <c r="ES310" i="18"/>
  <c r="K138" i="11"/>
  <c r="K144" i="11"/>
  <c r="K145" i="11" s="1"/>
  <c r="FK569" i="36"/>
  <c r="FK573" i="36"/>
  <c r="FK566" i="36"/>
  <c r="FK570" i="36"/>
  <c r="K4457" i="3"/>
  <c r="K4946" i="3"/>
  <c r="FD65" i="35"/>
  <c r="FD593" i="36"/>
  <c r="FE591" i="36"/>
  <c r="FH410" i="10"/>
  <c r="FI325" i="2"/>
  <c r="FI410" i="10" s="1"/>
  <c r="FG189" i="10"/>
  <c r="FG400" i="10"/>
  <c r="FF446" i="2"/>
  <c r="H4953" i="3"/>
  <c r="H4949" i="3"/>
  <c r="FJ291" i="2"/>
  <c r="FF627" i="2"/>
  <c r="FF628" i="2" s="1"/>
  <c r="ES298" i="18"/>
  <c r="ES299" i="18"/>
  <c r="ES302" i="18"/>
  <c r="ES306" i="18"/>
  <c r="I4453" i="3"/>
  <c r="I4462" i="3"/>
  <c r="I4465" i="3" s="1"/>
  <c r="I4433" i="3"/>
  <c r="I4434" i="3" s="1"/>
  <c r="I4501" i="3"/>
  <c r="FM567" i="36"/>
  <c r="FM565" i="36" s="1"/>
  <c r="FL565" i="36"/>
  <c r="EP152" i="18"/>
  <c r="EP165" i="18"/>
  <c r="I8" i="37"/>
  <c r="FD16" i="4"/>
  <c r="FD18" i="4" s="1"/>
  <c r="ER322" i="18"/>
  <c r="ER323" i="18"/>
  <c r="ER332" i="18"/>
  <c r="F40" i="37"/>
  <c r="FF316" i="2"/>
  <c r="J4561" i="3"/>
  <c r="J4499" i="3"/>
  <c r="FF176" i="2"/>
  <c r="FF172" i="2"/>
  <c r="FF349" i="10"/>
  <c r="FF160" i="2"/>
  <c r="FF173" i="2"/>
  <c r="FF355" i="10" s="1"/>
  <c r="ES223" i="18"/>
  <c r="ES220" i="18"/>
  <c r="ES219" i="18"/>
  <c r="ES277" i="18"/>
  <c r="ES48" i="18" s="1"/>
  <c r="ES276" i="18"/>
  <c r="G2776" i="3"/>
  <c r="J37" i="37"/>
  <c r="I38" i="37"/>
  <c r="ES85" i="18"/>
  <c r="G53" i="37"/>
  <c r="O222" i="11" l="1"/>
  <c r="FD468" i="2"/>
  <c r="FE477" i="2"/>
  <c r="FF318" i="2"/>
  <c r="FF341" i="2" s="1"/>
  <c r="FF343" i="2" s="1"/>
  <c r="FE51" i="2"/>
  <c r="E499" i="3"/>
  <c r="D405" i="3"/>
  <c r="D401" i="3"/>
  <c r="FG302" i="2"/>
  <c r="FG439" i="2" s="1"/>
  <c r="EP65" i="18"/>
  <c r="EP66" i="18" s="1"/>
  <c r="E382" i="3"/>
  <c r="E384" i="3" s="1"/>
  <c r="E386" i="3" s="1"/>
  <c r="E393" i="3" s="1"/>
  <c r="E392" i="3" s="1"/>
  <c r="L129" i="11"/>
  <c r="L137" i="11" s="1"/>
  <c r="L138" i="11" s="1"/>
  <c r="FF442" i="2"/>
  <c r="FF454" i="2" s="1"/>
  <c r="FF310" i="2"/>
  <c r="FF306" i="2"/>
  <c r="G54" i="37"/>
  <c r="FF307" i="2"/>
  <c r="FF397" i="10"/>
  <c r="L136" i="11"/>
  <c r="FF420" i="2"/>
  <c r="FJ420" i="2" s="1"/>
  <c r="G2694" i="3"/>
  <c r="G2710" i="3" s="1"/>
  <c r="FF423" i="10"/>
  <c r="FF348" i="2"/>
  <c r="FI112" i="2"/>
  <c r="M4851" i="3"/>
  <c r="L218" i="11"/>
  <c r="FH180" i="2"/>
  <c r="FH346" i="10"/>
  <c r="FH208" i="10"/>
  <c r="FH117" i="2"/>
  <c r="FH116" i="2"/>
  <c r="FH120" i="2"/>
  <c r="ER109" i="18"/>
  <c r="FH132" i="2"/>
  <c r="FF409" i="2"/>
  <c r="FF601" i="2"/>
  <c r="FF410" i="2"/>
  <c r="FF187" i="10" s="1"/>
  <c r="FF413" i="2"/>
  <c r="FJ408" i="2"/>
  <c r="FF414" i="2"/>
  <c r="FF452" i="2"/>
  <c r="FE468" i="2"/>
  <c r="FE474" i="2"/>
  <c r="FD470" i="2"/>
  <c r="FD478" i="2"/>
  <c r="J4919" i="3"/>
  <c r="J4922" i="3" s="1"/>
  <c r="J4921" i="3"/>
  <c r="FI327" i="2"/>
  <c r="FH412" i="10"/>
  <c r="H53" i="37"/>
  <c r="FF97" i="4"/>
  <c r="FF178" i="4" s="1"/>
  <c r="FF153" i="4"/>
  <c r="FF104" i="10"/>
  <c r="G108" i="41"/>
  <c r="F108" i="6"/>
  <c r="R1402" i="3"/>
  <c r="U1403" i="3" s="1"/>
  <c r="U1340" i="3"/>
  <c r="T1340" i="3"/>
  <c r="R1340" i="3"/>
  <c r="S1340" i="3"/>
  <c r="FG562" i="2"/>
  <c r="G373" i="3" s="1"/>
  <c r="FG560" i="2"/>
  <c r="FG572" i="2"/>
  <c r="G172" i="41"/>
  <c r="G171" i="41" s="1"/>
  <c r="I4948" i="3"/>
  <c r="G172" i="6"/>
  <c r="G171" i="6" s="1"/>
  <c r="FD638" i="2"/>
  <c r="FD644" i="2"/>
  <c r="J4962" i="3"/>
  <c r="J4965" i="3"/>
  <c r="J4801" i="3"/>
  <c r="FH260" i="2"/>
  <c r="L4577" i="3"/>
  <c r="L4423" i="3"/>
  <c r="L4426" i="3" s="1"/>
  <c r="L4578" i="3"/>
  <c r="L4628" i="3"/>
  <c r="L4629" i="3" s="1"/>
  <c r="M4496" i="3"/>
  <c r="F2744" i="3"/>
  <c r="FD14" i="2"/>
  <c r="Z47" i="30"/>
  <c r="E2700" i="3"/>
  <c r="FD12" i="2"/>
  <c r="G2683" i="3"/>
  <c r="ER333" i="18"/>
  <c r="ER334" i="18"/>
  <c r="ES308" i="18"/>
  <c r="ES309" i="18" s="1"/>
  <c r="ES311" i="18"/>
  <c r="ES53" i="18"/>
  <c r="ES55" i="18" s="1"/>
  <c r="FE588" i="36"/>
  <c r="FE12" i="4"/>
  <c r="FE16" i="4" s="1"/>
  <c r="FE18" i="4" s="1"/>
  <c r="Q4289" i="3"/>
  <c r="N4295" i="3"/>
  <c r="N4322" i="3"/>
  <c r="N4326" i="3" s="1"/>
  <c r="P4289" i="3"/>
  <c r="F480" i="3"/>
  <c r="F463" i="3"/>
  <c r="C118" i="6"/>
  <c r="C121" i="6"/>
  <c r="F60" i="37"/>
  <c r="E67" i="37"/>
  <c r="P1334" i="3"/>
  <c r="Q1332" i="3"/>
  <c r="FD49" i="2"/>
  <c r="FG138" i="2"/>
  <c r="FG170" i="2"/>
  <c r="FG175" i="2" s="1"/>
  <c r="FG153" i="2" s="1"/>
  <c r="F380" i="3"/>
  <c r="FF10" i="4"/>
  <c r="F497" i="3"/>
  <c r="F506" i="3" s="1"/>
  <c r="FD19" i="4"/>
  <c r="F2942" i="3"/>
  <c r="FD102" i="10"/>
  <c r="E20" i="41"/>
  <c r="H173" i="3"/>
  <c r="FD53" i="4"/>
  <c r="F43" i="37"/>
  <c r="F44" i="37" s="1"/>
  <c r="G40" i="37"/>
  <c r="FE50" i="2"/>
  <c r="FE47" i="2"/>
  <c r="FE49" i="2" s="1"/>
  <c r="FE127" i="10"/>
  <c r="ES279" i="18"/>
  <c r="ES47" i="18"/>
  <c r="ES50" i="18" s="1"/>
  <c r="J284" i="3"/>
  <c r="I290" i="3"/>
  <c r="L4497" i="3"/>
  <c r="L4428" i="3"/>
  <c r="D118" i="41"/>
  <c r="D121" i="41"/>
  <c r="F59" i="37"/>
  <c r="E66" i="37"/>
  <c r="FJ130" i="35"/>
  <c r="FJ110" i="35"/>
  <c r="FJ144" i="35"/>
  <c r="FF320" i="2"/>
  <c r="FF230" i="2"/>
  <c r="FF632" i="2"/>
  <c r="FE611" i="2"/>
  <c r="FD69" i="35"/>
  <c r="FD153" i="35"/>
  <c r="FD97" i="35"/>
  <c r="E508" i="3"/>
  <c r="N4568" i="3"/>
  <c r="M62" i="11"/>
  <c r="M61" i="11"/>
  <c r="M100" i="11"/>
  <c r="F19" i="11"/>
  <c r="M90" i="11"/>
  <c r="K4366" i="3"/>
  <c r="K4367" i="3" s="1"/>
  <c r="K4957" i="3"/>
  <c r="K4918" i="3"/>
  <c r="FF205" i="2"/>
  <c r="FF376" i="10"/>
  <c r="FF211" i="2"/>
  <c r="FF44" i="2"/>
  <c r="FF465" i="2"/>
  <c r="N1403" i="3"/>
  <c r="Q1403" i="3"/>
  <c r="M4876" i="3"/>
  <c r="M4302" i="3"/>
  <c r="N4912" i="3"/>
  <c r="M4914" i="3"/>
  <c r="K28" i="37"/>
  <c r="J33" i="37"/>
  <c r="FG291" i="2"/>
  <c r="FG282" i="2"/>
  <c r="FG283" i="2" s="1"/>
  <c r="FG316" i="2" s="1"/>
  <c r="EQ154" i="18"/>
  <c r="EQ33" i="18"/>
  <c r="FE650" i="2"/>
  <c r="FE661" i="2" s="1"/>
  <c r="FE648" i="2"/>
  <c r="FE659" i="2" s="1"/>
  <c r="FE23" i="4" s="1"/>
  <c r="FE647" i="2"/>
  <c r="FE658" i="2" s="1"/>
  <c r="FE649" i="2"/>
  <c r="FE660" i="2" s="1"/>
  <c r="FE24" i="4" s="1"/>
  <c r="L4331" i="3"/>
  <c r="L4312" i="3"/>
  <c r="L4308" i="3"/>
  <c r="EQ32" i="18"/>
  <c r="EQ153" i="18"/>
  <c r="EQ151" i="18"/>
  <c r="K4468" i="3"/>
  <c r="F18" i="37"/>
  <c r="F58" i="37"/>
  <c r="F24" i="37"/>
  <c r="F26" i="37" s="1"/>
  <c r="AC33" i="30"/>
  <c r="AB33" i="30"/>
  <c r="J51" i="37"/>
  <c r="I10" i="37"/>
  <c r="FF422" i="10"/>
  <c r="FF463" i="2"/>
  <c r="FF347" i="2"/>
  <c r="FF42" i="2"/>
  <c r="FE630" i="2"/>
  <c r="FE608" i="2"/>
  <c r="FF193" i="2"/>
  <c r="FJ192" i="2"/>
  <c r="I17" i="37"/>
  <c r="I15" i="37" s="1"/>
  <c r="H15" i="37"/>
  <c r="H16" i="37" s="1"/>
  <c r="O56" i="11"/>
  <c r="O58" i="11"/>
  <c r="J79" i="41"/>
  <c r="J81" i="41" s="1"/>
  <c r="I56" i="42"/>
  <c r="I58" i="42" s="1"/>
  <c r="I63" i="42" s="1"/>
  <c r="I65" i="42" s="1"/>
  <c r="I68" i="42" s="1"/>
  <c r="J79" i="6"/>
  <c r="J81" i="6" s="1"/>
  <c r="L4878" i="3"/>
  <c r="FD648" i="2"/>
  <c r="FD659" i="2" s="1"/>
  <c r="FD23" i="4" s="1"/>
  <c r="FD650" i="2"/>
  <c r="FD661" i="2" s="1"/>
  <c r="FD647" i="2"/>
  <c r="FD658" i="2" s="1"/>
  <c r="FD649" i="2"/>
  <c r="FD660" i="2" s="1"/>
  <c r="FD24" i="4" s="1"/>
  <c r="L86" i="11"/>
  <c r="L87" i="11" s="1"/>
  <c r="L95" i="11" s="1"/>
  <c r="EP166" i="18"/>
  <c r="EP172" i="18"/>
  <c r="EP687" i="18"/>
  <c r="FH414" i="10"/>
  <c r="FI329" i="2"/>
  <c r="FI414" i="10" s="1"/>
  <c r="N1356" i="3"/>
  <c r="O1352" i="3"/>
  <c r="H22" i="37"/>
  <c r="H21" i="37" s="1"/>
  <c r="M73" i="11"/>
  <c r="M91" i="11" s="1"/>
  <c r="H52" i="37"/>
  <c r="G34" i="37"/>
  <c r="G35" i="37" s="1"/>
  <c r="G23" i="37"/>
  <c r="G25" i="37" s="1"/>
  <c r="FG405" i="2"/>
  <c r="FG270" i="2"/>
  <c r="FG407" i="2" s="1"/>
  <c r="FF165" i="2"/>
  <c r="FG157" i="2"/>
  <c r="FF161" i="2"/>
  <c r="FF162" i="2"/>
  <c r="FF158" i="2" s="1"/>
  <c r="FF163" i="2" s="1"/>
  <c r="F46" i="37"/>
  <c r="G46" i="37" s="1"/>
  <c r="H46" i="37" s="1"/>
  <c r="I46" i="37" s="1"/>
  <c r="J46" i="37" s="1"/>
  <c r="K46" i="37" s="1"/>
  <c r="N68" i="11"/>
  <c r="N69" i="11" s="1"/>
  <c r="FH551" i="2"/>
  <c r="FH556" i="2"/>
  <c r="FH555" i="2" s="1"/>
  <c r="FG575" i="36"/>
  <c r="FG107" i="35"/>
  <c r="FH107" i="35" s="1"/>
  <c r="FG577" i="36"/>
  <c r="FG589" i="36"/>
  <c r="FH589" i="36" s="1"/>
  <c r="FH590" i="36" s="1"/>
  <c r="FG579" i="36"/>
  <c r="FG581" i="36" s="1"/>
  <c r="FG585" i="36" s="1"/>
  <c r="FG576" i="36"/>
  <c r="FG574" i="36"/>
  <c r="J13" i="37"/>
  <c r="I14" i="37"/>
  <c r="FJ294" i="2"/>
  <c r="FF295" i="2"/>
  <c r="FF299" i="2"/>
  <c r="FF425" i="2" s="1"/>
  <c r="FF296" i="2"/>
  <c r="O1403" i="3"/>
  <c r="FJ293" i="2"/>
  <c r="FF298" i="2"/>
  <c r="FF424" i="2" s="1"/>
  <c r="FL569" i="36"/>
  <c r="FL570" i="36"/>
  <c r="FL573" i="36"/>
  <c r="FL566" i="36"/>
  <c r="P1403" i="3"/>
  <c r="FM569" i="36"/>
  <c r="FM573" i="36"/>
  <c r="FM566" i="36"/>
  <c r="FM570" i="36"/>
  <c r="FK579" i="36"/>
  <c r="FK581" i="36" s="1"/>
  <c r="FK585" i="36" s="1"/>
  <c r="FK575" i="36"/>
  <c r="FK577" i="36"/>
  <c r="FK589" i="36"/>
  <c r="FK107" i="35"/>
  <c r="FK574" i="36"/>
  <c r="FK576" i="36"/>
  <c r="FE130" i="35"/>
  <c r="FE144" i="35"/>
  <c r="FE110" i="35"/>
  <c r="FJ428" i="2"/>
  <c r="FF430" i="2"/>
  <c r="FJ430" i="2" s="1"/>
  <c r="AC40" i="30"/>
  <c r="AB40" i="30"/>
  <c r="Z41" i="30"/>
  <c r="FG619" i="2"/>
  <c r="J169" i="41"/>
  <c r="J174" i="41" s="1"/>
  <c r="J183" i="41" s="1"/>
  <c r="J169" i="6"/>
  <c r="J174" i="6" s="1"/>
  <c r="J183" i="6" s="1"/>
  <c r="FJ407" i="2"/>
  <c r="FF412" i="2"/>
  <c r="K4561" i="3"/>
  <c r="K4499" i="3"/>
  <c r="G2674" i="3"/>
  <c r="G2684" i="3" s="1"/>
  <c r="G2679" i="3"/>
  <c r="G2680" i="3" s="1"/>
  <c r="FF130" i="35"/>
  <c r="FF144" i="35"/>
  <c r="FF110" i="35"/>
  <c r="J4541" i="3"/>
  <c r="I4439" i="3"/>
  <c r="D406" i="3"/>
  <c r="D400" i="3"/>
  <c r="N56" i="11"/>
  <c r="N58" i="11"/>
  <c r="P216" i="11"/>
  <c r="P206" i="11"/>
  <c r="P48" i="11"/>
  <c r="K4430" i="3"/>
  <c r="K4432" i="3" s="1"/>
  <c r="K4449" i="3" s="1"/>
  <c r="K4459" i="3"/>
  <c r="K4458" i="3" s="1"/>
  <c r="H82" i="41"/>
  <c r="H82" i="6"/>
  <c r="G59" i="42"/>
  <c r="J4461" i="3"/>
  <c r="N4490" i="3"/>
  <c r="N4491" i="3" s="1"/>
  <c r="N4493" i="3" s="1"/>
  <c r="M4574" i="3"/>
  <c r="M4576" i="3" s="1"/>
  <c r="M4763" i="3"/>
  <c r="M4417" i="3"/>
  <c r="M4420" i="3" s="1"/>
  <c r="M4627" i="3"/>
  <c r="FG461" i="2"/>
  <c r="FG40" i="2"/>
  <c r="FG207" i="2"/>
  <c r="FG372" i="10"/>
  <c r="G494" i="3"/>
  <c r="G502" i="3" s="1"/>
  <c r="G503" i="3" s="1"/>
  <c r="FG202" i="2"/>
  <c r="J4560" i="3"/>
  <c r="J4795" i="3"/>
  <c r="I4467" i="3"/>
  <c r="I4469" i="3"/>
  <c r="FF144" i="4"/>
  <c r="FF130" i="4"/>
  <c r="FF110" i="4"/>
  <c r="F112" i="6"/>
  <c r="G112" i="41"/>
  <c r="FE352" i="2"/>
  <c r="FE10" i="2"/>
  <c r="FE12" i="2" s="1"/>
  <c r="FE427" i="10"/>
  <c r="ES678" i="18"/>
  <c r="ES677" i="18" s="1"/>
  <c r="FE13" i="2"/>
  <c r="F2699" i="3"/>
  <c r="J4451" i="3"/>
  <c r="J4446" i="3"/>
  <c r="J4445" i="3"/>
  <c r="K4951" i="3"/>
  <c r="K4335" i="3"/>
  <c r="K4339" i="3"/>
  <c r="K4813" i="3"/>
  <c r="K37" i="37"/>
  <c r="J38" i="37"/>
  <c r="FF453" i="2"/>
  <c r="FF319" i="2"/>
  <c r="FF367" i="2" s="1"/>
  <c r="FE639" i="2"/>
  <c r="FE636" i="2"/>
  <c r="FD585" i="36"/>
  <c r="FJ457" i="2"/>
  <c r="FF458" i="2"/>
  <c r="FG364" i="10"/>
  <c r="FG191" i="2"/>
  <c r="G286" i="3"/>
  <c r="G291" i="3" s="1"/>
  <c r="G293" i="3" s="1"/>
  <c r="FG625" i="2"/>
  <c r="FG627" i="2" s="1"/>
  <c r="FG628" i="2" s="1"/>
  <c r="L4946" i="3"/>
  <c r="L4457" i="3"/>
  <c r="G16" i="37"/>
  <c r="I51" i="37"/>
  <c r="FF424" i="10" l="1"/>
  <c r="FF349" i="2"/>
  <c r="FF403" i="10"/>
  <c r="J33" i="11"/>
  <c r="FF443" i="2"/>
  <c r="FG304" i="2"/>
  <c r="FG441" i="2" s="1"/>
  <c r="FG446" i="2" s="1"/>
  <c r="L144" i="11"/>
  <c r="L145" i="11" s="1"/>
  <c r="EP67" i="18"/>
  <c r="FF444" i="2"/>
  <c r="FF603" i="2"/>
  <c r="FJ603" i="2" s="1"/>
  <c r="FF447" i="2"/>
  <c r="FF455" i="2"/>
  <c r="D411" i="3"/>
  <c r="D412" i="3" s="1"/>
  <c r="D402" i="3"/>
  <c r="L130" i="11"/>
  <c r="M127" i="11" s="1"/>
  <c r="FF422" i="2"/>
  <c r="FG417" i="2"/>
  <c r="FF421" i="2"/>
  <c r="FF431" i="2"/>
  <c r="K5714" i="3" s="1"/>
  <c r="FH585" i="36"/>
  <c r="H54" i="37"/>
  <c r="T1403" i="3"/>
  <c r="FH579" i="36"/>
  <c r="R1403" i="3"/>
  <c r="E68" i="37"/>
  <c r="E72" i="37" s="1"/>
  <c r="E88" i="37" s="1"/>
  <c r="G2685" i="3"/>
  <c r="J4452" i="3"/>
  <c r="J4501" i="3" s="1"/>
  <c r="N60" i="11"/>
  <c r="N90" i="11" s="1"/>
  <c r="N132" i="11" s="1"/>
  <c r="EQ34" i="18"/>
  <c r="EQ40" i="18" s="1"/>
  <c r="EQ59" i="18" s="1"/>
  <c r="EQ65" i="18" s="1"/>
  <c r="FH559" i="2"/>
  <c r="F49" i="37"/>
  <c r="FG453" i="2"/>
  <c r="FG573" i="2" s="1"/>
  <c r="N101" i="11"/>
  <c r="N70" i="11"/>
  <c r="N79" i="11"/>
  <c r="N78" i="11" s="1"/>
  <c r="N133" i="11" s="1"/>
  <c r="N74" i="11"/>
  <c r="N73" i="11" s="1"/>
  <c r="FL577" i="36"/>
  <c r="FL579" i="36"/>
  <c r="FL581" i="36" s="1"/>
  <c r="FL585" i="36" s="1"/>
  <c r="FL574" i="36"/>
  <c r="FL576" i="36"/>
  <c r="FL107" i="35"/>
  <c r="FL589" i="36"/>
  <c r="FL575" i="36"/>
  <c r="ES325" i="18"/>
  <c r="ES682" i="18"/>
  <c r="AB41" i="30"/>
  <c r="Z43" i="30"/>
  <c r="AC41" i="30"/>
  <c r="F2700" i="3"/>
  <c r="F2696" i="3" s="1"/>
  <c r="F2695" i="3" s="1"/>
  <c r="F2711" i="3" s="1"/>
  <c r="F2712" i="3" s="1"/>
  <c r="F2716" i="3" s="1"/>
  <c r="FE14" i="2"/>
  <c r="J17" i="37"/>
  <c r="J14" i="37"/>
  <c r="I52" i="37"/>
  <c r="FF473" i="2"/>
  <c r="FF464" i="2"/>
  <c r="FE22" i="4"/>
  <c r="FE26" i="4" s="1"/>
  <c r="FE28" i="4" s="1"/>
  <c r="FE662" i="2"/>
  <c r="FF231" i="2"/>
  <c r="FF384" i="10"/>
  <c r="FF505" i="2"/>
  <c r="FG578" i="2"/>
  <c r="FG580" i="2" s="1"/>
  <c r="FG576" i="2"/>
  <c r="FG574" i="2"/>
  <c r="FG588" i="2"/>
  <c r="FG587" i="2" s="1"/>
  <c r="L4977" i="3"/>
  <c r="L4978" i="3" s="1"/>
  <c r="FC10" i="32"/>
  <c r="I53" i="37"/>
  <c r="O68" i="11"/>
  <c r="FE131" i="10"/>
  <c r="FE52" i="2"/>
  <c r="G2675" i="3"/>
  <c r="FE470" i="2"/>
  <c r="FE478" i="2"/>
  <c r="M4857" i="3"/>
  <c r="FI552" i="2"/>
  <c r="L224" i="11"/>
  <c r="FM574" i="36"/>
  <c r="FM589" i="36"/>
  <c r="FM579" i="36"/>
  <c r="FM581" i="36" s="1"/>
  <c r="FM585" i="36" s="1"/>
  <c r="FM577" i="36"/>
  <c r="FM107" i="35"/>
  <c r="FM575" i="36"/>
  <c r="FM576" i="36"/>
  <c r="FH581" i="36"/>
  <c r="J4447" i="3"/>
  <c r="K4444" i="3" s="1"/>
  <c r="I82" i="41"/>
  <c r="H59" i="42"/>
  <c r="I82" i="6"/>
  <c r="K4461" i="3"/>
  <c r="FG348" i="10"/>
  <c r="FG140" i="2"/>
  <c r="FG354" i="10" s="1"/>
  <c r="FH135" i="2"/>
  <c r="FG143" i="2"/>
  <c r="FG139" i="2"/>
  <c r="FG171" i="2"/>
  <c r="FG182" i="2"/>
  <c r="FD15" i="2"/>
  <c r="EZ8" i="32"/>
  <c r="FD54" i="2"/>
  <c r="FD55" i="2" s="1"/>
  <c r="D451" i="3"/>
  <c r="FD570" i="2"/>
  <c r="FD575" i="2"/>
  <c r="K4450" i="3"/>
  <c r="N4574" i="3"/>
  <c r="N4576" i="3" s="1"/>
  <c r="E5058" i="3"/>
  <c r="E5061" i="3" s="1"/>
  <c r="N4627" i="3"/>
  <c r="N4417" i="3"/>
  <c r="N4420" i="3" s="1"/>
  <c r="N4763" i="3"/>
  <c r="E2696" i="3"/>
  <c r="E2695" i="3" s="1"/>
  <c r="E2711" i="3" s="1"/>
  <c r="E2712" i="3" s="1"/>
  <c r="E2716" i="3" s="1"/>
  <c r="E2718" i="3" s="1"/>
  <c r="E2702" i="3"/>
  <c r="FH314" i="2"/>
  <c r="FH598" i="2"/>
  <c r="FH265" i="2"/>
  <c r="FH394" i="10"/>
  <c r="FH261" i="2"/>
  <c r="FH262" i="2"/>
  <c r="FI257" i="2"/>
  <c r="FH397" i="2"/>
  <c r="FI412" i="10"/>
  <c r="FH352" i="10"/>
  <c r="FH188" i="10"/>
  <c r="H172" i="41"/>
  <c r="H171" i="41" s="1"/>
  <c r="J4948" i="3"/>
  <c r="FE638" i="2"/>
  <c r="FE644" i="2"/>
  <c r="H172" i="6"/>
  <c r="H171" i="6" s="1"/>
  <c r="FG9" i="4"/>
  <c r="P49" i="11"/>
  <c r="P67" i="11" s="1"/>
  <c r="P46" i="11"/>
  <c r="P59" i="11" s="1"/>
  <c r="P50" i="11"/>
  <c r="P54" i="11"/>
  <c r="H18" i="37"/>
  <c r="H24" i="37"/>
  <c r="H26" i="37" s="1"/>
  <c r="K51" i="37"/>
  <c r="FF467" i="2"/>
  <c r="FF477" i="2" s="1"/>
  <c r="FF475" i="2"/>
  <c r="H40" i="37"/>
  <c r="G43" i="37"/>
  <c r="G44" i="37" s="1"/>
  <c r="FD131" i="10"/>
  <c r="FD52" i="2"/>
  <c r="FF351" i="2"/>
  <c r="FF426" i="10"/>
  <c r="FF13" i="4"/>
  <c r="FF15" i="4" s="1"/>
  <c r="FF46" i="2"/>
  <c r="AC47" i="30"/>
  <c r="AB47" i="30"/>
  <c r="Z48" i="30"/>
  <c r="G59" i="37"/>
  <c r="F66" i="37"/>
  <c r="E105" i="41"/>
  <c r="FD54" i="4"/>
  <c r="D105" i="6"/>
  <c r="FH488" i="2"/>
  <c r="FH489" i="2" s="1"/>
  <c r="FH541" i="2"/>
  <c r="FH190" i="2"/>
  <c r="FH617" i="2"/>
  <c r="FH199" i="2"/>
  <c r="FA8" i="32"/>
  <c r="E451" i="3"/>
  <c r="FE15" i="2"/>
  <c r="FE54" i="2"/>
  <c r="FE575" i="2"/>
  <c r="FE570" i="2"/>
  <c r="FG294" i="2"/>
  <c r="FH280" i="2"/>
  <c r="FG284" i="2"/>
  <c r="FG396" i="10"/>
  <c r="FG285" i="2"/>
  <c r="FG402" i="10" s="1"/>
  <c r="FG288" i="2"/>
  <c r="FG164" i="2"/>
  <c r="FG159" i="2" s="1"/>
  <c r="FG148" i="2"/>
  <c r="FG147" i="2" s="1"/>
  <c r="FG152" i="2" s="1"/>
  <c r="FF566" i="2"/>
  <c r="FF573" i="2"/>
  <c r="K4560" i="3"/>
  <c r="K4795" i="3"/>
  <c r="O60" i="11"/>
  <c r="FG419" i="2"/>
  <c r="FG293" i="2"/>
  <c r="FG298" i="2" s="1"/>
  <c r="FG424" i="2" s="1"/>
  <c r="P217" i="11"/>
  <c r="P223" i="11" s="1"/>
  <c r="P222" i="11"/>
  <c r="H23" i="37"/>
  <c r="H25" i="37" s="1"/>
  <c r="I34" i="37"/>
  <c r="I35" i="37" s="1"/>
  <c r="FF378" i="10"/>
  <c r="FF213" i="2"/>
  <c r="FF633" i="2"/>
  <c r="FF634" i="2" s="1"/>
  <c r="FF206" i="2"/>
  <c r="FE102" i="10"/>
  <c r="FE1026" i="10" s="1"/>
  <c r="F20" i="41"/>
  <c r="FE19" i="4"/>
  <c r="FE53" i="4"/>
  <c r="L4468" i="3"/>
  <c r="M4457" i="3"/>
  <c r="M4946" i="3"/>
  <c r="FG144" i="35"/>
  <c r="FH144" i="35" s="1"/>
  <c r="FG110" i="35"/>
  <c r="FH110" i="35" s="1"/>
  <c r="FG130" i="35"/>
  <c r="FH130" i="35" s="1"/>
  <c r="FG271" i="2"/>
  <c r="EP176" i="18"/>
  <c r="EP183" i="18" s="1"/>
  <c r="EP696" i="18"/>
  <c r="EP695" i="18" s="1"/>
  <c r="I23" i="37"/>
  <c r="I25" i="37" s="1"/>
  <c r="K33" i="37"/>
  <c r="L4430" i="3"/>
  <c r="L4432" i="3" s="1"/>
  <c r="L4449" i="3" s="1"/>
  <c r="L4459" i="3"/>
  <c r="FD1026" i="10"/>
  <c r="R1332" i="3"/>
  <c r="Q1334" i="3"/>
  <c r="F113" i="6"/>
  <c r="F122" i="6"/>
  <c r="FI114" i="2"/>
  <c r="FI115" i="2" s="1"/>
  <c r="O1356" i="3"/>
  <c r="P1352" i="3"/>
  <c r="G18" i="37"/>
  <c r="H58" i="37"/>
  <c r="G24" i="37"/>
  <c r="G26" i="37" s="1"/>
  <c r="L4951" i="3"/>
  <c r="F2691" i="3"/>
  <c r="F2690" i="3" s="1"/>
  <c r="F2706" i="3" s="1"/>
  <c r="F2707" i="3" s="1"/>
  <c r="F2715" i="3" s="1"/>
  <c r="FK110" i="35"/>
  <c r="FK144" i="35"/>
  <c r="FK130" i="35"/>
  <c r="FG412" i="2"/>
  <c r="EP174" i="18"/>
  <c r="EP173" i="18"/>
  <c r="K4919" i="3"/>
  <c r="K4922" i="3" s="1"/>
  <c r="K4921" i="3"/>
  <c r="L4561" i="3"/>
  <c r="L4499" i="3"/>
  <c r="FF591" i="36"/>
  <c r="FE593" i="36"/>
  <c r="FE65" i="35"/>
  <c r="M4428" i="3"/>
  <c r="M4497" i="3"/>
  <c r="G122" i="41"/>
  <c r="G113" i="41"/>
  <c r="FG471" i="2"/>
  <c r="FF432" i="10"/>
  <c r="FF368" i="2"/>
  <c r="M4628" i="3"/>
  <c r="M4629" i="3" s="1"/>
  <c r="M4577" i="3"/>
  <c r="N4496" i="3"/>
  <c r="N4497" i="3" s="1"/>
  <c r="M4578" i="3"/>
  <c r="M4423" i="3"/>
  <c r="M4426" i="3" s="1"/>
  <c r="FG408" i="2"/>
  <c r="FG452" i="2" s="1"/>
  <c r="L4335" i="3"/>
  <c r="L4339" i="3"/>
  <c r="L4813" i="3"/>
  <c r="FD178" i="35"/>
  <c r="F2944" i="3"/>
  <c r="G2942" i="3"/>
  <c r="I4949" i="3"/>
  <c r="I4953" i="3"/>
  <c r="FF629" i="2"/>
  <c r="FJ601" i="2"/>
  <c r="EQ165" i="18"/>
  <c r="EQ152" i="18"/>
  <c r="D414" i="3"/>
  <c r="D407" i="3"/>
  <c r="G60" i="37"/>
  <c r="F67" i="37"/>
  <c r="L96" i="11"/>
  <c r="L102" i="11"/>
  <c r="L103" i="11" s="1"/>
  <c r="FE161" i="10"/>
  <c r="FE609" i="2"/>
  <c r="K4962" i="3"/>
  <c r="K4965" i="3"/>
  <c r="K4801" i="3"/>
  <c r="J290" i="3"/>
  <c r="K284" i="3"/>
  <c r="K290" i="3" s="1"/>
  <c r="I4982" i="3"/>
  <c r="FG640" i="2"/>
  <c r="FG457" i="2"/>
  <c r="H34" i="37"/>
  <c r="H35" i="37" s="1"/>
  <c r="L88" i="11"/>
  <c r="M85" i="11" s="1"/>
  <c r="F61" i="37"/>
  <c r="F65" i="37"/>
  <c r="N4302" i="3"/>
  <c r="N4876" i="3"/>
  <c r="N4914" i="3"/>
  <c r="O4945" i="3"/>
  <c r="E399" i="3"/>
  <c r="E391" i="3"/>
  <c r="E389" i="3" s="1"/>
  <c r="E365" i="3" s="1"/>
  <c r="E364" i="3" s="1"/>
  <c r="E368" i="3" s="1"/>
  <c r="E370" i="3" s="1"/>
  <c r="E398" i="3" s="1"/>
  <c r="F388" i="3"/>
  <c r="F390" i="3" s="1"/>
  <c r="L4366" i="3"/>
  <c r="L4367" i="3" s="1"/>
  <c r="L4957" i="3"/>
  <c r="L4918" i="3"/>
  <c r="FF1031" i="10"/>
  <c r="FF344" i="2"/>
  <c r="N71" i="11"/>
  <c r="F381" i="3"/>
  <c r="F382" i="3" s="1"/>
  <c r="F384" i="3" s="1"/>
  <c r="F386" i="3" s="1"/>
  <c r="F393" i="3" s="1"/>
  <c r="FF11" i="4"/>
  <c r="FF12" i="4" s="1"/>
  <c r="F498" i="3"/>
  <c r="F507" i="3" s="1"/>
  <c r="F508" i="3" s="1"/>
  <c r="FF43" i="2"/>
  <c r="G58" i="37"/>
  <c r="M4312" i="3"/>
  <c r="M4331" i="3"/>
  <c r="M4308" i="3"/>
  <c r="M132" i="11"/>
  <c r="M92" i="11"/>
  <c r="M93" i="11" s="1"/>
  <c r="ES57" i="18"/>
  <c r="S1403" i="3"/>
  <c r="ER114" i="18"/>
  <c r="ER107" i="18"/>
  <c r="ER112" i="18" s="1"/>
  <c r="ER110" i="18"/>
  <c r="ER111" i="18"/>
  <c r="ER137" i="18"/>
  <c r="ES106" i="18"/>
  <c r="ES108" i="18" s="1"/>
  <c r="ER149" i="18"/>
  <c r="ER150" i="18"/>
  <c r="FG192" i="2"/>
  <c r="FG193" i="2" s="1"/>
  <c r="FG375" i="10"/>
  <c r="FG210" i="2"/>
  <c r="I16" i="37"/>
  <c r="I58" i="37" s="1"/>
  <c r="I22" i="37"/>
  <c r="I21" i="37" s="1"/>
  <c r="FD662" i="2"/>
  <c r="FD22" i="4"/>
  <c r="FD26" i="4" s="1"/>
  <c r="FD28" i="4" s="1"/>
  <c r="FD29" i="4" s="1"/>
  <c r="K79" i="6"/>
  <c r="K81" i="6" s="1"/>
  <c r="L56" i="42"/>
  <c r="L58" i="42" s="1"/>
  <c r="L63" i="42" s="1"/>
  <c r="L65" i="42" s="1"/>
  <c r="L68" i="42" s="1"/>
  <c r="J56" i="42"/>
  <c r="J58" i="42" s="1"/>
  <c r="J63" i="42" s="1"/>
  <c r="J65" i="42" s="1"/>
  <c r="J68" i="42" s="1"/>
  <c r="K79" i="41"/>
  <c r="K81" i="41" s="1"/>
  <c r="M4878" i="3"/>
  <c r="FJ632" i="2"/>
  <c r="FF642" i="2"/>
  <c r="ES314" i="18"/>
  <c r="FD480" i="2"/>
  <c r="FD526" i="2"/>
  <c r="FD527" i="2" s="1"/>
  <c r="FG305" i="2" l="1"/>
  <c r="FG397" i="10" s="1"/>
  <c r="FH572" i="2"/>
  <c r="FH588" i="2" s="1"/>
  <c r="FF429" i="2"/>
  <c r="FF434" i="2" s="1"/>
  <c r="FF436" i="2"/>
  <c r="FG420" i="2"/>
  <c r="FG431" i="2" s="1"/>
  <c r="FF433" i="2"/>
  <c r="FF190" i="10" s="1"/>
  <c r="FG428" i="2"/>
  <c r="FG430" i="2" s="1"/>
  <c r="FF602" i="2"/>
  <c r="FF608" i="2" s="1"/>
  <c r="FF609" i="2" s="1"/>
  <c r="FJ431" i="2"/>
  <c r="E405" i="3"/>
  <c r="E401" i="3"/>
  <c r="FF432" i="2"/>
  <c r="FH302" i="2"/>
  <c r="FH304" i="2" s="1"/>
  <c r="F2718" i="3"/>
  <c r="FG318" i="2"/>
  <c r="FG341" i="2" s="1"/>
  <c r="FG424" i="10" s="1"/>
  <c r="FH560" i="2"/>
  <c r="FH562" i="2"/>
  <c r="H373" i="3" s="1"/>
  <c r="FG442" i="2"/>
  <c r="FG443" i="2" s="1"/>
  <c r="J4433" i="3"/>
  <c r="J4434" i="3" s="1"/>
  <c r="J4439" i="3" s="1"/>
  <c r="FG310" i="2"/>
  <c r="FG307" i="2"/>
  <c r="FG403" i="10" s="1"/>
  <c r="J4462" i="3"/>
  <c r="J4465" i="3" s="1"/>
  <c r="J4453" i="3"/>
  <c r="FF16" i="4"/>
  <c r="FF18" i="4" s="1"/>
  <c r="EQ61" i="18"/>
  <c r="N100" i="11"/>
  <c r="N62" i="11"/>
  <c r="N61" i="11"/>
  <c r="G49" i="37"/>
  <c r="F68" i="37"/>
  <c r="F72" i="37" s="1"/>
  <c r="F88" i="37" s="1"/>
  <c r="E2719" i="3"/>
  <c r="F392" i="3"/>
  <c r="G388" i="3" s="1"/>
  <c r="G390" i="3" s="1"/>
  <c r="FE55" i="2"/>
  <c r="F2702" i="3"/>
  <c r="FJ634" i="2"/>
  <c r="FF636" i="2"/>
  <c r="FF639" i="2"/>
  <c r="I65" i="37"/>
  <c r="FL110" i="35"/>
  <c r="FL130" i="35"/>
  <c r="FL144" i="35"/>
  <c r="M4951" i="3"/>
  <c r="J4953" i="3"/>
  <c r="J4949" i="3"/>
  <c r="J22" i="37"/>
  <c r="K14" i="37"/>
  <c r="EQ172" i="18"/>
  <c r="EQ166" i="18"/>
  <c r="EQ687" i="18"/>
  <c r="N4561" i="3"/>
  <c r="N4499" i="3"/>
  <c r="L4962" i="3"/>
  <c r="L4965" i="3"/>
  <c r="L4801" i="3"/>
  <c r="FF641" i="2"/>
  <c r="FJ629" i="2"/>
  <c r="L104" i="11"/>
  <c r="L105" i="11"/>
  <c r="L109" i="11"/>
  <c r="L111" i="11" s="1"/>
  <c r="FF588" i="36"/>
  <c r="P1356" i="3"/>
  <c r="Q1352" i="3"/>
  <c r="M4468" i="3"/>
  <c r="K169" i="41"/>
  <c r="K174" i="41" s="1"/>
  <c r="K183" i="41" s="1"/>
  <c r="K169" i="6"/>
  <c r="K174" i="6" s="1"/>
  <c r="K183" i="6" s="1"/>
  <c r="F499" i="3"/>
  <c r="FF128" i="10"/>
  <c r="FF51" i="2"/>
  <c r="ER154" i="18"/>
  <c r="ER33" i="18"/>
  <c r="M4339" i="3"/>
  <c r="M4813" i="3"/>
  <c r="M4335" i="3"/>
  <c r="FG458" i="2"/>
  <c r="L4461" i="3"/>
  <c r="J82" i="41"/>
  <c r="I59" i="42"/>
  <c r="J82" i="6"/>
  <c r="L4458" i="3"/>
  <c r="H286" i="3"/>
  <c r="H291" i="3" s="1"/>
  <c r="H293" i="3" s="1"/>
  <c r="FH625" i="2"/>
  <c r="FH364" i="10"/>
  <c r="FH191" i="2"/>
  <c r="FH493" i="2"/>
  <c r="FH494" i="2" s="1"/>
  <c r="FH618" i="2"/>
  <c r="FH626" i="2"/>
  <c r="J15" i="37"/>
  <c r="J18" i="37"/>
  <c r="M94" i="11"/>
  <c r="M86" i="11"/>
  <c r="M87" i="11" s="1"/>
  <c r="M95" i="11" s="1"/>
  <c r="K4446" i="3"/>
  <c r="K4445" i="3"/>
  <c r="ER151" i="18"/>
  <c r="ER153" i="18"/>
  <c r="ER32" i="18"/>
  <c r="FI116" i="2"/>
  <c r="M218" i="11"/>
  <c r="N4851" i="3"/>
  <c r="ES109" i="18"/>
  <c r="FI180" i="2"/>
  <c r="FI120" i="2"/>
  <c r="FI346" i="10"/>
  <c r="FI117" i="2"/>
  <c r="FI132" i="2"/>
  <c r="L4450" i="3"/>
  <c r="L4451" i="3" s="1"/>
  <c r="FH337" i="2"/>
  <c r="FH40" i="2" s="1"/>
  <c r="D493" i="3"/>
  <c r="D495" i="3" s="1"/>
  <c r="D478" i="3"/>
  <c r="D453" i="3"/>
  <c r="FG592" i="2"/>
  <c r="FH590" i="2"/>
  <c r="FG65" i="4"/>
  <c r="ES315" i="18"/>
  <c r="ES321" i="18"/>
  <c r="ES674" i="18"/>
  <c r="L4919" i="3"/>
  <c r="L4922" i="3" s="1"/>
  <c r="L4921" i="3"/>
  <c r="FE69" i="35"/>
  <c r="FE97" i="35"/>
  <c r="FE153" i="35"/>
  <c r="M142" i="11"/>
  <c r="M134" i="11"/>
  <c r="H494" i="3"/>
  <c r="H502" i="3" s="1"/>
  <c r="H503" i="3" s="1"/>
  <c r="FH207" i="2"/>
  <c r="FH372" i="10"/>
  <c r="FH202" i="2"/>
  <c r="J52" i="37"/>
  <c r="H60" i="37"/>
  <c r="G67" i="37"/>
  <c r="H65" i="37"/>
  <c r="F105" i="41"/>
  <c r="FE54" i="4"/>
  <c r="E105" i="6"/>
  <c r="N134" i="11"/>
  <c r="N142" i="11"/>
  <c r="G61" i="37"/>
  <c r="G65" i="37"/>
  <c r="L4795" i="3"/>
  <c r="L4560" i="3"/>
  <c r="FI551" i="2"/>
  <c r="FI556" i="2"/>
  <c r="FI555" i="2" s="1"/>
  <c r="FF47" i="2"/>
  <c r="FF49" i="2" s="1"/>
  <c r="FF127" i="10"/>
  <c r="FF50" i="2"/>
  <c r="E406" i="3"/>
  <c r="E400" i="3"/>
  <c r="D118" i="6"/>
  <c r="D121" i="6"/>
  <c r="G461" i="3"/>
  <c r="FG584" i="2"/>
  <c r="FG107" i="4"/>
  <c r="FG112" i="10"/>
  <c r="FG141" i="10" s="1"/>
  <c r="N91" i="11"/>
  <c r="N92" i="11" s="1"/>
  <c r="N93" i="11" s="1"/>
  <c r="M4459" i="3"/>
  <c r="M4430" i="3"/>
  <c r="M4432" i="3" s="1"/>
  <c r="M4449" i="3" s="1"/>
  <c r="M4450" i="3" s="1"/>
  <c r="FH282" i="2"/>
  <c r="FH283" i="2" s="1"/>
  <c r="FH316" i="2" s="1"/>
  <c r="FH453" i="2" s="1"/>
  <c r="FH291" i="2"/>
  <c r="N4457" i="3"/>
  <c r="N4946" i="3"/>
  <c r="FF506" i="2"/>
  <c r="FF507" i="2"/>
  <c r="FF508" i="2" s="1"/>
  <c r="G2731" i="3"/>
  <c r="G2744" i="3" s="1"/>
  <c r="E118" i="41"/>
  <c r="E121" i="41"/>
  <c r="P58" i="11"/>
  <c r="P56" i="11"/>
  <c r="FG203" i="2"/>
  <c r="FG183" i="2"/>
  <c r="AB43" i="30"/>
  <c r="AC43" i="30"/>
  <c r="EP700" i="18"/>
  <c r="EQ698" i="18"/>
  <c r="EP185" i="18"/>
  <c r="EP184" i="18"/>
  <c r="FF563" i="2"/>
  <c r="FF379" i="10"/>
  <c r="FF214" i="2"/>
  <c r="FF545" i="2"/>
  <c r="FF9" i="2"/>
  <c r="O100" i="11"/>
  <c r="O62" i="11"/>
  <c r="O61" i="11"/>
  <c r="O90" i="11"/>
  <c r="O132" i="11" s="1"/>
  <c r="FG173" i="2"/>
  <c r="FG355" i="10" s="1"/>
  <c r="FG172" i="2"/>
  <c r="FG349" i="10"/>
  <c r="FG176" i="2"/>
  <c r="FG160" i="2"/>
  <c r="FE526" i="2"/>
  <c r="FE527" i="2" s="1"/>
  <c r="FE480" i="2"/>
  <c r="N143" i="11"/>
  <c r="FH396" i="2"/>
  <c r="FH401" i="2" s="1"/>
  <c r="FH264" i="10" s="1"/>
  <c r="FI394" i="2"/>
  <c r="FH398" i="2"/>
  <c r="FH399" i="2"/>
  <c r="FH599" i="2"/>
  <c r="FH173" i="10"/>
  <c r="FH402" i="2"/>
  <c r="FH451" i="2"/>
  <c r="I170" i="41"/>
  <c r="I175" i="41" s="1"/>
  <c r="I184" i="41" s="1"/>
  <c r="FJ633" i="2"/>
  <c r="FF643" i="2"/>
  <c r="FF651" i="2"/>
  <c r="I170" i="6"/>
  <c r="I175" i="6" s="1"/>
  <c r="I184" i="6" s="1"/>
  <c r="FF610" i="2"/>
  <c r="H59" i="37"/>
  <c r="G66" i="37"/>
  <c r="P4876" i="3"/>
  <c r="N4878" i="3"/>
  <c r="K56" i="42"/>
  <c r="K58" i="42" s="1"/>
  <c r="K63" i="42" s="1"/>
  <c r="K65" i="42" s="1"/>
  <c r="K68" i="42" s="1"/>
  <c r="FG409" i="2"/>
  <c r="FG414" i="2"/>
  <c r="FG601" i="2"/>
  <c r="FG629" i="2" s="1"/>
  <c r="FG413" i="2"/>
  <c r="FG410" i="2"/>
  <c r="FG187" i="10" s="1"/>
  <c r="AC48" i="30"/>
  <c r="AB48" i="30"/>
  <c r="P68" i="11"/>
  <c r="P69" i="11" s="1"/>
  <c r="FI259" i="2"/>
  <c r="FI260" i="2" s="1"/>
  <c r="FI314" i="2" s="1"/>
  <c r="I54" i="37"/>
  <c r="FE29" i="4"/>
  <c r="FG295" i="2"/>
  <c r="FG299" i="2"/>
  <c r="FG425" i="2" s="1"/>
  <c r="FG296" i="2"/>
  <c r="FG600" i="2"/>
  <c r="FG622" i="2" s="1"/>
  <c r="FG623" i="2" s="1"/>
  <c r="FG632" i="2" s="1"/>
  <c r="FG395" i="10"/>
  <c r="FG276" i="2"/>
  <c r="FG273" i="2"/>
  <c r="FG401" i="10" s="1"/>
  <c r="FG272" i="2"/>
  <c r="FH268" i="2"/>
  <c r="FG315" i="2"/>
  <c r="FG338" i="2" s="1"/>
  <c r="I18" i="37"/>
  <c r="I24" i="37"/>
  <c r="I26" i="37" s="1"/>
  <c r="FF427" i="10"/>
  <c r="FF10" i="2"/>
  <c r="FF352" i="2"/>
  <c r="Q4302" i="3"/>
  <c r="N4312" i="3"/>
  <c r="P4302" i="3"/>
  <c r="N4331" i="3"/>
  <c r="N4308" i="3"/>
  <c r="D415" i="3"/>
  <c r="D418" i="3" s="1"/>
  <c r="D417" i="3"/>
  <c r="M4957" i="3"/>
  <c r="M4366" i="3"/>
  <c r="M4367" i="3" s="1"/>
  <c r="M4918" i="3"/>
  <c r="M4499" i="3"/>
  <c r="M4561" i="3"/>
  <c r="FH189" i="10"/>
  <c r="FH400" i="10"/>
  <c r="N4628" i="3"/>
  <c r="N4629" i="3" s="1"/>
  <c r="N4423" i="3"/>
  <c r="N4426" i="3" s="1"/>
  <c r="N4578" i="3"/>
  <c r="N4577" i="3"/>
  <c r="FH137" i="2"/>
  <c r="FH168" i="2"/>
  <c r="O71" i="11"/>
  <c r="O69" i="11"/>
  <c r="FF474" i="2"/>
  <c r="FF468" i="2"/>
  <c r="S1332" i="3"/>
  <c r="R1334" i="3"/>
  <c r="FG317" i="2"/>
  <c r="FG339" i="2" s="1"/>
  <c r="E493" i="3"/>
  <c r="E495" i="3" s="1"/>
  <c r="E453" i="3"/>
  <c r="E478" i="3"/>
  <c r="EQ66" i="18"/>
  <c r="EQ67" i="18"/>
  <c r="FM130" i="35"/>
  <c r="FM144" i="35"/>
  <c r="FM110" i="35"/>
  <c r="FG566" i="2"/>
  <c r="H43" i="37"/>
  <c r="H44" i="37" s="1"/>
  <c r="I40" i="37"/>
  <c r="K4451" i="3"/>
  <c r="J53" i="37"/>
  <c r="B5431" i="3" l="1"/>
  <c r="B5432" i="3" s="1"/>
  <c r="M4977" i="3"/>
  <c r="M4978" i="3" s="1"/>
  <c r="FG306" i="2"/>
  <c r="FD10" i="32"/>
  <c r="FH574" i="2"/>
  <c r="FH576" i="2"/>
  <c r="FJ608" i="2"/>
  <c r="FG422" i="2"/>
  <c r="FJ429" i="2"/>
  <c r="FG454" i="2"/>
  <c r="FG455" i="2" s="1"/>
  <c r="FG444" i="2"/>
  <c r="FG447" i="2"/>
  <c r="FG603" i="2"/>
  <c r="FF161" i="10"/>
  <c r="FH578" i="2"/>
  <c r="FH580" i="2" s="1"/>
  <c r="H461" i="3" s="1"/>
  <c r="FF53" i="4"/>
  <c r="FJ53" i="4" s="1"/>
  <c r="FG421" i="2"/>
  <c r="FH417" i="2"/>
  <c r="J4469" i="3"/>
  <c r="J4467" i="3"/>
  <c r="FG349" i="2"/>
  <c r="FG343" i="2"/>
  <c r="FG351" i="2" s="1"/>
  <c r="FF604" i="2"/>
  <c r="FJ604" i="2" s="1"/>
  <c r="FH439" i="2"/>
  <c r="FG319" i="2"/>
  <c r="FG367" i="2" s="1"/>
  <c r="FG432" i="10" s="1"/>
  <c r="FF630" i="2"/>
  <c r="FJ602" i="2"/>
  <c r="K4541" i="3"/>
  <c r="E411" i="3"/>
  <c r="E412" i="3" s="1"/>
  <c r="E402" i="3"/>
  <c r="FF19" i="4"/>
  <c r="FF102" i="10"/>
  <c r="FF1026" i="10" s="1"/>
  <c r="F2719" i="3"/>
  <c r="H61" i="37"/>
  <c r="K4447" i="3"/>
  <c r="L4444" i="3" s="1"/>
  <c r="F399" i="3"/>
  <c r="F406" i="3" s="1"/>
  <c r="F391" i="3"/>
  <c r="F389" i="3" s="1"/>
  <c r="F365" i="3" s="1"/>
  <c r="F364" i="3" s="1"/>
  <c r="F368" i="3" s="1"/>
  <c r="F370" i="3" s="1"/>
  <c r="F398" i="3" s="1"/>
  <c r="K4452" i="3"/>
  <c r="K4501" i="3" s="1"/>
  <c r="FH627" i="2"/>
  <c r="FH628" i="2" s="1"/>
  <c r="FI559" i="2"/>
  <c r="FI562" i="2" s="1"/>
  <c r="I373" i="3" s="1"/>
  <c r="J373" i="3" s="1"/>
  <c r="K373" i="3" s="1"/>
  <c r="FH573" i="2"/>
  <c r="ER34" i="18"/>
  <c r="ER40" i="18" s="1"/>
  <c r="ER59" i="18" s="1"/>
  <c r="ER65" i="18" s="1"/>
  <c r="FH441" i="2"/>
  <c r="FH619" i="2"/>
  <c r="FH587" i="2"/>
  <c r="FH592" i="2" s="1"/>
  <c r="FI337" i="2"/>
  <c r="N4957" i="3"/>
  <c r="N4428" i="3"/>
  <c r="N4366" i="3"/>
  <c r="N4367" i="3" s="1"/>
  <c r="N4918" i="3"/>
  <c r="FF14" i="2"/>
  <c r="G2700" i="3"/>
  <c r="G2696" i="3" s="1"/>
  <c r="G2695" i="3" s="1"/>
  <c r="G2711" i="3" s="1"/>
  <c r="G2712" i="3" s="1"/>
  <c r="G2716" i="3" s="1"/>
  <c r="FH138" i="2"/>
  <c r="FH170" i="2"/>
  <c r="FH175" i="2" s="1"/>
  <c r="FH153" i="2" s="1"/>
  <c r="O142" i="11"/>
  <c r="FG320" i="2"/>
  <c r="FG230" i="2"/>
  <c r="FG144" i="4"/>
  <c r="G112" i="6"/>
  <c r="FG130" i="4"/>
  <c r="K33" i="11" s="1"/>
  <c r="FG110" i="4"/>
  <c r="H112" i="41"/>
  <c r="FH345" i="2"/>
  <c r="FH420" i="10"/>
  <c r="H505" i="3"/>
  <c r="H383" i="3"/>
  <c r="J40" i="37"/>
  <c r="I43" i="37"/>
  <c r="FF650" i="2"/>
  <c r="FF661" i="2" s="1"/>
  <c r="FF647" i="2"/>
  <c r="FF658" i="2" s="1"/>
  <c r="FF649" i="2"/>
  <c r="FF660" i="2" s="1"/>
  <c r="FF24" i="4" s="1"/>
  <c r="FJ24" i="4" s="1"/>
  <c r="FF648" i="2"/>
  <c r="FF659" i="2" s="1"/>
  <c r="FF23" i="4" s="1"/>
  <c r="FJ23" i="4" s="1"/>
  <c r="FG211" i="2"/>
  <c r="FG376" i="10"/>
  <c r="FG205" i="2"/>
  <c r="FG44" i="2"/>
  <c r="FG465" i="2"/>
  <c r="G68" i="37"/>
  <c r="G72" i="37" s="1"/>
  <c r="G88" i="37" s="1"/>
  <c r="J21" i="37"/>
  <c r="K22" i="37"/>
  <c r="J54" i="37"/>
  <c r="K54" i="37" s="1"/>
  <c r="ER165" i="18"/>
  <c r="ER152" i="18"/>
  <c r="FF52" i="2"/>
  <c r="FF131" i="10"/>
  <c r="H49" i="37"/>
  <c r="N4335" i="3"/>
  <c r="N4339" i="3"/>
  <c r="N4813" i="3"/>
  <c r="FH210" i="2"/>
  <c r="FH192" i="2"/>
  <c r="FH193" i="2" s="1"/>
  <c r="FH375" i="10"/>
  <c r="L4446" i="3"/>
  <c r="L4445" i="3"/>
  <c r="G2699" i="3"/>
  <c r="FF13" i="2"/>
  <c r="FF12" i="2"/>
  <c r="FH288" i="2"/>
  <c r="FI280" i="2"/>
  <c r="FH284" i="2"/>
  <c r="FH396" i="10"/>
  <c r="FH285" i="2"/>
  <c r="FH402" i="10" s="1"/>
  <c r="FH294" i="2"/>
  <c r="FH317" i="2" s="1"/>
  <c r="FH339" i="2" s="1"/>
  <c r="FH419" i="2"/>
  <c r="FH293" i="2"/>
  <c r="FH298" i="2" s="1"/>
  <c r="FH424" i="2" s="1"/>
  <c r="N135" i="11"/>
  <c r="N136" i="11" s="1"/>
  <c r="FI352" i="10"/>
  <c r="FI188" i="10"/>
  <c r="T1332" i="3"/>
  <c r="S1334" i="3"/>
  <c r="E118" i="6"/>
  <c r="E121" i="6"/>
  <c r="FH9" i="4"/>
  <c r="FG641" i="2"/>
  <c r="FH305" i="2"/>
  <c r="FH461" i="2"/>
  <c r="I172" i="41"/>
  <c r="I171" i="41" s="1"/>
  <c r="FJ636" i="2"/>
  <c r="I172" i="6"/>
  <c r="I171" i="6" s="1"/>
  <c r="FF644" i="2"/>
  <c r="K4948" i="3"/>
  <c r="FF638" i="2"/>
  <c r="ES323" i="18"/>
  <c r="ES332" i="18"/>
  <c r="ES322" i="18"/>
  <c r="FG642" i="2"/>
  <c r="M4451" i="3"/>
  <c r="M4446" i="3"/>
  <c r="M4445" i="3"/>
  <c r="M4795" i="3"/>
  <c r="M4560" i="3"/>
  <c r="FG161" i="2"/>
  <c r="FG162" i="2"/>
  <c r="FG158" i="2" s="1"/>
  <c r="FG163" i="2" s="1"/>
  <c r="FH157" i="2"/>
  <c r="FG165" i="2"/>
  <c r="L59" i="42"/>
  <c r="J59" i="42"/>
  <c r="M4461" i="3"/>
  <c r="K82" i="6"/>
  <c r="K82" i="41"/>
  <c r="N4857" i="3"/>
  <c r="M224" i="11"/>
  <c r="M96" i="11"/>
  <c r="M102" i="11"/>
  <c r="M103" i="11" s="1"/>
  <c r="M135" i="11"/>
  <c r="M136" i="11" s="1"/>
  <c r="FG153" i="4"/>
  <c r="FG104" i="10"/>
  <c r="G108" i="6"/>
  <c r="FG97" i="4"/>
  <c r="FG178" i="4" s="1"/>
  <c r="FG1031" i="10" s="1"/>
  <c r="H108" i="41"/>
  <c r="FI190" i="2"/>
  <c r="FI541" i="2"/>
  <c r="FI488" i="2"/>
  <c r="FI489" i="2" s="1"/>
  <c r="FI617" i="2"/>
  <c r="FI199" i="2"/>
  <c r="M4458" i="3"/>
  <c r="FF478" i="2"/>
  <c r="FF470" i="2"/>
  <c r="F118" i="41"/>
  <c r="F121" i="41"/>
  <c r="O74" i="11"/>
  <c r="O101" i="11"/>
  <c r="O79" i="11"/>
  <c r="O78" i="11" s="1"/>
  <c r="O133" i="11" s="1"/>
  <c r="O134" i="11" s="1"/>
  <c r="O135" i="11" s="1"/>
  <c r="O70" i="11"/>
  <c r="FI598" i="2"/>
  <c r="FI261" i="2"/>
  <c r="FI262" i="2"/>
  <c r="FI265" i="2"/>
  <c r="FI394" i="10"/>
  <c r="FI397" i="2"/>
  <c r="M4921" i="3"/>
  <c r="M4919" i="3"/>
  <c r="M4922" i="3" s="1"/>
  <c r="N4951" i="3"/>
  <c r="ES137" i="18"/>
  <c r="ES114" i="18"/>
  <c r="ES110" i="18"/>
  <c r="ES107" i="18"/>
  <c r="ES112" i="18" s="1"/>
  <c r="ES111" i="18"/>
  <c r="ES149" i="18"/>
  <c r="ES150" i="18"/>
  <c r="N4560" i="3"/>
  <c r="N4795" i="3"/>
  <c r="M88" i="11"/>
  <c r="N85" i="11" s="1"/>
  <c r="G480" i="3"/>
  <c r="G463" i="3"/>
  <c r="P79" i="11"/>
  <c r="P70" i="11"/>
  <c r="P101" i="11"/>
  <c r="P143" i="11" s="1"/>
  <c r="FH566" i="2"/>
  <c r="N4468" i="3"/>
  <c r="O4457" i="3"/>
  <c r="I60" i="37"/>
  <c r="H67" i="37"/>
  <c r="K15" i="37"/>
  <c r="J23" i="37"/>
  <c r="J34" i="37"/>
  <c r="Q1356" i="3"/>
  <c r="R1352" i="3"/>
  <c r="EQ176" i="18"/>
  <c r="EQ183" i="18" s="1"/>
  <c r="EQ696" i="18"/>
  <c r="EQ695" i="18" s="1"/>
  <c r="FG436" i="2"/>
  <c r="FG433" i="2"/>
  <c r="FG190" i="10" s="1"/>
  <c r="FG429" i="2"/>
  <c r="FG434" i="2" s="1"/>
  <c r="FG432" i="2"/>
  <c r="FH428" i="2"/>
  <c r="FH430" i="2" s="1"/>
  <c r="L5714" i="3"/>
  <c r="FG602" i="2"/>
  <c r="FG608" i="2" s="1"/>
  <c r="M4965" i="3"/>
  <c r="M4962" i="3"/>
  <c r="M4801" i="3"/>
  <c r="FH270" i="2"/>
  <c r="FH407" i="2" s="1"/>
  <c r="FH405" i="2"/>
  <c r="FG347" i="2"/>
  <c r="FG422" i="10"/>
  <c r="FG42" i="2"/>
  <c r="FG463" i="2"/>
  <c r="FG473" i="2" s="1"/>
  <c r="P71" i="11"/>
  <c r="P60" i="11"/>
  <c r="J4982" i="3"/>
  <c r="FG346" i="2"/>
  <c r="FG421" i="10"/>
  <c r="FG41" i="2"/>
  <c r="FG462" i="2"/>
  <c r="FG340" i="2"/>
  <c r="I59" i="37"/>
  <c r="H66" i="37"/>
  <c r="N94" i="11"/>
  <c r="N86" i="11"/>
  <c r="EQ173" i="18"/>
  <c r="EQ174" i="18"/>
  <c r="FF611" i="2"/>
  <c r="FJ610" i="2"/>
  <c r="E414" i="3"/>
  <c r="E407" i="3"/>
  <c r="FE178" i="35"/>
  <c r="FG591" i="36"/>
  <c r="FH591" i="36" s="1"/>
  <c r="FH592" i="36" s="1"/>
  <c r="FI592" i="36" s="1"/>
  <c r="FF65" i="35"/>
  <c r="FF593" i="36"/>
  <c r="J16" i="37"/>
  <c r="FH107" i="4" l="1"/>
  <c r="FH420" i="2"/>
  <c r="FH112" i="10"/>
  <c r="FH141" i="10" s="1"/>
  <c r="FH584" i="2"/>
  <c r="FG426" i="10"/>
  <c r="G105" i="41"/>
  <c r="FJ630" i="2"/>
  <c r="F105" i="6"/>
  <c r="F118" i="6" s="1"/>
  <c r="FF54" i="4"/>
  <c r="FG368" i="2"/>
  <c r="FH446" i="2"/>
  <c r="F400" i="3"/>
  <c r="F405" i="3"/>
  <c r="F407" i="3" s="1"/>
  <c r="F401" i="3"/>
  <c r="B5428" i="3"/>
  <c r="FI560" i="2"/>
  <c r="L4447" i="3"/>
  <c r="M4444" i="3" s="1"/>
  <c r="M4447" i="3" s="1"/>
  <c r="N4444" i="3" s="1"/>
  <c r="FI572" i="2"/>
  <c r="N4977" i="3" s="1"/>
  <c r="N4978" i="3" s="1"/>
  <c r="K4433" i="3"/>
  <c r="K4434" i="3" s="1"/>
  <c r="K4439" i="3" s="1"/>
  <c r="K4462" i="3"/>
  <c r="K4465" i="3" s="1"/>
  <c r="K4469" i="3" s="1"/>
  <c r="ER61" i="18"/>
  <c r="K4453" i="3"/>
  <c r="FI590" i="2"/>
  <c r="H68" i="37"/>
  <c r="H72" i="37" s="1"/>
  <c r="H88" i="37" s="1"/>
  <c r="N87" i="11"/>
  <c r="N95" i="11" s="1"/>
  <c r="N102" i="11" s="1"/>
  <c r="N103" i="11" s="1"/>
  <c r="FH457" i="2"/>
  <c r="FH458" i="2" s="1"/>
  <c r="FH640" i="2"/>
  <c r="P78" i="11"/>
  <c r="P133" i="11" s="1"/>
  <c r="FH65" i="4"/>
  <c r="FH153" i="4" s="1"/>
  <c r="FH271" i="2"/>
  <c r="FH272" i="2" s="1"/>
  <c r="M4452" i="3"/>
  <c r="M4433" i="3" s="1"/>
  <c r="M4434" i="3" s="1"/>
  <c r="L4452" i="3"/>
  <c r="L4453" i="3" s="1"/>
  <c r="FG588" i="36"/>
  <c r="FH588" i="36" s="1"/>
  <c r="FH593" i="36" s="1"/>
  <c r="FG609" i="2"/>
  <c r="FG161" i="10"/>
  <c r="O136" i="11"/>
  <c r="O128" i="11"/>
  <c r="R1356" i="3"/>
  <c r="S1352" i="3"/>
  <c r="H122" i="41"/>
  <c r="H113" i="41"/>
  <c r="FH408" i="2"/>
  <c r="FH452" i="2" s="1"/>
  <c r="O4464" i="3"/>
  <c r="O4460" i="3" s="1"/>
  <c r="O4463" i="3" s="1"/>
  <c r="F451" i="3"/>
  <c r="FJ12" i="2"/>
  <c r="FF15" i="2"/>
  <c r="FF570" i="2"/>
  <c r="FB8" i="32"/>
  <c r="FF54" i="2"/>
  <c r="FF575" i="2"/>
  <c r="E415" i="3"/>
  <c r="E418" i="3" s="1"/>
  <c r="E417" i="3"/>
  <c r="FG472" i="2"/>
  <c r="FG464" i="2"/>
  <c r="G497" i="3"/>
  <c r="G506" i="3" s="1"/>
  <c r="FG10" i="4"/>
  <c r="G380" i="3"/>
  <c r="FG43" i="2"/>
  <c r="FI396" i="2"/>
  <c r="FI401" i="2" s="1"/>
  <c r="FI264" i="10" s="1"/>
  <c r="FI173" i="10"/>
  <c r="FI398" i="2"/>
  <c r="FI599" i="2"/>
  <c r="FI399" i="2"/>
  <c r="FI402" i="2"/>
  <c r="FH42" i="2"/>
  <c r="FH463" i="2"/>
  <c r="FH473" i="2" s="1"/>
  <c r="FH347" i="2"/>
  <c r="FH422" i="10"/>
  <c r="FH412" i="2"/>
  <c r="ER698" i="18"/>
  <c r="EQ700" i="18"/>
  <c r="L105" i="41"/>
  <c r="G118" i="41"/>
  <c r="G121" i="41"/>
  <c r="G2691" i="3"/>
  <c r="G2690" i="3" s="1"/>
  <c r="G2706" i="3" s="1"/>
  <c r="G2707" i="3" s="1"/>
  <c r="G2715" i="3" s="1"/>
  <c r="G2718" i="3" s="1"/>
  <c r="G2702" i="3"/>
  <c r="J58" i="37"/>
  <c r="J24" i="37"/>
  <c r="K16" i="37"/>
  <c r="EQ184" i="18"/>
  <c r="EQ185" i="18"/>
  <c r="ES154" i="18"/>
  <c r="ES33" i="18"/>
  <c r="FI207" i="2"/>
  <c r="FI202" i="2"/>
  <c r="FI372" i="10"/>
  <c r="FI40" i="2"/>
  <c r="I494" i="3"/>
  <c r="I502" i="3" s="1"/>
  <c r="I503" i="3" s="1"/>
  <c r="J503" i="3" s="1"/>
  <c r="FI461" i="2"/>
  <c r="ES153" i="18"/>
  <c r="ES151" i="18"/>
  <c r="ES32" i="18"/>
  <c r="M105" i="11"/>
  <c r="M109" i="11"/>
  <c r="M111" i="11" s="1"/>
  <c r="M104" i="11"/>
  <c r="FF662" i="2"/>
  <c r="FF22" i="4"/>
  <c r="FH182" i="2"/>
  <c r="FH143" i="2"/>
  <c r="FH348" i="10"/>
  <c r="FH140" i="2"/>
  <c r="FH354" i="10" s="1"/>
  <c r="FI135" i="2"/>
  <c r="FH139" i="2"/>
  <c r="FH171" i="2"/>
  <c r="ER166" i="18"/>
  <c r="ER172" i="18"/>
  <c r="ER687" i="18"/>
  <c r="F414" i="3"/>
  <c r="K34" i="37"/>
  <c r="J35" i="37"/>
  <c r="K35" i="37" s="1"/>
  <c r="FI400" i="10"/>
  <c r="FI189" i="10"/>
  <c r="P61" i="11"/>
  <c r="P62" i="11"/>
  <c r="P100" i="11"/>
  <c r="P90" i="11"/>
  <c r="K23" i="37"/>
  <c r="J25" i="37"/>
  <c r="I112" i="41"/>
  <c r="FH110" i="4"/>
  <c r="FH144" i="4"/>
  <c r="FH130" i="4"/>
  <c r="L33" i="11" s="1"/>
  <c r="H112" i="6"/>
  <c r="FI191" i="2"/>
  <c r="FI625" i="2"/>
  <c r="FI364" i="10"/>
  <c r="I286" i="3"/>
  <c r="K4953" i="3"/>
  <c r="K4949" i="3"/>
  <c r="H463" i="3"/>
  <c r="H480" i="3"/>
  <c r="FI493" i="2"/>
  <c r="FI494" i="2" s="1"/>
  <c r="FI618" i="2"/>
  <c r="FI626" i="2"/>
  <c r="T1334" i="3"/>
  <c r="U1332" i="3"/>
  <c r="U1334" i="3" s="1"/>
  <c r="N4919" i="3"/>
  <c r="N4922" i="3" s="1"/>
  <c r="N4921" i="3"/>
  <c r="ES333" i="18"/>
  <c r="ES334" i="18"/>
  <c r="G381" i="3"/>
  <c r="FG11" i="4"/>
  <c r="G498" i="3"/>
  <c r="G507" i="3" s="1"/>
  <c r="J60" i="37"/>
  <c r="J67" i="37" s="1"/>
  <c r="K67" i="37" s="1"/>
  <c r="I67" i="37"/>
  <c r="FH295" i="2"/>
  <c r="FH296" i="2"/>
  <c r="FH299" i="2"/>
  <c r="FH425" i="2" s="1"/>
  <c r="I44" i="37"/>
  <c r="I49" i="37"/>
  <c r="FG630" i="2"/>
  <c r="FG604" i="2"/>
  <c r="O143" i="11"/>
  <c r="F15" i="11"/>
  <c r="G113" i="6"/>
  <c r="G122" i="6"/>
  <c r="J43" i="37"/>
  <c r="K40" i="37"/>
  <c r="P74" i="11"/>
  <c r="O73" i="11"/>
  <c r="O91" i="11" s="1"/>
  <c r="O92" i="11" s="1"/>
  <c r="N128" i="11"/>
  <c r="N4430" i="3"/>
  <c r="N4432" i="3" s="1"/>
  <c r="N4449" i="3" s="1"/>
  <c r="N4459" i="3"/>
  <c r="J59" i="37"/>
  <c r="J66" i="37" s="1"/>
  <c r="K66" i="37" s="1"/>
  <c r="I61" i="37"/>
  <c r="I66" i="37"/>
  <c r="FH471" i="2"/>
  <c r="FG467" i="2"/>
  <c r="FG477" i="2" s="1"/>
  <c r="FG475" i="2"/>
  <c r="ER66" i="18"/>
  <c r="ER67" i="18"/>
  <c r="E5073" i="3"/>
  <c r="N4962" i="3"/>
  <c r="N4965" i="3"/>
  <c r="N4801" i="3"/>
  <c r="E5064" i="3"/>
  <c r="FF153" i="35"/>
  <c r="FF69" i="35"/>
  <c r="FF97" i="35"/>
  <c r="FF178" i="35" s="1"/>
  <c r="FH164" i="2"/>
  <c r="FH159" i="2" s="1"/>
  <c r="FH148" i="2"/>
  <c r="FH147" i="2" s="1"/>
  <c r="FH152" i="2" s="1"/>
  <c r="FH310" i="2"/>
  <c r="FH306" i="2"/>
  <c r="FI302" i="2"/>
  <c r="FH307" i="2"/>
  <c r="FH403" i="10" s="1"/>
  <c r="FH397" i="10"/>
  <c r="FH442" i="2"/>
  <c r="FH318" i="2"/>
  <c r="FH431" i="2"/>
  <c r="FI417" i="2"/>
  <c r="FH422" i="2"/>
  <c r="FH421" i="2"/>
  <c r="FI282" i="2"/>
  <c r="FI291" i="2"/>
  <c r="FG46" i="2"/>
  <c r="FG13" i="4"/>
  <c r="FG15" i="4" s="1"/>
  <c r="FG384" i="10"/>
  <c r="FG231" i="2"/>
  <c r="FG505" i="2"/>
  <c r="FI669" i="36"/>
  <c r="FJ592" i="36"/>
  <c r="FK592" i="36" s="1"/>
  <c r="FL592" i="36" s="1"/>
  <c r="FM592" i="36" s="1"/>
  <c r="FG348" i="2"/>
  <c r="FG344" i="2"/>
  <c r="FG423" i="10"/>
  <c r="FJ470" i="2"/>
  <c r="FF526" i="2"/>
  <c r="FF480" i="2"/>
  <c r="M128" i="11"/>
  <c r="M129" i="11" s="1"/>
  <c r="M137" i="11" s="1"/>
  <c r="FI451" i="2"/>
  <c r="FG378" i="10"/>
  <c r="FG213" i="2"/>
  <c r="FG633" i="2"/>
  <c r="FG206" i="2"/>
  <c r="FI345" i="2"/>
  <c r="I505" i="3"/>
  <c r="I383" i="3"/>
  <c r="FI420" i="10"/>
  <c r="F121" i="6" l="1"/>
  <c r="FH315" i="2"/>
  <c r="FH338" i="2" s="1"/>
  <c r="FH462" i="2" s="1"/>
  <c r="K4467" i="3"/>
  <c r="FI574" i="2"/>
  <c r="FI578" i="2"/>
  <c r="FI580" i="2" s="1"/>
  <c r="FI112" i="10" s="1"/>
  <c r="FI141" i="10" s="1"/>
  <c r="FI588" i="2"/>
  <c r="FI587" i="2" s="1"/>
  <c r="FI65" i="4" s="1"/>
  <c r="L4541" i="3"/>
  <c r="FH600" i="2"/>
  <c r="FH622" i="2" s="1"/>
  <c r="FH623" i="2" s="1"/>
  <c r="FH632" i="2" s="1"/>
  <c r="FH642" i="2" s="1"/>
  <c r="F411" i="3"/>
  <c r="F412" i="3" s="1"/>
  <c r="F402" i="3"/>
  <c r="FI576" i="2"/>
  <c r="FE10" i="32"/>
  <c r="C5431" i="3"/>
  <c r="C5432" i="3" s="1"/>
  <c r="D5432" i="3" s="1"/>
  <c r="D5431" i="3" s="1"/>
  <c r="FH276" i="2"/>
  <c r="FH97" i="4"/>
  <c r="FH178" i="4" s="1"/>
  <c r="FH1031" i="10" s="1"/>
  <c r="FH395" i="10"/>
  <c r="N96" i="11"/>
  <c r="FI268" i="2"/>
  <c r="FI405" i="2" s="1"/>
  <c r="N88" i="11"/>
  <c r="O85" i="11" s="1"/>
  <c r="FH104" i="10"/>
  <c r="FH273" i="2"/>
  <c r="FH401" i="10" s="1"/>
  <c r="H108" i="6"/>
  <c r="FG593" i="36"/>
  <c r="I108" i="41"/>
  <c r="I122" i="41" s="1"/>
  <c r="FG65" i="35"/>
  <c r="FG153" i="35" s="1"/>
  <c r="FH153" i="35" s="1"/>
  <c r="L4433" i="3"/>
  <c r="L4434" i="3" s="1"/>
  <c r="M4541" i="3" s="1"/>
  <c r="L4501" i="3"/>
  <c r="L4462" i="3"/>
  <c r="L4465" i="3" s="1"/>
  <c r="L4469" i="3" s="1"/>
  <c r="M4453" i="3"/>
  <c r="M4462" i="3"/>
  <c r="M4465" i="3" s="1"/>
  <c r="M4467" i="3" s="1"/>
  <c r="M4501" i="3"/>
  <c r="FI591" i="36"/>
  <c r="FI588" i="36" s="1"/>
  <c r="FI593" i="36" s="1"/>
  <c r="G2719" i="3"/>
  <c r="ES34" i="18"/>
  <c r="ES40" i="18" s="1"/>
  <c r="ES59" i="18" s="1"/>
  <c r="ES65" i="18" s="1"/>
  <c r="FI619" i="2"/>
  <c r="FI627" i="2"/>
  <c r="FI628" i="2" s="1"/>
  <c r="O93" i="11"/>
  <c r="O94" i="11" s="1"/>
  <c r="FJ526" i="2"/>
  <c r="FF527" i="2"/>
  <c r="FG506" i="2"/>
  <c r="FG507" i="2"/>
  <c r="FG508" i="2" s="1"/>
  <c r="E5070" i="3"/>
  <c r="E5067" i="3"/>
  <c r="B5330" i="3" s="1"/>
  <c r="K59" i="42"/>
  <c r="N4461" i="3"/>
  <c r="O4459" i="3"/>
  <c r="N4458" i="3"/>
  <c r="I68" i="37"/>
  <c r="I72" i="37" s="1"/>
  <c r="I88" i="37" s="1"/>
  <c r="ER696" i="18"/>
  <c r="ER695" i="18" s="1"/>
  <c r="ER176" i="18"/>
  <c r="ER183" i="18" s="1"/>
  <c r="N4450" i="3"/>
  <c r="N4451" i="3" s="1"/>
  <c r="ER174" i="18"/>
  <c r="ER173" i="18"/>
  <c r="J26" i="37"/>
  <c r="K24" i="37"/>
  <c r="S1356" i="3"/>
  <c r="T1352" i="3"/>
  <c r="FI304" i="2"/>
  <c r="FI305" i="2" s="1"/>
  <c r="FI318" i="2" s="1"/>
  <c r="FI341" i="2" s="1"/>
  <c r="ES152" i="18"/>
  <c r="ES165" i="18"/>
  <c r="K58" i="37"/>
  <c r="J61" i="37"/>
  <c r="K61" i="37" s="1"/>
  <c r="J65" i="37"/>
  <c r="FH160" i="2"/>
  <c r="FH173" i="2"/>
  <c r="FH355" i="10" s="1"/>
  <c r="FH176" i="2"/>
  <c r="FH349" i="10"/>
  <c r="FH172" i="2"/>
  <c r="P132" i="11"/>
  <c r="M4439" i="3"/>
  <c r="N4541" i="3"/>
  <c r="M130" i="11"/>
  <c r="N127" i="11" s="1"/>
  <c r="FI137" i="2"/>
  <c r="FI439" i="2"/>
  <c r="FI168" i="2"/>
  <c r="FI471" i="2"/>
  <c r="FG47" i="2"/>
  <c r="FG49" i="2" s="1"/>
  <c r="FG50" i="2"/>
  <c r="FG127" i="10"/>
  <c r="F493" i="3"/>
  <c r="F495" i="3" s="1"/>
  <c r="F453" i="3"/>
  <c r="F478" i="3"/>
  <c r="N109" i="11"/>
  <c r="N111" i="11" s="1"/>
  <c r="N105" i="11"/>
  <c r="N104" i="11"/>
  <c r="FI9" i="4"/>
  <c r="FG12" i="4"/>
  <c r="FG16" i="4" s="1"/>
  <c r="FG18" i="4" s="1"/>
  <c r="P73" i="11"/>
  <c r="P91" i="11" s="1"/>
  <c r="P92" i="11" s="1"/>
  <c r="H381" i="3"/>
  <c r="FH11" i="4"/>
  <c r="H498" i="3"/>
  <c r="H507" i="3" s="1"/>
  <c r="G508" i="3"/>
  <c r="M138" i="11"/>
  <c r="M144" i="11"/>
  <c r="M145" i="11" s="1"/>
  <c r="FH346" i="2"/>
  <c r="FH421" i="10"/>
  <c r="FH41" i="2"/>
  <c r="FI283" i="2"/>
  <c r="FI419" i="2"/>
  <c r="FI420" i="2" s="1"/>
  <c r="FI293" i="2"/>
  <c r="FI298" i="2" s="1"/>
  <c r="FI424" i="2" s="1"/>
  <c r="J286" i="3"/>
  <c r="I291" i="3"/>
  <c r="I293" i="3" s="1"/>
  <c r="FH203" i="2"/>
  <c r="FH183" i="2"/>
  <c r="FG468" i="2"/>
  <c r="FG474" i="2"/>
  <c r="FJ22" i="4"/>
  <c r="FF26" i="4"/>
  <c r="FI192" i="2"/>
  <c r="FI193" i="2" s="1"/>
  <c r="FI210" i="2"/>
  <c r="FI375" i="10"/>
  <c r="FG352" i="2"/>
  <c r="FG427" i="10"/>
  <c r="FG10" i="2"/>
  <c r="G382" i="3"/>
  <c r="G384" i="3" s="1"/>
  <c r="G386" i="3" s="1"/>
  <c r="G393" i="3" s="1"/>
  <c r="G392" i="3" s="1"/>
  <c r="FG214" i="2"/>
  <c r="FG9" i="2"/>
  <c r="FG545" i="2"/>
  <c r="FG379" i="10"/>
  <c r="FG563" i="2"/>
  <c r="FH409" i="2"/>
  <c r="FH413" i="2"/>
  <c r="FH410" i="2"/>
  <c r="FH187" i="10" s="1"/>
  <c r="FH414" i="2"/>
  <c r="FH601" i="2"/>
  <c r="FH629" i="2" s="1"/>
  <c r="F415" i="3"/>
  <c r="G499" i="3"/>
  <c r="FG128" i="10"/>
  <c r="FG51" i="2"/>
  <c r="J49" i="37"/>
  <c r="J44" i="37"/>
  <c r="K43" i="37"/>
  <c r="J170" i="41"/>
  <c r="J175" i="41" s="1"/>
  <c r="J184" i="41" s="1"/>
  <c r="FG643" i="2"/>
  <c r="FG651" i="2"/>
  <c r="FG610" i="2"/>
  <c r="FG611" i="2" s="1"/>
  <c r="J170" i="6"/>
  <c r="J175" i="6" s="1"/>
  <c r="J184" i="6" s="1"/>
  <c r="FG634" i="2"/>
  <c r="FH429" i="2"/>
  <c r="FH434" i="2" s="1"/>
  <c r="FH436" i="2"/>
  <c r="FI428" i="2"/>
  <c r="FI430" i="2" s="1"/>
  <c r="FH432" i="2"/>
  <c r="FH602" i="2"/>
  <c r="FH630" i="2" s="1"/>
  <c r="M5714" i="3"/>
  <c r="FH433" i="2"/>
  <c r="FH190" i="10" s="1"/>
  <c r="FH341" i="2"/>
  <c r="FH319" i="2"/>
  <c r="FH367" i="2" s="1"/>
  <c r="K4982" i="3"/>
  <c r="FH454" i="2"/>
  <c r="FH455" i="2" s="1"/>
  <c r="FH447" i="2"/>
  <c r="FH443" i="2"/>
  <c r="FH603" i="2"/>
  <c r="FH444" i="2"/>
  <c r="FJ54" i="2"/>
  <c r="FF55" i="2"/>
  <c r="I461" i="3" l="1"/>
  <c r="FI584" i="2"/>
  <c r="FI107" i="4"/>
  <c r="FI144" i="4" s="1"/>
  <c r="FH340" i="2"/>
  <c r="C5428" i="3"/>
  <c r="F418" i="3"/>
  <c r="F417" i="3"/>
  <c r="FI592" i="2"/>
  <c r="E5432" i="3"/>
  <c r="F5432" i="3" s="1"/>
  <c r="FI270" i="2"/>
  <c r="FI407" i="2" s="1"/>
  <c r="FI408" i="2" s="1"/>
  <c r="FI452" i="2" s="1"/>
  <c r="L4439" i="3"/>
  <c r="L4982" i="3" s="1"/>
  <c r="H113" i="6"/>
  <c r="H122" i="6"/>
  <c r="FG69" i="35"/>
  <c r="FH69" i="35" s="1"/>
  <c r="L4467" i="3"/>
  <c r="M4469" i="3"/>
  <c r="I113" i="41"/>
  <c r="FH65" i="35"/>
  <c r="FI457" i="2"/>
  <c r="FI458" i="2" s="1"/>
  <c r="FJ591" i="36"/>
  <c r="FJ588" i="36" s="1"/>
  <c r="FK591" i="36" s="1"/>
  <c r="FK588" i="36" s="1"/>
  <c r="FI65" i="35"/>
  <c r="FI97" i="35" s="1"/>
  <c r="ES61" i="18"/>
  <c r="FG97" i="35"/>
  <c r="FG178" i="35" s="1"/>
  <c r="FH178" i="35" s="1"/>
  <c r="FI640" i="2"/>
  <c r="ER184" i="18"/>
  <c r="ER185" i="18"/>
  <c r="J291" i="3"/>
  <c r="J293" i="3" s="1"/>
  <c r="K286" i="3"/>
  <c r="K291" i="3" s="1"/>
  <c r="K293" i="3" s="1"/>
  <c r="ES698" i="18"/>
  <c r="ER700" i="18"/>
  <c r="N129" i="11"/>
  <c r="N137" i="11" s="1"/>
  <c r="K49" i="37"/>
  <c r="U1352" i="3"/>
  <c r="U1356" i="3" s="1"/>
  <c r="T1356" i="3"/>
  <c r="FG13" i="2"/>
  <c r="FG12" i="2"/>
  <c r="M4982" i="3"/>
  <c r="O4461" i="3"/>
  <c r="O4462" i="3" s="1"/>
  <c r="O4465" i="3" s="1"/>
  <c r="O4458" i="3"/>
  <c r="FI284" i="2"/>
  <c r="FI396" i="10"/>
  <c r="FI288" i="2"/>
  <c r="FI285" i="2"/>
  <c r="FI402" i="10" s="1"/>
  <c r="FI294" i="2"/>
  <c r="FI316" i="2"/>
  <c r="P142" i="11"/>
  <c r="P134" i="11"/>
  <c r="K65" i="37"/>
  <c r="J68" i="37"/>
  <c r="K68" i="37" s="1"/>
  <c r="FH608" i="2"/>
  <c r="FI421" i="2"/>
  <c r="FI422" i="2"/>
  <c r="FI431" i="2"/>
  <c r="FH348" i="2"/>
  <c r="FH423" i="10"/>
  <c r="FG131" i="10"/>
  <c r="FG52" i="2"/>
  <c r="ES66" i="18"/>
  <c r="ES67" i="18"/>
  <c r="FF28" i="4"/>
  <c r="FJ26" i="4"/>
  <c r="FH472" i="2"/>
  <c r="FH464" i="2"/>
  <c r="FG53" i="4"/>
  <c r="FG19" i="4"/>
  <c r="FG102" i="10"/>
  <c r="FG1026" i="10" s="1"/>
  <c r="P93" i="11"/>
  <c r="P86" i="11" s="1"/>
  <c r="FG639" i="2"/>
  <c r="FG636" i="2"/>
  <c r="H388" i="3"/>
  <c r="H390" i="3" s="1"/>
  <c r="G399" i="3"/>
  <c r="G391" i="3"/>
  <c r="G389" i="3" s="1"/>
  <c r="G365" i="3" s="1"/>
  <c r="G364" i="3" s="1"/>
  <c r="G368" i="3" s="1"/>
  <c r="G370" i="3" s="1"/>
  <c r="G398" i="3" s="1"/>
  <c r="I480" i="3"/>
  <c r="I463" i="3"/>
  <c r="H380" i="3"/>
  <c r="H382" i="3" s="1"/>
  <c r="H384" i="3" s="1"/>
  <c r="H386" i="3" s="1"/>
  <c r="H393" i="3" s="1"/>
  <c r="H497" i="3"/>
  <c r="H506" i="3" s="1"/>
  <c r="H508" i="3" s="1"/>
  <c r="FH10" i="4"/>
  <c r="FH12" i="4" s="1"/>
  <c r="FH43" i="2"/>
  <c r="ES166" i="18"/>
  <c r="ES172" i="18"/>
  <c r="ES687" i="18"/>
  <c r="I112" i="6"/>
  <c r="J112" i="41"/>
  <c r="FH641" i="2"/>
  <c r="FH162" i="2"/>
  <c r="FH158" i="2" s="1"/>
  <c r="FH163" i="2" s="1"/>
  <c r="FI157" i="2"/>
  <c r="FH165" i="2"/>
  <c r="FH161" i="2"/>
  <c r="FG478" i="2"/>
  <c r="FG470" i="2"/>
  <c r="FI138" i="2"/>
  <c r="FI442" i="2" s="1"/>
  <c r="FI170" i="2"/>
  <c r="FI175" i="2" s="1"/>
  <c r="FI153" i="2" s="1"/>
  <c r="FI343" i="2"/>
  <c r="FI349" i="2"/>
  <c r="FI424" i="10"/>
  <c r="N4446" i="3"/>
  <c r="N4445" i="3"/>
  <c r="FG649" i="2"/>
  <c r="FG660" i="2" s="1"/>
  <c r="FG24" i="4" s="1"/>
  <c r="FG647" i="2"/>
  <c r="FG658" i="2" s="1"/>
  <c r="FG650" i="2"/>
  <c r="FG661" i="2" s="1"/>
  <c r="FG648" i="2"/>
  <c r="FG659" i="2" s="1"/>
  <c r="FG23" i="4" s="1"/>
  <c r="FG14" i="2"/>
  <c r="FH320" i="2"/>
  <c r="FH230" i="2"/>
  <c r="FH505" i="2" s="1"/>
  <c r="D5428" i="3"/>
  <c r="FI397" i="10"/>
  <c r="FI306" i="2"/>
  <c r="FI307" i="2"/>
  <c r="FI403" i="10" s="1"/>
  <c r="FI310" i="2"/>
  <c r="O86" i="11"/>
  <c r="O87" i="11" s="1"/>
  <c r="O95" i="11" s="1"/>
  <c r="FH432" i="10"/>
  <c r="FH368" i="2"/>
  <c r="FH349" i="2"/>
  <c r="FH424" i="10"/>
  <c r="FH343" i="2"/>
  <c r="FH604" i="2"/>
  <c r="FH211" i="2"/>
  <c r="FH205" i="2"/>
  <c r="FH376" i="10"/>
  <c r="FH44" i="2"/>
  <c r="FH465" i="2"/>
  <c r="J108" i="41"/>
  <c r="J113" i="41" s="1"/>
  <c r="I108" i="6"/>
  <c r="FI97" i="4"/>
  <c r="FI104" i="10"/>
  <c r="FI441" i="2"/>
  <c r="FI446" i="2" s="1"/>
  <c r="FH344" i="2" l="1"/>
  <c r="FI153" i="4"/>
  <c r="FI178" i="4"/>
  <c r="FI1031" i="10" s="1"/>
  <c r="FI110" i="4"/>
  <c r="FI130" i="4"/>
  <c r="M33" i="11" s="1"/>
  <c r="FI412" i="2"/>
  <c r="E5431" i="3"/>
  <c r="E5428" i="3" s="1"/>
  <c r="FI271" i="2"/>
  <c r="FI600" i="2" s="1"/>
  <c r="FI622" i="2" s="1"/>
  <c r="FI623" i="2" s="1"/>
  <c r="FI632" i="2" s="1"/>
  <c r="G405" i="3"/>
  <c r="G401" i="3"/>
  <c r="FJ65" i="35"/>
  <c r="FJ153" i="35" s="1"/>
  <c r="FJ593" i="36"/>
  <c r="FN588" i="36"/>
  <c r="FH97" i="35"/>
  <c r="FI178" i="35"/>
  <c r="FI153" i="35"/>
  <c r="N4447" i="3"/>
  <c r="H392" i="3"/>
  <c r="H399" i="3" s="1"/>
  <c r="P94" i="11"/>
  <c r="N130" i="11"/>
  <c r="O127" i="11" s="1"/>
  <c r="O129" i="11" s="1"/>
  <c r="O137" i="11" s="1"/>
  <c r="FH10" i="2"/>
  <c r="FH352" i="2"/>
  <c r="FH427" i="10"/>
  <c r="B4471" i="3"/>
  <c r="B4473" i="3" s="1"/>
  <c r="B4475" i="3" s="1"/>
  <c r="B4477" i="3" s="1"/>
  <c r="O4469" i="3"/>
  <c r="FH50" i="2"/>
  <c r="FH127" i="10"/>
  <c r="I113" i="6"/>
  <c r="I122" i="6"/>
  <c r="O88" i="11"/>
  <c r="P85" i="11" s="1"/>
  <c r="H105" i="41"/>
  <c r="G105" i="6"/>
  <c r="FG54" i="4"/>
  <c r="P135" i="11"/>
  <c r="P136" i="11" s="1"/>
  <c r="G5432" i="3"/>
  <c r="F5431" i="3"/>
  <c r="O96" i="11"/>
  <c r="O102" i="11"/>
  <c r="O103" i="11" s="1"/>
  <c r="FH474" i="2"/>
  <c r="J72" i="37"/>
  <c r="FH475" i="2"/>
  <c r="FH467" i="2"/>
  <c r="FH477" i="2" s="1"/>
  <c r="FH46" i="2"/>
  <c r="FH47" i="2" s="1"/>
  <c r="FH49" i="2" s="1"/>
  <c r="FH13" i="4"/>
  <c r="FH15" i="4" s="1"/>
  <c r="FH16" i="4" s="1"/>
  <c r="FH18" i="4" s="1"/>
  <c r="N4452" i="3"/>
  <c r="G451" i="3"/>
  <c r="FG54" i="2"/>
  <c r="FG55" i="2" s="1"/>
  <c r="FG575" i="2"/>
  <c r="FG570" i="2"/>
  <c r="FG15" i="2"/>
  <c r="FC8" i="32"/>
  <c r="N144" i="11"/>
  <c r="N145" i="11" s="1"/>
  <c r="N138" i="11"/>
  <c r="FG526" i="2"/>
  <c r="FG527" i="2" s="1"/>
  <c r="FG480" i="2"/>
  <c r="FH506" i="2"/>
  <c r="FH507" i="2"/>
  <c r="FH508" i="2" s="1"/>
  <c r="FH213" i="2"/>
  <c r="FH378" i="10"/>
  <c r="FH633" i="2"/>
  <c r="FH206" i="2"/>
  <c r="FI444" i="2"/>
  <c r="FI443" i="2"/>
  <c r="FI447" i="2"/>
  <c r="FI603" i="2"/>
  <c r="FI453" i="2"/>
  <c r="FI319" i="2"/>
  <c r="FI367" i="2" s="1"/>
  <c r="FG22" i="4"/>
  <c r="FG26" i="4" s="1"/>
  <c r="FG28" i="4" s="1"/>
  <c r="FG29" i="4" s="1"/>
  <c r="FG662" i="2"/>
  <c r="FF29" i="4"/>
  <c r="FJ28" i="4"/>
  <c r="FH609" i="2"/>
  <c r="FH161" i="10"/>
  <c r="G406" i="3"/>
  <c r="G400" i="3"/>
  <c r="J172" i="41"/>
  <c r="J171" i="41" s="1"/>
  <c r="FG638" i="2"/>
  <c r="J172" i="6"/>
  <c r="J171" i="6" s="1"/>
  <c r="L4948" i="3"/>
  <c r="FG644" i="2"/>
  <c r="FH351" i="2"/>
  <c r="FH426" i="10"/>
  <c r="FH384" i="10"/>
  <c r="FH231" i="2"/>
  <c r="ES696" i="18"/>
  <c r="ES695" i="18" s="1"/>
  <c r="ES700" i="18" s="1"/>
  <c r="ES176" i="18"/>
  <c r="ES183" i="18" s="1"/>
  <c r="N5714" i="3"/>
  <c r="FI436" i="2"/>
  <c r="FI432" i="2"/>
  <c r="FI433" i="2"/>
  <c r="FI190" i="10" s="1"/>
  <c r="FI602" i="2"/>
  <c r="FI429" i="2"/>
  <c r="FI434" i="2" s="1"/>
  <c r="FI299" i="2"/>
  <c r="FI425" i="2" s="1"/>
  <c r="FI295" i="2"/>
  <c r="FI296" i="2"/>
  <c r="FI317" i="2"/>
  <c r="FI339" i="2" s="1"/>
  <c r="FI351" i="2"/>
  <c r="FI426" i="10"/>
  <c r="FI454" i="2"/>
  <c r="FI164" i="2"/>
  <c r="FI159" i="2" s="1"/>
  <c r="FI148" i="2"/>
  <c r="FI147" i="2" s="1"/>
  <c r="FI152" i="2" s="1"/>
  <c r="ES173" i="18"/>
  <c r="ES174" i="18"/>
  <c r="J122" i="41"/>
  <c r="FI182" i="2"/>
  <c r="FI139" i="2"/>
  <c r="FI348" i="10"/>
  <c r="FI140" i="2"/>
  <c r="FI354" i="10" s="1"/>
  <c r="FI143" i="2"/>
  <c r="FI171" i="2"/>
  <c r="FL591" i="36"/>
  <c r="FL588" i="36" s="1"/>
  <c r="FK593" i="36"/>
  <c r="FK65" i="35"/>
  <c r="FI601" i="2"/>
  <c r="FI629" i="2" s="1"/>
  <c r="FI410" i="2"/>
  <c r="FI187" i="10" s="1"/>
  <c r="FI414" i="2"/>
  <c r="FI413" i="2"/>
  <c r="FI409" i="2"/>
  <c r="FI273" i="2" l="1"/>
  <c r="FI401" i="10" s="1"/>
  <c r="FI395" i="10"/>
  <c r="FI276" i="2"/>
  <c r="FI315" i="2"/>
  <c r="FI338" i="2" s="1"/>
  <c r="FI41" i="2" s="1"/>
  <c r="FI272" i="2"/>
  <c r="FJ97" i="35"/>
  <c r="G411" i="3"/>
  <c r="G412" i="3" s="1"/>
  <c r="G402" i="3"/>
  <c r="FJ178" i="35"/>
  <c r="I388" i="3"/>
  <c r="I390" i="3" s="1"/>
  <c r="H391" i="3"/>
  <c r="H389" i="3" s="1"/>
  <c r="H365" i="3" s="1"/>
  <c r="H364" i="3" s="1"/>
  <c r="H368" i="3" s="1"/>
  <c r="H370" i="3" s="1"/>
  <c r="H398" i="3" s="1"/>
  <c r="H405" i="3" s="1"/>
  <c r="H411" i="3" s="1"/>
  <c r="H412" i="3" s="1"/>
  <c r="FH468" i="2"/>
  <c r="FH478" i="2" s="1"/>
  <c r="FH53" i="4"/>
  <c r="FH19" i="4"/>
  <c r="FH102" i="10"/>
  <c r="FH1026" i="10" s="1"/>
  <c r="FH131" i="10"/>
  <c r="FH52" i="2"/>
  <c r="FL65" i="35"/>
  <c r="FM591" i="36"/>
  <c r="FM588" i="36" s="1"/>
  <c r="FL593" i="36"/>
  <c r="ES184" i="18"/>
  <c r="ES185" i="18"/>
  <c r="FH610" i="2"/>
  <c r="FH611" i="2" s="1"/>
  <c r="FH651" i="2"/>
  <c r="K170" i="41"/>
  <c r="K175" i="41" s="1"/>
  <c r="K184" i="41" s="1"/>
  <c r="FH643" i="2"/>
  <c r="K170" i="6"/>
  <c r="K175" i="6" s="1"/>
  <c r="K184" i="6" s="1"/>
  <c r="FH634" i="2"/>
  <c r="O104" i="11"/>
  <c r="O109" i="11"/>
  <c r="O111" i="11" s="1"/>
  <c r="O105" i="11"/>
  <c r="G493" i="3"/>
  <c r="G495" i="3" s="1"/>
  <c r="G478" i="3"/>
  <c r="G453" i="3"/>
  <c r="H5432" i="3"/>
  <c r="G5431" i="3"/>
  <c r="FI160" i="2"/>
  <c r="FI349" i="10"/>
  <c r="FI172" i="2"/>
  <c r="FI173" i="2"/>
  <c r="FI355" i="10" s="1"/>
  <c r="FI176" i="2"/>
  <c r="D9" i="19"/>
  <c r="E9" i="19" s="1"/>
  <c r="FI340" i="2"/>
  <c r="P128" i="11"/>
  <c r="L4949" i="3"/>
  <c r="L4953" i="3"/>
  <c r="H499" i="3"/>
  <c r="FH128" i="10"/>
  <c r="FH51" i="2"/>
  <c r="FI368" i="2"/>
  <c r="FI432" i="10"/>
  <c r="G118" i="6"/>
  <c r="G121" i="6"/>
  <c r="H118" i="41"/>
  <c r="H121" i="41"/>
  <c r="FI203" i="2"/>
  <c r="FI183" i="2"/>
  <c r="O144" i="11"/>
  <c r="O145" i="11" s="1"/>
  <c r="O138" i="11"/>
  <c r="H406" i="3"/>
  <c r="FI642" i="2"/>
  <c r="FI608" i="2"/>
  <c r="N4453" i="3"/>
  <c r="N4462" i="3"/>
  <c r="N4465" i="3" s="1"/>
  <c r="N4501" i="3"/>
  <c r="N4433" i="3"/>
  <c r="N4434" i="3" s="1"/>
  <c r="N4439" i="3" s="1"/>
  <c r="FI347" i="2"/>
  <c r="FI422" i="10"/>
  <c r="FI42" i="2"/>
  <c r="FI463" i="2"/>
  <c r="FI473" i="2" s="1"/>
  <c r="FI566" i="2"/>
  <c r="FI455" i="2"/>
  <c r="FI573" i="2"/>
  <c r="FI604" i="2"/>
  <c r="FI630" i="2"/>
  <c r="B4483" i="3"/>
  <c r="C4826" i="3" s="1"/>
  <c r="B4826" i="3"/>
  <c r="B65" i="6"/>
  <c r="B66" i="6" s="1"/>
  <c r="B4479" i="3"/>
  <c r="B87" i="41"/>
  <c r="B87" i="6"/>
  <c r="B65" i="41"/>
  <c r="B66" i="41" s="1"/>
  <c r="B68" i="41" s="1"/>
  <c r="B70" i="41" s="1"/>
  <c r="B71" i="41" s="1"/>
  <c r="B5332" i="3"/>
  <c r="C4477" i="3"/>
  <c r="O130" i="11"/>
  <c r="P127" i="11" s="1"/>
  <c r="G414" i="3"/>
  <c r="G407" i="3"/>
  <c r="P87" i="11"/>
  <c r="P95" i="11" s="1"/>
  <c r="FK97" i="35"/>
  <c r="FK153" i="35"/>
  <c r="J88" i="37"/>
  <c r="K72" i="37"/>
  <c r="FI641" i="2"/>
  <c r="F5428" i="3"/>
  <c r="FH9" i="2"/>
  <c r="FH379" i="10"/>
  <c r="FH214" i="2"/>
  <c r="FH545" i="2"/>
  <c r="FH563" i="2"/>
  <c r="FH14" i="2"/>
  <c r="FI421" i="10" l="1"/>
  <c r="FI462" i="2"/>
  <c r="FI346" i="2"/>
  <c r="FH470" i="2"/>
  <c r="FK178" i="35"/>
  <c r="H400" i="3"/>
  <c r="P129" i="11"/>
  <c r="P137" i="11" s="1"/>
  <c r="P144" i="11" s="1"/>
  <c r="P145" i="11" s="1"/>
  <c r="G5428" i="3"/>
  <c r="B5303" i="3"/>
  <c r="B5331" i="3"/>
  <c r="B5323" i="3"/>
  <c r="I381" i="3"/>
  <c r="FI11" i="4"/>
  <c r="I498" i="3"/>
  <c r="I507" i="3" s="1"/>
  <c r="I5432" i="3"/>
  <c r="H5431" i="3"/>
  <c r="FI211" i="2"/>
  <c r="FI376" i="10"/>
  <c r="FI205" i="2"/>
  <c r="FI465" i="2"/>
  <c r="FI44" i="2"/>
  <c r="FH649" i="2"/>
  <c r="FH660" i="2" s="1"/>
  <c r="FH24" i="4" s="1"/>
  <c r="FH647" i="2"/>
  <c r="FH658" i="2" s="1"/>
  <c r="FH650" i="2"/>
  <c r="FH661" i="2" s="1"/>
  <c r="FH648" i="2"/>
  <c r="FH659" i="2" s="1"/>
  <c r="FH23" i="4" s="1"/>
  <c r="B88" i="41"/>
  <c r="B91" i="41" s="1"/>
  <c r="C87" i="41"/>
  <c r="B4748" i="3"/>
  <c r="C4711" i="3"/>
  <c r="C4479" i="3"/>
  <c r="N4982" i="3"/>
  <c r="I380" i="3"/>
  <c r="FI10" i="4"/>
  <c r="I497" i="3"/>
  <c r="I506" i="3" s="1"/>
  <c r="FI43" i="2"/>
  <c r="N4469" i="3"/>
  <c r="N4467" i="3"/>
  <c r="FM593" i="36"/>
  <c r="FM65" i="35"/>
  <c r="FL97" i="35"/>
  <c r="FL153" i="35"/>
  <c r="FH526" i="2"/>
  <c r="FH527" i="2" s="1"/>
  <c r="FH480" i="2"/>
  <c r="P88" i="11"/>
  <c r="FI320" i="2"/>
  <c r="FI230" i="2"/>
  <c r="FI161" i="10"/>
  <c r="FI609" i="2"/>
  <c r="FI472" i="2"/>
  <c r="FI464" i="2"/>
  <c r="FI348" i="2"/>
  <c r="FI344" i="2"/>
  <c r="FI423" i="10"/>
  <c r="P96" i="11"/>
  <c r="P102" i="11"/>
  <c r="P103" i="11" s="1"/>
  <c r="G415" i="3"/>
  <c r="G418" i="3" s="1"/>
  <c r="G417" i="3"/>
  <c r="FI165" i="2"/>
  <c r="FI161" i="2"/>
  <c r="FI162" i="2"/>
  <c r="FI158" i="2" s="1"/>
  <c r="FI163" i="2" s="1"/>
  <c r="FH13" i="2"/>
  <c r="FH12" i="2"/>
  <c r="B88" i="6"/>
  <c r="C87" i="6"/>
  <c r="H414" i="3"/>
  <c r="H407" i="3"/>
  <c r="FH636" i="2"/>
  <c r="FH639" i="2"/>
  <c r="I105" i="41"/>
  <c r="FH54" i="4"/>
  <c r="H105" i="6"/>
  <c r="H5428" i="3" l="1"/>
  <c r="FL178" i="35"/>
  <c r="P138" i="11"/>
  <c r="P130" i="11"/>
  <c r="FI378" i="10"/>
  <c r="FI213" i="2"/>
  <c r="FI633" i="2"/>
  <c r="FI206" i="2"/>
  <c r="FI352" i="2"/>
  <c r="FI427" i="10"/>
  <c r="FI10" i="2"/>
  <c r="FH570" i="2"/>
  <c r="FD8" i="32"/>
  <c r="FH575" i="2"/>
  <c r="H451" i="3"/>
  <c r="FH15" i="2"/>
  <c r="FH54" i="2"/>
  <c r="FH55" i="2" s="1"/>
  <c r="FM97" i="35"/>
  <c r="FM178" i="35" s="1"/>
  <c r="FM153" i="35"/>
  <c r="D4748" i="3"/>
  <c r="H118" i="6"/>
  <c r="H121" i="6"/>
  <c r="D87" i="41"/>
  <c r="E87" i="41" s="1"/>
  <c r="F87" i="41" s="1"/>
  <c r="G87" i="41" s="1"/>
  <c r="H87" i="41" s="1"/>
  <c r="I87" i="41" s="1"/>
  <c r="J87" i="41" s="1"/>
  <c r="K87" i="41" s="1"/>
  <c r="C88" i="41"/>
  <c r="C91" i="41" s="1"/>
  <c r="I5431" i="3"/>
  <c r="I5428" i="3" s="1"/>
  <c r="J5432" i="3"/>
  <c r="I118" i="41"/>
  <c r="I121" i="41"/>
  <c r="K172" i="41"/>
  <c r="K171" i="41" s="1"/>
  <c r="FH644" i="2"/>
  <c r="M4948" i="3"/>
  <c r="K172" i="6"/>
  <c r="K171" i="6" s="1"/>
  <c r="FH638" i="2"/>
  <c r="FI384" i="10"/>
  <c r="FI231" i="2"/>
  <c r="FI505" i="2"/>
  <c r="H415" i="3"/>
  <c r="H418" i="3" s="1"/>
  <c r="H417" i="3"/>
  <c r="FI127" i="10"/>
  <c r="FI50" i="2"/>
  <c r="B5556" i="3"/>
  <c r="B5557" i="3" s="1"/>
  <c r="E5557" i="3" s="1"/>
  <c r="B5324" i="3"/>
  <c r="B5580" i="3"/>
  <c r="B5328" i="3"/>
  <c r="B5325" i="3"/>
  <c r="C5325" i="3" s="1"/>
  <c r="B5563" i="3"/>
  <c r="C5323" i="3"/>
  <c r="FI12" i="4"/>
  <c r="I382" i="3"/>
  <c r="I384" i="3" s="1"/>
  <c r="I386" i="3" s="1"/>
  <c r="I393" i="3" s="1"/>
  <c r="I392" i="3" s="1"/>
  <c r="FI46" i="2"/>
  <c r="FI13" i="4"/>
  <c r="FI15" i="4" s="1"/>
  <c r="FI474" i="2"/>
  <c r="I508" i="3"/>
  <c r="J508" i="3" s="1"/>
  <c r="P104" i="11"/>
  <c r="Q103" i="11"/>
  <c r="F12" i="11" s="1"/>
  <c r="P109" i="11"/>
  <c r="P105" i="11"/>
  <c r="F16" i="11"/>
  <c r="FH662" i="2"/>
  <c r="FH22" i="4"/>
  <c r="FH26" i="4" s="1"/>
  <c r="FH28" i="4" s="1"/>
  <c r="FH29" i="4" s="1"/>
  <c r="D87" i="6"/>
  <c r="E87" i="6" s="1"/>
  <c r="F87" i="6" s="1"/>
  <c r="G87" i="6" s="1"/>
  <c r="H87" i="6" s="1"/>
  <c r="I87" i="6" s="1"/>
  <c r="J87" i="6" s="1"/>
  <c r="K87" i="6" s="1"/>
  <c r="C88" i="6"/>
  <c r="FI467" i="2"/>
  <c r="FI477" i="2" s="1"/>
  <c r="FI475" i="2"/>
  <c r="D5303" i="3"/>
  <c r="B5304" i="3"/>
  <c r="B5327" i="3"/>
  <c r="D133" i="3"/>
  <c r="C133" i="3"/>
  <c r="B133" i="3"/>
  <c r="I499" i="3" l="1"/>
  <c r="J499" i="3" s="1"/>
  <c r="FI51" i="2"/>
  <c r="FI128" i="10"/>
  <c r="H493" i="3"/>
  <c r="H495" i="3" s="1"/>
  <c r="H453" i="3"/>
  <c r="H478" i="3"/>
  <c r="FI47" i="2"/>
  <c r="FI49" i="2" s="1"/>
  <c r="B5564" i="3"/>
  <c r="FI14" i="2"/>
  <c r="FI506" i="2"/>
  <c r="FI507" i="2"/>
  <c r="FI508" i="2" s="1"/>
  <c r="B5586" i="3"/>
  <c r="B5583" i="3"/>
  <c r="FI9" i="2"/>
  <c r="FI214" i="2"/>
  <c r="FI379" i="10"/>
  <c r="FI545" i="2"/>
  <c r="FI563" i="2"/>
  <c r="FI16" i="4"/>
  <c r="FI18" i="4" s="1"/>
  <c r="FI610" i="2"/>
  <c r="FI611" i="2" s="1"/>
  <c r="FI643" i="2"/>
  <c r="FI651" i="2"/>
  <c r="FI634" i="2"/>
  <c r="I399" i="3"/>
  <c r="I406" i="3" s="1"/>
  <c r="I414" i="3" s="1"/>
  <c r="I391" i="3"/>
  <c r="I389" i="3" s="1"/>
  <c r="J388" i="3"/>
  <c r="J390" i="3" s="1"/>
  <c r="B228" i="11"/>
  <c r="B236" i="11"/>
  <c r="B245" i="11"/>
  <c r="M4949" i="3"/>
  <c r="M4953" i="3"/>
  <c r="J5431" i="3"/>
  <c r="J5428" i="3" s="1"/>
  <c r="K5432" i="3"/>
  <c r="B113" i="11"/>
  <c r="B115" i="11" s="1"/>
  <c r="B117" i="11" s="1"/>
  <c r="P111" i="11"/>
  <c r="B118" i="11" s="1"/>
  <c r="D5304" i="3"/>
  <c r="C5308" i="3"/>
  <c r="FI468" i="2"/>
  <c r="FI131" i="10" l="1"/>
  <c r="FI52" i="2"/>
  <c r="FI13" i="2"/>
  <c r="FI12" i="2"/>
  <c r="I415" i="3"/>
  <c r="C5307" i="3"/>
  <c r="D5308" i="3"/>
  <c r="D5307" i="3" s="1"/>
  <c r="K5431" i="3"/>
  <c r="K5428" i="3" s="1"/>
  <c r="L5432" i="3"/>
  <c r="FI470" i="2"/>
  <c r="FI478" i="2"/>
  <c r="J389" i="3"/>
  <c r="I365" i="3"/>
  <c r="I364" i="3" s="1"/>
  <c r="I368" i="3" s="1"/>
  <c r="I370" i="3" s="1"/>
  <c r="I398" i="3" s="1"/>
  <c r="FI648" i="2"/>
  <c r="FI659" i="2" s="1"/>
  <c r="FI23" i="4" s="1"/>
  <c r="FI650" i="2"/>
  <c r="FI661" i="2" s="1"/>
  <c r="FI649" i="2"/>
  <c r="FI660" i="2" s="1"/>
  <c r="FI24" i="4" s="1"/>
  <c r="FI647" i="2"/>
  <c r="FI658" i="2" s="1"/>
  <c r="D5564" i="3"/>
  <c r="FI636" i="2"/>
  <c r="FI639" i="2"/>
  <c r="B119" i="11"/>
  <c r="FI53" i="4"/>
  <c r="FI102" i="10"/>
  <c r="FI1026" i="10" s="1"/>
  <c r="FI19" i="4"/>
  <c r="N4948" i="3" l="1"/>
  <c r="FI638" i="2"/>
  <c r="FI644" i="2"/>
  <c r="B121" i="11"/>
  <c r="B122" i="11" s="1"/>
  <c r="F13" i="11"/>
  <c r="F14" i="11" s="1"/>
  <c r="I400" i="3"/>
  <c r="I405" i="3"/>
  <c r="J105" i="41"/>
  <c r="I105" i="6"/>
  <c r="FI54" i="4"/>
  <c r="M5432" i="3"/>
  <c r="M5431" i="3" s="1"/>
  <c r="N5431" i="3" s="1"/>
  <c r="L5431" i="3"/>
  <c r="L5428" i="3" s="1"/>
  <c r="FI526" i="2"/>
  <c r="FI527" i="2" s="1"/>
  <c r="FI480" i="2"/>
  <c r="G5564" i="3"/>
  <c r="D5563" i="3"/>
  <c r="FI662" i="2"/>
  <c r="FI22" i="4"/>
  <c r="FI26" i="4" s="1"/>
  <c r="FI28" i="4" s="1"/>
  <c r="FI29" i="4" s="1"/>
  <c r="FE8" i="32"/>
  <c r="I451" i="3"/>
  <c r="FI570" i="2"/>
  <c r="FK12" i="2"/>
  <c r="FI575" i="2"/>
  <c r="FI54" i="2"/>
  <c r="FI55" i="2" s="1"/>
  <c r="FI15" i="2"/>
  <c r="K389" i="3"/>
  <c r="K365" i="3" s="1"/>
  <c r="K364" i="3" s="1"/>
  <c r="K368" i="3" s="1"/>
  <c r="K370" i="3" s="1"/>
  <c r="J391" i="3"/>
  <c r="J392" i="3" s="1"/>
  <c r="J365" i="3"/>
  <c r="J364" i="3" s="1"/>
  <c r="J368" i="3" s="1"/>
  <c r="J370" i="3" s="1"/>
  <c r="J398" i="3" s="1"/>
  <c r="M5428" i="3" l="1"/>
  <c r="J399" i="3"/>
  <c r="J393" i="3"/>
  <c r="J386" i="3" s="1"/>
  <c r="J384" i="3" s="1"/>
  <c r="K388" i="3"/>
  <c r="K390" i="3" s="1"/>
  <c r="K391" i="3" s="1"/>
  <c r="K392" i="3" s="1"/>
  <c r="J405" i="3"/>
  <c r="J411" i="3" s="1"/>
  <c r="J412" i="3" s="1"/>
  <c r="K398" i="3"/>
  <c r="K405" i="3" s="1"/>
  <c r="K105" i="41"/>
  <c r="J118" i="41"/>
  <c r="M105" i="41"/>
  <c r="J121" i="41"/>
  <c r="I118" i="6"/>
  <c r="J105" i="6"/>
  <c r="I121" i="6"/>
  <c r="I493" i="3"/>
  <c r="I495" i="3" s="1"/>
  <c r="J495" i="3" s="1"/>
  <c r="K503" i="3" s="1"/>
  <c r="I453" i="3"/>
  <c r="I478" i="3"/>
  <c r="N4949" i="3"/>
  <c r="N4953" i="3"/>
  <c r="I407" i="3"/>
  <c r="I411" i="3"/>
  <c r="J118" i="6" l="1"/>
  <c r="J112" i="6"/>
  <c r="K112" i="41"/>
  <c r="K118" i="41"/>
  <c r="K411" i="3"/>
  <c r="K412" i="3" s="1"/>
  <c r="L405" i="3"/>
  <c r="I412" i="3"/>
  <c r="I418" i="3" s="1"/>
  <c r="I417" i="3"/>
  <c r="K399" i="3"/>
  <c r="K393" i="3"/>
  <c r="K386" i="3" s="1"/>
  <c r="K384" i="3" s="1"/>
  <c r="J400" i="3"/>
  <c r="J406" i="3"/>
  <c r="J414" i="3" l="1"/>
  <c r="J407" i="3"/>
  <c r="K400" i="3"/>
  <c r="K406" i="3"/>
  <c r="K108" i="41"/>
  <c r="K122" i="41" s="1"/>
  <c r="K113" i="41"/>
  <c r="J108" i="6"/>
  <c r="J113" i="6"/>
  <c r="J122" i="6" l="1"/>
  <c r="K414" i="3"/>
  <c r="K407" i="3"/>
  <c r="J417" i="3"/>
  <c r="J415" i="3"/>
  <c r="J418" i="3" s="1"/>
  <c r="B2146" i="3"/>
  <c r="K417" i="3" l="1"/>
  <c r="K415" i="3"/>
  <c r="K418" i="3" s="1"/>
  <c r="C2146" i="3"/>
  <c r="B2147" i="3"/>
  <c r="D2146" i="3" l="1"/>
  <c r="D2147" i="3" s="1"/>
  <c r="C2147" i="3"/>
  <c r="G73" i="29"/>
  <c r="H73" i="29" s="1"/>
  <c r="H97" i="29" s="1"/>
  <c r="F97" i="29"/>
  <c r="F94" i="29" s="1"/>
  <c r="F70" i="29" s="1"/>
  <c r="G98" i="29"/>
  <c r="G97" i="29" l="1"/>
  <c r="G94" i="29" s="1"/>
  <c r="G70" i="29" s="1"/>
  <c r="H99" i="29"/>
  <c r="H98" i="29"/>
  <c r="H94" i="29" l="1"/>
  <c r="H70" i="29" s="1"/>
  <c r="I98" i="29"/>
  <c r="I99" i="29"/>
  <c r="I100" i="29"/>
  <c r="I94" i="29" l="1"/>
  <c r="I70" i="29" s="1"/>
  <c r="J99" i="29"/>
  <c r="J101" i="29"/>
  <c r="J100" i="29"/>
  <c r="K102" i="29" l="1"/>
  <c r="K100" i="29"/>
  <c r="K101" i="29"/>
  <c r="J94" i="29"/>
  <c r="J70" i="29" s="1"/>
  <c r="K94" i="29" l="1"/>
  <c r="K70" i="29" s="1"/>
  <c r="L102" i="29"/>
  <c r="L101" i="29"/>
  <c r="L103" i="29"/>
  <c r="M104" i="29" l="1"/>
  <c r="M102" i="29"/>
  <c r="L94" i="29"/>
  <c r="L70" i="29" s="1"/>
  <c r="M103" i="29"/>
  <c r="N103" i="29" l="1"/>
  <c r="N105" i="29"/>
  <c r="O82" i="29"/>
  <c r="N104" i="29"/>
  <c r="M94" i="29"/>
  <c r="M70" i="29" s="1"/>
  <c r="O105" i="29" l="1"/>
  <c r="P82" i="29"/>
  <c r="P83" i="29"/>
  <c r="O106" i="29"/>
  <c r="N94" i="29"/>
  <c r="N70" i="29" s="1"/>
  <c r="O104" i="29"/>
  <c r="O94" i="29" l="1"/>
  <c r="O70" i="29" s="1"/>
  <c r="P107" i="29"/>
  <c r="Q84" i="29"/>
  <c r="Q83" i="29"/>
  <c r="P106" i="29"/>
  <c r="P105" i="29"/>
  <c r="Q82" i="29"/>
  <c r="P94" i="29" l="1"/>
  <c r="P70" i="29" s="1"/>
  <c r="Q106" i="29"/>
  <c r="R83" i="29"/>
  <c r="Q107" i="29"/>
  <c r="R84" i="29"/>
  <c r="Q108" i="29"/>
  <c r="R85" i="29"/>
  <c r="S86" i="29" l="1"/>
  <c r="R109" i="29"/>
  <c r="R108" i="29"/>
  <c r="S85" i="29"/>
  <c r="R107" i="29"/>
  <c r="S84" i="29"/>
  <c r="Q94" i="29"/>
  <c r="Q70" i="29" s="1"/>
  <c r="R94" i="29" l="1"/>
  <c r="R70" i="29" s="1"/>
  <c r="S70" i="29" s="1"/>
  <c r="T70" i="29" s="1"/>
  <c r="T85" i="29"/>
  <c r="S108" i="29"/>
  <c r="S109" i="29"/>
  <c r="T86" i="29"/>
  <c r="S110" i="29"/>
  <c r="T87" i="29"/>
  <c r="S94" i="29" l="1"/>
  <c r="S115" i="29" s="1"/>
  <c r="T110" i="29"/>
  <c r="U87" i="29"/>
  <c r="T109" i="29"/>
  <c r="U86" i="29"/>
  <c r="T111" i="29"/>
  <c r="U88" i="29"/>
  <c r="T94" i="29"/>
  <c r="U70" i="29"/>
  <c r="T115" i="29" l="1"/>
  <c r="T116" i="29" s="1"/>
  <c r="T117" i="29" s="1"/>
  <c r="S118" i="29"/>
  <c r="S116" i="29"/>
  <c r="S117" i="29" s="1"/>
  <c r="U112" i="29"/>
  <c r="V89" i="29"/>
  <c r="V113" i="29" s="1"/>
  <c r="U110" i="29"/>
  <c r="V87" i="29"/>
  <c r="V111" i="29" s="1"/>
  <c r="V88" i="29"/>
  <c r="V112" i="29" s="1"/>
  <c r="U111" i="29"/>
  <c r="U94" i="29"/>
  <c r="V70" i="29"/>
  <c r="V94" i="29" s="1"/>
  <c r="T118" i="29" l="1"/>
  <c r="U115" i="29"/>
  <c r="U118" i="29" s="1"/>
  <c r="V115" i="29"/>
  <c r="U116" i="29" l="1"/>
  <c r="U117" i="29" s="1"/>
  <c r="V116" i="29"/>
  <c r="V117" i="29" s="1"/>
  <c r="V118" i="29"/>
  <c r="ER19" i="2"/>
  <c r="ES380" i="2"/>
  <c r="ES381" i="2" s="1"/>
  <c r="ES388" i="2"/>
  <c r="ES435" i="10" s="1"/>
  <c r="ER434" i="10"/>
  <c r="ER435" i="10"/>
  <c r="ER67" i="2"/>
  <c r="ER71" i="2" s="1"/>
  <c r="ES71" i="2" s="1"/>
  <c r="ES30" i="2" s="1"/>
  <c r="ES483" i="2"/>
  <c r="B2729" i="3" s="1"/>
  <c r="ER133" i="10"/>
  <c r="ER23" i="2" l="1"/>
  <c r="ES19" i="2"/>
  <c r="B2724" i="3" s="1"/>
  <c r="B168" i="38"/>
  <c r="B483" i="38" s="1"/>
  <c r="B143" i="38"/>
  <c r="B461" i="38" s="1"/>
  <c r="B145" i="38"/>
  <c r="B144" i="38"/>
  <c r="B1831" i="3"/>
  <c r="B82" i="37"/>
  <c r="ES9" i="32"/>
  <c r="ES11" i="32" s="1"/>
  <c r="B2028" i="3"/>
  <c r="ER72" i="2"/>
  <c r="ER73" i="2" s="1"/>
  <c r="ES390" i="2"/>
  <c r="ES389" i="2"/>
  <c r="ES384" i="2"/>
  <c r="ES385" i="2" s="1"/>
  <c r="ES133" i="10"/>
  <c r="ES33" i="2"/>
  <c r="ER79" i="2"/>
  <c r="ES434" i="10"/>
  <c r="ES382" i="2"/>
  <c r="ES383" i="2" s="1"/>
  <c r="ES67" i="2"/>
  <c r="ES72" i="2" s="1"/>
  <c r="ES219" i="2" s="1"/>
  <c r="ES220" i="2" s="1"/>
  <c r="ER43" i="4"/>
  <c r="ER46" i="4" s="1"/>
  <c r="ER48" i="4" s="1"/>
  <c r="ES386" i="2"/>
  <c r="B2742" i="3"/>
  <c r="ES485" i="2"/>
  <c r="F4890" i="3"/>
  <c r="F4959" i="3"/>
  <c r="ES36" i="2"/>
  <c r="ES484" i="2"/>
  <c r="ES79" i="2"/>
  <c r="ER30" i="2"/>
  <c r="E1305" i="3" l="1"/>
  <c r="E1306" i="3" s="1"/>
  <c r="E1307" i="3" s="1"/>
  <c r="E1322" i="3"/>
  <c r="E1321" i="3" s="1"/>
  <c r="B463" i="38"/>
  <c r="B462" i="38"/>
  <c r="C135" i="38"/>
  <c r="F133" i="38"/>
  <c r="B8" i="39"/>
  <c r="B9" i="39" s="1"/>
  <c r="B170" i="38"/>
  <c r="B171" i="38"/>
  <c r="B169" i="38"/>
  <c r="B484" i="38" s="1"/>
  <c r="B74" i="37"/>
  <c r="C340" i="38"/>
  <c r="C342" i="38" s="1"/>
  <c r="C344" i="38" s="1"/>
  <c r="B140" i="38"/>
  <c r="B444" i="38" s="1"/>
  <c r="C444" i="38" s="1"/>
  <c r="B91" i="37"/>
  <c r="B92" i="37" s="1"/>
  <c r="B95" i="37"/>
  <c r="B85" i="37"/>
  <c r="B83" i="37"/>
  <c r="B79" i="37"/>
  <c r="B78" i="37" s="1"/>
  <c r="ES23" i="2"/>
  <c r="B2031" i="3"/>
  <c r="B2026" i="3"/>
  <c r="B2025" i="3" s="1"/>
  <c r="C2025" i="3" s="1"/>
  <c r="D2025" i="3" s="1"/>
  <c r="B2029" i="3"/>
  <c r="B2107" i="3"/>
  <c r="B2037" i="3"/>
  <c r="B2038" i="3" s="1"/>
  <c r="ES486" i="2"/>
  <c r="B2022" i="3"/>
  <c r="ER357" i="2"/>
  <c r="ER355" i="2" s="1"/>
  <c r="ES43" i="4"/>
  <c r="ER219" i="2"/>
  <c r="ER220" i="2" s="1"/>
  <c r="ES73" i="2"/>
  <c r="ES357" i="2"/>
  <c r="ES358" i="2" s="1"/>
  <c r="ER49" i="4"/>
  <c r="ER50" i="4"/>
  <c r="ES46" i="4"/>
  <c r="ES48" i="4" s="1"/>
  <c r="ES57" i="4"/>
  <c r="F4960" i="3"/>
  <c r="F4967" i="3"/>
  <c r="F4971" i="3"/>
  <c r="ER36" i="2"/>
  <c r="E1920" i="3" s="1"/>
  <c r="ER33" i="2"/>
  <c r="ER21" i="2"/>
  <c r="ER9" i="32"/>
  <c r="ER11" i="32" s="1"/>
  <c r="C72" i="42" l="1"/>
  <c r="C61" i="42"/>
  <c r="C52" i="42" s="1"/>
  <c r="D211" i="41"/>
  <c r="D95" i="41"/>
  <c r="D84" i="41"/>
  <c r="D75" i="41" s="1"/>
  <c r="B26" i="41"/>
  <c r="B21" i="41"/>
  <c r="B23" i="41"/>
  <c r="C1315" i="3"/>
  <c r="C138" i="38"/>
  <c r="D138" i="38" s="1"/>
  <c r="D135" i="38"/>
  <c r="C139" i="38"/>
  <c r="B131" i="39" s="1"/>
  <c r="C131" i="39" s="1"/>
  <c r="C446" i="38"/>
  <c r="C456" i="38" s="1"/>
  <c r="D444" i="38"/>
  <c r="J450" i="38"/>
  <c r="B486" i="38"/>
  <c r="B485" i="38"/>
  <c r="E135" i="38"/>
  <c r="C350" i="38"/>
  <c r="E346" i="38"/>
  <c r="E345" i="38"/>
  <c r="B233" i="38"/>
  <c r="C140" i="38"/>
  <c r="J444" i="38" s="1"/>
  <c r="ER217" i="2"/>
  <c r="ER382" i="10" s="1"/>
  <c r="B2098" i="3"/>
  <c r="C2098" i="3" s="1"/>
  <c r="C2022" i="3"/>
  <c r="ER358" i="2"/>
  <c r="B2110" i="3"/>
  <c r="B2116" i="3"/>
  <c r="B2117" i="3" s="1"/>
  <c r="B2102" i="3"/>
  <c r="B2108" i="3"/>
  <c r="ER372" i="2"/>
  <c r="ER430" i="10"/>
  <c r="ES355" i="2"/>
  <c r="ER356" i="2"/>
  <c r="ER20" i="2"/>
  <c r="ES20" i="2" s="1"/>
  <c r="ER24" i="2"/>
  <c r="ES136" i="4"/>
  <c r="ER199" i="4"/>
  <c r="ER103" i="10"/>
  <c r="ES59" i="4"/>
  <c r="E175" i="3"/>
  <c r="E174" i="3" s="1"/>
  <c r="E177" i="3" s="1"/>
  <c r="E179" i="3" s="1"/>
  <c r="E181" i="3" s="1"/>
  <c r="C35" i="3"/>
  <c r="C2952" i="3"/>
  <c r="F5012" i="3"/>
  <c r="E32" i="11"/>
  <c r="ES199" i="4"/>
  <c r="B2797" i="3" s="1"/>
  <c r="ES50" i="4"/>
  <c r="E237" i="24"/>
  <c r="E123" i="19"/>
  <c r="ES49" i="4"/>
  <c r="ES103" i="10"/>
  <c r="D211" i="6"/>
  <c r="D84" i="6"/>
  <c r="D75" i="6" s="1"/>
  <c r="EK68" i="18"/>
  <c r="D95" i="6"/>
  <c r="C70" i="42" l="1"/>
  <c r="C71" i="42" s="1"/>
  <c r="C74" i="42" s="1"/>
  <c r="C54" i="42"/>
  <c r="C63" i="42" s="1"/>
  <c r="D93" i="41"/>
  <c r="D94" i="41" s="1"/>
  <c r="D77" i="41"/>
  <c r="D86" i="41" s="1"/>
  <c r="D223" i="41"/>
  <c r="D213" i="41"/>
  <c r="D214" i="41"/>
  <c r="C34" i="39"/>
  <c r="C37" i="39" s="1"/>
  <c r="D139" i="38"/>
  <c r="J458" i="38"/>
  <c r="J457" i="38"/>
  <c r="F135" i="38"/>
  <c r="E139" i="38"/>
  <c r="E138" i="38"/>
  <c r="E444" i="38"/>
  <c r="D446" i="38"/>
  <c r="D456" i="38" s="1"/>
  <c r="C458" i="38"/>
  <c r="C457" i="38"/>
  <c r="C460" i="38"/>
  <c r="C502" i="38" s="1"/>
  <c r="D233" i="38"/>
  <c r="F233" i="38" s="1"/>
  <c r="F235" i="38" s="1"/>
  <c r="E140" i="38"/>
  <c r="E136" i="38" s="1"/>
  <c r="B235" i="38"/>
  <c r="B236" i="38" s="1"/>
  <c r="C233" i="38"/>
  <c r="C327" i="39" s="1"/>
  <c r="C352" i="38"/>
  <c r="E352" i="38" s="1"/>
  <c r="C351" i="38"/>
  <c r="C353" i="38"/>
  <c r="C375" i="38"/>
  <c r="ER218" i="2"/>
  <c r="ER235" i="2"/>
  <c r="ES235" i="2" s="1"/>
  <c r="ES237" i="2" s="1"/>
  <c r="ES238" i="2" s="1"/>
  <c r="ES217" i="2"/>
  <c r="D140" i="38"/>
  <c r="C136" i="38"/>
  <c r="C137" i="38" s="1"/>
  <c r="B2104" i="3"/>
  <c r="B2101" i="3"/>
  <c r="C2101" i="3" s="1"/>
  <c r="D2101" i="3" s="1"/>
  <c r="C2024" i="3"/>
  <c r="D2022" i="3"/>
  <c r="D2098" i="3"/>
  <c r="C2100" i="3"/>
  <c r="ES430" i="10"/>
  <c r="ES356" i="2"/>
  <c r="ER433" i="10"/>
  <c r="ER376" i="2"/>
  <c r="ER377" i="2" s="1"/>
  <c r="ER378" i="2"/>
  <c r="ES372" i="2"/>
  <c r="ER374" i="2"/>
  <c r="ER375" i="2" s="1"/>
  <c r="ER360" i="2"/>
  <c r="ER373" i="2"/>
  <c r="E238" i="24"/>
  <c r="E234" i="24"/>
  <c r="E239" i="24"/>
  <c r="C2954" i="3"/>
  <c r="C2947" i="3"/>
  <c r="C2949" i="3" s="1"/>
  <c r="ER121" i="10"/>
  <c r="ER1027" i="10"/>
  <c r="ER1028" i="10" s="1"/>
  <c r="ER140" i="10"/>
  <c r="ER142" i="10" s="1"/>
  <c r="B2725" i="3"/>
  <c r="ES21" i="2"/>
  <c r="ES24" i="2" s="1"/>
  <c r="D77" i="6"/>
  <c r="D86" i="6" s="1"/>
  <c r="D93" i="6"/>
  <c r="D213" i="6"/>
  <c r="D223" i="6"/>
  <c r="D225" i="6" s="1"/>
  <c r="E109" i="19"/>
  <c r="ES121" i="10"/>
  <c r="ES140" i="10"/>
  <c r="ES142" i="10" s="1"/>
  <c r="ES1027" i="10"/>
  <c r="ES1028" i="10" s="1"/>
  <c r="B45" i="3"/>
  <c r="D35" i="3"/>
  <c r="F5014" i="3"/>
  <c r="F5015" i="3"/>
  <c r="F5016" i="3"/>
  <c r="E192" i="3"/>
  <c r="E195" i="3" s="1"/>
  <c r="E201" i="3" s="1"/>
  <c r="E204" i="3" s="1"/>
  <c r="G186" i="3"/>
  <c r="E184" i="3"/>
  <c r="E190" i="3" s="1"/>
  <c r="E205" i="3" s="1"/>
  <c r="H187" i="3"/>
  <c r="F185" i="3"/>
  <c r="ES61" i="4"/>
  <c r="B107" i="41" s="1"/>
  <c r="C62" i="42" l="1"/>
  <c r="C65" i="42"/>
  <c r="C68" i="42" s="1"/>
  <c r="B120" i="41"/>
  <c r="B119" i="41"/>
  <c r="B109" i="41"/>
  <c r="B110" i="41" s="1"/>
  <c r="B111" i="41" s="1"/>
  <c r="B114" i="41" s="1"/>
  <c r="B125" i="41" s="1"/>
  <c r="B127" i="41" s="1"/>
  <c r="B106" i="41"/>
  <c r="D225" i="41"/>
  <c r="D226" i="41"/>
  <c r="D85" i="41"/>
  <c r="D88" i="41"/>
  <c r="D91" i="41" s="1"/>
  <c r="D97" i="41"/>
  <c r="C339" i="39"/>
  <c r="D339" i="39" s="1"/>
  <c r="D340" i="39" s="1"/>
  <c r="C340" i="39" s="1"/>
  <c r="D327" i="39"/>
  <c r="D328" i="39" s="1"/>
  <c r="C328" i="39" s="1"/>
  <c r="C109" i="39"/>
  <c r="J456" i="38"/>
  <c r="C142" i="38"/>
  <c r="B176" i="39" s="1"/>
  <c r="E137" i="38"/>
  <c r="E142" i="38" s="1"/>
  <c r="ER385" i="10"/>
  <c r="C235" i="38"/>
  <c r="B238" i="38"/>
  <c r="B241" i="38"/>
  <c r="C241" i="38" s="1"/>
  <c r="C504" i="38"/>
  <c r="C515" i="38"/>
  <c r="C514" i="38"/>
  <c r="C501" i="38"/>
  <c r="B239" i="38"/>
  <c r="C239" i="38" s="1"/>
  <c r="C483" i="38"/>
  <c r="C463" i="38"/>
  <c r="C461" i="38"/>
  <c r="C462" i="38"/>
  <c r="D340" i="38"/>
  <c r="G340" i="38" s="1"/>
  <c r="G342" i="38" s="1"/>
  <c r="G344" i="38" s="1"/>
  <c r="G350" i="38" s="1"/>
  <c r="F444" i="38"/>
  <c r="E446" i="38"/>
  <c r="D458" i="38"/>
  <c r="D457" i="38"/>
  <c r="D460" i="38"/>
  <c r="D502" i="38" s="1"/>
  <c r="D235" i="38"/>
  <c r="J446" i="38"/>
  <c r="ER241" i="2"/>
  <c r="ER237" i="2"/>
  <c r="ER238" i="2" s="1"/>
  <c r="ES385" i="10"/>
  <c r="ES236" i="2"/>
  <c r="C377" i="38"/>
  <c r="C35" i="39"/>
  <c r="C36" i="39" s="1"/>
  <c r="ER239" i="2"/>
  <c r="ER240" i="2" s="1"/>
  <c r="ES241" i="2"/>
  <c r="ES239" i="2"/>
  <c r="ES240" i="2" s="1"/>
  <c r="ER236" i="2"/>
  <c r="ER222" i="2"/>
  <c r="ER498" i="2" s="1"/>
  <c r="ER502" i="2" s="1"/>
  <c r="ER503" i="2" s="1"/>
  <c r="C376" i="38"/>
  <c r="E353" i="38"/>
  <c r="C378" i="38"/>
  <c r="ES218" i="2"/>
  <c r="ES382" i="10"/>
  <c r="D136" i="38"/>
  <c r="D2100" i="3"/>
  <c r="C2102" i="3"/>
  <c r="D2024" i="3"/>
  <c r="C2026" i="3"/>
  <c r="ES433" i="10"/>
  <c r="ES376" i="2"/>
  <c r="ES377" i="2" s="1"/>
  <c r="ES374" i="2"/>
  <c r="ES375" i="2" s="1"/>
  <c r="ES373" i="2"/>
  <c r="ES378" i="2"/>
  <c r="ER362" i="2"/>
  <c r="ER363" i="2" s="1"/>
  <c r="ER361" i="2"/>
  <c r="ER364" i="2"/>
  <c r="ER365" i="2" s="1"/>
  <c r="ER431" i="10"/>
  <c r="ES360" i="2"/>
  <c r="E206" i="3"/>
  <c r="B2737" i="3"/>
  <c r="B2757" i="3" s="1"/>
  <c r="B2726" i="3"/>
  <c r="F5017" i="3"/>
  <c r="F5018" i="3"/>
  <c r="D85" i="6"/>
  <c r="D88" i="6"/>
  <c r="E235" i="24"/>
  <c r="E236" i="24"/>
  <c r="ES69" i="4"/>
  <c r="B22" i="41" s="1"/>
  <c r="E149" i="3"/>
  <c r="ES62" i="4"/>
  <c r="ES63" i="4"/>
  <c r="G109" i="19"/>
  <c r="F109" i="19"/>
  <c r="D94" i="6"/>
  <c r="D97" i="6" s="1"/>
  <c r="B278" i="39" l="1"/>
  <c r="C176" i="39"/>
  <c r="D241" i="38"/>
  <c r="C236" i="38"/>
  <c r="C237" i="38" s="1"/>
  <c r="C243" i="38" s="1"/>
  <c r="C251" i="38" s="1"/>
  <c r="D342" i="38"/>
  <c r="D344" i="38" s="1"/>
  <c r="D350" i="38" s="1"/>
  <c r="G353" i="38"/>
  <c r="C505" i="38"/>
  <c r="C506" i="38" s="1"/>
  <c r="D515" i="38"/>
  <c r="D504" i="38"/>
  <c r="D514" i="38"/>
  <c r="D501" i="38"/>
  <c r="G352" i="38"/>
  <c r="D462" i="38"/>
  <c r="D483" i="38"/>
  <c r="D463" i="38"/>
  <c r="D461" i="38"/>
  <c r="G444" i="38"/>
  <c r="F446" i="38"/>
  <c r="F456" i="38" s="1"/>
  <c r="C486" i="38"/>
  <c r="C485" i="38"/>
  <c r="C484" i="38"/>
  <c r="E144" i="38"/>
  <c r="E168" i="38"/>
  <c r="E143" i="38"/>
  <c r="E145" i="38"/>
  <c r="ER223" i="2"/>
  <c r="ER499" i="2"/>
  <c r="ES498" i="2"/>
  <c r="ES499" i="2" s="1"/>
  <c r="ER510" i="2"/>
  <c r="ER514" i="2" s="1"/>
  <c r="ER515" i="2" s="1"/>
  <c r="ER500" i="2"/>
  <c r="ER501" i="2" s="1"/>
  <c r="ER224" i="2"/>
  <c r="ES222" i="2"/>
  <c r="ER227" i="2"/>
  <c r="ER228" i="2" s="1"/>
  <c r="ER383" i="10"/>
  <c r="C2104" i="3"/>
  <c r="D2102" i="3"/>
  <c r="D2026" i="3"/>
  <c r="C2028" i="3"/>
  <c r="ES431" i="10"/>
  <c r="ES362" i="2"/>
  <c r="ES363" i="2" s="1"/>
  <c r="ES361" i="2"/>
  <c r="ES364" i="2"/>
  <c r="ES365" i="2" s="1"/>
  <c r="ES74" i="4"/>
  <c r="ER106" i="10"/>
  <c r="E152" i="3"/>
  <c r="E157" i="3" s="1"/>
  <c r="E161" i="3" s="1"/>
  <c r="E158" i="3"/>
  <c r="E162" i="3" s="1"/>
  <c r="C238" i="38" l="1"/>
  <c r="C278" i="39"/>
  <c r="D207" i="39"/>
  <c r="D176" i="39"/>
  <c r="C509" i="38"/>
  <c r="C520" i="38" s="1"/>
  <c r="C522" i="38" s="1"/>
  <c r="C110" i="39"/>
  <c r="C112" i="39" s="1"/>
  <c r="C52" i="39"/>
  <c r="C55" i="39" s="1"/>
  <c r="F241" i="38"/>
  <c r="F236" i="38" s="1"/>
  <c r="D236" i="38"/>
  <c r="D238" i="38" s="1"/>
  <c r="E109" i="39"/>
  <c r="H344" i="38"/>
  <c r="C276" i="38"/>
  <c r="C277" i="38" s="1"/>
  <c r="C252" i="38"/>
  <c r="C254" i="38"/>
  <c r="C253" i="38"/>
  <c r="J460" i="38"/>
  <c r="D505" i="38"/>
  <c r="D506" i="38" s="1"/>
  <c r="D484" i="38"/>
  <c r="D486" i="38"/>
  <c r="D485" i="38"/>
  <c r="H444" i="38"/>
  <c r="G446" i="38"/>
  <c r="G456" i="38" s="1"/>
  <c r="F458" i="38"/>
  <c r="F457" i="38"/>
  <c r="F460" i="38"/>
  <c r="F502" i="38" s="1"/>
  <c r="D353" i="38"/>
  <c r="C245" i="38"/>
  <c r="E110" i="39"/>
  <c r="E112" i="39" s="1"/>
  <c r="D375" i="38"/>
  <c r="D351" i="38"/>
  <c r="E117" i="39" s="1"/>
  <c r="C244" i="38"/>
  <c r="D352" i="38"/>
  <c r="H350" i="38"/>
  <c r="E118" i="39" s="1"/>
  <c r="E171" i="38"/>
  <c r="E170" i="38"/>
  <c r="E169" i="38"/>
  <c r="F142" i="38"/>
  <c r="B18" i="38" s="1"/>
  <c r="ES500" i="2"/>
  <c r="ES501" i="2" s="1"/>
  <c r="B2730" i="3"/>
  <c r="B2743" i="3" s="1"/>
  <c r="B2745" i="3" s="1"/>
  <c r="B2738" i="3" s="1"/>
  <c r="B78" i="39"/>
  <c r="B81" i="39" s="1"/>
  <c r="ES510" i="2"/>
  <c r="ES511" i="2" s="1"/>
  <c r="ER511" i="2"/>
  <c r="ER518" i="2"/>
  <c r="ES518" i="2" s="1"/>
  <c r="ER516" i="2"/>
  <c r="ER512" i="2"/>
  <c r="ER513" i="2" s="1"/>
  <c r="ES502" i="2"/>
  <c r="ES503" i="2" s="1"/>
  <c r="ER226" i="2"/>
  <c r="ER225" i="2"/>
  <c r="ES224" i="2"/>
  <c r="ES226" i="2" s="1"/>
  <c r="ES227" i="2"/>
  <c r="ES228" i="2" s="1"/>
  <c r="ES383" i="10"/>
  <c r="ES223" i="2"/>
  <c r="B16" i="38"/>
  <c r="C143" i="38"/>
  <c r="J461" i="38" s="1"/>
  <c r="D142" i="38"/>
  <c r="C168" i="38"/>
  <c r="C145" i="38"/>
  <c r="J463" i="38" s="1"/>
  <c r="C144" i="38"/>
  <c r="J462" i="38" s="1"/>
  <c r="B2125" i="3"/>
  <c r="C2031" i="3"/>
  <c r="D2031" i="3" s="1"/>
  <c r="D2028" i="3"/>
  <c r="C2037" i="3"/>
  <c r="C2029" i="3"/>
  <c r="D2104" i="3"/>
  <c r="C2107" i="3"/>
  <c r="E163" i="3"/>
  <c r="ES152" i="4"/>
  <c r="ES154" i="4" s="1"/>
  <c r="ES75" i="4"/>
  <c r="ER107" i="10"/>
  <c r="E75" i="3"/>
  <c r="ES162" i="4"/>
  <c r="ES106" i="10"/>
  <c r="B207" i="39" l="1"/>
  <c r="B209" i="39" s="1"/>
  <c r="I460" i="38"/>
  <c r="I456" i="38" s="1"/>
  <c r="D278" i="39"/>
  <c r="B240" i="39"/>
  <c r="B244" i="39" s="1"/>
  <c r="B268" i="39"/>
  <c r="E268" i="39" s="1"/>
  <c r="B279" i="39" s="1"/>
  <c r="D209" i="39"/>
  <c r="D218" i="39"/>
  <c r="ER522" i="2"/>
  <c r="ER523" i="2" s="1"/>
  <c r="D509" i="38"/>
  <c r="D520" i="38" s="1"/>
  <c r="D522" i="38" s="1"/>
  <c r="D376" i="38"/>
  <c r="C53" i="39"/>
  <c r="C54" i="39" s="1"/>
  <c r="D239" i="38"/>
  <c r="J502" i="38"/>
  <c r="C526" i="38" s="1"/>
  <c r="C528" i="38" s="1"/>
  <c r="C246" i="38"/>
  <c r="F514" i="38"/>
  <c r="F501" i="38"/>
  <c r="I444" i="38"/>
  <c r="I446" i="38" s="1"/>
  <c r="H446" i="38"/>
  <c r="H456" i="38" s="1"/>
  <c r="G457" i="38"/>
  <c r="G458" i="38"/>
  <c r="G460" i="38"/>
  <c r="G502" i="38" s="1"/>
  <c r="F463" i="38"/>
  <c r="F461" i="38"/>
  <c r="F462" i="38"/>
  <c r="B79" i="39"/>
  <c r="B80" i="39" s="1"/>
  <c r="J483" i="38"/>
  <c r="D377" i="38"/>
  <c r="D378" i="38"/>
  <c r="C278" i="38"/>
  <c r="C279" i="38"/>
  <c r="B2732" i="3"/>
  <c r="G375" i="38"/>
  <c r="H375" i="38" s="1"/>
  <c r="E120" i="39" s="1"/>
  <c r="G351" i="38"/>
  <c r="ES514" i="2"/>
  <c r="ES515" i="2" s="1"/>
  <c r="ER519" i="2"/>
  <c r="ER520" i="2"/>
  <c r="ER521" i="2" s="1"/>
  <c r="ER528" i="2"/>
  <c r="ER529" i="2" s="1"/>
  <c r="ER524" i="2"/>
  <c r="F168" i="38"/>
  <c r="B25" i="38" s="1"/>
  <c r="B241" i="39" s="1"/>
  <c r="ES516" i="2"/>
  <c r="ES512" i="2"/>
  <c r="ES513" i="2" s="1"/>
  <c r="B17" i="38"/>
  <c r="C117" i="39" s="1"/>
  <c r="C118" i="39"/>
  <c r="C170" i="38"/>
  <c r="C171" i="38"/>
  <c r="D145" i="38"/>
  <c r="D144" i="38"/>
  <c r="C169" i="38"/>
  <c r="J484" i="38" s="1"/>
  <c r="B23" i="38"/>
  <c r="EX57" i="2"/>
  <c r="C77" i="37" s="1"/>
  <c r="D2107" i="3"/>
  <c r="C2110" i="3"/>
  <c r="D2110" i="3" s="1"/>
  <c r="C2125" i="3"/>
  <c r="C2116" i="3"/>
  <c r="C2108" i="3"/>
  <c r="B2122" i="3"/>
  <c r="B2124" i="3" s="1"/>
  <c r="B2126" i="3" s="1"/>
  <c r="B2128" i="3" s="1"/>
  <c r="B2130" i="3" s="1"/>
  <c r="B2131" i="3" s="1"/>
  <c r="C2038" i="3"/>
  <c r="E85" i="3"/>
  <c r="ES167" i="4"/>
  <c r="ES77" i="4"/>
  <c r="ES107" i="10"/>
  <c r="B2739" i="3"/>
  <c r="B2736" i="3"/>
  <c r="B2756" i="3" s="1"/>
  <c r="B2758" i="3" s="1"/>
  <c r="E100" i="3"/>
  <c r="ES520" i="2"/>
  <c r="ES521" i="2" s="1"/>
  <c r="ES522" i="2"/>
  <c r="ES523" i="2" s="1"/>
  <c r="ES519" i="2"/>
  <c r="ES524" i="2"/>
  <c r="ES76" i="4"/>
  <c r="ES120" i="10" s="1"/>
  <c r="ER120" i="10"/>
  <c r="ES159" i="4"/>
  <c r="D152" i="6" l="1"/>
  <c r="D154" i="6" s="1"/>
  <c r="D156" i="6" s="1"/>
  <c r="D152" i="41"/>
  <c r="D154" i="41" s="1"/>
  <c r="D156" i="41" s="1"/>
  <c r="B218" i="39"/>
  <c r="C207" i="39"/>
  <c r="C218" i="39" s="1"/>
  <c r="I450" i="38"/>
  <c r="I448" i="38" s="1"/>
  <c r="I452" i="38" s="1"/>
  <c r="J501" i="38"/>
  <c r="D214" i="39"/>
  <c r="D211" i="39"/>
  <c r="D220" i="39" s="1"/>
  <c r="D221" i="39" s="1"/>
  <c r="C279" i="39"/>
  <c r="B280" i="39"/>
  <c r="B211" i="39"/>
  <c r="B220" i="39" s="1"/>
  <c r="B214" i="39"/>
  <c r="J514" i="38"/>
  <c r="J515" i="38"/>
  <c r="G515" i="38"/>
  <c r="G514" i="38"/>
  <c r="G501" i="38"/>
  <c r="J486" i="38"/>
  <c r="G483" i="38"/>
  <c r="G463" i="38"/>
  <c r="G461" i="38"/>
  <c r="G462" i="38"/>
  <c r="H457" i="38"/>
  <c r="H458" i="38"/>
  <c r="H460" i="38"/>
  <c r="H502" i="38" s="1"/>
  <c r="J485" i="38"/>
  <c r="I457" i="38"/>
  <c r="I458" i="38"/>
  <c r="ES528" i="2"/>
  <c r="ES529" i="2" s="1"/>
  <c r="ER530" i="2"/>
  <c r="ER533" i="2" s="1"/>
  <c r="G377" i="38"/>
  <c r="G376" i="38"/>
  <c r="G378" i="38"/>
  <c r="D237" i="38"/>
  <c r="B24" i="38"/>
  <c r="C120" i="39"/>
  <c r="C2117" i="3"/>
  <c r="C2122" i="3"/>
  <c r="C2124" i="3" s="1"/>
  <c r="C2126" i="3" s="1"/>
  <c r="C2128" i="3" s="1"/>
  <c r="C2130" i="3" s="1"/>
  <c r="C2131" i="3" s="1"/>
  <c r="B2759" i="3"/>
  <c r="B2801" i="3"/>
  <c r="B2788" i="3"/>
  <c r="E80" i="3"/>
  <c r="E110" i="3"/>
  <c r="ES158" i="4"/>
  <c r="ES160" i="4" s="1"/>
  <c r="ES79" i="4"/>
  <c r="ER1033" i="10"/>
  <c r="ER1032" i="10" s="1"/>
  <c r="F5090" i="3"/>
  <c r="F5089" i="3" s="1"/>
  <c r="F5091" i="3" s="1"/>
  <c r="F5095" i="3" s="1"/>
  <c r="ES108" i="10"/>
  <c r="ET157" i="4" l="1"/>
  <c r="H157" i="41"/>
  <c r="C209" i="39"/>
  <c r="C214" i="39" s="1"/>
  <c r="ET159" i="4"/>
  <c r="ET160" i="4" s="1"/>
  <c r="I451" i="38"/>
  <c r="I502" i="38"/>
  <c r="K502" i="38" s="1"/>
  <c r="K460" i="38"/>
  <c r="D279" i="39"/>
  <c r="C280" i="39"/>
  <c r="D224" i="39"/>
  <c r="B221" i="39"/>
  <c r="B224" i="39" s="1"/>
  <c r="D243" i="38"/>
  <c r="F109" i="39"/>
  <c r="F110" i="39" s="1"/>
  <c r="F112" i="39" s="1"/>
  <c r="H515" i="38"/>
  <c r="H514" i="38"/>
  <c r="H501" i="38"/>
  <c r="G485" i="38"/>
  <c r="G484" i="38"/>
  <c r="G486" i="38"/>
  <c r="H483" i="38"/>
  <c r="H463" i="38"/>
  <c r="H461" i="38"/>
  <c r="H462" i="38"/>
  <c r="I483" i="38"/>
  <c r="I463" i="38"/>
  <c r="I461" i="38"/>
  <c r="I462" i="38"/>
  <c r="ES530" i="2"/>
  <c r="ER535" i="2"/>
  <c r="F239" i="38"/>
  <c r="F238" i="38"/>
  <c r="F237" i="38"/>
  <c r="F243" i="38" s="1"/>
  <c r="F251" i="38" s="1"/>
  <c r="F276" i="38" s="1"/>
  <c r="ER534" i="2"/>
  <c r="E81" i="3"/>
  <c r="E88" i="3" s="1"/>
  <c r="E105" i="3"/>
  <c r="E106" i="3" s="1"/>
  <c r="ES81" i="4"/>
  <c r="ES109" i="10" s="1"/>
  <c r="ER109" i="10"/>
  <c r="ES96" i="4"/>
  <c r="ES1033" i="10"/>
  <c r="ES1032" i="10" s="1"/>
  <c r="ES163" i="4"/>
  <c r="ES533" i="2" l="1"/>
  <c r="D177" i="41"/>
  <c r="ET163" i="4"/>
  <c r="ET164" i="4" s="1"/>
  <c r="EU157" i="4"/>
  <c r="C211" i="39"/>
  <c r="C220" i="39" s="1"/>
  <c r="C221" i="39" s="1"/>
  <c r="C224" i="39" s="1"/>
  <c r="I515" i="38"/>
  <c r="I501" i="38"/>
  <c r="I514" i="38"/>
  <c r="D251" i="38"/>
  <c r="B52" i="39" s="1"/>
  <c r="B55" i="39" s="1"/>
  <c r="E176" i="39"/>
  <c r="E207" i="39"/>
  <c r="E279" i="39"/>
  <c r="F279" i="39" s="1"/>
  <c r="F280" i="39" s="1"/>
  <c r="D280" i="39"/>
  <c r="D246" i="38"/>
  <c r="D244" i="38"/>
  <c r="D245" i="38"/>
  <c r="F254" i="38"/>
  <c r="F253" i="38"/>
  <c r="F252" i="38"/>
  <c r="ES532" i="2"/>
  <c r="I486" i="38"/>
  <c r="I485" i="38"/>
  <c r="I484" i="38"/>
  <c r="H486" i="38"/>
  <c r="H485" i="38"/>
  <c r="H484" i="38"/>
  <c r="ES534" i="2"/>
  <c r="D177" i="6"/>
  <c r="D181" i="6" s="1"/>
  <c r="ES535" i="2"/>
  <c r="G237" i="38"/>
  <c r="ET18" i="2"/>
  <c r="ES80" i="4"/>
  <c r="EX157" i="4"/>
  <c r="E113" i="3"/>
  <c r="E164" i="3"/>
  <c r="ES164" i="4"/>
  <c r="ES110" i="10" l="1"/>
  <c r="ES1020" i="10" s="1"/>
  <c r="D201" i="41"/>
  <c r="D181" i="41"/>
  <c r="D176" i="41"/>
  <c r="EU159" i="4"/>
  <c r="EU160" i="4" s="1"/>
  <c r="EV157" i="4" s="1"/>
  <c r="D276" i="38"/>
  <c r="D279" i="38" s="1"/>
  <c r="D253" i="38"/>
  <c r="D252" i="38"/>
  <c r="F117" i="39" s="1"/>
  <c r="G251" i="38"/>
  <c r="F118" i="39" s="1"/>
  <c r="ET22" i="2"/>
  <c r="D254" i="38"/>
  <c r="E209" i="39"/>
  <c r="E218" i="39"/>
  <c r="E278" i="39"/>
  <c r="E280" i="39" s="1"/>
  <c r="D176" i="6"/>
  <c r="D180" i="6" s="1"/>
  <c r="G243" i="38"/>
  <c r="F245" i="38"/>
  <c r="F246" i="38"/>
  <c r="F244" i="38"/>
  <c r="ET386" i="10"/>
  <c r="D201" i="6"/>
  <c r="ES166" i="4"/>
  <c r="ER13" i="32"/>
  <c r="ES139" i="4"/>
  <c r="EV159" i="4" l="1"/>
  <c r="EV160" i="4" s="1"/>
  <c r="EW157" i="4" s="1"/>
  <c r="EW159" i="4" s="1"/>
  <c r="EW160" i="4" s="1"/>
  <c r="D180" i="41"/>
  <c r="D185" i="41"/>
  <c r="D277" i="38"/>
  <c r="D278" i="38"/>
  <c r="B53" i="39"/>
  <c r="B54" i="39" s="1"/>
  <c r="E214" i="39"/>
  <c r="E211" i="39"/>
  <c r="E220" i="39" s="1"/>
  <c r="E221" i="39" s="1"/>
  <c r="E224" i="39" s="1"/>
  <c r="D185" i="6"/>
  <c r="D186" i="6" s="1"/>
  <c r="G276" i="38"/>
  <c r="F120" i="39" s="1"/>
  <c r="F278" i="38"/>
  <c r="F279" i="38"/>
  <c r="F277" i="38"/>
  <c r="ET387" i="10"/>
  <c r="B1835" i="3"/>
  <c r="B98" i="37"/>
  <c r="ES100" i="4"/>
  <c r="ES187" i="4"/>
  <c r="E86" i="3"/>
  <c r="B2783" i="3"/>
  <c r="C39" i="3"/>
  <c r="E115" i="19"/>
  <c r="ES13" i="32"/>
  <c r="ES168" i="4"/>
  <c r="D186" i="41" l="1"/>
  <c r="D39" i="3"/>
  <c r="B49" i="3"/>
  <c r="D190" i="6"/>
  <c r="ES105" i="4"/>
  <c r="ES113" i="10" s="1"/>
  <c r="ER113" i="10"/>
  <c r="B2791" i="3"/>
  <c r="E126" i="3"/>
  <c r="E82" i="3"/>
  <c r="E87" i="3"/>
  <c r="E89" i="3" s="1"/>
  <c r="F115" i="19"/>
  <c r="G115" i="19"/>
  <c r="D190" i="41" l="1"/>
  <c r="D195" i="41"/>
  <c r="D200" i="41" s="1"/>
  <c r="ET137" i="10"/>
  <c r="ES129" i="4"/>
  <c r="E91" i="3"/>
  <c r="E78" i="3"/>
  <c r="E79" i="3" s="1"/>
  <c r="E83" i="3" s="1"/>
  <c r="ES122" i="4"/>
  <c r="ES143" i="4"/>
  <c r="ES140" i="4"/>
  <c r="D194" i="41" l="1"/>
  <c r="D199" i="41" s="1"/>
  <c r="D193" i="41"/>
  <c r="D198" i="41" s="1"/>
  <c r="D192" i="41"/>
  <c r="D197" i="41" s="1"/>
  <c r="ET138" i="10"/>
  <c r="ES145" i="4"/>
  <c r="ES124" i="4"/>
  <c r="ET123" i="4" s="1"/>
  <c r="ET124" i="4" s="1"/>
  <c r="EU123" i="4" s="1"/>
  <c r="EU124" i="4" s="1"/>
  <c r="E116" i="3"/>
  <c r="E93" i="3"/>
  <c r="ES132" i="4"/>
  <c r="ER122" i="10"/>
  <c r="ER1029" i="10" s="1"/>
  <c r="ER1037" i="10"/>
  <c r="B1837" i="3" l="1"/>
  <c r="B101" i="37"/>
  <c r="ES171" i="4"/>
  <c r="B1851" i="3" s="1"/>
  <c r="B2785" i="3"/>
  <c r="C41" i="3"/>
  <c r="C2962" i="3"/>
  <c r="C2964" i="3" s="1"/>
  <c r="F4984" i="3"/>
  <c r="F4985" i="3" s="1"/>
  <c r="E34" i="11"/>
  <c r="E117" i="19"/>
  <c r="ES122" i="10"/>
  <c r="ES1029" i="10" s="1"/>
  <c r="ES1037" i="10"/>
  <c r="J17" i="27"/>
  <c r="J18" i="27"/>
  <c r="D17" i="27"/>
  <c r="D19" i="27" s="1"/>
  <c r="E118" i="3"/>
  <c r="E114" i="3"/>
  <c r="ES134" i="4"/>
  <c r="ER114" i="10"/>
  <c r="ER123" i="10" s="1"/>
  <c r="E35" i="11"/>
  <c r="EX123" i="4"/>
  <c r="ES147" i="4"/>
  <c r="ES149" i="4" s="1"/>
  <c r="ES133" i="4" l="1"/>
  <c r="B24" i="41"/>
  <c r="B25" i="41" s="1"/>
  <c r="F117" i="19"/>
  <c r="G117" i="19"/>
  <c r="ES197" i="4"/>
  <c r="B104" i="37" s="1"/>
  <c r="B105" i="37" s="1"/>
  <c r="B107" i="37" s="1"/>
  <c r="ER116" i="10"/>
  <c r="ES176" i="4"/>
  <c r="D41" i="3"/>
  <c r="B51" i="3"/>
  <c r="J19" i="27"/>
  <c r="ES114" i="10"/>
  <c r="ES123" i="10" s="1"/>
  <c r="B24" i="6"/>
  <c r="B25" i="6" s="1"/>
  <c r="E103" i="3"/>
  <c r="E104" i="3" s="1"/>
  <c r="E112" i="3"/>
  <c r="E111" i="3" s="1"/>
  <c r="E107" i="3" l="1"/>
  <c r="E108" i="3" s="1"/>
  <c r="E127" i="3"/>
  <c r="E128" i="3" s="1"/>
  <c r="ES198" i="4"/>
  <c r="ES116" i="10"/>
  <c r="B179" i="39"/>
  <c r="ER16" i="32"/>
  <c r="ER200" i="4"/>
  <c r="ER126" i="4" s="1"/>
  <c r="ER117" i="10"/>
  <c r="ER1021" i="10" s="1"/>
  <c r="ES180" i="4"/>
  <c r="D98" i="41" l="1"/>
  <c r="D99" i="41" s="1"/>
  <c r="D101" i="41" s="1"/>
  <c r="C75" i="42"/>
  <c r="C76" i="42" s="1"/>
  <c r="C78" i="42" s="1"/>
  <c r="B281" i="39"/>
  <c r="B201" i="39"/>
  <c r="C179" i="39"/>
  <c r="ER17" i="32"/>
  <c r="ES191" i="4"/>
  <c r="ES192" i="4" s="1"/>
  <c r="ES190" i="4"/>
  <c r="E131" i="3"/>
  <c r="E130" i="3"/>
  <c r="B2447" i="3"/>
  <c r="B2448" i="3" s="1"/>
  <c r="B2450" i="3" s="1"/>
  <c r="B2176" i="3"/>
  <c r="B2884" i="3"/>
  <c r="B3094" i="3"/>
  <c r="B2390" i="3"/>
  <c r="B2391" i="3" s="1"/>
  <c r="B2393" i="3" s="1"/>
  <c r="B144" i="13"/>
  <c r="B128" i="13"/>
  <c r="B138" i="24"/>
  <c r="C138" i="24" s="1"/>
  <c r="D138" i="24" s="1"/>
  <c r="E138" i="24" s="1"/>
  <c r="F138" i="24" s="1"/>
  <c r="G138" i="24" s="1"/>
  <c r="H138" i="24" s="1"/>
  <c r="I89" i="6"/>
  <c r="B89" i="6"/>
  <c r="B91" i="6" s="1"/>
  <c r="J89" i="6"/>
  <c r="G89" i="6"/>
  <c r="B258" i="6"/>
  <c r="B45" i="6"/>
  <c r="C89" i="6"/>
  <c r="K89" i="6"/>
  <c r="C138" i="6"/>
  <c r="C533" i="38" s="1"/>
  <c r="D89" i="6"/>
  <c r="D91" i="6" s="1"/>
  <c r="E10" i="6"/>
  <c r="D195" i="6" s="1"/>
  <c r="E89" i="6"/>
  <c r="B11" i="6"/>
  <c r="B13" i="6" s="1"/>
  <c r="B26" i="6"/>
  <c r="B67" i="6"/>
  <c r="B68" i="6" s="1"/>
  <c r="F89" i="6"/>
  <c r="H89" i="6"/>
  <c r="B2796" i="3"/>
  <c r="ES16" i="32"/>
  <c r="ES200" i="4"/>
  <c r="ES117" i="10"/>
  <c r="ES1021" i="10" s="1"/>
  <c r="D98" i="6"/>
  <c r="D99" i="6" s="1"/>
  <c r="D101" i="6" s="1"/>
  <c r="ES17" i="32" l="1"/>
  <c r="ET17" i="32"/>
  <c r="B155" i="39"/>
  <c r="C161" i="39" s="1"/>
  <c r="C538" i="38"/>
  <c r="C201" i="39"/>
  <c r="D179" i="39"/>
  <c r="C281" i="39"/>
  <c r="B295" i="39"/>
  <c r="ES1030" i="10"/>
  <c r="C2884" i="3"/>
  <c r="B2887" i="3"/>
  <c r="B2890" i="3" s="1"/>
  <c r="B145" i="13"/>
  <c r="C144" i="13"/>
  <c r="C145" i="13" s="1"/>
  <c r="B2798" i="3"/>
  <c r="D200" i="6"/>
  <c r="D194" i="6"/>
  <c r="D199" i="6" s="1"/>
  <c r="D192" i="6"/>
  <c r="D197" i="6" s="1"/>
  <c r="D193" i="6"/>
  <c r="D198" i="6" s="1"/>
  <c r="B70" i="6"/>
  <c r="C91" i="6"/>
  <c r="ER1030" i="10"/>
  <c r="E36" i="11"/>
  <c r="ES126" i="4"/>
  <c r="J22" i="27"/>
  <c r="J23" i="27"/>
  <c r="D22" i="27"/>
  <c r="D24" i="27" s="1"/>
  <c r="D54" i="27"/>
  <c r="C54" i="27" s="1"/>
  <c r="D45" i="6"/>
  <c r="B3348" i="3"/>
  <c r="B3823" i="3"/>
  <c r="C20" i="6"/>
  <c r="D214" i="6"/>
  <c r="B23" i="6"/>
  <c r="D20" i="6"/>
  <c r="B22" i="6"/>
  <c r="B226" i="6"/>
  <c r="E20" i="6"/>
  <c r="C226" i="6"/>
  <c r="F20" i="6"/>
  <c r="D226" i="6"/>
  <c r="B21" i="6"/>
  <c r="B214" i="6"/>
  <c r="B20" i="6"/>
  <c r="C214" i="6"/>
  <c r="C273" i="6"/>
  <c r="B273" i="6" s="1"/>
  <c r="B274" i="6" s="1"/>
  <c r="B261" i="6"/>
  <c r="B264" i="6" s="1"/>
  <c r="C258" i="6"/>
  <c r="B1888" i="3" s="1"/>
  <c r="C128" i="13"/>
  <c r="C129" i="13" s="1"/>
  <c r="C131" i="13" s="1"/>
  <c r="B129" i="13"/>
  <c r="B131" i="13" s="1"/>
  <c r="C295" i="39" l="1"/>
  <c r="D281" i="39"/>
  <c r="D201" i="39"/>
  <c r="E179" i="39"/>
  <c r="J24" i="27"/>
  <c r="C281" i="6"/>
  <c r="C3823" i="3"/>
  <c r="B3825" i="3"/>
  <c r="B3830" i="3"/>
  <c r="B3832" i="3" s="1"/>
  <c r="B3834" i="3" s="1"/>
  <c r="B3822" i="3"/>
  <c r="B150" i="13"/>
  <c r="B147" i="13"/>
  <c r="B3350" i="3"/>
  <c r="B3355" i="3"/>
  <c r="B3357" i="3" s="1"/>
  <c r="B3359" i="3" s="1"/>
  <c r="B3347" i="3"/>
  <c r="F45" i="6"/>
  <c r="C5469" i="3"/>
  <c r="C5471" i="3" s="1"/>
  <c r="B5469" i="3"/>
  <c r="B5471" i="3" s="1"/>
  <c r="B5461" i="3" s="1"/>
  <c r="D5592" i="3"/>
  <c r="C147" i="13"/>
  <c r="C150" i="13"/>
  <c r="B71" i="6"/>
  <c r="B281" i="6" l="1"/>
  <c r="C1421" i="3"/>
  <c r="E281" i="39"/>
  <c r="F179" i="39"/>
  <c r="E201" i="39"/>
  <c r="D295" i="39"/>
  <c r="G45" i="6"/>
  <c r="B5455" i="3"/>
  <c r="C3840" i="3"/>
  <c r="B3997" i="3"/>
  <c r="C5573" i="3"/>
  <c r="C5574" i="3" s="1"/>
  <c r="B3840" i="3"/>
  <c r="C4045" i="3"/>
  <c r="B3885" i="3"/>
  <c r="B3887" i="3" s="1"/>
  <c r="B3889" i="3" s="1"/>
  <c r="B3891" i="3" s="1"/>
  <c r="B3897" i="3" s="1"/>
  <c r="B3898" i="3" s="1"/>
  <c r="B3899" i="3" s="1"/>
  <c r="B130" i="24"/>
  <c r="D5591" i="3"/>
  <c r="C5592" i="3"/>
  <c r="D5594" i="3"/>
  <c r="C3825" i="3"/>
  <c r="C3830" i="3"/>
  <c r="C3832" i="3" s="1"/>
  <c r="C3834" i="3" s="1"/>
  <c r="C3822" i="3"/>
  <c r="C1430" i="3" l="1"/>
  <c r="B1430" i="3" s="1"/>
  <c r="B1421" i="3"/>
  <c r="F281" i="39"/>
  <c r="F201" i="39"/>
  <c r="E295" i="39"/>
  <c r="C3997" i="3"/>
  <c r="C3999" i="3" s="1"/>
  <c r="C4001" i="3" s="1"/>
  <c r="C4003" i="3" s="1"/>
  <c r="C4009" i="3" s="1"/>
  <c r="C4010" i="3" s="1"/>
  <c r="C4011" i="3" s="1"/>
  <c r="B3999" i="3"/>
  <c r="B4001" i="3" s="1"/>
  <c r="B4003" i="3" s="1"/>
  <c r="B4009" i="3" s="1"/>
  <c r="B4010" i="3" s="1"/>
  <c r="B4011" i="3" s="1"/>
  <c r="C5591" i="3"/>
  <c r="C5594" i="3"/>
  <c r="B3933" i="3"/>
  <c r="C3842" i="3"/>
  <c r="C3844" i="3" s="1"/>
  <c r="D5574" i="3"/>
  <c r="C5575" i="3"/>
  <c r="B131" i="24"/>
  <c r="C130" i="24"/>
  <c r="F295" i="39" l="1"/>
  <c r="C3846" i="3"/>
  <c r="B3852" i="3" s="1"/>
  <c r="B3853" i="3" s="1"/>
  <c r="B3854" i="3" s="1"/>
  <c r="B3844" i="3"/>
  <c r="C3964" i="3"/>
  <c r="B3935" i="3"/>
  <c r="B3937" i="3" s="1"/>
  <c r="B3939" i="3" s="1"/>
  <c r="B3945" i="3" s="1"/>
  <c r="B3946" i="3" s="1"/>
  <c r="B3947" i="3" s="1"/>
  <c r="C131" i="24"/>
  <c r="D130" i="24"/>
  <c r="D5575" i="3"/>
  <c r="D5573" i="3"/>
  <c r="B135" i="24"/>
  <c r="B136" i="24" s="1"/>
  <c r="B141" i="24" s="1"/>
  <c r="B144" i="24" s="1"/>
  <c r="B132" i="24"/>
  <c r="B127" i="24" s="1"/>
  <c r="B3846" i="3" l="1"/>
  <c r="B3842" i="3"/>
  <c r="B3841" i="3" s="1"/>
  <c r="B3964" i="3"/>
  <c r="B3966" i="3" s="1"/>
  <c r="B3968" i="3" s="1"/>
  <c r="B3970" i="3" s="1"/>
  <c r="C3966" i="3"/>
  <c r="C3968" i="3" s="1"/>
  <c r="C3970" i="3" s="1"/>
  <c r="D131" i="24"/>
  <c r="E130" i="24"/>
  <c r="C135" i="24"/>
  <c r="C136" i="24" s="1"/>
  <c r="C141" i="24" s="1"/>
  <c r="C144" i="24" s="1"/>
  <c r="C132" i="24"/>
  <c r="C127" i="24" s="1"/>
  <c r="F130" i="24" l="1"/>
  <c r="E131" i="24"/>
  <c r="D135" i="24"/>
  <c r="D136" i="24" s="1"/>
  <c r="D141" i="24" s="1"/>
  <c r="D144" i="24" s="1"/>
  <c r="D132" i="24"/>
  <c r="D127" i="24" s="1"/>
  <c r="E135" i="24" l="1"/>
  <c r="E136" i="24" s="1"/>
  <c r="E141" i="24" s="1"/>
  <c r="E144" i="24" s="1"/>
  <c r="E132" i="24"/>
  <c r="E127" i="24" s="1"/>
  <c r="G130" i="24"/>
  <c r="F131" i="24"/>
  <c r="G131" i="24" l="1"/>
  <c r="H130" i="24"/>
  <c r="H131" i="24" s="1"/>
  <c r="F135" i="24"/>
  <c r="F136" i="24" s="1"/>
  <c r="F141" i="24" s="1"/>
  <c r="F144" i="24" s="1"/>
  <c r="F132" i="24"/>
  <c r="F127" i="24" s="1"/>
  <c r="H132" i="24" l="1"/>
  <c r="H127" i="24" s="1"/>
  <c r="H135" i="24"/>
  <c r="H136" i="24" s="1"/>
  <c r="H141" i="24" s="1"/>
  <c r="H144" i="24" s="1"/>
  <c r="G132" i="24"/>
  <c r="G127" i="24" s="1"/>
  <c r="G135" i="24"/>
  <c r="G136" i="24" s="1"/>
  <c r="G141" i="24" s="1"/>
  <c r="G144" i="24" s="1"/>
  <c r="EM15" i="32" l="1"/>
  <c r="ES207" i="4"/>
  <c r="ES213" i="4" l="1"/>
  <c r="B1833" i="3" l="1"/>
  <c r="B1836" i="3" s="1"/>
  <c r="B97" i="37"/>
  <c r="B100" i="37" s="1"/>
  <c r="ES212" i="4"/>
  <c r="B106" i="37" s="1"/>
  <c r="C37" i="3"/>
  <c r="D37" i="3" s="1"/>
  <c r="B47" i="3" l="1"/>
  <c r="C40" i="3"/>
  <c r="B50" i="3" s="1"/>
  <c r="D40" i="3" l="1"/>
  <c r="ET105" i="10"/>
  <c r="ET1036" i="10"/>
  <c r="EP15" i="32" l="1"/>
  <c r="EQ15" i="32" l="1"/>
  <c r="FC67" i="36" l="1"/>
  <c r="FC71" i="36" l="1"/>
  <c r="FC30" i="36" s="1"/>
  <c r="FC57" i="36"/>
  <c r="FC60" i="36" s="1"/>
  <c r="FC62" i="36" s="1"/>
  <c r="FC72" i="36"/>
  <c r="FC36" i="36" l="1"/>
  <c r="FC33" i="36"/>
  <c r="FC64" i="36"/>
  <c r="FC63" i="36"/>
  <c r="FC357" i="36"/>
  <c r="FC358" i="36" s="1"/>
  <c r="FC73" i="36"/>
  <c r="FC219" i="36"/>
  <c r="FC220" i="36" s="1"/>
  <c r="FC79" i="36"/>
  <c r="FH67" i="36" l="1"/>
  <c r="FH57" i="36" l="1"/>
  <c r="FH60" i="36" s="1"/>
  <c r="FH62" i="36" s="1"/>
  <c r="FH71" i="36"/>
  <c r="FH30" i="36" s="1"/>
  <c r="FH72" i="36"/>
  <c r="FH36" i="36" l="1"/>
  <c r="FH33" i="36"/>
  <c r="FH357" i="36"/>
  <c r="FH358" i="36" s="1"/>
  <c r="FH219" i="36"/>
  <c r="FH73" i="36"/>
  <c r="FH63" i="36"/>
  <c r="FH64" i="36"/>
  <c r="FH79" i="36"/>
  <c r="FH220" i="36" l="1"/>
  <c r="FI219" i="36"/>
  <c r="FI220" i="36" l="1"/>
  <c r="FJ219" i="36"/>
  <c r="FI357" i="36"/>
  <c r="FI217" i="36"/>
  <c r="FI218" i="36" l="1"/>
  <c r="FI243" i="36"/>
  <c r="FI355" i="36"/>
  <c r="FI483" i="36" s="1"/>
  <c r="FI358" i="36"/>
  <c r="FJ220" i="36"/>
  <c r="FK219" i="36"/>
  <c r="FJ357" i="36"/>
  <c r="FN219" i="36"/>
  <c r="FJ217" i="36"/>
  <c r="FI518" i="36" l="1"/>
  <c r="FI67" i="36"/>
  <c r="FI485" i="36"/>
  <c r="FI486" i="36" s="1"/>
  <c r="FI484" i="36"/>
  <c r="FJ355" i="36"/>
  <c r="FJ483" i="36" s="1"/>
  <c r="FJ358" i="36"/>
  <c r="FK217" i="36"/>
  <c r="FK220" i="36"/>
  <c r="FL219" i="36"/>
  <c r="FK357" i="36"/>
  <c r="FI245" i="36"/>
  <c r="FI246" i="36" s="1"/>
  <c r="FI251" i="36"/>
  <c r="FI18" i="36"/>
  <c r="FI22" i="36" s="1"/>
  <c r="FI247" i="36"/>
  <c r="FI248" i="36" s="1"/>
  <c r="FI244" i="36"/>
  <c r="FI249" i="36"/>
  <c r="FI380" i="36"/>
  <c r="FI356" i="36"/>
  <c r="FN217" i="36"/>
  <c r="FJ218" i="36"/>
  <c r="FJ243" i="36"/>
  <c r="FJ484" i="36" l="1"/>
  <c r="FJ518" i="36"/>
  <c r="FN483" i="36"/>
  <c r="FJ67" i="36"/>
  <c r="FJ485" i="36"/>
  <c r="FN355" i="36"/>
  <c r="FJ380" i="36"/>
  <c r="FJ356" i="36"/>
  <c r="FI253" i="36"/>
  <c r="FI27" i="36"/>
  <c r="FI252" i="36"/>
  <c r="FI19" i="36"/>
  <c r="FI23" i="36" s="1"/>
  <c r="FI388" i="36"/>
  <c r="FI384" i="36"/>
  <c r="FI385" i="36" s="1"/>
  <c r="FI381" i="36"/>
  <c r="FI386" i="36"/>
  <c r="FI382" i="36"/>
  <c r="FI383" i="36" s="1"/>
  <c r="FK355" i="36"/>
  <c r="FK483" i="36" s="1"/>
  <c r="FK358" i="36"/>
  <c r="FK243" i="36"/>
  <c r="FK218" i="36"/>
  <c r="FI43" i="35"/>
  <c r="FI57" i="36"/>
  <c r="FI60" i="36" s="1"/>
  <c r="FI62" i="36" s="1"/>
  <c r="FI71" i="36"/>
  <c r="FI72" i="36"/>
  <c r="FI73" i="36" s="1"/>
  <c r="FJ245" i="36"/>
  <c r="FJ246" i="36" s="1"/>
  <c r="FJ251" i="36"/>
  <c r="FJ18" i="36"/>
  <c r="FJ22" i="36" s="1"/>
  <c r="FJ247" i="36"/>
  <c r="FJ248" i="36" s="1"/>
  <c r="FJ244" i="36"/>
  <c r="FJ249" i="36"/>
  <c r="FL217" i="36"/>
  <c r="FL220" i="36"/>
  <c r="FM219" i="36"/>
  <c r="FL357" i="36"/>
  <c r="FI519" i="36"/>
  <c r="FI522" i="36"/>
  <c r="FI523" i="36" s="1"/>
  <c r="FI528" i="36"/>
  <c r="FI520" i="36"/>
  <c r="FI521" i="36" s="1"/>
  <c r="FI524" i="36"/>
  <c r="FJ382" i="36" l="1"/>
  <c r="FJ383" i="36" s="1"/>
  <c r="FJ19" i="36"/>
  <c r="FJ23" i="36" s="1"/>
  <c r="FJ388" i="36"/>
  <c r="FJ384" i="36"/>
  <c r="FJ385" i="36" s="1"/>
  <c r="FJ381" i="36"/>
  <c r="FJ386" i="36"/>
  <c r="FK484" i="36"/>
  <c r="FK518" i="36"/>
  <c r="FK67" i="36"/>
  <c r="FK485" i="36"/>
  <c r="FK486" i="36" s="1"/>
  <c r="FL355" i="36"/>
  <c r="FL358" i="36"/>
  <c r="FJ253" i="36"/>
  <c r="FJ252" i="36"/>
  <c r="FJ27" i="36"/>
  <c r="FN485" i="36"/>
  <c r="FJ486" i="36"/>
  <c r="FK245" i="36"/>
  <c r="FK246" i="36" s="1"/>
  <c r="FK251" i="36"/>
  <c r="FK18" i="36"/>
  <c r="FK22" i="36" s="1"/>
  <c r="FK247" i="36"/>
  <c r="FK248" i="36" s="1"/>
  <c r="FK244" i="36"/>
  <c r="FK249" i="36"/>
  <c r="FN67" i="36"/>
  <c r="FJ43" i="35"/>
  <c r="FJ57" i="36"/>
  <c r="FJ71" i="36"/>
  <c r="FJ72" i="36"/>
  <c r="FJ73" i="36" s="1"/>
  <c r="FI79" i="36"/>
  <c r="FI30" i="36"/>
  <c r="FI63" i="36"/>
  <c r="FI64" i="36"/>
  <c r="FI31" i="36"/>
  <c r="FI34" i="36"/>
  <c r="FJ519" i="36"/>
  <c r="FJ522" i="36"/>
  <c r="FJ523" i="36" s="1"/>
  <c r="FJ528" i="36"/>
  <c r="FJ524" i="36"/>
  <c r="FJ520" i="36"/>
  <c r="FJ521" i="36" s="1"/>
  <c r="FM217" i="36"/>
  <c r="FM220" i="36"/>
  <c r="FM357" i="36"/>
  <c r="FI390" i="36"/>
  <c r="FI28" i="36"/>
  <c r="FI389" i="36"/>
  <c r="FL243" i="36"/>
  <c r="FL218" i="36"/>
  <c r="FK356" i="36"/>
  <c r="FK380" i="36"/>
  <c r="FI530" i="36"/>
  <c r="FI529" i="36"/>
  <c r="FI46" i="35"/>
  <c r="FI48" i="35" s="1"/>
  <c r="FI57" i="35"/>
  <c r="FI59" i="35" s="1"/>
  <c r="FI61" i="35" s="1"/>
  <c r="FL245" i="36" l="1"/>
  <c r="FL246" i="36" s="1"/>
  <c r="FL251" i="36"/>
  <c r="FL18" i="36"/>
  <c r="FL22" i="36" s="1"/>
  <c r="FL247" i="36"/>
  <c r="FL248" i="36" s="1"/>
  <c r="FL244" i="36"/>
  <c r="FL249" i="36"/>
  <c r="FI35" i="36"/>
  <c r="FI32" i="36"/>
  <c r="FN71" i="36"/>
  <c r="FJ79" i="36"/>
  <c r="FJ30" i="36"/>
  <c r="FI69" i="35"/>
  <c r="FI63" i="35"/>
  <c r="FI62" i="35"/>
  <c r="FI532" i="36"/>
  <c r="FI535" i="36"/>
  <c r="FI534" i="36"/>
  <c r="FI533" i="36"/>
  <c r="FJ390" i="36"/>
  <c r="FJ28" i="36"/>
  <c r="FJ389" i="36"/>
  <c r="FM355" i="36"/>
  <c r="FM358" i="36"/>
  <c r="FN57" i="36"/>
  <c r="FJ60" i="36"/>
  <c r="FK43" i="35"/>
  <c r="FK57" i="36"/>
  <c r="FK60" i="36" s="1"/>
  <c r="FK62" i="36" s="1"/>
  <c r="FK71" i="36"/>
  <c r="FK72" i="36"/>
  <c r="FK73" i="36" s="1"/>
  <c r="FI50" i="35"/>
  <c r="FI136" i="35"/>
  <c r="FI49" i="35"/>
  <c r="FI199" i="35"/>
  <c r="FN528" i="36"/>
  <c r="FJ530" i="36"/>
  <c r="FJ529" i="36"/>
  <c r="FL380" i="36"/>
  <c r="FL356" i="36"/>
  <c r="FK520" i="36"/>
  <c r="FK521" i="36" s="1"/>
  <c r="FK524" i="36"/>
  <c r="FK519" i="36"/>
  <c r="FK522" i="36"/>
  <c r="FK523" i="36" s="1"/>
  <c r="FK528" i="36"/>
  <c r="FI33" i="36"/>
  <c r="FI21" i="36"/>
  <c r="FI24" i="36" s="1"/>
  <c r="FI36" i="36"/>
  <c r="FK27" i="36"/>
  <c r="FK252" i="36"/>
  <c r="FK253" i="36"/>
  <c r="FK382" i="36"/>
  <c r="FK383" i="36" s="1"/>
  <c r="FK19" i="36"/>
  <c r="FK23" i="36" s="1"/>
  <c r="FK388" i="36"/>
  <c r="FK384" i="36"/>
  <c r="FK385" i="36" s="1"/>
  <c r="FK381" i="36"/>
  <c r="FK386" i="36"/>
  <c r="FJ46" i="35"/>
  <c r="FJ57" i="35"/>
  <c r="FN43" i="35"/>
  <c r="FM218" i="36"/>
  <c r="FM243" i="36"/>
  <c r="FL483" i="36"/>
  <c r="FJ31" i="36"/>
  <c r="FJ34" i="36"/>
  <c r="FL382" i="36" l="1"/>
  <c r="FL383" i="36" s="1"/>
  <c r="FL19" i="36"/>
  <c r="FL23" i="36" s="1"/>
  <c r="FL388" i="36"/>
  <c r="FL384" i="36"/>
  <c r="FL385" i="36" s="1"/>
  <c r="FL381" i="36"/>
  <c r="FL386" i="36"/>
  <c r="FM380" i="36"/>
  <c r="FM356" i="36"/>
  <c r="FM249" i="36"/>
  <c r="FM245" i="36"/>
  <c r="FM246" i="36" s="1"/>
  <c r="FM251" i="36"/>
  <c r="FM18" i="36"/>
  <c r="FM22" i="36" s="1"/>
  <c r="FM247" i="36"/>
  <c r="FM248" i="36" s="1"/>
  <c r="FM244" i="36"/>
  <c r="FK390" i="36"/>
  <c r="FK28" i="36"/>
  <c r="FK389" i="36"/>
  <c r="FJ59" i="35"/>
  <c r="FN57" i="35"/>
  <c r="FK79" i="36"/>
  <c r="FK30" i="36"/>
  <c r="FK63" i="36"/>
  <c r="FJ33" i="36"/>
  <c r="FN30" i="36"/>
  <c r="FJ21" i="36"/>
  <c r="FJ36" i="36"/>
  <c r="FJ48" i="35"/>
  <c r="FN46" i="35"/>
  <c r="FJ532" i="36"/>
  <c r="FJ535" i="36"/>
  <c r="FJ534" i="36"/>
  <c r="FN530" i="36"/>
  <c r="FJ533" i="36"/>
  <c r="FK31" i="36"/>
  <c r="FK34" i="36"/>
  <c r="FL67" i="36"/>
  <c r="FL485" i="36"/>
  <c r="FL486" i="36" s="1"/>
  <c r="FL484" i="36"/>
  <c r="FL518" i="36"/>
  <c r="FK46" i="35"/>
  <c r="FK48" i="35" s="1"/>
  <c r="FK57" i="35"/>
  <c r="FK59" i="35" s="1"/>
  <c r="FK61" i="35" s="1"/>
  <c r="FL27" i="36"/>
  <c r="FL252" i="36"/>
  <c r="FL253" i="36"/>
  <c r="FK530" i="36"/>
  <c r="FK529" i="36"/>
  <c r="FJ32" i="36"/>
  <c r="FJ35" i="36"/>
  <c r="FM483" i="36"/>
  <c r="FN60" i="36"/>
  <c r="FJ62" i="36"/>
  <c r="FN48" i="35" l="1"/>
  <c r="FJ50" i="35"/>
  <c r="FJ136" i="35"/>
  <c r="FJ49" i="35"/>
  <c r="FJ199" i="35"/>
  <c r="FM27" i="36"/>
  <c r="FM252" i="36"/>
  <c r="FM253" i="36"/>
  <c r="FL389" i="36"/>
  <c r="FL390" i="36"/>
  <c r="FL28" i="36"/>
  <c r="FK533" i="36"/>
  <c r="FK532" i="36"/>
  <c r="FK535" i="36"/>
  <c r="FK534" i="36"/>
  <c r="FJ61" i="35"/>
  <c r="FK63" i="35" s="1"/>
  <c r="FN59" i="35"/>
  <c r="FL71" i="36"/>
  <c r="FL72" i="36"/>
  <c r="FL73" i="36" s="1"/>
  <c r="FL43" i="35"/>
  <c r="FL57" i="36"/>
  <c r="FL60" i="36" s="1"/>
  <c r="FL62" i="36" s="1"/>
  <c r="FJ64" i="36"/>
  <c r="FJ63" i="36"/>
  <c r="FN62" i="36"/>
  <c r="FJ24" i="36"/>
  <c r="FN21" i="36"/>
  <c r="FK32" i="36"/>
  <c r="FK35" i="36"/>
  <c r="FM382" i="36"/>
  <c r="FM383" i="36" s="1"/>
  <c r="FM19" i="36"/>
  <c r="FM23" i="36" s="1"/>
  <c r="FM388" i="36"/>
  <c r="FM384" i="36"/>
  <c r="FM385" i="36" s="1"/>
  <c r="FM381" i="36"/>
  <c r="FM386" i="36"/>
  <c r="FM67" i="36"/>
  <c r="FM485" i="36"/>
  <c r="FM486" i="36" s="1"/>
  <c r="FM484" i="36"/>
  <c r="FM518" i="36"/>
  <c r="FK62" i="35"/>
  <c r="FK69" i="35"/>
  <c r="FK64" i="36"/>
  <c r="FL520" i="36"/>
  <c r="FL521" i="36" s="1"/>
  <c r="FL524" i="36"/>
  <c r="FL519" i="36"/>
  <c r="FL522" i="36"/>
  <c r="FL523" i="36" s="1"/>
  <c r="FL528" i="36"/>
  <c r="FL31" i="36"/>
  <c r="FL34" i="36"/>
  <c r="FK49" i="35"/>
  <c r="FK50" i="35"/>
  <c r="FK136" i="35"/>
  <c r="FK199" i="35"/>
  <c r="FK198" i="35" s="1"/>
  <c r="FK21" i="36"/>
  <c r="FK24" i="36" s="1"/>
  <c r="FK36" i="36"/>
  <c r="FK33" i="36"/>
  <c r="FM31" i="36" l="1"/>
  <c r="FM34" i="36"/>
  <c r="FL46" i="35"/>
  <c r="FL48" i="35" s="1"/>
  <c r="FL57" i="35"/>
  <c r="FL59" i="35" s="1"/>
  <c r="FL61" i="35" s="1"/>
  <c r="FM528" i="36"/>
  <c r="FM520" i="36"/>
  <c r="FM521" i="36" s="1"/>
  <c r="FM524" i="36"/>
  <c r="FM519" i="36"/>
  <c r="FM522" i="36"/>
  <c r="FM523" i="36" s="1"/>
  <c r="FL79" i="36"/>
  <c r="FL30" i="36"/>
  <c r="FL32" i="36"/>
  <c r="FL35" i="36"/>
  <c r="FL64" i="36"/>
  <c r="FL63" i="36"/>
  <c r="FL530" i="36"/>
  <c r="FL529" i="36"/>
  <c r="FM57" i="36"/>
  <c r="FM60" i="36" s="1"/>
  <c r="FM62" i="36" s="1"/>
  <c r="FM71" i="36"/>
  <c r="FM72" i="36"/>
  <c r="FM73" i="36" s="1"/>
  <c r="FO67" i="36"/>
  <c r="FM43" i="35"/>
  <c r="FM28" i="36"/>
  <c r="FM389" i="36"/>
  <c r="FM390" i="36"/>
  <c r="FJ62" i="35"/>
  <c r="FJ69" i="35"/>
  <c r="FN61" i="35"/>
  <c r="FJ63" i="35"/>
  <c r="FM32" i="36" l="1"/>
  <c r="FM35" i="36"/>
  <c r="FL63" i="35"/>
  <c r="FL62" i="35"/>
  <c r="FL69" i="35"/>
  <c r="FM46" i="35"/>
  <c r="FM48" i="35" s="1"/>
  <c r="FM57" i="35"/>
  <c r="FM59" i="35" s="1"/>
  <c r="FM61" i="35" s="1"/>
  <c r="FM530" i="36"/>
  <c r="FM529" i="36"/>
  <c r="FL49" i="35"/>
  <c r="FL199" i="35"/>
  <c r="FL198" i="35" s="1"/>
  <c r="FL50" i="35"/>
  <c r="FL136" i="35"/>
  <c r="FO71" i="36"/>
  <c r="FM79" i="36"/>
  <c r="FM30" i="36"/>
  <c r="FL33" i="36"/>
  <c r="FL21" i="36"/>
  <c r="FL24" i="36" s="1"/>
  <c r="FL36" i="36"/>
  <c r="FL533" i="36"/>
  <c r="FL532" i="36"/>
  <c r="FL535" i="36"/>
  <c r="FL534" i="36"/>
  <c r="FM64" i="36"/>
  <c r="FM63" i="36"/>
  <c r="FM63" i="35" l="1"/>
  <c r="FM62" i="35"/>
  <c r="FM69" i="35"/>
  <c r="FM50" i="35"/>
  <c r="FM136" i="35"/>
  <c r="FM49" i="35"/>
  <c r="FM199" i="35"/>
  <c r="FM198" i="35" s="1"/>
  <c r="FO30" i="36"/>
  <c r="FM33" i="36"/>
  <c r="FM21" i="36"/>
  <c r="FM36" i="36"/>
  <c r="FM534" i="36"/>
  <c r="FM533" i="36"/>
  <c r="FM532" i="36"/>
  <c r="FM535" i="36"/>
  <c r="FO21" i="36" l="1"/>
  <c r="FM24" i="36"/>
  <c r="F103" i="37" l="1"/>
  <c r="G103" i="37" s="1"/>
  <c r="H103" i="37" l="1"/>
  <c r="I103" i="37" l="1"/>
  <c r="J103" i="37" l="1"/>
  <c r="E390" i="38" l="1"/>
  <c r="E393" i="38" s="1"/>
  <c r="E400" i="38"/>
  <c r="E401" i="38"/>
  <c r="E402" i="38" l="1"/>
  <c r="E404" i="38" s="1"/>
  <c r="E418" i="38"/>
  <c r="E434" i="38"/>
  <c r="E435" i="38" s="1"/>
  <c r="E392" i="38"/>
  <c r="E408" i="38" s="1"/>
  <c r="E407" i="38" s="1"/>
  <c r="E466" i="38"/>
  <c r="F466" i="38"/>
  <c r="F469" i="38" s="1"/>
  <c r="F468" i="38" s="1"/>
  <c r="E470" i="38"/>
  <c r="E417" i="38"/>
  <c r="E409" i="38"/>
  <c r="E411" i="38" s="1"/>
  <c r="E419" i="38" l="1"/>
  <c r="E430" i="38" s="1"/>
  <c r="E432" i="38" s="1"/>
  <c r="E448" i="38"/>
  <c r="E452" i="38" s="1"/>
  <c r="E394" i="38"/>
  <c r="E396" i="38" s="1"/>
  <c r="E465" i="38"/>
  <c r="E469" i="38"/>
  <c r="E468" i="38" s="1"/>
  <c r="F465" i="38"/>
  <c r="F479" i="38" s="1"/>
  <c r="F480" i="38" s="1"/>
  <c r="E440" i="38" l="1"/>
  <c r="E441" i="38" s="1"/>
  <c r="E431" i="38"/>
  <c r="E451" i="38"/>
  <c r="E479" i="38"/>
  <c r="E507" i="38" s="1"/>
  <c r="E450" i="38"/>
  <c r="E456" i="38" s="1"/>
  <c r="E410" i="38"/>
  <c r="E412" i="38" s="1"/>
  <c r="F483" i="38"/>
  <c r="F485" i="38" s="1"/>
  <c r="F507" i="38"/>
  <c r="F515" i="38" s="1"/>
  <c r="F481" i="38"/>
  <c r="F490" i="38"/>
  <c r="E458" i="38"/>
  <c r="E500" i="38" l="1"/>
  <c r="F513" i="38" s="1"/>
  <c r="E442" i="38"/>
  <c r="E460" i="38"/>
  <c r="E462" i="38" s="1"/>
  <c r="E457" i="38"/>
  <c r="E490" i="38"/>
  <c r="E489" i="38" s="1"/>
  <c r="F492" i="38" s="1"/>
  <c r="E481" i="38"/>
  <c r="E480" i="38"/>
  <c r="F486" i="38"/>
  <c r="F484" i="38"/>
  <c r="F516" i="38"/>
  <c r="E463" i="38"/>
  <c r="E483" i="38"/>
  <c r="E502" i="38"/>
  <c r="E461" i="38"/>
  <c r="E501" i="38" l="1"/>
  <c r="E516" i="38"/>
  <c r="E513" i="38"/>
  <c r="F489" i="38"/>
  <c r="G492" i="38" s="1"/>
  <c r="G489" i="38" s="1"/>
  <c r="H492" i="38" s="1"/>
  <c r="H489" i="38" s="1"/>
  <c r="E503" i="38"/>
  <c r="E508" i="38" s="1"/>
  <c r="E514" i="38"/>
  <c r="E515" i="38"/>
  <c r="E484" i="38"/>
  <c r="E485" i="38"/>
  <c r="E486" i="38"/>
  <c r="G503" i="38" l="1"/>
  <c r="G517" i="38" s="1"/>
  <c r="E504" i="38"/>
  <c r="E505" i="38" s="1"/>
  <c r="E506" i="38" s="1"/>
  <c r="E509" i="38" s="1"/>
  <c r="E520" i="38" s="1"/>
  <c r="E522" i="38" s="1"/>
  <c r="E517" i="38"/>
  <c r="F503" i="38"/>
  <c r="H503" i="38"/>
  <c r="I492" i="38"/>
  <c r="I489" i="38" s="1"/>
  <c r="G508" i="38" l="1"/>
  <c r="G504" i="38"/>
  <c r="F517" i="38"/>
  <c r="F504" i="38"/>
  <c r="F505" i="38" s="1"/>
  <c r="F506" i="38" s="1"/>
  <c r="F508" i="38"/>
  <c r="I503" i="38"/>
  <c r="J492" i="38"/>
  <c r="J489" i="38" s="1"/>
  <c r="H517" i="38"/>
  <c r="H504" i="38"/>
  <c r="H508" i="38"/>
  <c r="G505" i="38"/>
  <c r="G506" i="38" s="1"/>
  <c r="G509" i="38" s="1"/>
  <c r="G520" i="38" s="1"/>
  <c r="G522" i="38" s="1"/>
  <c r="F509" i="38" l="1"/>
  <c r="F520" i="38" s="1"/>
  <c r="F522" i="38" s="1"/>
  <c r="H505" i="38"/>
  <c r="H506" i="38" s="1"/>
  <c r="H509" i="38" s="1"/>
  <c r="H520" i="38" s="1"/>
  <c r="H522" i="38" s="1"/>
  <c r="J504" i="38"/>
  <c r="J508" i="38"/>
  <c r="J517" i="38"/>
  <c r="I504" i="38"/>
  <c r="I508" i="38"/>
  <c r="I517" i="38"/>
  <c r="I505" i="38" l="1"/>
  <c r="I506" i="38" s="1"/>
  <c r="I509" i="38" s="1"/>
  <c r="I520" i="38" s="1"/>
  <c r="I522" i="38" s="1"/>
  <c r="C529" i="38" s="1"/>
  <c r="C531" i="38" s="1"/>
  <c r="J505" i="38"/>
  <c r="J506" i="38" s="1"/>
  <c r="J509" i="38" s="1"/>
  <c r="J520" i="38" l="1"/>
  <c r="J522" i="38" s="1"/>
  <c r="C524" i="38"/>
  <c r="B510" i="38"/>
  <c r="C510" i="38"/>
  <c r="D510" i="38"/>
  <c r="E510" i="38"/>
  <c r="F510" i="38"/>
  <c r="G510" i="38"/>
  <c r="H510" i="38"/>
  <c r="I510" i="38"/>
  <c r="J510" i="38"/>
  <c r="C534" i="38"/>
  <c r="C536" i="38" s="1"/>
  <c r="B156" i="39"/>
  <c r="B160" i="39" s="1"/>
  <c r="B161" i="39" s="1"/>
  <c r="B162" i="39" s="1"/>
  <c r="B165" i="39" s="1"/>
  <c r="B154" i="39" l="1"/>
  <c r="B27" i="38"/>
  <c r="B28" i="38" s="1"/>
  <c r="B255" i="39"/>
  <c r="C537" i="38"/>
  <c r="C525" i="38"/>
  <c r="H540" i="38" s="1"/>
  <c r="E255" i="39" l="1"/>
  <c r="ET19" i="2"/>
  <c r="ET23" i="2" s="1"/>
  <c r="ET434" i="10"/>
  <c r="ET435" i="10"/>
  <c r="ET67" i="2"/>
  <c r="ET43" i="4" s="1"/>
  <c r="ET46" i="4" s="1"/>
  <c r="ET48" i="4" s="1"/>
  <c r="ET133" i="10"/>
  <c r="ET199" i="4" l="1"/>
  <c r="ET200" i="4" s="1"/>
  <c r="ET50" i="4"/>
  <c r="ET49" i="4"/>
  <c r="ET71" i="2"/>
  <c r="ET72" i="2"/>
  <c r="ET30" i="2" l="1"/>
  <c r="ET79" i="2"/>
  <c r="ET73" i="2"/>
  <c r="ET357" i="2"/>
  <c r="ET219" i="2"/>
  <c r="EY219" i="2" s="1"/>
  <c r="EY220" i="2" l="1"/>
  <c r="EY217" i="2"/>
  <c r="EY382" i="10" s="1"/>
  <c r="EY357" i="2"/>
  <c r="F1322" i="3"/>
  <c r="F1321" i="3" s="1"/>
  <c r="F1323" i="3" s="1"/>
  <c r="B1336" i="3"/>
  <c r="B1391" i="3" s="1"/>
  <c r="B1405" i="3" s="1"/>
  <c r="ET9" i="32"/>
  <c r="ET11" i="32" s="1"/>
  <c r="ET217" i="2"/>
  <c r="ET220" i="2"/>
  <c r="ET355" i="2"/>
  <c r="ET358" i="2"/>
  <c r="ET36" i="2"/>
  <c r="F1920" i="3" s="1"/>
  <c r="ET21" i="2"/>
  <c r="ET33" i="2"/>
  <c r="ET103" i="10"/>
  <c r="EY358" i="2" l="1"/>
  <c r="EY355" i="2"/>
  <c r="EY430" i="10" s="1"/>
  <c r="EY218" i="2"/>
  <c r="B1342" i="3"/>
  <c r="B1407" i="3" s="1"/>
  <c r="B1408" i="3" s="1"/>
  <c r="B1410" i="3" s="1"/>
  <c r="B1411" i="3" s="1"/>
  <c r="B1414" i="3" s="1"/>
  <c r="B1415" i="3" s="1"/>
  <c r="ET20" i="2"/>
  <c r="ET24" i="2"/>
  <c r="ET430" i="10"/>
  <c r="ET356" i="2"/>
  <c r="ET372" i="2"/>
  <c r="ET382" i="10"/>
  <c r="ET235" i="2"/>
  <c r="ET218" i="2"/>
  <c r="ET121" i="10"/>
  <c r="ET1027" i="10"/>
  <c r="ET1028" i="10" s="1"/>
  <c r="ET140" i="10"/>
  <c r="ET142" i="10" s="1"/>
  <c r="EY483" i="2" l="1"/>
  <c r="EY133" i="10" s="1"/>
  <c r="EY485" i="2"/>
  <c r="EY486" i="2" s="1"/>
  <c r="EY356" i="2"/>
  <c r="ET373" i="2"/>
  <c r="ET374" i="2"/>
  <c r="ET375" i="2" s="1"/>
  <c r="ET360" i="2"/>
  <c r="ET378" i="2"/>
  <c r="ET433" i="10"/>
  <c r="ET376" i="2"/>
  <c r="ET377" i="2" s="1"/>
  <c r="ET241" i="2"/>
  <c r="ET385" i="10"/>
  <c r="ET222" i="2"/>
  <c r="ET236" i="2"/>
  <c r="ET239" i="2"/>
  <c r="ET240" i="2" s="1"/>
  <c r="ET237" i="2"/>
  <c r="ET238" i="2" s="1"/>
  <c r="ET106" i="10"/>
  <c r="EY484" i="2" l="1"/>
  <c r="EY67" i="2"/>
  <c r="EY72" i="2" s="1"/>
  <c r="EY73" i="2" s="1"/>
  <c r="EY43" i="4"/>
  <c r="EY57" i="2"/>
  <c r="ET361" i="2"/>
  <c r="ET364" i="2"/>
  <c r="ET365" i="2" s="1"/>
  <c r="ET362" i="2"/>
  <c r="ET431" i="10"/>
  <c r="ET498" i="2"/>
  <c r="ET224" i="2"/>
  <c r="ET223" i="2"/>
  <c r="ET227" i="2"/>
  <c r="ET228" i="2" s="1"/>
  <c r="ET383" i="10"/>
  <c r="ET120" i="10"/>
  <c r="ET107" i="10"/>
  <c r="EY57" i="4" l="1"/>
  <c r="ET363" i="2"/>
  <c r="ET500" i="2"/>
  <c r="ET501" i="2" s="1"/>
  <c r="ET510" i="2"/>
  <c r="ET499" i="2"/>
  <c r="ET502" i="2"/>
  <c r="ET503" i="2" s="1"/>
  <c r="ET225" i="2"/>
  <c r="ET226" i="2"/>
  <c r="ET1033" i="10"/>
  <c r="ET1032" i="10" s="1"/>
  <c r="ET516" i="2" l="1"/>
  <c r="ET514" i="2"/>
  <c r="ET515" i="2" s="1"/>
  <c r="ET518" i="2"/>
  <c r="ET511" i="2"/>
  <c r="ET512" i="2"/>
  <c r="ET513" i="2" s="1"/>
  <c r="ET109" i="10"/>
  <c r="ET522" i="2" l="1"/>
  <c r="ET523" i="2" s="1"/>
  <c r="ET520" i="2"/>
  <c r="ET521" i="2" s="1"/>
  <c r="ET519" i="2"/>
  <c r="ET528" i="2"/>
  <c r="ET524" i="2"/>
  <c r="ET530" i="2" l="1"/>
  <c r="ET529" i="2"/>
  <c r="ET535" i="2" l="1"/>
  <c r="ET534" i="2"/>
  <c r="ET533" i="2"/>
  <c r="EU18" i="2"/>
  <c r="EU22" i="2" l="1"/>
  <c r="EU386" i="10"/>
  <c r="ET113" i="10"/>
  <c r="EU387" i="10" l="1"/>
  <c r="ET114" i="10"/>
  <c r="ET123" i="10" s="1"/>
  <c r="ET122" i="10"/>
  <c r="ET1029" i="10" s="1"/>
  <c r="ET1037" i="10"/>
  <c r="EU137" i="10" l="1"/>
  <c r="ET116" i="10"/>
  <c r="EU138" i="10" l="1"/>
  <c r="ET126" i="4"/>
  <c r="ET117" i="10"/>
  <c r="ET1021" i="10" s="1"/>
  <c r="ET1030" i="10" s="1"/>
  <c r="H1482" i="3" l="1"/>
  <c r="I1482" i="3"/>
  <c r="J1482" i="3"/>
  <c r="EO15" i="32"/>
  <c r="EN15" i="32"/>
  <c r="ER281" i="1"/>
  <c r="ER208" i="35" s="1"/>
  <c r="ET208" i="35" s="1"/>
  <c r="ER208" i="4" l="1"/>
  <c r="ES208" i="4" s="1"/>
  <c r="ES209" i="4" s="1"/>
  <c r="EU208" i="35"/>
  <c r="EV208" i="35" s="1"/>
  <c r="EW208" i="35" s="1"/>
  <c r="EY208" i="35" s="1"/>
  <c r="ER209" i="35"/>
  <c r="ER204" i="35" s="1"/>
  <c r="ES208" i="35"/>
  <c r="ES209" i="35" s="1"/>
  <c r="ER209" i="4" l="1"/>
  <c r="ER204" i="4" s="1"/>
  <c r="ER12" i="32" s="1"/>
  <c r="ER15" i="32" s="1"/>
  <c r="ET204" i="4"/>
  <c r="EZ208" i="35"/>
  <c r="FA208" i="35" s="1"/>
  <c r="FB208" i="35" s="1"/>
  <c r="FD208" i="35" s="1"/>
  <c r="ER205" i="35"/>
  <c r="ES204" i="35"/>
  <c r="ER203" i="35"/>
  <c r="EX208" i="35"/>
  <c r="ES204" i="4" l="1"/>
  <c r="ER205" i="4"/>
  <c r="ER203" i="4"/>
  <c r="FC208" i="35"/>
  <c r="EX208" i="4"/>
  <c r="ET221" i="35"/>
  <c r="ES205" i="35"/>
  <c r="ES203" i="35"/>
  <c r="ET204" i="35"/>
  <c r="B2782" i="3"/>
  <c r="B2784" i="3" s="1"/>
  <c r="B2792" i="3" s="1"/>
  <c r="B2793" i="3" s="1"/>
  <c r="ES12" i="32"/>
  <c r="ES15" i="32" s="1"/>
  <c r="ET221" i="4"/>
  <c r="ES205" i="4"/>
  <c r="ES203" i="4"/>
  <c r="ET12" i="32"/>
  <c r="ET15" i="32" s="1"/>
  <c r="ET205" i="4"/>
  <c r="ET203" i="4"/>
  <c r="EU221" i="4"/>
  <c r="FE208" i="35"/>
  <c r="FF208" i="35" s="1"/>
  <c r="FG208" i="35" s="1"/>
  <c r="FH208" i="35" l="1"/>
  <c r="FI208" i="35" s="1"/>
  <c r="FJ208" i="35" s="1"/>
  <c r="FK208" i="35" s="1"/>
  <c r="FL208" i="35" s="1"/>
  <c r="FM208" i="35" s="1"/>
  <c r="ET203" i="35"/>
  <c r="ET212" i="35" s="1"/>
  <c r="EU221" i="35"/>
  <c r="EU204" i="35"/>
  <c r="ET205" i="35"/>
  <c r="ET209" i="35"/>
  <c r="B2794" i="3"/>
  <c r="B2800" i="3"/>
  <c r="EU12" i="32"/>
  <c r="EV221" i="4"/>
  <c r="ET207" i="35" l="1"/>
  <c r="ET138" i="35"/>
  <c r="EV204" i="35"/>
  <c r="EU203" i="35"/>
  <c r="EU212" i="35" s="1"/>
  <c r="EV221" i="35"/>
  <c r="EU205" i="35"/>
  <c r="EU209" i="35"/>
  <c r="ET213" i="35"/>
  <c r="EV12" i="32"/>
  <c r="EW221" i="4"/>
  <c r="B2802" i="3"/>
  <c r="B2803" i="3" s="1"/>
  <c r="B2824" i="3"/>
  <c r="B2825" i="3" s="1"/>
  <c r="B2827" i="3" s="1"/>
  <c r="EU213" i="35" l="1"/>
  <c r="EW204" i="35"/>
  <c r="EX204" i="35" s="1"/>
  <c r="EV203" i="35"/>
  <c r="EV212" i="35" s="1"/>
  <c r="EV205" i="35"/>
  <c r="EV209" i="35"/>
  <c r="EW221" i="35"/>
  <c r="ET73" i="35"/>
  <c r="EU207" i="35"/>
  <c r="EU73" i="35" s="1"/>
  <c r="EU74" i="35" s="1"/>
  <c r="EU138" i="35"/>
  <c r="ET104" i="35"/>
  <c r="EW12" i="32"/>
  <c r="EX204" i="4"/>
  <c r="EY221" i="4" s="1"/>
  <c r="EX213" i="4" l="1"/>
  <c r="EV213" i="35"/>
  <c r="EU152" i="35"/>
  <c r="EU154" i="35" s="1"/>
  <c r="EU75" i="35"/>
  <c r="EU167" i="35" s="1"/>
  <c r="EU162" i="35"/>
  <c r="EW203" i="35"/>
  <c r="EW212" i="35" s="1"/>
  <c r="EW205" i="35"/>
  <c r="EW209" i="35"/>
  <c r="C2782" i="3"/>
  <c r="F50" i="31"/>
  <c r="F55" i="31" s="1"/>
  <c r="FC204" i="4" s="1"/>
  <c r="EX12" i="32"/>
  <c r="EX203" i="4"/>
  <c r="FC221" i="4"/>
  <c r="EU104" i="35"/>
  <c r="EU137" i="35" s="1"/>
  <c r="ET74" i="35"/>
  <c r="ET137" i="35"/>
  <c r="EX138" i="4"/>
  <c r="EV207" i="35"/>
  <c r="EV73" i="35" s="1"/>
  <c r="EV74" i="35" s="1"/>
  <c r="EV138" i="35"/>
  <c r="EX205" i="35"/>
  <c r="FC221" i="35"/>
  <c r="EY204" i="35"/>
  <c r="EY221" i="35"/>
  <c r="EX203" i="35"/>
  <c r="EU105" i="10"/>
  <c r="EU1036" i="10"/>
  <c r="EV105" i="10"/>
  <c r="EV1036" i="10"/>
  <c r="EY204" i="4" l="1"/>
  <c r="EY208" i="4" s="1"/>
  <c r="FC203" i="4"/>
  <c r="EZ221" i="4"/>
  <c r="EY203" i="4"/>
  <c r="EZ204" i="4"/>
  <c r="EZ208" i="4" s="1"/>
  <c r="EY209" i="4"/>
  <c r="C47" i="3"/>
  <c r="B57" i="3" s="1"/>
  <c r="EX212" i="4"/>
  <c r="C1833" i="3"/>
  <c r="E59" i="19"/>
  <c r="F59" i="19" s="1"/>
  <c r="C97" i="37"/>
  <c r="C106" i="37"/>
  <c r="EU163" i="35"/>
  <c r="EU164" i="35"/>
  <c r="EU166" i="35" s="1"/>
  <c r="EU139" i="35" s="1"/>
  <c r="EU158" i="35"/>
  <c r="EW213" i="35"/>
  <c r="EU76" i="35"/>
  <c r="EU79" i="35" s="1"/>
  <c r="EV162" i="35"/>
  <c r="EV152" i="35"/>
  <c r="EV154" i="35" s="1"/>
  <c r="EV75" i="35"/>
  <c r="EV167" i="35" s="1"/>
  <c r="EY205" i="35"/>
  <c r="EY209" i="35"/>
  <c r="EY203" i="35"/>
  <c r="EY212" i="35" s="1"/>
  <c r="EZ221" i="35"/>
  <c r="EZ204" i="35"/>
  <c r="D2782" i="3"/>
  <c r="G50" i="31"/>
  <c r="G55" i="31" s="1"/>
  <c r="FD204" i="4" s="1"/>
  <c r="EY12" i="32"/>
  <c r="FD221" i="4"/>
  <c r="EW207" i="35"/>
  <c r="EW138" i="35"/>
  <c r="EX138" i="35" s="1"/>
  <c r="EV104" i="35"/>
  <c r="EV137" i="35" s="1"/>
  <c r="ET75" i="35"/>
  <c r="ET152" i="35"/>
  <c r="ET162" i="35"/>
  <c r="EY212" i="4" l="1"/>
  <c r="EY213" i="4" s="1"/>
  <c r="D47" i="3"/>
  <c r="FA221" i="4"/>
  <c r="EZ203" i="4"/>
  <c r="FA204" i="4"/>
  <c r="FA208" i="4" s="1"/>
  <c r="EZ209" i="4"/>
  <c r="EY138" i="4"/>
  <c r="EY207" i="4"/>
  <c r="G59" i="19"/>
  <c r="EY213" i="35"/>
  <c r="EU168" i="35"/>
  <c r="EU100" i="35" s="1"/>
  <c r="ET167" i="35"/>
  <c r="EW73" i="35"/>
  <c r="EX207" i="35"/>
  <c r="EX209" i="35" s="1"/>
  <c r="EU96" i="35"/>
  <c r="EU81" i="35"/>
  <c r="ET154" i="35"/>
  <c r="EY207" i="35"/>
  <c r="EY138" i="35"/>
  <c r="ET163" i="35"/>
  <c r="ET164" i="35"/>
  <c r="EW104" i="35"/>
  <c r="EX213" i="35"/>
  <c r="EX212" i="35" s="1"/>
  <c r="EV76" i="35"/>
  <c r="EV79" i="35" s="1"/>
  <c r="E2782" i="3"/>
  <c r="H50" i="31"/>
  <c r="H55" i="31" s="1"/>
  <c r="FE204" i="4" s="1"/>
  <c r="EZ12" i="32"/>
  <c r="FE221" i="4"/>
  <c r="FD203" i="4"/>
  <c r="FD209" i="4"/>
  <c r="EZ205" i="35"/>
  <c r="EZ209" i="35"/>
  <c r="FA204" i="35"/>
  <c r="FA221" i="35"/>
  <c r="EZ203" i="35"/>
  <c r="EZ212" i="35" s="1"/>
  <c r="EV158" i="35"/>
  <c r="EX137" i="4"/>
  <c r="EX104" i="4"/>
  <c r="ET76" i="35"/>
  <c r="EV164" i="35"/>
  <c r="EV166" i="35" s="1"/>
  <c r="EV139" i="35" s="1"/>
  <c r="EV163" i="35"/>
  <c r="EW105" i="10"/>
  <c r="EW1036" i="10"/>
  <c r="EX73" i="4"/>
  <c r="EZ212" i="4" l="1"/>
  <c r="EZ213" i="4" s="1"/>
  <c r="EY73" i="4"/>
  <c r="EY104" i="4"/>
  <c r="EZ207" i="4"/>
  <c r="EZ73" i="4" s="1"/>
  <c r="EZ138" i="4"/>
  <c r="FB204" i="4"/>
  <c r="FB208" i="4" s="1"/>
  <c r="FC208" i="4" s="1"/>
  <c r="FD208" i="4" s="1"/>
  <c r="FA209" i="4"/>
  <c r="FA203" i="4"/>
  <c r="FB221" i="4"/>
  <c r="ET79" i="35"/>
  <c r="ET166" i="35"/>
  <c r="ET158" i="35"/>
  <c r="ET159" i="35"/>
  <c r="EY104" i="35"/>
  <c r="F2782" i="3"/>
  <c r="I50" i="31"/>
  <c r="I55" i="31" s="1"/>
  <c r="FF204" i="4" s="1"/>
  <c r="FA12" i="32"/>
  <c r="FF221" i="4"/>
  <c r="FE209" i="4"/>
  <c r="FE203" i="4"/>
  <c r="G5086" i="3"/>
  <c r="G5088" i="3" s="1"/>
  <c r="F154" i="3"/>
  <c r="EX105" i="10"/>
  <c r="EX1036" i="10"/>
  <c r="FD138" i="4"/>
  <c r="EY73" i="35"/>
  <c r="EU105" i="35"/>
  <c r="EV96" i="35"/>
  <c r="EV81" i="35"/>
  <c r="EZ213" i="35"/>
  <c r="FB221" i="35"/>
  <c r="FA205" i="35"/>
  <c r="FA209" i="35"/>
  <c r="FA203" i="35"/>
  <c r="FA212" i="35" s="1"/>
  <c r="FB204" i="35"/>
  <c r="FC204" i="35" s="1"/>
  <c r="EZ138" i="35"/>
  <c r="EZ207" i="35"/>
  <c r="EZ73" i="35" s="1"/>
  <c r="EZ74" i="35" s="1"/>
  <c r="EW137" i="35"/>
  <c r="EX137" i="35" s="1"/>
  <c r="EX104" i="35"/>
  <c r="EV168" i="35"/>
  <c r="EV100" i="35" s="1"/>
  <c r="EW74" i="35"/>
  <c r="EX73" i="35"/>
  <c r="FE208" i="4" l="1"/>
  <c r="FF208" i="4" s="1"/>
  <c r="FD207" i="4"/>
  <c r="FD73" i="4" s="1"/>
  <c r="FA212" i="4"/>
  <c r="FA213" i="4" s="1"/>
  <c r="EZ1036" i="10"/>
  <c r="EZ105" i="10"/>
  <c r="EY105" i="10"/>
  <c r="EY1036" i="10"/>
  <c r="FA207" i="4"/>
  <c r="FA73" i="4" s="1"/>
  <c r="FA138" i="4"/>
  <c r="FB209" i="4"/>
  <c r="FB203" i="4"/>
  <c r="FB212" i="4" s="1"/>
  <c r="EZ104" i="4"/>
  <c r="FA138" i="35"/>
  <c r="FA207" i="35"/>
  <c r="FA73" i="35" s="1"/>
  <c r="FA74" i="35" s="1"/>
  <c r="EW75" i="35"/>
  <c r="EW76" i="35" s="1"/>
  <c r="EW162" i="35"/>
  <c r="EW152" i="35"/>
  <c r="EX74" i="35"/>
  <c r="EX162" i="35" s="1"/>
  <c r="EZ104" i="35"/>
  <c r="EZ137" i="35" s="1"/>
  <c r="EY137" i="35"/>
  <c r="EV105" i="35"/>
  <c r="ET139" i="35"/>
  <c r="EZ152" i="35"/>
  <c r="EZ154" i="35" s="1"/>
  <c r="EZ75" i="35"/>
  <c r="EZ167" i="35" s="1"/>
  <c r="EZ162" i="35"/>
  <c r="ET160" i="35"/>
  <c r="EU157" i="35" s="1"/>
  <c r="FD204" i="35"/>
  <c r="FC203" i="35"/>
  <c r="FD221" i="35"/>
  <c r="FC205" i="35"/>
  <c r="FH221" i="35"/>
  <c r="EU122" i="35"/>
  <c r="EU143" i="35"/>
  <c r="EU129" i="35"/>
  <c r="EU132" i="35" s="1"/>
  <c r="EU134" i="35" s="1"/>
  <c r="H154" i="3"/>
  <c r="FD105" i="10"/>
  <c r="FD1036" i="10"/>
  <c r="FE207" i="4"/>
  <c r="FE73" i="4" s="1"/>
  <c r="I154" i="3" s="1"/>
  <c r="FE138" i="4"/>
  <c r="FB203" i="35"/>
  <c r="FB212" i="35" s="1"/>
  <c r="FB205" i="35"/>
  <c r="FB209" i="35"/>
  <c r="ET168" i="35"/>
  <c r="ET100" i="35" s="1"/>
  <c r="FA213" i="35"/>
  <c r="EY74" i="35"/>
  <c r="ET81" i="35"/>
  <c r="ET96" i="35"/>
  <c r="G2782" i="3"/>
  <c r="J50" i="31"/>
  <c r="FB12" i="32"/>
  <c r="FF203" i="4"/>
  <c r="FF209" i="4"/>
  <c r="FA1036" i="10" l="1"/>
  <c r="FA105" i="10"/>
  <c r="FB207" i="4"/>
  <c r="FB73" i="4" s="1"/>
  <c r="FB138" i="4"/>
  <c r="FC138" i="4" s="1"/>
  <c r="FA104" i="4"/>
  <c r="FB213" i="4"/>
  <c r="EZ76" i="35"/>
  <c r="EZ79" i="35" s="1"/>
  <c r="EZ81" i="35" s="1"/>
  <c r="FF138" i="4"/>
  <c r="FF207" i="4"/>
  <c r="FF73" i="4" s="1"/>
  <c r="J154" i="3" s="1"/>
  <c r="FB207" i="35"/>
  <c r="FB73" i="35" s="1"/>
  <c r="FB74" i="35" s="1"/>
  <c r="FC74" i="35" s="1"/>
  <c r="FC162" i="35" s="1"/>
  <c r="FB138" i="35"/>
  <c r="FC138" i="35" s="1"/>
  <c r="FE204" i="35"/>
  <c r="FD203" i="35"/>
  <c r="FD212" i="35" s="1"/>
  <c r="FD213" i="35" s="1"/>
  <c r="FE221" i="35"/>
  <c r="FD205" i="35"/>
  <c r="FD209" i="35"/>
  <c r="FB213" i="35"/>
  <c r="FC213" i="35" s="1"/>
  <c r="FC212" i="35" s="1"/>
  <c r="EU140" i="35"/>
  <c r="EU145" i="35"/>
  <c r="EU147" i="35" s="1"/>
  <c r="EU149" i="35" s="1"/>
  <c r="EU159" i="35"/>
  <c r="EU160" i="35" s="1"/>
  <c r="EV157" i="35" s="1"/>
  <c r="EV122" i="35"/>
  <c r="EV129" i="35"/>
  <c r="EV132" i="35" s="1"/>
  <c r="EV134" i="35" s="1"/>
  <c r="EV143" i="35"/>
  <c r="FA75" i="35"/>
  <c r="FA167" i="35" s="1"/>
  <c r="FA162" i="35"/>
  <c r="FA152" i="35"/>
  <c r="FA154" i="35" s="1"/>
  <c r="ET187" i="35"/>
  <c r="EU187" i="35" s="1"/>
  <c r="EV187" i="35" s="1"/>
  <c r="EZ163" i="35"/>
  <c r="EZ164" i="35"/>
  <c r="EZ166" i="35" s="1"/>
  <c r="EZ139" i="35" s="1"/>
  <c r="FA104" i="35"/>
  <c r="FE1036" i="10"/>
  <c r="FE105" i="10"/>
  <c r="EW154" i="35"/>
  <c r="EX152" i="35"/>
  <c r="EX154" i="35" s="1"/>
  <c r="EY75" i="35"/>
  <c r="EY76" i="35" s="1"/>
  <c r="EY162" i="35"/>
  <c r="EY152" i="35"/>
  <c r="EW164" i="35"/>
  <c r="EW163" i="35"/>
  <c r="EX163" i="35" s="1"/>
  <c r="ET105" i="35"/>
  <c r="EZ158" i="35"/>
  <c r="EW79" i="35"/>
  <c r="EX76" i="35"/>
  <c r="EW167" i="35"/>
  <c r="EX75" i="35"/>
  <c r="FC73" i="4" l="1"/>
  <c r="FB1036" i="10"/>
  <c r="FB105" i="10"/>
  <c r="FC207" i="4"/>
  <c r="FC209" i="4" s="1"/>
  <c r="FB104" i="4"/>
  <c r="FC104" i="4" s="1"/>
  <c r="FC213" i="4"/>
  <c r="G154" i="3"/>
  <c r="FC1036" i="10"/>
  <c r="FC105" i="10"/>
  <c r="FC207" i="35"/>
  <c r="FC209" i="35" s="1"/>
  <c r="FC73" i="35"/>
  <c r="EZ96" i="35"/>
  <c r="EZ168" i="35"/>
  <c r="EZ100" i="35" s="1"/>
  <c r="EY154" i="35"/>
  <c r="EW158" i="35"/>
  <c r="EX158" i="35" s="1"/>
  <c r="FB75" i="35"/>
  <c r="FB167" i="35" s="1"/>
  <c r="FB152" i="35"/>
  <c r="FB154" i="35" s="1"/>
  <c r="FB162" i="35"/>
  <c r="FD207" i="35"/>
  <c r="FD138" i="35"/>
  <c r="EY164" i="35"/>
  <c r="EY163" i="35"/>
  <c r="FA158" i="35"/>
  <c r="EV159" i="35"/>
  <c r="EY167" i="35"/>
  <c r="FA163" i="35"/>
  <c r="FA164" i="35"/>
  <c r="FA166" i="35" s="1"/>
  <c r="FA139" i="35" s="1"/>
  <c r="FF105" i="10"/>
  <c r="FF1036" i="10"/>
  <c r="FA137" i="35"/>
  <c r="FA76" i="35"/>
  <c r="FA79" i="35" s="1"/>
  <c r="FF204" i="35"/>
  <c r="FE203" i="35"/>
  <c r="FE212" i="35" s="1"/>
  <c r="FE213" i="35" s="1"/>
  <c r="FE205" i="35"/>
  <c r="FE209" i="35"/>
  <c r="FF221" i="35"/>
  <c r="EW166" i="35"/>
  <c r="EX164" i="35"/>
  <c r="EX77" i="35"/>
  <c r="EX167" i="35"/>
  <c r="EV140" i="35"/>
  <c r="EV145" i="35"/>
  <c r="EV147" i="35" s="1"/>
  <c r="EV149" i="35" s="1"/>
  <c r="FB104" i="35"/>
  <c r="FB137" i="35" s="1"/>
  <c r="EY79" i="35"/>
  <c r="EW96" i="35"/>
  <c r="EW81" i="35"/>
  <c r="EX81" i="35" s="1"/>
  <c r="EX79" i="35"/>
  <c r="ET122" i="35"/>
  <c r="ET129" i="35"/>
  <c r="ET143" i="35"/>
  <c r="E29" i="19" l="1"/>
  <c r="C57" i="3"/>
  <c r="D57" i="3" s="1"/>
  <c r="G29" i="19"/>
  <c r="F29" i="19"/>
  <c r="FC212" i="4"/>
  <c r="D97" i="37"/>
  <c r="D1833" i="3"/>
  <c r="EZ105" i="35"/>
  <c r="EZ122" i="35" s="1"/>
  <c r="FC75" i="35"/>
  <c r="FC77" i="35" s="1"/>
  <c r="FB76" i="35"/>
  <c r="FB79" i="35" s="1"/>
  <c r="FB96" i="35" s="1"/>
  <c r="FA81" i="35"/>
  <c r="FA96" i="35"/>
  <c r="EY166" i="35"/>
  <c r="EY168" i="35" s="1"/>
  <c r="EY100" i="35" s="1"/>
  <c r="EX96" i="35"/>
  <c r="EV160" i="35"/>
  <c r="EW157" i="35" s="1"/>
  <c r="FD73" i="35"/>
  <c r="FE207" i="35"/>
  <c r="FE73" i="35" s="1"/>
  <c r="FE74" i="35" s="1"/>
  <c r="FE138" i="35"/>
  <c r="FC104" i="35"/>
  <c r="ET132" i="35"/>
  <c r="FC137" i="35"/>
  <c r="ET140" i="35"/>
  <c r="ET145" i="35"/>
  <c r="ET124" i="35"/>
  <c r="FF205" i="35"/>
  <c r="FF209" i="35"/>
  <c r="FG204" i="35"/>
  <c r="FH204" i="35" s="1"/>
  <c r="FG221" i="35"/>
  <c r="FF203" i="35"/>
  <c r="FF212" i="35" s="1"/>
  <c r="FF213" i="35" s="1"/>
  <c r="FD104" i="35"/>
  <c r="EZ129" i="35"/>
  <c r="EZ132" i="35" s="1"/>
  <c r="EZ134" i="35" s="1"/>
  <c r="EZ143" i="35"/>
  <c r="FB158" i="35"/>
  <c r="EY158" i="35"/>
  <c r="EX80" i="35"/>
  <c r="EY81" i="35"/>
  <c r="EY96" i="35"/>
  <c r="EW139" i="35"/>
  <c r="EX139" i="35" s="1"/>
  <c r="EX166" i="35"/>
  <c r="EX168" i="35" s="1"/>
  <c r="FA168" i="35"/>
  <c r="FA100" i="35" s="1"/>
  <c r="EW168" i="35"/>
  <c r="EW100" i="35" s="1"/>
  <c r="EW105" i="35" s="1"/>
  <c r="FC152" i="35"/>
  <c r="FC154" i="35" s="1"/>
  <c r="D106" i="37" l="1"/>
  <c r="FD212" i="4"/>
  <c r="FC167" i="35"/>
  <c r="FB81" i="35"/>
  <c r="FC81" i="35" s="1"/>
  <c r="FE104" i="35"/>
  <c r="FE137" i="35" s="1"/>
  <c r="FC79" i="35"/>
  <c r="FC76" i="35"/>
  <c r="EW143" i="35"/>
  <c r="EW122" i="35"/>
  <c r="EW129" i="35"/>
  <c r="EX105" i="35"/>
  <c r="FH205" i="35"/>
  <c r="FI204" i="35"/>
  <c r="FI221" i="35"/>
  <c r="FH203" i="35"/>
  <c r="ET134" i="35"/>
  <c r="EZ140" i="35"/>
  <c r="EZ145" i="35"/>
  <c r="EZ147" i="35" s="1"/>
  <c r="EZ149" i="35" s="1"/>
  <c r="FD137" i="35"/>
  <c r="FD74" i="35"/>
  <c r="EY139" i="35"/>
  <c r="FC158" i="35"/>
  <c r="ET171" i="35"/>
  <c r="EU123" i="35"/>
  <c r="EU124" i="35" s="1"/>
  <c r="EV123" i="35" s="1"/>
  <c r="EV124" i="35" s="1"/>
  <c r="EW123" i="35" s="1"/>
  <c r="FG205" i="35"/>
  <c r="FG209" i="35"/>
  <c r="FG203" i="35"/>
  <c r="FG212" i="35" s="1"/>
  <c r="FG213" i="35" s="1"/>
  <c r="ET147" i="35"/>
  <c r="EW159" i="35"/>
  <c r="EX159" i="35" s="1"/>
  <c r="EX160" i="35" s="1"/>
  <c r="EY157" i="35" s="1"/>
  <c r="FF138" i="35"/>
  <c r="FF207" i="35"/>
  <c r="FA105" i="35"/>
  <c r="FE75" i="35"/>
  <c r="FE167" i="35" s="1"/>
  <c r="FE162" i="35"/>
  <c r="FE152" i="35"/>
  <c r="FE154" i="35" s="1"/>
  <c r="EX100" i="35"/>
  <c r="EW187" i="35"/>
  <c r="EX187" i="35" s="1"/>
  <c r="EY187" i="35" s="1"/>
  <c r="EZ187" i="35" s="1"/>
  <c r="FA187" i="35" s="1"/>
  <c r="FC96" i="35"/>
  <c r="EY105" i="35"/>
  <c r="FD213" i="4" l="1"/>
  <c r="E106" i="37"/>
  <c r="FE212" i="4"/>
  <c r="FC80" i="35"/>
  <c r="FE76" i="35"/>
  <c r="FE79" i="35" s="1"/>
  <c r="FE96" i="35" s="1"/>
  <c r="FD162" i="35"/>
  <c r="FD75" i="35"/>
  <c r="FD152" i="35"/>
  <c r="FC157" i="35"/>
  <c r="EY159" i="35"/>
  <c r="FE158" i="35"/>
  <c r="EY129" i="35"/>
  <c r="EY143" i="35"/>
  <c r="EY122" i="35"/>
  <c r="EW160" i="35"/>
  <c r="FJ221" i="35"/>
  <c r="FI205" i="35"/>
  <c r="FI209" i="35"/>
  <c r="FI203" i="35"/>
  <c r="FJ204" i="35"/>
  <c r="FH213" i="35"/>
  <c r="FH212" i="35" s="1"/>
  <c r="ET197" i="35"/>
  <c r="ET198" i="35" s="1"/>
  <c r="ET200" i="35" s="1"/>
  <c r="ET126" i="35" s="1"/>
  <c r="ET176" i="35"/>
  <c r="ET180" i="35" s="1"/>
  <c r="ET191" i="35" s="1"/>
  <c r="EU171" i="35"/>
  <c r="EW132" i="35"/>
  <c r="EX129" i="35"/>
  <c r="FA129" i="35"/>
  <c r="FA132" i="35" s="1"/>
  <c r="FA134" i="35" s="1"/>
  <c r="FA122" i="35"/>
  <c r="FA143" i="35"/>
  <c r="FG207" i="35"/>
  <c r="FG73" i="35" s="1"/>
  <c r="FG74" i="35" s="1"/>
  <c r="FG138" i="35"/>
  <c r="FH138" i="35" s="1"/>
  <c r="EW124" i="35"/>
  <c r="EX124" i="35" s="1"/>
  <c r="EX122" i="35"/>
  <c r="ET149" i="35"/>
  <c r="FF73" i="35"/>
  <c r="FF104" i="35"/>
  <c r="EW140" i="35"/>
  <c r="EX140" i="35" s="1"/>
  <c r="EW145" i="35"/>
  <c r="EX143" i="35"/>
  <c r="FE213" i="4" l="1"/>
  <c r="FE104" i="4" s="1"/>
  <c r="FE137" i="4" s="1"/>
  <c r="FF212" i="4"/>
  <c r="FF213" i="4" s="1"/>
  <c r="FF104" i="4" s="1"/>
  <c r="FF137" i="4" s="1"/>
  <c r="FD104" i="4"/>
  <c r="FD137" i="4" s="1"/>
  <c r="E97" i="37"/>
  <c r="F97" i="37" s="1"/>
  <c r="E1833" i="3"/>
  <c r="FE81" i="35"/>
  <c r="FH207" i="35"/>
  <c r="FH209" i="35" s="1"/>
  <c r="FI212" i="35"/>
  <c r="FI213" i="35" s="1"/>
  <c r="FG104" i="35"/>
  <c r="FG137" i="35" s="1"/>
  <c r="FD167" i="35"/>
  <c r="EW147" i="35"/>
  <c r="EX145" i="35"/>
  <c r="FC123" i="35"/>
  <c r="EY123" i="35"/>
  <c r="EY124" i="35" s="1"/>
  <c r="EZ123" i="35" s="1"/>
  <c r="EZ124" i="35" s="1"/>
  <c r="FA123" i="35" s="1"/>
  <c r="FA124" i="35" s="1"/>
  <c r="FB123" i="35" s="1"/>
  <c r="EY160" i="35"/>
  <c r="EZ157" i="35" s="1"/>
  <c r="EW134" i="35"/>
  <c r="EX134" i="35" s="1"/>
  <c r="EX132" i="35"/>
  <c r="FD76" i="35"/>
  <c r="ET190" i="35"/>
  <c r="ET192" i="35"/>
  <c r="EY132" i="35"/>
  <c r="FA140" i="35"/>
  <c r="FA145" i="35"/>
  <c r="FA147" i="35" s="1"/>
  <c r="FA149" i="35" s="1"/>
  <c r="FJ203" i="35"/>
  <c r="FJ205" i="35"/>
  <c r="FJ209" i="35"/>
  <c r="FF137" i="35"/>
  <c r="FG75" i="35"/>
  <c r="FG167" i="35" s="1"/>
  <c r="FG162" i="35"/>
  <c r="FG152" i="35"/>
  <c r="FG154" i="35" s="1"/>
  <c r="FI138" i="35"/>
  <c r="FI207" i="35"/>
  <c r="FI73" i="35" s="1"/>
  <c r="FI74" i="35" s="1"/>
  <c r="FF74" i="35"/>
  <c r="FH73" i="35"/>
  <c r="EU176" i="35"/>
  <c r="EU180" i="35" s="1"/>
  <c r="EU191" i="35" s="1"/>
  <c r="EV171" i="35"/>
  <c r="EU197" i="35"/>
  <c r="EU198" i="35" s="1"/>
  <c r="EU200" i="35" s="1"/>
  <c r="EU126" i="35" s="1"/>
  <c r="EY140" i="35"/>
  <c r="EY145" i="35"/>
  <c r="FD154" i="35"/>
  <c r="F106" i="37" l="1"/>
  <c r="G97" i="37"/>
  <c r="FJ212" i="35"/>
  <c r="FH137" i="35"/>
  <c r="FH104" i="35"/>
  <c r="FG76" i="35"/>
  <c r="FG79" i="35" s="1"/>
  <c r="FG96" i="35" s="1"/>
  <c r="EX133" i="35"/>
  <c r="FJ213" i="35"/>
  <c r="FG158" i="35"/>
  <c r="FI162" i="35"/>
  <c r="FI152" i="35"/>
  <c r="FI154" i="35" s="1"/>
  <c r="EY147" i="35"/>
  <c r="EY134" i="35"/>
  <c r="FD79" i="35"/>
  <c r="EW149" i="35"/>
  <c r="EX147" i="35"/>
  <c r="EX149" i="35" s="1"/>
  <c r="EV176" i="35"/>
  <c r="EV180" i="35" s="1"/>
  <c r="EV191" i="35" s="1"/>
  <c r="EV197" i="35"/>
  <c r="EV198" i="35" s="1"/>
  <c r="EV200" i="35" s="1"/>
  <c r="EV126" i="35" s="1"/>
  <c r="EW171" i="35"/>
  <c r="FF75" i="35"/>
  <c r="FF76" i="35" s="1"/>
  <c r="FF79" i="35" s="1"/>
  <c r="FF162" i="35"/>
  <c r="FF152" i="35"/>
  <c r="FH74" i="35"/>
  <c r="FH162" i="35" s="1"/>
  <c r="FD158" i="35"/>
  <c r="EU190" i="35"/>
  <c r="EU192" i="35"/>
  <c r="FJ207" i="35"/>
  <c r="FJ73" i="35" s="1"/>
  <c r="FJ74" i="35" s="1"/>
  <c r="FJ138" i="35"/>
  <c r="FI104" i="35"/>
  <c r="FI137" i="35" s="1"/>
  <c r="EZ159" i="35"/>
  <c r="H97" i="37" l="1"/>
  <c r="G106" i="37"/>
  <c r="FG81" i="35"/>
  <c r="FD96" i="35"/>
  <c r="FD81" i="35"/>
  <c r="FH79" i="35"/>
  <c r="FF96" i="35"/>
  <c r="FF81" i="35"/>
  <c r="EV190" i="35"/>
  <c r="EV192" i="35"/>
  <c r="FI158" i="35"/>
  <c r="FF167" i="35"/>
  <c r="FH75" i="35"/>
  <c r="EW197" i="35"/>
  <c r="EW198" i="35" s="1"/>
  <c r="EW200" i="35" s="1"/>
  <c r="EW126" i="35" s="1"/>
  <c r="EW176" i="35"/>
  <c r="EX171" i="35"/>
  <c r="FH76" i="35"/>
  <c r="EY149" i="35"/>
  <c r="EZ160" i="35"/>
  <c r="FA157" i="35" s="1"/>
  <c r="FF154" i="35"/>
  <c r="FH152" i="35"/>
  <c r="FH154" i="35" s="1"/>
  <c r="FJ152" i="35"/>
  <c r="FJ154" i="35" s="1"/>
  <c r="FJ162" i="35"/>
  <c r="FJ104" i="35"/>
  <c r="FJ137" i="35" s="1"/>
  <c r="I97" i="37" l="1"/>
  <c r="H106" i="37"/>
  <c r="FH81" i="35"/>
  <c r="FH80" i="35" s="1"/>
  <c r="FA159" i="35"/>
  <c r="FH167" i="35"/>
  <c r="FH77" i="35"/>
  <c r="FI77" i="35" s="1"/>
  <c r="FH96" i="35"/>
  <c r="FF158" i="35"/>
  <c r="FH158" i="35" s="1"/>
  <c r="FJ158" i="35"/>
  <c r="EY171" i="35"/>
  <c r="EX197" i="35"/>
  <c r="EX198" i="35" s="1"/>
  <c r="EX200" i="35" s="1"/>
  <c r="EX126" i="35" s="1"/>
  <c r="EX176" i="35"/>
  <c r="EW180" i="35"/>
  <c r="I106" i="37" l="1"/>
  <c r="J97" i="37"/>
  <c r="J106" i="37" s="1"/>
  <c r="EZ171" i="35"/>
  <c r="EY197" i="35"/>
  <c r="EY198" i="35" s="1"/>
  <c r="EY200" i="35" s="1"/>
  <c r="EY126" i="35" s="1"/>
  <c r="EY176" i="35"/>
  <c r="EY180" i="35" s="1"/>
  <c r="EY191" i="35" s="1"/>
  <c r="FA160" i="35"/>
  <c r="FB157" i="35" s="1"/>
  <c r="FJ77" i="35"/>
  <c r="FI75" i="35"/>
  <c r="FI165" i="35"/>
  <c r="EW191" i="35"/>
  <c r="EX180" i="35"/>
  <c r="EY190" i="35" l="1"/>
  <c r="EY192" i="35"/>
  <c r="FB159" i="35"/>
  <c r="FC159" i="35" s="1"/>
  <c r="FC160" i="35" s="1"/>
  <c r="FD157" i="35" s="1"/>
  <c r="FA171" i="35"/>
  <c r="EZ197" i="35"/>
  <c r="EZ198" i="35" s="1"/>
  <c r="EZ200" i="35" s="1"/>
  <c r="EZ126" i="35" s="1"/>
  <c r="EZ176" i="35"/>
  <c r="EZ180" i="35" s="1"/>
  <c r="EZ191" i="35" s="1"/>
  <c r="FI167" i="35"/>
  <c r="FI76" i="35"/>
  <c r="FI79" i="35" s="1"/>
  <c r="EW190" i="35"/>
  <c r="EX190" i="35" s="1"/>
  <c r="EW192" i="35"/>
  <c r="EX191" i="35"/>
  <c r="EX192" i="35" s="1"/>
  <c r="FJ75" i="35"/>
  <c r="FJ165" i="35"/>
  <c r="FK77" i="35"/>
  <c r="FA197" i="35" l="1"/>
  <c r="FA198" i="35" s="1"/>
  <c r="FA200" i="35" s="1"/>
  <c r="FA126" i="35" s="1"/>
  <c r="FA176" i="35"/>
  <c r="FA180" i="35" s="1"/>
  <c r="FA191" i="35" s="1"/>
  <c r="FL77" i="35"/>
  <c r="FK165" i="35"/>
  <c r="FI81" i="35"/>
  <c r="FI96" i="35"/>
  <c r="FJ167" i="35"/>
  <c r="FJ76" i="35"/>
  <c r="FJ79" i="35" s="1"/>
  <c r="FH157" i="35"/>
  <c r="FD159" i="35"/>
  <c r="EZ190" i="35"/>
  <c r="EZ192" i="35"/>
  <c r="FB160" i="35"/>
  <c r="FB163" i="35" s="1"/>
  <c r="FB164" i="35" l="1"/>
  <c r="FC163" i="35"/>
  <c r="FA190" i="35"/>
  <c r="FA192" i="35"/>
  <c r="FD160" i="35"/>
  <c r="FJ81" i="35"/>
  <c r="FJ96" i="35"/>
  <c r="FM77" i="35"/>
  <c r="FL165" i="35"/>
  <c r="FM165" i="35" l="1"/>
  <c r="FE157" i="35"/>
  <c r="FD163" i="35"/>
  <c r="FB166" i="35"/>
  <c r="FC164" i="35"/>
  <c r="FD164" i="35" l="1"/>
  <c r="FB139" i="35"/>
  <c r="FC139" i="35" s="1"/>
  <c r="FB168" i="35"/>
  <c r="FB100" i="35" s="1"/>
  <c r="FC166" i="35"/>
  <c r="FC168" i="35" s="1"/>
  <c r="FE159" i="35"/>
  <c r="FD166" i="35" l="1"/>
  <c r="FE160" i="35"/>
  <c r="FC100" i="35"/>
  <c r="FB105" i="35"/>
  <c r="FB187" i="35"/>
  <c r="FC187" i="35" s="1"/>
  <c r="FD139" i="35" l="1"/>
  <c r="FD168" i="35"/>
  <c r="FD100" i="35" s="1"/>
  <c r="FD187" i="35" s="1"/>
  <c r="FF157" i="35"/>
  <c r="FE163" i="35"/>
  <c r="FB122" i="35"/>
  <c r="FB124" i="35" s="1"/>
  <c r="FB171" i="35" s="1"/>
  <c r="FB129" i="35"/>
  <c r="FB143" i="35"/>
  <c r="FC105" i="35"/>
  <c r="FC122" i="35" s="1"/>
  <c r="FC124" i="35" s="1"/>
  <c r="FB132" i="35" l="1"/>
  <c r="FC129" i="35"/>
  <c r="FE164" i="35"/>
  <c r="FF159" i="35"/>
  <c r="FB197" i="35"/>
  <c r="FB198" i="35" s="1"/>
  <c r="FB200" i="35" s="1"/>
  <c r="FB126" i="35" s="1"/>
  <c r="FB176" i="35"/>
  <c r="FC171" i="35"/>
  <c r="FD105" i="35"/>
  <c r="FH123" i="35"/>
  <c r="FD123" i="35"/>
  <c r="FB140" i="35"/>
  <c r="FC140" i="35" s="1"/>
  <c r="FB145" i="35"/>
  <c r="FC143" i="35"/>
  <c r="FE166" i="35" l="1"/>
  <c r="FD122" i="35"/>
  <c r="FD124" i="35" s="1"/>
  <c r="FE123" i="35" s="1"/>
  <c r="FD129" i="35"/>
  <c r="FD143" i="35"/>
  <c r="FB147" i="35"/>
  <c r="FC145" i="35"/>
  <c r="FC197" i="35"/>
  <c r="FC198" i="35" s="1"/>
  <c r="FC200" i="35" s="1"/>
  <c r="FC126" i="35" s="1"/>
  <c r="FC176" i="35"/>
  <c r="FB180" i="35"/>
  <c r="FB134" i="35"/>
  <c r="FC134" i="35" s="1"/>
  <c r="FC132" i="35"/>
  <c r="FF160" i="35"/>
  <c r="FD171" i="35" l="1"/>
  <c r="FD176" i="35" s="1"/>
  <c r="FD180" i="35" s="1"/>
  <c r="FD191" i="35" s="1"/>
  <c r="FC133" i="35"/>
  <c r="FB149" i="35"/>
  <c r="FC147" i="35"/>
  <c r="FC149" i="35" s="1"/>
  <c r="FD140" i="35"/>
  <c r="FD145" i="35"/>
  <c r="FB191" i="35"/>
  <c r="FC180" i="35"/>
  <c r="FE139" i="35"/>
  <c r="FE168" i="35"/>
  <c r="FE100" i="35" s="1"/>
  <c r="FG157" i="35"/>
  <c r="FF163" i="35"/>
  <c r="FD132" i="35"/>
  <c r="FD197" i="35" l="1"/>
  <c r="FD198" i="35" s="1"/>
  <c r="FD200" i="35" s="1"/>
  <c r="FD126" i="35" s="1"/>
  <c r="FD147" i="35"/>
  <c r="FF164" i="35"/>
  <c r="FD134" i="35"/>
  <c r="FD190" i="35"/>
  <c r="FD192" i="35"/>
  <c r="FG159" i="35"/>
  <c r="FH159" i="35" s="1"/>
  <c r="FH160" i="35" s="1"/>
  <c r="FI157" i="35" s="1"/>
  <c r="FE105" i="35"/>
  <c r="FE187" i="35"/>
  <c r="FC191" i="35"/>
  <c r="FC192" i="35" s="1"/>
  <c r="FB190" i="35"/>
  <c r="FC190" i="35" s="1"/>
  <c r="FB192" i="35"/>
  <c r="FI159" i="35" l="1"/>
  <c r="FI160" i="35" s="1"/>
  <c r="FG160" i="35"/>
  <c r="FG163" i="35" s="1"/>
  <c r="FE143" i="35"/>
  <c r="FE122" i="35"/>
  <c r="FE124" i="35" s="1"/>
  <c r="FE129" i="35"/>
  <c r="FF166" i="35"/>
  <c r="FD149" i="35"/>
  <c r="FJ157" i="35" l="1"/>
  <c r="FI163" i="35"/>
  <c r="FI164" i="35" s="1"/>
  <c r="FI166" i="35" s="1"/>
  <c r="FF139" i="35"/>
  <c r="FF168" i="35"/>
  <c r="FF100" i="35" s="1"/>
  <c r="FE145" i="35"/>
  <c r="FE140" i="35"/>
  <c r="FF123" i="35"/>
  <c r="FE171" i="35"/>
  <c r="FG164" i="35"/>
  <c r="FH163" i="35"/>
  <c r="FE132" i="35"/>
  <c r="FE197" i="35" l="1"/>
  <c r="FE198" i="35" s="1"/>
  <c r="FE200" i="35" s="1"/>
  <c r="FE126" i="35" s="1"/>
  <c r="FE176" i="35"/>
  <c r="FE180" i="35" s="1"/>
  <c r="FE191" i="35" s="1"/>
  <c r="FE147" i="35"/>
  <c r="FF105" i="35"/>
  <c r="FF187" i="35"/>
  <c r="FE134" i="35"/>
  <c r="FI139" i="35"/>
  <c r="FI168" i="35"/>
  <c r="FI100" i="35" s="1"/>
  <c r="FI105" i="35" s="1"/>
  <c r="FG166" i="35"/>
  <c r="FH164" i="35"/>
  <c r="FJ159" i="35"/>
  <c r="FJ160" i="35" s="1"/>
  <c r="FK157" i="35" l="1"/>
  <c r="FJ163" i="35"/>
  <c r="FJ164" i="35" s="1"/>
  <c r="FJ166" i="35" s="1"/>
  <c r="FE149" i="35"/>
  <c r="FI129" i="35"/>
  <c r="FI132" i="35" s="1"/>
  <c r="FI134" i="35" s="1"/>
  <c r="FI122" i="35"/>
  <c r="FI143" i="35"/>
  <c r="FE190" i="35"/>
  <c r="FE192" i="35"/>
  <c r="FF143" i="35"/>
  <c r="FF129" i="35"/>
  <c r="FF122" i="35"/>
  <c r="FF124" i="35" s="1"/>
  <c r="FG139" i="35"/>
  <c r="FH139" i="35" s="1"/>
  <c r="FG168" i="35"/>
  <c r="FG100" i="35" s="1"/>
  <c r="FG187" i="35" s="1"/>
  <c r="FH187" i="35" s="1"/>
  <c r="FI187" i="35" s="1"/>
  <c r="FH166" i="35"/>
  <c r="FH168" i="35" s="1"/>
  <c r="FG123" i="35" l="1"/>
  <c r="FF171" i="35"/>
  <c r="FF132" i="35"/>
  <c r="FF140" i="35"/>
  <c r="FF145" i="35"/>
  <c r="FJ139" i="35"/>
  <c r="FJ168" i="35"/>
  <c r="FJ100" i="35" s="1"/>
  <c r="FJ105" i="35" s="1"/>
  <c r="FG105" i="35"/>
  <c r="FH100" i="35"/>
  <c r="FI140" i="35"/>
  <c r="FI145" i="35"/>
  <c r="FI147" i="35" s="1"/>
  <c r="FI149" i="35" s="1"/>
  <c r="FF134" i="35" l="1"/>
  <c r="FG129" i="35"/>
  <c r="FG143" i="35"/>
  <c r="FG122" i="35"/>
  <c r="FG124" i="35" s="1"/>
  <c r="FG171" i="35" s="1"/>
  <c r="FH105" i="35"/>
  <c r="FH122" i="35" s="1"/>
  <c r="FH124" i="35" s="1"/>
  <c r="FI123" i="35" s="1"/>
  <c r="FI124" i="35" s="1"/>
  <c r="FJ123" i="35" s="1"/>
  <c r="FJ122" i="35"/>
  <c r="FJ129" i="35"/>
  <c r="FJ132" i="35" s="1"/>
  <c r="FJ134" i="35" s="1"/>
  <c r="FJ143" i="35"/>
  <c r="FF197" i="35"/>
  <c r="FF198" i="35" s="1"/>
  <c r="FF200" i="35" s="1"/>
  <c r="FF126" i="35" s="1"/>
  <c r="FF176" i="35"/>
  <c r="FF180" i="35" s="1"/>
  <c r="FF191" i="35" s="1"/>
  <c r="FF147" i="35"/>
  <c r="FJ187" i="35"/>
  <c r="FJ124" i="35" l="1"/>
  <c r="FK123" i="35" s="1"/>
  <c r="FH171" i="35"/>
  <c r="FG197" i="35"/>
  <c r="FG198" i="35" s="1"/>
  <c r="FG200" i="35" s="1"/>
  <c r="FG126" i="35" s="1"/>
  <c r="FG176" i="35"/>
  <c r="FG140" i="35"/>
  <c r="FH140" i="35" s="1"/>
  <c r="FG145" i="35"/>
  <c r="FH143" i="35"/>
  <c r="FJ140" i="35"/>
  <c r="FJ145" i="35"/>
  <c r="FJ147" i="35" s="1"/>
  <c r="FJ149" i="35" s="1"/>
  <c r="FG132" i="35"/>
  <c r="FH129" i="35"/>
  <c r="FF149" i="35"/>
  <c r="FF190" i="35"/>
  <c r="FF192" i="35"/>
  <c r="FG134" i="35" l="1"/>
  <c r="FH134" i="35" s="1"/>
  <c r="FH132" i="35"/>
  <c r="FG180" i="35"/>
  <c r="FH176" i="35"/>
  <c r="FG147" i="35"/>
  <c r="FH145" i="35"/>
  <c r="FI171" i="35"/>
  <c r="FH197" i="35"/>
  <c r="FH198" i="35" s="1"/>
  <c r="FH200" i="35" s="1"/>
  <c r="FH126" i="35" s="1"/>
  <c r="FH180" i="35" l="1"/>
  <c r="FG191" i="35"/>
  <c r="FH669" i="36"/>
  <c r="FH133" i="35"/>
  <c r="FG149" i="35"/>
  <c r="FH147" i="35"/>
  <c r="FH149" i="35" s="1"/>
  <c r="FJ171" i="35"/>
  <c r="FI197" i="35"/>
  <c r="FI198" i="35" s="1"/>
  <c r="FI200" i="35" s="1"/>
  <c r="FI126" i="35" s="1"/>
  <c r="FI176" i="35"/>
  <c r="FI180" i="35" s="1"/>
  <c r="FI191" i="35" s="1"/>
  <c r="FI190" i="35" l="1"/>
  <c r="FI192" i="35"/>
  <c r="FJ197" i="35"/>
  <c r="FJ176" i="35"/>
  <c r="FJ180" i="35" s="1"/>
  <c r="FJ191" i="35" s="1"/>
  <c r="FH191" i="35"/>
  <c r="FH192" i="35" s="1"/>
  <c r="FG190" i="35"/>
  <c r="FH190" i="35" s="1"/>
  <c r="FG192" i="35"/>
  <c r="FJ192" i="35" l="1"/>
  <c r="FJ190" i="35"/>
  <c r="FJ198" i="35"/>
  <c r="FJ200" i="35" s="1"/>
  <c r="FJ126" i="35" s="1"/>
  <c r="FK197" i="35"/>
  <c r="FK196" i="35" l="1"/>
  <c r="FK124" i="35"/>
  <c r="FL197" i="35"/>
  <c r="FL124" i="35" l="1"/>
  <c r="FM197" i="35"/>
  <c r="FL196" i="35"/>
  <c r="FL202" i="35" s="1"/>
  <c r="FK122" i="35"/>
  <c r="FL123" i="35"/>
  <c r="FK171" i="35"/>
  <c r="FK189" i="35"/>
  <c r="FK202" i="35"/>
  <c r="FK113" i="35"/>
  <c r="FK204" i="35" s="1"/>
  <c r="FL211" i="35" l="1"/>
  <c r="FL218" i="35"/>
  <c r="FL220" i="35" s="1"/>
  <c r="FL221" i="35" s="1"/>
  <c r="FL122" i="35"/>
  <c r="FM123" i="35"/>
  <c r="FL113" i="35"/>
  <c r="FL204" i="35" s="1"/>
  <c r="FL189" i="35"/>
  <c r="FM124" i="35"/>
  <c r="FM196" i="35"/>
  <c r="FM202" i="35" s="1"/>
  <c r="FK203" i="35"/>
  <c r="FK212" i="35" s="1"/>
  <c r="FK205" i="35"/>
  <c r="FK209" i="35"/>
  <c r="FK176" i="35"/>
  <c r="FK180" i="35" s="1"/>
  <c r="FK191" i="35" s="1"/>
  <c r="FL171" i="35"/>
  <c r="FK211" i="35"/>
  <c r="FK218" i="35"/>
  <c r="FK220" i="35" s="1"/>
  <c r="FK221" i="35" s="1"/>
  <c r="FM122" i="35" l="1"/>
  <c r="FK213" i="35"/>
  <c r="FL203" i="35"/>
  <c r="FL212" i="35" s="1"/>
  <c r="FL213" i="35" s="1"/>
  <c r="FL205" i="35"/>
  <c r="FL209" i="35"/>
  <c r="FL176" i="35"/>
  <c r="FL180" i="35" s="1"/>
  <c r="FL191" i="35" s="1"/>
  <c r="FM171" i="35"/>
  <c r="FM176" i="35" s="1"/>
  <c r="FM180" i="35" s="1"/>
  <c r="FM191" i="35" s="1"/>
  <c r="FK192" i="35"/>
  <c r="FM211" i="35"/>
  <c r="FM218" i="35"/>
  <c r="FM220" i="35" s="1"/>
  <c r="FM221" i="35" s="1"/>
  <c r="FK207" i="35"/>
  <c r="FK73" i="35" s="1"/>
  <c r="FK74" i="35" s="1"/>
  <c r="FK138" i="35"/>
  <c r="FM113" i="35"/>
  <c r="FM204" i="35" s="1"/>
  <c r="FM189" i="35"/>
  <c r="FM203" i="35" l="1"/>
  <c r="FM212" i="35" s="1"/>
  <c r="FM213" i="35" s="1"/>
  <c r="FM205" i="35"/>
  <c r="FM209" i="35"/>
  <c r="FL192" i="35"/>
  <c r="FL207" i="35"/>
  <c r="FL73" i="35" s="1"/>
  <c r="FL74" i="35" s="1"/>
  <c r="FL138" i="35"/>
  <c r="FK104" i="35"/>
  <c r="FK137" i="35" s="1"/>
  <c r="FK152" i="35"/>
  <c r="FK154" i="35" s="1"/>
  <c r="FK162" i="35"/>
  <c r="FK75" i="35"/>
  <c r="FK167" i="35" s="1"/>
  <c r="FM192" i="35"/>
  <c r="FL162" i="35" l="1"/>
  <c r="FL152" i="35"/>
  <c r="FL154" i="35" s="1"/>
  <c r="FL75" i="35"/>
  <c r="FL167" i="35" s="1"/>
  <c r="FK158" i="35"/>
  <c r="FK159" i="35"/>
  <c r="FK76" i="35"/>
  <c r="FK79" i="35" s="1"/>
  <c r="FM207" i="35"/>
  <c r="FM73" i="35" s="1"/>
  <c r="FM74" i="35" s="1"/>
  <c r="FM138" i="35"/>
  <c r="FL104" i="35"/>
  <c r="FL137" i="35" s="1"/>
  <c r="FM104" i="35" l="1"/>
  <c r="FM137" i="35" s="1"/>
  <c r="FL158" i="35"/>
  <c r="FK96" i="35"/>
  <c r="FK160" i="35"/>
  <c r="FM162" i="35"/>
  <c r="FM152" i="35"/>
  <c r="FM154" i="35" s="1"/>
  <c r="FM75" i="35"/>
  <c r="FM167" i="35" s="1"/>
  <c r="FL76" i="35"/>
  <c r="FL79" i="35" s="1"/>
  <c r="FM76" i="35" l="1"/>
  <c r="FM79" i="35" s="1"/>
  <c r="FM96" i="35" s="1"/>
  <c r="FL157" i="35"/>
  <c r="FK163" i="35"/>
  <c r="FK164" i="35" s="1"/>
  <c r="FK166" i="35" s="1"/>
  <c r="FL96" i="35"/>
  <c r="FM158" i="35"/>
  <c r="FK139" i="35" l="1"/>
  <c r="FK168" i="35"/>
  <c r="FK100" i="35" s="1"/>
  <c r="FL159" i="35"/>
  <c r="FL160" i="35" s="1"/>
  <c r="FM157" i="35" l="1"/>
  <c r="FL163" i="35"/>
  <c r="FL164" i="35" s="1"/>
  <c r="FL166" i="35" s="1"/>
  <c r="FK187" i="35"/>
  <c r="FK105" i="35"/>
  <c r="FK143" i="35" l="1"/>
  <c r="FK129" i="35"/>
  <c r="FK132" i="35" s="1"/>
  <c r="FK120" i="35"/>
  <c r="FK119" i="35" s="1"/>
  <c r="FK87" i="35" s="1"/>
  <c r="FK190" i="35"/>
  <c r="FL139" i="35"/>
  <c r="FL168" i="35"/>
  <c r="FL100" i="35" s="1"/>
  <c r="FL105" i="35" s="1"/>
  <c r="FM159" i="35"/>
  <c r="FM160" i="35" s="1"/>
  <c r="FM163" i="35" s="1"/>
  <c r="FM164" i="35" s="1"/>
  <c r="FM166" i="35" s="1"/>
  <c r="FM139" i="35" l="1"/>
  <c r="FM168" i="35"/>
  <c r="FM100" i="35" s="1"/>
  <c r="FM105" i="35" s="1"/>
  <c r="FK88" i="35"/>
  <c r="FL89" i="35" s="1"/>
  <c r="FK140" i="35"/>
  <c r="FK145" i="35"/>
  <c r="FK147" i="35" s="1"/>
  <c r="FL129" i="35"/>
  <c r="FL132" i="35" s="1"/>
  <c r="FL143" i="35"/>
  <c r="FL120" i="35"/>
  <c r="FL119" i="35" s="1"/>
  <c r="FL187" i="35"/>
  <c r="FL140" i="35" l="1"/>
  <c r="FL145" i="35"/>
  <c r="FL147" i="35" s="1"/>
  <c r="FK91" i="35"/>
  <c r="FK93" i="35" s="1"/>
  <c r="FK80" i="35" s="1"/>
  <c r="FL85" i="35"/>
  <c r="FM187" i="35"/>
  <c r="FM190" i="35" s="1"/>
  <c r="FL190" i="35"/>
  <c r="FM143" i="35"/>
  <c r="FM129" i="35"/>
  <c r="FM132" i="35" s="1"/>
  <c r="FM120" i="35"/>
  <c r="FM119" i="35" s="1"/>
  <c r="FL87" i="35"/>
  <c r="FM145" i="35" l="1"/>
  <c r="FM147" i="35" s="1"/>
  <c r="FM140" i="35"/>
  <c r="FL88" i="35"/>
  <c r="FK148" i="35"/>
  <c r="FK149" i="35" s="1"/>
  <c r="FK133" i="35"/>
  <c r="FK134" i="35" s="1"/>
  <c r="FK81" i="35"/>
  <c r="FM85" i="35" l="1"/>
  <c r="FL91" i="35"/>
  <c r="FL93" i="35" s="1"/>
  <c r="FL80" i="35" s="1"/>
  <c r="FM89" i="35"/>
  <c r="FM87" i="35" s="1"/>
  <c r="FL148" i="35" l="1"/>
  <c r="FL149" i="35" s="1"/>
  <c r="FL133" i="35"/>
  <c r="FL134" i="35" s="1"/>
  <c r="FL81" i="35"/>
  <c r="FM88" i="35"/>
  <c r="FM91" i="35" s="1"/>
  <c r="FM93" i="35" s="1"/>
  <c r="FM80" i="35" s="1"/>
  <c r="FM133" i="35" l="1"/>
  <c r="FM134" i="35" s="1"/>
  <c r="FM148" i="35"/>
  <c r="FM149" i="35" s="1"/>
  <c r="FM81" i="35"/>
  <c r="EU19" i="2" l="1"/>
  <c r="EU434" i="10"/>
  <c r="EU435" i="10"/>
  <c r="EU23" i="2" l="1"/>
  <c r="EU67" i="2"/>
  <c r="EU43" i="4" s="1"/>
  <c r="EU46" i="4" s="1"/>
  <c r="EU48" i="4" s="1"/>
  <c r="EU133" i="10"/>
  <c r="EU72" i="2" l="1"/>
  <c r="EU219" i="2" s="1"/>
  <c r="EU71" i="2"/>
  <c r="EU79" i="2" s="1"/>
  <c r="EU49" i="4"/>
  <c r="EU50" i="4"/>
  <c r="EU357" i="2"/>
  <c r="EU217" i="2" l="1"/>
  <c r="EU382" i="10" s="1"/>
  <c r="EZ219" i="2"/>
  <c r="EU220" i="2"/>
  <c r="EU73" i="2"/>
  <c r="EU30" i="2"/>
  <c r="EU355" i="2"/>
  <c r="EU358" i="2"/>
  <c r="EU199" i="4"/>
  <c r="EU103" i="10"/>
  <c r="EU205" i="4"/>
  <c r="EU106" i="10"/>
  <c r="EU218" i="2" l="1"/>
  <c r="EU235" i="2"/>
  <c r="EU222" i="2" s="1"/>
  <c r="EZ357" i="2"/>
  <c r="EZ220" i="2"/>
  <c r="EZ217" i="2"/>
  <c r="EZ382" i="10" s="1"/>
  <c r="EU36" i="2"/>
  <c r="G1920" i="3" s="1"/>
  <c r="EU33" i="2"/>
  <c r="EU9" i="32"/>
  <c r="EU11" i="32" s="1"/>
  <c r="C1336" i="3"/>
  <c r="C1342" i="3" s="1"/>
  <c r="EU236" i="2"/>
  <c r="EU239" i="2"/>
  <c r="EU240" i="2" s="1"/>
  <c r="EU21" i="2"/>
  <c r="EU20" i="2" s="1"/>
  <c r="G1322" i="3"/>
  <c r="G1321" i="3" s="1"/>
  <c r="G1323" i="3" s="1"/>
  <c r="EU385" i="10"/>
  <c r="EU237" i="2"/>
  <c r="EU238" i="2" s="1"/>
  <c r="EU430" i="10"/>
  <c r="EU356" i="2"/>
  <c r="EU372" i="2"/>
  <c r="EU227" i="2"/>
  <c r="EU228" i="2" s="1"/>
  <c r="EU223" i="2"/>
  <c r="EU224" i="2"/>
  <c r="EU383" i="10"/>
  <c r="EU107" i="10"/>
  <c r="EU121" i="10"/>
  <c r="EU1027" i="10"/>
  <c r="EU1028" i="10" s="1"/>
  <c r="EU140" i="10"/>
  <c r="EU142" i="10" s="1"/>
  <c r="EU241" i="2" l="1"/>
  <c r="EZ218" i="2"/>
  <c r="EZ358" i="2"/>
  <c r="EZ355" i="2"/>
  <c r="EZ430" i="10" s="1"/>
  <c r="C1391" i="3"/>
  <c r="C1405" i="3" s="1"/>
  <c r="EU24" i="2"/>
  <c r="EU378" i="2"/>
  <c r="EU360" i="2"/>
  <c r="EU373" i="2"/>
  <c r="EU376" i="2"/>
  <c r="EU377" i="2" s="1"/>
  <c r="EU374" i="2"/>
  <c r="EU375" i="2" s="1"/>
  <c r="EU433" i="10"/>
  <c r="EU120" i="10"/>
  <c r="B33" i="30"/>
  <c r="EU225" i="2"/>
  <c r="EU226" i="2"/>
  <c r="EZ356" i="2" l="1"/>
  <c r="EZ483" i="2"/>
  <c r="EZ133" i="10" s="1"/>
  <c r="EU362" i="2"/>
  <c r="EU498" i="2"/>
  <c r="EU361" i="2"/>
  <c r="EU364" i="2"/>
  <c r="EU365" i="2" s="1"/>
  <c r="EU431" i="10"/>
  <c r="C1407" i="3"/>
  <c r="EU13" i="32"/>
  <c r="EU15" i="32" s="1"/>
  <c r="D33" i="30"/>
  <c r="E33" i="30"/>
  <c r="EU1033" i="10"/>
  <c r="EU1032" i="10" s="1"/>
  <c r="EU363" i="2" l="1"/>
  <c r="EZ484" i="2"/>
  <c r="EZ485" i="2"/>
  <c r="EZ486" i="2" s="1"/>
  <c r="EZ67" i="2"/>
  <c r="EU510" i="2"/>
  <c r="EU502" i="2"/>
  <c r="EU503" i="2" s="1"/>
  <c r="EU499" i="2"/>
  <c r="EU500" i="2"/>
  <c r="EU501" i="2" s="1"/>
  <c r="C1408" i="3"/>
  <c r="EU109" i="10"/>
  <c r="EZ43" i="4" l="1"/>
  <c r="EZ57" i="2"/>
  <c r="EZ72" i="2"/>
  <c r="EZ73" i="2" s="1"/>
  <c r="EU514" i="2"/>
  <c r="EU515" i="2" s="1"/>
  <c r="EU516" i="2"/>
  <c r="EU511" i="2"/>
  <c r="EU512" i="2"/>
  <c r="EU513" i="2" s="1"/>
  <c r="EU518" i="2"/>
  <c r="EU113" i="10"/>
  <c r="C1410" i="3"/>
  <c r="C1411" i="3" s="1"/>
  <c r="C1414" i="3" s="1"/>
  <c r="C1415" i="3" s="1"/>
  <c r="EZ57" i="4" l="1"/>
  <c r="EU522" i="2"/>
  <c r="EU523" i="2" s="1"/>
  <c r="EU528" i="2"/>
  <c r="EU524" i="2"/>
  <c r="EU520" i="2"/>
  <c r="EU521" i="2" s="1"/>
  <c r="EU519" i="2"/>
  <c r="EV18" i="2"/>
  <c r="EV22" i="2" l="1"/>
  <c r="EU529" i="2"/>
  <c r="EU530" i="2"/>
  <c r="EU122" i="10"/>
  <c r="EU1037" i="10"/>
  <c r="EV123" i="4"/>
  <c r="EV386" i="10"/>
  <c r="EU533" i="2" l="1"/>
  <c r="EU534" i="2"/>
  <c r="EU535" i="2"/>
  <c r="EU114" i="10"/>
  <c r="EU123" i="10" s="1"/>
  <c r="EV387" i="10"/>
  <c r="EU1029" i="10"/>
  <c r="EU116" i="10" l="1"/>
  <c r="EU16" i="32" l="1"/>
  <c r="EU117" i="10"/>
  <c r="EU1021" i="10" s="1"/>
  <c r="EU1030" i="10" s="1"/>
  <c r="EU200" i="4"/>
  <c r="EU126" i="4" s="1"/>
  <c r="EV137" i="10"/>
  <c r="EV138" i="10" l="1"/>
  <c r="EU17" i="32"/>
  <c r="F86" i="3" l="1"/>
  <c r="C49" i="3"/>
  <c r="B59" i="3" s="1"/>
  <c r="C2783" i="3"/>
  <c r="C1835" i="3"/>
  <c r="E60" i="19"/>
  <c r="EX13" i="32"/>
  <c r="C98" i="37"/>
  <c r="D49" i="3" l="1"/>
  <c r="F82" i="3"/>
  <c r="I86" i="3"/>
  <c r="F126" i="3"/>
  <c r="F60" i="19"/>
  <c r="G60" i="19"/>
  <c r="C2791" i="3"/>
  <c r="I126" i="3" l="1"/>
  <c r="I82" i="3"/>
  <c r="EX207" i="4" l="1"/>
  <c r="EX209" i="4" s="1"/>
  <c r="C1281" i="3"/>
  <c r="C1282" i="3" s="1"/>
  <c r="C1284" i="3" s="1"/>
  <c r="C1285" i="3" s="1"/>
  <c r="B1090" i="3" l="1"/>
  <c r="B1095" i="3" s="1"/>
  <c r="C1090" i="3"/>
  <c r="C1095" i="3" s="1"/>
  <c r="B1096" i="3" l="1"/>
  <c r="B1098" i="3" s="1"/>
  <c r="B1103" i="3" s="1"/>
  <c r="B1092" i="3"/>
  <c r="C1092" i="3"/>
  <c r="C1096" i="3"/>
  <c r="C1098" i="3" s="1"/>
  <c r="C1103" i="3" s="1"/>
  <c r="C1114" i="3" l="1"/>
  <c r="C1115" i="3" s="1"/>
  <c r="C1118" i="3" s="1"/>
  <c r="C1119" i="3" s="1"/>
  <c r="B1114" i="3"/>
  <c r="B1115" i="3" s="1"/>
  <c r="B1118" i="3" s="1"/>
  <c r="B1119" i="3" s="1"/>
  <c r="D1090" i="3"/>
  <c r="D1095" i="3" s="1"/>
  <c r="E1090" i="3"/>
  <c r="E1095" i="3" s="1"/>
  <c r="B1120" i="3" l="1"/>
  <c r="B1127" i="3"/>
  <c r="B1130" i="3"/>
  <c r="C1120" i="3"/>
  <c r="C1127" i="3"/>
  <c r="C1130" i="3"/>
  <c r="D1096" i="3"/>
  <c r="D1098" i="3" s="1"/>
  <c r="D1103" i="3" s="1"/>
  <c r="D1092" i="3"/>
  <c r="E1096" i="3"/>
  <c r="E1098" i="3" s="1"/>
  <c r="E1103" i="3" s="1"/>
  <c r="E1092" i="3"/>
  <c r="B1129" i="3" l="1"/>
  <c r="B1137" i="3"/>
  <c r="B1138" i="3" s="1"/>
  <c r="B1139" i="3" s="1"/>
  <c r="B1141" i="3" s="1"/>
  <c r="C1129" i="3"/>
  <c r="C1137" i="3"/>
  <c r="C1138" i="3" s="1"/>
  <c r="C1139" i="3" s="1"/>
  <c r="C1141" i="3" s="1"/>
  <c r="E1114" i="3"/>
  <c r="E1115" i="3" s="1"/>
  <c r="E1118" i="3" s="1"/>
  <c r="E1119" i="3" s="1"/>
  <c r="D1114" i="3"/>
  <c r="D1115" i="3" s="1"/>
  <c r="D1118" i="3" s="1"/>
  <c r="D1119" i="3" s="1"/>
  <c r="C1155" i="3"/>
  <c r="C1159" i="3" s="1"/>
  <c r="B1155" i="3"/>
  <c r="B1159" i="3" s="1"/>
  <c r="F1090" i="3"/>
  <c r="F1095" i="3" s="1"/>
  <c r="D1120" i="3" l="1"/>
  <c r="D1127" i="3"/>
  <c r="D1130" i="3"/>
  <c r="E1120" i="3"/>
  <c r="E1127" i="3"/>
  <c r="E1130" i="3"/>
  <c r="B1163" i="3"/>
  <c r="B1164" i="3" s="1"/>
  <c r="B1169" i="3" s="1"/>
  <c r="B1160" i="3"/>
  <c r="C1163" i="3"/>
  <c r="C1164" i="3" s="1"/>
  <c r="C1169" i="3" s="1"/>
  <c r="C1160" i="3"/>
  <c r="F1096" i="3"/>
  <c r="F1098" i="3" s="1"/>
  <c r="F1103" i="3" s="1"/>
  <c r="F1092" i="3"/>
  <c r="G1090" i="3"/>
  <c r="G1095" i="3" s="1"/>
  <c r="E1129" i="3" l="1"/>
  <c r="E1137" i="3"/>
  <c r="E1138" i="3" s="1"/>
  <c r="E1139" i="3" s="1"/>
  <c r="E1141" i="3" s="1"/>
  <c r="D1129" i="3"/>
  <c r="D1137" i="3"/>
  <c r="D1138" i="3" s="1"/>
  <c r="D1139" i="3" s="1"/>
  <c r="D1141" i="3" s="1"/>
  <c r="F1114" i="3"/>
  <c r="F1115" i="3" s="1"/>
  <c r="F1118" i="3" s="1"/>
  <c r="F1119" i="3" s="1"/>
  <c r="E1155" i="3"/>
  <c r="E1159" i="3" s="1"/>
  <c r="D1155" i="3"/>
  <c r="D1159" i="3" s="1"/>
  <c r="G1096" i="3"/>
  <c r="G1098" i="3" s="1"/>
  <c r="G1103" i="3" s="1"/>
  <c r="G1092" i="3"/>
  <c r="H1090" i="3"/>
  <c r="H1095" i="3" s="1"/>
  <c r="F1120" i="3" l="1"/>
  <c r="F1127" i="3"/>
  <c r="F1130" i="3"/>
  <c r="G1114" i="3"/>
  <c r="G1115" i="3" s="1"/>
  <c r="G1118" i="3" s="1"/>
  <c r="G1119" i="3" s="1"/>
  <c r="D1163" i="3"/>
  <c r="D1164" i="3" s="1"/>
  <c r="D1169" i="3" s="1"/>
  <c r="D1160" i="3"/>
  <c r="E1163" i="3"/>
  <c r="E1164" i="3" s="1"/>
  <c r="E1169" i="3" s="1"/>
  <c r="E1160" i="3"/>
  <c r="H1096" i="3"/>
  <c r="H1098" i="3" s="1"/>
  <c r="H1103" i="3" s="1"/>
  <c r="H1092" i="3"/>
  <c r="F1129" i="3" l="1"/>
  <c r="F1137" i="3"/>
  <c r="F1138" i="3" s="1"/>
  <c r="F1139" i="3" s="1"/>
  <c r="F1141" i="3" s="1"/>
  <c r="G1120" i="3"/>
  <c r="G1127" i="3"/>
  <c r="G1130" i="3"/>
  <c r="H1114" i="3"/>
  <c r="H1115" i="3" s="1"/>
  <c r="H1118" i="3" s="1"/>
  <c r="H1119" i="3" s="1"/>
  <c r="F1155" i="3"/>
  <c r="F1159" i="3" s="1"/>
  <c r="I1090" i="3"/>
  <c r="I1095" i="3" s="1"/>
  <c r="G1129" i="3" l="1"/>
  <c r="G1137" i="3"/>
  <c r="G1138" i="3" s="1"/>
  <c r="G1139" i="3" s="1"/>
  <c r="G1141" i="3" s="1"/>
  <c r="H1120" i="3"/>
  <c r="H1127" i="3"/>
  <c r="H1130" i="3"/>
  <c r="G1155" i="3"/>
  <c r="G1159" i="3" s="1"/>
  <c r="F1163" i="3"/>
  <c r="F1164" i="3" s="1"/>
  <c r="F1169" i="3" s="1"/>
  <c r="F1160" i="3"/>
  <c r="I1096" i="3"/>
  <c r="I1098" i="3" s="1"/>
  <c r="I1103" i="3" s="1"/>
  <c r="I1092" i="3"/>
  <c r="H1129" i="3" l="1"/>
  <c r="H1137" i="3"/>
  <c r="H1138" i="3" s="1"/>
  <c r="H1139" i="3" s="1"/>
  <c r="H1141" i="3" s="1"/>
  <c r="I1114" i="3"/>
  <c r="I1115" i="3" s="1"/>
  <c r="I1118" i="3" s="1"/>
  <c r="I1119" i="3" s="1"/>
  <c r="H1155" i="3"/>
  <c r="H1159" i="3" s="1"/>
  <c r="G1163" i="3"/>
  <c r="G1164" i="3" s="1"/>
  <c r="G1169" i="3" s="1"/>
  <c r="G1160" i="3"/>
  <c r="J1090" i="3"/>
  <c r="J1095" i="3" s="1"/>
  <c r="I1120" i="3" l="1"/>
  <c r="I1127" i="3"/>
  <c r="I1130" i="3"/>
  <c r="H1163" i="3"/>
  <c r="H1164" i="3" s="1"/>
  <c r="H1169" i="3" s="1"/>
  <c r="H1160" i="3"/>
  <c r="J1096" i="3"/>
  <c r="J1098" i="3" s="1"/>
  <c r="J1103" i="3" s="1"/>
  <c r="J1092" i="3"/>
  <c r="I1129" i="3" l="1"/>
  <c r="I1137" i="3"/>
  <c r="I1138" i="3" s="1"/>
  <c r="I1139" i="3" s="1"/>
  <c r="I1141" i="3" s="1"/>
  <c r="J1114" i="3"/>
  <c r="J1115" i="3" s="1"/>
  <c r="J1118" i="3" s="1"/>
  <c r="J1119" i="3" s="1"/>
  <c r="I1155" i="3"/>
  <c r="I1159" i="3" s="1"/>
  <c r="K1148" i="3"/>
  <c r="K1150" i="3" s="1"/>
  <c r="K1153" i="3" s="1"/>
  <c r="K1154" i="3" s="1"/>
  <c r="J1120" i="3" l="1"/>
  <c r="J1127" i="3"/>
  <c r="J1130" i="3"/>
  <c r="I1163" i="3"/>
  <c r="I1164" i="3" s="1"/>
  <c r="I1169" i="3" s="1"/>
  <c r="I1160" i="3"/>
  <c r="K1090" i="3"/>
  <c r="K1095" i="3" s="1"/>
  <c r="J1129" i="3" l="1"/>
  <c r="J1137" i="3"/>
  <c r="J1138" i="3" s="1"/>
  <c r="J1139" i="3" s="1"/>
  <c r="J1141" i="3" s="1"/>
  <c r="J1155" i="3"/>
  <c r="J1159" i="3" s="1"/>
  <c r="K1092" i="3"/>
  <c r="K1096" i="3"/>
  <c r="K1098" i="3" s="1"/>
  <c r="K1103" i="3" s="1"/>
  <c r="K1114" i="3" l="1"/>
  <c r="K1115" i="3" s="1"/>
  <c r="K1118" i="3" s="1"/>
  <c r="K1119" i="3" s="1"/>
  <c r="J1163" i="3"/>
  <c r="J1164" i="3" s="1"/>
  <c r="J1169" i="3" s="1"/>
  <c r="J1160" i="3"/>
  <c r="K1120" i="3" l="1"/>
  <c r="K1127" i="3"/>
  <c r="K1130" i="3"/>
  <c r="K1155" i="3"/>
  <c r="K1159" i="3" s="1"/>
  <c r="K1129" i="3" l="1"/>
  <c r="K1137" i="3"/>
  <c r="K1138" i="3" s="1"/>
  <c r="K1139" i="3" s="1"/>
  <c r="K1141" i="3" s="1"/>
  <c r="K1163" i="3"/>
  <c r="K1164" i="3" s="1"/>
  <c r="K1169" i="3" s="1"/>
  <c r="K1160" i="3"/>
  <c r="B763" i="3" l="1"/>
  <c r="C763" i="3" l="1"/>
  <c r="B761" i="3"/>
  <c r="B762" i="3" s="1"/>
  <c r="B765" i="3"/>
  <c r="D763" i="3" l="1"/>
  <c r="C765" i="3"/>
  <c r="C761" i="3"/>
  <c r="C762" i="3" s="1"/>
  <c r="D765" i="3" l="1"/>
  <c r="D761" i="3"/>
  <c r="D762" i="3" s="1"/>
  <c r="D768" i="3"/>
  <c r="D767" i="3" l="1"/>
  <c r="D769" i="3" s="1"/>
  <c r="C767" i="3"/>
  <c r="C769" i="3" s="1"/>
  <c r="B767" i="3"/>
  <c r="B769" i="3" s="1"/>
  <c r="B770" i="3" s="1"/>
  <c r="C770" i="3" l="1"/>
  <c r="D770" i="3" s="1"/>
  <c r="B797" i="3" l="1"/>
  <c r="B798" i="3" s="1"/>
  <c r="B800" i="3" s="1"/>
  <c r="B814" i="3" s="1"/>
  <c r="C814" i="3" s="1"/>
  <c r="B232" i="39" l="1"/>
  <c r="B788" i="3" l="1"/>
  <c r="C232" i="39"/>
  <c r="C837" i="3" l="1"/>
  <c r="B789" i="3"/>
  <c r="B791" i="3" s="1"/>
  <c r="B812" i="3" s="1"/>
  <c r="C812" i="3" s="1"/>
  <c r="C840" i="3" l="1"/>
  <c r="D840" i="3" s="1"/>
  <c r="C847" i="3" s="1"/>
  <c r="C839" i="3"/>
  <c r="D839" i="3" s="1"/>
  <c r="C846" i="3" s="1"/>
  <c r="D837" i="3"/>
  <c r="B845" i="3" l="1"/>
  <c r="B846" i="3" s="1"/>
  <c r="B847" i="3" s="1"/>
  <c r="B848" i="3" s="1"/>
  <c r="C880" i="3"/>
  <c r="C873" i="3"/>
  <c r="C874" i="3" l="1"/>
  <c r="D873" i="3"/>
  <c r="C881" i="3"/>
  <c r="D880" i="3"/>
  <c r="C859" i="3"/>
  <c r="B860" i="3" s="1"/>
  <c r="B861" i="3" s="1"/>
  <c r="B864" i="3" s="1"/>
  <c r="B849" i="3"/>
  <c r="B900" i="3" l="1"/>
  <c r="D900" i="3" s="1"/>
  <c r="D881" i="3"/>
  <c r="D874" i="3"/>
  <c r="B901" i="3" l="1"/>
  <c r="D901" i="3" s="1"/>
  <c r="G900" i="3"/>
  <c r="F900" i="3"/>
  <c r="E900" i="3"/>
  <c r="E901" i="3" l="1"/>
  <c r="F901" i="3"/>
  <c r="C838" i="3" l="1"/>
  <c r="D838" i="3" s="1"/>
  <c r="C849" i="3" l="1"/>
  <c r="B850" i="3" s="1"/>
  <c r="B851" i="3" s="1"/>
  <c r="B852" i="3" s="1"/>
  <c r="D841" i="3"/>
  <c r="C882" i="3"/>
  <c r="D882" i="3" s="1"/>
  <c r="C875" i="3"/>
  <c r="D875" i="3" s="1"/>
  <c r="B902" i="3" l="1"/>
  <c r="D902" i="3" s="1"/>
  <c r="F902" i="3" l="1"/>
  <c r="E902" i="3"/>
  <c r="EV19" i="2"/>
  <c r="EV23" i="2" s="1"/>
  <c r="EV434" i="10"/>
  <c r="EV435" i="10"/>
  <c r="EV67" i="2"/>
  <c r="EV71" i="2" s="1"/>
  <c r="EV79" i="2" s="1"/>
  <c r="EV133" i="10"/>
  <c r="EV72" i="2" l="1"/>
  <c r="EV219" i="2" s="1"/>
  <c r="EV220" i="2" s="1"/>
  <c r="EV43" i="4"/>
  <c r="EV46" i="4" s="1"/>
  <c r="EV48" i="4" s="1"/>
  <c r="EV30" i="2"/>
  <c r="EV357" i="2" l="1"/>
  <c r="EV358" i="2" s="1"/>
  <c r="EV73" i="2"/>
  <c r="EV217" i="2"/>
  <c r="FA219" i="2"/>
  <c r="EV103" i="10"/>
  <c r="EV1027" i="10" s="1"/>
  <c r="EV1028" i="10" s="1"/>
  <c r="EV199" i="4"/>
  <c r="B219" i="3"/>
  <c r="B221" i="3" s="1"/>
  <c r="B213" i="3"/>
  <c r="EV50" i="4"/>
  <c r="EV49" i="4"/>
  <c r="EV205" i="4"/>
  <c r="H1322" i="3"/>
  <c r="H1321" i="3" s="1"/>
  <c r="H1323" i="3" s="1"/>
  <c r="D1336" i="3"/>
  <c r="EV33" i="2"/>
  <c r="EV36" i="2"/>
  <c r="H1920" i="3" s="1"/>
  <c r="EV21" i="2"/>
  <c r="EV9" i="32"/>
  <c r="EV11" i="32" s="1"/>
  <c r="EV355" i="2"/>
  <c r="EV121" i="10" l="1"/>
  <c r="EV140" i="10"/>
  <c r="EV142" i="10" s="1"/>
  <c r="FA220" i="2"/>
  <c r="FA357" i="2"/>
  <c r="FA217" i="2"/>
  <c r="FA382" i="10" s="1"/>
  <c r="EV382" i="10"/>
  <c r="EV235" i="2"/>
  <c r="EV218" i="2"/>
  <c r="C213" i="3"/>
  <c r="B214" i="3"/>
  <c r="B215" i="3" s="1"/>
  <c r="EV20" i="2"/>
  <c r="EV24" i="2"/>
  <c r="D1342" i="3"/>
  <c r="D1391" i="3"/>
  <c r="EV356" i="2"/>
  <c r="EV372" i="2"/>
  <c r="EV430" i="10"/>
  <c r="EV237" i="2" l="1"/>
  <c r="EV238" i="2" s="1"/>
  <c r="EV236" i="2"/>
  <c r="EV241" i="2"/>
  <c r="EV239" i="2"/>
  <c r="EV240" i="2" s="1"/>
  <c r="EV222" i="2"/>
  <c r="EV385" i="10"/>
  <c r="FA358" i="2"/>
  <c r="FA355" i="2"/>
  <c r="FA430" i="10" s="1"/>
  <c r="FA218" i="2"/>
  <c r="D213" i="3"/>
  <c r="D214" i="3" s="1"/>
  <c r="D215" i="3" s="1"/>
  <c r="C214" i="3"/>
  <c r="C215" i="3" s="1"/>
  <c r="EV374" i="2"/>
  <c r="EV375" i="2" s="1"/>
  <c r="EV376" i="2"/>
  <c r="EV377" i="2" s="1"/>
  <c r="EV360" i="2"/>
  <c r="EV373" i="2"/>
  <c r="EV378" i="2"/>
  <c r="EV433" i="10"/>
  <c r="D1405" i="3"/>
  <c r="FA483" i="2" l="1"/>
  <c r="FA133" i="10" s="1"/>
  <c r="FA67" i="2"/>
  <c r="FA484" i="2"/>
  <c r="FA485" i="2"/>
  <c r="FA486" i="2" s="1"/>
  <c r="FA356" i="2"/>
  <c r="EV223" i="2"/>
  <c r="EV224" i="2"/>
  <c r="EV227" i="2"/>
  <c r="EV228" i="2" s="1"/>
  <c r="EV383" i="10"/>
  <c r="D2725" i="3"/>
  <c r="D2737" i="3" s="1"/>
  <c r="D2757" i="3" s="1"/>
  <c r="FD20" i="2"/>
  <c r="D1407" i="3"/>
  <c r="EV361" i="2"/>
  <c r="EV362" i="2"/>
  <c r="EV364" i="2"/>
  <c r="EV365" i="2" s="1"/>
  <c r="EV431" i="10"/>
  <c r="EV498" i="2"/>
  <c r="EV363" i="2" l="1"/>
  <c r="EV225" i="2"/>
  <c r="EV226" i="2"/>
  <c r="FA43" i="4"/>
  <c r="FA57" i="2"/>
  <c r="FA72" i="2"/>
  <c r="FA73" i="2" s="1"/>
  <c r="E2725" i="3"/>
  <c r="E2737" i="3" s="1"/>
  <c r="E2757" i="3" s="1"/>
  <c r="FE20" i="2"/>
  <c r="EV106" i="10"/>
  <c r="D1408" i="3"/>
  <c r="EV502" i="2"/>
  <c r="EV503" i="2" s="1"/>
  <c r="EV499" i="2"/>
  <c r="EV510" i="2"/>
  <c r="EV500" i="2"/>
  <c r="EV501" i="2" s="1"/>
  <c r="FA57" i="4" l="1"/>
  <c r="EV120" i="10"/>
  <c r="EV107" i="10"/>
  <c r="F2725" i="3"/>
  <c r="F2737" i="3" s="1"/>
  <c r="F2757" i="3" s="1"/>
  <c r="FF20" i="2"/>
  <c r="D1410" i="3"/>
  <c r="D1411" i="3" s="1"/>
  <c r="D1414" i="3" s="1"/>
  <c r="D1415" i="3" s="1"/>
  <c r="EV511" i="2"/>
  <c r="EV512" i="2"/>
  <c r="EV513" i="2" s="1"/>
  <c r="EV514" i="2"/>
  <c r="EV515" i="2" s="1"/>
  <c r="EV516" i="2"/>
  <c r="EV518" i="2"/>
  <c r="EV1033" i="10" l="1"/>
  <c r="EV1032" i="10" s="1"/>
  <c r="G2725" i="3"/>
  <c r="G2737" i="3" s="1"/>
  <c r="G2757" i="3" s="1"/>
  <c r="FG20" i="2"/>
  <c r="FH20" i="2" s="1"/>
  <c r="FI20" i="2" s="1"/>
  <c r="EV522" i="2"/>
  <c r="EV523" i="2" s="1"/>
  <c r="EV519" i="2"/>
  <c r="EV524" i="2"/>
  <c r="EV520" i="2"/>
  <c r="EV521" i="2" s="1"/>
  <c r="EV528" i="2"/>
  <c r="EW18" i="2" l="1"/>
  <c r="EV109" i="10"/>
  <c r="EV529" i="2"/>
  <c r="EV530" i="2"/>
  <c r="EV13" i="32"/>
  <c r="EV15" i="32" s="1"/>
  <c r="EW22" i="2" l="1"/>
  <c r="EW386" i="10"/>
  <c r="EX243" i="2"/>
  <c r="EV535" i="2"/>
  <c r="EV533" i="2"/>
  <c r="EV534" i="2"/>
  <c r="EW13" i="32"/>
  <c r="EX139" i="4"/>
  <c r="EV113" i="10"/>
  <c r="EW387" i="10" l="1"/>
  <c r="EX251" i="2"/>
  <c r="EX18" i="2"/>
  <c r="EX245" i="2"/>
  <c r="EX246" i="2" s="1"/>
  <c r="EX244" i="2"/>
  <c r="EX249" i="2"/>
  <c r="EX386" i="10"/>
  <c r="EX247" i="2"/>
  <c r="EX248" i="2" s="1"/>
  <c r="EX70" i="2"/>
  <c r="EV124" i="4"/>
  <c r="EW123" i="4" s="1"/>
  <c r="EW124" i="4" s="1"/>
  <c r="EX22" i="2" l="1"/>
  <c r="C2723" i="3"/>
  <c r="EX387" i="10"/>
  <c r="EX252" i="2"/>
  <c r="EX253" i="2"/>
  <c r="EX27" i="2"/>
  <c r="EX69" i="2"/>
  <c r="EX78" i="2" s="1"/>
  <c r="EX74" i="2"/>
  <c r="EX75" i="2" s="1"/>
  <c r="EX80" i="2"/>
  <c r="EV1037" i="10"/>
  <c r="EV122" i="10"/>
  <c r="EV1029" i="10" s="1"/>
  <c r="EX28" i="2" l="1"/>
  <c r="EX45" i="4"/>
  <c r="EX59" i="2"/>
  <c r="EX137" i="10" s="1"/>
  <c r="EW137" i="10"/>
  <c r="EX31" i="2"/>
  <c r="C2749" i="3"/>
  <c r="EX34" i="2"/>
  <c r="EV114" i="10"/>
  <c r="EV123" i="10" s="1"/>
  <c r="EX60" i="2" l="1"/>
  <c r="EX138" i="10" s="1"/>
  <c r="EW138" i="10"/>
  <c r="EX58" i="4"/>
  <c r="C2750" i="3"/>
  <c r="C2752" i="3" s="1"/>
  <c r="EX32" i="2"/>
  <c r="EX35" i="2"/>
  <c r="EV116" i="10"/>
  <c r="C2780" i="3" l="1"/>
  <c r="EX62" i="2"/>
  <c r="B655" i="3"/>
  <c r="B536" i="3"/>
  <c r="EV200" i="4"/>
  <c r="EV126" i="4" s="1"/>
  <c r="EV16" i="32"/>
  <c r="EV117" i="10"/>
  <c r="EV1021" i="10" s="1"/>
  <c r="EV1030" i="10" s="1"/>
  <c r="EX63" i="2" l="1"/>
  <c r="EX64" i="2"/>
  <c r="EV17" i="32"/>
  <c r="B865" i="3"/>
  <c r="B866" i="3" s="1"/>
  <c r="B868" i="3" s="1"/>
  <c r="E872" i="3"/>
  <c r="E873" i="3"/>
  <c r="E874" i="3"/>
  <c r="E875" i="3"/>
  <c r="E879" i="3"/>
  <c r="B558" i="3"/>
  <c r="B559" i="3" s="1"/>
  <c r="B561" i="3" s="1"/>
  <c r="E881" i="3"/>
  <c r="E880" i="3"/>
  <c r="E882" i="3"/>
  <c r="B537" i="3"/>
  <c r="D918" i="3"/>
  <c r="F540" i="3"/>
  <c r="F541" i="3" s="1"/>
  <c r="F543" i="3" s="1"/>
  <c r="B676" i="3"/>
  <c r="C655" i="3"/>
  <c r="B656" i="3"/>
  <c r="B658" i="3" s="1"/>
  <c r="B659" i="3" s="1"/>
  <c r="C928" i="3" l="1"/>
  <c r="B928" i="3" s="1"/>
  <c r="B929" i="3" s="1"/>
  <c r="D919" i="3"/>
  <c r="D921" i="3" s="1"/>
  <c r="E918" i="3"/>
  <c r="B541" i="3"/>
  <c r="B539" i="3"/>
  <c r="B565" i="3"/>
  <c r="B567" i="3" s="1"/>
  <c r="B569" i="3" s="1"/>
  <c r="B563" i="3"/>
  <c r="B675" i="3"/>
  <c r="C676" i="3"/>
  <c r="D655" i="3"/>
  <c r="C656" i="3"/>
  <c r="C658" i="3" s="1"/>
  <c r="C659" i="3" s="1"/>
  <c r="E919" i="3" l="1"/>
  <c r="E921" i="3" s="1"/>
  <c r="C949" i="3"/>
  <c r="B949" i="3" s="1"/>
  <c r="B950" i="3" s="1"/>
  <c r="D676" i="3"/>
  <c r="C677" i="3"/>
  <c r="C679" i="3" s="1"/>
  <c r="B543" i="3"/>
  <c r="B545" i="3" s="1"/>
  <c r="B551" i="3"/>
  <c r="C550" i="3" s="1"/>
  <c r="B669" i="3"/>
  <c r="B668" i="3" s="1"/>
  <c r="B682" i="3" s="1"/>
  <c r="C682" i="3"/>
  <c r="D656" i="3"/>
  <c r="D658" i="3" s="1"/>
  <c r="D659" i="3" s="1"/>
  <c r="E655" i="3"/>
  <c r="B607" i="3" l="1"/>
  <c r="C2403" i="3"/>
  <c r="E676" i="3"/>
  <c r="E677" i="3" s="1"/>
  <c r="E679" i="3" s="1"/>
  <c r="D677" i="3"/>
  <c r="D679" i="3" s="1"/>
  <c r="F655" i="3"/>
  <c r="E656" i="3"/>
  <c r="E658" i="3" s="1"/>
  <c r="E659" i="3" s="1"/>
  <c r="C2405" i="3" l="1"/>
  <c r="C2411" i="3" s="1"/>
  <c r="B2428" i="3" s="1"/>
  <c r="C2407" i="3"/>
  <c r="B2427" i="3" s="1"/>
  <c r="B2419" i="3"/>
  <c r="B2421" i="3" s="1"/>
  <c r="C2412" i="3" s="1"/>
  <c r="B2429" i="3" s="1"/>
  <c r="F656" i="3"/>
  <c r="F658" i="3" s="1"/>
  <c r="F659" i="3" s="1"/>
  <c r="G655" i="3"/>
  <c r="G656" i="3" l="1"/>
  <c r="G658" i="3" s="1"/>
  <c r="G659" i="3" s="1"/>
  <c r="H655" i="3"/>
  <c r="H656" i="3" s="1"/>
  <c r="H658" i="3" s="1"/>
  <c r="H659" i="3" s="1"/>
  <c r="J54" i="31" l="1"/>
  <c r="K52" i="31" l="1"/>
  <c r="J55" i="31"/>
  <c r="FG204" i="4" s="1"/>
  <c r="FG208" i="4" s="1"/>
  <c r="K50" i="31" l="1"/>
  <c r="FC12" i="32"/>
  <c r="FG209" i="4"/>
  <c r="FG138" i="4" l="1"/>
  <c r="FG207" i="4"/>
  <c r="FG73" i="4" s="1"/>
  <c r="FG105" i="10" l="1"/>
  <c r="FG1036" i="10"/>
  <c r="FG87" i="4" l="1"/>
  <c r="FG88" i="4" l="1"/>
  <c r="FH89" i="4" s="1"/>
  <c r="FG91" i="4" l="1"/>
  <c r="FG93" i="4" s="1"/>
  <c r="FG80" i="4" s="1"/>
  <c r="FH85" i="4"/>
  <c r="FG133" i="4" l="1"/>
  <c r="FG148" i="4"/>
  <c r="J201" i="6"/>
  <c r="FG110" i="10"/>
  <c r="FG1020" i="10" s="1"/>
  <c r="J201" i="41"/>
  <c r="FG196" i="4" l="1"/>
  <c r="FG202" i="4" s="1"/>
  <c r="FG203" i="4" l="1"/>
  <c r="FG212" i="4" s="1"/>
  <c r="FG218" i="4"/>
  <c r="FG220" i="4" s="1"/>
  <c r="FG221" i="4" s="1"/>
  <c r="FG211" i="4"/>
  <c r="FG115" i="10"/>
  <c r="FG213" i="4" l="1"/>
  <c r="FG104" i="4" s="1"/>
  <c r="FG137" i="4" s="1"/>
  <c r="Q3120" i="3" l="1"/>
  <c r="Q3116" i="3" l="1"/>
  <c r="Q3134" i="3"/>
  <c r="Q3119" i="3"/>
  <c r="F1448" i="3" l="1"/>
  <c r="Q3115" i="3"/>
  <c r="Q3128" i="3"/>
  <c r="Q3129" i="3" s="1"/>
  <c r="Q3123" i="3"/>
  <c r="Q3124" i="3" s="1"/>
  <c r="Q3133" i="3"/>
  <c r="G1448" i="3" l="1"/>
  <c r="H1448" i="3"/>
  <c r="F1461" i="3" l="1"/>
  <c r="M273" i="3"/>
  <c r="M274" i="3" s="1"/>
  <c r="G1461" i="3" l="1"/>
  <c r="H1461" i="3"/>
  <c r="N273" i="3" l="1"/>
  <c r="N274" i="3" s="1"/>
  <c r="O273" i="3" l="1"/>
  <c r="O274" i="3" s="1"/>
  <c r="P273" i="3" l="1"/>
  <c r="P274" i="3" s="1"/>
  <c r="Q273" i="3" l="1"/>
  <c r="Q274" i="3" s="1"/>
  <c r="R273" i="3" l="1"/>
  <c r="R274" i="3" s="1"/>
  <c r="S273" i="3" l="1"/>
  <c r="S274" i="3" s="1"/>
  <c r="T273" i="3" l="1"/>
  <c r="T274" i="3" s="1"/>
  <c r="B964" i="3" l="1"/>
  <c r="B965" i="3" l="1"/>
  <c r="B966" i="3" s="1"/>
  <c r="B967" i="3"/>
  <c r="F1450" i="3" l="1"/>
  <c r="B968" i="3"/>
  <c r="C972" i="3" s="1"/>
  <c r="G1450" i="3" l="1"/>
  <c r="H1450" i="3"/>
  <c r="F1449" i="3"/>
  <c r="H1449" i="3" l="1"/>
  <c r="G1449" i="3"/>
  <c r="B576" i="3" l="1"/>
  <c r="B578" i="3" s="1"/>
  <c r="B587" i="3" l="1"/>
  <c r="B588" i="3" s="1"/>
  <c r="B579" i="3"/>
  <c r="B580" i="3" s="1"/>
  <c r="B589" i="3" l="1"/>
  <c r="C588" i="3" s="1"/>
  <c r="B581" i="3" l="1"/>
  <c r="B582" i="3" s="1"/>
  <c r="B594" i="3" s="1"/>
  <c r="B683" i="3" l="1"/>
  <c r="B595" i="3"/>
  <c r="B596" i="3" s="1"/>
  <c r="B597" i="3" s="1"/>
  <c r="B600" i="3"/>
  <c r="B601" i="3" s="1"/>
  <c r="B602" i="3" s="1"/>
  <c r="B684" i="3" l="1"/>
  <c r="D2402" i="3"/>
  <c r="D2403" i="3" s="1"/>
  <c r="D2405" i="3" l="1"/>
  <c r="C2428" i="3" s="1"/>
  <c r="D2407" i="3"/>
  <c r="C2427" i="3" s="1"/>
  <c r="C2419" i="3"/>
  <c r="C2421" i="3" s="1"/>
  <c r="C2429" i="3" s="1"/>
  <c r="C982" i="3" l="1"/>
  <c r="C992" i="3" l="1"/>
  <c r="C993" i="3" s="1"/>
  <c r="D993" i="3" s="1"/>
  <c r="C983" i="3"/>
  <c r="D983" i="3" s="1"/>
  <c r="D982" i="3" l="1"/>
  <c r="D992" i="3"/>
  <c r="EY137" i="4" l="1"/>
  <c r="EZ137" i="4"/>
  <c r="FA137" i="4"/>
  <c r="FB137" i="4"/>
  <c r="FC137" i="4" l="1"/>
  <c r="EW19" i="2"/>
  <c r="EX19" i="2" s="1"/>
  <c r="EX380" i="2"/>
  <c r="EX382" i="2" s="1"/>
  <c r="EX383" i="2" s="1"/>
  <c r="EX388" i="2"/>
  <c r="EX390" i="2" s="1"/>
  <c r="EW434" i="10"/>
  <c r="EW435" i="10"/>
  <c r="EX435" i="10" l="1"/>
  <c r="EX434" i="10"/>
  <c r="EX389" i="2"/>
  <c r="EX384" i="2"/>
  <c r="EX385" i="2" s="1"/>
  <c r="EX381" i="2"/>
  <c r="EW23" i="2"/>
  <c r="C2724" i="3"/>
  <c r="EX23" i="2"/>
  <c r="EX386" i="2"/>
  <c r="EW67" i="2"/>
  <c r="EX67" i="2" s="1"/>
  <c r="EX72" i="2" s="1"/>
  <c r="EX483" i="2"/>
  <c r="C2729" i="3" s="1"/>
  <c r="C2742" i="3" s="1"/>
  <c r="EX57" i="4"/>
  <c r="EW133" i="10"/>
  <c r="F1463" i="3" l="1"/>
  <c r="EX485" i="2"/>
  <c r="EX484" i="2"/>
  <c r="EW72" i="2"/>
  <c r="EW73" i="2" s="1"/>
  <c r="EX486" i="2"/>
  <c r="EX133" i="10"/>
  <c r="EW71" i="2"/>
  <c r="EX71" i="2" s="1"/>
  <c r="EW43" i="4"/>
  <c r="EX73" i="2"/>
  <c r="EX357" i="2"/>
  <c r="EX358" i="2" s="1"/>
  <c r="EX219" i="2"/>
  <c r="EX220" i="2" s="1"/>
  <c r="EX59" i="4"/>
  <c r="G1463" i="3" l="1"/>
  <c r="H1463" i="3"/>
  <c r="F1462" i="3"/>
  <c r="EW219" i="2"/>
  <c r="EW357" i="2"/>
  <c r="EW358" i="2" s="1"/>
  <c r="EW30" i="2"/>
  <c r="C74" i="37"/>
  <c r="C75" i="37" s="1"/>
  <c r="E57" i="19"/>
  <c r="EW79" i="2"/>
  <c r="EW46" i="4"/>
  <c r="EX43" i="4"/>
  <c r="I1322" i="3"/>
  <c r="I1321" i="3" s="1"/>
  <c r="I1323" i="3" s="1"/>
  <c r="E1336" i="3"/>
  <c r="EX61" i="4"/>
  <c r="EX136" i="4"/>
  <c r="EX30" i="2"/>
  <c r="EX79" i="2"/>
  <c r="EW217" i="2"/>
  <c r="EW220" i="2"/>
  <c r="FB219" i="2"/>
  <c r="EW36" i="2" l="1"/>
  <c r="I1920" i="3" s="1"/>
  <c r="G1462" i="3"/>
  <c r="H1462" i="3"/>
  <c r="EW355" i="2"/>
  <c r="EW21" i="2"/>
  <c r="EW24" i="2" s="1"/>
  <c r="EW9" i="32"/>
  <c r="EW11" i="32" s="1"/>
  <c r="EW15" i="32" s="1"/>
  <c r="EW33" i="2"/>
  <c r="F57" i="19"/>
  <c r="G57" i="19"/>
  <c r="EW48" i="4"/>
  <c r="EX46" i="4"/>
  <c r="EX48" i="4" s="1"/>
  <c r="EX69" i="4"/>
  <c r="B625" i="3"/>
  <c r="EX33" i="2"/>
  <c r="B456" i="3"/>
  <c r="EX36" i="2"/>
  <c r="E75" i="19" s="1"/>
  <c r="C1831" i="3"/>
  <c r="G4890" i="3"/>
  <c r="G4959" i="3"/>
  <c r="EX9" i="32"/>
  <c r="EX11" i="32" s="1"/>
  <c r="EX15" i="32" s="1"/>
  <c r="C82" i="37"/>
  <c r="EW218" i="2"/>
  <c r="EX217" i="2"/>
  <c r="EW235" i="2"/>
  <c r="EW382" i="10"/>
  <c r="E1337" i="3"/>
  <c r="E1342" i="3"/>
  <c r="E1391" i="3"/>
  <c r="F149" i="3"/>
  <c r="EX63" i="4"/>
  <c r="B107" i="6"/>
  <c r="EX62" i="4"/>
  <c r="C107" i="41"/>
  <c r="EW356" i="2"/>
  <c r="EX355" i="2"/>
  <c r="EW430" i="10"/>
  <c r="EW372" i="2"/>
  <c r="FB217" i="2"/>
  <c r="FB220" i="2"/>
  <c r="FB357" i="2"/>
  <c r="EW20" i="2"/>
  <c r="EX20" i="2" s="1"/>
  <c r="I57" i="19" l="1"/>
  <c r="J57" i="19"/>
  <c r="D61" i="42"/>
  <c r="D72" i="42"/>
  <c r="EL68" i="18"/>
  <c r="G5012" i="3"/>
  <c r="D2952" i="3"/>
  <c r="EX50" i="4"/>
  <c r="E84" i="41"/>
  <c r="E75" i="41" s="1"/>
  <c r="F237" i="24"/>
  <c r="C45" i="3"/>
  <c r="C21" i="6"/>
  <c r="EX49" i="4"/>
  <c r="EX103" i="10"/>
  <c r="E84" i="6"/>
  <c r="E75" i="6" s="1"/>
  <c r="E211" i="41"/>
  <c r="C23" i="6"/>
  <c r="F175" i="3"/>
  <c r="F174" i="3" s="1"/>
  <c r="F177" i="3" s="1"/>
  <c r="F179" i="3" s="1"/>
  <c r="F181" i="3" s="1"/>
  <c r="E211" i="6"/>
  <c r="C26" i="41"/>
  <c r="EX205" i="4"/>
  <c r="C26" i="6"/>
  <c r="C21" i="41"/>
  <c r="E95" i="41"/>
  <c r="F32" i="11"/>
  <c r="EX199" i="4"/>
  <c r="C2797" i="3" s="1"/>
  <c r="C23" i="41"/>
  <c r="E95" i="6"/>
  <c r="EW49" i="4"/>
  <c r="EW50" i="4"/>
  <c r="EW205" i="4"/>
  <c r="EW103" i="10"/>
  <c r="EW199" i="4"/>
  <c r="E1405" i="3"/>
  <c r="E1392" i="3"/>
  <c r="B626" i="3"/>
  <c r="C625" i="3"/>
  <c r="EW360" i="2"/>
  <c r="EW374" i="2"/>
  <c r="EW375" i="2" s="1"/>
  <c r="EW373" i="2"/>
  <c r="EW378" i="2"/>
  <c r="EW376" i="2"/>
  <c r="EW377" i="2" s="1"/>
  <c r="EW433" i="10"/>
  <c r="EX372" i="2"/>
  <c r="B458" i="3"/>
  <c r="B479" i="3"/>
  <c r="B481" i="3" s="1"/>
  <c r="B466" i="3"/>
  <c r="B468" i="3" s="1"/>
  <c r="C85" i="37"/>
  <c r="C83" i="37"/>
  <c r="C84" i="37"/>
  <c r="C95" i="37"/>
  <c r="C79" i="37"/>
  <c r="C91" i="37"/>
  <c r="C92" i="37" s="1"/>
  <c r="C2725" i="3"/>
  <c r="EX21" i="2"/>
  <c r="E43" i="19"/>
  <c r="C119" i="41"/>
  <c r="C109" i="41"/>
  <c r="C120" i="41"/>
  <c r="C106" i="41"/>
  <c r="B267" i="41"/>
  <c r="B267" i="6"/>
  <c r="B106" i="6"/>
  <c r="B109" i="6"/>
  <c r="F158" i="3"/>
  <c r="F162" i="3" s="1"/>
  <c r="F152" i="3"/>
  <c r="F157" i="3" s="1"/>
  <c r="F161" i="3" s="1"/>
  <c r="FB358" i="2"/>
  <c r="FB355" i="2"/>
  <c r="FB483" i="2" s="1"/>
  <c r="E1343" i="3"/>
  <c r="EW222" i="2"/>
  <c r="EW239" i="2"/>
  <c r="EW240" i="2" s="1"/>
  <c r="EW237" i="2"/>
  <c r="EW238" i="2" s="1"/>
  <c r="EX235" i="2"/>
  <c r="EW241" i="2"/>
  <c r="EW385" i="10"/>
  <c r="EW236" i="2"/>
  <c r="FB218" i="2"/>
  <c r="FB382" i="10"/>
  <c r="FC217" i="2"/>
  <c r="EX218" i="2"/>
  <c r="EX382" i="10"/>
  <c r="C22" i="6"/>
  <c r="C22" i="41"/>
  <c r="EX74" i="4"/>
  <c r="EW106" i="10"/>
  <c r="EX356" i="2"/>
  <c r="EX430" i="10"/>
  <c r="G4960" i="3"/>
  <c r="G4971" i="3"/>
  <c r="G4967" i="3"/>
  <c r="B177" i="39" l="1"/>
  <c r="B956" i="3"/>
  <c r="E213" i="41"/>
  <c r="E223" i="41"/>
  <c r="E214" i="41"/>
  <c r="E93" i="6"/>
  <c r="E77" i="6"/>
  <c r="E86" i="6" s="1"/>
  <c r="EX1027" i="10"/>
  <c r="EX1028" i="10" s="1"/>
  <c r="EX140" i="10"/>
  <c r="EX142" i="10" s="1"/>
  <c r="EX121" i="10"/>
  <c r="E54" i="19"/>
  <c r="C177" i="39"/>
  <c r="B178" i="39"/>
  <c r="B213" i="39" s="1"/>
  <c r="B215" i="39" s="1"/>
  <c r="D45" i="3"/>
  <c r="B55" i="3"/>
  <c r="F234" i="24"/>
  <c r="F238" i="24"/>
  <c r="F239" i="24"/>
  <c r="E93" i="41"/>
  <c r="E77" i="41"/>
  <c r="E86" i="41" s="1"/>
  <c r="D2954" i="3"/>
  <c r="D2947" i="3"/>
  <c r="D2949" i="3" s="1"/>
  <c r="G5014" i="3"/>
  <c r="G5015" i="3"/>
  <c r="G5016" i="3"/>
  <c r="E213" i="6"/>
  <c r="E214" i="6"/>
  <c r="E223" i="6"/>
  <c r="EW1027" i="10"/>
  <c r="EW1028" i="10" s="1"/>
  <c r="EW140" i="10"/>
  <c r="EW142" i="10" s="1"/>
  <c r="EW121" i="10"/>
  <c r="F184" i="3"/>
  <c r="F190" i="3" s="1"/>
  <c r="F205" i="3" s="1"/>
  <c r="H186" i="3"/>
  <c r="G185" i="3"/>
  <c r="F192" i="3"/>
  <c r="F195" i="3" s="1"/>
  <c r="F201" i="3" s="1"/>
  <c r="F204" i="3" s="1"/>
  <c r="D62" i="42"/>
  <c r="D52" i="42"/>
  <c r="F163" i="3"/>
  <c r="EW498" i="2"/>
  <c r="EX222" i="2"/>
  <c r="EW227" i="2"/>
  <c r="EW228" i="2" s="1"/>
  <c r="EW223" i="2"/>
  <c r="EW383" i="10"/>
  <c r="EW224" i="2"/>
  <c r="F75" i="3"/>
  <c r="EX106" i="10"/>
  <c r="EX162" i="4"/>
  <c r="C2737" i="3"/>
  <c r="C2757" i="3" s="1"/>
  <c r="C2726" i="3"/>
  <c r="C110" i="41"/>
  <c r="C111" i="41" s="1"/>
  <c r="C114" i="41" s="1"/>
  <c r="C125" i="41" s="1"/>
  <c r="C127" i="41" s="1"/>
  <c r="FC483" i="2"/>
  <c r="FB485" i="2"/>
  <c r="FB486" i="2" s="1"/>
  <c r="FB133" i="10"/>
  <c r="FB67" i="2"/>
  <c r="FB484" i="2"/>
  <c r="C78" i="37"/>
  <c r="C80" i="37"/>
  <c r="B110" i="6"/>
  <c r="EX164" i="4"/>
  <c r="EX163" i="4"/>
  <c r="C626" i="3"/>
  <c r="D625" i="3"/>
  <c r="EX152" i="4"/>
  <c r="EX154" i="4" s="1"/>
  <c r="EX360" i="2"/>
  <c r="EW431" i="10"/>
  <c r="EW361" i="2"/>
  <c r="EW364" i="2"/>
  <c r="EW365" i="2" s="1"/>
  <c r="EW362" i="2"/>
  <c r="FB356" i="2"/>
  <c r="FC355" i="2"/>
  <c r="FB430" i="10"/>
  <c r="EX24" i="2"/>
  <c r="E44" i="19"/>
  <c r="FC218" i="2"/>
  <c r="FC382" i="10"/>
  <c r="EW120" i="10"/>
  <c r="EX76" i="4"/>
  <c r="EX120" i="10" s="1"/>
  <c r="EW107" i="10"/>
  <c r="EX75" i="4"/>
  <c r="EX239" i="2"/>
  <c r="EX240" i="2" s="1"/>
  <c r="EX241" i="2"/>
  <c r="EX385" i="10"/>
  <c r="EX236" i="2"/>
  <c r="EX237" i="2"/>
  <c r="EX238" i="2" s="1"/>
  <c r="EX374" i="2"/>
  <c r="EX375" i="2" s="1"/>
  <c r="EX373" i="2"/>
  <c r="EX378" i="2"/>
  <c r="EX376" i="2"/>
  <c r="EX377" i="2" s="1"/>
  <c r="EX433" i="10"/>
  <c r="E1407" i="3"/>
  <c r="E1406" i="3"/>
  <c r="E88" i="41" l="1"/>
  <c r="E91" i="41" s="1"/>
  <c r="E85" i="41"/>
  <c r="E94" i="41"/>
  <c r="E97" i="41" s="1"/>
  <c r="E85" i="6"/>
  <c r="E88" i="6"/>
  <c r="E91" i="6" s="1"/>
  <c r="E225" i="6"/>
  <c r="E226" i="6"/>
  <c r="F235" i="24"/>
  <c r="F236" i="24"/>
  <c r="E226" i="41"/>
  <c r="E225" i="41"/>
  <c r="G5017" i="3"/>
  <c r="G5018" i="3"/>
  <c r="D177" i="39"/>
  <c r="C178" i="39"/>
  <c r="C213" i="39" s="1"/>
  <c r="C215" i="39" s="1"/>
  <c r="D70" i="42"/>
  <c r="D54" i="42"/>
  <c r="E94" i="6"/>
  <c r="E97" i="6" s="1"/>
  <c r="F54" i="19"/>
  <c r="G54" i="19"/>
  <c r="F206" i="3"/>
  <c r="EX100" i="4"/>
  <c r="EX187" i="4"/>
  <c r="F100" i="3"/>
  <c r="I75" i="3"/>
  <c r="EW225" i="2"/>
  <c r="EW226" i="2"/>
  <c r="F85" i="3"/>
  <c r="EX107" i="10"/>
  <c r="EX167" i="4"/>
  <c r="EX168" i="4" s="1"/>
  <c r="EX77" i="4"/>
  <c r="FC356" i="2"/>
  <c r="FC430" i="10"/>
  <c r="B111" i="6"/>
  <c r="EX364" i="2"/>
  <c r="EX365" i="2" s="1"/>
  <c r="EX431" i="10"/>
  <c r="EX361" i="2"/>
  <c r="EX362" i="2"/>
  <c r="EX363" i="2" s="1"/>
  <c r="FB57" i="2"/>
  <c r="FB43" i="4"/>
  <c r="FC67" i="2"/>
  <c r="FC72" i="2" s="1"/>
  <c r="FB72" i="2"/>
  <c r="FB73" i="2" s="1"/>
  <c r="D626" i="3"/>
  <c r="E625" i="3"/>
  <c r="D2729" i="3"/>
  <c r="FC485" i="2"/>
  <c r="FC133" i="10"/>
  <c r="FC484" i="2"/>
  <c r="EX227" i="2"/>
  <c r="EX228" i="2" s="1"/>
  <c r="EX223" i="2"/>
  <c r="EX383" i="10"/>
  <c r="EX224" i="2"/>
  <c r="EW363" i="2"/>
  <c r="EY363" i="2" s="1"/>
  <c r="EZ363" i="2" s="1"/>
  <c r="FA363" i="2" s="1"/>
  <c r="FB363" i="2" s="1"/>
  <c r="EX79" i="4"/>
  <c r="EW1033" i="10"/>
  <c r="EW1032" i="10" s="1"/>
  <c r="EX159" i="4"/>
  <c r="E1408" i="3"/>
  <c r="EW510" i="2"/>
  <c r="EW500" i="2"/>
  <c r="EW501" i="2" s="1"/>
  <c r="EW502" i="2"/>
  <c r="EW503" i="2" s="1"/>
  <c r="EW499" i="2"/>
  <c r="EX498" i="2"/>
  <c r="E177" i="39" l="1"/>
  <c r="D178" i="39"/>
  <c r="D213" i="39" s="1"/>
  <c r="D215" i="39" s="1"/>
  <c r="D71" i="42"/>
  <c r="D74" i="42" s="1"/>
  <c r="F80" i="3"/>
  <c r="I85" i="3"/>
  <c r="I87" i="3" s="1"/>
  <c r="F110" i="3"/>
  <c r="F87" i="3"/>
  <c r="E1410" i="3"/>
  <c r="E1411" i="3" s="1"/>
  <c r="E1414" i="3" s="1"/>
  <c r="E1415" i="3" s="1"/>
  <c r="G5090" i="3"/>
  <c r="G5089" i="3" s="1"/>
  <c r="G5091" i="3" s="1"/>
  <c r="G5095" i="3" s="1"/>
  <c r="EX108" i="10"/>
  <c r="EY362" i="2"/>
  <c r="EY360" i="2" s="1"/>
  <c r="FC73" i="2"/>
  <c r="FC357" i="2"/>
  <c r="FC358" i="2" s="1"/>
  <c r="FC219" i="2"/>
  <c r="EX226" i="2"/>
  <c r="EY226" i="2" s="1"/>
  <c r="C2735" i="3"/>
  <c r="C2755" i="3" s="1"/>
  <c r="EW512" i="2"/>
  <c r="EW513" i="2" s="1"/>
  <c r="EW511" i="2"/>
  <c r="EW514" i="2"/>
  <c r="EW515" i="2" s="1"/>
  <c r="EW516" i="2"/>
  <c r="EW518" i="2"/>
  <c r="EX510" i="2"/>
  <c r="B114" i="6"/>
  <c r="D2742" i="3"/>
  <c r="I100" i="3"/>
  <c r="EX158" i="4"/>
  <c r="EX160" i="4" s="1"/>
  <c r="EX96" i="4"/>
  <c r="E626" i="3"/>
  <c r="F625" i="3"/>
  <c r="EX81" i="4"/>
  <c r="EX109" i="10" s="1"/>
  <c r="EW109" i="10"/>
  <c r="EX1033" i="10"/>
  <c r="EX1032" i="10" s="1"/>
  <c r="FB57" i="4"/>
  <c r="FC43" i="4"/>
  <c r="FC57" i="2"/>
  <c r="D77" i="37" s="1"/>
  <c r="C2730" i="3"/>
  <c r="EX500" i="2"/>
  <c r="EX501" i="2" s="1"/>
  <c r="EX499" i="2"/>
  <c r="EX502" i="2"/>
  <c r="EX503" i="2" s="1"/>
  <c r="FC486" i="2"/>
  <c r="D74" i="37"/>
  <c r="D75" i="37" s="1"/>
  <c r="E152" i="41"/>
  <c r="E154" i="41" s="1"/>
  <c r="E156" i="41" s="1"/>
  <c r="E152" i="6"/>
  <c r="E154" i="6" s="1"/>
  <c r="E156" i="6" s="1"/>
  <c r="F177" i="39" l="1"/>
  <c r="F178" i="39" s="1"/>
  <c r="F213" i="39" s="1"/>
  <c r="F215" i="39" s="1"/>
  <c r="E178" i="39"/>
  <c r="E213" i="39" s="1"/>
  <c r="E215" i="39" s="1"/>
  <c r="EX80" i="4"/>
  <c r="E201" i="41" s="1"/>
  <c r="B125" i="6"/>
  <c r="FC57" i="4"/>
  <c r="EZ362" i="2"/>
  <c r="EZ360" i="2" s="1"/>
  <c r="EY364" i="2"/>
  <c r="EY365" i="2" s="1"/>
  <c r="EY431" i="10"/>
  <c r="EY361" i="2"/>
  <c r="EY372" i="2"/>
  <c r="I110" i="3"/>
  <c r="EX514" i="2"/>
  <c r="EX515" i="2" s="1"/>
  <c r="EX511" i="2"/>
  <c r="EX512" i="2"/>
  <c r="EX513" i="2" s="1"/>
  <c r="EX516" i="2"/>
  <c r="F626" i="3"/>
  <c r="G625" i="3"/>
  <c r="EZ226" i="2"/>
  <c r="EY224" i="2"/>
  <c r="EW522" i="2"/>
  <c r="EW523" i="2" s="1"/>
  <c r="EW528" i="2"/>
  <c r="EW520" i="2"/>
  <c r="EW521" i="2" s="1"/>
  <c r="EW524" i="2"/>
  <c r="EW519" i="2"/>
  <c r="EX518" i="2"/>
  <c r="EX105" i="4"/>
  <c r="EX113" i="10" s="1"/>
  <c r="EW113" i="10"/>
  <c r="C2743" i="3"/>
  <c r="C2745" i="3" s="1"/>
  <c r="C2738" i="3" s="1"/>
  <c r="C2732" i="3"/>
  <c r="EY157" i="4"/>
  <c r="E157" i="6"/>
  <c r="I157" i="41"/>
  <c r="FD219" i="2"/>
  <c r="FC220" i="2"/>
  <c r="F105" i="3"/>
  <c r="I80" i="3"/>
  <c r="F81" i="3"/>
  <c r="E201" i="6" l="1"/>
  <c r="EX110" i="10"/>
  <c r="EX1020" i="10" s="1"/>
  <c r="EW530" i="2"/>
  <c r="EW529" i="2"/>
  <c r="EX528" i="2"/>
  <c r="EX529" i="2" s="1"/>
  <c r="G626" i="3"/>
  <c r="H625" i="3"/>
  <c r="EY380" i="2"/>
  <c r="EY374" i="2"/>
  <c r="EY375" i="2" s="1"/>
  <c r="EY373" i="2"/>
  <c r="EY433" i="10"/>
  <c r="EY376" i="2"/>
  <c r="EY377" i="2" s="1"/>
  <c r="EY378" i="2"/>
  <c r="FA362" i="2"/>
  <c r="FA360" i="2" s="1"/>
  <c r="FB362" i="2"/>
  <c r="FB360" i="2" s="1"/>
  <c r="EY222" i="2"/>
  <c r="EY225" i="2"/>
  <c r="F88" i="3"/>
  <c r="I81" i="3"/>
  <c r="FE219" i="2"/>
  <c r="FD357" i="2"/>
  <c r="FD220" i="2"/>
  <c r="FD217" i="2"/>
  <c r="C2739" i="3"/>
  <c r="C2736" i="3"/>
  <c r="C2756" i="3" s="1"/>
  <c r="C2758" i="3" s="1"/>
  <c r="EX519" i="2"/>
  <c r="EX522" i="2"/>
  <c r="EX523" i="2" s="1"/>
  <c r="EX520" i="2"/>
  <c r="EX521" i="2" s="1"/>
  <c r="EX524" i="2"/>
  <c r="EX143" i="4"/>
  <c r="EX140" i="4"/>
  <c r="EX122" i="4"/>
  <c r="B127" i="6"/>
  <c r="FC157" i="4"/>
  <c r="FA226" i="2"/>
  <c r="EZ224" i="2"/>
  <c r="EX129" i="4"/>
  <c r="EZ361" i="2"/>
  <c r="EZ364" i="2"/>
  <c r="EZ365" i="2" s="1"/>
  <c r="EZ431" i="10"/>
  <c r="EZ372" i="2"/>
  <c r="I105" i="3"/>
  <c r="F106" i="3"/>
  <c r="EY235" i="2" l="1"/>
  <c r="EY227" i="2"/>
  <c r="EY228" i="2" s="1"/>
  <c r="EY498" i="2"/>
  <c r="EY223" i="2"/>
  <c r="EY383" i="10"/>
  <c r="F113" i="3"/>
  <c r="I113" i="3" s="1"/>
  <c r="I106" i="3"/>
  <c r="F164" i="3"/>
  <c r="F165" i="3" s="1"/>
  <c r="EX145" i="4"/>
  <c r="EZ222" i="2"/>
  <c r="EZ225" i="2"/>
  <c r="FB361" i="2"/>
  <c r="FB364" i="2"/>
  <c r="FB365" i="2" s="1"/>
  <c r="FB431" i="10"/>
  <c r="FB372" i="2"/>
  <c r="FF219" i="2"/>
  <c r="FE357" i="2"/>
  <c r="FE220" i="2"/>
  <c r="FE217" i="2"/>
  <c r="EZ376" i="2"/>
  <c r="EZ377" i="2" s="1"/>
  <c r="EZ380" i="2"/>
  <c r="EZ374" i="2"/>
  <c r="EZ375" i="2" s="1"/>
  <c r="EZ373" i="2"/>
  <c r="EZ433" i="10"/>
  <c r="EZ378" i="2"/>
  <c r="EW1037" i="10"/>
  <c r="EX132" i="4"/>
  <c r="EW122" i="10"/>
  <c r="FD218" i="2"/>
  <c r="FD382" i="10"/>
  <c r="H626" i="3"/>
  <c r="I625" i="3"/>
  <c r="FD358" i="2"/>
  <c r="FD355" i="2"/>
  <c r="FD483" i="2" s="1"/>
  <c r="FA361" i="2"/>
  <c r="FA364" i="2"/>
  <c r="FA365" i="2" s="1"/>
  <c r="FA431" i="10"/>
  <c r="FA372" i="2"/>
  <c r="FC360" i="2"/>
  <c r="C2759" i="3"/>
  <c r="C2801" i="3"/>
  <c r="C2788" i="3"/>
  <c r="FB226" i="2"/>
  <c r="FB224" i="2" s="1"/>
  <c r="FA224" i="2"/>
  <c r="EY384" i="2"/>
  <c r="EY385" i="2" s="1"/>
  <c r="EY388" i="2"/>
  <c r="EY19" i="2"/>
  <c r="EY386" i="2"/>
  <c r="EY381" i="2"/>
  <c r="EY382" i="2"/>
  <c r="EY383" i="2" s="1"/>
  <c r="EY434" i="10"/>
  <c r="EX124" i="4"/>
  <c r="I88" i="3"/>
  <c r="F89" i="3"/>
  <c r="EW533" i="2"/>
  <c r="EW534" i="2"/>
  <c r="EW535" i="2"/>
  <c r="EX530" i="2"/>
  <c r="EX147" i="4" l="1"/>
  <c r="EX149" i="4" s="1"/>
  <c r="FA222" i="2"/>
  <c r="FA225" i="2"/>
  <c r="E2729" i="3"/>
  <c r="FD133" i="10"/>
  <c r="FD67" i="2"/>
  <c r="FD484" i="2"/>
  <c r="FD485" i="2"/>
  <c r="EX171" i="4"/>
  <c r="FA376" i="2"/>
  <c r="FA377" i="2" s="1"/>
  <c r="FA380" i="2"/>
  <c r="FA374" i="2"/>
  <c r="FA375" i="2" s="1"/>
  <c r="FA373" i="2"/>
  <c r="FA433" i="10"/>
  <c r="FA378" i="2"/>
  <c r="EX535" i="2"/>
  <c r="EX532" i="2"/>
  <c r="EX534" i="2"/>
  <c r="E177" i="6"/>
  <c r="E177" i="41"/>
  <c r="EX533" i="2"/>
  <c r="EZ223" i="2"/>
  <c r="EZ235" i="2"/>
  <c r="EZ227" i="2"/>
  <c r="EZ228" i="2" s="1"/>
  <c r="EZ498" i="2"/>
  <c r="EZ383" i="10"/>
  <c r="FC362" i="2"/>
  <c r="FC361" i="2"/>
  <c r="FC364" i="2"/>
  <c r="FC365" i="2" s="1"/>
  <c r="FC431" i="10"/>
  <c r="F35" i="11"/>
  <c r="EY123" i="4"/>
  <c r="FC123" i="4" s="1"/>
  <c r="FE218" i="2"/>
  <c r="FE382" i="10"/>
  <c r="FD356" i="2"/>
  <c r="FD430" i="10"/>
  <c r="I626" i="3"/>
  <c r="J625" i="3"/>
  <c r="F78" i="3"/>
  <c r="I89" i="3"/>
  <c r="F91" i="3"/>
  <c r="EZ381" i="2"/>
  <c r="EZ384" i="2"/>
  <c r="EZ385" i="2" s="1"/>
  <c r="EZ388" i="2"/>
  <c r="EZ19" i="2"/>
  <c r="EZ23" i="2" s="1"/>
  <c r="EZ386" i="2"/>
  <c r="EZ382" i="2"/>
  <c r="EZ383" i="2" s="1"/>
  <c r="EZ434" i="10"/>
  <c r="EW1029" i="10"/>
  <c r="FE355" i="2"/>
  <c r="FE483" i="2" s="1"/>
  <c r="FE358" i="2"/>
  <c r="FG219" i="2"/>
  <c r="FF357" i="2"/>
  <c r="FJ219" i="2"/>
  <c r="FF217" i="2"/>
  <c r="FF220" i="2"/>
  <c r="FB376" i="2"/>
  <c r="FB377" i="2" s="1"/>
  <c r="FB374" i="2"/>
  <c r="FB375" i="2" s="1"/>
  <c r="FB378" i="2"/>
  <c r="FB373" i="2"/>
  <c r="FB433" i="10"/>
  <c r="FB380" i="2"/>
  <c r="EX134" i="4"/>
  <c r="EX133" i="4" s="1"/>
  <c r="EW114" i="10"/>
  <c r="EW123" i="10" s="1"/>
  <c r="FB222" i="2"/>
  <c r="FB225" i="2"/>
  <c r="EY500" i="2"/>
  <c r="EY501" i="2" s="1"/>
  <c r="EY510" i="2"/>
  <c r="EY499" i="2"/>
  <c r="EY502" i="2"/>
  <c r="EY503" i="2" s="1"/>
  <c r="EY239" i="2"/>
  <c r="EY240" i="2" s="1"/>
  <c r="EY241" i="2"/>
  <c r="EY385" i="10"/>
  <c r="EY243" i="2"/>
  <c r="EY236" i="2"/>
  <c r="EY237" i="2"/>
  <c r="EY238" i="2" s="1"/>
  <c r="EY23" i="2"/>
  <c r="EY28" i="2"/>
  <c r="EY390" i="2"/>
  <c r="EY435" i="10"/>
  <c r="EY389" i="2"/>
  <c r="C2785" i="3"/>
  <c r="C2784" i="3" s="1"/>
  <c r="C2792" i="3" s="1"/>
  <c r="C2793" i="3" s="1"/>
  <c r="C51" i="3"/>
  <c r="C1837" i="3"/>
  <c r="D2962" i="3"/>
  <c r="D2964" i="3" s="1"/>
  <c r="G4984" i="3"/>
  <c r="G4985" i="3" s="1"/>
  <c r="EX1037" i="10"/>
  <c r="E17" i="27"/>
  <c r="E19" i="27" s="1"/>
  <c r="E63" i="19"/>
  <c r="K17" i="27"/>
  <c r="K18" i="27"/>
  <c r="F34" i="11"/>
  <c r="EX122" i="10"/>
  <c r="C101" i="37"/>
  <c r="C100" i="37" s="1"/>
  <c r="FC372" i="2"/>
  <c r="EW116" i="10" l="1"/>
  <c r="C1836" i="3"/>
  <c r="B1841" i="3"/>
  <c r="B1842" i="3" s="1"/>
  <c r="C1852" i="3"/>
  <c r="B1852" i="3" s="1"/>
  <c r="FD486" i="2"/>
  <c r="E74" i="37"/>
  <c r="FB381" i="2"/>
  <c r="FB384" i="2"/>
  <c r="FB385" i="2" s="1"/>
  <c r="FB388" i="2"/>
  <c r="FB19" i="2"/>
  <c r="FB23" i="2" s="1"/>
  <c r="FB386" i="2"/>
  <c r="FB434" i="10"/>
  <c r="FB382" i="2"/>
  <c r="FB383" i="2" s="1"/>
  <c r="C2800" i="3"/>
  <c r="C2794" i="3"/>
  <c r="FC376" i="2"/>
  <c r="FC377" i="2" s="1"/>
  <c r="FC378" i="2"/>
  <c r="FC373" i="2"/>
  <c r="FC433" i="10"/>
  <c r="FC374" i="2"/>
  <c r="FC375" i="2" s="1"/>
  <c r="E176" i="41"/>
  <c r="E181" i="41"/>
  <c r="FD72" i="2"/>
  <c r="FD73" i="2" s="1"/>
  <c r="FD57" i="2"/>
  <c r="FD43" i="4"/>
  <c r="EX197" i="4"/>
  <c r="C50" i="3"/>
  <c r="D51" i="3"/>
  <c r="B61" i="3"/>
  <c r="F2729" i="3"/>
  <c r="FE484" i="2"/>
  <c r="FE67" i="2"/>
  <c r="FE133" i="10"/>
  <c r="FE485" i="2"/>
  <c r="FE486" i="2" s="1"/>
  <c r="EX1029" i="10"/>
  <c r="E2742" i="3"/>
  <c r="E176" i="6"/>
  <c r="E181" i="6"/>
  <c r="FC363" i="2"/>
  <c r="FD363" i="2" s="1"/>
  <c r="FD362" i="2" s="1"/>
  <c r="FJ217" i="2"/>
  <c r="FF218" i="2"/>
  <c r="FF382" i="10"/>
  <c r="FF358" i="2"/>
  <c r="FF355" i="2"/>
  <c r="K625" i="3"/>
  <c r="K626" i="3" s="1"/>
  <c r="J626" i="3"/>
  <c r="F63" i="19"/>
  <c r="G63" i="19"/>
  <c r="FA381" i="2"/>
  <c r="FA384" i="2"/>
  <c r="FA385" i="2" s="1"/>
  <c r="FA388" i="2"/>
  <c r="FA19" i="2"/>
  <c r="FA23" i="2" s="1"/>
  <c r="FA386" i="2"/>
  <c r="FA434" i="10"/>
  <c r="FA382" i="2"/>
  <c r="FA383" i="2" s="1"/>
  <c r="FA223" i="2"/>
  <c r="FA235" i="2"/>
  <c r="FA227" i="2"/>
  <c r="FA228" i="2" s="1"/>
  <c r="FA498" i="2"/>
  <c r="FA383" i="10"/>
  <c r="EY18" i="2"/>
  <c r="EY244" i="2"/>
  <c r="EY247" i="2"/>
  <c r="EY248" i="2" s="1"/>
  <c r="EY251" i="2"/>
  <c r="EY386" i="10"/>
  <c r="EY245" i="2"/>
  <c r="EY246" i="2" s="1"/>
  <c r="EY249" i="2"/>
  <c r="EZ28" i="2"/>
  <c r="B971" i="3" s="1"/>
  <c r="EZ390" i="2"/>
  <c r="EZ435" i="10"/>
  <c r="EZ389" i="2"/>
  <c r="F116" i="3"/>
  <c r="I91" i="3"/>
  <c r="F93" i="3"/>
  <c r="I93" i="3" s="1"/>
  <c r="I78" i="3"/>
  <c r="I79" i="3" s="1"/>
  <c r="F79" i="3"/>
  <c r="F83" i="3" s="1"/>
  <c r="I83" i="3" s="1"/>
  <c r="K19" i="27"/>
  <c r="EY32" i="2"/>
  <c r="EY35" i="2"/>
  <c r="FB223" i="2"/>
  <c r="FB235" i="2"/>
  <c r="FB227" i="2"/>
  <c r="FB228" i="2" s="1"/>
  <c r="FB383" i="10"/>
  <c r="FB498" i="2"/>
  <c r="FE356" i="2"/>
  <c r="FE430" i="10"/>
  <c r="FC222" i="2"/>
  <c r="EZ500" i="2"/>
  <c r="EZ501" i="2" s="1"/>
  <c r="EZ510" i="2"/>
  <c r="EZ499" i="2"/>
  <c r="EZ502" i="2"/>
  <c r="EZ503" i="2" s="1"/>
  <c r="EX114" i="10"/>
  <c r="EX123" i="10" s="1"/>
  <c r="C24" i="41"/>
  <c r="C25" i="41" s="1"/>
  <c r="C24" i="6"/>
  <c r="C25" i="6" s="1"/>
  <c r="EZ239" i="2"/>
  <c r="EZ240" i="2" s="1"/>
  <c r="EZ241" i="2"/>
  <c r="EZ385" i="10"/>
  <c r="EZ243" i="2"/>
  <c r="EZ236" i="2"/>
  <c r="EZ237" i="2"/>
  <c r="EZ238" i="2" s="1"/>
  <c r="EX176" i="4"/>
  <c r="FC380" i="2"/>
  <c r="EY70" i="2"/>
  <c r="EY514" i="2"/>
  <c r="EY515" i="2" s="1"/>
  <c r="EY518" i="2"/>
  <c r="EY511" i="2"/>
  <c r="EY512" i="2"/>
  <c r="EY513" i="2" s="1"/>
  <c r="EY516" i="2"/>
  <c r="FH219" i="2"/>
  <c r="FG357" i="2"/>
  <c r="FG217" i="2"/>
  <c r="FG220" i="2"/>
  <c r="B973" i="3" l="1"/>
  <c r="E77" i="37"/>
  <c r="EZ32" i="2"/>
  <c r="EZ35" i="2"/>
  <c r="FE362" i="2"/>
  <c r="FD360" i="2"/>
  <c r="E185" i="6"/>
  <c r="E180" i="6"/>
  <c r="E75" i="37"/>
  <c r="F74" i="37"/>
  <c r="FD57" i="4"/>
  <c r="FB28" i="2"/>
  <c r="FB389" i="2"/>
  <c r="FB390" i="2"/>
  <c r="FB435" i="10"/>
  <c r="FB236" i="2"/>
  <c r="FB241" i="2"/>
  <c r="FB239" i="2"/>
  <c r="FB240" i="2" s="1"/>
  <c r="FB237" i="2"/>
  <c r="FB238" i="2" s="1"/>
  <c r="FB385" i="10"/>
  <c r="FB243" i="2"/>
  <c r="EY27" i="2"/>
  <c r="EY252" i="2"/>
  <c r="EY253" i="2"/>
  <c r="EY387" i="10"/>
  <c r="C1853" i="3"/>
  <c r="FI219" i="2"/>
  <c r="FH357" i="2"/>
  <c r="FH220" i="2"/>
  <c r="FH217" i="2"/>
  <c r="E185" i="41"/>
  <c r="E180" i="41"/>
  <c r="EY71" i="2"/>
  <c r="EY69" i="2"/>
  <c r="EY74" i="2"/>
  <c r="EY75" i="2" s="1"/>
  <c r="EY80" i="2"/>
  <c r="FC381" i="2"/>
  <c r="FC384" i="2"/>
  <c r="FC385" i="2" s="1"/>
  <c r="FC382" i="2"/>
  <c r="FC383" i="2" s="1"/>
  <c r="FC386" i="2"/>
  <c r="FC434" i="10"/>
  <c r="EZ70" i="2"/>
  <c r="EZ514" i="2"/>
  <c r="EZ515" i="2" s="1"/>
  <c r="EZ518" i="2"/>
  <c r="EZ516" i="2"/>
  <c r="EZ511" i="2"/>
  <c r="EZ512" i="2"/>
  <c r="EZ513" i="2" s="1"/>
  <c r="FG355" i="2"/>
  <c r="FG358" i="2"/>
  <c r="FA28" i="2"/>
  <c r="FA435" i="10"/>
  <c r="FA389" i="2"/>
  <c r="FA390" i="2"/>
  <c r="FC224" i="2"/>
  <c r="FC223" i="2"/>
  <c r="FC227" i="2"/>
  <c r="FC228" i="2" s="1"/>
  <c r="FC383" i="10"/>
  <c r="C2824" i="3"/>
  <c r="C2825" i="3" s="1"/>
  <c r="C2827" i="3" s="1"/>
  <c r="C2802" i="3"/>
  <c r="EW117" i="10"/>
  <c r="EW1021" i="10" s="1"/>
  <c r="EW200" i="4"/>
  <c r="EW126" i="4" s="1"/>
  <c r="EW16" i="32"/>
  <c r="F2742" i="3"/>
  <c r="EX180" i="4"/>
  <c r="EY22" i="2"/>
  <c r="EY21" i="2"/>
  <c r="EY24" i="2" s="1"/>
  <c r="I116" i="3"/>
  <c r="F118" i="3"/>
  <c r="I118" i="3" s="1"/>
  <c r="F114" i="3"/>
  <c r="FA500" i="2"/>
  <c r="FA501" i="2" s="1"/>
  <c r="FA510" i="2"/>
  <c r="FA499" i="2"/>
  <c r="FA502" i="2"/>
  <c r="FA503" i="2" s="1"/>
  <c r="FC498" i="2"/>
  <c r="D50" i="3"/>
  <c r="B60" i="3"/>
  <c r="FJ355" i="2"/>
  <c r="FF356" i="2"/>
  <c r="FF430" i="10"/>
  <c r="FC19" i="2"/>
  <c r="EZ18" i="2"/>
  <c r="EZ245" i="2"/>
  <c r="EZ246" i="2" s="1"/>
  <c r="EZ244" i="2"/>
  <c r="EZ247" i="2"/>
  <c r="EZ248" i="2" s="1"/>
  <c r="EZ251" i="2"/>
  <c r="EZ386" i="10"/>
  <c r="EZ249" i="2"/>
  <c r="EX116" i="10"/>
  <c r="C104" i="37"/>
  <c r="C105" i="37" s="1"/>
  <c r="C107" i="37" s="1"/>
  <c r="EX198" i="4"/>
  <c r="FC388" i="2"/>
  <c r="FE57" i="2"/>
  <c r="FE43" i="4"/>
  <c r="FE72" i="2"/>
  <c r="FE73" i="2" s="1"/>
  <c r="EY519" i="2"/>
  <c r="EY522" i="2"/>
  <c r="EY523" i="2" s="1"/>
  <c r="EY520" i="2"/>
  <c r="EY521" i="2" s="1"/>
  <c r="EY524" i="2"/>
  <c r="EY528" i="2"/>
  <c r="FG218" i="2"/>
  <c r="FG382" i="10"/>
  <c r="FB500" i="2"/>
  <c r="FB501" i="2" s="1"/>
  <c r="FB510" i="2"/>
  <c r="FB502" i="2"/>
  <c r="FB503" i="2" s="1"/>
  <c r="FB499" i="2"/>
  <c r="FA241" i="2"/>
  <c r="FA239" i="2"/>
  <c r="FA240" i="2" s="1"/>
  <c r="FA385" i="10"/>
  <c r="FA243" i="2"/>
  <c r="FA236" i="2"/>
  <c r="FA237" i="2"/>
  <c r="FA238" i="2" s="1"/>
  <c r="FF483" i="2"/>
  <c r="FC235" i="2"/>
  <c r="FC28" i="2" l="1"/>
  <c r="FC35" i="2"/>
  <c r="D2750" i="3"/>
  <c r="FC32" i="2"/>
  <c r="FB35" i="2"/>
  <c r="FB32" i="2"/>
  <c r="F75" i="37"/>
  <c r="G74" i="37"/>
  <c r="F77" i="37"/>
  <c r="FC500" i="2"/>
  <c r="FC501" i="2" s="1"/>
  <c r="FC502" i="2"/>
  <c r="FC503" i="2" s="1"/>
  <c r="FC499" i="2"/>
  <c r="D2730" i="3"/>
  <c r="FA70" i="2"/>
  <c r="FA514" i="2"/>
  <c r="FA515" i="2" s="1"/>
  <c r="FA518" i="2"/>
  <c r="FA516" i="2"/>
  <c r="FA511" i="2"/>
  <c r="FA512" i="2"/>
  <c r="FA513" i="2" s="1"/>
  <c r="FC510" i="2"/>
  <c r="EY78" i="2"/>
  <c r="EY59" i="2"/>
  <c r="EY45" i="4"/>
  <c r="EY34" i="2"/>
  <c r="EY31" i="2"/>
  <c r="EZ22" i="2"/>
  <c r="EZ21" i="2"/>
  <c r="EZ24" i="2" s="1"/>
  <c r="E186" i="6"/>
  <c r="EY30" i="2"/>
  <c r="EY79" i="2"/>
  <c r="FH218" i="2"/>
  <c r="FH382" i="10"/>
  <c r="FD372" i="2"/>
  <c r="FD361" i="2"/>
  <c r="FD364" i="2"/>
  <c r="FD365" i="2" s="1"/>
  <c r="FD431" i="10"/>
  <c r="FB18" i="2"/>
  <c r="FC18" i="2" s="1"/>
  <c r="FB245" i="2"/>
  <c r="FB246" i="2" s="1"/>
  <c r="FB244" i="2"/>
  <c r="FB247" i="2"/>
  <c r="FB248" i="2" s="1"/>
  <c r="FB386" i="10"/>
  <c r="FB251" i="2"/>
  <c r="FB249" i="2"/>
  <c r="FF362" i="2"/>
  <c r="FE360" i="2"/>
  <c r="E186" i="41"/>
  <c r="FC389" i="2"/>
  <c r="FC390" i="2"/>
  <c r="FC435" i="10"/>
  <c r="FH355" i="2"/>
  <c r="FH483" i="2" s="1"/>
  <c r="FH358" i="2"/>
  <c r="FC236" i="2"/>
  <c r="FC241" i="2"/>
  <c r="FC239" i="2"/>
  <c r="FC240" i="2" s="1"/>
  <c r="FC237" i="2"/>
  <c r="FC238" i="2" s="1"/>
  <c r="FC385" i="10"/>
  <c r="FA32" i="2"/>
  <c r="FA35" i="2"/>
  <c r="FE57" i="4"/>
  <c r="FC226" i="2"/>
  <c r="FD226" i="2" s="1"/>
  <c r="D2735" i="3"/>
  <c r="D2755" i="3" s="1"/>
  <c r="EZ71" i="2"/>
  <c r="EZ69" i="2"/>
  <c r="EZ74" i="2"/>
  <c r="EZ75" i="2" s="1"/>
  <c r="EZ80" i="2"/>
  <c r="FI357" i="2"/>
  <c r="FI220" i="2"/>
  <c r="FI217" i="2"/>
  <c r="EY530" i="2"/>
  <c r="EY529" i="2"/>
  <c r="EZ27" i="2"/>
  <c r="C971" i="3" s="1"/>
  <c r="EZ252" i="2"/>
  <c r="EZ253" i="2"/>
  <c r="EZ387" i="10"/>
  <c r="FG356" i="2"/>
  <c r="FG430" i="10"/>
  <c r="FA18" i="2"/>
  <c r="FA245" i="2"/>
  <c r="FA246" i="2" s="1"/>
  <c r="FA244" i="2"/>
  <c r="FA247" i="2"/>
  <c r="FA248" i="2" s="1"/>
  <c r="FA251" i="2"/>
  <c r="FA386" i="10"/>
  <c r="FA249" i="2"/>
  <c r="FC243" i="2"/>
  <c r="EZ519" i="2"/>
  <c r="EZ522" i="2"/>
  <c r="EZ523" i="2" s="1"/>
  <c r="EZ528" i="2"/>
  <c r="EZ520" i="2"/>
  <c r="EZ521" i="2" s="1"/>
  <c r="EZ524" i="2"/>
  <c r="FB70" i="2"/>
  <c r="FB511" i="2"/>
  <c r="FB514" i="2"/>
  <c r="FB515" i="2" s="1"/>
  <c r="FB516" i="2"/>
  <c r="FB512" i="2"/>
  <c r="FB513" i="2" s="1"/>
  <c r="FB518" i="2"/>
  <c r="C2796" i="3"/>
  <c r="C2798" i="3" s="1"/>
  <c r="C2803" i="3" s="1"/>
  <c r="EX117" i="10"/>
  <c r="EX1021" i="10" s="1"/>
  <c r="EX200" i="4"/>
  <c r="EX16" i="32"/>
  <c r="D75" i="42"/>
  <c r="D76" i="42" s="1"/>
  <c r="D78" i="42" s="1"/>
  <c r="E98" i="41"/>
  <c r="E99" i="41" s="1"/>
  <c r="E101" i="41" s="1"/>
  <c r="E98" i="6"/>
  <c r="E99" i="6" s="1"/>
  <c r="E101" i="6" s="1"/>
  <c r="EW17" i="32"/>
  <c r="G2729" i="3"/>
  <c r="FF484" i="2"/>
  <c r="FF485" i="2"/>
  <c r="FF67" i="2"/>
  <c r="FJ483" i="2"/>
  <c r="FF133" i="10"/>
  <c r="F112" i="3"/>
  <c r="F111" i="3" s="1"/>
  <c r="I114" i="3"/>
  <c r="F103" i="3"/>
  <c r="D2724" i="3"/>
  <c r="FC23" i="2"/>
  <c r="FG483" i="2"/>
  <c r="EX191" i="4"/>
  <c r="EX192" i="4" s="1"/>
  <c r="EX190" i="4"/>
  <c r="C973" i="3" l="1"/>
  <c r="D973" i="3" s="1"/>
  <c r="D971" i="3"/>
  <c r="D972" i="3" s="1"/>
  <c r="FD224" i="2"/>
  <c r="EW1030" i="10"/>
  <c r="G75" i="37"/>
  <c r="G77" i="37"/>
  <c r="H74" i="37"/>
  <c r="FE372" i="2"/>
  <c r="FE361" i="2"/>
  <c r="FE364" i="2"/>
  <c r="FE365" i="2" s="1"/>
  <c r="FE431" i="10"/>
  <c r="EY33" i="2"/>
  <c r="EY36" i="2"/>
  <c r="E195" i="41"/>
  <c r="E200" i="41" s="1"/>
  <c r="E190" i="41"/>
  <c r="EZ31" i="2"/>
  <c r="EZ34" i="2"/>
  <c r="FC511" i="2"/>
  <c r="FC514" i="2"/>
  <c r="FC515" i="2" s="1"/>
  <c r="FC516" i="2"/>
  <c r="FC512" i="2"/>
  <c r="FC513" i="2" s="1"/>
  <c r="FG484" i="2"/>
  <c r="FG485" i="2"/>
  <c r="FG486" i="2" s="1"/>
  <c r="FG67" i="2"/>
  <c r="FG133" i="10"/>
  <c r="K22" i="27"/>
  <c r="K23" i="27"/>
  <c r="F36" i="11"/>
  <c r="E22" i="27"/>
  <c r="E24" i="27" s="1"/>
  <c r="EX126" i="4"/>
  <c r="FB27" i="2"/>
  <c r="FB252" i="2"/>
  <c r="FB253" i="2"/>
  <c r="FB387" i="10"/>
  <c r="FB520" i="2"/>
  <c r="FB521" i="2" s="1"/>
  <c r="FB524" i="2"/>
  <c r="FB519" i="2"/>
  <c r="FB528" i="2"/>
  <c r="FB522" i="2"/>
  <c r="FB523" i="2" s="1"/>
  <c r="I103" i="3"/>
  <c r="I104" i="3" s="1"/>
  <c r="F104" i="3"/>
  <c r="EZ530" i="2"/>
  <c r="EZ529" i="2"/>
  <c r="FG362" i="2"/>
  <c r="FF360" i="2"/>
  <c r="EY533" i="2"/>
  <c r="EY535" i="2"/>
  <c r="EY534" i="2"/>
  <c r="I111" i="3"/>
  <c r="I112" i="3" s="1"/>
  <c r="F107" i="3"/>
  <c r="F127" i="3"/>
  <c r="E190" i="6"/>
  <c r="E195" i="6"/>
  <c r="E193" i="6" s="1"/>
  <c r="E198" i="6" s="1"/>
  <c r="FA27" i="2"/>
  <c r="FC27" i="2" s="1"/>
  <c r="FA252" i="2"/>
  <c r="FA253" i="2"/>
  <c r="FA387" i="10"/>
  <c r="FH67" i="2"/>
  <c r="FH484" i="2"/>
  <c r="FH485" i="2"/>
  <c r="FH133" i="10"/>
  <c r="FI218" i="2"/>
  <c r="FI382" i="10"/>
  <c r="FA71" i="2"/>
  <c r="FA69" i="2"/>
  <c r="FA74" i="2"/>
  <c r="FA75" i="2" s="1"/>
  <c r="FA80" i="2"/>
  <c r="FC70" i="2"/>
  <c r="FI355" i="2"/>
  <c r="FI358" i="2"/>
  <c r="EZ78" i="2"/>
  <c r="EZ59" i="2"/>
  <c r="EZ45" i="4"/>
  <c r="FH356" i="2"/>
  <c r="FH430" i="10"/>
  <c r="D2723" i="3"/>
  <c r="D2726" i="3" s="1"/>
  <c r="FC22" i="2"/>
  <c r="FC21" i="2"/>
  <c r="FC24" i="2" s="1"/>
  <c r="FB22" i="2"/>
  <c r="FB21" i="2"/>
  <c r="FB24" i="2" s="1"/>
  <c r="FF486" i="2"/>
  <c r="FJ485" i="2"/>
  <c r="G2742" i="3"/>
  <c r="FB69" i="2"/>
  <c r="FB74" i="2"/>
  <c r="FB75" i="2" s="1"/>
  <c r="FB80" i="2"/>
  <c r="FB71" i="2"/>
  <c r="EZ30" i="2"/>
  <c r="EZ79" i="2"/>
  <c r="EY58" i="4"/>
  <c r="EY46" i="4"/>
  <c r="FC245" i="2"/>
  <c r="FC246" i="2" s="1"/>
  <c r="FC244" i="2"/>
  <c r="FC386" i="10"/>
  <c r="FC249" i="2"/>
  <c r="FC247" i="2"/>
  <c r="FC248" i="2" s="1"/>
  <c r="EX1030" i="10"/>
  <c r="FA519" i="2"/>
  <c r="FA522" i="2"/>
  <c r="FA523" i="2" s="1"/>
  <c r="FA528" i="2"/>
  <c r="FA520" i="2"/>
  <c r="FA521" i="2" s="1"/>
  <c r="FA524" i="2"/>
  <c r="FC518" i="2"/>
  <c r="FJ67" i="2"/>
  <c r="FF57" i="2"/>
  <c r="FF72" i="2"/>
  <c r="FF73" i="2" s="1"/>
  <c r="FF43" i="4"/>
  <c r="D2743" i="3"/>
  <c r="D2745" i="3" s="1"/>
  <c r="D2738" i="3" s="1"/>
  <c r="D2732" i="3"/>
  <c r="FA22" i="2"/>
  <c r="FA21" i="2"/>
  <c r="FA24" i="2" s="1"/>
  <c r="EX17" i="32"/>
  <c r="FD376" i="2"/>
  <c r="FD377" i="2" s="1"/>
  <c r="FD378" i="2"/>
  <c r="FD373" i="2"/>
  <c r="FD433" i="10"/>
  <c r="FD374" i="2"/>
  <c r="FD375" i="2" s="1"/>
  <c r="FD380" i="2"/>
  <c r="EY60" i="2"/>
  <c r="EY137" i="10"/>
  <c r="FC251" i="2"/>
  <c r="B955" i="3" l="1"/>
  <c r="B957" i="3" s="1"/>
  <c r="FE224" i="2"/>
  <c r="FD222" i="2"/>
  <c r="FD383" i="10" s="1"/>
  <c r="E2735" i="3"/>
  <c r="E2755" i="3" s="1"/>
  <c r="E192" i="6"/>
  <c r="E197" i="6" s="1"/>
  <c r="E194" i="41"/>
  <c r="E199" i="41" s="1"/>
  <c r="FH486" i="2"/>
  <c r="I127" i="3"/>
  <c r="I128" i="3" s="1"/>
  <c r="F128" i="3"/>
  <c r="FB530" i="2"/>
  <c r="FB529" i="2"/>
  <c r="EZ36" i="2"/>
  <c r="EZ33" i="2"/>
  <c r="EZ58" i="4"/>
  <c r="EZ59" i="4" s="1"/>
  <c r="EZ61" i="4" s="1"/>
  <c r="EZ46" i="4"/>
  <c r="EZ48" i="4" s="1"/>
  <c r="EZ60" i="2"/>
  <c r="EZ137" i="10"/>
  <c r="I107" i="3"/>
  <c r="F108" i="3"/>
  <c r="I108" i="3" s="1"/>
  <c r="FG72" i="2"/>
  <c r="FG73" i="2" s="1"/>
  <c r="FG43" i="4"/>
  <c r="FG57" i="2"/>
  <c r="E192" i="41"/>
  <c r="E197" i="41" s="1"/>
  <c r="FA530" i="2"/>
  <c r="FA529" i="2"/>
  <c r="FB30" i="2"/>
  <c r="FB79" i="2"/>
  <c r="FE376" i="2"/>
  <c r="FE377" i="2" s="1"/>
  <c r="FE378" i="2"/>
  <c r="FE373" i="2"/>
  <c r="FE433" i="10"/>
  <c r="FE374" i="2"/>
  <c r="FE375" i="2" s="1"/>
  <c r="FE380" i="2"/>
  <c r="FB59" i="2"/>
  <c r="FB78" i="2"/>
  <c r="FB45" i="4"/>
  <c r="H75" i="37"/>
  <c r="I74" i="37"/>
  <c r="H77" i="37"/>
  <c r="FF372" i="2"/>
  <c r="FF361" i="2"/>
  <c r="FF364" i="2"/>
  <c r="FF365" i="2" s="1"/>
  <c r="FF431" i="10"/>
  <c r="FB31" i="2"/>
  <c r="FB34" i="2"/>
  <c r="D2739" i="3"/>
  <c r="D2736" i="3"/>
  <c r="D2756" i="3" s="1"/>
  <c r="D2758" i="3" s="1"/>
  <c r="FH72" i="2"/>
  <c r="FH43" i="4"/>
  <c r="FH57" i="2"/>
  <c r="FJ43" i="4"/>
  <c r="FF57" i="4"/>
  <c r="FH362" i="2"/>
  <c r="FG360" i="2"/>
  <c r="FC528" i="2"/>
  <c r="FC529" i="2" s="1"/>
  <c r="FA30" i="2"/>
  <c r="FA79" i="2"/>
  <c r="FC71" i="2"/>
  <c r="FA31" i="2"/>
  <c r="FA34" i="2"/>
  <c r="D2749" i="3"/>
  <c r="D2752" i="3" s="1"/>
  <c r="D2780" i="3" s="1"/>
  <c r="FC31" i="2"/>
  <c r="FC34" i="2"/>
  <c r="FI430" i="10"/>
  <c r="FI356" i="2"/>
  <c r="FC74" i="2"/>
  <c r="FC75" i="2" s="1"/>
  <c r="FC80" i="2"/>
  <c r="FJ57" i="2"/>
  <c r="EY48" i="4"/>
  <c r="FI483" i="2"/>
  <c r="K24" i="27"/>
  <c r="FD223" i="2"/>
  <c r="FD235" i="2"/>
  <c r="FD498" i="2"/>
  <c r="FD227" i="2"/>
  <c r="FD228" i="2" s="1"/>
  <c r="FC253" i="2"/>
  <c r="FC252" i="2"/>
  <c r="FC387" i="10"/>
  <c r="FA59" i="2"/>
  <c r="FA78" i="2"/>
  <c r="FA45" i="4"/>
  <c r="FC69" i="2"/>
  <c r="FC78" i="2" s="1"/>
  <c r="EZ535" i="2"/>
  <c r="EZ534" i="2"/>
  <c r="EZ533" i="2"/>
  <c r="EY62" i="2"/>
  <c r="EY138" i="10"/>
  <c r="FD19" i="2"/>
  <c r="FD381" i="2"/>
  <c r="FD384" i="2"/>
  <c r="FD385" i="2" s="1"/>
  <c r="FD388" i="2"/>
  <c r="FD434" i="10"/>
  <c r="FD382" i="2"/>
  <c r="FD383" i="2" s="1"/>
  <c r="FD386" i="2"/>
  <c r="FC520" i="2"/>
  <c r="FC521" i="2" s="1"/>
  <c r="FC524" i="2"/>
  <c r="FC519" i="2"/>
  <c r="FC522" i="2"/>
  <c r="FC523" i="2" s="1"/>
  <c r="EY59" i="4"/>
  <c r="E200" i="6"/>
  <c r="E194" i="6"/>
  <c r="E199" i="6" s="1"/>
  <c r="E193" i="41"/>
  <c r="E198" i="41" s="1"/>
  <c r="FF224" i="2"/>
  <c r="FE222" i="2"/>
  <c r="F2735" i="3"/>
  <c r="F2755" i="3" s="1"/>
  <c r="FB58" i="4" l="1"/>
  <c r="FB59" i="4" s="1"/>
  <c r="FB61" i="4" s="1"/>
  <c r="FB46" i="4"/>
  <c r="FB48" i="4" s="1"/>
  <c r="J74" i="37"/>
  <c r="I75" i="37"/>
  <c r="I77" i="37"/>
  <c r="FD236" i="2"/>
  <c r="FD241" i="2"/>
  <c r="FD237" i="2"/>
  <c r="FD238" i="2" s="1"/>
  <c r="FD385" i="10"/>
  <c r="FD239" i="2"/>
  <c r="FD240" i="2" s="1"/>
  <c r="FD243" i="2"/>
  <c r="FH57" i="4"/>
  <c r="D2759" i="3"/>
  <c r="D2801" i="3"/>
  <c r="D2788" i="3"/>
  <c r="EZ62" i="2"/>
  <c r="EZ138" i="10"/>
  <c r="EY61" i="4"/>
  <c r="FB137" i="10"/>
  <c r="FB60" i="2"/>
  <c r="EZ136" i="4"/>
  <c r="EZ205" i="4"/>
  <c r="EZ49" i="4"/>
  <c r="EZ103" i="10"/>
  <c r="EZ50" i="4"/>
  <c r="FG57" i="4"/>
  <c r="EY63" i="2"/>
  <c r="EY64" i="2"/>
  <c r="FI67" i="2"/>
  <c r="FI484" i="2"/>
  <c r="FI485" i="2"/>
  <c r="FI486" i="2" s="1"/>
  <c r="FI133" i="10"/>
  <c r="EZ69" i="4"/>
  <c r="EZ74" i="4" s="1"/>
  <c r="EZ63" i="4"/>
  <c r="EZ62" i="4"/>
  <c r="FC30" i="2"/>
  <c r="FC79" i="2"/>
  <c r="EY136" i="4"/>
  <c r="EY205" i="4"/>
  <c r="EY199" i="4"/>
  <c r="EZ199" i="4"/>
  <c r="EY49" i="4"/>
  <c r="EY103" i="10"/>
  <c r="EY50" i="4"/>
  <c r="FA58" i="4"/>
  <c r="FA46" i="4"/>
  <c r="FA33" i="2"/>
  <c r="FA36" i="2"/>
  <c r="FI362" i="2"/>
  <c r="FI360" i="2" s="1"/>
  <c r="FH360" i="2"/>
  <c r="FB535" i="2"/>
  <c r="FB534" i="2"/>
  <c r="FB533" i="2"/>
  <c r="FH73" i="2"/>
  <c r="FE19" i="2"/>
  <c r="FE382" i="2"/>
  <c r="FE383" i="2" s="1"/>
  <c r="FE381" i="2"/>
  <c r="FE384" i="2"/>
  <c r="FE385" i="2" s="1"/>
  <c r="FE388" i="2"/>
  <c r="FE434" i="10"/>
  <c r="FE386" i="2"/>
  <c r="FA60" i="2"/>
  <c r="FA137" i="10"/>
  <c r="FC45" i="4"/>
  <c r="FG372" i="2"/>
  <c r="FG361" i="2"/>
  <c r="FG364" i="2"/>
  <c r="FG365" i="2" s="1"/>
  <c r="FG431" i="10"/>
  <c r="FB33" i="2"/>
  <c r="FB36" i="2"/>
  <c r="FE223" i="2"/>
  <c r="FE235" i="2"/>
  <c r="FE498" i="2"/>
  <c r="FE227" i="2"/>
  <c r="FE228" i="2" s="1"/>
  <c r="FE383" i="10"/>
  <c r="FG224" i="2"/>
  <c r="FF222" i="2"/>
  <c r="G2735" i="3"/>
  <c r="G2755" i="3" s="1"/>
  <c r="E2724" i="3"/>
  <c r="FD23" i="2"/>
  <c r="FJ57" i="4"/>
  <c r="FF378" i="2"/>
  <c r="FF376" i="2"/>
  <c r="FF377" i="2" s="1"/>
  <c r="FF373" i="2"/>
  <c r="FF433" i="10"/>
  <c r="FF374" i="2"/>
  <c r="FF375" i="2" s="1"/>
  <c r="FF380" i="2"/>
  <c r="FA535" i="2"/>
  <c r="FA534" i="2"/>
  <c r="FA533" i="2"/>
  <c r="FC530" i="2"/>
  <c r="F130" i="3"/>
  <c r="F131" i="3"/>
  <c r="FD389" i="2"/>
  <c r="FD390" i="2"/>
  <c r="FD28" i="2"/>
  <c r="FD435" i="10"/>
  <c r="FC59" i="2"/>
  <c r="FC137" i="10" s="1"/>
  <c r="FD500" i="2"/>
  <c r="FD501" i="2" s="1"/>
  <c r="FD510" i="2"/>
  <c r="FD499" i="2"/>
  <c r="FD502" i="2"/>
  <c r="FD503" i="2" s="1"/>
  <c r="E2730" i="3"/>
  <c r="FF498" i="2" l="1"/>
  <c r="FF223" i="2"/>
  <c r="FF235" i="2"/>
  <c r="FF383" i="10"/>
  <c r="FF227" i="2"/>
  <c r="FF228" i="2" s="1"/>
  <c r="FA62" i="2"/>
  <c r="FA138" i="10"/>
  <c r="FC60" i="2"/>
  <c r="FC138" i="10" s="1"/>
  <c r="FI372" i="2"/>
  <c r="FI361" i="2"/>
  <c r="FI364" i="2"/>
  <c r="FI431" i="10"/>
  <c r="FF19" i="2"/>
  <c r="FF382" i="2"/>
  <c r="FF383" i="2" s="1"/>
  <c r="FF381" i="2"/>
  <c r="FF384" i="2"/>
  <c r="FF385" i="2" s="1"/>
  <c r="FF388" i="2"/>
  <c r="FF434" i="10"/>
  <c r="FF386" i="2"/>
  <c r="FD18" i="2"/>
  <c r="FD249" i="2"/>
  <c r="FD245" i="2"/>
  <c r="FD246" i="2" s="1"/>
  <c r="FD386" i="10"/>
  <c r="FD251" i="2"/>
  <c r="FD244" i="2"/>
  <c r="FD247" i="2"/>
  <c r="FD248" i="2" s="1"/>
  <c r="FC532" i="2"/>
  <c r="FC535" i="2"/>
  <c r="FC533" i="2"/>
  <c r="F177" i="6"/>
  <c r="FC534" i="2"/>
  <c r="F177" i="41"/>
  <c r="FH224" i="2"/>
  <c r="FG222" i="2"/>
  <c r="EZ1027" i="10"/>
  <c r="EZ1028" i="10" s="1"/>
  <c r="EZ140" i="10"/>
  <c r="EZ142" i="10" s="1"/>
  <c r="EZ121" i="10"/>
  <c r="FE389" i="2"/>
  <c r="FE390" i="2"/>
  <c r="FE28" i="2"/>
  <c r="FE435" i="10"/>
  <c r="EZ162" i="4"/>
  <c r="EZ75" i="4"/>
  <c r="EZ152" i="4"/>
  <c r="EZ154" i="4" s="1"/>
  <c r="EZ106" i="10"/>
  <c r="FB62" i="2"/>
  <c r="FB138" i="10"/>
  <c r="FE500" i="2"/>
  <c r="FE501" i="2" s="1"/>
  <c r="FE510" i="2"/>
  <c r="FE499" i="2"/>
  <c r="FE502" i="2"/>
  <c r="FE503" i="2" s="1"/>
  <c r="F2730" i="3"/>
  <c r="EY69" i="4"/>
  <c r="EY63" i="4"/>
  <c r="EY62" i="4"/>
  <c r="FD511" i="2"/>
  <c r="FD514" i="2"/>
  <c r="FD515" i="2" s="1"/>
  <c r="FD516" i="2"/>
  <c r="FD70" i="2"/>
  <c r="FD512" i="2"/>
  <c r="FD513" i="2" s="1"/>
  <c r="FD518" i="2"/>
  <c r="FE237" i="2"/>
  <c r="FE238" i="2" s="1"/>
  <c r="FE236" i="2"/>
  <c r="FE241" i="2"/>
  <c r="FE385" i="10"/>
  <c r="FE239" i="2"/>
  <c r="FE240" i="2" s="1"/>
  <c r="FE243" i="2"/>
  <c r="F2724" i="3"/>
  <c r="FE23" i="2"/>
  <c r="FA48" i="4"/>
  <c r="FC46" i="4"/>
  <c r="FC48" i="4" s="1"/>
  <c r="J77" i="37"/>
  <c r="K74" i="37"/>
  <c r="J75" i="37"/>
  <c r="E2743" i="3"/>
  <c r="E2745" i="3" s="1"/>
  <c r="E2738" i="3" s="1"/>
  <c r="E2732" i="3"/>
  <c r="FA59" i="4"/>
  <c r="FC58" i="4"/>
  <c r="EY1027" i="10"/>
  <c r="EY1028" i="10" s="1"/>
  <c r="EY140" i="10"/>
  <c r="EY142" i="10" s="1"/>
  <c r="EY121" i="10"/>
  <c r="FB49" i="4"/>
  <c r="FB136" i="4"/>
  <c r="FB50" i="4"/>
  <c r="FB103" i="10"/>
  <c r="FB205" i="4"/>
  <c r="H4959" i="3"/>
  <c r="C456" i="3"/>
  <c r="FC33" i="2"/>
  <c r="D1831" i="3"/>
  <c r="FC36" i="2"/>
  <c r="EY9" i="32"/>
  <c r="EY11" i="32" s="1"/>
  <c r="D82" i="37"/>
  <c r="H1336" i="3"/>
  <c r="F1336" i="3"/>
  <c r="G1336" i="3"/>
  <c r="I1336" i="3"/>
  <c r="FG373" i="2"/>
  <c r="FG378" i="2"/>
  <c r="FG376" i="2"/>
  <c r="FG377" i="2" s="1"/>
  <c r="FG433" i="10"/>
  <c r="FG374" i="2"/>
  <c r="FG375" i="2" s="1"/>
  <c r="FG380" i="2"/>
  <c r="FK67" i="2"/>
  <c r="FI72" i="2"/>
  <c r="FI73" i="2" s="1"/>
  <c r="FI43" i="4"/>
  <c r="FI57" i="2"/>
  <c r="EZ63" i="2"/>
  <c r="EZ64" i="2"/>
  <c r="FB69" i="4"/>
  <c r="FB74" i="4" s="1"/>
  <c r="FB63" i="4"/>
  <c r="FB62" i="4"/>
  <c r="FD35" i="2"/>
  <c r="E2750" i="3"/>
  <c r="C1901" i="3"/>
  <c r="C1902" i="3" s="1"/>
  <c r="FD32" i="2"/>
  <c r="I130" i="3"/>
  <c r="FH372" i="2"/>
  <c r="FH361" i="2"/>
  <c r="FH364" i="2"/>
  <c r="FH365" i="2" s="1"/>
  <c r="FH431" i="10"/>
  <c r="FB162" i="4" l="1"/>
  <c r="FB75" i="4"/>
  <c r="FB152" i="4"/>
  <c r="FB154" i="4" s="1"/>
  <c r="FB106" i="10"/>
  <c r="E2952" i="3"/>
  <c r="G175" i="3"/>
  <c r="G174" i="3" s="1"/>
  <c r="G177" i="3" s="1"/>
  <c r="G179" i="3" s="1"/>
  <c r="G181" i="3" s="1"/>
  <c r="C55" i="3"/>
  <c r="D55" i="3" s="1"/>
  <c r="FC49" i="4"/>
  <c r="G32" i="11"/>
  <c r="D26" i="6"/>
  <c r="F84" i="6"/>
  <c r="F75" i="6" s="1"/>
  <c r="D23" i="41"/>
  <c r="FC50" i="4"/>
  <c r="FC103" i="10"/>
  <c r="F95" i="6"/>
  <c r="FC205" i="4"/>
  <c r="E61" i="42"/>
  <c r="G237" i="24"/>
  <c r="D23" i="6"/>
  <c r="E72" i="42"/>
  <c r="F211" i="6"/>
  <c r="FC199" i="4"/>
  <c r="D2797" i="3" s="1"/>
  <c r="D21" i="6"/>
  <c r="D21" i="41"/>
  <c r="EM68" i="18"/>
  <c r="F95" i="41"/>
  <c r="D26" i="41"/>
  <c r="F211" i="41"/>
  <c r="F84" i="41"/>
  <c r="F75" i="41" s="1"/>
  <c r="FB121" i="10"/>
  <c r="FB1027" i="10"/>
  <c r="FB1028" i="10" s="1"/>
  <c r="FB140" i="10"/>
  <c r="FB142" i="10" s="1"/>
  <c r="EY74" i="4"/>
  <c r="EZ163" i="4"/>
  <c r="EZ164" i="4"/>
  <c r="EZ166" i="4" s="1"/>
  <c r="EZ139" i="4" s="1"/>
  <c r="FA136" i="4"/>
  <c r="FC136" i="4" s="1"/>
  <c r="FA50" i="4"/>
  <c r="FA103" i="10"/>
  <c r="FA205" i="4"/>
  <c r="FA49" i="4"/>
  <c r="FB199" i="4"/>
  <c r="FA199" i="4"/>
  <c r="G2724" i="3"/>
  <c r="FF23" i="2"/>
  <c r="FE18" i="2"/>
  <c r="FE249" i="2"/>
  <c r="FE245" i="2"/>
  <c r="FE246" i="2" s="1"/>
  <c r="FE244" i="2"/>
  <c r="FE386" i="10"/>
  <c r="FE251" i="2"/>
  <c r="FE247" i="2"/>
  <c r="FE248" i="2" s="1"/>
  <c r="F2743" i="3"/>
  <c r="F2745" i="3" s="1"/>
  <c r="F2738" i="3" s="1"/>
  <c r="F2732" i="3"/>
  <c r="FE32" i="2"/>
  <c r="FE35" i="2"/>
  <c r="F2750" i="3"/>
  <c r="FI365" i="2"/>
  <c r="H4960" i="3"/>
  <c r="H4971" i="3"/>
  <c r="H4967" i="3"/>
  <c r="EZ158" i="4"/>
  <c r="H1342" i="3"/>
  <c r="H1391" i="3"/>
  <c r="FI373" i="2"/>
  <c r="FI378" i="2"/>
  <c r="FI376" i="2"/>
  <c r="FI374" i="2"/>
  <c r="FI433" i="10"/>
  <c r="FI380" i="2"/>
  <c r="D85" i="37"/>
  <c r="D83" i="37"/>
  <c r="D95" i="37"/>
  <c r="D91" i="37"/>
  <c r="D92" i="37" s="1"/>
  <c r="D84" i="37"/>
  <c r="D79" i="37"/>
  <c r="FE70" i="2"/>
  <c r="FE511" i="2"/>
  <c r="FE514" i="2"/>
  <c r="FE515" i="2" s="1"/>
  <c r="FE516" i="2"/>
  <c r="FE512" i="2"/>
  <c r="FE513" i="2" s="1"/>
  <c r="FE518" i="2"/>
  <c r="E2723" i="3"/>
  <c r="E2726" i="3" s="1"/>
  <c r="E2739" i="3" s="1"/>
  <c r="FD22" i="2"/>
  <c r="I1342" i="3"/>
  <c r="I1391" i="3"/>
  <c r="FD520" i="2"/>
  <c r="FD521" i="2" s="1"/>
  <c r="FD524" i="2"/>
  <c r="FD519" i="2"/>
  <c r="FD522" i="2"/>
  <c r="FD523" i="2" s="1"/>
  <c r="FD528" i="2"/>
  <c r="FA63" i="2"/>
  <c r="FA64" i="2"/>
  <c r="FC62" i="2"/>
  <c r="EZ107" i="10"/>
  <c r="EZ167" i="4"/>
  <c r="FG498" i="2"/>
  <c r="FG223" i="2"/>
  <c r="FG235" i="2"/>
  <c r="FG383" i="10"/>
  <c r="FG227" i="2"/>
  <c r="FG228" i="2" s="1"/>
  <c r="FG19" i="2"/>
  <c r="FG23" i="2" s="1"/>
  <c r="FG382" i="2"/>
  <c r="FG383" i="2" s="1"/>
  <c r="FG381" i="2"/>
  <c r="FG384" i="2"/>
  <c r="FG385" i="2" s="1"/>
  <c r="FG434" i="10"/>
  <c r="FG386" i="2"/>
  <c r="FG388" i="2"/>
  <c r="FH373" i="2"/>
  <c r="FH378" i="2"/>
  <c r="FH376" i="2"/>
  <c r="FH377" i="2" s="1"/>
  <c r="FH374" i="2"/>
  <c r="FH375" i="2" s="1"/>
  <c r="FH433" i="10"/>
  <c r="FH380" i="2"/>
  <c r="FD253" i="2"/>
  <c r="FD27" i="2"/>
  <c r="FD252" i="2"/>
  <c r="FD387" i="10"/>
  <c r="E2736" i="3"/>
  <c r="E2756" i="3" s="1"/>
  <c r="E2758" i="3" s="1"/>
  <c r="FD80" i="2"/>
  <c r="FD74" i="2"/>
  <c r="FD75" i="2" s="1"/>
  <c r="FD69" i="2"/>
  <c r="FD71" i="2"/>
  <c r="FI224" i="2"/>
  <c r="FI222" i="2" s="1"/>
  <c r="FH222" i="2"/>
  <c r="FB64" i="2"/>
  <c r="FB63" i="2"/>
  <c r="F176" i="41"/>
  <c r="F181" i="41"/>
  <c r="FF389" i="2"/>
  <c r="FF390" i="2"/>
  <c r="FF28" i="2"/>
  <c r="FF435" i="10"/>
  <c r="FF237" i="2"/>
  <c r="FF238" i="2" s="1"/>
  <c r="FF236" i="2"/>
  <c r="FF241" i="2"/>
  <c r="FF385" i="10"/>
  <c r="FF239" i="2"/>
  <c r="FF240" i="2" s="1"/>
  <c r="FF243" i="2"/>
  <c r="G1342" i="3"/>
  <c r="G1391" i="3"/>
  <c r="FA61" i="4"/>
  <c r="FC59" i="4"/>
  <c r="EZ76" i="4"/>
  <c r="FI57" i="4"/>
  <c r="F1342" i="3"/>
  <c r="F1391" i="3"/>
  <c r="I1337" i="3"/>
  <c r="G1337" i="3"/>
  <c r="F1337" i="3"/>
  <c r="H1337" i="3"/>
  <c r="C458" i="3"/>
  <c r="C466" i="3"/>
  <c r="C468" i="3" s="1"/>
  <c r="C479" i="3"/>
  <c r="C481" i="3" s="1"/>
  <c r="K77" i="37"/>
  <c r="F176" i="6"/>
  <c r="F181" i="6"/>
  <c r="G2730" i="3"/>
  <c r="FF502" i="2"/>
  <c r="FF503" i="2" s="1"/>
  <c r="FF499" i="2"/>
  <c r="FF500" i="2"/>
  <c r="FF501" i="2" s="1"/>
  <c r="FF510" i="2"/>
  <c r="EZ168" i="4" l="1"/>
  <c r="EZ100" i="4" s="1"/>
  <c r="FH19" i="2"/>
  <c r="FH23" i="2" s="1"/>
  <c r="FH382" i="2"/>
  <c r="FH383" i="2" s="1"/>
  <c r="FH381" i="2"/>
  <c r="FH434" i="10"/>
  <c r="FH386" i="2"/>
  <c r="FH388" i="2"/>
  <c r="FH384" i="2"/>
  <c r="FH385" i="2" s="1"/>
  <c r="F93" i="6"/>
  <c r="F94" i="6" s="1"/>
  <c r="F77" i="6"/>
  <c r="F86" i="6" s="1"/>
  <c r="FA69" i="4"/>
  <c r="FA63" i="4"/>
  <c r="FA62" i="4"/>
  <c r="FC61" i="4"/>
  <c r="FI375" i="2"/>
  <c r="FI227" i="2"/>
  <c r="FI228" i="2" s="1"/>
  <c r="FI498" i="2"/>
  <c r="FI383" i="10"/>
  <c r="FI235" i="2"/>
  <c r="FI223" i="2"/>
  <c r="FG502" i="2"/>
  <c r="FG503" i="2" s="1"/>
  <c r="FG499" i="2"/>
  <c r="FG500" i="2"/>
  <c r="FG501" i="2" s="1"/>
  <c r="FG510" i="2"/>
  <c r="FI377" i="2"/>
  <c r="FA121" i="10"/>
  <c r="FA1027" i="10"/>
  <c r="FA1028" i="10" s="1"/>
  <c r="FA140" i="10"/>
  <c r="FA142" i="10" s="1"/>
  <c r="FG237" i="2"/>
  <c r="FG238" i="2" s="1"/>
  <c r="FG236" i="2"/>
  <c r="FG241" i="2"/>
  <c r="FG385" i="10"/>
  <c r="FG239" i="2"/>
  <c r="FG240" i="2" s="1"/>
  <c r="FG243" i="2"/>
  <c r="FE520" i="2"/>
  <c r="FE521" i="2" s="1"/>
  <c r="FE524" i="2"/>
  <c r="FE519" i="2"/>
  <c r="FE522" i="2"/>
  <c r="FE523" i="2" s="1"/>
  <c r="FE528" i="2"/>
  <c r="F2736" i="3"/>
  <c r="F2756" i="3" s="1"/>
  <c r="F2758" i="3" s="1"/>
  <c r="I1405" i="3"/>
  <c r="F213" i="6"/>
  <c r="F223" i="6"/>
  <c r="F214" i="6"/>
  <c r="F185" i="6"/>
  <c r="F180" i="6"/>
  <c r="H1405" i="3"/>
  <c r="G184" i="3"/>
  <c r="G190" i="3" s="1"/>
  <c r="G205" i="3" s="1"/>
  <c r="H185" i="3"/>
  <c r="G192" i="3"/>
  <c r="G195" i="3" s="1"/>
  <c r="G201" i="3" s="1"/>
  <c r="G204" i="3" s="1"/>
  <c r="G206" i="3" s="1"/>
  <c r="FF18" i="2"/>
  <c r="FF249" i="2"/>
  <c r="FF245" i="2"/>
  <c r="FF246" i="2" s="1"/>
  <c r="FF247" i="2"/>
  <c r="FF248" i="2" s="1"/>
  <c r="FF244" i="2"/>
  <c r="FF386" i="10"/>
  <c r="FF251" i="2"/>
  <c r="FF512" i="2"/>
  <c r="FF513" i="2" s="1"/>
  <c r="FF516" i="2"/>
  <c r="FF511" i="2"/>
  <c r="FF70" i="2"/>
  <c r="FF514" i="2"/>
  <c r="FF515" i="2" s="1"/>
  <c r="FF518" i="2"/>
  <c r="I1392" i="3"/>
  <c r="F1405" i="3"/>
  <c r="F1392" i="3"/>
  <c r="G1392" i="3"/>
  <c r="H1392" i="3"/>
  <c r="E2801" i="3"/>
  <c r="E2788" i="3"/>
  <c r="E2954" i="3"/>
  <c r="E2947" i="3"/>
  <c r="E2949" i="3" s="1"/>
  <c r="FH498" i="2"/>
  <c r="FH223" i="2"/>
  <c r="FH383" i="10"/>
  <c r="FH235" i="2"/>
  <c r="FH227" i="2"/>
  <c r="FH228" i="2" s="1"/>
  <c r="FE80" i="2"/>
  <c r="FE74" i="2"/>
  <c r="FE75" i="2" s="1"/>
  <c r="FE69" i="2"/>
  <c r="FE71" i="2"/>
  <c r="EY75" i="4"/>
  <c r="EY152" i="4"/>
  <c r="EY106" i="10"/>
  <c r="EY162" i="4"/>
  <c r="G239" i="24"/>
  <c r="G234" i="24"/>
  <c r="H237" i="24"/>
  <c r="G238" i="24"/>
  <c r="F213" i="41"/>
  <c r="F214" i="41"/>
  <c r="F223" i="41"/>
  <c r="FF32" i="2"/>
  <c r="FF35" i="2"/>
  <c r="G2750" i="3"/>
  <c r="D78" i="37"/>
  <c r="D80" i="37"/>
  <c r="E62" i="42"/>
  <c r="E52" i="42"/>
  <c r="FB158" i="4"/>
  <c r="G1405" i="3"/>
  <c r="FD59" i="2"/>
  <c r="FD78" i="2"/>
  <c r="FD45" i="4"/>
  <c r="FG389" i="2"/>
  <c r="FG390" i="2"/>
  <c r="FG28" i="2"/>
  <c r="FG435" i="10"/>
  <c r="FC64" i="2"/>
  <c r="FC63" i="2"/>
  <c r="FE27" i="2"/>
  <c r="FE253" i="2"/>
  <c r="FE252" i="2"/>
  <c r="FE387" i="10"/>
  <c r="F2723" i="3"/>
  <c r="F2726" i="3" s="1"/>
  <c r="F2739" i="3" s="1"/>
  <c r="FE22" i="2"/>
  <c r="FB107" i="10"/>
  <c r="FB167" i="4"/>
  <c r="FI19" i="2"/>
  <c r="FI23" i="2" s="1"/>
  <c r="FI386" i="2"/>
  <c r="FI382" i="2"/>
  <c r="FI383" i="2" s="1"/>
  <c r="FI434" i="10"/>
  <c r="FI381" i="2"/>
  <c r="FI384" i="2"/>
  <c r="FI388" i="2"/>
  <c r="FD30" i="2"/>
  <c r="FD79" i="2"/>
  <c r="I1343" i="3"/>
  <c r="G1343" i="3"/>
  <c r="H1343" i="3"/>
  <c r="F1343" i="3"/>
  <c r="FD530" i="2"/>
  <c r="FD529" i="2"/>
  <c r="G2743" i="3"/>
  <c r="G2745" i="3" s="1"/>
  <c r="G2738" i="3" s="1"/>
  <c r="G2732" i="3"/>
  <c r="EZ120" i="10"/>
  <c r="EZ79" i="4"/>
  <c r="E2749" i="3"/>
  <c r="E2752" i="3" s="1"/>
  <c r="E2780" i="3" s="1"/>
  <c r="FD31" i="2"/>
  <c r="FD34" i="2"/>
  <c r="B1901" i="3"/>
  <c r="B1902" i="3" s="1"/>
  <c r="FB163" i="4"/>
  <c r="FB164" i="4"/>
  <c r="F185" i="41"/>
  <c r="F180" i="41"/>
  <c r="F93" i="41"/>
  <c r="F77" i="41"/>
  <c r="F86" i="41" s="1"/>
  <c r="FC121" i="10"/>
  <c r="E24" i="19"/>
  <c r="FC1027" i="10"/>
  <c r="FC1028" i="10" s="1"/>
  <c r="FC140" i="10"/>
  <c r="FC142" i="10" s="1"/>
  <c r="FB76" i="4"/>
  <c r="FI385" i="2" l="1"/>
  <c r="F85" i="41"/>
  <c r="F88" i="41"/>
  <c r="F91" i="41" s="1"/>
  <c r="FG32" i="2"/>
  <c r="FG35" i="2"/>
  <c r="G149" i="3"/>
  <c r="C107" i="6"/>
  <c r="FC63" i="4"/>
  <c r="D107" i="41"/>
  <c r="FC62" i="4"/>
  <c r="FE59" i="2"/>
  <c r="FE78" i="2"/>
  <c r="FE45" i="4"/>
  <c r="I1407" i="3"/>
  <c r="F24" i="19"/>
  <c r="G24" i="19"/>
  <c r="F226" i="6"/>
  <c r="F225" i="6"/>
  <c r="EZ81" i="4"/>
  <c r="EZ109" i="10" s="1"/>
  <c r="EZ1033" i="10"/>
  <c r="EZ1032" i="10" s="1"/>
  <c r="EZ96" i="4"/>
  <c r="EZ105" i="4" s="1"/>
  <c r="E2759" i="3"/>
  <c r="FA74" i="4"/>
  <c r="FC69" i="4"/>
  <c r="FI390" i="2"/>
  <c r="FI389" i="2"/>
  <c r="FI435" i="10"/>
  <c r="FI28" i="2"/>
  <c r="G2736" i="3"/>
  <c r="G2756" i="3" s="1"/>
  <c r="G2758" i="3" s="1"/>
  <c r="FD532" i="2"/>
  <c r="FD535" i="2"/>
  <c r="FD533" i="2"/>
  <c r="G177" i="6"/>
  <c r="FD534" i="2"/>
  <c r="G177" i="41"/>
  <c r="F88" i="6"/>
  <c r="F91" i="6" s="1"/>
  <c r="F85" i="6"/>
  <c r="FH237" i="2"/>
  <c r="FH238" i="2" s="1"/>
  <c r="FH236" i="2"/>
  <c r="FH241" i="2"/>
  <c r="FH385" i="10"/>
  <c r="FH239" i="2"/>
  <c r="FH240" i="2" s="1"/>
  <c r="FH243" i="2"/>
  <c r="F97" i="6"/>
  <c r="EY154" i="4"/>
  <c r="F226" i="41"/>
  <c r="F225" i="41"/>
  <c r="F2801" i="3"/>
  <c r="F2788" i="3"/>
  <c r="F94" i="41"/>
  <c r="F97" i="41" s="1"/>
  <c r="I1406" i="3"/>
  <c r="F1407" i="3"/>
  <c r="F1406" i="3"/>
  <c r="H1406" i="3"/>
  <c r="G1406" i="3"/>
  <c r="FE529" i="2"/>
  <c r="FE530" i="2"/>
  <c r="FG512" i="2"/>
  <c r="FG513" i="2" s="1"/>
  <c r="FG516" i="2"/>
  <c r="FG511" i="2"/>
  <c r="FG70" i="2"/>
  <c r="FG514" i="2"/>
  <c r="FG515" i="2" s="1"/>
  <c r="FG518" i="2"/>
  <c r="FF27" i="2"/>
  <c r="FF253" i="2"/>
  <c r="FF252" i="2"/>
  <c r="FF387" i="10"/>
  <c r="FD58" i="4"/>
  <c r="FD59" i="4" s="1"/>
  <c r="FD61" i="4" s="1"/>
  <c r="FD46" i="4"/>
  <c r="FD48" i="4" s="1"/>
  <c r="G1407" i="3"/>
  <c r="FH390" i="2"/>
  <c r="FH389" i="2"/>
  <c r="FH28" i="2"/>
  <c r="FH435" i="10"/>
  <c r="FI502" i="2"/>
  <c r="FI510" i="2"/>
  <c r="FI499" i="2"/>
  <c r="FI500" i="2"/>
  <c r="EY107" i="10"/>
  <c r="EY167" i="4"/>
  <c r="G2723" i="3"/>
  <c r="G2726" i="3" s="1"/>
  <c r="G2739" i="3" s="1"/>
  <c r="FF22" i="2"/>
  <c r="FB120" i="10"/>
  <c r="FB79" i="4"/>
  <c r="FF528" i="2"/>
  <c r="FF520" i="2"/>
  <c r="FF521" i="2" s="1"/>
  <c r="FF524" i="2"/>
  <c r="FF522" i="2"/>
  <c r="FF523" i="2" s="1"/>
  <c r="FF519" i="2"/>
  <c r="H1407" i="3"/>
  <c r="FE79" i="2"/>
  <c r="FE30" i="2"/>
  <c r="F186" i="41"/>
  <c r="H234" i="24"/>
  <c r="G235" i="24"/>
  <c r="G236" i="24"/>
  <c r="FH502" i="2"/>
  <c r="FH503" i="2" s="1"/>
  <c r="FH510" i="2"/>
  <c r="FH499" i="2"/>
  <c r="FH500" i="2"/>
  <c r="FH501" i="2" s="1"/>
  <c r="D456" i="3"/>
  <c r="I4959" i="3"/>
  <c r="E1831" i="3"/>
  <c r="FD33" i="2"/>
  <c r="FD36" i="2"/>
  <c r="D1901" i="3"/>
  <c r="D1902" i="3" s="1"/>
  <c r="FD21" i="2"/>
  <c r="FD24" i="2" s="1"/>
  <c r="EZ9" i="32"/>
  <c r="EZ11" i="32" s="1"/>
  <c r="E82" i="37"/>
  <c r="L1336" i="3"/>
  <c r="J1336" i="3"/>
  <c r="K1336" i="3"/>
  <c r="M1336" i="3"/>
  <c r="EY76" i="4"/>
  <c r="FJ70" i="2"/>
  <c r="FF80" i="2"/>
  <c r="FF74" i="2"/>
  <c r="FF75" i="2" s="1"/>
  <c r="FF69" i="2"/>
  <c r="FF71" i="2"/>
  <c r="E54" i="42"/>
  <c r="E70" i="42"/>
  <c r="EY163" i="4"/>
  <c r="EY164" i="4"/>
  <c r="FG249" i="2"/>
  <c r="FG245" i="2"/>
  <c r="FG246" i="2" s="1"/>
  <c r="FG251" i="2"/>
  <c r="FG247" i="2"/>
  <c r="FG248" i="2" s="1"/>
  <c r="FG244" i="2"/>
  <c r="FG386" i="10"/>
  <c r="FG18" i="2"/>
  <c r="FG22" i="2" s="1"/>
  <c r="FI237" i="2"/>
  <c r="FI236" i="2"/>
  <c r="FI241" i="2"/>
  <c r="FI385" i="10"/>
  <c r="FI239" i="2"/>
  <c r="FI243" i="2"/>
  <c r="FD137" i="10"/>
  <c r="FD60" i="2"/>
  <c r="F2749" i="3"/>
  <c r="F2752" i="3" s="1"/>
  <c r="F2780" i="3" s="1"/>
  <c r="FE31" i="2"/>
  <c r="FE34" i="2"/>
  <c r="F186" i="6"/>
  <c r="FI240" i="2" l="1"/>
  <c r="FI503" i="2"/>
  <c r="FI501" i="2"/>
  <c r="EZ143" i="4"/>
  <c r="EZ122" i="4"/>
  <c r="EZ129" i="4"/>
  <c r="EZ132" i="4" s="1"/>
  <c r="EZ113" i="10"/>
  <c r="FG528" i="2"/>
  <c r="FG520" i="2"/>
  <c r="FG521" i="2" s="1"/>
  <c r="FG524" i="2"/>
  <c r="FG522" i="2"/>
  <c r="FG523" i="2" s="1"/>
  <c r="FG519" i="2"/>
  <c r="F2759" i="3"/>
  <c r="G181" i="6"/>
  <c r="G176" i="6"/>
  <c r="D106" i="41"/>
  <c r="D120" i="41"/>
  <c r="D119" i="41"/>
  <c r="D109" i="41"/>
  <c r="FG27" i="2"/>
  <c r="FG253" i="2"/>
  <c r="FG252" i="2"/>
  <c r="FG387" i="10"/>
  <c r="FA162" i="4"/>
  <c r="FA75" i="4"/>
  <c r="FA76" i="4" s="1"/>
  <c r="FA152" i="4"/>
  <c r="FA106" i="10"/>
  <c r="FC74" i="4"/>
  <c r="E85" i="37"/>
  <c r="E83" i="37"/>
  <c r="E79" i="37"/>
  <c r="E95" i="37"/>
  <c r="E84" i="37"/>
  <c r="E91" i="37"/>
  <c r="E92" i="37" s="1"/>
  <c r="FE58" i="4"/>
  <c r="FE59" i="4" s="1"/>
  <c r="FE61" i="4" s="1"/>
  <c r="FE46" i="4"/>
  <c r="FE48" i="4" s="1"/>
  <c r="F2952" i="3"/>
  <c r="H175" i="3"/>
  <c r="H174" i="3" s="1"/>
  <c r="H177" i="3" s="1"/>
  <c r="H179" i="3" s="1"/>
  <c r="H181" i="3" s="1"/>
  <c r="FD49" i="4"/>
  <c r="H32" i="11"/>
  <c r="G95" i="41"/>
  <c r="FD136" i="4"/>
  <c r="E26" i="6"/>
  <c r="G84" i="6"/>
  <c r="G75" i="6" s="1"/>
  <c r="E23" i="41"/>
  <c r="FD50" i="4"/>
  <c r="FD103" i="10"/>
  <c r="G95" i="6"/>
  <c r="FD205" i="4"/>
  <c r="F61" i="42"/>
  <c r="E23" i="6"/>
  <c r="F72" i="42"/>
  <c r="FD199" i="4"/>
  <c r="E2797" i="3" s="1"/>
  <c r="E21" i="6"/>
  <c r="G84" i="41"/>
  <c r="G75" i="41" s="1"/>
  <c r="E21" i="41"/>
  <c r="EN68" i="18"/>
  <c r="E26" i="41"/>
  <c r="FF30" i="2"/>
  <c r="FF79" i="2"/>
  <c r="FJ71" i="2"/>
  <c r="FI512" i="2"/>
  <c r="FI516" i="2"/>
  <c r="FI511" i="2"/>
  <c r="FI70" i="2"/>
  <c r="FI514" i="2"/>
  <c r="FI518" i="2"/>
  <c r="FG80" i="2"/>
  <c r="FG74" i="2"/>
  <c r="FG75" i="2" s="1"/>
  <c r="FG69" i="2"/>
  <c r="FG71" i="2"/>
  <c r="C120" i="6"/>
  <c r="C106" i="6"/>
  <c r="C109" i="6"/>
  <c r="C119" i="6"/>
  <c r="G176" i="41"/>
  <c r="G181" i="41"/>
  <c r="G2749" i="3"/>
  <c r="G2752" i="3" s="1"/>
  <c r="G2780" i="3" s="1"/>
  <c r="FF31" i="2"/>
  <c r="FF34" i="2"/>
  <c r="F190" i="6"/>
  <c r="F195" i="6"/>
  <c r="F194" i="6" s="1"/>
  <c r="G158" i="3"/>
  <c r="G162" i="3" s="1"/>
  <c r="G152" i="3"/>
  <c r="G157" i="3" s="1"/>
  <c r="G161" i="3" s="1"/>
  <c r="H149" i="3"/>
  <c r="FD62" i="4"/>
  <c r="D107" i="6"/>
  <c r="FD63" i="4"/>
  <c r="FD69" i="4"/>
  <c r="E107" i="41"/>
  <c r="FE137" i="10"/>
  <c r="FE60" i="2"/>
  <c r="E456" i="3"/>
  <c r="J4959" i="3"/>
  <c r="FE21" i="2"/>
  <c r="FE24" i="2" s="1"/>
  <c r="FE36" i="2"/>
  <c r="FE33" i="2"/>
  <c r="FA9" i="32"/>
  <c r="FA11" i="32" s="1"/>
  <c r="Q1336" i="3"/>
  <c r="N1336" i="3"/>
  <c r="N1337" i="3" s="1"/>
  <c r="O1336" i="3"/>
  <c r="P1336" i="3"/>
  <c r="EY120" i="10"/>
  <c r="EY79" i="4"/>
  <c r="FD62" i="2"/>
  <c r="FD138" i="10"/>
  <c r="FI251" i="2"/>
  <c r="FI18" i="2"/>
  <c r="FI249" i="2"/>
  <c r="FI247" i="2"/>
  <c r="FI244" i="2"/>
  <c r="FI245" i="2"/>
  <c r="FI386" i="10"/>
  <c r="E71" i="42"/>
  <c r="E74" i="42" s="1"/>
  <c r="I4967" i="3"/>
  <c r="I4960" i="3"/>
  <c r="I4971" i="3"/>
  <c r="EY159" i="4"/>
  <c r="EY158" i="4"/>
  <c r="FI238" i="2"/>
  <c r="FB81" i="4"/>
  <c r="FB109" i="10" s="1"/>
  <c r="FB1033" i="10"/>
  <c r="FB1032" i="10" s="1"/>
  <c r="FB96" i="4"/>
  <c r="EY166" i="4"/>
  <c r="EY139" i="4" s="1"/>
  <c r="M1342" i="3"/>
  <c r="M1391" i="3"/>
  <c r="K1391" i="3"/>
  <c r="K1342" i="3"/>
  <c r="FE532" i="2"/>
  <c r="FE535" i="2"/>
  <c r="FE533" i="2"/>
  <c r="H177" i="6"/>
  <c r="FE534" i="2"/>
  <c r="H177" i="41"/>
  <c r="FH18" i="2"/>
  <c r="FH22" i="2" s="1"/>
  <c r="FH249" i="2"/>
  <c r="FH245" i="2"/>
  <c r="FH246" i="2" s="1"/>
  <c r="FH251" i="2"/>
  <c r="FH247" i="2"/>
  <c r="FH248" i="2" s="1"/>
  <c r="FH244" i="2"/>
  <c r="FH386" i="10"/>
  <c r="FI32" i="2"/>
  <c r="FI35" i="2"/>
  <c r="G2801" i="3"/>
  <c r="G2788" i="3"/>
  <c r="FH32" i="2"/>
  <c r="FH35" i="2"/>
  <c r="M1337" i="3"/>
  <c r="J1342" i="3"/>
  <c r="J1391" i="3"/>
  <c r="J1337" i="3"/>
  <c r="K1337" i="3"/>
  <c r="L1337" i="3"/>
  <c r="FH512" i="2"/>
  <c r="FH513" i="2" s="1"/>
  <c r="FH516" i="2"/>
  <c r="FH511" i="2"/>
  <c r="FH70" i="2"/>
  <c r="FH514" i="2"/>
  <c r="FH515" i="2" s="1"/>
  <c r="FH518" i="2"/>
  <c r="D22" i="6"/>
  <c r="D22" i="41"/>
  <c r="F1408" i="3"/>
  <c r="F195" i="41"/>
  <c r="F193" i="41" s="1"/>
  <c r="F190" i="41"/>
  <c r="FF59" i="2"/>
  <c r="FF78" i="2"/>
  <c r="FJ69" i="2"/>
  <c r="FF45" i="4"/>
  <c r="D466" i="3"/>
  <c r="D468" i="3" s="1"/>
  <c r="D479" i="3"/>
  <c r="D481" i="3" s="1"/>
  <c r="D458" i="3"/>
  <c r="L1391" i="3"/>
  <c r="L1342" i="3"/>
  <c r="FJ528" i="2"/>
  <c r="FF529" i="2"/>
  <c r="FF530" i="2"/>
  <c r="F192" i="41" l="1"/>
  <c r="FI515" i="2"/>
  <c r="G2759" i="3"/>
  <c r="G163" i="3"/>
  <c r="EY160" i="4"/>
  <c r="EZ157" i="4" s="1"/>
  <c r="FD64" i="2"/>
  <c r="FD63" i="2"/>
  <c r="G93" i="6"/>
  <c r="G94" i="6" s="1"/>
  <c r="G77" i="6"/>
  <c r="G86" i="6" s="1"/>
  <c r="E78" i="37"/>
  <c r="F78" i="37" s="1"/>
  <c r="E80" i="37"/>
  <c r="FH80" i="2"/>
  <c r="FH74" i="2"/>
  <c r="FH75" i="2" s="1"/>
  <c r="FH69" i="2"/>
  <c r="FH71" i="2"/>
  <c r="K1405" i="3"/>
  <c r="G185" i="6"/>
  <c r="G180" i="6"/>
  <c r="FA120" i="10"/>
  <c r="FA79" i="4"/>
  <c r="FC79" i="4" s="1"/>
  <c r="EY81" i="4"/>
  <c r="EY1033" i="10"/>
  <c r="EY1032" i="10" s="1"/>
  <c r="EY96" i="4"/>
  <c r="E466" i="3"/>
  <c r="E468" i="3" s="1"/>
  <c r="E479" i="3"/>
  <c r="E481" i="3" s="1"/>
  <c r="E458" i="3"/>
  <c r="F192" i="6"/>
  <c r="G93" i="41"/>
  <c r="G94" i="41" s="1"/>
  <c r="G77" i="41"/>
  <c r="G86" i="41" s="1"/>
  <c r="FF533" i="2"/>
  <c r="FJ530" i="2"/>
  <c r="FF532" i="2"/>
  <c r="FF535" i="2"/>
  <c r="I177" i="6"/>
  <c r="FF534" i="2"/>
  <c r="I177" i="41"/>
  <c r="FJ59" i="2"/>
  <c r="FF137" i="10"/>
  <c r="FF60" i="2"/>
  <c r="FE62" i="2"/>
  <c r="FE138" i="10"/>
  <c r="FA154" i="4"/>
  <c r="FC152" i="4"/>
  <c r="FC154" i="4" s="1"/>
  <c r="P1337" i="3"/>
  <c r="FH27" i="2"/>
  <c r="FH253" i="2"/>
  <c r="FH252" i="2"/>
  <c r="FH387" i="10"/>
  <c r="FC76" i="4"/>
  <c r="FC120" i="10" s="1"/>
  <c r="F193" i="6"/>
  <c r="FI528" i="2"/>
  <c r="FI520" i="2"/>
  <c r="FI524" i="2"/>
  <c r="FI519" i="2"/>
  <c r="FI522" i="2"/>
  <c r="FA107" i="10"/>
  <c r="FA167" i="4"/>
  <c r="FC75" i="4"/>
  <c r="FA163" i="4"/>
  <c r="FC163" i="4" s="1"/>
  <c r="FA164" i="4"/>
  <c r="FD74" i="4"/>
  <c r="E22" i="6"/>
  <c r="E22" i="41"/>
  <c r="FK70" i="2"/>
  <c r="FI80" i="2"/>
  <c r="FI74" i="2"/>
  <c r="FI69" i="2"/>
  <c r="FI71" i="2"/>
  <c r="H184" i="3"/>
  <c r="H190" i="3" s="1"/>
  <c r="H205" i="3" s="1"/>
  <c r="H192" i="3"/>
  <c r="H195" i="3" s="1"/>
  <c r="H201" i="3" s="1"/>
  <c r="H204" i="3" s="1"/>
  <c r="FG530" i="2"/>
  <c r="FG529" i="2"/>
  <c r="M1343" i="3"/>
  <c r="L1343" i="3"/>
  <c r="K1343" i="3"/>
  <c r="J1343" i="3"/>
  <c r="P1342" i="3"/>
  <c r="P1391" i="3"/>
  <c r="L1405" i="3"/>
  <c r="FI246" i="2"/>
  <c r="O1342" i="3"/>
  <c r="O1391" i="3"/>
  <c r="G2952" i="3"/>
  <c r="F2954" i="3"/>
  <c r="F2947" i="3"/>
  <c r="N1342" i="3"/>
  <c r="Q1337" i="3"/>
  <c r="N1391" i="3"/>
  <c r="D120" i="6"/>
  <c r="D106" i="6"/>
  <c r="D109" i="6"/>
  <c r="D119" i="6"/>
  <c r="F62" i="42"/>
  <c r="F52" i="42"/>
  <c r="FE50" i="4"/>
  <c r="FE199" i="4"/>
  <c r="F2797" i="3" s="1"/>
  <c r="G72" i="42"/>
  <c r="FE49" i="4"/>
  <c r="I32" i="11"/>
  <c r="H84" i="41"/>
  <c r="H75" i="41" s="1"/>
  <c r="H95" i="41"/>
  <c r="FE136" i="4"/>
  <c r="F26" i="6"/>
  <c r="H84" i="6"/>
  <c r="H75" i="6" s="1"/>
  <c r="F23" i="41"/>
  <c r="FE103" i="10"/>
  <c r="H95" i="6"/>
  <c r="FE205" i="4"/>
  <c r="G61" i="42"/>
  <c r="F23" i="6"/>
  <c r="F26" i="41"/>
  <c r="F21" i="6"/>
  <c r="F21" i="41"/>
  <c r="EO68" i="18"/>
  <c r="EZ1037" i="10"/>
  <c r="EZ134" i="4"/>
  <c r="EZ114" i="10" s="1"/>
  <c r="EZ123" i="10" s="1"/>
  <c r="EZ122" i="10"/>
  <c r="FG30" i="2"/>
  <c r="FG79" i="2"/>
  <c r="J4967" i="3"/>
  <c r="J4960" i="3"/>
  <c r="J4971" i="3"/>
  <c r="J1405" i="3"/>
  <c r="M1392" i="3"/>
  <c r="K1392" i="3"/>
  <c r="J1392" i="3"/>
  <c r="L1392" i="3"/>
  <c r="G1408" i="3"/>
  <c r="F1410" i="3"/>
  <c r="F1411" i="3" s="1"/>
  <c r="F1414" i="3" s="1"/>
  <c r="F1415" i="3" s="1"/>
  <c r="H176" i="41"/>
  <c r="H181" i="41"/>
  <c r="FI248" i="2"/>
  <c r="Q1342" i="3"/>
  <c r="Q1391" i="3"/>
  <c r="FI513" i="2"/>
  <c r="I149" i="3"/>
  <c r="FE62" i="4"/>
  <c r="E107" i="6"/>
  <c r="FE63" i="4"/>
  <c r="F107" i="41"/>
  <c r="FE69" i="4"/>
  <c r="FG31" i="2"/>
  <c r="FG34" i="2"/>
  <c r="FG59" i="2"/>
  <c r="FG78" i="2"/>
  <c r="FG45" i="4"/>
  <c r="E106" i="41"/>
  <c r="E119" i="41"/>
  <c r="E120" i="41"/>
  <c r="E109" i="41"/>
  <c r="O1337" i="3"/>
  <c r="H181" i="6"/>
  <c r="H176" i="6"/>
  <c r="H158" i="3"/>
  <c r="H162" i="3" s="1"/>
  <c r="H152" i="3"/>
  <c r="H157" i="3" s="1"/>
  <c r="H161" i="3" s="1"/>
  <c r="G180" i="41"/>
  <c r="G185" i="41"/>
  <c r="EZ140" i="4"/>
  <c r="EZ145" i="4"/>
  <c r="EZ147" i="4" s="1"/>
  <c r="EZ149" i="4" s="1"/>
  <c r="FF58" i="4"/>
  <c r="FJ45" i="4"/>
  <c r="FF46" i="4"/>
  <c r="G75" i="3"/>
  <c r="FC162" i="4"/>
  <c r="FC106" i="10"/>
  <c r="FI22" i="2"/>
  <c r="FD121" i="10"/>
  <c r="FD1027" i="10"/>
  <c r="FD1028" i="10" s="1"/>
  <c r="FD140" i="10"/>
  <c r="FD142" i="10" s="1"/>
  <c r="D110" i="41"/>
  <c r="D111" i="41" s="1"/>
  <c r="D114" i="41" s="1"/>
  <c r="D125" i="41" s="1"/>
  <c r="D127" i="41" s="1"/>
  <c r="EY168" i="4"/>
  <c r="EY100" i="4" s="1"/>
  <c r="M1405" i="3"/>
  <c r="FH528" i="2"/>
  <c r="FH520" i="2"/>
  <c r="FH521" i="2" s="1"/>
  <c r="FH524" i="2"/>
  <c r="FH519" i="2"/>
  <c r="FH522" i="2"/>
  <c r="FH523" i="2" s="1"/>
  <c r="FI27" i="2"/>
  <c r="FI253" i="2"/>
  <c r="FI252" i="2"/>
  <c r="FI387" i="10"/>
  <c r="C110" i="6"/>
  <c r="F456" i="3"/>
  <c r="K4959" i="3"/>
  <c r="FF21" i="2"/>
  <c r="FF36" i="2"/>
  <c r="FJ30" i="2"/>
  <c r="FF33" i="2"/>
  <c r="FB9" i="32"/>
  <c r="FB11" i="32" s="1"/>
  <c r="T1336" i="3"/>
  <c r="U1336" i="3"/>
  <c r="R1336" i="3"/>
  <c r="S1336" i="3"/>
  <c r="F194" i="41"/>
  <c r="EZ1029" i="10" l="1"/>
  <c r="H206" i="3"/>
  <c r="S1337" i="3"/>
  <c r="FI523" i="2"/>
  <c r="T1337" i="3"/>
  <c r="P1392" i="3"/>
  <c r="C111" i="6"/>
  <c r="FC1033" i="10"/>
  <c r="FC1032" i="10" s="1"/>
  <c r="L1407" i="3"/>
  <c r="FK69" i="2"/>
  <c r="FI59" i="2"/>
  <c r="FI78" i="2"/>
  <c r="FI45" i="4"/>
  <c r="H1408" i="3"/>
  <c r="G1410" i="3"/>
  <c r="G1411" i="3" s="1"/>
  <c r="G1414" i="3" s="1"/>
  <c r="G1415" i="3" s="1"/>
  <c r="P1405" i="3"/>
  <c r="FI75" i="2"/>
  <c r="FE64" i="2"/>
  <c r="FE63" i="2"/>
  <c r="FH30" i="2"/>
  <c r="FH79" i="2"/>
  <c r="FH530" i="2"/>
  <c r="FH529" i="2"/>
  <c r="E120" i="6"/>
  <c r="E119" i="6"/>
  <c r="E109" i="6"/>
  <c r="E106" i="6"/>
  <c r="Q1343" i="3"/>
  <c r="P1343" i="3"/>
  <c r="FH59" i="2"/>
  <c r="FH78" i="2"/>
  <c r="FH45" i="4"/>
  <c r="E110" i="41"/>
  <c r="E111" i="41" s="1"/>
  <c r="E114" i="41" s="1"/>
  <c r="E125" i="41" s="1"/>
  <c r="E127" i="41" s="1"/>
  <c r="G2947" i="3"/>
  <c r="F2949" i="3"/>
  <c r="FJ60" i="2"/>
  <c r="FF62" i="2"/>
  <c r="FF138" i="10"/>
  <c r="EY105" i="4"/>
  <c r="M1407" i="3"/>
  <c r="FF48" i="4"/>
  <c r="FJ46" i="4"/>
  <c r="I152" i="3"/>
  <c r="I157" i="3" s="1"/>
  <c r="I161" i="3" s="1"/>
  <c r="I158" i="3"/>
  <c r="I162" i="3" s="1"/>
  <c r="FI521" i="2"/>
  <c r="FI529" i="2"/>
  <c r="FI530" i="2"/>
  <c r="FJ58" i="4"/>
  <c r="FF59" i="4"/>
  <c r="Q1405" i="3"/>
  <c r="I176" i="41"/>
  <c r="I181" i="41"/>
  <c r="EY109" i="10"/>
  <c r="G78" i="37"/>
  <c r="F79" i="37"/>
  <c r="I181" i="6"/>
  <c r="I176" i="6"/>
  <c r="G88" i="6"/>
  <c r="G91" i="6" s="1"/>
  <c r="G85" i="6"/>
  <c r="F120" i="41"/>
  <c r="F106" i="41"/>
  <c r="F109" i="41"/>
  <c r="F119" i="41"/>
  <c r="FA81" i="4"/>
  <c r="FA109" i="10" s="1"/>
  <c r="FA1033" i="10"/>
  <c r="FA1032" i="10" s="1"/>
  <c r="FA96" i="4"/>
  <c r="FC96" i="4" s="1"/>
  <c r="O1343" i="3"/>
  <c r="H75" i="3"/>
  <c r="FD162" i="4"/>
  <c r="FD152" i="4"/>
  <c r="FD154" i="4" s="1"/>
  <c r="FD106" i="10"/>
  <c r="G97" i="6"/>
  <c r="R1342" i="3"/>
  <c r="R1343" i="3" s="1"/>
  <c r="U1337" i="3"/>
  <c r="R1391" i="3"/>
  <c r="G186" i="41"/>
  <c r="FG137" i="10"/>
  <c r="FG60" i="2"/>
  <c r="FE121" i="10"/>
  <c r="FE1027" i="10"/>
  <c r="FE1028" i="10" s="1"/>
  <c r="FE140" i="10"/>
  <c r="FE142" i="10" s="1"/>
  <c r="O1405" i="3"/>
  <c r="FA166" i="4"/>
  <c r="FA139" i="4" s="1"/>
  <c r="FC164" i="4"/>
  <c r="FC166" i="4" s="1"/>
  <c r="FJ21" i="2"/>
  <c r="FF24" i="2"/>
  <c r="G100" i="3"/>
  <c r="J75" i="3"/>
  <c r="K4967" i="3"/>
  <c r="K4960" i="3"/>
  <c r="K4971" i="3"/>
  <c r="F466" i="3"/>
  <c r="F468" i="3" s="1"/>
  <c r="F479" i="3"/>
  <c r="F481" i="3" s="1"/>
  <c r="F458" i="3"/>
  <c r="G62" i="42"/>
  <c r="G52" i="42"/>
  <c r="R1337" i="3"/>
  <c r="FH31" i="2"/>
  <c r="FH34" i="2"/>
  <c r="G186" i="6"/>
  <c r="N1405" i="3"/>
  <c r="Q1392" i="3"/>
  <c r="EY187" i="4"/>
  <c r="EZ187" i="4" s="1"/>
  <c r="FG58" i="4"/>
  <c r="FG59" i="4" s="1"/>
  <c r="FG61" i="4" s="1"/>
  <c r="FG46" i="4"/>
  <c r="FG48" i="4" s="1"/>
  <c r="H93" i="6"/>
  <c r="H94" i="6" s="1"/>
  <c r="H77" i="6"/>
  <c r="H86" i="6" s="1"/>
  <c r="D110" i="6"/>
  <c r="FG532" i="2"/>
  <c r="FG533" i="2"/>
  <c r="J177" i="6"/>
  <c r="FG534" i="2"/>
  <c r="J177" i="41"/>
  <c r="FG535" i="2"/>
  <c r="EZ159" i="4"/>
  <c r="H93" i="41"/>
  <c r="H77" i="41"/>
  <c r="H86" i="41" s="1"/>
  <c r="J1407" i="3"/>
  <c r="M1406" i="3"/>
  <c r="J1406" i="3"/>
  <c r="L1406" i="3"/>
  <c r="K1406" i="3"/>
  <c r="F54" i="42"/>
  <c r="F70" i="42"/>
  <c r="S1342" i="3"/>
  <c r="S1391" i="3"/>
  <c r="S1405" i="3" s="1"/>
  <c r="U1342" i="3"/>
  <c r="U1391" i="3"/>
  <c r="U1405" i="3" s="1"/>
  <c r="T1342" i="3"/>
  <c r="T1391" i="3"/>
  <c r="T1405" i="3" s="1"/>
  <c r="H163" i="3"/>
  <c r="G456" i="3"/>
  <c r="L4959" i="3"/>
  <c r="FG21" i="2"/>
  <c r="FG24" i="2" s="1"/>
  <c r="FG36" i="2"/>
  <c r="FG33" i="2"/>
  <c r="FC9" i="32"/>
  <c r="FC11" i="32" s="1"/>
  <c r="G88" i="41"/>
  <c r="G91" i="41" s="1"/>
  <c r="G85" i="41"/>
  <c r="N1392" i="3"/>
  <c r="G85" i="3"/>
  <c r="FC167" i="4"/>
  <c r="FC77" i="4"/>
  <c r="FC107" i="10"/>
  <c r="G97" i="41"/>
  <c r="K1407" i="3"/>
  <c r="N1343" i="3"/>
  <c r="FI31" i="2"/>
  <c r="FI34" i="2"/>
  <c r="H185" i="6"/>
  <c r="H180" i="6"/>
  <c r="F22" i="6"/>
  <c r="F22" i="41"/>
  <c r="FE74" i="4"/>
  <c r="H185" i="41"/>
  <c r="H180" i="41"/>
  <c r="O1392" i="3"/>
  <c r="FI30" i="2"/>
  <c r="FI79" i="2"/>
  <c r="FK71" i="2"/>
  <c r="FA158" i="4"/>
  <c r="FC158" i="4" s="1"/>
  <c r="C114" i="6" l="1"/>
  <c r="U1407" i="3"/>
  <c r="T1392" i="3"/>
  <c r="T1343" i="3"/>
  <c r="D111" i="6"/>
  <c r="FC168" i="4"/>
  <c r="I163" i="3"/>
  <c r="I164" i="3" s="1"/>
  <c r="S1407" i="3"/>
  <c r="O1406" i="3"/>
  <c r="H186" i="41"/>
  <c r="I185" i="41"/>
  <c r="I180" i="41"/>
  <c r="C125" i="6"/>
  <c r="FC108" i="10"/>
  <c r="FD77" i="4"/>
  <c r="L4967" i="3"/>
  <c r="L4960" i="3"/>
  <c r="L4971" i="3"/>
  <c r="D1835" i="3"/>
  <c r="C59" i="3"/>
  <c r="D59" i="3" s="1"/>
  <c r="D2783" i="3"/>
  <c r="G86" i="3"/>
  <c r="G87" i="3" s="1"/>
  <c r="E30" i="19"/>
  <c r="FB166" i="4"/>
  <c r="D98" i="37"/>
  <c r="EY13" i="32"/>
  <c r="EY15" i="32" s="1"/>
  <c r="U1343" i="3"/>
  <c r="FH58" i="4"/>
  <c r="FH59" i="4" s="1"/>
  <c r="FH61" i="4" s="1"/>
  <c r="FH46" i="4"/>
  <c r="FH48" i="4" s="1"/>
  <c r="S1392" i="3"/>
  <c r="G80" i="3"/>
  <c r="J85" i="3"/>
  <c r="G110" i="3"/>
  <c r="H88" i="6"/>
  <c r="H91" i="6" s="1"/>
  <c r="H85" i="6"/>
  <c r="G54" i="42"/>
  <c r="G70" i="42"/>
  <c r="R1392" i="3"/>
  <c r="F110" i="41"/>
  <c r="F111" i="41" s="1"/>
  <c r="F114" i="41" s="1"/>
  <c r="F125" i="41" s="1"/>
  <c r="F127" i="41" s="1"/>
  <c r="FF103" i="10"/>
  <c r="EP68" i="18"/>
  <c r="FF50" i="4"/>
  <c r="FF199" i="4"/>
  <c r="G2797" i="3" s="1"/>
  <c r="H72" i="42"/>
  <c r="FF49" i="4"/>
  <c r="J32" i="11"/>
  <c r="I84" i="41"/>
  <c r="I75" i="41" s="1"/>
  <c r="I95" i="41"/>
  <c r="FF136" i="4"/>
  <c r="I84" i="6"/>
  <c r="I75" i="6" s="1"/>
  <c r="I95" i="6"/>
  <c r="FF205" i="4"/>
  <c r="H61" i="42"/>
  <c r="FJ48" i="4"/>
  <c r="FH137" i="10"/>
  <c r="FH60" i="2"/>
  <c r="P1407" i="3"/>
  <c r="H186" i="6"/>
  <c r="H97" i="6"/>
  <c r="O1407" i="3"/>
  <c r="P1406" i="3"/>
  <c r="H88" i="41"/>
  <c r="H91" i="41" s="1"/>
  <c r="H85" i="41"/>
  <c r="FG205" i="4"/>
  <c r="FG103" i="10"/>
  <c r="EQ68" i="18"/>
  <c r="FG50" i="4"/>
  <c r="FG199" i="4"/>
  <c r="I72" i="42"/>
  <c r="FG49" i="4"/>
  <c r="K32" i="11"/>
  <c r="J84" i="41"/>
  <c r="J75" i="41" s="1"/>
  <c r="FG136" i="4"/>
  <c r="J84" i="6"/>
  <c r="J75" i="6" s="1"/>
  <c r="J95" i="6"/>
  <c r="I61" i="42"/>
  <c r="J95" i="41"/>
  <c r="FD158" i="4"/>
  <c r="I1408" i="3"/>
  <c r="H1410" i="3"/>
  <c r="H1411" i="3" s="1"/>
  <c r="H1414" i="3" s="1"/>
  <c r="H1415" i="3" s="1"/>
  <c r="FE162" i="4"/>
  <c r="FE152" i="4"/>
  <c r="FE154" i="4" s="1"/>
  <c r="FE106" i="10"/>
  <c r="FG62" i="4"/>
  <c r="H107" i="41"/>
  <c r="G107" i="6"/>
  <c r="FG69" i="4"/>
  <c r="FG74" i="4" s="1"/>
  <c r="FD163" i="4"/>
  <c r="FD164" i="4"/>
  <c r="FD166" i="4" s="1"/>
  <c r="FI58" i="4"/>
  <c r="FI59" i="4" s="1"/>
  <c r="FI61" i="4" s="1"/>
  <c r="FI46" i="4"/>
  <c r="FI48" i="4" s="1"/>
  <c r="Q1407" i="3"/>
  <c r="EY143" i="4"/>
  <c r="EY122" i="4"/>
  <c r="EY113" i="10"/>
  <c r="EY129" i="4"/>
  <c r="E110" i="6"/>
  <c r="H100" i="3"/>
  <c r="FI137" i="10"/>
  <c r="FI60" i="2"/>
  <c r="D114" i="6"/>
  <c r="EZ160" i="4"/>
  <c r="FA157" i="4" s="1"/>
  <c r="FG138" i="10"/>
  <c r="FG62" i="2"/>
  <c r="FF61" i="4"/>
  <c r="FG63" i="4" s="1"/>
  <c r="FJ59" i="4"/>
  <c r="FJ62" i="2"/>
  <c r="FF64" i="2"/>
  <c r="FF63" i="2"/>
  <c r="U1392" i="3"/>
  <c r="R1405" i="3"/>
  <c r="T1406" i="3" s="1"/>
  <c r="T1407" i="3"/>
  <c r="F80" i="37"/>
  <c r="F82" i="37"/>
  <c r="J176" i="41"/>
  <c r="J181" i="41"/>
  <c r="I456" i="3"/>
  <c r="N4959" i="3"/>
  <c r="FI33" i="2"/>
  <c r="FI21" i="2"/>
  <c r="FI36" i="2"/>
  <c r="FK30" i="2"/>
  <c r="FE9" i="32"/>
  <c r="FE11" i="32" s="1"/>
  <c r="G195" i="6"/>
  <c r="G200" i="6" s="1"/>
  <c r="G190" i="6"/>
  <c r="H78" i="37"/>
  <c r="G79" i="37"/>
  <c r="FI533" i="2"/>
  <c r="FI532" i="2"/>
  <c r="FI535" i="2"/>
  <c r="FI534" i="2"/>
  <c r="S1343" i="3"/>
  <c r="H456" i="3"/>
  <c r="M4959" i="3"/>
  <c r="FH33" i="2"/>
  <c r="FH21" i="2"/>
  <c r="FH24" i="2" s="1"/>
  <c r="FH36" i="2"/>
  <c r="FD9" i="32"/>
  <c r="FD11" i="32" s="1"/>
  <c r="G466" i="3"/>
  <c r="G468" i="3" s="1"/>
  <c r="G479" i="3"/>
  <c r="G481" i="3" s="1"/>
  <c r="G458" i="3"/>
  <c r="I185" i="6"/>
  <c r="I180" i="6"/>
  <c r="G190" i="41"/>
  <c r="G195" i="41"/>
  <c r="G200" i="41" s="1"/>
  <c r="J181" i="6"/>
  <c r="J176" i="6"/>
  <c r="FH532" i="2"/>
  <c r="FH533" i="2"/>
  <c r="K177" i="6"/>
  <c r="FH534" i="2"/>
  <c r="K177" i="41"/>
  <c r="FH535" i="2"/>
  <c r="FA168" i="4"/>
  <c r="FA100" i="4" s="1"/>
  <c r="FA105" i="4" s="1"/>
  <c r="N1407" i="3"/>
  <c r="Q1406" i="3"/>
  <c r="H94" i="41"/>
  <c r="H97" i="41" s="1"/>
  <c r="N1406" i="3"/>
  <c r="F71" i="42"/>
  <c r="F74" i="42" s="1"/>
  <c r="J100" i="3"/>
  <c r="FC81" i="4"/>
  <c r="G194" i="6" l="1"/>
  <c r="G199" i="6" s="1"/>
  <c r="G193" i="6"/>
  <c r="G198" i="6" s="1"/>
  <c r="S1406" i="3"/>
  <c r="R1406" i="3"/>
  <c r="FA187" i="4"/>
  <c r="E111" i="6"/>
  <c r="E114" i="6" s="1"/>
  <c r="J1408" i="3"/>
  <c r="I1410" i="3"/>
  <c r="I1411" i="3" s="1"/>
  <c r="I1414" i="3" s="1"/>
  <c r="I1415" i="3" s="1"/>
  <c r="J149" i="3"/>
  <c r="FF62" i="4"/>
  <c r="FJ61" i="4"/>
  <c r="F107" i="6"/>
  <c r="FF63" i="4"/>
  <c r="G107" i="41"/>
  <c r="FF69" i="4"/>
  <c r="FF74" i="4" s="1"/>
  <c r="FG106" i="10"/>
  <c r="FG162" i="4"/>
  <c r="FG152" i="4"/>
  <c r="FG154" i="4" s="1"/>
  <c r="EY132" i="4"/>
  <c r="J110" i="3"/>
  <c r="FH138" i="10"/>
  <c r="FH62" i="2"/>
  <c r="N4967" i="3"/>
  <c r="N4960" i="3"/>
  <c r="N4971" i="3"/>
  <c r="EY124" i="4"/>
  <c r="H120" i="41"/>
  <c r="H109" i="41"/>
  <c r="H119" i="41"/>
  <c r="H106" i="41"/>
  <c r="FF121" i="10"/>
  <c r="FF1027" i="10"/>
  <c r="FF1028" i="10" s="1"/>
  <c r="FF140" i="10"/>
  <c r="FF142" i="10" s="1"/>
  <c r="G105" i="3"/>
  <c r="J80" i="3"/>
  <c r="G81" i="3"/>
  <c r="FD108" i="10"/>
  <c r="FD165" i="4"/>
  <c r="FD75" i="4"/>
  <c r="FE77" i="4"/>
  <c r="G120" i="6"/>
  <c r="G106" i="6"/>
  <c r="G109" i="6"/>
  <c r="G119" i="6"/>
  <c r="FA143" i="4"/>
  <c r="FA122" i="4"/>
  <c r="FA113" i="10"/>
  <c r="FA129" i="4"/>
  <c r="FA132" i="4" s="1"/>
  <c r="J180" i="6"/>
  <c r="J185" i="6"/>
  <c r="G192" i="6"/>
  <c r="G197" i="6" s="1"/>
  <c r="I466" i="3"/>
  <c r="I468" i="3" s="1"/>
  <c r="I479" i="3"/>
  <c r="I481" i="3" s="1"/>
  <c r="I458" i="3"/>
  <c r="FA159" i="4"/>
  <c r="EY140" i="4"/>
  <c r="EY145" i="4"/>
  <c r="I62" i="42"/>
  <c r="I52" i="42"/>
  <c r="K181" i="6"/>
  <c r="K176" i="6"/>
  <c r="B5423" i="3"/>
  <c r="L61" i="42"/>
  <c r="FH103" i="10"/>
  <c r="ER68" i="18"/>
  <c r="FH50" i="4"/>
  <c r="FH199" i="4"/>
  <c r="FH198" i="4" s="1"/>
  <c r="J72" i="42"/>
  <c r="L72" i="42"/>
  <c r="FH49" i="4"/>
  <c r="L32" i="11"/>
  <c r="K84" i="41"/>
  <c r="K75" i="41" s="1"/>
  <c r="K95" i="41"/>
  <c r="FH136" i="4"/>
  <c r="K84" i="6"/>
  <c r="K75" i="6" s="1"/>
  <c r="K95" i="6"/>
  <c r="J61" i="42"/>
  <c r="C127" i="6"/>
  <c r="K181" i="41"/>
  <c r="K176" i="41"/>
  <c r="I78" i="37"/>
  <c r="H79" i="37"/>
  <c r="J185" i="41"/>
  <c r="J180" i="41"/>
  <c r="J93" i="6"/>
  <c r="J94" i="6" s="1"/>
  <c r="J77" i="6"/>
  <c r="J86" i="6" s="1"/>
  <c r="H62" i="42"/>
  <c r="H52" i="42"/>
  <c r="FH63" i="4"/>
  <c r="FH62" i="4"/>
  <c r="I107" i="41"/>
  <c r="H107" i="6"/>
  <c r="FH69" i="4"/>
  <c r="FK21" i="2"/>
  <c r="FI24" i="2"/>
  <c r="D125" i="6"/>
  <c r="FE158" i="4"/>
  <c r="G193" i="41"/>
  <c r="G198" i="41" s="1"/>
  <c r="J93" i="41"/>
  <c r="J77" i="41"/>
  <c r="J86" i="41" s="1"/>
  <c r="I186" i="41"/>
  <c r="I93" i="6"/>
  <c r="I77" i="6"/>
  <c r="I86" i="6" s="1"/>
  <c r="H190" i="41"/>
  <c r="H195" i="41"/>
  <c r="H200" i="41" s="1"/>
  <c r="FG64" i="2"/>
  <c r="FG63" i="2"/>
  <c r="M4967" i="3"/>
  <c r="M4960" i="3"/>
  <c r="M4971" i="3"/>
  <c r="G71" i="42"/>
  <c r="G74" i="42" s="1"/>
  <c r="FB139" i="4"/>
  <c r="FC139" i="4" s="1"/>
  <c r="FB168" i="4"/>
  <c r="FB100" i="4" s="1"/>
  <c r="FB105" i="4" s="1"/>
  <c r="FC105" i="4" s="1"/>
  <c r="FC113" i="10" s="1"/>
  <c r="D2791" i="3"/>
  <c r="E1835" i="3"/>
  <c r="E2783" i="3"/>
  <c r="H86" i="3"/>
  <c r="FD139" i="4"/>
  <c r="EZ13" i="32"/>
  <c r="EZ15" i="32" s="1"/>
  <c r="E98" i="37"/>
  <c r="F98" i="37" s="1"/>
  <c r="G98" i="37" s="1"/>
  <c r="H98" i="37" s="1"/>
  <c r="I98" i="37" s="1"/>
  <c r="J98" i="37" s="1"/>
  <c r="G82" i="37"/>
  <c r="G80" i="37"/>
  <c r="F85" i="37"/>
  <c r="F83" i="37"/>
  <c r="F91" i="37"/>
  <c r="F92" i="37" s="1"/>
  <c r="F95" i="37"/>
  <c r="FI62" i="2"/>
  <c r="FI138" i="10"/>
  <c r="H466" i="3"/>
  <c r="H468" i="3" s="1"/>
  <c r="H479" i="3"/>
  <c r="H481" i="3" s="1"/>
  <c r="H458" i="3"/>
  <c r="U1406" i="3"/>
  <c r="R1407" i="3"/>
  <c r="C5423" i="3"/>
  <c r="K61" i="42"/>
  <c r="FI103" i="10"/>
  <c r="ES68" i="18"/>
  <c r="FI50" i="4"/>
  <c r="FI199" i="4"/>
  <c r="FI198" i="4" s="1"/>
  <c r="K72" i="42"/>
  <c r="FI49" i="4"/>
  <c r="D11" i="19" s="1"/>
  <c r="E11" i="19" s="1"/>
  <c r="M32" i="11"/>
  <c r="D10" i="19"/>
  <c r="E10" i="19" s="1"/>
  <c r="FI136" i="4"/>
  <c r="I186" i="6"/>
  <c r="FI63" i="4"/>
  <c r="FI62" i="4"/>
  <c r="I107" i="6"/>
  <c r="FI69" i="4"/>
  <c r="J107" i="41"/>
  <c r="F30" i="19"/>
  <c r="G30" i="19"/>
  <c r="G194" i="41"/>
  <c r="G199" i="41" s="1"/>
  <c r="FG121" i="10"/>
  <c r="FG1027" i="10"/>
  <c r="FG1028" i="10" s="1"/>
  <c r="FG140" i="10"/>
  <c r="FG142" i="10" s="1"/>
  <c r="FC109" i="10"/>
  <c r="FC80" i="4"/>
  <c r="G192" i="41"/>
  <c r="G197" i="41" s="1"/>
  <c r="H195" i="6"/>
  <c r="H200" i="6" s="1"/>
  <c r="H190" i="6"/>
  <c r="I93" i="41"/>
  <c r="I94" i="41" s="1"/>
  <c r="I77" i="41"/>
  <c r="I86" i="41" s="1"/>
  <c r="G82" i="3"/>
  <c r="J86" i="3"/>
  <c r="J87" i="3" s="1"/>
  <c r="G126" i="3"/>
  <c r="H193" i="41" l="1"/>
  <c r="H198" i="41" s="1"/>
  <c r="H193" i="6"/>
  <c r="H198" i="6" s="1"/>
  <c r="H192" i="41"/>
  <c r="H197" i="41" s="1"/>
  <c r="H194" i="41"/>
  <c r="H199" i="41" s="1"/>
  <c r="F101" i="37"/>
  <c r="H85" i="3"/>
  <c r="FD167" i="4"/>
  <c r="FD168" i="4" s="1"/>
  <c r="FD100" i="4" s="1"/>
  <c r="FD107" i="10"/>
  <c r="FD76" i="4"/>
  <c r="K180" i="6"/>
  <c r="K185" i="6"/>
  <c r="I85" i="6"/>
  <c r="I88" i="6"/>
  <c r="I91" i="6" s="1"/>
  <c r="B5465" i="3"/>
  <c r="B5466" i="3" s="1"/>
  <c r="FD16" i="32"/>
  <c r="J75" i="42"/>
  <c r="L75" i="42"/>
  <c r="K98" i="41"/>
  <c r="FH117" i="10"/>
  <c r="FH1021" i="10" s="1"/>
  <c r="K98" i="6"/>
  <c r="K107" i="41"/>
  <c r="J120" i="41"/>
  <c r="M107" i="41"/>
  <c r="J106" i="41"/>
  <c r="J119" i="41"/>
  <c r="J109" i="41"/>
  <c r="D127" i="6"/>
  <c r="J78" i="37"/>
  <c r="I79" i="37"/>
  <c r="E125" i="6"/>
  <c r="G88" i="3"/>
  <c r="J81" i="3"/>
  <c r="FF162" i="4"/>
  <c r="FF152" i="4"/>
  <c r="FF154" i="4" s="1"/>
  <c r="FF106" i="10"/>
  <c r="FI64" i="2"/>
  <c r="FI63" i="2"/>
  <c r="J186" i="41"/>
  <c r="H82" i="37"/>
  <c r="H80" i="37"/>
  <c r="FI121" i="10"/>
  <c r="FI140" i="10"/>
  <c r="FI142" i="10" s="1"/>
  <c r="FI1027" i="10"/>
  <c r="FI1028" i="10" s="1"/>
  <c r="K180" i="41"/>
  <c r="K185" i="41"/>
  <c r="J186" i="6"/>
  <c r="L107" i="41"/>
  <c r="G106" i="41"/>
  <c r="G120" i="41"/>
  <c r="G109" i="41"/>
  <c r="G119" i="41"/>
  <c r="L52" i="42"/>
  <c r="L62" i="42"/>
  <c r="FA1037" i="10"/>
  <c r="FA122" i="10"/>
  <c r="FA1029" i="10" s="1"/>
  <c r="FA134" i="4"/>
  <c r="FA114" i="10" s="1"/>
  <c r="FA123" i="10" s="1"/>
  <c r="F120" i="6"/>
  <c r="F119" i="6"/>
  <c r="F109" i="6"/>
  <c r="F106" i="6"/>
  <c r="FH63" i="2"/>
  <c r="FH64" i="2"/>
  <c r="C5425" i="3"/>
  <c r="C5435" i="3"/>
  <c r="D5423" i="3"/>
  <c r="G85" i="37"/>
  <c r="G91" i="37"/>
  <c r="G92" i="37" s="1"/>
  <c r="G95" i="37"/>
  <c r="G101" i="37" s="1"/>
  <c r="G83" i="37"/>
  <c r="I94" i="6"/>
  <c r="I97" i="6" s="1"/>
  <c r="I109" i="6"/>
  <c r="J107" i="6"/>
  <c r="I120" i="6"/>
  <c r="I119" i="6"/>
  <c r="I106" i="6"/>
  <c r="FH121" i="10"/>
  <c r="FH140" i="10"/>
  <c r="FH142" i="10" s="1"/>
  <c r="FH1027" i="10"/>
  <c r="FH1028" i="10" s="1"/>
  <c r="H109" i="6"/>
  <c r="H120" i="6"/>
  <c r="H119" i="6"/>
  <c r="H106" i="6"/>
  <c r="B5425" i="3"/>
  <c r="B5435" i="3"/>
  <c r="J105" i="3"/>
  <c r="G106" i="3"/>
  <c r="K52" i="42"/>
  <c r="K62" i="42"/>
  <c r="J88" i="41"/>
  <c r="J91" i="41" s="1"/>
  <c r="J85" i="41"/>
  <c r="J62" i="42"/>
  <c r="J52" i="42"/>
  <c r="FC110" i="10"/>
  <c r="FC1020" i="10" s="1"/>
  <c r="F201" i="6"/>
  <c r="F201" i="41"/>
  <c r="I195" i="6"/>
  <c r="I192" i="6" s="1"/>
  <c r="I197" i="6" s="1"/>
  <c r="I190" i="6"/>
  <c r="I120" i="41"/>
  <c r="I109" i="41"/>
  <c r="I119" i="41"/>
  <c r="I106" i="41"/>
  <c r="I70" i="42"/>
  <c r="I54" i="42"/>
  <c r="FA140" i="4"/>
  <c r="FA145" i="4"/>
  <c r="FA147" i="4" s="1"/>
  <c r="FA149" i="4" s="1"/>
  <c r="J94" i="41"/>
  <c r="J97" i="41" s="1"/>
  <c r="J152" i="3"/>
  <c r="J157" i="3" s="1"/>
  <c r="J161" i="3" s="1"/>
  <c r="J158" i="3"/>
  <c r="J162" i="3" s="1"/>
  <c r="K93" i="6"/>
  <c r="K77" i="6"/>
  <c r="K86" i="6" s="1"/>
  <c r="EY147" i="4"/>
  <c r="G110" i="6"/>
  <c r="H110" i="41"/>
  <c r="H111" i="41" s="1"/>
  <c r="H114" i="41" s="1"/>
  <c r="H125" i="41" s="1"/>
  <c r="H127" i="41" s="1"/>
  <c r="EY1037" i="10"/>
  <c r="EY134" i="4"/>
  <c r="EY122" i="10"/>
  <c r="C5465" i="3"/>
  <c r="FE16" i="32"/>
  <c r="K75" i="42"/>
  <c r="FI117" i="10"/>
  <c r="FI1021" i="10" s="1"/>
  <c r="I88" i="41"/>
  <c r="I91" i="41" s="1"/>
  <c r="I85" i="41"/>
  <c r="E2791" i="3"/>
  <c r="K93" i="41"/>
  <c r="K94" i="41" s="1"/>
  <c r="K77" i="41"/>
  <c r="K86" i="41" s="1"/>
  <c r="K1408" i="3"/>
  <c r="J1410" i="3"/>
  <c r="J1411" i="3" s="1"/>
  <c r="J1414" i="3" s="1"/>
  <c r="J1415" i="3" s="1"/>
  <c r="I190" i="41"/>
  <c r="I195" i="41"/>
  <c r="I200" i="41" s="1"/>
  <c r="FC100" i="4"/>
  <c r="H82" i="3"/>
  <c r="H126" i="3"/>
  <c r="H54" i="42"/>
  <c r="H70" i="42"/>
  <c r="J88" i="6"/>
  <c r="J91" i="6" s="1"/>
  <c r="J85" i="6"/>
  <c r="H194" i="6"/>
  <c r="H199" i="6" s="1"/>
  <c r="FB143" i="4"/>
  <c r="FB122" i="4"/>
  <c r="FB129" i="4"/>
  <c r="FB132" i="4" s="1"/>
  <c r="FB113" i="10"/>
  <c r="J126" i="3"/>
  <c r="J82" i="3"/>
  <c r="FB187" i="4"/>
  <c r="FC187" i="4" s="1"/>
  <c r="I97" i="41"/>
  <c r="H192" i="6"/>
  <c r="H197" i="6" s="1"/>
  <c r="J97" i="6"/>
  <c r="FA160" i="4"/>
  <c r="FB157" i="4" s="1"/>
  <c r="FE108" i="10"/>
  <c r="FE165" i="4"/>
  <c r="FE75" i="4"/>
  <c r="FF77" i="4"/>
  <c r="EZ123" i="4"/>
  <c r="EZ124" i="4" s="1"/>
  <c r="FA123" i="4" s="1"/>
  <c r="FA124" i="4" s="1"/>
  <c r="FB123" i="4" s="1"/>
  <c r="EY171" i="4"/>
  <c r="FG158" i="4"/>
  <c r="EY1029" i="10" l="1"/>
  <c r="FC132" i="4"/>
  <c r="D2785" i="3" s="1"/>
  <c r="D2784" i="3" s="1"/>
  <c r="D2792" i="3" s="1"/>
  <c r="D2793" i="3" s="1"/>
  <c r="FD187" i="4"/>
  <c r="I193" i="6"/>
  <c r="I198" i="6" s="1"/>
  <c r="I194" i="41"/>
  <c r="I199" i="41" s="1"/>
  <c r="I193" i="41"/>
  <c r="I198" i="41" s="1"/>
  <c r="J163" i="3"/>
  <c r="E127" i="6"/>
  <c r="FB1037" i="10"/>
  <c r="FB122" i="10"/>
  <c r="FB1029" i="10" s="1"/>
  <c r="FB134" i="4"/>
  <c r="FB114" i="10" s="1"/>
  <c r="FB123" i="10" s="1"/>
  <c r="K88" i="6"/>
  <c r="K91" i="6" s="1"/>
  <c r="K85" i="6"/>
  <c r="K70" i="42"/>
  <c r="K54" i="42"/>
  <c r="J88" i="3"/>
  <c r="G89" i="3"/>
  <c r="EY197" i="4"/>
  <c r="EZ171" i="4"/>
  <c r="EY176" i="4"/>
  <c r="EY180" i="4" s="1"/>
  <c r="EY191" i="4" s="1"/>
  <c r="FB124" i="4"/>
  <c r="FC124" i="4" s="1"/>
  <c r="I192" i="41"/>
  <c r="I197" i="41" s="1"/>
  <c r="G113" i="3"/>
  <c r="J113" i="3" s="1"/>
  <c r="J106" i="3"/>
  <c r="G164" i="3"/>
  <c r="G165" i="3" s="1"/>
  <c r="I82" i="37"/>
  <c r="I80" i="37"/>
  <c r="FC122" i="4"/>
  <c r="I200" i="6"/>
  <c r="I194" i="6"/>
  <c r="I199" i="6" s="1"/>
  <c r="J119" i="6"/>
  <c r="J109" i="6"/>
  <c r="J106" i="6"/>
  <c r="J120" i="6"/>
  <c r="H85" i="37"/>
  <c r="H91" i="37"/>
  <c r="H92" i="37" s="1"/>
  <c r="H95" i="37"/>
  <c r="H101" i="37" s="1"/>
  <c r="H83" i="37"/>
  <c r="K186" i="41"/>
  <c r="FB140" i="4"/>
  <c r="FC140" i="4" s="1"/>
  <c r="FB145" i="4"/>
  <c r="FB147" i="4" s="1"/>
  <c r="FB149" i="4" s="1"/>
  <c r="FC143" i="4"/>
  <c r="FE17" i="32"/>
  <c r="FE167" i="4"/>
  <c r="FE107" i="10"/>
  <c r="FE76" i="4"/>
  <c r="I110" i="6"/>
  <c r="L70" i="42"/>
  <c r="L54" i="42"/>
  <c r="J195" i="41"/>
  <c r="J193" i="41" s="1"/>
  <c r="J198" i="41" s="1"/>
  <c r="J190" i="41"/>
  <c r="K186" i="6"/>
  <c r="FF108" i="10"/>
  <c r="FF165" i="4"/>
  <c r="FF75" i="4"/>
  <c r="FG77" i="4"/>
  <c r="C61" i="3"/>
  <c r="D1837" i="3"/>
  <c r="E2962" i="3"/>
  <c r="E2964" i="3" s="1"/>
  <c r="H4984" i="3"/>
  <c r="H4985" i="3" s="1"/>
  <c r="X32" i="23"/>
  <c r="F17" i="27"/>
  <c r="F19" i="27" s="1"/>
  <c r="L17" i="27"/>
  <c r="FC1037" i="10"/>
  <c r="FC122" i="10"/>
  <c r="E33" i="19"/>
  <c r="G34" i="11"/>
  <c r="D101" i="37"/>
  <c r="D100" i="37" s="1"/>
  <c r="L18" i="27"/>
  <c r="C5453" i="3"/>
  <c r="C5466" i="3"/>
  <c r="D5466" i="3" s="1"/>
  <c r="FC129" i="4"/>
  <c r="G110" i="41"/>
  <c r="G111" i="41" s="1"/>
  <c r="G114" i="41" s="1"/>
  <c r="G125" i="41" s="1"/>
  <c r="G127" i="41" s="1"/>
  <c r="J110" i="41"/>
  <c r="J111" i="41" s="1"/>
  <c r="J114" i="41" s="1"/>
  <c r="J125" i="41" s="1"/>
  <c r="J127" i="41" s="1"/>
  <c r="FD120" i="10"/>
  <c r="FD79" i="4"/>
  <c r="EY114" i="10"/>
  <c r="EY123" i="10" s="1"/>
  <c r="H71" i="42"/>
  <c r="H74" i="42" s="1"/>
  <c r="K78" i="37"/>
  <c r="J79" i="37"/>
  <c r="L1408" i="3"/>
  <c r="K1410" i="3"/>
  <c r="K1411" i="3" s="1"/>
  <c r="K1414" i="3" s="1"/>
  <c r="K1415" i="3" s="1"/>
  <c r="I71" i="42"/>
  <c r="I74" i="42" s="1"/>
  <c r="J70" i="42"/>
  <c r="J54" i="42"/>
  <c r="K94" i="6"/>
  <c r="K97" i="6" s="1"/>
  <c r="K99" i="6" s="1"/>
  <c r="K101" i="6" s="1"/>
  <c r="F110" i="6"/>
  <c r="FF158" i="4"/>
  <c r="F200" i="41"/>
  <c r="F197" i="41"/>
  <c r="F198" i="41"/>
  <c r="F199" i="41"/>
  <c r="FB159" i="4"/>
  <c r="FC159" i="4" s="1"/>
  <c r="F200" i="6"/>
  <c r="F199" i="6"/>
  <c r="F198" i="6"/>
  <c r="F197" i="6"/>
  <c r="K85" i="41"/>
  <c r="K88" i="41"/>
  <c r="K91" i="41" s="1"/>
  <c r="H110" i="6"/>
  <c r="K106" i="41"/>
  <c r="C143" i="41"/>
  <c r="K120" i="41"/>
  <c r="K109" i="41"/>
  <c r="K119" i="41"/>
  <c r="H80" i="3"/>
  <c r="H110" i="3"/>
  <c r="H87" i="3"/>
  <c r="D5425" i="3"/>
  <c r="D5424" i="3"/>
  <c r="D5435" i="3"/>
  <c r="E5423" i="3"/>
  <c r="K97" i="41"/>
  <c r="K99" i="41" s="1"/>
  <c r="K101" i="41" s="1"/>
  <c r="G111" i="6"/>
  <c r="EY149" i="4"/>
  <c r="I110" i="41"/>
  <c r="I111" i="41" s="1"/>
  <c r="I114" i="41" s="1"/>
  <c r="I125" i="41" s="1"/>
  <c r="I127" i="41" s="1"/>
  <c r="J195" i="6"/>
  <c r="J200" i="6" s="1"/>
  <c r="J190" i="6"/>
  <c r="J164" i="3" l="1"/>
  <c r="J192" i="41"/>
  <c r="J197" i="41" s="1"/>
  <c r="J193" i="6"/>
  <c r="J198" i="6" s="1"/>
  <c r="J192" i="6"/>
  <c r="J197" i="6" s="1"/>
  <c r="FC134" i="4"/>
  <c r="FC133" i="4" s="1"/>
  <c r="I111" i="6"/>
  <c r="FB160" i="4"/>
  <c r="H111" i="6"/>
  <c r="H114" i="6" s="1"/>
  <c r="L19" i="27"/>
  <c r="J200" i="41"/>
  <c r="J194" i="41"/>
  <c r="J199" i="41" s="1"/>
  <c r="I85" i="37"/>
  <c r="I91" i="37"/>
  <c r="I92" i="37" s="1"/>
  <c r="I95" i="37"/>
  <c r="I101" i="37" s="1"/>
  <c r="I83" i="37"/>
  <c r="L71" i="42"/>
  <c r="L74" i="42" s="1"/>
  <c r="L76" i="42" s="1"/>
  <c r="L78" i="42" s="1"/>
  <c r="C134" i="41"/>
  <c r="K71" i="42"/>
  <c r="K74" i="42" s="1"/>
  <c r="K76" i="42" s="1"/>
  <c r="K78" i="42" s="1"/>
  <c r="M1408" i="3"/>
  <c r="L1410" i="3"/>
  <c r="L1411" i="3" s="1"/>
  <c r="L1414" i="3" s="1"/>
  <c r="L1415" i="3" s="1"/>
  <c r="K79" i="37"/>
  <c r="J82" i="37"/>
  <c r="J80" i="37"/>
  <c r="D2794" i="3"/>
  <c r="D2800" i="3"/>
  <c r="FG108" i="10"/>
  <c r="FG165" i="4"/>
  <c r="FG75" i="4"/>
  <c r="FH77" i="4"/>
  <c r="FE120" i="10"/>
  <c r="FE79" i="4"/>
  <c r="G35" i="11"/>
  <c r="FD123" i="4"/>
  <c r="J110" i="6"/>
  <c r="EY192" i="4"/>
  <c r="EY190" i="4"/>
  <c r="E5425" i="3"/>
  <c r="E5424" i="3"/>
  <c r="E5435" i="3"/>
  <c r="F5423" i="3"/>
  <c r="D5436" i="3"/>
  <c r="K195" i="6"/>
  <c r="K193" i="6" s="1"/>
  <c r="K190" i="6"/>
  <c r="FC145" i="4"/>
  <c r="D61" i="3"/>
  <c r="C60" i="3"/>
  <c r="D60" i="3" s="1"/>
  <c r="EZ197" i="4"/>
  <c r="FA171" i="4"/>
  <c r="EZ176" i="4"/>
  <c r="EZ180" i="4" s="1"/>
  <c r="EZ191" i="4" s="1"/>
  <c r="H105" i="3"/>
  <c r="H106" i="3" s="1"/>
  <c r="H81" i="3"/>
  <c r="H88" i="3" s="1"/>
  <c r="H89" i="3" s="1"/>
  <c r="F111" i="6"/>
  <c r="D24" i="41"/>
  <c r="D25" i="41" s="1"/>
  <c r="FD81" i="4"/>
  <c r="FD109" i="10" s="1"/>
  <c r="FD96" i="4"/>
  <c r="FD105" i="4" s="1"/>
  <c r="FD1033" i="10"/>
  <c r="FD1032" i="10" s="1"/>
  <c r="F33" i="19"/>
  <c r="G33" i="19"/>
  <c r="EY116" i="10"/>
  <c r="EY198" i="4"/>
  <c r="J194" i="6"/>
  <c r="J199" i="6" s="1"/>
  <c r="K190" i="41"/>
  <c r="K195" i="41"/>
  <c r="E5466" i="3"/>
  <c r="D5465" i="3"/>
  <c r="D1836" i="3"/>
  <c r="C1842" i="3"/>
  <c r="B1843" i="3" s="1"/>
  <c r="B1853" i="3"/>
  <c r="FC147" i="4"/>
  <c r="FC149" i="4" s="1"/>
  <c r="K110" i="41"/>
  <c r="K111" i="41" s="1"/>
  <c r="K114" i="41" s="1"/>
  <c r="C129" i="41" s="1"/>
  <c r="C131" i="41" s="1"/>
  <c r="FF167" i="4"/>
  <c r="FF107" i="10"/>
  <c r="FF76" i="4"/>
  <c r="G114" i="6"/>
  <c r="F152" i="6"/>
  <c r="F154" i="6" s="1"/>
  <c r="F156" i="6" s="1"/>
  <c r="F152" i="41"/>
  <c r="F154" i="41" s="1"/>
  <c r="F156" i="41" s="1"/>
  <c r="FC160" i="4"/>
  <c r="J71" i="42"/>
  <c r="J74" i="42" s="1"/>
  <c r="J76" i="42" s="1"/>
  <c r="J78" i="42" s="1"/>
  <c r="FC1029" i="10"/>
  <c r="J89" i="3"/>
  <c r="G91" i="3"/>
  <c r="G78" i="3"/>
  <c r="I114" i="6" l="1"/>
  <c r="D24" i="6"/>
  <c r="D25" i="6" s="1"/>
  <c r="K192" i="6"/>
  <c r="FC114" i="10"/>
  <c r="FC123" i="10" s="1"/>
  <c r="J111" i="6"/>
  <c r="H91" i="3"/>
  <c r="H78" i="3"/>
  <c r="H79" i="3" s="1"/>
  <c r="H83" i="3" s="1"/>
  <c r="C133" i="41"/>
  <c r="C136" i="41" s="1"/>
  <c r="C144" i="41"/>
  <c r="J91" i="37"/>
  <c r="J92" i="37" s="1"/>
  <c r="J95" i="37"/>
  <c r="J101" i="37" s="1"/>
  <c r="K82" i="37"/>
  <c r="J85" i="37"/>
  <c r="K85" i="37" s="1"/>
  <c r="B117" i="37"/>
  <c r="J83" i="37"/>
  <c r="B154" i="37"/>
  <c r="FD113" i="10"/>
  <c r="FD143" i="4"/>
  <c r="FD129" i="4"/>
  <c r="FD132" i="4" s="1"/>
  <c r="C259" i="6" s="1"/>
  <c r="FD122" i="4"/>
  <c r="E5436" i="3"/>
  <c r="H125" i="6"/>
  <c r="D5453" i="3"/>
  <c r="D5468" i="3"/>
  <c r="D2824" i="3"/>
  <c r="D2825" i="3" s="1"/>
  <c r="D2827" i="3" s="1"/>
  <c r="D2802" i="3"/>
  <c r="K192" i="41"/>
  <c r="F5466" i="3"/>
  <c r="E5465" i="3"/>
  <c r="G125" i="6"/>
  <c r="K193" i="41"/>
  <c r="FF120" i="10"/>
  <c r="FF79" i="4"/>
  <c r="F114" i="6"/>
  <c r="K194" i="6"/>
  <c r="B1854" i="3"/>
  <c r="FE96" i="4"/>
  <c r="FE1033" i="10"/>
  <c r="FE1032" i="10" s="1"/>
  <c r="FE81" i="4"/>
  <c r="FE109" i="10" s="1"/>
  <c r="I125" i="6"/>
  <c r="J78" i="3"/>
  <c r="J79" i="3" s="1"/>
  <c r="G79" i="3"/>
  <c r="G83" i="3" s="1"/>
  <c r="J83" i="3" s="1"/>
  <c r="K194" i="41"/>
  <c r="FD157" i="4"/>
  <c r="J157" i="41"/>
  <c r="F157" i="6"/>
  <c r="EY117" i="10"/>
  <c r="EY1021" i="10" s="1"/>
  <c r="EY1030" i="10" s="1"/>
  <c r="EY200" i="4"/>
  <c r="EY126" i="4" s="1"/>
  <c r="H113" i="3"/>
  <c r="H164" i="3"/>
  <c r="EZ192" i="4"/>
  <c r="EZ190" i="4"/>
  <c r="FH108" i="10"/>
  <c r="FH165" i="4"/>
  <c r="FI77" i="4"/>
  <c r="FA176" i="4"/>
  <c r="FA180" i="4" s="1"/>
  <c r="FA191" i="4" s="1"/>
  <c r="FA197" i="4"/>
  <c r="FB171" i="4"/>
  <c r="FG107" i="10"/>
  <c r="FG167" i="4"/>
  <c r="FG76" i="4"/>
  <c r="N1408" i="3"/>
  <c r="M1410" i="3"/>
  <c r="M1411" i="3" s="1"/>
  <c r="M1414" i="3" s="1"/>
  <c r="M1415" i="3" s="1"/>
  <c r="G93" i="3"/>
  <c r="J93" i="3" s="1"/>
  <c r="G116" i="3"/>
  <c r="J91" i="3"/>
  <c r="EZ116" i="10"/>
  <c r="EZ198" i="4"/>
  <c r="B958" i="3" s="1"/>
  <c r="F5425" i="3"/>
  <c r="F5424" i="3"/>
  <c r="F5435" i="3"/>
  <c r="G5423" i="3"/>
  <c r="D974" i="3" l="1"/>
  <c r="D975" i="3" s="1"/>
  <c r="D977" i="3" s="1"/>
  <c r="B959" i="3"/>
  <c r="B961" i="3" s="1"/>
  <c r="J114" i="6"/>
  <c r="FD140" i="4"/>
  <c r="FD145" i="4"/>
  <c r="FD147" i="4" s="1"/>
  <c r="FD149" i="4" s="1"/>
  <c r="I127" i="6"/>
  <c r="B155" i="37"/>
  <c r="B158" i="37" s="1"/>
  <c r="B185" i="37"/>
  <c r="B186" i="37" s="1"/>
  <c r="B189" i="37" s="1"/>
  <c r="B119" i="37"/>
  <c r="C117" i="37"/>
  <c r="O1408" i="3"/>
  <c r="N1410" i="3"/>
  <c r="N1411" i="3" s="1"/>
  <c r="N1414" i="3" s="1"/>
  <c r="N1415" i="3" s="1"/>
  <c r="F5465" i="3"/>
  <c r="G5466" i="3"/>
  <c r="H127" i="6"/>
  <c r="FG79" i="4"/>
  <c r="FG120" i="10"/>
  <c r="G127" i="6"/>
  <c r="E5468" i="3"/>
  <c r="E5453" i="3"/>
  <c r="J116" i="3"/>
  <c r="G118" i="3"/>
  <c r="J118" i="3" s="1"/>
  <c r="G114" i="3"/>
  <c r="G5435" i="3"/>
  <c r="G5425" i="3"/>
  <c r="G5424" i="3"/>
  <c r="H5423" i="3"/>
  <c r="F5436" i="3"/>
  <c r="FA198" i="4"/>
  <c r="FA116" i="10"/>
  <c r="FA192" i="4"/>
  <c r="FA190" i="4"/>
  <c r="H115" i="41"/>
  <c r="K115" i="41"/>
  <c r="B115" i="41"/>
  <c r="C115" i="41"/>
  <c r="D115" i="41"/>
  <c r="E115" i="41"/>
  <c r="F115" i="41"/>
  <c r="G115" i="41"/>
  <c r="C139" i="41"/>
  <c r="C141" i="41" s="1"/>
  <c r="C142" i="41" s="1"/>
  <c r="I115" i="41"/>
  <c r="J115" i="41"/>
  <c r="F125" i="6"/>
  <c r="FF96" i="4"/>
  <c r="FF1033" i="10"/>
  <c r="FF1032" i="10" s="1"/>
  <c r="FF81" i="4"/>
  <c r="FF109" i="10" s="1"/>
  <c r="FD159" i="4"/>
  <c r="FD160" i="4" s="1"/>
  <c r="FD124" i="4"/>
  <c r="H93" i="3"/>
  <c r="H116" i="3"/>
  <c r="FI108" i="10"/>
  <c r="FI165" i="4"/>
  <c r="FB176" i="4"/>
  <c r="FB197" i="4"/>
  <c r="FC171" i="4"/>
  <c r="EZ117" i="10"/>
  <c r="EZ1021" i="10" s="1"/>
  <c r="EZ1030" i="10" s="1"/>
  <c r="EZ200" i="4"/>
  <c r="EZ126" i="4" s="1"/>
  <c r="I4984" i="3"/>
  <c r="I4985" i="3" s="1"/>
  <c r="E2785" i="3"/>
  <c r="E2784" i="3" s="1"/>
  <c r="E2792" i="3" s="1"/>
  <c r="E2793" i="3" s="1"/>
  <c r="E1837" i="3"/>
  <c r="F2962" i="3"/>
  <c r="F2964" i="3" s="1"/>
  <c r="FD122" i="10"/>
  <c r="FD1037" i="10"/>
  <c r="FD668" i="2"/>
  <c r="FD134" i="4"/>
  <c r="E101" i="37"/>
  <c r="E100" i="37" s="1"/>
  <c r="H34" i="11"/>
  <c r="F23" i="42"/>
  <c r="F25" i="42" s="1"/>
  <c r="F28" i="42" s="1"/>
  <c r="B46" i="6"/>
  <c r="D2148" i="3"/>
  <c r="D2149" i="3" s="1"/>
  <c r="B2177" i="3"/>
  <c r="B2178" i="3" s="1"/>
  <c r="B2179" i="3" s="1"/>
  <c r="G46" i="6"/>
  <c r="G48" i="6" s="1"/>
  <c r="G51" i="6" s="1"/>
  <c r="C259" i="41"/>
  <c r="B46" i="41"/>
  <c r="G46" i="41"/>
  <c r="G48" i="41" s="1"/>
  <c r="G51" i="41" s="1"/>
  <c r="C2885" i="3"/>
  <c r="C2887" i="3" s="1"/>
  <c r="C2890" i="3" s="1"/>
  <c r="C129" i="6" l="1"/>
  <c r="G112" i="3"/>
  <c r="G111" i="3" s="1"/>
  <c r="J114" i="3"/>
  <c r="G103" i="3"/>
  <c r="F5468" i="3"/>
  <c r="F5453" i="3"/>
  <c r="FD114" i="10"/>
  <c r="FD123" i="10" s="1"/>
  <c r="E24" i="41"/>
  <c r="E25" i="41" s="1"/>
  <c r="E24" i="6"/>
  <c r="E25" i="6" s="1"/>
  <c r="FB198" i="4"/>
  <c r="FB116" i="10"/>
  <c r="C119" i="37"/>
  <c r="D117" i="37"/>
  <c r="FA117" i="10"/>
  <c r="FA1021" i="10" s="1"/>
  <c r="FA1030" i="10" s="1"/>
  <c r="FA200" i="4"/>
  <c r="FA126" i="4" s="1"/>
  <c r="H118" i="3"/>
  <c r="H114" i="3"/>
  <c r="G5465" i="3"/>
  <c r="H5466" i="3"/>
  <c r="F127" i="6"/>
  <c r="C134" i="6" s="1"/>
  <c r="P1408" i="3"/>
  <c r="O1410" i="3"/>
  <c r="O1411" i="3" s="1"/>
  <c r="O1414" i="3" s="1"/>
  <c r="O1415" i="3" s="1"/>
  <c r="C282" i="41"/>
  <c r="B282" i="41" s="1"/>
  <c r="B283" i="41" s="1"/>
  <c r="C261" i="41"/>
  <c r="C189" i="37"/>
  <c r="B191" i="37"/>
  <c r="B193" i="37" s="1"/>
  <c r="B194" i="37" s="1"/>
  <c r="FE157" i="4"/>
  <c r="K157" i="41"/>
  <c r="G157" i="6"/>
  <c r="C158" i="37"/>
  <c r="B160" i="37"/>
  <c r="B162" i="37" s="1"/>
  <c r="B163" i="37" s="1"/>
  <c r="F29" i="42"/>
  <c r="F79" i="42"/>
  <c r="G102" i="41"/>
  <c r="G52" i="41"/>
  <c r="D46" i="41"/>
  <c r="D48" i="41" s="1"/>
  <c r="D51" i="41" s="1"/>
  <c r="B48" i="41"/>
  <c r="B51" i="41" s="1"/>
  <c r="B52" i="41" s="1"/>
  <c r="G52" i="6"/>
  <c r="G102" i="6"/>
  <c r="G152" i="6"/>
  <c r="G154" i="6" s="1"/>
  <c r="G156" i="6" s="1"/>
  <c r="G152" i="41"/>
  <c r="G154" i="41" s="1"/>
  <c r="G156" i="41" s="1"/>
  <c r="FG96" i="4"/>
  <c r="FG1033" i="10"/>
  <c r="FG1032" i="10" s="1"/>
  <c r="FG81" i="4"/>
  <c r="FG109" i="10" s="1"/>
  <c r="H5435" i="3"/>
  <c r="H5425" i="3"/>
  <c r="I5423" i="3"/>
  <c r="H5424" i="3"/>
  <c r="C131" i="6"/>
  <c r="C1854" i="3"/>
  <c r="E1836" i="3"/>
  <c r="C1843" i="3"/>
  <c r="B1844" i="3" s="1"/>
  <c r="B1855" i="3"/>
  <c r="E2794" i="3"/>
  <c r="E2800" i="3"/>
  <c r="FC197" i="4"/>
  <c r="FD171" i="4"/>
  <c r="FC176" i="4"/>
  <c r="FB180" i="4"/>
  <c r="FD1029" i="10"/>
  <c r="H35" i="11"/>
  <c r="FE123" i="4"/>
  <c r="B1889" i="3"/>
  <c r="B1891" i="3" s="1"/>
  <c r="B1894" i="3" s="1"/>
  <c r="B189" i="39"/>
  <c r="C261" i="6"/>
  <c r="C282" i="6"/>
  <c r="C3094" i="3"/>
  <c r="D46" i="6"/>
  <c r="D48" i="6" s="1"/>
  <c r="D51" i="6" s="1"/>
  <c r="B48" i="6"/>
  <c r="B51" i="6" s="1"/>
  <c r="D55" i="27"/>
  <c r="G5436" i="3"/>
  <c r="FB117" i="10" l="1"/>
  <c r="FB1021" i="10" s="1"/>
  <c r="FB200" i="4"/>
  <c r="FB126" i="4" s="1"/>
  <c r="C189" i="39"/>
  <c r="D189" i="39"/>
  <c r="B192" i="39"/>
  <c r="B180" i="39" s="1"/>
  <c r="C56" i="27"/>
  <c r="C55" i="27" s="1"/>
  <c r="C27" i="27"/>
  <c r="I27" i="27"/>
  <c r="B52" i="6"/>
  <c r="J5423" i="3"/>
  <c r="I5435" i="3"/>
  <c r="I5425" i="3"/>
  <c r="I5424" i="3"/>
  <c r="C144" i="6"/>
  <c r="C133" i="6"/>
  <c r="FB191" i="4"/>
  <c r="FC180" i="4"/>
  <c r="H5465" i="3"/>
  <c r="I5466" i="3"/>
  <c r="FD176" i="4"/>
  <c r="FD180" i="4" s="1"/>
  <c r="FD191" i="4" s="1"/>
  <c r="FD197" i="4"/>
  <c r="Q1408" i="3"/>
  <c r="P1410" i="3"/>
  <c r="P1411" i="3" s="1"/>
  <c r="P1414" i="3" s="1"/>
  <c r="P1415" i="3" s="1"/>
  <c r="J103" i="3"/>
  <c r="J104" i="3" s="1"/>
  <c r="G104" i="3"/>
  <c r="H5436" i="3"/>
  <c r="D158" i="37"/>
  <c r="C160" i="37"/>
  <c r="C162" i="37" s="1"/>
  <c r="C163" i="37" s="1"/>
  <c r="G5468" i="3"/>
  <c r="G5453" i="3"/>
  <c r="H112" i="3"/>
  <c r="H111" i="3" s="1"/>
  <c r="H103" i="3"/>
  <c r="H104" i="3" s="1"/>
  <c r="E2824" i="3"/>
  <c r="E2825" i="3" s="1"/>
  <c r="E2827" i="3" s="1"/>
  <c r="E2802" i="3"/>
  <c r="FE159" i="4"/>
  <c r="C1422" i="3"/>
  <c r="B282" i="6"/>
  <c r="B283" i="6" s="1"/>
  <c r="D189" i="37"/>
  <c r="C191" i="37"/>
  <c r="C193" i="37" s="1"/>
  <c r="C194" i="37" s="1"/>
  <c r="J111" i="3"/>
  <c r="J112" i="3" s="1"/>
  <c r="G107" i="3"/>
  <c r="G127" i="3"/>
  <c r="FC198" i="4"/>
  <c r="D104" i="37"/>
  <c r="D105" i="37" s="1"/>
  <c r="D107" i="37" s="1"/>
  <c r="FC116" i="10"/>
  <c r="C264" i="6"/>
  <c r="C267" i="6"/>
  <c r="C264" i="41"/>
  <c r="C267" i="41"/>
  <c r="D119" i="37"/>
  <c r="E117" i="37"/>
  <c r="FD198" i="4" l="1"/>
  <c r="E104" i="37"/>
  <c r="FD116" i="10"/>
  <c r="H5468" i="3"/>
  <c r="H5453" i="3"/>
  <c r="C29" i="27"/>
  <c r="C30" i="27"/>
  <c r="FB192" i="4"/>
  <c r="FC191" i="4"/>
  <c r="FC192" i="4" s="1"/>
  <c r="FB190" i="4"/>
  <c r="FC190" i="4" s="1"/>
  <c r="B200" i="39"/>
  <c r="B282" i="39"/>
  <c r="B181" i="39"/>
  <c r="FD192" i="4"/>
  <c r="FD190" i="4"/>
  <c r="C136" i="6"/>
  <c r="F189" i="39"/>
  <c r="F192" i="39" s="1"/>
  <c r="F180" i="39" s="1"/>
  <c r="D192" i="39"/>
  <c r="D180" i="39" s="1"/>
  <c r="E189" i="39"/>
  <c r="E192" i="39" s="1"/>
  <c r="E180" i="39" s="1"/>
  <c r="C192" i="39"/>
  <c r="C180" i="39" s="1"/>
  <c r="H152" i="6"/>
  <c r="H154" i="6" s="1"/>
  <c r="H156" i="6" s="1"/>
  <c r="H152" i="41"/>
  <c r="H154" i="41" s="1"/>
  <c r="H156" i="41" s="1"/>
  <c r="FE160" i="4"/>
  <c r="I5465" i="3"/>
  <c r="J5466" i="3"/>
  <c r="D2796" i="3"/>
  <c r="D2798" i="3" s="1"/>
  <c r="D2803" i="3" s="1"/>
  <c r="C536" i="3"/>
  <c r="C537" i="3" s="1"/>
  <c r="EY16" i="32"/>
  <c r="E75" i="42"/>
  <c r="E76" i="42" s="1"/>
  <c r="E78" i="42" s="1"/>
  <c r="FC117" i="10"/>
  <c r="FC1021" i="10" s="1"/>
  <c r="F98" i="6"/>
  <c r="F99" i="6" s="1"/>
  <c r="F101" i="6" s="1"/>
  <c r="FC200" i="4"/>
  <c r="F98" i="41"/>
  <c r="F99" i="41" s="1"/>
  <c r="F101" i="41" s="1"/>
  <c r="K5423" i="3"/>
  <c r="J5435" i="3"/>
  <c r="J5425" i="3"/>
  <c r="J5424" i="3"/>
  <c r="E158" i="37"/>
  <c r="D160" i="37"/>
  <c r="D162" i="37" s="1"/>
  <c r="D163" i="37" s="1"/>
  <c r="I29" i="27"/>
  <c r="I30" i="27"/>
  <c r="J107" i="3"/>
  <c r="G108" i="3"/>
  <c r="J108" i="3" s="1"/>
  <c r="E189" i="37"/>
  <c r="D191" i="37"/>
  <c r="D193" i="37" s="1"/>
  <c r="D194" i="37" s="1"/>
  <c r="J127" i="3"/>
  <c r="J128" i="3" s="1"/>
  <c r="G128" i="3"/>
  <c r="E119" i="37"/>
  <c r="F117" i="37"/>
  <c r="H127" i="3"/>
  <c r="H128" i="3" s="1"/>
  <c r="H130" i="3" s="1"/>
  <c r="H132" i="3" s="1"/>
  <c r="H133" i="3" s="1"/>
  <c r="H107" i="3"/>
  <c r="H108" i="3" s="1"/>
  <c r="R1408" i="3"/>
  <c r="Q1410" i="3"/>
  <c r="Q1411" i="3" s="1"/>
  <c r="Q1414" i="3" s="1"/>
  <c r="Q1415" i="3" s="1"/>
  <c r="B1422" i="3"/>
  <c r="B1423" i="3" s="1"/>
  <c r="B1424" i="3" s="1"/>
  <c r="I5436" i="3"/>
  <c r="FB1030" i="10" l="1"/>
  <c r="FC1030" i="10"/>
  <c r="F158" i="37"/>
  <c r="E160" i="37"/>
  <c r="E162" i="37" s="1"/>
  <c r="E163" i="37" s="1"/>
  <c r="S1408" i="3"/>
  <c r="R1410" i="3"/>
  <c r="R1411" i="3" s="1"/>
  <c r="R1414" i="3" s="1"/>
  <c r="R1415" i="3" s="1"/>
  <c r="L22" i="27"/>
  <c r="FC126" i="4"/>
  <c r="L23" i="27"/>
  <c r="G36" i="11"/>
  <c r="F22" i="27"/>
  <c r="F24" i="27" s="1"/>
  <c r="FF157" i="4"/>
  <c r="L157" i="41"/>
  <c r="B159" i="41" s="1"/>
  <c r="B161" i="41" s="1"/>
  <c r="H157" i="6"/>
  <c r="FE163" i="4"/>
  <c r="FE164" i="4" s="1"/>
  <c r="FE166" i="4" s="1"/>
  <c r="C200" i="39"/>
  <c r="C282" i="39"/>
  <c r="C181" i="39"/>
  <c r="C539" i="3"/>
  <c r="C541" i="3"/>
  <c r="C543" i="3" s="1"/>
  <c r="C545" i="3" s="1"/>
  <c r="D551" i="3"/>
  <c r="E550" i="3" s="1"/>
  <c r="D200" i="39"/>
  <c r="D282" i="39"/>
  <c r="D181" i="39"/>
  <c r="F189" i="37"/>
  <c r="E191" i="37"/>
  <c r="E193" i="37" s="1"/>
  <c r="E194" i="37" s="1"/>
  <c r="F282" i="39"/>
  <c r="F200" i="39"/>
  <c r="F181" i="39"/>
  <c r="E282" i="39"/>
  <c r="E200" i="39"/>
  <c r="E181" i="39"/>
  <c r="J5465" i="3"/>
  <c r="K5466" i="3"/>
  <c r="C115" i="6"/>
  <c r="D115" i="6"/>
  <c r="E115" i="6"/>
  <c r="C143" i="6"/>
  <c r="F115" i="6"/>
  <c r="G115" i="6"/>
  <c r="H115" i="6"/>
  <c r="I115" i="6"/>
  <c r="J115" i="6"/>
  <c r="B115" i="6"/>
  <c r="C139" i="6"/>
  <c r="J5436" i="3"/>
  <c r="I5468" i="3"/>
  <c r="I5453" i="3"/>
  <c r="EY17" i="32"/>
  <c r="G117" i="37"/>
  <c r="G119" i="37" s="1"/>
  <c r="F119" i="37"/>
  <c r="G130" i="3"/>
  <c r="G131" i="3"/>
  <c r="H131" i="3" s="1"/>
  <c r="B183" i="39"/>
  <c r="B185" i="39" s="1"/>
  <c r="B186" i="39"/>
  <c r="B199" i="39" s="1"/>
  <c r="B198" i="39" s="1"/>
  <c r="B202" i="39" s="1"/>
  <c r="F104" i="37"/>
  <c r="E105" i="37"/>
  <c r="E107" i="37" s="1"/>
  <c r="B283" i="39"/>
  <c r="B294" i="39"/>
  <c r="E2796" i="3"/>
  <c r="E2798" i="3" s="1"/>
  <c r="E2803" i="3" s="1"/>
  <c r="B240" i="3"/>
  <c r="B241" i="3" s="1"/>
  <c r="B243" i="3" s="1"/>
  <c r="D984" i="3"/>
  <c r="EZ16" i="32"/>
  <c r="EZ17" i="32" s="1"/>
  <c r="F75" i="42"/>
  <c r="F76" i="42" s="1"/>
  <c r="F78" i="42" s="1"/>
  <c r="G98" i="6"/>
  <c r="G99" i="6" s="1"/>
  <c r="G101" i="6" s="1"/>
  <c r="FD200" i="4"/>
  <c r="D939" i="3"/>
  <c r="D940" i="3" s="1"/>
  <c r="D942" i="3" s="1"/>
  <c r="G98" i="41"/>
  <c r="G99" i="41" s="1"/>
  <c r="G101" i="41" s="1"/>
  <c r="FD117" i="10"/>
  <c r="FD1021" i="10" s="1"/>
  <c r="FD1030" i="10" s="1"/>
  <c r="L5423" i="3"/>
  <c r="K5435" i="3"/>
  <c r="K5424" i="3"/>
  <c r="K5425" i="3"/>
  <c r="FF159" i="4" l="1"/>
  <c r="E294" i="39"/>
  <c r="E283" i="39"/>
  <c r="G132" i="3"/>
  <c r="G133" i="3" s="1"/>
  <c r="J130" i="3"/>
  <c r="E132" i="3"/>
  <c r="E133" i="3" s="1"/>
  <c r="F132" i="3"/>
  <c r="F133" i="3" s="1"/>
  <c r="FD126" i="4"/>
  <c r="H36" i="11"/>
  <c r="L24" i="27"/>
  <c r="F294" i="39"/>
  <c r="F283" i="39"/>
  <c r="T1408" i="3"/>
  <c r="S1410" i="3"/>
  <c r="S1411" i="3" s="1"/>
  <c r="S1414" i="3" s="1"/>
  <c r="S1415" i="3" s="1"/>
  <c r="D186" i="39"/>
  <c r="D199" i="39" s="1"/>
  <c r="D198" i="39" s="1"/>
  <c r="D202" i="39" s="1"/>
  <c r="D183" i="39"/>
  <c r="D185" i="39" s="1"/>
  <c r="G189" i="37"/>
  <c r="F191" i="37"/>
  <c r="F193" i="37" s="1"/>
  <c r="F194" i="37" s="1"/>
  <c r="K5465" i="3"/>
  <c r="L5466" i="3"/>
  <c r="M5423" i="3"/>
  <c r="L5435" i="3"/>
  <c r="L5424" i="3"/>
  <c r="L5425" i="3"/>
  <c r="J5468" i="3"/>
  <c r="J5453" i="3"/>
  <c r="C283" i="39"/>
  <c r="C294" i="39"/>
  <c r="G104" i="37"/>
  <c r="F105" i="37"/>
  <c r="F107" i="37" s="1"/>
  <c r="C183" i="39"/>
  <c r="C185" i="39" s="1"/>
  <c r="C186" i="39"/>
  <c r="C199" i="39" s="1"/>
  <c r="C198" i="39" s="1"/>
  <c r="C202" i="39" s="1"/>
  <c r="C141" i="6"/>
  <c r="E186" i="39"/>
  <c r="E199" i="39" s="1"/>
  <c r="E198" i="39" s="1"/>
  <c r="E202" i="39" s="1"/>
  <c r="E183" i="39"/>
  <c r="E185" i="39" s="1"/>
  <c r="F160" i="37"/>
  <c r="F162" i="37" s="1"/>
  <c r="F163" i="37" s="1"/>
  <c r="G158" i="37"/>
  <c r="F186" i="39"/>
  <c r="F199" i="39" s="1"/>
  <c r="F198" i="39" s="1"/>
  <c r="F202" i="39" s="1"/>
  <c r="F183" i="39"/>
  <c r="F185" i="39" s="1"/>
  <c r="D994" i="3"/>
  <c r="D995" i="3" s="1"/>
  <c r="D997" i="3" s="1"/>
  <c r="D985" i="3"/>
  <c r="D987" i="3" s="1"/>
  <c r="D294" i="39"/>
  <c r="D283" i="39"/>
  <c r="B285" i="39"/>
  <c r="B287" i="39" s="1"/>
  <c r="B288" i="39"/>
  <c r="B293" i="39" s="1"/>
  <c r="B292" i="39" s="1"/>
  <c r="B296" i="39" s="1"/>
  <c r="K5436" i="3"/>
  <c r="F2783" i="3"/>
  <c r="FA13" i="32"/>
  <c r="FA15" i="32" s="1"/>
  <c r="FE139" i="4"/>
  <c r="FE168" i="4"/>
  <c r="FE100" i="4" s="1"/>
  <c r="L5465" i="3" l="1"/>
  <c r="M5466" i="3"/>
  <c r="M5465" i="3" s="1"/>
  <c r="K5468" i="3"/>
  <c r="K5453" i="3"/>
  <c r="N5423" i="3"/>
  <c r="M5435" i="3"/>
  <c r="M5424" i="3"/>
  <c r="M5425" i="3"/>
  <c r="L5436" i="3"/>
  <c r="F288" i="39"/>
  <c r="F293" i="39" s="1"/>
  <c r="F292" i="39" s="1"/>
  <c r="F296" i="39" s="1"/>
  <c r="F285" i="39"/>
  <c r="F287" i="39" s="1"/>
  <c r="D288" i="39"/>
  <c r="D293" i="39" s="1"/>
  <c r="D292" i="39" s="1"/>
  <c r="D296" i="39" s="1"/>
  <c r="D285" i="39"/>
  <c r="D287" i="39" s="1"/>
  <c r="C288" i="39"/>
  <c r="C293" i="39" s="1"/>
  <c r="C292" i="39" s="1"/>
  <c r="C296" i="39" s="1"/>
  <c r="C285" i="39"/>
  <c r="C287" i="39" s="1"/>
  <c r="E288" i="39"/>
  <c r="E293" i="39" s="1"/>
  <c r="E292" i="39" s="1"/>
  <c r="E296" i="39" s="1"/>
  <c r="E285" i="39"/>
  <c r="E287" i="39" s="1"/>
  <c r="H104" i="37"/>
  <c r="G105" i="37"/>
  <c r="G107" i="37" s="1"/>
  <c r="I152" i="41"/>
  <c r="I154" i="41" s="1"/>
  <c r="I156" i="41" s="1"/>
  <c r="I152" i="6"/>
  <c r="I154" i="6" s="1"/>
  <c r="I156" i="6" s="1"/>
  <c r="FE187" i="4"/>
  <c r="FE105" i="4"/>
  <c r="G160" i="37"/>
  <c r="G162" i="37" s="1"/>
  <c r="G163" i="37" s="1"/>
  <c r="H158" i="37"/>
  <c r="F2791" i="3"/>
  <c r="FF160" i="4"/>
  <c r="X44" i="23"/>
  <c r="X51" i="23" s="1"/>
  <c r="C142" i="6"/>
  <c r="H189" i="37"/>
  <c r="G191" i="37"/>
  <c r="G193" i="37" s="1"/>
  <c r="G194" i="37" s="1"/>
  <c r="T1410" i="3"/>
  <c r="T1411" i="3" s="1"/>
  <c r="T1414" i="3" s="1"/>
  <c r="T1415" i="3" s="1"/>
  <c r="U1408" i="3"/>
  <c r="U1410" i="3" s="1"/>
  <c r="U1411" i="3" s="1"/>
  <c r="U1414" i="3" s="1"/>
  <c r="U1415" i="3" l="1"/>
  <c r="C1431" i="3" s="1"/>
  <c r="B1431" i="3" s="1"/>
  <c r="B1432" i="3" s="1"/>
  <c r="B1433" i="3" s="1"/>
  <c r="B1435" i="3" s="1"/>
  <c r="FE113" i="10"/>
  <c r="FE143" i="4"/>
  <c r="FE129" i="4"/>
  <c r="FE132" i="4" s="1"/>
  <c r="FE122" i="4"/>
  <c r="H191" i="37"/>
  <c r="H193" i="37" s="1"/>
  <c r="H194" i="37" s="1"/>
  <c r="I189" i="37"/>
  <c r="FG157" i="4"/>
  <c r="I157" i="6"/>
  <c r="FF163" i="4"/>
  <c r="FF164" i="4" s="1"/>
  <c r="FF166" i="4" s="1"/>
  <c r="M5468" i="3"/>
  <c r="M5453" i="3"/>
  <c r="L5468" i="3"/>
  <c r="L5453" i="3"/>
  <c r="H105" i="37"/>
  <c r="H107" i="37" s="1"/>
  <c r="I104" i="37"/>
  <c r="M5436" i="3"/>
  <c r="N5435" i="3"/>
  <c r="H160" i="37"/>
  <c r="H162" i="37" s="1"/>
  <c r="H163" i="37" s="1"/>
  <c r="I158" i="37"/>
  <c r="G2783" i="3" l="1"/>
  <c r="FB13" i="32"/>
  <c r="FB15" i="32" s="1"/>
  <c r="FF139" i="4"/>
  <c r="FF168" i="4"/>
  <c r="FF100" i="4" s="1"/>
  <c r="FG159" i="4"/>
  <c r="FG160" i="4" s="1"/>
  <c r="J4984" i="3"/>
  <c r="J4985" i="3" s="1"/>
  <c r="F2785" i="3"/>
  <c r="F2784" i="3" s="1"/>
  <c r="F2792" i="3" s="1"/>
  <c r="F2793" i="3" s="1"/>
  <c r="FE122" i="10"/>
  <c r="FE1029" i="10" s="1"/>
  <c r="FE1037" i="10"/>
  <c r="FE134" i="4"/>
  <c r="I34" i="11"/>
  <c r="F46" i="41"/>
  <c r="F48" i="41" s="1"/>
  <c r="F51" i="41" s="1"/>
  <c r="E23" i="42"/>
  <c r="E25" i="42" s="1"/>
  <c r="E28" i="42" s="1"/>
  <c r="F46" i="6"/>
  <c r="F48" i="6" s="1"/>
  <c r="F51" i="6" s="1"/>
  <c r="I191" i="37"/>
  <c r="I193" i="37" s="1"/>
  <c r="I194" i="37" s="1"/>
  <c r="J189" i="37"/>
  <c r="FE124" i="4"/>
  <c r="I105" i="37"/>
  <c r="I107" i="37" s="1"/>
  <c r="J104" i="37"/>
  <c r="J105" i="37" s="1"/>
  <c r="FE145" i="4"/>
  <c r="FE147" i="4" s="1"/>
  <c r="FE149" i="4" s="1"/>
  <c r="FE140" i="4"/>
  <c r="I160" i="37"/>
  <c r="I162" i="37" s="1"/>
  <c r="I163" i="37" s="1"/>
  <c r="J158" i="37"/>
  <c r="FH157" i="4" l="1"/>
  <c r="J157" i="6"/>
  <c r="FG163" i="4"/>
  <c r="FG164" i="4" s="1"/>
  <c r="FG166" i="4" s="1"/>
  <c r="FE114" i="10"/>
  <c r="FE123" i="10" s="1"/>
  <c r="F24" i="41"/>
  <c r="F25" i="41" s="1"/>
  <c r="F24" i="6"/>
  <c r="F25" i="6" s="1"/>
  <c r="J160" i="37"/>
  <c r="J162" i="37" s="1"/>
  <c r="J163" i="37" s="1"/>
  <c r="K158" i="37"/>
  <c r="J191" i="37"/>
  <c r="J193" i="37" s="1"/>
  <c r="J194" i="37" s="1"/>
  <c r="K189" i="37"/>
  <c r="F102" i="41"/>
  <c r="F52" i="41"/>
  <c r="F2794" i="3"/>
  <c r="F2800" i="3"/>
  <c r="FF105" i="4"/>
  <c r="FF187" i="4"/>
  <c r="B120" i="37"/>
  <c r="J107" i="37"/>
  <c r="J152" i="6"/>
  <c r="J154" i="6" s="1"/>
  <c r="J156" i="6" s="1"/>
  <c r="J152" i="41"/>
  <c r="J154" i="41" s="1"/>
  <c r="J156" i="41" s="1"/>
  <c r="F52" i="6"/>
  <c r="F102" i="6"/>
  <c r="I35" i="11"/>
  <c r="FF123" i="4"/>
  <c r="FE171" i="4"/>
  <c r="E29" i="42"/>
  <c r="E79" i="42"/>
  <c r="G2791" i="3"/>
  <c r="F2824" i="3" l="1"/>
  <c r="F2825" i="3" s="1"/>
  <c r="F2827" i="3" s="1"/>
  <c r="F2802" i="3"/>
  <c r="K160" i="37"/>
  <c r="K162" i="37" s="1"/>
  <c r="K163" i="37" s="1"/>
  <c r="L158" i="37"/>
  <c r="L160" i="37" s="1"/>
  <c r="L162" i="37" s="1"/>
  <c r="L163" i="37" s="1"/>
  <c r="FE176" i="4"/>
  <c r="FE180" i="4" s="1"/>
  <c r="FE191" i="4" s="1"/>
  <c r="FE197" i="4"/>
  <c r="C120" i="37"/>
  <c r="B121" i="37"/>
  <c r="B123" i="37" s="1"/>
  <c r="B124" i="37" s="1"/>
  <c r="FF122" i="4"/>
  <c r="FF129" i="4"/>
  <c r="FF132" i="4" s="1"/>
  <c r="FF113" i="10"/>
  <c r="FF143" i="4"/>
  <c r="FC13" i="32"/>
  <c r="FC15" i="32" s="1"/>
  <c r="FG139" i="4"/>
  <c r="FG168" i="4"/>
  <c r="FG100" i="4" s="1"/>
  <c r="FG105" i="4" s="1"/>
  <c r="K191" i="37"/>
  <c r="K193" i="37" s="1"/>
  <c r="K194" i="37" s="1"/>
  <c r="L189" i="37"/>
  <c r="L191" i="37" s="1"/>
  <c r="L193" i="37" s="1"/>
  <c r="L194" i="37" s="1"/>
  <c r="FG187" i="4" l="1"/>
  <c r="FF145" i="4"/>
  <c r="FF147" i="4" s="1"/>
  <c r="FF149" i="4" s="1"/>
  <c r="FF140" i="4"/>
  <c r="D120" i="37"/>
  <c r="C121" i="37"/>
  <c r="C123" i="37" s="1"/>
  <c r="C124" i="37" s="1"/>
  <c r="FE192" i="4"/>
  <c r="FE190" i="4"/>
  <c r="FG122" i="4"/>
  <c r="FG129" i="4"/>
  <c r="FG132" i="4" s="1"/>
  <c r="FG113" i="10"/>
  <c r="FG143" i="4"/>
  <c r="FF124" i="4"/>
  <c r="FE198" i="4"/>
  <c r="FE116" i="10"/>
  <c r="K4984" i="3"/>
  <c r="K4985" i="3" s="1"/>
  <c r="G2785" i="3"/>
  <c r="G2784" i="3" s="1"/>
  <c r="G2792" i="3" s="1"/>
  <c r="G2793" i="3" s="1"/>
  <c r="FF122" i="10"/>
  <c r="FF1029" i="10" s="1"/>
  <c r="FF1037" i="10"/>
  <c r="J34" i="11"/>
  <c r="FF134" i="4"/>
  <c r="E120" i="37" l="1"/>
  <c r="D121" i="37"/>
  <c r="D123" i="37" s="1"/>
  <c r="D124" i="37" s="1"/>
  <c r="J35" i="11"/>
  <c r="FG123" i="4"/>
  <c r="FF171" i="4"/>
  <c r="FG145" i="4"/>
  <c r="FG147" i="4" s="1"/>
  <c r="FG149" i="4" s="1"/>
  <c r="FG140" i="4"/>
  <c r="FG124" i="4"/>
  <c r="G2794" i="3"/>
  <c r="G2800" i="3"/>
  <c r="F2796" i="3"/>
  <c r="F2798" i="3" s="1"/>
  <c r="F2803" i="3" s="1"/>
  <c r="FA16" i="32"/>
  <c r="G75" i="42"/>
  <c r="G76" i="42" s="1"/>
  <c r="G78" i="42" s="1"/>
  <c r="FE117" i="10"/>
  <c r="FE1021" i="10" s="1"/>
  <c r="FE1030" i="10" s="1"/>
  <c r="H98" i="6"/>
  <c r="H99" i="6" s="1"/>
  <c r="H101" i="6" s="1"/>
  <c r="FE200" i="4"/>
  <c r="H98" i="41"/>
  <c r="H99" i="41" s="1"/>
  <c r="H101" i="41" s="1"/>
  <c r="FF114" i="10"/>
  <c r="FF123" i="10" s="1"/>
  <c r="L4984" i="3"/>
  <c r="L4985" i="3" s="1"/>
  <c r="FG122" i="10"/>
  <c r="FG1029" i="10" s="1"/>
  <c r="FG134" i="4"/>
  <c r="FG1037" i="10"/>
  <c r="K34" i="11"/>
  <c r="G2824" i="3" l="1"/>
  <c r="G2802" i="3"/>
  <c r="FG114" i="10"/>
  <c r="FG123" i="10" s="1"/>
  <c r="FA17" i="32"/>
  <c r="K35" i="11"/>
  <c r="FH123" i="4"/>
  <c r="FF176" i="4"/>
  <c r="FF180" i="4" s="1"/>
  <c r="FF191" i="4" s="1"/>
  <c r="FF197" i="4"/>
  <c r="FG171" i="4"/>
  <c r="FE126" i="4"/>
  <c r="I36" i="11"/>
  <c r="F120" i="37"/>
  <c r="E121" i="37"/>
  <c r="E123" i="37" s="1"/>
  <c r="E124" i="37" s="1"/>
  <c r="FG176" i="4" l="1"/>
  <c r="FG180" i="4" s="1"/>
  <c r="FG191" i="4" s="1"/>
  <c r="FG197" i="4"/>
  <c r="FF198" i="4"/>
  <c r="FF116" i="10"/>
  <c r="FF192" i="4"/>
  <c r="FF190" i="4"/>
  <c r="B2856" i="3"/>
  <c r="B2857" i="3" s="1"/>
  <c r="B2859" i="3" s="1"/>
  <c r="G2825" i="3"/>
  <c r="G2827" i="3" s="1"/>
  <c r="G120" i="37"/>
  <c r="G121" i="37" s="1"/>
  <c r="G123" i="37" s="1"/>
  <c r="G124" i="37" s="1"/>
  <c r="F121" i="37"/>
  <c r="F123" i="37" s="1"/>
  <c r="F124" i="37" s="1"/>
  <c r="FG192" i="4" l="1"/>
  <c r="FG190" i="4"/>
  <c r="G2796" i="3"/>
  <c r="G2798" i="3" s="1"/>
  <c r="G2803" i="3" s="1"/>
  <c r="FB16" i="32"/>
  <c r="H75" i="42"/>
  <c r="H76" i="42" s="1"/>
  <c r="H78" i="42" s="1"/>
  <c r="I98" i="41"/>
  <c r="I99" i="41" s="1"/>
  <c r="I101" i="41" s="1"/>
  <c r="FF117" i="10"/>
  <c r="FF1021" i="10" s="1"/>
  <c r="FF1030" i="10" s="1"/>
  <c r="I98" i="6"/>
  <c r="I99" i="6" s="1"/>
  <c r="I101" i="6" s="1"/>
  <c r="FF200" i="4"/>
  <c r="FG198" i="4"/>
  <c r="FH197" i="4"/>
  <c r="FG116" i="10"/>
  <c r="B5464" i="3" l="1"/>
  <c r="FH116" i="10"/>
  <c r="FH124" i="4"/>
  <c r="FI197" i="4"/>
  <c r="FH196" i="4"/>
  <c r="FF126" i="4"/>
  <c r="J36" i="11"/>
  <c r="FC16" i="32"/>
  <c r="FD17" i="32" s="1"/>
  <c r="I75" i="42"/>
  <c r="I76" i="42" s="1"/>
  <c r="I78" i="42" s="1"/>
  <c r="J98" i="41"/>
  <c r="J99" i="41" s="1"/>
  <c r="J101" i="41" s="1"/>
  <c r="FG117" i="10"/>
  <c r="FG1021" i="10" s="1"/>
  <c r="FG1030" i="10" s="1"/>
  <c r="J98" i="6"/>
  <c r="J99" i="6" s="1"/>
  <c r="J101" i="6" s="1"/>
  <c r="FG200" i="4"/>
  <c r="FB17" i="32"/>
  <c r="FC17" i="32" l="1"/>
  <c r="FG126" i="4"/>
  <c r="K36" i="11"/>
  <c r="FH122" i="4"/>
  <c r="L35" i="11"/>
  <c r="FI123" i="4"/>
  <c r="FH171" i="4"/>
  <c r="B5463" i="3"/>
  <c r="FH202" i="4"/>
  <c r="FH113" i="4"/>
  <c r="FI202" i="4"/>
  <c r="FH189" i="4"/>
  <c r="FH115" i="10"/>
  <c r="C5464" i="3"/>
  <c r="D5464" i="3" s="1"/>
  <c r="FI116" i="10"/>
  <c r="FI124" i="4"/>
  <c r="FI196" i="4"/>
  <c r="E5464" i="3" l="1"/>
  <c r="D5463" i="3"/>
  <c r="FH211" i="4"/>
  <c r="FH218" i="4"/>
  <c r="FH220" i="4" s="1"/>
  <c r="FH221" i="4" s="1"/>
  <c r="FH176" i="4"/>
  <c r="FH180" i="4" s="1"/>
  <c r="FH191" i="4" s="1"/>
  <c r="FI171" i="4"/>
  <c r="FI176" i="4" s="1"/>
  <c r="FI180" i="4" s="1"/>
  <c r="FI191" i="4" s="1"/>
  <c r="FI211" i="4"/>
  <c r="FI218" i="4"/>
  <c r="FI220" i="4" s="1"/>
  <c r="K54" i="31"/>
  <c r="C5463" i="3"/>
  <c r="FI113" i="4"/>
  <c r="FI189" i="4"/>
  <c r="FI115" i="10"/>
  <c r="FI122" i="4"/>
  <c r="M35" i="11"/>
  <c r="L54" i="31" l="1"/>
  <c r="FI192" i="4"/>
  <c r="L52" i="31"/>
  <c r="K55" i="31"/>
  <c r="FH204" i="4" s="1"/>
  <c r="FH208" i="4" s="1"/>
  <c r="FH192" i="4"/>
  <c r="F5464" i="3"/>
  <c r="E5463" i="3"/>
  <c r="G5464" i="3" l="1"/>
  <c r="F5463" i="3"/>
  <c r="B5438" i="3"/>
  <c r="FH203" i="4"/>
  <c r="FI221" i="4"/>
  <c r="L50" i="31"/>
  <c r="L55" i="31" s="1"/>
  <c r="FI204" i="4" s="1"/>
  <c r="FI208" i="4" s="1"/>
  <c r="FH209" i="4"/>
  <c r="FD12" i="32"/>
  <c r="FH205" i="4"/>
  <c r="FH138" i="4" l="1"/>
  <c r="FH207" i="4"/>
  <c r="FH73" i="4" s="1"/>
  <c r="B5439" i="3"/>
  <c r="FH212" i="4"/>
  <c r="C5438" i="3"/>
  <c r="FI203" i="4"/>
  <c r="C5439" i="3" s="1"/>
  <c r="D5439" i="3" s="1"/>
  <c r="FI209" i="4"/>
  <c r="FE12" i="32"/>
  <c r="FI205" i="4"/>
  <c r="B5443" i="3"/>
  <c r="B5446" i="3" s="1"/>
  <c r="H5464" i="3"/>
  <c r="G5463" i="3"/>
  <c r="B5452" i="3" l="1"/>
  <c r="I5464" i="3"/>
  <c r="H5463" i="3"/>
  <c r="E5439" i="3"/>
  <c r="D5438" i="3"/>
  <c r="FI212" i="4"/>
  <c r="FI213" i="4" s="1"/>
  <c r="FH213" i="4"/>
  <c r="FH104" i="4" s="1"/>
  <c r="FH137" i="4" s="1"/>
  <c r="FI138" i="4"/>
  <c r="FI207" i="4"/>
  <c r="FI73" i="4" s="1"/>
  <c r="C5443" i="3"/>
  <c r="C5446" i="3" s="1"/>
  <c r="FH1036" i="10"/>
  <c r="FH105" i="10"/>
  <c r="FH74" i="4"/>
  <c r="C5452" i="3" l="1"/>
  <c r="FI1036" i="10"/>
  <c r="FI105" i="10"/>
  <c r="FI74" i="4"/>
  <c r="FI104" i="4"/>
  <c r="FI137" i="4" s="1"/>
  <c r="D5443" i="3"/>
  <c r="D5446" i="3" s="1"/>
  <c r="F5439" i="3"/>
  <c r="E5438" i="3"/>
  <c r="J5464" i="3"/>
  <c r="I5463" i="3"/>
  <c r="FH106" i="10"/>
  <c r="FH162" i="4"/>
  <c r="FH152" i="4"/>
  <c r="FH154" i="4" s="1"/>
  <c r="FH75" i="4"/>
  <c r="FH76" i="4" s="1"/>
  <c r="FH79" i="4" l="1"/>
  <c r="FH120" i="10"/>
  <c r="K5464" i="3"/>
  <c r="J5463" i="3"/>
  <c r="D5447" i="3"/>
  <c r="D5452" i="3"/>
  <c r="E5443" i="3"/>
  <c r="E5446" i="3" s="1"/>
  <c r="G5439" i="3"/>
  <c r="F5438" i="3"/>
  <c r="FI106" i="10"/>
  <c r="FI152" i="4"/>
  <c r="FI154" i="4" s="1"/>
  <c r="FI162" i="4"/>
  <c r="FI75" i="4"/>
  <c r="FI76" i="4" s="1"/>
  <c r="FH167" i="4"/>
  <c r="FH107" i="10"/>
  <c r="FH158" i="4"/>
  <c r="FH159" i="4"/>
  <c r="C5454" i="3"/>
  <c r="E5447" i="3" l="1"/>
  <c r="E5452" i="3"/>
  <c r="FI79" i="4"/>
  <c r="FI120" i="10"/>
  <c r="F5443" i="3"/>
  <c r="F5446" i="3" s="1"/>
  <c r="K152" i="41"/>
  <c r="K154" i="41" s="1"/>
  <c r="K156" i="41" s="1"/>
  <c r="K152" i="6"/>
  <c r="K154" i="6" s="1"/>
  <c r="K156" i="6" s="1"/>
  <c r="FH160" i="4"/>
  <c r="H5439" i="3"/>
  <c r="G5438" i="3"/>
  <c r="D5454" i="3"/>
  <c r="L5464" i="3"/>
  <c r="K5463" i="3"/>
  <c r="FI167" i="4"/>
  <c r="FI107" i="10"/>
  <c r="FI158" i="4"/>
  <c r="FH96" i="4"/>
  <c r="FH1033" i="10"/>
  <c r="FH1032" i="10" s="1"/>
  <c r="G5443" i="3" l="1"/>
  <c r="G5446" i="3" s="1"/>
  <c r="F5447" i="3"/>
  <c r="F5452" i="3"/>
  <c r="FI96" i="4"/>
  <c r="FI1033" i="10"/>
  <c r="FI1032" i="10" s="1"/>
  <c r="M5464" i="3"/>
  <c r="M5463" i="3" s="1"/>
  <c r="L5463" i="3"/>
  <c r="I5439" i="3"/>
  <c r="H5438" i="3"/>
  <c r="FI157" i="4"/>
  <c r="K157" i="6"/>
  <c r="FH163" i="4"/>
  <c r="FH164" i="4" s="1"/>
  <c r="FH166" i="4" s="1"/>
  <c r="E5454" i="3"/>
  <c r="F5454" i="3" l="1"/>
  <c r="G5447" i="3"/>
  <c r="G5452" i="3"/>
  <c r="FI159" i="4"/>
  <c r="H5443" i="3"/>
  <c r="H5446" i="3" s="1"/>
  <c r="J5439" i="3"/>
  <c r="I5438" i="3"/>
  <c r="FD13" i="32"/>
  <c r="FD15" i="32" s="1"/>
  <c r="FH139" i="4"/>
  <c r="FH168" i="4"/>
  <c r="FH100" i="4" s="1"/>
  <c r="K5439" i="3" l="1"/>
  <c r="J5438" i="3"/>
  <c r="I5443" i="3"/>
  <c r="I5446" i="3" s="1"/>
  <c r="L152" i="41"/>
  <c r="L154" i="41" s="1"/>
  <c r="L156" i="41" s="1"/>
  <c r="B162" i="41" s="1"/>
  <c r="B163" i="41" s="1"/>
  <c r="L152" i="6"/>
  <c r="L154" i="6" s="1"/>
  <c r="L156" i="6" s="1"/>
  <c r="B162" i="6" s="1"/>
  <c r="G5454" i="3"/>
  <c r="H5447" i="3"/>
  <c r="H5452" i="3"/>
  <c r="FI160" i="4"/>
  <c r="FH187" i="4"/>
  <c r="FH105" i="4"/>
  <c r="FH190" i="4" l="1"/>
  <c r="FH1030" i="10" s="1"/>
  <c r="L157" i="6"/>
  <c r="B159" i="6" s="1"/>
  <c r="B161" i="6" s="1"/>
  <c r="B163" i="6" s="1"/>
  <c r="FI163" i="4"/>
  <c r="FI164" i="4" s="1"/>
  <c r="FI166" i="4" s="1"/>
  <c r="J5443" i="3"/>
  <c r="J5446" i="3" s="1"/>
  <c r="FH129" i="4"/>
  <c r="FH132" i="4" s="1"/>
  <c r="FH113" i="10"/>
  <c r="FH143" i="4"/>
  <c r="FH120" i="4"/>
  <c r="FH119" i="4" s="1"/>
  <c r="H5454" i="3"/>
  <c r="I5447" i="3"/>
  <c r="I5452" i="3"/>
  <c r="L5439" i="3"/>
  <c r="K5438" i="3"/>
  <c r="J5447" i="3" l="1"/>
  <c r="J5452" i="3"/>
  <c r="I5454" i="3"/>
  <c r="FH145" i="4"/>
  <c r="FH147" i="4" s="1"/>
  <c r="FH140" i="4"/>
  <c r="FE13" i="32"/>
  <c r="FE15" i="32" s="1"/>
  <c r="FI139" i="4"/>
  <c r="FI168" i="4"/>
  <c r="FI100" i="4" s="1"/>
  <c r="B5454" i="3"/>
  <c r="FH87" i="4"/>
  <c r="M4984" i="3"/>
  <c r="M4985" i="3" s="1"/>
  <c r="X38" i="23"/>
  <c r="FH122" i="10"/>
  <c r="FH1029" i="10" s="1"/>
  <c r="FH1037" i="10"/>
  <c r="L34" i="11"/>
  <c r="K5443" i="3"/>
  <c r="K5446" i="3" s="1"/>
  <c r="M5439" i="3"/>
  <c r="M5438" i="3" s="1"/>
  <c r="L5438" i="3"/>
  <c r="B5453" i="3" l="1"/>
  <c r="B5456" i="3"/>
  <c r="B5459" i="3" s="1"/>
  <c r="B5460" i="3" s="1"/>
  <c r="FH88" i="4"/>
  <c r="FI89" i="4" s="1"/>
  <c r="K5447" i="3"/>
  <c r="K5452" i="3"/>
  <c r="J5454" i="3"/>
  <c r="FI105" i="4"/>
  <c r="FI187" i="4"/>
  <c r="FI190" i="4" s="1"/>
  <c r="FI1030" i="10" s="1"/>
  <c r="L5443" i="3"/>
  <c r="L5446" i="3" s="1"/>
  <c r="M5443" i="3"/>
  <c r="M5446" i="3" s="1"/>
  <c r="M5452" i="3" l="1"/>
  <c r="M5454" i="3" s="1"/>
  <c r="N5446" i="3"/>
  <c r="M5447" i="3"/>
  <c r="L5447" i="3"/>
  <c r="L5452" i="3"/>
  <c r="FI129" i="4"/>
  <c r="FI132" i="4" s="1"/>
  <c r="FI113" i="10"/>
  <c r="FI143" i="4"/>
  <c r="FI120" i="4"/>
  <c r="FI119" i="4" s="1"/>
  <c r="FI87" i="4" s="1"/>
  <c r="C5458" i="3"/>
  <c r="C5461" i="3"/>
  <c r="B5449" i="3"/>
  <c r="K5454" i="3"/>
  <c r="FH91" i="4"/>
  <c r="FH93" i="4" s="1"/>
  <c r="FH80" i="4" s="1"/>
  <c r="FI85" i="4"/>
  <c r="C5455" i="3" l="1"/>
  <c r="C5456" i="3" s="1"/>
  <c r="C5459" i="3" s="1"/>
  <c r="C5460" i="3" s="1"/>
  <c r="FI145" i="4"/>
  <c r="FI147" i="4" s="1"/>
  <c r="FI140" i="4"/>
  <c r="FI88" i="4"/>
  <c r="FI91" i="4" s="1"/>
  <c r="FI93" i="4" s="1"/>
  <c r="FI80" i="4" s="1"/>
  <c r="N4984" i="3"/>
  <c r="N4985" i="3" s="1"/>
  <c r="M34" i="11"/>
  <c r="FI122" i="10"/>
  <c r="FI1029" i="10" s="1"/>
  <c r="FI1037" i="10"/>
  <c r="L5454" i="3"/>
  <c r="FH148" i="4"/>
  <c r="FH149" i="4" s="1"/>
  <c r="FH133" i="4"/>
  <c r="FH110" i="10"/>
  <c r="FH1020" i="10" s="1"/>
  <c r="K201" i="6"/>
  <c r="K201" i="41"/>
  <c r="FH81" i="4"/>
  <c r="FH109" i="10" s="1"/>
  <c r="FI148" i="4" l="1"/>
  <c r="FI133" i="4"/>
  <c r="FI110" i="10"/>
  <c r="FI1020" i="10" s="1"/>
  <c r="FI81" i="4"/>
  <c r="FI109" i="10" s="1"/>
  <c r="FH134" i="4"/>
  <c r="D5458" i="3"/>
  <c r="C5449" i="3"/>
  <c r="K200" i="41"/>
  <c r="K197" i="41"/>
  <c r="K199" i="41"/>
  <c r="K198" i="41"/>
  <c r="K198" i="6"/>
  <c r="K197" i="6"/>
  <c r="K200" i="6"/>
  <c r="K199" i="6"/>
  <c r="FI149" i="4"/>
  <c r="D5461" i="3"/>
  <c r="FI134" i="4" l="1"/>
  <c r="C5450" i="3"/>
  <c r="FH114" i="10"/>
  <c r="FH123" i="10" s="1"/>
  <c r="D5455" i="3"/>
  <c r="D5456" i="3" s="1"/>
  <c r="D5459" i="3" s="1"/>
  <c r="D5460" i="3" s="1"/>
  <c r="E5458" i="3" l="1"/>
  <c r="D5449" i="3"/>
  <c r="E5461" i="3"/>
  <c r="FI114" i="10"/>
  <c r="FI123" i="10" s="1"/>
  <c r="D5450" i="3" l="1"/>
  <c r="E5455" i="3"/>
  <c r="E5456" i="3" s="1"/>
  <c r="E5459" i="3" s="1"/>
  <c r="E5460" i="3" s="1"/>
  <c r="F5458" i="3" l="1"/>
  <c r="E5449" i="3"/>
  <c r="F5461" i="3"/>
  <c r="F5455" i="3" l="1"/>
  <c r="F5456" i="3" s="1"/>
  <c r="F5459" i="3" s="1"/>
  <c r="F5460" i="3" s="1"/>
  <c r="E5450" i="3"/>
  <c r="G5458" i="3" l="1"/>
  <c r="F5449" i="3"/>
  <c r="G5461" i="3"/>
  <c r="G5455" i="3" l="1"/>
  <c r="G5456" i="3" s="1"/>
  <c r="G5459" i="3" s="1"/>
  <c r="G5460" i="3" s="1"/>
  <c r="F5450" i="3"/>
  <c r="H5458" i="3" l="1"/>
  <c r="G5449" i="3"/>
  <c r="H5461" i="3"/>
  <c r="G5450" i="3" l="1"/>
  <c r="H5455" i="3"/>
  <c r="H5456" i="3" s="1"/>
  <c r="H5459" i="3" s="1"/>
  <c r="H5460" i="3" s="1"/>
  <c r="I5458" i="3" l="1"/>
  <c r="H5449" i="3"/>
  <c r="I5461" i="3"/>
  <c r="I5455" i="3" l="1"/>
  <c r="I5456" i="3" s="1"/>
  <c r="I5459" i="3" s="1"/>
  <c r="H5450" i="3"/>
  <c r="I5460" i="3"/>
  <c r="J5458" i="3" l="1"/>
  <c r="I5449" i="3"/>
  <c r="J5461" i="3"/>
  <c r="J5455" i="3" l="1"/>
  <c r="J5456" i="3" s="1"/>
  <c r="J5459" i="3" s="1"/>
  <c r="J5460" i="3" s="1"/>
  <c r="I5450" i="3"/>
  <c r="K5458" i="3" l="1"/>
  <c r="J5449" i="3"/>
  <c r="K5461" i="3"/>
  <c r="J5450" i="3" l="1"/>
  <c r="K5455" i="3"/>
  <c r="K5456" i="3" s="1"/>
  <c r="K5459" i="3" s="1"/>
  <c r="K5460" i="3" s="1"/>
  <c r="L5458" i="3" l="1"/>
  <c r="K5449" i="3"/>
  <c r="L5461" i="3"/>
  <c r="L5455" i="3" l="1"/>
  <c r="L5456" i="3" s="1"/>
  <c r="L5459" i="3" s="1"/>
  <c r="K5450" i="3"/>
  <c r="L5460" i="3"/>
  <c r="M5458" i="3" l="1"/>
  <c r="L5449" i="3"/>
  <c r="M5461" i="3"/>
  <c r="M5455" i="3" l="1"/>
  <c r="M5456" i="3" s="1"/>
  <c r="M5459" i="3" s="1"/>
  <c r="N5461" i="3"/>
  <c r="L5450" i="3"/>
  <c r="M5460" i="3"/>
  <c r="M5449" i="3" s="1"/>
  <c r="M5450" i="3" l="1"/>
  <c r="N5449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Vikash Harlalka</author>
  </authors>
  <commentList>
    <comment ref="A1" authorId="0" shapeId="0" xr:uid="{4A03F4CB-56BF-42B9-AFCE-C9E25E215CB3}">
      <text>
        <r>
          <rPr>
            <b/>
            <sz val="9"/>
            <color indexed="81"/>
            <rFont val="Tahoma"/>
            <family val="2"/>
          </rPr>
          <t>&lt;?xml version="1.0" encoding="utf-8"?&gt;&lt;Schema xmlns:xsd="http://www.w3.org/2001/XMLSchema" xmlns:xsi="http://www.w3.org/2001/XMLSchema-instance" Version="2" Timestamp="1740146878"&gt;&lt;FQL&gt;&lt;Q&gt;FYBR-US^FE_ESTIMATE(EBITDA,MED,QTR,+3,NOW,,,'')&lt;/Q&gt;&lt;R&gt;1&lt;/R&gt;&lt;C&gt;1&lt;/C&gt;&lt;D xsi:type="xsd:double"&gt;514.34735&lt;/D&gt;&lt;/FQL&gt;&lt;FQL&gt;&lt;Q&gt;FYBR-US^FE_ESTIMATE(EBITDA,MED,QTR,+2,NOW,,,'')&lt;/Q&gt;&lt;R&gt;1&lt;/R&gt;&lt;C&gt;1&lt;/C&gt;&lt;D xsi:type="xsd:double"&gt;506.02203&lt;/D&gt;&lt;/FQL&gt;&lt;FQL&gt;&lt;Q&gt;FYBR-US^FE_ESTIMATE(EBITDA,MED,QTR,+1,NOW,,,'')&lt;/Q&gt;&lt;R&gt;1&lt;/R&gt;&lt;C&gt;1&lt;/C&gt;&lt;D xsi:type="xsd:double"&gt;497&lt;/D&gt;&lt;/FQL&gt;&lt;FQL&gt;&lt;Q&gt;FYBR-US^FE_ESTIMATE(SALES,MED,QTR,+4,NOW,,,'')&lt;/Q&gt;&lt;R&gt;1&lt;/R&gt;&lt;C&gt;1&lt;/C&gt;&lt;D xsi:type="xsd:double"&gt;1436&lt;/D&gt;&lt;/FQL&gt;&lt;FQL&gt;&lt;Q&gt;FYBR-US^FE_ESTIMATE(SALES,MED,QTR,+2,NOW,,,'')&lt;/Q&gt;&lt;R&gt;1&lt;/R&gt;&lt;C&gt;1&lt;/C&gt;&lt;D xsi:type="xsd:double"&gt;1455.4884&lt;/D&gt;&lt;/FQL&gt;&lt;FQL&gt;&lt;Q&gt;FYBR-US^FE_ESTIMATE(SALES,MED,QTR,+1,NOW,,,'')&lt;/Q&gt;&lt;R&gt;1&lt;/R&gt;&lt;C&gt;1&lt;/C&gt;&lt;D xsi:type="xsd:double"&gt;1456.668&lt;/D&gt;&lt;/FQL&gt;&lt;FQL&gt;&lt;Q&gt;FYBR-US^FE_ESTIMATE(SALES,MED,ANNUAL,2021,NOW,,,'')&lt;/Q&gt;&lt;R&gt;1&lt;/R&gt;&lt;C&gt;1&lt;/C&gt;&lt;D xsi:type="xsd:double"&gt;6411&lt;/D&gt;&lt;/FQL&gt;&lt;FQL&gt;&lt;Q&gt;FYBR-US^FE_ESTIMATE(SALES,MED,ANNUAL,2022,NOW,,,'')&lt;/Q&gt;&lt;R&gt;1&lt;/R&gt;&lt;C&gt;1&lt;/C&gt;&lt;D xsi:type="xsd:double"&gt;5805.4165&lt;/D&gt;&lt;/FQL&gt;&lt;FQL&gt;&lt;Q&gt;FYBR-US^FE_ESTIMATE(SALES,MED,ANNUAL,2023,NOW,,,'')&lt;/Q&gt;&lt;R&gt;1&lt;/R&gt;&lt;C&gt;1&lt;/C&gt;&lt;D xsi:type="xsd:double"&gt;5734.5&lt;/D&gt;&lt;/FQL&gt;&lt;FQL&gt;&lt;Q&gt;FYBR-US^FE_ESTIMATE(SALES,MED,ANNUAL,2024,NOW,,,'')&lt;/Q&gt;&lt;R&gt;1&lt;/R&gt;&lt;C&gt;1&lt;/C&gt;&lt;D xsi:type="xsd:double"&gt;5790&lt;/D&gt;&lt;/FQL&gt;&lt;FQL&gt;&lt;Q&gt;FYBR-US^FE_ESTIMATE(SALES,MED,ANNUAL,2025,NOW,,,'')&lt;/Q&gt;&lt;R&gt;1&lt;/R&gt;&lt;C&gt;1&lt;/C&gt;&lt;D xsi:type="xsd:double"&gt;5962.1787&lt;/D&gt;&lt;/FQL&gt;&lt;FQL&gt;&lt;Q&gt;FYBR-US^FE_ESTIMATE(EBITDA,MED,ANNUAL,2021,NOW,,,'')&lt;/Q&gt;&lt;R&gt;1&lt;/R&gt;&lt;C&gt;1&lt;/C&gt;&lt;D xsi:type="xsd:double"&gt;2353&lt;/D&gt;&lt;/FQL&gt;&lt;FQL&gt;&lt;Q&gt;FYBR-US^FE_ESTIMATE(EBITDA,MED,ANNUAL,2022,NOW,,,'')&lt;/Q&gt;&lt;R&gt;1&lt;/R&gt;&lt;C&gt;1&lt;/C&gt;&lt;D xsi:type="xsd:double"&gt;2037.6754&lt;/D&gt;&lt;/FQL&gt;&lt;FQL&gt;&lt;Q&gt;FYBR-US^FE_ESTIMATE(EBITDA,MED,ANNUAL,2023,NOW,,,'')&lt;/Q&gt;&lt;R&gt;1&lt;/R&gt;&lt;C&gt;1&lt;/C&gt;&lt;D xsi:type="xsd:double"&gt;2124.7244&lt;/D&gt;&lt;/FQL&gt;&lt;FQL&gt;&lt;Q&gt;FYBR-US^FE_ESTIMATE(EBITDA,MED,ANNUAL,2024,NOW,,,'')&lt;/Q&gt;&lt;R&gt;1&lt;/R&gt;&lt;C&gt;1&lt;/C&gt;&lt;D xsi:type="xsd:double"&gt;2204&lt;/D&gt;&lt;/FQL&gt;&lt;FQL&gt;&lt;Q&gt;FYBR-US^FE_ESTIMATE(EBITDA,MED,ANNUAL,2025,NOW,,,'')&lt;/Q&gt;&lt;R&gt;1&lt;/R&gt;&lt;C&gt;1&lt;/C&gt;&lt;D xsi:type="xsd:double"&gt;2447.4866&lt;/D&gt;&lt;/FQL&gt;&lt;FQL&gt;&lt;Q&gt;FYBR-US^FE_ESTIMATE(SALES,MED,QTR,+3,NOW,,,'')&lt;/Q&gt;&lt;R&gt;1&lt;/R&gt;&lt;C&gt;1&lt;/C&gt;&lt;D xsi:type="xsd:double"&gt;1450&lt;/D&gt;&lt;/FQL&gt;&lt;FQL&gt;&lt;Q&gt;FYBR-US^FE_ESTIMATE(CAPEX,MED,ANNUAL,2021,NOW,,,'')&lt;/Q&gt;&lt;R&gt;1&lt;/R&gt;&lt;C&gt;1&lt;/C&gt;&lt;D xsi:type="xsd:double"&gt;908&lt;/D&gt;&lt;/FQL&gt;&lt;FQL&gt;&lt;Q&gt;FYBR-US^FE_ESTIMATE(CAPEX,MED,ANNUAL,2022,NOW,,,'')&lt;/Q&gt;&lt;R&gt;1&lt;/R&gt;&lt;C&gt;1&lt;/C&gt;&lt;D xsi:type="xsd:double"&gt;2447&lt;/D&gt;&lt;/FQL&gt;&lt;FQL&gt;&lt;Q&gt;FYBR-US^FE_ESTIMATE(CAPEX,MED,ANNUAL,2023,NOW,,,'')&lt;/Q&gt;&lt;R&gt;1&lt;/R&gt;&lt;C&gt;1&lt;/C&gt;&lt;D xsi:type="xsd:double"&gt;2878&lt;/D&gt;&lt;/FQL&gt;&lt;FQL&gt;&lt;Q&gt;FYBR-US^FE_ESTIMATE(CAPEX,MED,ANNUAL,2024,NOW,,,'')&lt;/Q&gt;&lt;R&gt;1&lt;/R&gt;&lt;C&gt;1&lt;/C&gt;&lt;D xsi:type="xsd:double"&gt;2863.021&lt;/D&gt;&lt;/FQL&gt;&lt;FQL&gt;&lt;Q&gt;FYBR-US^FE_ESTIMATE(CAPEX,MED,ANNUAL,2025,NOW,,,'')&lt;/Q&gt;&lt;R&gt;1&lt;/R&gt;&lt;C&gt;1&lt;/C&gt;&lt;D xsi:type="xsd:double"&gt;2917.5&lt;/D&gt;&lt;/FQL&gt;&lt;FQL&gt;&lt;Q&gt;FYBR-US^FE_ESTIMATE(FCF,MED,ANNUAL,2021,NOW,,,'')&lt;/Q&gt;&lt;R&gt;1&lt;/R&gt;&lt;C&gt;1&lt;/C&gt;&lt;D xsi:type="xsd:double"&gt;-908&lt;/D&gt;&lt;/FQL&gt;&lt;FQL&gt;&lt;Q&gt;FYBR-US^FE_ESTIMATE(FCF,MED,ANNUAL,2022,NOW,,,'')&lt;/Q&gt;&lt;R&gt;1&lt;/R&gt;&lt;C&gt;1&lt;/C&gt;&lt;D xsi:type="xsd:double"&gt;-1106.5245&lt;/D&gt;&lt;/FQL&gt;&lt;FQL&gt;&lt;Q&gt;FYBR-US^FE_ESTIMATE(FCF,MED,ANNUAL,2023,NOW,,,'')&lt;/Q&gt;&lt;R&gt;1&lt;/R&gt;&lt;C&gt;1&lt;/C&gt;&lt;D xsi:type="xsd:double"&gt;-1486&lt;/D&gt;&lt;/FQL&gt;&lt;FQL&gt;&lt;Q&gt;FYBR-US^FE_ESTIMATE(FCF,MED,ANNUAL,2024,NOW,,,'')&lt;/Q&gt;&lt;R&gt;1&lt;/R&gt;&lt;C&gt;1&lt;/C&gt;&lt;D xsi:type="xsd:double"&gt;-1247.5&lt;/D&gt;&lt;/FQL&gt;&lt;FQL&gt;&lt;Q&gt;FYBR-US^FE_ESTIMATE(FCF,MED,ANNUAL,2025,NOW,,,'')&lt;/Q&gt;&lt;R&gt;1&lt;/R&gt;&lt;C&gt;1&lt;/C&gt;&lt;D xsi:type="xsd:double"&gt;-1193.5&lt;/D&gt;&lt;/FQL&gt;&lt;FQL&gt;&lt;Q&gt;FYBR-US^FE_ESTIMATE(PRODLINE_SALES_2,MEDIAN,QTR,+1,NOW,,,'')&lt;/Q&gt;&lt;R&gt;1&lt;/R&gt;&lt;C&gt;1&lt;/C&gt;&lt;D xsi:type="xsd:double"&gt;836&lt;/D&gt;&lt;/FQL&gt;&lt;FQL&gt;&lt;Q&gt;FYBR-US^FE_ESTIMATE(PRODLINE_SALES_2,MEDIAN,ANNUAL,2021,NOW,,,'')&lt;/Q&gt;&lt;R&gt;1&lt;/R&gt;&lt;C&gt;1&lt;/C&gt;&lt;D xsi:type="xsd:double"&gt;3349&lt;/D&gt;&lt;/FQL&gt;&lt;FQL&gt;&lt;Q&gt;FYBR-US^FE_ESTIMATE(PRODLINE_SALES_2,MEDIAN,ANNUAL,2022,NOW,,,'')&lt;/Q&gt;&lt;R&gt;1&lt;/R&gt;&lt;C&gt;1&lt;/C&gt;&lt;D xsi:type="xsd:double"&gt;3364&lt;/D&gt;&lt;/FQL&gt;&lt;FQL&gt;&lt;Q&gt;FYBR-US^FE_ESTIMATE(PRODLINE_SALES_2,MEDIAN,ANNUAL,2023,NOW,,,'')&lt;/Q&gt;&lt;R&gt;1&lt;/R&gt;&lt;C&gt;1&lt;/C&gt;&lt;D xsi:type="xsd:double"&gt;3520&lt;/D&gt;&lt;/FQL&gt;&lt;FQL&gt;&lt;Q&gt;FYBR-US^FE_ESTIMATE(PRODLINE_SALES_2,MEDIAN,ANNUAL,2024,NOW,,,'')&lt;/Q&gt;&lt;R&gt;1&lt;/R&gt;&lt;C&gt;1&lt;/C&gt;&lt;D xsi:type="xsd:double"&gt;3598.5&lt;/D&gt;&lt;/FQL&gt;&lt;FQL&gt;&lt;Q&gt;FYBR-US^FE_ESTIMATE(PRODLINE_SALES_2,MEDIAN,ANNUAL,2025,NOW,,,'')&lt;/Q&gt;&lt;R&gt;1&lt;/R&gt;&lt;C&gt;1&lt;/C&gt;&lt;D xsi:type="xsd:double"&gt;3882&lt;/D&gt;&lt;/FQL&gt;&lt;FQL&gt;&lt;Q&gt;FYBR-US^FE_ESTIMATE(PRODLINE_SALES_3,MEDIAN,QTR,+1,NOW,,,'')&lt;/Q&gt;&lt;R&gt;1&lt;/R&gt;&lt;C&gt;1&lt;/C&gt;&lt;D xsi:type="xsd:double"&gt;389&lt;/D&gt;&lt;/FQL&gt;&lt;FQL&gt;&lt;Q&gt;FYBR-US^FE_ESTIMATE(PRODLINE_SALES_5,MEDIAN,QTR,+1,NOW,,,'')&lt;/Q&gt;&lt;R&gt;1&lt;/R&gt;&lt;C&gt;1&lt;/C&gt;&lt;D xsi:type="xsd:double"&gt;81&lt;/D&gt;&lt;/FQL&gt;&lt;FQL&gt;&lt;Q&gt;FYBR-US^FE_ESTIMATE(PRODLINE_SALES_3,MEDIAN,ANNUAL,2021,NOW,,,'')&lt;/Q&gt;&lt;R&gt;1&lt;/R&gt;&lt;C&gt;1&lt;/C&gt;&lt;D xsi:type="xsd:double"&gt;1738&lt;/D&gt;&lt;/FQL&gt;&lt;FQL&gt;&lt;Q&gt;FYBR-US^FE_ESTIMATE(PRODLINE_SALES_5,MEDIAN,ANNUAL,2021,NOW,,,'')&lt;/Q&gt;&lt;R&gt;1&lt;/R&gt;&lt;C&gt;1&lt;/C&gt;&lt;D xsi:type="xsd:double"&gt;371&lt;/D&gt;&lt;/FQL&gt;&lt;FQL&gt;&lt;Q&gt;FYBR-US^FE_ESTIMATE(PRODLINE_SALES_3,MEDIAN,ANNUAL,2022,NOW,,,'')&lt;/Q&gt;&lt;R&gt;1&lt;/R&gt;&lt;C&gt;1&lt;/C&gt;&lt;D xsi:type="xsd:double"&gt;1504&lt;/D&gt;&lt;/FQL&gt;&lt;FQL&gt;&lt;Q&gt;FYBR-US^FE_ESTIMATE(PRODLINE_SALES_5,MEDIAN,ANNUAL,2022,NOW,,,'')&lt;/Q&gt;&lt;R&gt;1&lt;/R&gt;&lt;C&gt;1&lt;/C&gt;&lt;D xsi:type="xsd:double"&gt;321.7&lt;/D&gt;&lt;/FQL&gt;&lt;FQL&gt;&lt;Q&gt;FYBR-US^FE_ESTIMATE(PRODLINE_SALES_3,MEDIAN,ANNUAL,2023,NOW,,,'')&lt;/Q&gt;&lt;R&gt;1&lt;/R&gt;&lt;C&gt;1&lt;/C&gt;&lt;D xsi:type="xsd:double"&gt;1371&lt;/D&gt;&lt;/FQL&gt;&lt;FQL&gt;&lt;Q&gt;FYBR-US^FE_ESTIMATE(PRODLINE_SALES_5,MEDIAN,ANNUAL,2023,NOW,,,'')&lt;/Q&gt;&lt;R&gt;1&lt;/R&gt;&lt;C&gt;1&lt;/C&gt;&lt;D xsi:type="xsd:double"&gt;332&lt;/D&gt;&lt;/FQL&gt;&lt;FQL&gt;&lt;Q&gt;FYBR-US^FE_ESTIMATE(PRODLINE_SALES_3,MEDIAN,ANNUAL,2024,NOW,,,'')&lt;/Q&gt;&lt;R&gt;1&lt;/R&gt;&lt;C&gt;1&lt;/C&gt;&lt;D xsi:type="xsd:double"&gt;1388&lt;/D&gt;&lt;/FQL&gt;&lt;FQL&gt;&lt;Q&gt;FYBR-US^FE_ESTIMATE(PRODLINE_SALES_5,MEDIAN,ANNUAL,2024,NOW,,,'')&lt;/Q&gt;&lt;R&gt;1&lt;/R&gt;&lt;C&gt;1&lt;/C&gt;&lt;D xsi:type="xsd:double"&gt;443&lt;/D&gt;&lt;/FQL&gt;&lt;FQL&gt;&lt;Q&gt;FYBR-US^FE_ESTIMATE(PRODLINE_SALES_3,MEDIAN,ANNUAL,2025,NOW,,,'')&lt;/Q&gt;&lt;R&gt;1&lt;/R&gt;&lt;C&gt;1&lt;/C&gt;&lt;D xsi:type="xsd:double"&gt;1368&lt;/D&gt;&lt;/FQL&gt;&lt;FQL&gt;&lt;Q&gt;FYBR-US^FE_ESTIMATE(PRODLINE_SALES_5,MEDIAN,ANNUAL,2025,NOW,,,'')&lt;/Q&gt;&lt;R&gt;1&lt;/R&gt;&lt;C&gt;1&lt;/C&gt;&lt;D xsi:type="xsd:double"&gt;477&lt;/D&gt;&lt;/FQL&gt;&lt;FQL&gt;&lt;Q&gt;FYBR-US^FE_ESTIMATE(PRODLINE_SALES_4,MEDIAN,QTR,+1,NOW,,,'')&lt;/Q&gt;&lt;R&gt;1&lt;/R&gt;&lt;C&gt;1&lt;/C&gt;&lt;D xsi:type="xsd:double"&gt;138&lt;/D&gt;&lt;/FQL&gt;&lt;FQL&gt;&lt;Q&gt;FYBR-US^FE_ESTIMATE(PRODLINE_SALES_4,MEDIAN,ANNUAL,2021,NOW,,,'')&lt;/Q&gt;&lt;R&gt;1&lt;/R&gt;&lt;C&gt;1&lt;/C&gt;&lt;D xsi:type="xsd:double"&gt;620&lt;/D&gt;&lt;/FQL&gt;&lt;FQL&gt;&lt;Q&gt;FYBR-US^FE_ESTIMATE(PRODLINE_SALES_4,MEDIAN,ANNUAL,2022,NOW,,,'')&lt;/Q&gt;&lt;R&gt;1&lt;/R&gt;&lt;C&gt;1&lt;/C&gt;&lt;D xsi:type="xsd:double"&gt;494&lt;/D&gt;&lt;/FQL&gt;&lt;FQL&gt;&lt;Q&gt;FYBR-US^FE_ESTIMATE(PRODLINE_SALES_4,MEDIAN,ANNUAL,2023,NOW,,,'')&lt;/Q&gt;&lt;R&gt;1&lt;/R&gt;&lt;C&gt;1&lt;/C&gt;&lt;D xsi:type="xsd:double"&gt;386.1&lt;/D&gt;&lt;/FQL&gt;&lt;FQL&gt;&lt;Q&gt;FYBR-US^FE_ESTIMATE(PRODLINE_SALES_4,MEDIAN,ANNUAL,2024,NOW,,,'')&lt;/Q&gt;&lt;R&gt;1&lt;/R&gt;&lt;C&gt;1&lt;/C&gt;&lt;D xsi:type="xsd:double"&gt;338&lt;/D&gt;&lt;/FQL&gt;&lt;FQL&gt;&lt;Q&gt;FYBR-US^FE_ESTIMATE(PRODLINE_SALES_4,MEDIAN,ANNUAL,2025,NOW,,,'')&lt;/Q&gt;&lt;R&gt;1&lt;/R&gt;&lt;C&gt;1&lt;/C&gt;&lt;D xsi:type="xsd:double"&gt;275&lt;/D&gt;&lt;/FQL&gt;&lt;FQL&gt;&lt;Q&gt;FYBR-US^FE_ESTIMATE(PRODLINE_SALES_6,MEDIAN,QTR,+1,NOW,,,'')&lt;/Q&gt;&lt;R&gt;1&lt;/R&gt;&lt;C&gt;1&lt;/C&gt;&lt;D xsi:type="xsd:double"&gt;10&lt;/D&gt;&lt;/FQL&gt;&lt;FQL&gt;&lt;Q&gt;FYBR-US^FE_ESTIMATE(PRODLINE_SALES_6,MEDIAN,ANNUAL,2021,NOW,,,'')&lt;/Q&gt;&lt;R&gt;1&lt;/R&gt;&lt;C&gt;1&lt;/C&gt;&lt;D xsi:type="xsd:double"&gt;333&lt;/D&gt;&lt;/FQL&gt;&lt;FQL&gt;&lt;Q&gt;FYBR-US^FE_ESTIMATE(PRODLINE_SALES_6,MEDIAN,ANNUAL,2022,NOW,,,'')&lt;/Q&gt;&lt;R&gt;1&lt;/R&gt;&lt;C&gt;1&lt;/C&gt;&lt;D xsi:type="xsd:double"&gt;70&lt;/D&gt;&lt;/FQL&gt;&lt;FQL&gt;&lt;Q&gt;FYBR-US^FE_ESTIMATE(PRODLINE_SALES_6,MEDIAN,ANNUAL,2023,NOW,,,'')&lt;/Q&gt;&lt;R&gt;1&lt;/R&gt;&lt;C&gt;1&lt;/C&gt;&lt;D xsi:type="xsd:double"&gt;81&lt;/D&gt;&lt;/FQL&gt;&lt;FQL&gt;&lt;Q&gt;FYBR-US^FE_ESTIMATE(PRODLINE_SALES_6,MEDIAN,ANNUAL,2024,NOW,,,'')&lt;/Q&gt;&lt;R&gt;1&lt;/R&gt;&lt;C&gt;1&lt;/C&gt;&lt;D xsi:type="xsd:double"&gt;81&lt;/D&gt;&lt;/FQL&gt;&lt;FQL&gt;&lt;Q&gt;FYBR-US^FE_ESTIMATE(PRODLINE_SALES_6,MEDIAN,ANNUAL,2025,NOW,,,'')&lt;/Q&gt;&lt;R&gt;1&lt;/R&gt;&lt;C&gt;1&lt;/C&gt;&lt;D xsi:type="xsd:double"&gt;84&lt;/D&gt;&lt;/FQL&gt;&lt;FQL&gt;&lt;Q&gt;FYBR-US^FE_ESTIMATE(PL2_SALES_2,MEDIAN,QTR,+1,NOW,,,'')&lt;/Q&gt;&lt;R&gt;1&lt;/R&gt;&lt;C&gt;1&lt;/C&gt;&lt;D xsi:type="xsd:double"&gt;778&lt;/D&gt;&lt;/FQL&gt;&lt;FQL&gt;&lt;Q&gt;FYBR-US^FE_ESTIMATE(PL2_SALES_2,MEDIAN,ANNUAL,2021,NOW,,,'')&lt;/Q&gt;&lt;R&gt;1&lt;/R&gt;&lt;C&gt;1&lt;/C&gt;&lt;D xsi:type="xsd:double"&gt;3258&lt;/D&gt;&lt;/FQL&gt;&lt;FQL&gt;&lt;Q&gt;FYBR-US^FE_ESTIMATE(PL2_SALES_2,MEDIAN,ANNUAL,2022,NOW,,,'')&lt;/Q&gt;&lt;R&gt;1&lt;/R&gt;&lt;C&gt;1&lt;/C&gt;&lt;D xsi:type="xsd:double"&gt;3119.0454&lt;/D&gt;&lt;/FQL&gt;&lt;FQL&gt;&lt;Q&gt;FYBR-US^FE_ESTIMATE(PL2_SALES_2,MEDIAN,ANNUAL,2023,NOW,,,'')&lt;/Q&gt;&lt;R&gt;1&lt;/R&gt;&lt;C&gt;1&lt;/C&gt;&lt;D xsi:type="xsd:double"&gt;3231&lt;/D&gt;&lt;/FQL&gt;&lt;FQL&gt;&lt;Q&gt;FYBR-US^FE_ESTIMATE(PL2_SALES_2,MEDIAN,ANNUAL,2024,NOW,,,'')&lt;/Q&gt;&lt;R&gt;1&lt;/R&gt;&lt;C&gt;1&lt;/C&gt;&lt;D xsi:type="xsd:double"&gt;3330.5&lt;/D&gt;&lt;/FQL&gt;&lt;FQL&gt;&lt;Q&gt;FYBR-US^FE_ESTIMATE(PL2_SALES_2,MEDIAN,ANNUAL,2025,NOW,,,'')&lt;/Q&gt;&lt;R&gt;1&lt;/R&gt;&lt;C&gt;1&lt;/C&gt;&lt;D xsi:type="xsd:double"&gt;3606.5&lt;/D&gt;&lt;/FQL&gt;&lt;FQL&gt;&lt;Q&gt;FYBR-US^FE_ESTIMATE(PL2_SALES_3,MEDIAN,QTR,+1,NOW,,,'')&lt;/Q&gt;&lt;R&gt;1&lt;/R&gt;&lt;C&gt;1&lt;/C&gt;&lt;D xsi:type="xsd:double"&gt;666&lt;/D&gt;&lt;/FQL&gt;&lt;FQL&gt;&lt;Q&gt;FYBR-US^FE_ESTIMATE(PL2_SALES_3,MEDIAN,ANNUAL,2021,NOW,,,'')&lt;/Q&gt;&lt;R&gt;1&lt;/R&gt;&lt;C&gt;1&lt;/C&gt;&lt;D xsi:type="xsd:double"&gt;2820&lt;/D&gt;&lt;/FQL&gt;&lt;FQL&gt;&lt;Q&gt;FYBR-US^FE_ESTIMATE(PL2_SALES_3,MEDIAN,ANNUAL,2022,NOW,,,'')&lt;/Q&gt;&lt;R&gt;1&lt;/R&gt;&lt;C&gt;1&lt;/C&gt;&lt;D xsi:type="xsd:double"&gt;2620.15&lt;/D&gt;&lt;/FQL&gt;&lt;FQL&gt;&lt;Q&gt;FYBR-US^FE_ESTIMATE(PL2_SALES_3,MEDIAN,ANNUAL,2023,NOW,,,'')&lt;/Q&gt;&lt;R&gt;1&lt;/R&gt;&lt;C&gt;1&lt;/C&gt;&lt;D xsi:type="xsd:double"&gt;2460&lt;/D&gt;&lt;/FQL&gt;&lt;FQL&gt;&lt;Q&gt;FYBR-US^FE_ESTIMATE(PL2_SALES_3,MEDIAN,ANNUAL,2024,NOW,,,'')&lt;/Q&gt;&lt;R&gt;1&lt;/R&gt;&lt;C&gt;1&lt;/C&gt;&lt;D xsi:type="xsd:double"&gt;2370&lt;/D&gt;&lt;/FQL&gt;&lt;FQL&gt;&lt;Q&gt;FYBR-US^FE_ESTIMATE(PL2_SALES_3,MEDIAN,ANNUAL,2025,NOW,,,'')&lt;/Q&gt;&lt;R&gt;1&lt;/R&gt;&lt;C&gt;1&lt;/C&gt;&lt;D xsi:type="xsd:double"&gt;2285.5&lt;/D&gt;&lt;/FQL&gt;&lt;FQL&gt;&lt;Q&gt;FYBR-US^FG_PRICE(NOW)&lt;/Q&gt;&lt;R&gt;1&lt;/R&gt;&lt;C&gt;1&lt;/C&gt;&lt;D xsi:type="xsd:double"&gt;24.22&lt;/D&gt;&lt;/FQL&gt;&lt;FQL&gt;&lt;Q&gt;FTR-US^FE_ESTIMATE(SALES,MEDIAN,ANNUAL,2021,NOW,,,'')&lt;/Q&gt;&lt;R&gt;0&lt;/R&gt;&lt;C&gt;0&lt;/C&gt;&lt;/FQL&gt;&lt;FQL&gt;&lt;Q&gt;FTR-US^FE_ESTIMATE(SALES,MEDIAN,ANNUAL,2022,NOW,,,'')&lt;/Q&gt;&lt;R&gt;0&lt;/R&gt;&lt;C&gt;0&lt;/C&gt;&lt;/FQL&gt;&lt;FQL&gt;&lt;Q&gt;FTR-US^FE_ESTIMATE(SALES,MEDIAN,ANNUAL,2023,NOW,,,'')&lt;/Q&gt;&lt;R&gt;0&lt;/R&gt;&lt;C&gt;0&lt;/C&gt;&lt;/FQL&gt;&lt;FQL&gt;&lt;Q&gt;FTR-US^FE_ESTIMATE(SALES,MEDIAN,ANNUAL,2024,NOW,,,'')&lt;/Q&gt;&lt;R&gt;0&lt;/R&gt;&lt;C&gt;0&lt;/C&gt;&lt;/FQL&gt;&lt;FQL&gt;&lt;Q&gt;FTR-US^FE_ESTIMATE(SALES,MEDIAN,ANNUAL,2025,NOW,,,'')&lt;/Q&gt;&lt;R&gt;0&lt;/R&gt;&lt;C&gt;0&lt;/C&gt;&lt;/FQL&gt;&lt;FQL&gt;&lt;Q&gt;FTR-US^FE_ESTIMATE(EBITDA,MEDIAN,ANNUAL,2021,NOW,,,'')&lt;/Q&gt;&lt;R&gt;0&lt;/R&gt;&lt;C&gt;0&lt;/C&gt;&lt;/FQL&gt;&lt;FQL&gt;&lt;Q&gt;FTR-US^FE_ESTIMATE(EBITDA,MEDIAN,ANNUAL,2022,NOW,,,'')&lt;/Q&gt;&lt;R&gt;0&lt;/R&gt;&lt;C&gt;0&lt;/C&gt;&lt;/FQL&gt;&lt;FQL&gt;&lt;Q&gt;FTR-US^FE_ESTIMATE(EBITDA,MEDIAN,ANNUAL,2023,NOW,,,'')&lt;/Q&gt;&lt;R&gt;0&lt;/R&gt;&lt;C&gt;0&lt;/C&gt;&lt;/FQL&gt;&lt;FQL&gt;&lt;Q&gt;FTR-US^FE_ESTIMATE(EBITDA,MEDIAN,ANNUAL,2024,NOW,,,'')&lt;/Q&gt;&lt;R&gt;0&lt;/R&gt;&lt;C&gt;0&lt;/C&gt;&lt;/FQL&gt;&lt;FQL&gt;&lt;Q&gt;FTR-US^FE_ESTIMATE(EBITDA,MEDIAN,ANNUAL,2025,NOW,,,'')&lt;/Q&gt;&lt;R&gt;0&lt;/R&gt;&lt;C&gt;0&lt;/C&gt;&lt;/FQL&gt;&lt;FQL&gt;&lt;Q&gt;FTR-US^FE_ESTIMATE(CAPEX,MEDIAN,ANNUAL,2021,NOW,,,'')&lt;/Q&gt;&lt;R&gt;0&lt;/R&gt;&lt;C&gt;0&lt;/C&gt;&lt;/FQL&gt;&lt;FQL&gt;&lt;Q&gt;FTR-US^FE_ESTIMATE(CAPEX,MEDIAN,ANNUAL,2022,NOW,,,'')&lt;/Q&gt;&lt;R&gt;0&lt;/R&gt;&lt;C&gt;0&lt;/C&gt;&lt;/FQL&gt;&lt;FQL&gt;&lt;Q&gt;FTR-US^FE_ESTIMATE(CAPEX,MEDIAN,ANNUAL,2023,NOW,,,'')&lt;/Q&gt;&lt;R&gt;0&lt;/R&gt;&lt;C&gt;0&lt;/C&gt;&lt;/FQL&gt;&lt;FQL&gt;&lt;Q&gt;FTR-US^FE_ESTIMATE(CAPEX,MEDIAN,ANNUAL,2024,NOW,,,'')&lt;/Q&gt;&lt;R&gt;0&lt;/R&gt;&lt;C&gt;0&lt;/C&gt;&lt;/FQL&gt;&lt;FQL&gt;&lt;Q&gt;FTR-US^FE_ESTIMATE(CAPEX,MEDIAN,ANNUAL,2025,NOW,,,'')&lt;/Q&gt;&lt;R&gt;0&lt;/R&gt;&lt;C&gt;0&lt;/C&gt;&lt;/FQL&gt;&lt;FQL&gt;&lt;Q&gt;US10YY-TU1^FG_PRICE(0)&lt;/Q&gt;&lt;R&gt;1&lt;/R&gt;&lt;C&gt;1&lt;/C&gt;&lt;D xsi:type="xsd:double"&gt;1.9312&lt;/D&gt;&lt;/FQL&gt;&lt;FQL&gt;&lt;Q&gt;FTR-US^P_BETA_LOCIDX(0,-2AY)&lt;/Q&gt;&lt;R&gt;0&lt;/R&gt;&lt;C&gt;0&lt;/C&gt;&lt;/FQL&gt;&lt;FQL&gt;&lt;Q&gt;161175AY^FG_YIELD(0,,,,"YTM")&lt;/Q&gt;&lt;R&gt;1&lt;/R&gt;&lt;C&gt;1&lt;/C&gt;&lt;D xsi:type="xsd:double"&gt;2.97613745215043&lt;/D&gt;&lt;/FQL&gt;&lt;FQL&gt;&lt;Q&gt;LUMN^RTP_MKT_CAP&lt;/Q&gt;&lt;R&gt;1&lt;/R&gt;&lt;C&gt;1&lt;/C&gt;&lt;D xsi:type="xsd:double"&gt;10177.508&lt;/D&gt;&lt;/FQL&gt;&lt;FQL&gt;&lt;Q&gt;LUMN^FF_ENTRPR_VAL_DAILY(0,,,,,"DIL")&lt;/Q&gt;&lt;R&gt;1&lt;/R&gt;&lt;C&gt;1&lt;/C&gt;&lt;D xsi:type="xsd:double"&gt;39616.77332&lt;/D&gt;&lt;/FQL&gt;&lt;FQL&gt;&lt;Q&gt;WIN^RTP_MKT_CAP&lt;/Q&gt;&lt;R&gt;0&lt;/R&gt;&lt;C&gt;0&lt;/C&gt;&lt;/FQL&gt;&lt;FQL&gt;&lt;Q&gt;WIN^FF_ENTRPR_VAL_DAILY(0,,,,,"DIL")&lt;/Q&gt;&lt;R&gt;0&lt;/R&gt;&lt;C&gt;0&lt;/C&gt;&lt;/FQL&gt;&lt;FQL&gt;&lt;Q&gt;CSNL^RTP_MKT_CAP&lt;/Q&gt;&lt;R&gt;0&lt;/R&gt;&lt;C&gt;0&lt;/C&gt;&lt;/FQL&gt;&lt;FQL&gt;&lt;Q&gt;CSNL^FF_ENTRPR_VAL_DAILY(0,,,,,"DIL")&lt;/Q&gt;&lt;R&gt;0&lt;/R&gt;&lt;C&gt;0&lt;/C&gt;&lt;/FQL&gt;&lt;FQL&gt;&lt;Q&gt;TDS^RTP_MKT_CAP&lt;/Q&gt;&lt;R&gt;1&lt;/R&gt;&lt;C&gt;1&lt;/C&gt;&lt;D xsi:type="xsd:double"&gt;1988.7184&lt;/D&gt;&lt;/FQL&gt;&lt;FQL&gt;&lt;Q&gt;TDS^FF_ENTRPR_VAL_DAILY(0,,,,,"DIL")&lt;/Q&gt;&lt;R&gt;1&lt;/R&gt;&lt;C&gt;1&lt;/C&gt;&lt;D xsi:type="xsd:double"&gt;7661.32&lt;/D&gt;&lt;/FQL&gt;&lt;FQL&gt;&lt;Q&gt;CMCSA^FF_ENTRPR_VAL_DAILY(0,,,,,"DIL")&lt;/Q&gt;&lt;R&gt;1&lt;/R&gt;&lt;C&gt;1&lt;/C&gt;&lt;D xsi:type="xsd:double"&gt;317471.56&lt;/D&gt;&lt;/FQL&gt;&lt;FQL&gt;&lt;Q&gt;CMCSA^FE_ESTIMATE(EBITDA,MEDIAN,ANNUAL,2021,NOW,,,'')&lt;/Q&gt;&lt;R&gt;1&lt;/R&gt;&lt;C&gt;1&lt;/C&gt;&lt;D xsi:type="xsd:double"&gt;34707.05&lt;/D&gt;&lt;/FQL&gt;&lt;FQL&gt;&lt;Q&gt;CHTR^FF_ENTRPR_VAL_DAILY(0,,,,,"DIL")&lt;/Q&gt;&lt;R&gt;1&lt;/R&gt;&lt;C&gt;1&lt;/C&gt;&lt;D xsi:type="xsd:double"&gt;211730.82265484&lt;/D&gt;&lt;/FQL&gt;&lt;FQL&gt;&lt;Q&gt;CHTR^FE_ESTIMATE(EBITDA,MEDIAN,ANNUAL,2021,NOW,,,'')&lt;/Q&gt;&lt;R&gt;1&lt;/R&gt;&lt;C&gt;1&lt;/C&gt;&lt;D xsi:type="xsd:double"&gt;20630&lt;/D&gt;&lt;/FQL&gt;&lt;FQL&gt;&lt;Q&gt;ATUS^FF_ENTRPR_VAL_DAILY(0,,,,,"DIL")&lt;/Q&gt;&lt;R&gt;1&lt;/R&gt;&lt;C&gt;1&lt;/C&gt;&lt;D xsi:type="xsd:double"&gt;31901.0804&lt;/D&gt;&lt;/FQL&gt;&lt;FQL&gt;&lt;Q&gt;ATUS^FE_ESTIMATE(EBITDA,MEDIAN,ANNUAL,2021,NOW,,,'')&lt;/Q&gt;&lt;R&gt;1&lt;/R&gt;&lt;C&gt;1&lt;/C&gt;&lt;D xsi:type="xsd:double"&gt;4427.1&lt;/D&gt;&lt;/FQL&gt;&lt;FQL&gt;&lt;Q&gt;LUMN^FE_ESTIMATE(EBITDA,MEDIAN,ANNUAL,2021,NOW,,,'')&lt;/Q&gt;&lt;R&gt;1&lt;/R&gt;&lt;C&gt;1&lt;/C&gt;&lt;D xsi:type="xsd:double"&gt;8424&lt;/D&gt;&lt;/FQL&gt;&lt;FQL&gt;&lt;Q&gt;LUMN^FE_ESTIMATE(EBITDA,MEDIAN,ANNUAL,2022,NOW,,,'')&lt;/Q&gt;&lt;R&gt;1&lt;/R&gt;&lt;C&gt;1&lt;/C&gt;&lt;D xsi:type="xsd:double"&gt;6609.4546&lt;/D&gt;&lt;/FQL&gt;&lt;FQL&gt;&lt;Q&gt;LUMN^FE_ESTIMATE(EBITDA,MEDIAN,ANNUAL,2023,NOW,,,'')&lt;/Q&gt;&lt;R&gt;1&lt;/R&gt;&lt;C&gt;1&lt;/C&gt;&lt;D xsi:type="xsd:double"&gt;5808&lt;/D&gt;&lt;/FQL&gt;&lt;FQL&gt;&lt;Q&gt;LUMN^FE_ESTIMATE(EBITDA,MEDIAN,ANNUAL,2024,NOW,,,'')&lt;/Q&gt;&lt;R&gt;1&lt;/R&gt;&lt;C&gt;1&lt;/C&gt;&lt;D xsi:type="xsd:double"&gt;5700.914&lt;/D&gt;&lt;/FQL&gt;&lt;FQL&gt;&lt;Q&gt;LUMN^FE_ESTIMATE(EBITDA,MEDIAN,ANNUAL,2025,NOW,,,'')&lt;/Q&gt;&lt;R&gt;1&lt;/R&gt;&lt;C&gt;1&lt;/C&gt;&lt;D xsi:type="xsd:double"&gt;6117&lt;/D&gt;&lt;/FQL&gt;&lt;FQL&gt;&lt;Q&gt;WIN^FE_ESTIMATE(EBITDA,MEDIAN,ANNUAL,2021,NOW,,,'')&lt;/Q&gt;&lt;R&gt;0&lt;/R&gt;&lt;C&gt;0&lt;/C&gt;&lt;/FQL&gt;&lt;FQL&gt;&lt;Q&gt;WIN^FE_ESTIMATE(EBITDA,MEDIAN,ANNUAL,2022,NOW,,,'')&lt;/Q&gt;&lt;R&gt;0&lt;/R&gt;&lt;C&gt;0&lt;/C&gt;&lt;/FQL&gt;&lt;FQL&gt;&lt;Q&gt;WIN^FE_ESTIMATE(EBITDA,MEDIAN,ANNUAL,2023,NOW,,,'')&lt;/Q&gt;&lt;R&gt;0&lt;/R&gt;&lt;C&gt;0&lt;/C&gt;&lt;/FQL&gt;&lt;FQL&gt;&lt;Q&gt;WIN^FE_ESTIMATE(EBITDA,MEDIAN,ANNUAL,2024,NOW,,,'')&lt;/Q&gt;&lt;R&gt;0&lt;/R&gt;&lt;C&gt;0&lt;/C&gt;&lt;/FQL&gt;&lt;FQL&gt;&lt;Q&gt;WIN^FE_ESTIMATE(EBITDA,MEDIAN,ANNUAL,2025,NOW,,,'')&lt;/Q&gt;&lt;R&gt;0&lt;/R&gt;&lt;C&gt;0&lt;/C&gt;&lt;/FQL&gt;&lt;FQL&gt;&lt;Q&gt;CSNL^FE_ESTIMATE(EBITDA,MEDIAN,ANNUAL,2021,NOW,,,'')&lt;/Q&gt;&lt;R&gt;0&lt;/R&gt;&lt;C&gt;0&lt;/C&gt;&lt;/FQL&gt;&lt;FQL&gt;&lt;Q&gt;CSNL^FE_ESTIMATE(EBITDA,MEDIAN,ANNUAL,2022,NOW,,,'')&lt;/Q&gt;&lt;R&gt;0&lt;/R&gt;&lt;C&gt;0&lt;/C&gt;&lt;/FQL&gt;&lt;FQL&gt;&lt;Q&gt;CSNL^FE_ESTIMATE(EBITDA,MEDIAN,ANNUAL,2023,NOW,,,'')&lt;/Q&gt;&lt;R&gt;0&lt;/R&gt;&lt;C&gt;0&lt;/C&gt;&lt;/FQL&gt;&lt;FQL&gt;&lt;Q&gt;CSNL^FE_ESTIMATE(EBITDA,MEDIAN,ANNUAL,2024,NOW,,,'')&lt;/Q&gt;&lt;R&gt;0&lt;/R&gt;&lt;C&gt;0&lt;/C&gt;&lt;/FQL&gt;&lt;FQL&gt;&lt;Q&gt;CSNL^FE_ESTIMATE(EBITDA,MEDIAN,ANNUAL,2025,NOW,,,'')&lt;/Q&gt;&lt;R&gt;0&lt;/R&gt;&lt;C&gt;0&lt;/C&gt;&lt;/FQL&gt;&lt;FQL&gt;&lt;Q&gt;TDS^FE_ESTIMATE(EBITDA,MEDIAN,ANNUAL,2021,NOW,,,'')&lt;/Q&gt;&lt;R&gt;1&lt;/R&gt;&lt;C&gt;1&lt;/C&gt;&lt;D xsi:type="xsd:double"&gt;1264.462&lt;/D&gt;&lt;/FQL&gt;&lt;FQL&gt;&lt;Q&gt;TDS^FE_ESTIMATE(EBITDA,MEDIAN,ANNUAL,2022,NOW,,,'')&lt;/Q&gt;&lt;R&gt;1&lt;/R&gt;&lt;C&gt;1&lt;/C&gt;&lt;D xsi:type="xsd:double"&gt;1289.2627&lt;/D&gt;&lt;/FQL&gt;&lt;FQL&gt;&lt;Q&gt;TDS^FE_ESTIMATE(EBITDA,MEDIAN,ANNUAL,2023,NOW,,,'')&lt;/Q&gt;&lt;R&gt;1&lt;/R&gt;&lt;C&gt;1&lt;/C&gt;&lt;D xsi:type="xsd:double"&gt;1352.2245&lt;/D&gt;&lt;/FQL&gt;&lt;FQL&gt;&lt;Q&gt;TDS^FE_ESTIMATE(EBITDA,MEDIAN,ANNUAL,2024,NOW,,,'')&lt;/Q&gt;&lt;R&gt;1&lt;/R&gt;&lt;C&gt;1&lt;/C&gt;&lt;D xsi:type="xsd:double"&gt;1375.6516&lt;/D&gt;&lt;/FQL&gt;&lt;FQL&gt;&lt;Q&gt;TDS^FE_ESTIMATE(EBITDA,MEDIAN,ANNUAL,2025,NOW,,,'')&lt;/Q&gt;&lt;R&gt;0&lt;/R&gt;&lt;C&gt;0&lt;/C&gt;&lt;/FQL&gt;&lt;FQL&gt;&lt;Q&gt;FYBR-US^FE_ESTIMATE(EBITDA,MED,QTR,+4,NOW,,,'')&lt;/Q&gt;&lt;R&gt;1&lt;/R&gt;&lt;C&gt;1&lt;/C&gt;&lt;D xsi:type="xsd:double"&gt;526.5&lt;/D&gt;&lt;/FQL&gt;&lt;FQL&gt;&lt;Q&gt;FYBR-US^FE_ESTIMATE(CAPEX,MED,QTR,+1,NOW,,,'')&lt;/Q&gt;&lt;R&gt;1&lt;/R&gt;&lt;C&gt;1&lt;/C&gt;&lt;D xsi:type="xsd:double"&gt;540.9&lt;/D&gt;&lt;/FQL&gt;&lt;FQL&gt;&lt;Q&gt;FYBR-US^FE_ESTIMATE(CAPEX,MED,QTR,+2,NOW,,,'')&lt;/Q&gt;&lt;R&gt;1&lt;/R&gt;&lt;C&gt;1&lt;/C&gt;&lt;D xsi:type="xsd:double"&gt;582.5&lt;/D&gt;&lt;/FQL&gt;&lt;FQL&gt;&lt;Q&gt;FYBR-US^FE_ESTIMATE(CAPEX,MED,QTR,+3,NOW,,,'')&lt;/Q&gt;&lt;R&gt;1&lt;/R&gt;&lt;C&gt;1&lt;/C&gt;&lt;D xsi:type="xsd:double"&gt;666.5&lt;/D&gt;&lt;/FQL&gt;&lt;FQL&gt;&lt;Q&gt;FYBR-US^FE_ESTIMATE(CAPEX,MED,QTR,+4,NOW,,,'')&lt;/Q&gt;&lt;R&gt;1&lt;/R&gt;&lt;C&gt;1&lt;/C&gt;&lt;D xsi:type="xsd:double"&gt;662.982&lt;/D&gt;&lt;/FQL&gt;&lt;FQL&gt;&lt;Q&gt;FYBR-US^FE_ESTIMATE(FCF,MED,QTR,+1,NOW,,,'')&lt;/Q&gt;&lt;R&gt;1&lt;/R&gt;&lt;C&gt;1&lt;/C&gt;&lt;D xsi:type="xsd:double"&gt;-277&lt;/D&gt;&lt;/FQL&gt;&lt;FQL&gt;&lt;Q&gt;FYBR-US^FE_ESTIMATE(FCF,MED,QTR,+2,NOW,,,'')&lt;/Q&gt;&lt;R&gt;1&lt;/R&gt;&lt;C&gt;1&lt;/C&gt;&lt;D xsi:type="xsd:double"&gt;-251.1365&lt;/D&gt;&lt;/FQL&gt;&lt;FQL&gt;&lt;Q&gt;FYBR-US^FE_ESTIMATE(FCF,MED,QTR,+3,NOW,,,'')&lt;/Q&gt;&lt;R&gt;1&lt;/R&gt;&lt;C&gt;1&lt;/C&gt;&lt;D xsi:type="xsd:double"&gt;-317&lt;/D&gt;&lt;/FQL&gt;&lt;FQL&gt;&lt;Q&gt;FYBR-US^FE_ESTIMATE(FCF,MED,QTR,+4,NOW,,,'')&lt;/Q&gt;&lt;R&gt;1&lt;/R&gt;&lt;C&gt;1&lt;/C&gt;&lt;D xsi:type="xsd:double"&gt;-321.3975&lt;/D&gt;&lt;/FQL&gt;&lt;FQL&gt;&lt;Q&gt;FYBR-US^FE_ESTIMATE(SALES,MED,ANNUAL,2026,NOW,,,'')&lt;/Q&gt;&lt;R&gt;1&lt;/R&gt;&lt;C&gt;1&lt;/C&gt;&lt;D xsi:type="xsd:double"&gt;6283.185&lt;/D&gt;&lt;/FQL&gt;&lt;FQL&gt;&lt;Q&gt;FYBR-US^FE_ESTIMATE(EBITDA,MED,ANNUAL,2026,NOW,,,'')&lt;/Q&gt;&lt;R&gt;1&lt;/R&gt;&lt;C&gt;1&lt;/C&gt;&lt;D xsi:type="xsd:double"&gt;2733&lt;/D&gt;&lt;/FQL&gt;&lt;FQL&gt;&lt;Q&gt;FYBR-US^FE_ESTIMATE(CAPEX,MED,ANNUAL,2026,NOW,,,'')&lt;/Q&gt;&lt;R&gt;1&lt;/R&gt;&lt;C&gt;1&lt;/C&gt;&lt;D xsi:type="xsd:double"&gt;1760.3514&lt;/D&gt;&lt;/FQL&gt;&lt;FQL&gt;&lt;Q&gt;FYBR-US^FE_ESTIMATE(FCF,MED,ANNUAL,2026,NOW,,,'')&lt;/Q&gt;&lt;R&gt;1&lt;/R&gt;&lt;C&gt;1&lt;/C&gt;&lt;D xsi:type="xsd:double"&gt;157.9665&lt;/D&gt;&lt;/FQL&gt;&lt;FQL&gt;&lt;Q&gt;FYBR-US^FE_ESTIMATE(PRODLINE_SALES_2,MEDIAN,ANNUAL,2026,NOW,,,'')&lt;/Q&gt;&lt;R&gt;1&lt;/R&gt;&lt;C&gt;1&lt;/C&gt;&lt;D xsi:type="xsd:double"&gt;4247.5&lt;/D&gt;&lt;/FQL&gt;&lt;FQL&gt;&lt;Q&gt;FYBR-US^FE_ESTIMATE(PRODLINE_SALES_3,MEDIAN,ANNUAL,2026,NOW,,,'')&lt;/Q&gt;&lt;R&gt;1&lt;/R&gt;&lt;C&gt;1&lt;/C&gt;&lt;D xsi:type="xsd:double"&gt;1185&lt;/D&gt;&lt;/FQL&gt;&lt;FQL&gt;&lt;Q&gt;FYBR-US^FE_ESTIMATE(PRODLINE_SALES_5,MEDIAN,ANNUAL,2026,NOW,,,'')&lt;/Q&gt;&lt;R&gt;1&lt;/R&gt;&lt;C&gt;1&lt;/C&gt;&lt;D xsi:type="xsd:double"&gt;515.5&lt;/D&gt;&lt;/FQL&gt;&lt;FQL&gt;&lt;Q&gt;FYBR-US^FE_ESTIMATE(PRODLINE_SALES_4,MEDIAN,ANNUAL,2026,NOW,,,'')&lt;/Q&gt;&lt;R&gt;1&lt;/R&gt;&lt;C&gt;1&lt;/C&gt;&lt;D xsi:type="xsd:double"&gt;225.5&lt;/D&gt;&lt;/FQL&gt;&lt;FQL&gt;&lt;Q&gt;FYBR-US^FE_ESTIMATE(PRODLINE_SALES_6,MEDIAN,ANNUAL,2026,NOW,,,'')&lt;/Q&gt;&lt;R&gt;1&lt;/R&gt;&lt;C&gt;1&lt;/C&gt;&lt;D xsi:type="xsd:double"&gt;87.5&lt;/D&gt;&lt;/FQL&gt;&lt;FQL&gt;&lt;Q&gt;FYBR-US^FE_ESTIMATE(PL2_SALES_2,MEDIAN,ANNUAL,2026,NOW,,,'')&lt;/Q&gt;&lt;R&gt;1&lt;/R&gt;&lt;C&gt;1&lt;/C&gt;&lt;D xsi:type="xsd:double"&gt;3937&lt;/D&gt;&lt;/FQL&gt;&lt;FQL&gt;&lt;Q&gt;FYBR-US^FE_ESTIMATE(PL2_SALES_3,MEDIAN,ANNUAL,2026,NOW,,,'')&lt;/Q&gt;&lt;R&gt;1&lt;/R&gt;&lt;C&gt;1&lt;/C&gt;&lt;D xsi:type="xsd:double"&gt;2236.5&lt;/D&gt;&lt;/FQL&gt;&lt;FQL&gt;&lt;Q&gt;PRICE^P_DATE(0)&lt;/Q&gt;&lt;R&gt;1&lt;/R&gt;&lt;C&gt;1&lt;/C&gt;&lt;D xsi:type="xsd:string"&gt;02/20/2025&lt;/D&gt;&lt;/FQL&gt;&lt;FQL&gt;&lt;Q&gt;FYBR^P_DATE(0)&lt;/Q&gt;&lt;R&gt;1&lt;/R&gt;&lt;C&gt;1&lt;/C&gt;&lt;D xsi:type="xsd:string"&gt;02/20/2025&lt;/D&gt;&lt;/FQL&gt;&lt;FQL&gt;&lt;Q&gt;FYBR^FG_PRICE(0)&lt;/Q&gt;&lt;R&gt;1&lt;/R&gt;&lt;C&gt;1&lt;/C&gt;&lt;D xsi:type="xsd:double"&gt;35.78&lt;/D&gt;&lt;/FQL&gt;&lt;FQL&gt;&lt;Q&gt;FYBR^FG_PRICE(45540)&lt;/Q&gt;&lt;R&gt;1&lt;/R&gt;&lt;C&gt;1&lt;/C&gt;&lt;D xsi:type="xsd:double"&gt;35&lt;/D&gt;&lt;/FQL&gt;&lt;FQL&gt;&lt;Q&gt;FYBR^FG_PRICE(45540,0)&lt;/Q&gt;&lt;R&gt;115&lt;/R&gt;&lt;C&gt;1&lt;/C&gt;&lt;D xsi:type="xsd:double"&gt;35&lt;/D&gt;&lt;D xsi:type="xsd:double"&gt;35.53&lt;/D&gt;&lt;D xsi:type="xsd:double"&gt;35.77&lt;/D&gt;&lt;D xsi:type="xsd:double"&gt;35.57&lt;/D&gt;&lt;D xsi:type="xsd:double"&gt;36.03&lt;/D&gt;&lt;D xsi:type="xsd:double"&gt;35.585&lt;/D&gt;&lt;D xsi:type="xsd:double"&gt;36.44&lt;/D&gt;&lt;D xsi:type="xsd:double"&gt;35.95&lt;/D&gt;&lt;D xsi:type="xsd:double"&gt;35.65&lt;/D&gt;&lt;D xsi:type="xsd:double"&gt;35.35&lt;/D&gt;&lt;D xsi:type="xsd:double"&gt;35.39&lt;/D&gt;&lt;D xsi:type="xsd:double"&gt;35.65&lt;/D&gt;&lt;D xsi:type="xsd:double"&gt;35.73&lt;/D&gt;&lt;D xsi:type="xsd:double"&gt;35.48&lt;/D&gt;&lt;D xsi:type="xsd:double"&gt;35.52&lt;/D&gt;&lt;D xsi:type="xsd:double"&gt;35.72&lt;/D&gt;&lt;D xsi:type="xsd:double"&gt;35.71&lt;/D&gt;&lt;D xsi:type="xsd:double"&gt;35.53&lt;/D&gt;&lt;D xsi:type="xsd:double"&gt;35.38&lt;/D&gt;&lt;D xsi:type="xsd:double"&gt;35.45&lt;/D&gt;&lt;D xsi:type="xsd:double"&gt;35.42&lt;/D&gt;&lt;D xsi:type="xsd:double"&gt;35.36&lt;/D&gt;&lt;D xsi:type="xsd:double"&gt;35.32&lt;/D&gt;&lt;D xsi:type="xsd:double"&gt;35.35&lt;/D&gt;&lt;D xsi:type="xsd:double"&gt;35.26&lt;/D&gt;&lt;D xsi:type="xsd:double"&gt;35.25&lt;/D&gt;&lt;D xsi:type="xsd:double"&gt;35.25&lt;/D&gt;&lt;D xsi:type="xsd:double"&gt;35.25&lt;/D&gt;&lt;D xsi:type="xsd:double"&gt;35.71&lt;/D&gt;&lt;D xsi:type="xsd:double"&gt;35.96&lt;/D&gt;&lt;D xsi:type="xsd:double"&gt;35.85&lt;/D&gt;&lt;D xsi:type="xsd:double"&gt;35.7&lt;/D&gt;&lt;D xsi:type="xsd:double"&gt;35.71&lt;/D&gt;&lt;D xsi:type="xsd:double"&gt;35.55&lt;/D&gt;&lt;D xsi:type="xsd:double"&gt;35.82&lt;/D&gt;&lt;D xsi:type="xsd:double"&gt;36.15&lt;/D&gt;&lt;D xsi:type="xsd:double"&gt;36.01&lt;/D&gt;&lt;D xsi:type="xsd:double"&gt;35.83&lt;/D&gt;&lt;D xsi:type="xsd:double"&gt;35.89&lt;/D&gt;&lt;D xsi:type="xsd:double"&gt;35.93&lt;/D&gt;&lt;D xsi:type="xsd:double"&gt;35.73&lt;/D&gt;&lt;D xsi:type="xsd:double"&gt;36.14&lt;/D&gt;&lt;D xsi:type="xsd:double"&gt;35.41&lt;/D&gt;&lt;D xsi:type="xsd:double"&gt;34.95&lt;/D&gt;&lt;D xsi:type="xsd:double"&gt;35.07&lt;/D&gt;&lt;D xsi:type="xsd:double"&gt;34.83&lt;/D&gt;&lt;D xsi:type="xsd:double"&gt;34.5&lt;/D&gt;&lt;D xsi:type="xsd:double"&gt;34.39&lt;/D&gt;&lt;D xsi:type="xsd:double"&gt;34.15&lt;/D&gt;&lt;D xsi:type="xsd:double"&gt;34.67&lt;/D&gt;&lt;D xsi:type="xsd:double"&gt;34.75&lt;/D&gt;&lt;D xsi:type="xsd:double"&gt;34.86&lt;/D&gt;&lt;D xsi:type="xsd:double"&gt;34.93&lt;/D&gt;&lt;D xsi:type="xsd:double"&gt;34.75&lt;/D&gt;&lt;D xsi:type="xsd:double"&gt;34.7&lt;/D&gt;&lt;D xsi:type="xsd:double"&gt;34.8&lt;/D&gt;&lt;D xsi:type="xsd:double"&gt;34.87&lt;/D&gt;&lt;D xsi:type="xsd:double"&gt;34.88&lt;/D&gt;&lt;D xsi:type="xsd:double"&gt;34.84&lt;/D&gt;&lt;D xsi:type="xsd:double"&gt;34.78&lt;/D&gt;&lt;D xsi:type="xsd:double"&gt;34.81&lt;/D&gt;&lt;D xsi:type="xsd:double"&gt;34.72&lt;/D&gt;&lt;D xsi:type="xsd:double"&gt;34.47&lt;/D&gt;&lt;D xsi:type="xsd:double"&gt;34.49&lt;/D&gt;&lt;D xsi:type="xsd:double"&gt;34.52&lt;/D&gt;&lt;D xsi:type="xsd:double"&gt;34.64&lt;/D&gt;&lt;D xsi:type="xsd:double"&gt;34.59&lt;/D&gt;&lt;D xsi:type="xsd:double"&gt;34.63&lt;/D&gt;&lt;D xsi:type="xsd:double"&gt;34.64&lt;/D&gt;&lt;D xsi:type="xsd:double"&gt;34.66&lt;/D&gt;&lt;D xsi:type="xsd:double"&gt;34.65&lt;/D&gt;&lt;D xsi:type="xsd:double"&gt;34.76&lt;/D&gt;&lt;D xsi:type="xsd:double"&gt;34.83&lt;/D&gt;&lt;D xsi:type="xsd:double"&gt;34.66&lt;/D&gt;&lt;D xsi:type="xsd:double"&gt;34.75&lt;/D&gt;&lt;D xsi:type="xsd:double"&gt;34.65&lt;/D&gt;&lt;D xsi:type="xsd:double"&gt;34.78&lt;/D&gt;&lt;D xsi:type="xsd:double"&gt;34.77&lt;/D&gt;&lt;D xsi:type="xsd:double"&gt;34.85&lt;/D&gt;&lt;D xsi:type="xsd:double"&gt;34.64&lt;/D&gt;&lt;D xsi:type="xsd:double"&gt;34.7&lt;/D&gt;&lt;D xsi:type="xsd:double"&gt;34.7&lt;/D&gt;&lt;D xsi:type="xsd:double"&gt;34.83&lt;/D&gt;&lt;D xsi:type="xsd:double"&gt;35.06&lt;/D&gt;&lt;D xsi:type="xsd:double"&gt;35.1&lt;/D&gt;&lt;D xsi:type="xsd:double"&gt;35.17&lt;/D&gt;&lt;D xsi:type="xsd:double"&gt;35.31&lt;/D&gt;&lt;D xsi:type="xsd:double"&gt;35.1&lt;/D&gt;&lt;D xsi:type="xsd:double"&gt;35.33&lt;/D&gt;&lt;D xsi:type="xsd:double"&gt;35.53&lt;/D&gt;&lt;D xsi:type="xsd:double"&gt;35.51&lt;/D&gt;&lt;D xsi:type="xsd:double"&gt;35.5&lt;/D&gt;&lt;D xsi:type="xsd:double"&gt;35.64&lt;/D&gt;&lt;D xsi:type="xsd:double"&gt;35.74&lt;/D&gt;&lt;D xsi:type="xsd:double"&gt;35.75&lt;/D&gt;&lt;D xsi:type="xsd:double"&gt;35.79&lt;/D&gt;&lt;D xsi:type="xsd:double"&gt;35.8&lt;/D&gt;&lt;D xsi:type="xsd:double"&gt;35.76&lt;/D&gt;&lt;D xsi:type="xsd:double"&gt;35.76&lt;/D&gt;&lt;D xsi:type="xsd:double"&gt;35.8&lt;/D&gt;&lt;D xsi:type="xsd:double"&gt;35.8&lt;/D&gt;&lt;D xsi:type="xsd:double"&gt;35.76&lt;/D&gt;&lt;D xsi:type="xsd:double"&gt;35.76&lt;/D&gt;&lt;D xsi:type="xsd:double"&gt;35.83&lt;/D&gt;&lt;D xsi:type="xsd:double"&gt;35.79&lt;/D&gt;&lt;D xsi:type="xsd:double"&gt;35.8&lt;/D&gt;&lt;D xsi:type="xsd:double"&gt;35.79&lt;/D&gt;&lt;D xsi:type="xsd:double"&gt;35.81&lt;/D&gt;&lt;D xsi:type="xsd:double"&gt;35.77&lt;/D&gt;&lt;D xsi:type="xsd:double"&gt;35.72&lt;/D&gt;&lt;D xsi:type="xsd:double"&gt;35.74&lt;/D&gt;&lt;D xsi:type="xsd:double"&gt;35.73&lt;/D&gt;&lt;D xsi:type="xsd:double"&gt;35.74&lt;/D&gt;&lt;D xsi:type="xsd:double"&gt;35.7&lt;/D&gt;&lt;D xsi:type="xsd:double"&gt;35.78&lt;/D&gt;&lt;/FQL&gt;&lt;/Schema&gt;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Vikash Harlalka</author>
    <author>Spencer Kurn</author>
  </authors>
  <commentList>
    <comment ref="EN11" authorId="0" shapeId="0" xr:uid="{3B304543-272F-4273-B26E-F91B39CF2606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CAF-II goes away and RDOF subsidy of $37MM annually start. Rest is state grants.</t>
        </r>
      </text>
    </comment>
    <comment ref="EQ21" authorId="0" shapeId="0" xr:uid="{D87720F8-4F91-4DC7-B625-18B1413BD0FE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Expect costs to be up sequentially but not as much as it was last year.</t>
        </r>
      </text>
    </comment>
    <comment ref="EQ36" authorId="0" shapeId="0" xr:uid="{647D9F50-6666-4C42-B30C-419794C6E351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Expect 2H23 EBITDA growth in mid-single-digits with 3Q being below and 4Q being close to the high end of the range</t>
        </r>
      </text>
    </comment>
    <comment ref="ER36" authorId="0" shapeId="0" xr:uid="{5A849CE3-5A16-47B6-A343-D04E7F267EC1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Expect 2H23 EBITDA growth in mid-single-digits with 3Q being below and 4Q being close to the high end of the range</t>
        </r>
      </text>
    </comment>
    <comment ref="EN48" authorId="0" shapeId="0" xr:uid="{3FA97ED0-AD05-4932-A9C2-BF6BE0E0A412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CAF-II goes away and RDOF subsidy of $37MM annually start. Rest is state grants.</t>
        </r>
      </text>
    </comment>
    <comment ref="ES48" authorId="0" shapeId="0" xr:uid="{833A81F5-4186-4B3A-B9B8-23C7BADC2094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CAF-II goes away and RDOF subsidy of $37MM annually start. Rest is state grants.</t>
        </r>
      </text>
    </comment>
    <comment ref="ER50" authorId="0" shapeId="0" xr:uid="{1130C9CF-9B9B-4D87-AC53-87B75B2E6F62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Expect growth to accelerate</t>
        </r>
      </text>
    </comment>
    <comment ref="EI87" authorId="0" shapeId="0" xr:uid="{09640BAD-9F95-4CE6-A7AE-2DECCAFB79F4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Guided to 600k new build on 2Q21 earnings</t>
        </r>
      </text>
    </comment>
    <comment ref="EN87" authorId="0" shapeId="0" xr:uid="{3EA5391A-4B35-4941-B2C1-8356F3091AB1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Guidance increased by 100-200k at the MN Conference</t>
        </r>
      </text>
    </comment>
    <comment ref="EX87" authorId="0" shapeId="0" xr:uid="{D43A7CFB-5B00-4C0A-BE37-DCC8A2BD1291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Guided to 1.3MM</t>
        </r>
      </text>
    </comment>
    <comment ref="FC87" authorId="0" shapeId="0" xr:uid="{CFE67993-C819-4670-AC60-7929D7BB9E6E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Guided to 1.3MM</t>
        </r>
      </text>
    </comment>
    <comment ref="FH87" authorId="0" shapeId="0" xr:uid="{3B7CD60E-3BFD-4884-A983-79608945C2FA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Guided to 1.3MM</t>
        </r>
      </text>
    </comment>
    <comment ref="DY115" authorId="1" shapeId="0" xr:uid="{F434DA65-60D8-4A72-8116-DFA2C7DBB9DF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Bondholder presentation October 2019: ~1.2MM consumer fiber BB subs</t>
        </r>
      </text>
    </comment>
    <comment ref="DW120" authorId="1" shapeId="0" xr:uid="{6B8FDE44-7A04-431A-9CCE-1A0B4D47AA01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Bondholder presentation: Consumer Fiber penetration ~40%, DSL penetration ~13%.  Assume slightly higher when including business</t>
        </r>
      </text>
    </comment>
    <comment ref="EQ186" authorId="0" shapeId="0" xr:uid="{1CF7B7A9-E43F-4AB9-A25E-E4C22B8CA5F1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Expect ARPU to be up sequentially and Y/Y with or without gift card impact. 3Q22 ARPU without gift card was $64.63. Assume $1 of gift card impact in 3Q23.</t>
        </r>
      </text>
    </comment>
    <comment ref="ER186" authorId="0" shapeId="0" xr:uid="{11E17E80-512A-4E60-997C-AC68883D7389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Expect ARPU to be up Y/Y with or without gift card impact. 4Q22 ARPU without gift card was $63.30. Assume only $0.20 of gift card impact in 4Q23.</t>
        </r>
      </text>
    </comment>
    <comment ref="EA265" authorId="1" shapeId="0" xr:uid="{C41BC1BB-ECEC-4DD8-8740-74F210241230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Bondholder presentation: Consumer Fiber penetration ~40%, DSL penetration ~13%.  Assume slightly higher when including business</t>
        </r>
      </text>
    </comment>
    <comment ref="EQ324" authorId="0" shapeId="0" xr:uid="{0459FAC2-AA10-45BA-A8CC-D0DFA7B214C5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Expect elevated growth rates to continue for the year due to price increases and Frontier having stopped selling the lowest tier.</t>
        </r>
      </text>
    </comment>
    <comment ref="ER324" authorId="0" shapeId="0" xr:uid="{FA3644C6-2E82-4BB7-8174-F5A5AE04354F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Expect elevated growth rates to continue for the year due to price increases and Frontier having stopped selling the lowest tier.</t>
        </r>
      </text>
    </comment>
    <comment ref="EN469" authorId="0" shapeId="0" xr:uid="{8C575038-467C-4A32-8521-2CA44D8B21A6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CAF-II goes away and RDOF subsidy of $37MM annually start</t>
        </r>
      </text>
    </comment>
    <comment ref="ED540" authorId="1" shapeId="0" xr:uid="{0BA4FCF2-BD8E-4430-907C-644741605A5B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2Q20: building 60K homes across six states for $50MM total</t>
        </r>
      </text>
    </comment>
    <comment ref="EI573" authorId="0" shapeId="0" xr:uid="{139A5230-4EC7-4B6B-9894-099EBB370599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Guided to $1.8BN as per 2Q21 Call</t>
        </r>
      </text>
    </comment>
    <comment ref="ET573" authorId="0" shapeId="0" xr:uid="{75BDB693-19AC-4539-AF81-3DE574092A1A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Guided to be peak</t>
        </r>
      </text>
    </comment>
    <comment ref="EX573" authorId="0" shapeId="0" xr:uid="{0F7054F3-0073-431D-BDC1-5843FC132519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Guided to $3.0-$3.2BN</t>
        </r>
      </text>
    </comment>
    <comment ref="EF612" authorId="1" shapeId="0" xr:uid="{834EB7D2-4DBC-48E8-8BBA-245E180316D5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Guiding to ARPU pressure in commercial as FTR reprices base in exchange for long-term volumes</t>
        </r>
      </text>
    </comment>
    <comment ref="DY618" authorId="1" shapeId="0" xr:uid="{4E6E4428-9BC0-4F84-9A11-022ED0ADACE4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Bondholder presentation: Fiber Data is 20% revenue; Legacy Data 25% of revenue</t>
        </r>
      </text>
    </comment>
    <comment ref="DY619" authorId="1" shapeId="0" xr:uid="{473E69E4-C91E-4AAE-82CF-0C00842EC6A3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Bondholder presentation: Fiber Data is 20% revenue; Legacy Data 25% of revenue</t>
        </r>
      </text>
    </comment>
    <comment ref="EN636" authorId="0" shapeId="0" xr:uid="{F727FBD9-EB86-4870-8409-EA0FE2F59265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CAF-II goes away and RDOF subsidy of $37MM annually start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Vikash Harlalka</author>
  </authors>
  <commentList>
    <comment ref="D262" authorId="0" shapeId="0" xr:uid="{8CA1D305-4A8D-49B3-B4CC-6901D73FF549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Damodaran: https://pages.stern.nyu.edu/~adamodar/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Vivek Stalam</author>
  </authors>
  <commentList>
    <comment ref="A1023" authorId="0" shapeId="0" xr:uid="{845F10C9-C67A-4D98-A08B-D62FFA5F683E}">
      <text>
        <r>
          <rPr>
            <b/>
            <sz val="9"/>
            <color indexed="81"/>
            <rFont val="Tahoma"/>
            <family val="2"/>
          </rPr>
          <t>Vivek Stalam:</t>
        </r>
        <r>
          <rPr>
            <sz val="9"/>
            <color indexed="81"/>
            <rFont val="Tahoma"/>
            <family val="2"/>
          </rPr>
          <t xml:space="preserve">
From current quarter forward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Spencer Kurn</author>
    <author>Vikash Harlalka</author>
  </authors>
  <commentList>
    <comment ref="EC91" authorId="0" shapeId="0" xr:uid="{7DA1406C-4A1F-4AB4-8AEB-9DA36F598951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1Q21 earnings: Base fibe of 3.2MM passings (3.0MM of which are Consumer)</t>
        </r>
      </text>
    </comment>
    <comment ref="EF159" authorId="1" shapeId="0" xr:uid="{10DBA249-4739-4768-BC6D-66748E80F0E0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Removing $100MM/year for repricing of wholesale contract with AT&amp;T</t>
        </r>
      </text>
    </comment>
    <comment ref="ED172" authorId="1" shapeId="0" xr:uid="{65E98C22-F20A-473C-852E-84EBCE0E987C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From 1Q21 presentation</t>
        </r>
      </text>
    </comment>
    <comment ref="EC195" authorId="0" shapeId="0" xr:uid="{79B741DD-C742-40DE-909E-A1139CCCC33A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1Q21 earnings: Base fibe of 3.2MM passings (3.0MM of which are Consumer)</t>
        </r>
      </text>
    </comment>
    <comment ref="EC371" authorId="0" shapeId="0" xr:uid="{BE996F69-2F82-460D-88BB-2DFE6041B6C5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1Q21 earnings: Base fibe of 3.2MM passings (3.0MM of which are Consumer)</t>
        </r>
      </text>
    </comment>
    <comment ref="EC374" authorId="0" shapeId="0" xr:uid="{8DB67B41-4F4A-483D-8DD6-7678BBEC4320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16.3MM total Homes passed; 14.0MM broadband capable</t>
        </r>
      </text>
    </comment>
    <comment ref="EI376" authorId="0" shapeId="0" xr:uid="{325F08CA-9208-40D5-85B4-29B20D9CD8E0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1Q21: guided to new fiber adds of 495K</t>
        </r>
      </text>
    </comment>
    <comment ref="DZ502" authorId="0" shapeId="0" xr:uid="{0BCDA7D2-60D0-4E54-A057-3ABB5639238E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Traingulate to $1.8BN in  2019 Consumer Fiber revenue </t>
        </r>
      </text>
    </comment>
    <comment ref="DZ505" authorId="0" shapeId="0" xr:uid="{F495DF50-0323-4851-BF36-3DD9B4DE0BFF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Traingulate to $0.3BN in 2020 Fiber "Other" revenue</t>
        </r>
      </text>
    </comment>
    <comment ref="DY522" authorId="0" shapeId="0" xr:uid="{630CB1C1-FA6C-4B4F-B505-C37567D86626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Per Page 100 of Bondholder materials shows $777; calculate based on subs and ARPU $765</t>
        </r>
      </text>
    </comment>
    <comment ref="DY523" authorId="0" shapeId="0" xr:uid="{6A0C446C-7807-4F53-B578-974115F18759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Per Page 100 of Bondholder materials - "TV Blend" revenue; assume 80% fiber based on mix of revenue from FTR and DISH</t>
        </r>
      </text>
    </comment>
    <comment ref="DY524" authorId="0" shapeId="0" xr:uid="{1D41A14C-88F8-47B1-9F1F-836404CF4E3D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Per Page 100 of Bondholder materials - "VoIP" revenue</t>
        </r>
      </text>
    </comment>
    <comment ref="DY525" authorId="0" shapeId="0" xr:uid="{4E9324C8-E550-4959-B336-D6A5E8522721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Per Page 100 of Bondholder materials - "Other" revenue of $287MM; unsure of split between Fiber and Copper; assume map to $1.8BN of total fiber consumer revenue from p. 11</t>
        </r>
      </text>
    </comment>
    <comment ref="DY528" authorId="0" shapeId="0" xr:uid="{6CC44853-24D8-4200-9735-135E2C035959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Per Page 100 of Bondholder materials shows $711; calculate based on subs and ARPU $703</t>
        </r>
      </text>
    </comment>
    <comment ref="DY530" authorId="0" shapeId="0" xr:uid="{3D9BE20B-58BC-44D4-BA9D-BA93A5DF3A55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Per Page 100 of Bondholder materials - "TDM Voice" revenue of $1,013MM; triangulated to $944MM based on repored consumer revenue</t>
        </r>
      </text>
    </comment>
    <comment ref="DY560" authorId="0" shapeId="0" xr:uid="{B408176D-260B-44BF-A33F-8F7D90821E88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Per Page 104 of Bondholder materials - "Fiber Broadband"  revenue of $122MM</t>
        </r>
      </text>
    </comment>
    <comment ref="DY561" authorId="0" shapeId="0" xr:uid="{59E137AE-28C9-4E58-A5FB-2CC0679393C5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Page 4 of bondholder presentation: $0.3BN commercial fiber revs and $0.5BN commercial wholesale revs</t>
        </r>
      </text>
    </comment>
    <comment ref="DY564" authorId="0" shapeId="0" xr:uid="{53E1E216-902F-45BB-9A08-72D1BE308E3A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$875MM per page 104 of bondholder presentation</t>
        </r>
      </text>
    </comment>
    <comment ref="DY565" authorId="0" shapeId="0" xr:uid="{261374A9-C20B-439A-A466-AEA26564A605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P.104 bondholder presentation: $0.3BN "Data (Legacy + Ethernet) plus wholesale copper</t>
        </r>
      </text>
    </comment>
    <comment ref="A619" authorId="0" shapeId="0" xr:uid="{D406C64B-148C-4591-861E-A6624D196B1B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Network access expenses include access charges and other third-party costs directly attributable to connecting customer locations to our network, video content costs and certain promotional costs.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Vikash Harlalka</author>
    <author>Spencer Kurn</author>
  </authors>
  <commentList>
    <comment ref="EN17" authorId="0" shapeId="0" xr:uid="{76DF0B59-8E9B-4BDB-B1A2-D80F4F3C9ACD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CAF-II goes away and RDOF subsidy of $37MM annually start. Rest is state grants.</t>
        </r>
      </text>
    </comment>
    <comment ref="EN27" authorId="0" shapeId="0" xr:uid="{B4FA7FAA-FF9D-438A-A748-4668485E79C4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CAF-II goes away and RDOF subsidy of $37MM annually start. Rest is state grants.</t>
        </r>
      </text>
    </comment>
    <comment ref="ES27" authorId="0" shapeId="0" xr:uid="{C9C45D8E-0988-4003-A4A8-11AA376D1154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CAF-II goes away and RDOF subsidy of $37MM annually start. Rest is state grants.</t>
        </r>
      </text>
    </comment>
    <comment ref="EX27" authorId="0" shapeId="0" xr:uid="{B34F4B5C-D28B-4313-A965-C29409478111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CAF-II goes away and RDOF subsidy of $37MM annually start. Rest is state grants.</t>
        </r>
      </text>
    </comment>
    <comment ref="FC27" authorId="0" shapeId="0" xr:uid="{044DB8CE-BAC3-44C8-A46A-BCB8C4794234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CAF-II goes away and RDOF subsidy of $37MM annually start. Rest is state grants.</t>
        </r>
      </text>
    </comment>
    <comment ref="EI67" authorId="0" shapeId="0" xr:uid="{EF054EF3-D1A0-41F3-882C-EDABB28A319E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Guidede to $70MM on 2Q21 call</t>
        </r>
      </text>
    </comment>
    <comment ref="EB68" authorId="1" shapeId="0" xr:uid="{C8A3EDD6-D6FE-46AA-BB94-8F3824929E97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Assume $40MM in quarterly restructuring charges</t>
        </r>
      </text>
    </comment>
    <comment ref="EF72" authorId="1" shapeId="0" xr:uid="{8DD58335-171D-40BE-BF5F-C43F46C3C166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Assume modest reorg items in 2Q, assume go away thereafter.  Modest pension costs </t>
        </r>
      </text>
    </comment>
    <comment ref="DU80" authorId="1" shapeId="0" xr:uid="{10740550-C135-4FB0-8820-38F7154FFC4A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Assume 260MM shares pro-forma for mgmt. dilution upon bankruptcy emergence</t>
        </r>
      </text>
    </comment>
    <comment ref="DZ80" authorId="1" shapeId="0" xr:uid="{ABABD730-6E8F-4CFF-9737-F669CED21AA3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Assume 260MM shares pro-forma for mgmt. dilution upon bankruptcy emergence</t>
        </r>
      </text>
    </comment>
    <comment ref="ES104" authorId="0" shapeId="0" xr:uid="{3944E51D-419C-46ED-B828-D9395A9664F1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Underfunded pension liabilities</t>
        </r>
      </text>
    </comment>
    <comment ref="EX104" authorId="0" shapeId="0" xr:uid="{B6DDABF0-BE9B-4070-ACED-43CAD84FBF3A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Underfunded pension liabilities</t>
        </r>
      </text>
    </comment>
    <comment ref="EA108" authorId="1" shapeId="0" xr:uid="{78C52F0F-90EF-483F-8B7C-850A3BB041A7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NW divestiture</t>
        </r>
      </text>
    </comment>
    <comment ref="EQ109" authorId="0" shapeId="0" xr:uid="{BA103304-4C4A-4699-AE47-F83AF9E622E5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Assume FYBR sells the short-term investments as they need cash.</t>
        </r>
      </text>
    </comment>
    <comment ref="ER109" authorId="0" shapeId="0" xr:uid="{C2CFFCBA-8F57-4F6C-B217-76BB5290CFF1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Assume FYBR sells the short-term investments as they need cash.</t>
        </r>
      </text>
    </comment>
    <comment ref="EC112" authorId="1" shapeId="0" xr:uid="{AB5AD1CA-81FC-4C75-B9D7-9FE916A6BA4F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11/25/20: FTR uses proceeds of debt issuance to repay $1.6BN of 2L debt (8.5%) and $1.7BN Term Loan B </t>
        </r>
      </text>
    </comment>
    <comment ref="EC113" authorId="1" shapeId="0" xr:uid="{57A8F074-CA43-434E-94ED-C2BA8885E8F0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11/25/20 issued $1.55BN of 5% notes due 2028 and $1.0BN of 6.75% notes due 2029, plus $750MM term loan facility</t>
        </r>
      </text>
    </comment>
    <comment ref="EK113" authorId="0" shapeId="0" xr:uid="{4A984E46-46A3-4AD9-AB6F-C1A802969CFD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Raised $1.2BN @8.75%</t>
        </r>
      </text>
    </comment>
    <comment ref="EQ113" authorId="0" shapeId="0" xr:uid="{AE0442CE-AF4C-4EE6-805C-38116E02CE2D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$1.6BN of securitized debt at 8.8% at the start of August</t>
        </r>
      </text>
    </comment>
    <comment ref="DZ131" authorId="0" shapeId="0" xr:uid="{9B34484C-0BEE-441F-B528-2641288F36DD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From 2Q21 Investor Deck</t>
        </r>
      </text>
    </comment>
    <comment ref="EA131" authorId="0" shapeId="0" xr:uid="{95CA4020-FFE7-48BC-8CB3-6C38BCC974BC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From 2Q21 Investor Deck</t>
        </r>
      </text>
    </comment>
    <comment ref="EB131" authorId="0" shapeId="0" xr:uid="{E0DC236A-6930-4B0D-B770-18F8BAC7204C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From 2Q21 Investor Deck</t>
        </r>
      </text>
    </comment>
    <comment ref="EC131" authorId="0" shapeId="0" xr:uid="{100184CE-ED16-4226-860A-929957AD1E8C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From 2Q21 Investor Deck</t>
        </r>
      </text>
    </comment>
    <comment ref="EE131" authorId="0" shapeId="0" xr:uid="{6167C9AF-F77B-4A24-BA40-98D2661C2EEC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From 2Q21 Investor Deck</t>
        </r>
      </text>
    </comment>
    <comment ref="EF131" authorId="0" shapeId="0" xr:uid="{4F28A252-4E16-44CD-A7F2-97391A4072AB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From 2Q21 Investor Deck</t>
        </r>
      </text>
    </comment>
    <comment ref="DY160" authorId="1" shapeId="0" xr:uid="{3228B7BF-A3E4-404D-8928-95A1832EEFB2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$1.6BN Federal
$9.8BN State</t>
        </r>
      </text>
    </comment>
    <comment ref="ED160" authorId="1" shapeId="0" xr:uid="{CFF0C186-563B-4009-A7BB-9CB7C405573D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IR: Brunos restructuring consumes NOLs.
As of December 31, 2020, we had federal net operating loss (NOLs) carryforwards of approximately $1.8 billion and state NOL carryforwards of approximately $9.9 billion. </t>
        </r>
      </text>
    </comment>
    <comment ref="EE160" authorId="1" shapeId="0" xr:uid="{68AC5DFF-C248-4092-9B3C-52C134A67100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IR: Brunos restructuring consumes NOLs.
As of December 31, 2020, we had federal net operating loss (NOLs) carryforwards of approximately $1.8 billion and state NOL carryforwards of approximately $9.9 billion. </t>
        </r>
      </text>
    </comment>
    <comment ref="EI160" authorId="0" shapeId="0" xr:uid="{5FA0F60E-541B-4E5F-8560-7B8290171648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As disclosed in the 10-K</t>
        </r>
      </text>
    </comment>
    <comment ref="EN160" authorId="0" shapeId="0" xr:uid="{EB942885-90CE-4905-B861-542FAC4B4BCB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As disclosed in the 10-K</t>
        </r>
      </text>
    </comment>
    <comment ref="EP166" authorId="0" shapeId="0" xr:uid="{40A02002-54DD-423F-B6E9-A07A0115ED7F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Assume Frontier pays minimal cash taxes during FTTH build</t>
        </r>
      </text>
    </comment>
    <comment ref="EQ166" authorId="0" shapeId="0" xr:uid="{7895DB6F-BB4C-45AF-B410-A4F446749E8E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Assume Frontier pays minimal cash taxes during FTTH build</t>
        </r>
      </text>
    </comment>
    <comment ref="FC166" authorId="0" shapeId="0" xr:uid="{060747AF-0064-408C-8DEB-998D66D403C6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Assume Frontier pays minimal cash taxes during FTTH build</t>
        </r>
      </text>
    </comment>
    <comment ref="ER171" authorId="0" shapeId="0" xr:uid="{14920003-5A36-470A-ADBD-84513FD1E186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Removed impact of selling short-term investments as it doesn't impact cash &amp; equivalents on BS.</t>
        </r>
      </text>
    </comment>
    <comment ref="EY171" authorId="0" shapeId="0" xr:uid="{53D25D71-7721-446F-9874-E063D75EF8E0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Removed impact of selling short-term investments as it doesn't impact cash &amp; equivalents on BS.</t>
        </r>
      </text>
    </comment>
    <comment ref="EZ171" authorId="0" shapeId="0" xr:uid="{ADD5150B-57DF-4C43-8D77-22AC7D8B218B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Removed impact of selling short-term investments as it doesn't impact cash &amp; equivalents on BS.</t>
        </r>
      </text>
    </comment>
    <comment ref="FA171" authorId="0" shapeId="0" xr:uid="{C7EBEB63-11FB-4580-A8CD-3211EB85B70C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Removed impact of selling short-term investments as it doesn't impact cash &amp; equivalents on BS.</t>
        </r>
      </text>
    </comment>
    <comment ref="FB171" authorId="0" shapeId="0" xr:uid="{4A32DDD3-7DF9-4186-82CE-CB2601251219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Removed impact of selling short-term investments as it doesn't impact cash &amp; equivalents on BS.</t>
        </r>
      </text>
    </comment>
    <comment ref="EE196" authorId="1" shapeId="0" xr:uid="{FD1C5822-21FA-483D-98AD-783F50FB3273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4Q20 earnings deck: Pro-forma total debt at emergence of $6.569BN, pluis $225 debt raised</t>
        </r>
      </text>
    </comment>
    <comment ref="EF196" authorId="1" shapeId="0" xr:uid="{A1BC005B-2FD0-4942-9029-C97FF4811537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1Q21 earnings deck: PF debt of $6.795BN
4Q20 earnings deck: Pro-forma total debt at emergence of $6.569BN, pluis $225 debt raised</t>
        </r>
      </text>
    </comment>
    <comment ref="EE197" authorId="1" shapeId="0" xr:uid="{A96C50BE-D10D-4C38-91A7-43B077A68E76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1Q21: pro-forma cash of $719MM when emerge from bk</t>
        </r>
      </text>
    </comment>
    <comment ref="EF197" authorId="1" shapeId="0" xr:uid="{16AA8D4E-D40B-4F74-878C-329AFF8583B3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1Q21 earnings deck: emerge with "~800M" cash, with "~2.2x" net debt / EBITDA
1Q21: pro-forma cash of $719MM when emerge from bk</t>
        </r>
      </text>
    </comment>
    <comment ref="EE200" authorId="1" shapeId="0" xr:uid="{1A83BE47-23F0-4F6D-805A-CFC2782ABA8C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4Q20: total debt / EBITDA of 2.4x at emergence (net debt / EBITDA modestly lower)
2Q20: projecting 2.3x net leverage ratio post bk emergence</t>
        </r>
      </text>
    </comment>
    <comment ref="EF200" authorId="1" shapeId="0" xr:uid="{D7E9F76D-DFBB-4676-9B8D-39EA19146099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1Q21: expect to emerge from BK at 2.2x net debt / EBITDA
4Q20: total debt / EBITDA of 2.4x at emergence (net debt / EBITDA modestly lower)
2Q20: projecting 2.3x net leverage ratio post bk emergence</t>
        </r>
      </text>
    </comment>
    <comment ref="ES213" authorId="0" shapeId="0" xr:uid="{8126C4EA-CCF4-4C2D-9E50-EA1B3DCED7FC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Guided to $700MM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Vikash Harlalka</author>
    <author>Spencer Kurn</author>
  </authors>
  <commentList>
    <comment ref="EN11" authorId="0" shapeId="0" xr:uid="{F835E06C-3260-46BF-AC3B-4967AFF6EA65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CAF-II goes away and RDOF subsidy of $37MM annually start. Rest is state grants.</t>
        </r>
      </text>
    </comment>
    <comment ref="EQ21" authorId="0" shapeId="0" xr:uid="{9256D3BA-0F07-4346-8C8D-932C9A1FB09A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Expect costs to be up sequentially but not as much as it was last year.</t>
        </r>
      </text>
    </comment>
    <comment ref="EQ36" authorId="0" shapeId="0" xr:uid="{D87B3FBD-C1CB-45EA-8BCD-5D50CD891AD2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Expect 2H23 EBITDA growth in mid-single-digits with 3Q being below and 4Q being close to the high end of the range</t>
        </r>
      </text>
    </comment>
    <comment ref="ER36" authorId="0" shapeId="0" xr:uid="{0D50B0A7-7BDC-42AA-A18B-E352C8E9206E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Expect 2H23 EBITDA growth in mid-single-digits with 3Q being below and 4Q being close to the high end of the range</t>
        </r>
      </text>
    </comment>
    <comment ref="EN48" authorId="0" shapeId="0" xr:uid="{D4281E03-8E5A-4CB7-9BED-18B4E0E41B3C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CAF-II goes away and RDOF subsidy of $37MM annually start. Rest is state grants.</t>
        </r>
      </text>
    </comment>
    <comment ref="ES48" authorId="0" shapeId="0" xr:uid="{31C6C6CE-8883-4596-9077-E0431A1346B7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CAF-II goes away and RDOF subsidy of $37MM annually start. Rest is state grants.</t>
        </r>
      </text>
    </comment>
    <comment ref="ER50" authorId="0" shapeId="0" xr:uid="{0769BB09-3EC6-4524-86D4-3FA26DA83EC1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Expect growth to accelerate</t>
        </r>
      </text>
    </comment>
    <comment ref="EI87" authorId="0" shapeId="0" xr:uid="{CEFC1B3E-5CC9-4080-B809-BC66ED6BA679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Guided to 600k new build on 2Q21 earnings</t>
        </r>
      </text>
    </comment>
    <comment ref="EN87" authorId="0" shapeId="0" xr:uid="{49585B70-04FE-4368-B306-E0F701BA86E6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Guidance increased by 100-200k at the MN Conference</t>
        </r>
      </text>
    </comment>
    <comment ref="EX87" authorId="0" shapeId="0" xr:uid="{B1A9FC01-FF66-4EAE-BDE0-77C448B40D9C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Guided to 1.3MM</t>
        </r>
      </text>
    </comment>
    <comment ref="DY115" authorId="1" shapeId="0" xr:uid="{586FC70B-251C-4E12-AF19-D6E539C27806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Bondholder presentation October 2019: ~1.2MM consumer fiber BB subs</t>
        </r>
      </text>
    </comment>
    <comment ref="DW120" authorId="1" shapeId="0" xr:uid="{D10C8523-3851-454C-A497-C945A240CD79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Bondholder presentation: Consumer Fiber penetration ~40%, DSL penetration ~13%.  Assume slightly higher when including business</t>
        </r>
      </text>
    </comment>
    <comment ref="EQ186" authorId="0" shapeId="0" xr:uid="{7AD4A187-76CF-4128-A017-46C048A99045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Expect ARPU to be up sequentially and Y/Y with or without gift card impact. 3Q22 ARPU without gift card was $64.63. Assume $1 of gift card impact in 3Q23.</t>
        </r>
      </text>
    </comment>
    <comment ref="ER186" authorId="0" shapeId="0" xr:uid="{4EC898DB-8D8D-4E2D-BF92-BBEB4DB92ABF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Expect ARPU to be up Y/Y with or without gift card impact. 4Q22 ARPU without gift card was $63.30. Assume only $0.20 of gift card impact in 4Q23.</t>
        </r>
      </text>
    </comment>
    <comment ref="EV186" authorId="0" shapeId="0" xr:uid="{1600870B-A589-4934-9C57-302BFB123ABF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Expected to be flat sequentially</t>
        </r>
      </text>
    </comment>
    <comment ref="EW187" authorId="0" shapeId="0" xr:uid="{3E7E7CF5-2724-4A79-95F7-C4CD14264AF0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Expect ARPU growth to pick up right in line with 3-4% range</t>
        </r>
      </text>
    </comment>
    <comment ref="EA265" authorId="1" shapeId="0" xr:uid="{A052E41B-49D2-4C5F-863A-7C42A7EFCEF6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Bondholder presentation: Consumer Fiber penetration ~40%, DSL penetration ~13%.  Assume slightly higher when including business</t>
        </r>
      </text>
    </comment>
    <comment ref="EQ324" authorId="0" shapeId="0" xr:uid="{6D57735D-A2A9-48EA-8F50-ED80E5D610ED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Expect elevated growth rates to continue for the year due to price increases and Frontier having stopped selling the lowest tier.</t>
        </r>
      </text>
    </comment>
    <comment ref="ER324" authorId="0" shapeId="0" xr:uid="{375A5F3F-2938-45D3-80BA-31D0E8423E16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Expect elevated growth rates to continue for the year due to price increases and Frontier having stopped selling the lowest tier.</t>
        </r>
      </text>
    </comment>
    <comment ref="EN469" authorId="0" shapeId="0" xr:uid="{CCDE0725-E2C5-424A-B25C-E2AF6074D44B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CAF-II goes away and RDOF subsidy of $37MM annually start</t>
        </r>
      </text>
    </comment>
    <comment ref="ED540" authorId="1" shapeId="0" xr:uid="{134B7446-A749-42E2-82C6-09D0B670A0D6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2Q20: building 60K homes across six states for $50MM total</t>
        </r>
      </text>
    </comment>
    <comment ref="EI572" authorId="0" shapeId="0" xr:uid="{1FA3C7F7-32E8-4C3E-8734-F0A4A02D42BD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Guided to $1.8BN as per 2Q21 Call</t>
        </r>
      </text>
    </comment>
    <comment ref="EX580" authorId="0" shapeId="0" xr:uid="{D857E329-0EFD-41FB-8B33-77BC3ACC4D7C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Guided to $3.0-$3.2BN</t>
        </r>
      </text>
    </comment>
    <comment ref="EF611" authorId="1" shapeId="0" xr:uid="{54B62A50-FE5D-4BBB-85B5-5CE3E15F1848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Guiding to ARPU pressure in commercial as FTR reprices base in exchange for long-term volumes</t>
        </r>
      </text>
    </comment>
    <comment ref="DY617" authorId="1" shapeId="0" xr:uid="{66D26968-2796-441C-848C-7A6A05CC48A1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Bondholder presentation: Fiber Data is 20% revenue; Legacy Data 25% of revenue</t>
        </r>
      </text>
    </comment>
    <comment ref="DY618" authorId="1" shapeId="0" xr:uid="{B8F4E599-8EE6-4D5E-82D2-7CD0137A90DC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Bondholder presentation: Fiber Data is 20% revenue; Legacy Data 25% of revenue</t>
        </r>
      </text>
    </comment>
    <comment ref="EN635" authorId="0" shapeId="0" xr:uid="{859C6DE3-795A-4387-913C-E85406BD1197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CAF-II goes away and RDOF subsidy of $37MM annually start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Vikash Harlalka</author>
    <author>Spencer Kurn</author>
  </authors>
  <commentList>
    <comment ref="C81" authorId="0" shapeId="0" xr:uid="{4A4FBFE6-3E83-4AA8-84EA-93C348E867E5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Used the tax rate post emergence</t>
        </r>
      </text>
    </comment>
    <comment ref="B4095" authorId="1" shapeId="0" xr:uid="{7C7660DC-5891-43A9-9EB5-C4C1830E30BE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No labels on chart; looks like Risk and Insurance is 90% of the unlabeled categories</t>
        </r>
      </text>
    </comment>
    <comment ref="N4243" authorId="1" shapeId="0" xr:uid="{68E2D27B-8D09-45E4-A433-8A218E1CEF24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Mgmt. base case 2031 revenue: $4,920 </t>
        </r>
      </text>
    </comment>
    <comment ref="N4253" authorId="1" shapeId="0" xr:uid="{A9710892-EAB0-4DB7-9E9B-57733A1CFB77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Mgmt. base case 2031 EBITDA: $1,687 </t>
        </r>
      </text>
    </comment>
    <comment ref="D4279" authorId="1" shapeId="0" xr:uid="{D7E58E21-986D-49D3-B3CA-7B99027E0B79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Original forecastb assumed $480MM of interest expense - revised to $421MM in 3Q20</t>
        </r>
      </text>
    </comment>
    <comment ref="B4307" authorId="1" shapeId="0" xr:uid="{615F9B0D-264B-497B-BB8F-B91EFC1B4E17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Video gross margins 30%; assume 20% other shared costs associated with video</t>
        </r>
      </text>
    </comment>
    <comment ref="D4505" authorId="1" shapeId="0" xr:uid="{7B0775DB-5384-4702-8E8E-8FB603FF28B1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1Q21: Mgmt. estimates $550 per home for 495K additions in 2021</t>
        </r>
      </text>
    </comment>
    <comment ref="C4595" authorId="1" shapeId="0" xr:uid="{5DE612C3-D1EB-41B3-A2DC-B84026F40D8D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Per Chris Stengrim - operators upgrade CPE alongside 5 year network uprgade cycles.  20% per year.</t>
        </r>
      </text>
    </comment>
    <comment ref="C4609" authorId="1" shapeId="0" xr:uid="{75047314-F455-414A-9EEA-F6B5FAE8ADE3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Cartesian mode: $91MM in maintenance capex for 5MM passings</t>
        </r>
      </text>
    </comment>
    <comment ref="C4612" authorId="1" shapeId="0" xr:uid="{18A13188-D970-4153-ABD9-922F023B4658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Cartesian model: 538 Towers with 5MM passings</t>
        </r>
      </text>
    </comment>
    <comment ref="C4621" authorId="1" shapeId="0" xr:uid="{C7C4B142-19A0-488A-8741-938281DE6559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Cartesian Model: $25MM in annual revenue with 5MM passings</t>
        </r>
      </text>
    </comment>
    <comment ref="G4873" authorId="1" shapeId="0" xr:uid="{F0B9A61D-E972-4B25-A366-8D9F593BCB2C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Mgmt. expects 2019-2024 revenue to grow at 2.2% CAGR; brownfield investment drives $0.3BN incremental revenue.  </t>
        </r>
      </text>
    </comment>
    <comment ref="O4873" authorId="1" shapeId="0" xr:uid="{D5EF21E9-C9A5-4476-941E-35FDBC304265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Expect revenue CAGR excluding reinvestment of -0.4%</t>
        </r>
      </text>
    </comment>
    <comment ref="G4876" authorId="1" shapeId="0" xr:uid="{A68C986E-1021-44B8-AB3B-FAE7DC1CE6D6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Mgmt. expects 2019-2024 fiber EBITDA growth of 6.1%; from $0.9BN to $1.2BN in 2024.  Reinvestment starts to drive growth in 2022</t>
        </r>
      </text>
    </comment>
    <comment ref="O4879" authorId="1" shapeId="0" xr:uid="{D56347B4-AF2A-4D82-B000-1D54F0D214E4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Expect revenue CAGR excluding reinvestment of -9.3%</t>
        </r>
      </text>
    </comment>
    <comment ref="G4883" authorId="1" shapeId="0" xr:uid="{61C40BBD-5130-47F1-9F86-916301587BA3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2024 EBITDA excluding reinvestment is just above $1BN</t>
        </r>
      </text>
    </comment>
    <comment ref="A5099" authorId="1" shapeId="0" xr:uid="{CF629AFF-DB22-421A-B798-8707C9A889DB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https://www.sec.gov/Archives/edgar/data/20520/000119312515035522/d868145dex992.htm</t>
        </r>
      </text>
    </comment>
    <comment ref="B5191" authorId="1" shapeId="0" xr:uid="{9262C11C-F8F5-4892-A083-58DF0F39559E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Assume 18% annual churn for fiber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Jonathan Chaplin</author>
    <author>Vikash Harlalka</author>
  </authors>
  <commentList>
    <comment ref="B60" authorId="0" shapeId="0" xr:uid="{87602396-FAA0-4E87-A6CC-45642F366C15}">
      <text>
        <r>
          <rPr>
            <b/>
            <sz val="9"/>
            <color indexed="81"/>
            <rFont val="Tahoma"/>
            <family val="2"/>
          </rPr>
          <t>Jonathan Chaplin:</t>
        </r>
        <r>
          <rPr>
            <sz val="9"/>
            <color indexed="81"/>
            <rFont val="Tahoma"/>
            <family val="2"/>
          </rPr>
          <t xml:space="preserve">
Eero is likely $120 / device at wholesale; we assume 1.5 devices per HH.  Assume additional $50 - $75 for billing, care, mail, etc.  Roughly 70% of cost to connect in pro install is labor.  </t>
        </r>
      </text>
    </comment>
    <comment ref="B210" authorId="1" shapeId="0" xr:uid="{7FF2DB74-5BD0-402C-A4EF-DC4CC9CBFB0A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disclosed</t>
        </r>
      </text>
    </comment>
    <comment ref="B259" authorId="1" shapeId="0" xr:uid="{24C40FB6-7369-4873-BE21-CE4F17DFB11F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Disclosed $522 per connect in Dallas</t>
        </r>
      </text>
    </comment>
    <comment ref="C260" authorId="1" shapeId="0" xr:uid="{8D4126E6-0108-4929-8B43-C5E51700ABB5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Assumed first year penetration of 15-20%</t>
        </r>
      </text>
    </comment>
    <comment ref="B263" authorId="1" shapeId="0" xr:uid="{A87D698C-89F8-4A2A-B052-274F93538E3E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Disclosed business connect capex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Vikash Harlalka</author>
  </authors>
  <commentList>
    <comment ref="H131" authorId="0" shapeId="0" xr:uid="{E4DB5755-4D97-4B3B-AFEE-5E6A56F44872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Damodaran: https://pages.stern.nyu.edu/~adamodar/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Vikash Harlalka</author>
  </authors>
  <commentList>
    <comment ref="H131" authorId="0" shapeId="0" xr:uid="{ED2259F4-8087-46C2-965E-598490EFCC07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Damodaran: https://pages.stern.nyu.edu/~adamodar/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tc={BDF63D52-F902-4F7E-BE62-E3D90C155C01}</author>
    <author>Philip Burnett</author>
    <author>tc={826374FC-3CE7-481D-B6EE-1A3FE2F88F52}</author>
    <author>Spencer Kurn</author>
  </authors>
  <commentList>
    <comment ref="EO50" authorId="0" shapeId="0" xr:uid="{BDF63D52-F902-4F7E-BE62-E3D90C155C01}">
      <text>
        <t>[Threaded comment]
Your version of Excel allows you to read this threaded comment; however, any edits to it will get removed if the file is opened in a newer version of Excel. Learn more: https://go.microsoft.com/fwlink/?linkid=870924
Comment:
    Assumed same as previous quarter as they only give the sum now</t>
      </text>
    </comment>
    <comment ref="EH51" authorId="1" shapeId="0" xr:uid="{3D69E67C-9552-4834-82A6-075680B3AC1F}">
      <text>
        <r>
          <rPr>
            <b/>
            <sz val="9"/>
            <color indexed="81"/>
            <rFont val="Tahoma"/>
            <family val="2"/>
          </rPr>
          <t>Philip Burnett:</t>
        </r>
        <r>
          <rPr>
            <sz val="9"/>
            <color indexed="81"/>
            <rFont val="Tahoma"/>
            <family val="2"/>
          </rPr>
          <t xml:space="preserve">
Only give the sum now</t>
        </r>
      </text>
    </comment>
    <comment ref="EJ51" authorId="1" shapeId="0" xr:uid="{A5AFE99A-657C-454C-9B4B-32C388DF36DE}">
      <text>
        <r>
          <rPr>
            <b/>
            <sz val="9"/>
            <color indexed="81"/>
            <rFont val="Tahoma"/>
            <family val="2"/>
          </rPr>
          <t>Philip Burnett:</t>
        </r>
        <r>
          <rPr>
            <sz val="9"/>
            <color indexed="81"/>
            <rFont val="Tahoma"/>
            <family val="2"/>
          </rPr>
          <t xml:space="preserve">
Only give the sum now</t>
        </r>
      </text>
    </comment>
    <comment ref="EK51" authorId="1" shapeId="0" xr:uid="{2CF6F8ED-8CA3-48D8-B49F-879C85C750F8}">
      <text>
        <r>
          <rPr>
            <b/>
            <sz val="9"/>
            <color indexed="81"/>
            <rFont val="Tahoma"/>
            <family val="2"/>
          </rPr>
          <t>Philip Burnett:</t>
        </r>
        <r>
          <rPr>
            <sz val="9"/>
            <color indexed="81"/>
            <rFont val="Tahoma"/>
            <family val="2"/>
          </rPr>
          <t xml:space="preserve">
Only give the sum now</t>
        </r>
      </text>
    </comment>
    <comment ref="EO51" authorId="1" shapeId="0" xr:uid="{80600BBD-37DA-4879-82A3-33F228278BE5}">
      <text>
        <r>
          <rPr>
            <b/>
            <sz val="9"/>
            <color indexed="81"/>
            <rFont val="Tahoma"/>
            <family val="2"/>
          </rPr>
          <t>Philip Burnett:</t>
        </r>
        <r>
          <rPr>
            <sz val="9"/>
            <color indexed="81"/>
            <rFont val="Tahoma"/>
            <family val="2"/>
          </rPr>
          <t xml:space="preserve">
Only give the sum now</t>
        </r>
      </text>
    </comment>
    <comment ref="EM94" authorId="1" shapeId="0" xr:uid="{5887EF6F-94DC-4356-A096-AFF4413D5C57}">
      <text>
        <r>
          <rPr>
            <b/>
            <sz val="9"/>
            <color indexed="81"/>
            <rFont val="Tahoma"/>
            <family val="2"/>
          </rPr>
          <t>Philip Burnett:</t>
        </r>
        <r>
          <rPr>
            <sz val="9"/>
            <color indexed="81"/>
            <rFont val="Tahoma"/>
            <family val="2"/>
          </rPr>
          <t xml:space="preserve">
includes legal settlement</t>
        </r>
      </text>
    </comment>
    <comment ref="EO141" authorId="2" shapeId="0" xr:uid="{826374FC-3CE7-481D-B6EE-1A3FE2F88F52}">
      <text>
        <t>[Threaded comment]
Your version of Excel allows you to read this threaded comment; however, any edits to it will get removed if the file is opened in a newer version of Excel. Learn more: https://go.microsoft.com/fwlink/?linkid=870924
Comment:
    Assumed same as previous quarter as they only give the sum now</t>
      </text>
    </comment>
    <comment ref="EH142" authorId="1" shapeId="0" xr:uid="{82003A1A-7281-4A1A-AA30-7B4C7330F317}">
      <text>
        <r>
          <rPr>
            <b/>
            <sz val="9"/>
            <color indexed="81"/>
            <rFont val="Tahoma"/>
            <family val="2"/>
          </rPr>
          <t>Philip Burnett:</t>
        </r>
        <r>
          <rPr>
            <sz val="9"/>
            <color indexed="81"/>
            <rFont val="Tahoma"/>
            <family val="2"/>
          </rPr>
          <t xml:space="preserve">
Only give the sum now</t>
        </r>
      </text>
    </comment>
    <comment ref="EJ142" authorId="1" shapeId="0" xr:uid="{4F58942B-C293-4680-A1FF-C58684C7BE0D}">
      <text>
        <r>
          <rPr>
            <b/>
            <sz val="9"/>
            <color indexed="81"/>
            <rFont val="Tahoma"/>
            <family val="2"/>
          </rPr>
          <t>Philip Burnett:</t>
        </r>
        <r>
          <rPr>
            <sz val="9"/>
            <color indexed="81"/>
            <rFont val="Tahoma"/>
            <family val="2"/>
          </rPr>
          <t xml:space="preserve">
Only give the sum now</t>
        </r>
      </text>
    </comment>
    <comment ref="EO142" authorId="1" shapeId="0" xr:uid="{3C421BF6-3729-4463-A749-E3F5ECCFF5C8}">
      <text>
        <r>
          <rPr>
            <b/>
            <sz val="9"/>
            <color indexed="81"/>
            <rFont val="Tahoma"/>
            <family val="2"/>
          </rPr>
          <t>Philip Burnett:</t>
        </r>
        <r>
          <rPr>
            <sz val="9"/>
            <color indexed="81"/>
            <rFont val="Tahoma"/>
            <family val="2"/>
          </rPr>
          <t xml:space="preserve">
Only give the sum now</t>
        </r>
      </text>
    </comment>
    <comment ref="EH143" authorId="1" shapeId="0" xr:uid="{1A59096F-65A2-4D39-94F9-0D1BF3467846}">
      <text>
        <r>
          <rPr>
            <b/>
            <sz val="9"/>
            <color indexed="81"/>
            <rFont val="Tahoma"/>
            <family val="2"/>
          </rPr>
          <t>Philip Burnett:</t>
        </r>
        <r>
          <rPr>
            <sz val="9"/>
            <color indexed="81"/>
            <rFont val="Tahoma"/>
            <family val="2"/>
          </rPr>
          <t xml:space="preserve">
Appears recast</t>
        </r>
      </text>
    </comment>
    <comment ref="EJ143" authorId="1" shapeId="0" xr:uid="{81218D47-B4CB-4506-BC84-316B33823182}">
      <text>
        <r>
          <rPr>
            <b/>
            <sz val="9"/>
            <color indexed="81"/>
            <rFont val="Tahoma"/>
            <family val="2"/>
          </rPr>
          <t>Philip Burnett:</t>
        </r>
        <r>
          <rPr>
            <sz val="9"/>
            <color indexed="81"/>
            <rFont val="Tahoma"/>
            <family val="2"/>
          </rPr>
          <t xml:space="preserve">
Appears recast</t>
        </r>
      </text>
    </comment>
    <comment ref="EM240" authorId="1" shapeId="0" xr:uid="{7597CF60-99DD-450D-B058-20CFA02450E5}">
      <text>
        <r>
          <rPr>
            <b/>
            <sz val="9"/>
            <color indexed="81"/>
            <rFont val="Tahoma"/>
            <family val="2"/>
          </rPr>
          <t>Philip Burnett:</t>
        </r>
        <r>
          <rPr>
            <sz val="9"/>
            <color indexed="81"/>
            <rFont val="Tahoma"/>
            <family val="2"/>
          </rPr>
          <t xml:space="preserve">
This usually matches the above but was 1 off here</t>
        </r>
      </text>
    </comment>
    <comment ref="EA528" authorId="3" shapeId="0" xr:uid="{02D2F731-8CF8-49AF-823C-63D72F228962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Assume consumer video 100% of total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Vikash Harlalka</author>
    <author>Spencer Kurn</author>
  </authors>
  <commentList>
    <comment ref="EN17" authorId="0" shapeId="0" xr:uid="{C59F395A-9FCB-4DF6-93D3-F52BFC265E02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CAF-II goes away and RDOF subsidy of $37MM annually start. Rest is state grants.</t>
        </r>
      </text>
    </comment>
    <comment ref="EN27" authorId="0" shapeId="0" xr:uid="{3238A8E3-8A36-443F-98D7-5DAE82C92446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CAF-II goes away and RDOF subsidy of $37MM annually start. Rest is state grants.</t>
        </r>
      </text>
    </comment>
    <comment ref="ES27" authorId="0" shapeId="0" xr:uid="{F8D5AB9C-208D-4DF5-AED6-C4178758D4D4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CAF-II goes away and RDOF subsidy of $37MM annually start. Rest is state grants.</t>
        </r>
      </text>
    </comment>
    <comment ref="EX27" authorId="0" shapeId="0" xr:uid="{3EDA4266-057F-4387-AB19-E384132886E9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CAF-II goes away and RDOF subsidy of $37MM annually start. Rest is state grants.</t>
        </r>
      </text>
    </comment>
    <comment ref="FC27" authorId="0" shapeId="0" xr:uid="{D01830F1-0D2D-4B34-87F1-CB4B1CEB36E2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CAF-II goes away and RDOF subsidy of $37MM annually start. Rest is state grants.</t>
        </r>
      </text>
    </comment>
    <comment ref="FH27" authorId="0" shapeId="0" xr:uid="{1CE86554-CD1D-4B2D-BEDC-93D0CCBE731E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CAF-II goes away and RDOF subsidy of $37MM annually start. Rest is state grants.</t>
        </r>
      </text>
    </comment>
    <comment ref="EI67" authorId="0" shapeId="0" xr:uid="{7DDF2071-BBE5-4AA7-8C88-12BC80DF8845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Guidede to $70MM on 2Q21 call</t>
        </r>
      </text>
    </comment>
    <comment ref="EB68" authorId="1" shapeId="0" xr:uid="{C9D1F906-6D2D-43A7-BDAE-E6E6EBC25E1A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Assume $40MM in quarterly restructuring charges</t>
        </r>
      </text>
    </comment>
    <comment ref="EF72" authorId="1" shapeId="0" xr:uid="{68370255-F783-4376-BF16-0012C6C7C3E9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Assume modest reorg items in 2Q, assume go away thereafter.  Modest pension costs </t>
        </r>
      </text>
    </comment>
    <comment ref="DU80" authorId="1" shapeId="0" xr:uid="{EC0FEA37-2A78-4A20-BD77-48BE29B2C440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Assume 260MM shares pro-forma for mgmt. dilution upon bankruptcy emergence</t>
        </r>
      </text>
    </comment>
    <comment ref="DZ80" authorId="1" shapeId="0" xr:uid="{6BF78321-9D4A-42F8-9088-8A3D2B3B927F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Assume 260MM shares pro-forma for mgmt. dilution upon bankruptcy emergence</t>
        </r>
      </text>
    </comment>
    <comment ref="ES104" authorId="0" shapeId="0" xr:uid="{124F1F9A-1961-4F2E-9865-98C7DCBEDF47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Underfunded pension liabilities</t>
        </r>
      </text>
    </comment>
    <comment ref="EX104" authorId="0" shapeId="0" xr:uid="{27BD1E09-783F-4902-B6D3-BE85C1898DC8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Underfunded pension liabilities</t>
        </r>
      </text>
    </comment>
    <comment ref="EA108" authorId="1" shapeId="0" xr:uid="{4772E169-76D4-4BC0-8644-3E8E3A74879A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NW divestiture</t>
        </r>
      </text>
    </comment>
    <comment ref="EQ109" authorId="0" shapeId="0" xr:uid="{FB73C2DF-BDCD-4746-A428-D4DB7F27D0BB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Assume FYBR sells the short-term investments as they need cash.</t>
        </r>
      </text>
    </comment>
    <comment ref="ER109" authorId="0" shapeId="0" xr:uid="{790483D8-C5D7-4D17-85CE-6F35E6ECAD6D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Assume FYBR sells the short-term investments as they need cash.</t>
        </r>
      </text>
    </comment>
    <comment ref="EU109" authorId="0" shapeId="0" xr:uid="{CAE3192B-D297-4D21-85E6-81EACC8AD547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Assume FYBR sells the short-term investments as they need cash.</t>
        </r>
      </text>
    </comment>
    <comment ref="EV109" authorId="0" shapeId="0" xr:uid="{D94C5184-687D-48D8-BF2F-FFF5FAF9697D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Assume FYBR sells the short-term investments as they need cash.</t>
        </r>
      </text>
    </comment>
    <comment ref="EZ109" authorId="0" shapeId="0" xr:uid="{6F6F8623-EDC3-44E7-94EB-12EABB53B430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Assume FYBR sells the short-term investments as they need cash.</t>
        </r>
      </text>
    </comment>
    <comment ref="EC112" authorId="1" shapeId="0" xr:uid="{E0ED9FCF-A6F1-4A48-8092-DB80074F46E8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11/25/20: FTR uses proceeds of debt issuance to repay $1.6BN of 2L debt (8.5%) and $1.7BN Term Loan B </t>
        </r>
      </text>
    </comment>
    <comment ref="EC113" authorId="1" shapeId="0" xr:uid="{BFEBC6D0-E875-4E3C-8E34-E5F8AA11289E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11/25/20 issued $1.55BN of 5% notes due 2028 and $1.0BN of 6.75% notes due 2029, plus $750MM term loan facility</t>
        </r>
      </text>
    </comment>
    <comment ref="EK113" authorId="0" shapeId="0" xr:uid="{E6D89E99-2621-49EC-84E0-DD5704961C33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Raised $1.2BN @8.75%</t>
        </r>
      </text>
    </comment>
    <comment ref="EQ113" authorId="0" shapeId="0" xr:uid="{83E2E658-2113-4DFB-A652-553172CFDE60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$1.6BN of securitized debt at 8.8% at the start of August</t>
        </r>
      </text>
    </comment>
    <comment ref="DZ131" authorId="0" shapeId="0" xr:uid="{C401425E-17D9-41E5-956C-B17DA22C67DA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From 2Q21 Investor Deck</t>
        </r>
      </text>
    </comment>
    <comment ref="EA131" authorId="0" shapeId="0" xr:uid="{3CF3FC96-ABAA-491D-AC1C-50386E46A788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From 2Q21 Investor Deck</t>
        </r>
      </text>
    </comment>
    <comment ref="EB131" authorId="0" shapeId="0" xr:uid="{026E4BEE-320C-403B-900D-08824E6DC055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From 2Q21 Investor Deck</t>
        </r>
      </text>
    </comment>
    <comment ref="EC131" authorId="0" shapeId="0" xr:uid="{4BC8A733-1E43-478A-B52A-A87706B1FA25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From 2Q21 Investor Deck</t>
        </r>
      </text>
    </comment>
    <comment ref="EE131" authorId="0" shapeId="0" xr:uid="{471867FA-1FCA-4424-9ACA-42F073B4E94F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From 2Q21 Investor Deck</t>
        </r>
      </text>
    </comment>
    <comment ref="EF131" authorId="0" shapeId="0" xr:uid="{E657E72B-7BEA-4B47-96E5-A2090D73A1B4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From 2Q21 Investor Deck</t>
        </r>
      </text>
    </comment>
    <comment ref="DY160" authorId="1" shapeId="0" xr:uid="{41BC0558-ADC5-4915-9ED5-C2E58CCA2E51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$1.6BN Federal
$9.8BN State</t>
        </r>
      </text>
    </comment>
    <comment ref="ED160" authorId="1" shapeId="0" xr:uid="{71642793-BA5D-4179-8F9F-CD147461AC61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IR: Brunos restructuring consumes NOLs.
As of December 31, 2020, we had federal net operating loss (NOLs) carryforwards of approximately $1.8 billion and state NOL carryforwards of approximately $9.9 billion. </t>
        </r>
      </text>
    </comment>
    <comment ref="EE160" authorId="1" shapeId="0" xr:uid="{2FA854C1-2737-45E4-825A-F3023CF223C1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IR: Brunos restructuring consumes NOLs.
As of December 31, 2020, we had federal net operating loss (NOLs) carryforwards of approximately $1.8 billion and state NOL carryforwards of approximately $9.9 billion. </t>
        </r>
      </text>
    </comment>
    <comment ref="EI160" authorId="0" shapeId="0" xr:uid="{EFD7DFE9-8808-4534-BE93-CEB311B30859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As disclosed in the 10-K</t>
        </r>
      </text>
    </comment>
    <comment ref="EN160" authorId="0" shapeId="0" xr:uid="{EF184334-1701-4E37-88A9-B72AB884FBF1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As disclosed in the 10-K</t>
        </r>
      </text>
    </comment>
    <comment ref="EP166" authorId="0" shapeId="0" xr:uid="{FF2F55D6-FE5A-470C-8CA8-46AE74811C1E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Assume Frontier pays minimal cash taxes during FTTH build</t>
        </r>
      </text>
    </comment>
    <comment ref="EQ166" authorId="0" shapeId="0" xr:uid="{151DFF10-9BAE-4253-9FE8-8582796099AD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Assume Frontier pays minimal cash taxes during FTTH build</t>
        </r>
      </text>
    </comment>
    <comment ref="ER171" authorId="0" shapeId="0" xr:uid="{E92E9C94-4F0A-4E3F-BA10-151BF67FC47B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Removed impact of selling short-term investments as it doesn't impact cash &amp; equivalents on BS.</t>
        </r>
      </text>
    </comment>
    <comment ref="ET171" authorId="0" shapeId="0" xr:uid="{FBFC38C4-9D61-46BE-8F9B-1F4215354DD7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Removed impact of selling short-term investments as it doesn't impact cash &amp; equivalents on BS.</t>
        </r>
      </text>
    </comment>
    <comment ref="EU171" authorId="0" shapeId="0" xr:uid="{2C9CB62F-F947-4A49-931D-2E447013D562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Removed impact of selling short-term investments as it doesn't impact cash &amp; equivalents on BS.</t>
        </r>
      </text>
    </comment>
    <comment ref="EV171" authorId="0" shapeId="0" xr:uid="{C3C16F37-4932-4AFC-A0CA-2908B5A29E76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Removed impact of selling short-term investments as it doesn't impact cash &amp; equivalents on BS.</t>
        </r>
      </text>
    </comment>
    <comment ref="EW171" authorId="0" shapeId="0" xr:uid="{1721305E-0F2C-41CD-A974-3D811DA5F530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Removed impact of selling short-term investments as it doesn't impact cash &amp; equivalents on BS.</t>
        </r>
      </text>
    </comment>
    <comment ref="EE196" authorId="1" shapeId="0" xr:uid="{7C4017A8-8552-45B0-8F10-D7A37118CF04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4Q20 earnings deck: Pro-forma total debt at emergence of $6.569BN, pluis $225 debt raised</t>
        </r>
      </text>
    </comment>
    <comment ref="EF196" authorId="1" shapeId="0" xr:uid="{3643C731-994C-4228-89B4-A978A579728C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1Q21 earnings deck: PF debt of $6.795BN
4Q20 earnings deck: Pro-forma total debt at emergence of $6.569BN, pluis $225 debt raised</t>
        </r>
      </text>
    </comment>
    <comment ref="EE197" authorId="1" shapeId="0" xr:uid="{31475385-FC70-4FEB-B04A-E582BEB5B26C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1Q21: pro-forma cash of $719MM when emerge from bk</t>
        </r>
      </text>
    </comment>
    <comment ref="EF197" authorId="1" shapeId="0" xr:uid="{DBF1F0BF-299F-4483-A0F8-1D9EF1912CA0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1Q21 earnings deck: emerge with "~800M" cash, with "~2.2x" net debt / EBITDA
1Q21: pro-forma cash of $719MM when emerge from bk</t>
        </r>
      </text>
    </comment>
    <comment ref="EE200" authorId="1" shapeId="0" xr:uid="{58269CA5-EF46-408E-8BD2-7D11DA44DBB3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4Q20: total debt / EBITDA of 2.4x at emergence (net debt / EBITDA modestly lower)
2Q20: projecting 2.3x net leverage ratio post bk emergence</t>
        </r>
      </text>
    </comment>
    <comment ref="EF200" authorId="1" shapeId="0" xr:uid="{69A1DDA9-DA9A-48AD-A6C7-3B6730E77882}">
      <text>
        <r>
          <rPr>
            <b/>
            <sz val="9"/>
            <color indexed="81"/>
            <rFont val="Tahoma"/>
            <family val="2"/>
          </rPr>
          <t>Spencer Kurn:</t>
        </r>
        <r>
          <rPr>
            <sz val="9"/>
            <color indexed="81"/>
            <rFont val="Tahoma"/>
            <family val="2"/>
          </rPr>
          <t xml:space="preserve">
1Q21: expect to emerge from BK at 2.2x net debt / EBITDA
4Q20: total debt / EBITDA of 2.4x at emergence (net debt / EBITDA modestly lower)
2Q20: projecting 2.3x net leverage ratio post bk emergence</t>
        </r>
      </text>
    </comment>
    <comment ref="ES213" authorId="0" shapeId="0" xr:uid="{E3FD13B3-7E74-4191-BFD3-4D1A095D6721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Guided to $700MM</t>
        </r>
      </text>
    </comment>
    <comment ref="EX213" authorId="0" shapeId="0" xr:uid="{0655F5E2-0C74-4C16-A95E-E7995CB393AE}">
      <text>
        <r>
          <rPr>
            <b/>
            <sz val="9"/>
            <color indexed="81"/>
            <rFont val="Tahoma"/>
            <family val="2"/>
          </rPr>
          <t>Vikash Harlalka:</t>
        </r>
        <r>
          <rPr>
            <sz val="9"/>
            <color indexed="81"/>
            <rFont val="Tahoma"/>
            <family val="2"/>
          </rPr>
          <t xml:space="preserve">
Guided to $750MM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<sst xmlns="http://schemas.openxmlformats.org/spreadsheetml/2006/main" count="11737" uniqueCount="4213">
  <si>
    <t>This sheet contains FactSet XML data for use with this workbook's =FDS codes.  Modifying the worksheet's contents may damage the workbook's =FDS functionality.</t>
  </si>
  <si>
    <t xml:space="preserve"> </t>
  </si>
  <si>
    <t>Frontier Communications (FYBR)</t>
  </si>
  <si>
    <t>Jonathan Chaplin</t>
  </si>
  <si>
    <t>New Street Research</t>
  </si>
  <si>
    <t>212-921-9876</t>
  </si>
  <si>
    <t>jonathan.chaplin@newstreetresearch.com</t>
  </si>
  <si>
    <t>Ticker</t>
  </si>
  <si>
    <t>FYBR</t>
  </si>
  <si>
    <t>Rating</t>
  </si>
  <si>
    <t>Buy</t>
  </si>
  <si>
    <t>Current Price</t>
  </si>
  <si>
    <t>Target Price</t>
  </si>
  <si>
    <t>Frontier Communications</t>
  </si>
  <si>
    <t>Model Main</t>
  </si>
  <si>
    <t>Dollars in Millions; Subscribers in Thousands</t>
  </si>
  <si>
    <t xml:space="preserve">'23-'28 </t>
  </si>
  <si>
    <t>CAGR</t>
  </si>
  <si>
    <t>Income Statement - Normalized</t>
  </si>
  <si>
    <t>Total Revenue</t>
  </si>
  <si>
    <t>Consumer Broadband</t>
  </si>
  <si>
    <t>Consumer Video</t>
  </si>
  <si>
    <t>Consumer Voice &amp; Other</t>
  </si>
  <si>
    <t>Total Consumer</t>
  </si>
  <si>
    <t>Commercial Broadband</t>
  </si>
  <si>
    <t>Commercial Voice &amp; Other</t>
  </si>
  <si>
    <t>Business and Wholesale</t>
  </si>
  <si>
    <t>Total Customer Revenue</t>
  </si>
  <si>
    <t>Reg &amp; TSA Revenue</t>
  </si>
  <si>
    <t>memo: Change y / y</t>
  </si>
  <si>
    <t>COMPANY DISCLOSURE</t>
  </si>
  <si>
    <t>Data and Internet Services</t>
  </si>
  <si>
    <t>Voice Services</t>
  </si>
  <si>
    <t>Video Services</t>
  </si>
  <si>
    <t>Other</t>
  </si>
  <si>
    <t>Customer Revenue</t>
  </si>
  <si>
    <t>Subsidy Revenue</t>
  </si>
  <si>
    <t>OUR ESTIMATED BREAKDOWN OF CONSUMER</t>
  </si>
  <si>
    <t>Consumer</t>
  </si>
  <si>
    <t xml:space="preserve">Commercial </t>
  </si>
  <si>
    <t>Video content costs</t>
  </si>
  <si>
    <t>Cost of Service Ex Content Costs</t>
  </si>
  <si>
    <t>SG&amp;A</t>
  </si>
  <si>
    <t>Total Operating Expenses</t>
  </si>
  <si>
    <t>EBITDA</t>
  </si>
  <si>
    <t>memo: Margin</t>
  </si>
  <si>
    <t>Income Statement - Reported</t>
  </si>
  <si>
    <t>Network Access Expenses</t>
  </si>
  <si>
    <t>Network Related Expenses</t>
  </si>
  <si>
    <t>Depreciation and Amortization</t>
  </si>
  <si>
    <t>Stock Compensation Expense</t>
  </si>
  <si>
    <t>Pension / OPEB Expense</t>
  </si>
  <si>
    <t>Other Operating Expenses, Net</t>
  </si>
  <si>
    <t>Operating income</t>
  </si>
  <si>
    <t>Investment and other income (loss), net</t>
  </si>
  <si>
    <t>Pension settlement and other costs</t>
  </si>
  <si>
    <t>Interest expense</t>
  </si>
  <si>
    <t>Loss before income taxes</t>
  </si>
  <si>
    <t>Income tax benefit</t>
  </si>
  <si>
    <t>Net loss</t>
  </si>
  <si>
    <t>memo: Effective tax rate</t>
  </si>
  <si>
    <t>Less dividends on preferred stock</t>
  </si>
  <si>
    <t>Net income to Frontier</t>
  </si>
  <si>
    <t>Weighted average shares outstanding - basic and diluted</t>
  </si>
  <si>
    <t>Basic and diluted EPS</t>
  </si>
  <si>
    <r>
      <t xml:space="preserve">memo: </t>
    </r>
    <r>
      <rPr>
        <sz val="9"/>
        <color theme="1"/>
        <rFont val="Calibri"/>
        <family val="2"/>
        <scheme val="minor"/>
      </rPr>
      <t>Change Y/Y</t>
    </r>
  </si>
  <si>
    <t>Shares Outstanding</t>
  </si>
  <si>
    <t>Common shares - BOP</t>
  </si>
  <si>
    <t>Shares issued</t>
  </si>
  <si>
    <t>Shares repurchased</t>
  </si>
  <si>
    <t>Shares - EOP</t>
  </si>
  <si>
    <r>
      <t>memo:</t>
    </r>
    <r>
      <rPr>
        <sz val="9"/>
        <color indexed="8"/>
        <rFont val="Calibri"/>
        <family val="2"/>
      </rPr>
      <t xml:space="preserve"> Price for shares repurchased</t>
    </r>
  </si>
  <si>
    <t>Weighted average common shares</t>
  </si>
  <si>
    <t>Adjustment for diluted shares</t>
  </si>
  <si>
    <t>Weighted average diluted shares</t>
  </si>
  <si>
    <t>Statement of Cash Flow - Reported</t>
  </si>
  <si>
    <t>Depreciation &amp; amortization</t>
  </si>
  <si>
    <t>Pension settlement costs</t>
  </si>
  <si>
    <t>Stock-based compensation expense</t>
  </si>
  <si>
    <t>Deferred income taxes</t>
  </si>
  <si>
    <t>Goodwill impairment</t>
  </si>
  <si>
    <t>Loss on disposal of Northwest Operations</t>
  </si>
  <si>
    <t>Change in working capital</t>
  </si>
  <si>
    <t>Net cash provided from operating activities</t>
  </si>
  <si>
    <t>Capital expenditures</t>
  </si>
  <si>
    <t>Proceeds on sale of assets</t>
  </si>
  <si>
    <t>Net cash provided from investing activities</t>
  </si>
  <si>
    <t>Long-term debt payments</t>
  </si>
  <si>
    <t>Proceeds from long-term debt borrowings</t>
  </si>
  <si>
    <t>Proceeds from revolving debt</t>
  </si>
  <si>
    <t>Repayment of revolving debt</t>
  </si>
  <si>
    <t>Financing costs paid</t>
  </si>
  <si>
    <t>Finance lease obligations</t>
  </si>
  <si>
    <t>Share Repurchases</t>
  </si>
  <si>
    <t>Net cash provided from financing activities</t>
  </si>
  <si>
    <t>Increase (Decrease) in cash</t>
  </si>
  <si>
    <t>Cash and equivalents - prior</t>
  </si>
  <si>
    <t>Cash and equivalents - Current</t>
  </si>
  <si>
    <r>
      <t xml:space="preserve">memo: </t>
    </r>
    <r>
      <rPr>
        <sz val="9"/>
        <color theme="1"/>
        <rFont val="Calibri"/>
        <family val="2"/>
        <scheme val="minor"/>
      </rPr>
      <t>Net debt / EBITDA</t>
    </r>
  </si>
  <si>
    <t>Free Cash Flow</t>
  </si>
  <si>
    <t xml:space="preserve">   Cash from Operations</t>
  </si>
  <si>
    <t>- Capex</t>
  </si>
  <si>
    <t>+ Adjustments</t>
  </si>
  <si>
    <t>= Free Cash Flow</t>
  </si>
  <si>
    <t>/ SHOUT</t>
  </si>
  <si>
    <t>= Free Cash Flow Per Share</t>
  </si>
  <si>
    <t>Adjusted EBITDA</t>
  </si>
  <si>
    <t>Cash Interest</t>
  </si>
  <si>
    <t>Cash Taxes</t>
  </si>
  <si>
    <t>Reorganization Items, net</t>
  </si>
  <si>
    <t>Restructuring Costs</t>
  </si>
  <si>
    <t>= Net cash from operating activities</t>
  </si>
  <si>
    <t>= Adjusted FCF</t>
  </si>
  <si>
    <t xml:space="preserve">Taxes </t>
  </si>
  <si>
    <t>Income before taxes</t>
  </si>
  <si>
    <t>Adjustment for D&amp;A / Capex</t>
  </si>
  <si>
    <t>Adjusted Income before taxes</t>
  </si>
  <si>
    <t>Cash Tax Calculation</t>
  </si>
  <si>
    <t>Available NOL - BOP</t>
  </si>
  <si>
    <t>Additions</t>
  </si>
  <si>
    <t>Uses</t>
  </si>
  <si>
    <t>Available NOL - EOP</t>
  </si>
  <si>
    <t>Tax shield</t>
  </si>
  <si>
    <t>Taxable IBT</t>
  </si>
  <si>
    <t>Tax rate</t>
  </si>
  <si>
    <t>memo: Reported taxes</t>
  </si>
  <si>
    <t>memo: Non-cash taxes</t>
  </si>
  <si>
    <t>Balance Sheet - Reported</t>
  </si>
  <si>
    <t>Cash &amp; equivalents</t>
  </si>
  <si>
    <t>Short-term investments</t>
  </si>
  <si>
    <t>Accounts Receivable</t>
  </si>
  <si>
    <t>Assets held for sale</t>
  </si>
  <si>
    <t>Other current assets</t>
  </si>
  <si>
    <t>Total Current Assets</t>
  </si>
  <si>
    <t>PPE - Net</t>
  </si>
  <si>
    <t>Other Assets</t>
  </si>
  <si>
    <t>Total Assets</t>
  </si>
  <si>
    <t>Short-Term Debt incl. Current Portion of LTD</t>
  </si>
  <si>
    <t>Liabilities held for sale</t>
  </si>
  <si>
    <t>Accounts Payable and other current liabilities</t>
  </si>
  <si>
    <t>Total Current Liabilities</t>
  </si>
  <si>
    <t>Deferred tax and other liabilities</t>
  </si>
  <si>
    <t>Liabilities subject to compromise</t>
  </si>
  <si>
    <t>Long-term debt</t>
  </si>
  <si>
    <t>Equity (deficit)</t>
  </si>
  <si>
    <t>Total Liabilities And Equity</t>
  </si>
  <si>
    <t>memo: Check</t>
  </si>
  <si>
    <t>Balance Sheet Metrics</t>
  </si>
  <si>
    <t>Net Debt</t>
  </si>
  <si>
    <t xml:space="preserve">   Total debt</t>
  </si>
  <si>
    <t>- Cash &amp; equivalents</t>
  </si>
  <si>
    <t>= Net debt</t>
  </si>
  <si>
    <t>/ LTM PF EBITDA</t>
  </si>
  <si>
    <t>= Net debt / EBITDA</t>
  </si>
  <si>
    <t xml:space="preserve">   Average total debt</t>
  </si>
  <si>
    <t>x Interest rate</t>
  </si>
  <si>
    <t>= Total interest</t>
  </si>
  <si>
    <r>
      <t xml:space="preserve">memo: </t>
    </r>
    <r>
      <rPr>
        <sz val="9"/>
        <rFont val="Calibri"/>
        <family val="2"/>
      </rPr>
      <t>EBITDA / interest expense</t>
    </r>
  </si>
  <si>
    <t xml:space="preserve">   Interest expense</t>
  </si>
  <si>
    <t>+ Capitalized interest</t>
  </si>
  <si>
    <t>= Cash interest, net</t>
  </si>
  <si>
    <t>FTTH Model</t>
  </si>
  <si>
    <t>FTTH Build Drivers</t>
  </si>
  <si>
    <t>Valuation Drivers</t>
  </si>
  <si>
    <t>Homes Targeted ('000s)</t>
  </si>
  <si>
    <t>Discount rate</t>
  </si>
  <si>
    <t>Terminal Passings Growth</t>
  </si>
  <si>
    <t>Terminal growth rate</t>
  </si>
  <si>
    <t>Run-rate Homes Passed Per Year</t>
  </si>
  <si>
    <t>Years to pass</t>
  </si>
  <si>
    <t>Terminal multiple</t>
  </si>
  <si>
    <t>Terminal penetration</t>
  </si>
  <si>
    <t>memo: Broadband penetration</t>
  </si>
  <si>
    <t>Output</t>
  </si>
  <si>
    <t>memo: Market share</t>
  </si>
  <si>
    <t xml:space="preserve">IRR </t>
  </si>
  <si>
    <t>NPV</t>
  </si>
  <si>
    <t>Income Statement Drivers</t>
  </si>
  <si>
    <t>NPV / Home</t>
  </si>
  <si>
    <t>ARPU - Broadband</t>
  </si>
  <si>
    <t>Peak Capex</t>
  </si>
  <si>
    <t>ARPU - Other</t>
  </si>
  <si>
    <t>Peak FCF loss</t>
  </si>
  <si>
    <t>ARPU Growth</t>
  </si>
  <si>
    <t>Capex / Passing</t>
  </si>
  <si>
    <t>Fixed cost per home passed</t>
  </si>
  <si>
    <t>Initial Build Capex</t>
  </si>
  <si>
    <t>Variable cost per sub</t>
  </si>
  <si>
    <t>2031 EBITDA</t>
  </si>
  <si>
    <t>Variable cost to acquire</t>
  </si>
  <si>
    <t>Churn</t>
  </si>
  <si>
    <t>memo: Terminal margin</t>
  </si>
  <si>
    <t>Capex Drivers</t>
  </si>
  <si>
    <t>Capex to Pass: 2.8MM Homes</t>
  </si>
  <si>
    <t>Capex to Pass: 4.5MM Homes</t>
  </si>
  <si>
    <t>Capex to Pass: 8.2MM Homes</t>
  </si>
  <si>
    <t>Capex to connect</t>
  </si>
  <si>
    <t>Asset life</t>
  </si>
  <si>
    <t>Capex</t>
  </si>
  <si>
    <t>FCF</t>
  </si>
  <si>
    <t>Ending Cash</t>
  </si>
  <si>
    <t>Leverage</t>
  </si>
  <si>
    <t>Homes Passed &amp; Subcribers</t>
  </si>
  <si>
    <t>FTTH Homes Passed</t>
  </si>
  <si>
    <t>memo: New homes passed</t>
  </si>
  <si>
    <t xml:space="preserve">   Subscribers - BOP</t>
  </si>
  <si>
    <t>+ Gross Adds</t>
  </si>
  <si>
    <t>- Disconnects</t>
  </si>
  <si>
    <t>= Subscribers - EOP</t>
  </si>
  <si>
    <t>memo: Net adds</t>
  </si>
  <si>
    <t>memo: Penetration</t>
  </si>
  <si>
    <t>Income Statement</t>
  </si>
  <si>
    <t xml:space="preserve">   Average subscribers</t>
  </si>
  <si>
    <t>x ARPU</t>
  </si>
  <si>
    <t>= Revenue</t>
  </si>
  <si>
    <t>-  Fixed costs</t>
  </si>
  <si>
    <t>-  Variable cost to serve</t>
  </si>
  <si>
    <t>-  Variable cost to acquire</t>
  </si>
  <si>
    <t>= EBITDA</t>
  </si>
  <si>
    <t>memo: Growth</t>
  </si>
  <si>
    <t>Capex &amp; Depreciation</t>
  </si>
  <si>
    <t>Capex - build</t>
  </si>
  <si>
    <t>Capex - connect</t>
  </si>
  <si>
    <t>Capex - maintenance</t>
  </si>
  <si>
    <t>Capex - total</t>
  </si>
  <si>
    <t>memo: Capex / revenues</t>
  </si>
  <si>
    <t>memo: Maintenance capex / revenue</t>
  </si>
  <si>
    <t>Depreciation (Accelerated)</t>
  </si>
  <si>
    <t>memo: Incremental depreciation</t>
  </si>
  <si>
    <t>memo: Asset retirement</t>
  </si>
  <si>
    <t>memo: Asset life</t>
  </si>
  <si>
    <t>memo: Accelerated Depreciation Rate</t>
  </si>
  <si>
    <t>Depreciation (Straightline)</t>
  </si>
  <si>
    <t>NOLs &amp; Taxes</t>
  </si>
  <si>
    <t xml:space="preserve">   NOL - BOP</t>
  </si>
  <si>
    <t>+ Incremental losses</t>
  </si>
  <si>
    <t>-  Taxes shielded</t>
  </si>
  <si>
    <t>= NOL - EOP</t>
  </si>
  <si>
    <t xml:space="preserve">   EBITDA</t>
  </si>
  <si>
    <t>-  D&amp;A</t>
  </si>
  <si>
    <t>= PBT</t>
  </si>
  <si>
    <t>-  Taxes</t>
  </si>
  <si>
    <t>= Net income</t>
  </si>
  <si>
    <t>memo: Cash taxes</t>
  </si>
  <si>
    <t>memo: Cash tax rate</t>
  </si>
  <si>
    <t>TV</t>
  </si>
  <si>
    <t>-  Capex</t>
  </si>
  <si>
    <t>-  Cash taxes</t>
  </si>
  <si>
    <t>= FCF</t>
  </si>
  <si>
    <t>DCF &amp; NPV</t>
  </si>
  <si>
    <t>Discount factor</t>
  </si>
  <si>
    <t>Discounted cash flow</t>
  </si>
  <si>
    <t xml:space="preserve">   Terminal FCF</t>
  </si>
  <si>
    <t>/  R-G</t>
  </si>
  <si>
    <t>= Terminal value</t>
  </si>
  <si>
    <t>/  Discount factor</t>
  </si>
  <si>
    <t>= PV of terminal value</t>
  </si>
  <si>
    <t>+ PV of FCF</t>
  </si>
  <si>
    <t>= NPV</t>
  </si>
  <si>
    <t>/  Shares</t>
  </si>
  <si>
    <t>= NPV per share</t>
  </si>
  <si>
    <t>memo: Upside</t>
  </si>
  <si>
    <t>memo: Recent price</t>
  </si>
  <si>
    <t>Cash Taxes (Straight-line Depreciation)</t>
  </si>
  <si>
    <t>FCF (Straight-Line Depreciation)</t>
  </si>
  <si>
    <t>Penetration / Cohort Analysis</t>
  </si>
  <si>
    <t>Total</t>
  </si>
  <si>
    <t>Subscribers</t>
  </si>
  <si>
    <t>memo: Time to penetration (years)</t>
  </si>
  <si>
    <t>memo: Terminal penetration</t>
  </si>
  <si>
    <t>Penetration</t>
  </si>
  <si>
    <t>Fiber Passings</t>
  </si>
  <si>
    <t>Legacy</t>
  </si>
  <si>
    <t>New</t>
  </si>
  <si>
    <r>
      <t xml:space="preserve">memo: </t>
    </r>
    <r>
      <rPr>
        <sz val="9"/>
        <color theme="1"/>
        <rFont val="Calibri"/>
        <family val="2"/>
      </rPr>
      <t>Model</t>
    </r>
  </si>
  <si>
    <t>Fiber Broadband Subs</t>
  </si>
  <si>
    <t>Fiber Broadband Penetration</t>
  </si>
  <si>
    <t>Sensitivity</t>
  </si>
  <si>
    <t>Terminal Multiple</t>
  </si>
  <si>
    <t>IRR</t>
  </si>
  <si>
    <t>ARPU</t>
  </si>
  <si>
    <t>Terminal Penetration</t>
  </si>
  <si>
    <t>Wireline Drivers &amp; Segment Detail</t>
  </si>
  <si>
    <t>'21-'31</t>
  </si>
  <si>
    <t>Revenue</t>
  </si>
  <si>
    <t>Fiber Revenue</t>
  </si>
  <si>
    <t>Copper Revenue</t>
  </si>
  <si>
    <t>memo: Fiber revenue - growth y/y</t>
  </si>
  <si>
    <t>memo: Copper revenue - growth y/y</t>
  </si>
  <si>
    <t>memo: Total revenue - growth y/y</t>
  </si>
  <si>
    <t>Operating Costs</t>
  </si>
  <si>
    <t>Fiber Operating Costs</t>
  </si>
  <si>
    <t>Copper Operating Costs</t>
  </si>
  <si>
    <t>Other Operating Costs</t>
  </si>
  <si>
    <t>Total Operating Costs</t>
  </si>
  <si>
    <t>memo: Fiber Operating Costs - growth y/y</t>
  </si>
  <si>
    <t>memo: Copper Operating Costs - growth y/y</t>
  </si>
  <si>
    <t>memo: Total Operating Costs - growth y/y</t>
  </si>
  <si>
    <t>Fiber EBITDA</t>
  </si>
  <si>
    <t>Copper EBITDA</t>
  </si>
  <si>
    <t>Reg. &amp; TSA EBITDA</t>
  </si>
  <si>
    <t>Total EBITDA</t>
  </si>
  <si>
    <t>memo: Fiber EBITDA Margin</t>
  </si>
  <si>
    <t>memo: Copper EBITDA Margin</t>
  </si>
  <si>
    <t>memo: Total EBITDA Margin</t>
  </si>
  <si>
    <t>memo: Fiber EBITDA Change y / y</t>
  </si>
  <si>
    <t>memo: Copper EBITDA Change y / y</t>
  </si>
  <si>
    <t>memo: Total EBITDA Change y / y</t>
  </si>
  <si>
    <t>Commercial Wholesale &amp; Other</t>
  </si>
  <si>
    <t>memo: Consumer revenue - growth y/y</t>
  </si>
  <si>
    <t>memo: Business and Wholesale revenue - growth y/y</t>
  </si>
  <si>
    <t>Video Content Expenses</t>
  </si>
  <si>
    <t>Cost of Service ex-Content Costs</t>
  </si>
  <si>
    <t>Expense Drivers</t>
  </si>
  <si>
    <t>Non-Programming Expenses</t>
  </si>
  <si>
    <t>memo: video costs per video sub</t>
  </si>
  <si>
    <t>memo: video costs per video sub - growth y/y</t>
  </si>
  <si>
    <t>memo: non-programming cost per location</t>
  </si>
  <si>
    <t>memo: non-programming cost per location - growth y/y</t>
  </si>
  <si>
    <t>memo: network related cost per location</t>
  </si>
  <si>
    <t>memo: network related cost per location - growth y/y</t>
  </si>
  <si>
    <t>memo: SG&amp;A - growth y/y</t>
  </si>
  <si>
    <t>memo: total operating expenses - growth y/y</t>
  </si>
  <si>
    <t>memo: non-programming expenses - growth y/y</t>
  </si>
  <si>
    <t>Passings</t>
  </si>
  <si>
    <t>Base Fiber Passings</t>
  </si>
  <si>
    <t>memo: new passings</t>
  </si>
  <si>
    <t>New Fiber Passings</t>
  </si>
  <si>
    <t>Total Fiber Passings</t>
  </si>
  <si>
    <t>Copper Passings</t>
  </si>
  <si>
    <t>memo: upgraded to fiber</t>
  </si>
  <si>
    <t>Total Passings</t>
  </si>
  <si>
    <t>Average Passings</t>
  </si>
  <si>
    <t>Fiber Subscriber Model</t>
  </si>
  <si>
    <t>Residential Fiber Broadband Subsribers</t>
  </si>
  <si>
    <t>Fiber Broadband PSUs (BOP)</t>
  </si>
  <si>
    <t>Gross Adds</t>
  </si>
  <si>
    <t>Disconnects</t>
  </si>
  <si>
    <t>Fiber Broadband PSUs (EOP)</t>
  </si>
  <si>
    <t>memo: chg y/y</t>
  </si>
  <si>
    <t>memo: Net Adds</t>
  </si>
  <si>
    <t>memo: Take rate</t>
  </si>
  <si>
    <t>memo: Beginning Churn</t>
  </si>
  <si>
    <t>Residential Fiber Video Subscribers</t>
  </si>
  <si>
    <t>Video PSUs (BOP)</t>
  </si>
  <si>
    <t>Fiber Video PSUs (EOP)</t>
  </si>
  <si>
    <t>check footprint for selling video</t>
  </si>
  <si>
    <t>memo: Penetration of fiber passings</t>
  </si>
  <si>
    <t>memo: Penetration of fiber broadband subs</t>
  </si>
  <si>
    <t>Commercial Fiber Customers</t>
  </si>
  <si>
    <t>Customers (BOP)</t>
  </si>
  <si>
    <t>Gross adds</t>
  </si>
  <si>
    <t>Customers (EOP)</t>
  </si>
  <si>
    <t>Base Markets</t>
  </si>
  <si>
    <t>New Markets</t>
  </si>
  <si>
    <t>Total Fiber Customers</t>
  </si>
  <si>
    <t>Fiber ARPU and Revenue</t>
  </si>
  <si>
    <t>Average Units/Customer Relationships</t>
  </si>
  <si>
    <t>Residential Fiber Broadband</t>
  </si>
  <si>
    <t>Residential Fiber Video</t>
  </si>
  <si>
    <t>Commercial Fiber Broadband Customers</t>
  </si>
  <si>
    <t>ARPU (Calculated)</t>
  </si>
  <si>
    <t>Residential Fiber Broadband / Sub</t>
  </si>
  <si>
    <t>memo: y/y chg</t>
  </si>
  <si>
    <t>Residential Fiber Video / Sub</t>
  </si>
  <si>
    <t>Voice &amp; Other Revenue / Fiber Broadband Customer</t>
  </si>
  <si>
    <t>Total residential revenue per customer</t>
  </si>
  <si>
    <t>Commercial Fiber Broadband / Sub</t>
  </si>
  <si>
    <t>Consumer Fiber Broadband</t>
  </si>
  <si>
    <t>Consumer Fiber Video</t>
  </si>
  <si>
    <t>Consumer Fiber Voice &amp; Other</t>
  </si>
  <si>
    <t>Total Consumer Fiber</t>
  </si>
  <si>
    <t>Commercial Fiber Broadband</t>
  </si>
  <si>
    <t>Commercial Fiber Wholesale &amp; Other</t>
  </si>
  <si>
    <t>Business and Wholesale Fiber</t>
  </si>
  <si>
    <t>Total Fiber Revenue</t>
  </si>
  <si>
    <t>memo: y/y chg - Fiber Broadband Revenue</t>
  </si>
  <si>
    <t>memo: y/y chg - Fiber Video Revenue</t>
  </si>
  <si>
    <t>memo: y/y chg - Fiber Voice &amp; Other Revenue</t>
  </si>
  <si>
    <t>memo: y/y chg - Consumer Fiber Revenue</t>
  </si>
  <si>
    <t>memo: y/y chg - Commercial Fiber Broadband Revenue</t>
  </si>
  <si>
    <t>memo: y/y chg - Commercial Fiber Wholesale &amp; Other Revenue</t>
  </si>
  <si>
    <t>memo: y/y chg - Business and Wholesale Fiber Revenue</t>
  </si>
  <si>
    <t>memo: y/y chg - Total Fiber Revenue</t>
  </si>
  <si>
    <t>Fiber Expenses and EBITDA</t>
  </si>
  <si>
    <t>Fiber Video Content Costs</t>
  </si>
  <si>
    <t>memo: Cost / Video Customer</t>
  </si>
  <si>
    <t>memo: Chg y/y</t>
  </si>
  <si>
    <t>Fixed Non-Programming Costs</t>
  </si>
  <si>
    <t>memo: Cost / Location</t>
  </si>
  <si>
    <t>memo: Chg q/q</t>
  </si>
  <si>
    <t>memo: Cost / Customer</t>
  </si>
  <si>
    <t>Variable Non-Programming Costs</t>
  </si>
  <si>
    <t>Total Non-Programming Costs</t>
  </si>
  <si>
    <t>memo: % of Revenue</t>
  </si>
  <si>
    <t>Total Costs</t>
  </si>
  <si>
    <t>Fiber Adjusted EBITDA</t>
  </si>
  <si>
    <t>Copper Subscriber Model</t>
  </si>
  <si>
    <t>Residential Copper Broadband Subsribers</t>
  </si>
  <si>
    <t>Copper Broadband PSUs (BOP)</t>
  </si>
  <si>
    <t>Copper Broadband PSUs (EOP)</t>
  </si>
  <si>
    <t>Residential Copper Video Subscribers</t>
  </si>
  <si>
    <t>Copper Video PSUs (EOP)</t>
  </si>
  <si>
    <t>memo: Penetration of copper passings</t>
  </si>
  <si>
    <t>memo: Penetration of copper broadband subs</t>
  </si>
  <si>
    <t>Residential Copper Voice-only Subscribers</t>
  </si>
  <si>
    <t>Voice-only PSUs (BOP)</t>
  </si>
  <si>
    <t>Copper Voice-only PSUs (EOP)</t>
  </si>
  <si>
    <t>Residential Copper Broadband + Voice-only Subscribers</t>
  </si>
  <si>
    <t>Broadband + Voice-only PSUs (BOP)</t>
  </si>
  <si>
    <t>Copper Broadband + Voice-only PSUs (EOP)</t>
  </si>
  <si>
    <t>Commercial Copper Broadband Customers</t>
  </si>
  <si>
    <t>Commercial Copper Broadband Customers (EOP)</t>
  </si>
  <si>
    <t>Copper ARPU and Revenue</t>
  </si>
  <si>
    <t>Residential Copper Broadband</t>
  </si>
  <si>
    <t>Copper Video</t>
  </si>
  <si>
    <t>Copper Voice-only</t>
  </si>
  <si>
    <t>Copper Broadband + Voice-only</t>
  </si>
  <si>
    <t>Commercial Copper Broadband</t>
  </si>
  <si>
    <t>Total Copper Customers</t>
  </si>
  <si>
    <r>
      <t xml:space="preserve">Total Location </t>
    </r>
    <r>
      <rPr>
        <sz val="9"/>
        <color theme="1"/>
        <rFont val="Calibri"/>
        <family val="2"/>
        <scheme val="minor"/>
      </rPr>
      <t>less</t>
    </r>
    <r>
      <rPr>
        <i/>
        <sz val="9"/>
        <color theme="1"/>
        <rFont val="Calibri"/>
        <family val="2"/>
        <scheme val="minor"/>
      </rPr>
      <t xml:space="preserve"> Fiber Customers</t>
    </r>
  </si>
  <si>
    <t>Residential Copper Broadband / Sub</t>
  </si>
  <si>
    <t>Residential Copper Video / Sub</t>
  </si>
  <si>
    <t>Voice Revenue / Copper Broadband + Voice-only Customer</t>
  </si>
  <si>
    <t>Commercial Copper Broadband / Sub</t>
  </si>
  <si>
    <t>Video Revenue / Sub</t>
  </si>
  <si>
    <t>Voice Revenue / Residential Customer</t>
  </si>
  <si>
    <t>Consumer Copper Broadband</t>
  </si>
  <si>
    <t>Consumer Copper Video</t>
  </si>
  <si>
    <t>Consumer Copper Voice &amp; Other</t>
  </si>
  <si>
    <t>Total Consumer Copper</t>
  </si>
  <si>
    <t>Commercial Copper Wholesale &amp; Other</t>
  </si>
  <si>
    <t>Business and Wholesale Copper</t>
  </si>
  <si>
    <t>Total Copper Revenue</t>
  </si>
  <si>
    <t>memo: y/y chg - Copper Broadband Revenue</t>
  </si>
  <si>
    <t>memo: y/y chg - Copper Video Revenue</t>
  </si>
  <si>
    <t>memo: y/y chg - Copper Voice &amp; Other Revenue</t>
  </si>
  <si>
    <t>memo: y/y chg - Consumer Copper Revenue</t>
  </si>
  <si>
    <t>memo: y/y chg - Commercial Copper Broadband Revenue</t>
  </si>
  <si>
    <t>memo: y/y chg - Commercial Copper Wholesale &amp; Other Revenue</t>
  </si>
  <si>
    <t>memo: y/y chg - Business and Wholesale Copper Revenue</t>
  </si>
  <si>
    <t>memo: y/y chg - Total Copper Revenue</t>
  </si>
  <si>
    <t>Copper Expenses and EBITDA</t>
  </si>
  <si>
    <t>Copper Video Content Costs</t>
  </si>
  <si>
    <r>
      <t xml:space="preserve">memo: Cost / (Total Location </t>
    </r>
    <r>
      <rPr>
        <sz val="9"/>
        <color theme="1"/>
        <rFont val="Calibri"/>
        <family val="2"/>
        <scheme val="minor"/>
      </rPr>
      <t>less</t>
    </r>
    <r>
      <rPr>
        <i/>
        <sz val="9"/>
        <color theme="1"/>
        <rFont val="Calibri"/>
        <family val="2"/>
        <scheme val="minor"/>
      </rPr>
      <t xml:space="preserve"> Fiber Customers)</t>
    </r>
  </si>
  <si>
    <t>Non-Programming Costs</t>
  </si>
  <si>
    <t>Copper Adjusted EBITDA</t>
  </si>
  <si>
    <t>Total (Fiber + Copper) Subscriber Model</t>
  </si>
  <si>
    <t>Total Residential Broadband Subsribers</t>
  </si>
  <si>
    <t>Total Broadband PSUs (BOP)</t>
  </si>
  <si>
    <t>Total Broadband PSUs (EOP)</t>
  </si>
  <si>
    <t>Residential Video Subscribers</t>
  </si>
  <si>
    <t>Residential Video PSUs (EOP)</t>
  </si>
  <si>
    <t>memo: Penetration of total passings</t>
  </si>
  <si>
    <t>memo: Penetration of total broadband subs</t>
  </si>
  <si>
    <t>Total Residential Customers</t>
  </si>
  <si>
    <t>Residential Customers (BOP)</t>
  </si>
  <si>
    <t>Total Residential Customers (EOP)</t>
  </si>
  <si>
    <t>Commercial Customers</t>
  </si>
  <si>
    <t>Commercial Customers (EOP)</t>
  </si>
  <si>
    <t>Residential Broadband</t>
  </si>
  <si>
    <t>Video</t>
  </si>
  <si>
    <t>Voice-only</t>
  </si>
  <si>
    <t>Total Customers</t>
  </si>
  <si>
    <t>Residential Total Broadband Revenue / Sub</t>
  </si>
  <si>
    <t>Subsidy revenue</t>
  </si>
  <si>
    <t>memo: y/y chg - Broadband Revenue</t>
  </si>
  <si>
    <t>memo: y/y chg - Video Revenue</t>
  </si>
  <si>
    <t>memo: y/y chg - Voice &amp; Other Revenue</t>
  </si>
  <si>
    <t>memo: y/y chg - Consumer Revenue</t>
  </si>
  <si>
    <t>memo: y/y chg - Commercial Broadband Revenue</t>
  </si>
  <si>
    <t>memo: y/y chg - Commercial Wholesale &amp; Other Revenue</t>
  </si>
  <si>
    <t>memo: y/y chg - Business and Wholesale Revenue</t>
  </si>
  <si>
    <t>memo: y/y chg - Total Customer Revenue</t>
  </si>
  <si>
    <t>memo: y/y chg - Subsidy Revenue</t>
  </si>
  <si>
    <t>memo: y/y chg - Total Revenue</t>
  </si>
  <si>
    <t>Total Expenses and EBITDA</t>
  </si>
  <si>
    <t>Video Content Costs</t>
  </si>
  <si>
    <t>Fiber Non-Programming Network Access Expense</t>
  </si>
  <si>
    <t>Copper Non-Programming Network Access Expense</t>
  </si>
  <si>
    <t>Opex</t>
  </si>
  <si>
    <t>memo: Bottoms up</t>
  </si>
  <si>
    <t>memo: Difference</t>
  </si>
  <si>
    <t>memo: EBITDA mgn</t>
  </si>
  <si>
    <t>memo: Incremental EBITDA mgn</t>
  </si>
  <si>
    <t>Capex and Depreciation</t>
  </si>
  <si>
    <t>Fiber Build Capex</t>
  </si>
  <si>
    <t>memo: Capex / Fiber Customer</t>
  </si>
  <si>
    <t>memo: Incremental fiber passings</t>
  </si>
  <si>
    <t>memo: Capex / Passing</t>
  </si>
  <si>
    <t>memo: Cumulative new fiber passings</t>
  </si>
  <si>
    <t>memo: Capex / Fiber Revenue</t>
  </si>
  <si>
    <t>Total Fiber Build Capex</t>
  </si>
  <si>
    <t>memo: scaling capex</t>
  </si>
  <si>
    <t>Fiber Connect Capex (previously connected locations)</t>
  </si>
  <si>
    <t>memo: Incremental Connections</t>
  </si>
  <si>
    <t>memo: Capex / Connection</t>
  </si>
  <si>
    <t>Fiber Connect Capex (new locations)</t>
  </si>
  <si>
    <t>Fiber Connect Capex</t>
  </si>
  <si>
    <t>Maintenance Capex</t>
  </si>
  <si>
    <t>memo: Capex / Customer</t>
  </si>
  <si>
    <t>memo: Copper Passings</t>
  </si>
  <si>
    <t>memo: Capex / Non-Upgraded Passing</t>
  </si>
  <si>
    <t>memo: Capex / Revenue</t>
  </si>
  <si>
    <t>Total Capex</t>
  </si>
  <si>
    <t>memo: Percent of full year</t>
  </si>
  <si>
    <t>Cash Capital Expenditures</t>
  </si>
  <si>
    <t>Vendor Financing Payments</t>
  </si>
  <si>
    <t>Cash capital investment</t>
  </si>
  <si>
    <t>Accounts Payable Increase / (Decrease)</t>
  </si>
  <si>
    <t>Vendor financing liabilities increase / (Decrease)</t>
  </si>
  <si>
    <t>Inventory (Increase) / Decrease</t>
  </si>
  <si>
    <t>Capital investment (accrual basis)</t>
  </si>
  <si>
    <t>Total Depreciation &amp; Amortization</t>
  </si>
  <si>
    <t>memo: Average life</t>
  </si>
  <si>
    <t>memo: Retirement rate</t>
  </si>
  <si>
    <t>Residential Non-Fiber Broadband</t>
  </si>
  <si>
    <t>Residential Total Broadband</t>
  </si>
  <si>
    <t>Residential Copper Video</t>
  </si>
  <si>
    <t>Residential Video</t>
  </si>
  <si>
    <t>Residential Customers</t>
  </si>
  <si>
    <t>Commercial Fiber Voice &amp; Other / Sub</t>
  </si>
  <si>
    <t>Consumer Revenue / Customer</t>
  </si>
  <si>
    <t xml:space="preserve">memo: y/y chg </t>
  </si>
  <si>
    <t>Commercial Revenue / Customer</t>
  </si>
  <si>
    <t>Commercial Copper Voice &amp; Other / Sub</t>
  </si>
  <si>
    <t>Revenue By Segment</t>
  </si>
  <si>
    <t>Consumer Non-Fiber Broadband</t>
  </si>
  <si>
    <t>Total Consumer Broadband</t>
  </si>
  <si>
    <t>Consumer Non-Fiber Video</t>
  </si>
  <si>
    <t>Total Consumer Video</t>
  </si>
  <si>
    <t>Consumer Fiber Voice</t>
  </si>
  <si>
    <t>Consumer Non-Fiber Voice</t>
  </si>
  <si>
    <t>Total Consumer Voice</t>
  </si>
  <si>
    <r>
      <t xml:space="preserve">memo: </t>
    </r>
    <r>
      <rPr>
        <sz val="9"/>
        <color theme="1"/>
        <rFont val="Calibri"/>
        <family val="2"/>
        <scheme val="minor"/>
      </rPr>
      <t>Bottoms up Revenue</t>
    </r>
  </si>
  <si>
    <r>
      <t xml:space="preserve">memo: </t>
    </r>
    <r>
      <rPr>
        <sz val="9"/>
        <color theme="1"/>
        <rFont val="Calibri"/>
        <family val="2"/>
        <scheme val="minor"/>
      </rPr>
      <t>Difference</t>
    </r>
  </si>
  <si>
    <r>
      <t xml:space="preserve">memo: </t>
    </r>
    <r>
      <rPr>
        <sz val="9"/>
        <color theme="1"/>
        <rFont val="Calibri"/>
        <family val="2"/>
        <scheme val="minor"/>
      </rPr>
      <t>Subsidy revenue % Customer revenue</t>
    </r>
  </si>
  <si>
    <t>memo: y/y chg - Residential Broadband Revenue</t>
  </si>
  <si>
    <t>memo: y/y chg - Residential Video Revenue</t>
  </si>
  <si>
    <t>memo: y/y chg - Commercial Revenue</t>
  </si>
  <si>
    <t>Commercial Revenue By Product</t>
  </si>
  <si>
    <t>Broadband</t>
  </si>
  <si>
    <t>Voice</t>
  </si>
  <si>
    <r>
      <t xml:space="preserve">memo: </t>
    </r>
    <r>
      <rPr>
        <sz val="9"/>
        <color theme="1"/>
        <rFont val="Calibri"/>
        <family val="2"/>
      </rPr>
      <t>Broadband Share</t>
    </r>
  </si>
  <si>
    <r>
      <t xml:space="preserve">memo: </t>
    </r>
    <r>
      <rPr>
        <sz val="9"/>
        <color theme="1"/>
        <rFont val="Calibri"/>
        <family val="2"/>
      </rPr>
      <t>Voice Share</t>
    </r>
  </si>
  <si>
    <r>
      <t xml:space="preserve">memo: </t>
    </r>
    <r>
      <rPr>
        <sz val="9"/>
        <color theme="1"/>
        <rFont val="Calibri"/>
        <family val="2"/>
      </rPr>
      <t>Video Share</t>
    </r>
  </si>
  <si>
    <r>
      <t xml:space="preserve">memo: </t>
    </r>
    <r>
      <rPr>
        <sz val="9"/>
        <color theme="1"/>
        <rFont val="Calibri"/>
        <family val="2"/>
      </rPr>
      <t>Other Share</t>
    </r>
  </si>
  <si>
    <t>Customer Revenue By Product</t>
  </si>
  <si>
    <t>Analysis</t>
  </si>
  <si>
    <t>Tax reform analysis</t>
  </si>
  <si>
    <t>Book taxes</t>
  </si>
  <si>
    <t>Cash taxes</t>
  </si>
  <si>
    <t>Table: Cash tax calculation under prior tax rules</t>
  </si>
  <si>
    <t>Change</t>
  </si>
  <si>
    <t>23-24</t>
  </si>
  <si>
    <t>24-25</t>
  </si>
  <si>
    <t xml:space="preserve">   Income before taxes (GAAP)</t>
  </si>
  <si>
    <t>-  NOL tax shield</t>
  </si>
  <si>
    <t>-  Other tax shield</t>
  </si>
  <si>
    <t>-  Bonus depreciation tax shield</t>
  </si>
  <si>
    <t>= Income before taxes (tax)</t>
  </si>
  <si>
    <t>memo: Taxes (GAAP)</t>
  </si>
  <si>
    <t>memo: Taxe rate (GAAP)</t>
  </si>
  <si>
    <t>memo: Taxes (cash)</t>
  </si>
  <si>
    <t>memo: Taxes rate (cash)</t>
  </si>
  <si>
    <t xml:space="preserve">   Book taxes (reported)</t>
  </si>
  <si>
    <t>= Cash tax shield</t>
  </si>
  <si>
    <t>/  Tax rate</t>
  </si>
  <si>
    <t>= Bonus depreciation</t>
  </si>
  <si>
    <t>/  Bonus depreciation %</t>
  </si>
  <si>
    <t>= Capex eligible for bonus D&amp;A</t>
  </si>
  <si>
    <t>memo: Reported capex</t>
  </si>
  <si>
    <t>memo: Eligible capex / reported capex</t>
  </si>
  <si>
    <t>Table: Cash tax calculation under current tax rules</t>
  </si>
  <si>
    <t>Table: Cash tax savings</t>
  </si>
  <si>
    <t xml:space="preserve">   Prior cash taxes</t>
  </si>
  <si>
    <t>-  Current cash taxes</t>
  </si>
  <si>
    <t>= Cash tax savings</t>
  </si>
  <si>
    <t>= Discounted savings</t>
  </si>
  <si>
    <t>memo: Cumulative cash tax savings</t>
  </si>
  <si>
    <t>memo: NPV of savings</t>
  </si>
  <si>
    <t>memo: Savings / share</t>
  </si>
  <si>
    <t>memo: Shares</t>
  </si>
  <si>
    <t>NOLs</t>
  </si>
  <si>
    <t>Federal</t>
  </si>
  <si>
    <t>State</t>
  </si>
  <si>
    <t>Table: Impact of higher interest deduction</t>
  </si>
  <si>
    <t>- D&amp;A</t>
  </si>
  <si>
    <t>- Stock comp and other</t>
  </si>
  <si>
    <t>= EBIT</t>
  </si>
  <si>
    <t>Cap on interest deduction</t>
  </si>
  <si>
    <t xml:space="preserve">   Prior rules</t>
  </si>
  <si>
    <t xml:space="preserve">   Current rules</t>
  </si>
  <si>
    <t>Interest deduction</t>
  </si>
  <si>
    <t>memo: increase in interest deduction</t>
  </si>
  <si>
    <t>memo: tax savings on higher interest</t>
  </si>
  <si>
    <t>memo: benefit received in the year</t>
  </si>
  <si>
    <t>Table: Impact of change in R&amp;D rules</t>
  </si>
  <si>
    <t xml:space="preserve">   Revenue</t>
  </si>
  <si>
    <t>- Opex</t>
  </si>
  <si>
    <t xml:space="preserve">   Opex</t>
  </si>
  <si>
    <t>x % Spend on R&amp;D</t>
  </si>
  <si>
    <t>= R&amp;D Expenditures</t>
  </si>
  <si>
    <t xml:space="preserve">   R&amp;D Expenditures</t>
  </si>
  <si>
    <t>x % Deductible</t>
  </si>
  <si>
    <t>x "Half Year" Rule</t>
  </si>
  <si>
    <t>= R&amp;D deduction, Current Year</t>
  </si>
  <si>
    <t>+ R&amp;D deduction, Prior Year 1</t>
  </si>
  <si>
    <t>+ R&amp;D deduction, Prior Year 2</t>
  </si>
  <si>
    <t>+ R&amp;D deduction, Prior Year 3</t>
  </si>
  <si>
    <t>+ R&amp;D deduction, Prior Year 4</t>
  </si>
  <si>
    <t>+ R&amp;D deduction, Prior Year 5</t>
  </si>
  <si>
    <t>= Total R&amp;D deduction, Old Rule</t>
  </si>
  <si>
    <t>= Total R&amp;D deduction, New Rule</t>
  </si>
  <si>
    <t xml:space="preserve">   R&amp;D deduction, New Rule</t>
  </si>
  <si>
    <t>-  R&amp;D deduction, Prior Rule</t>
  </si>
  <si>
    <t>= Increase in R&amp;D deduction</t>
  </si>
  <si>
    <t>3Q24 Earnings</t>
  </si>
  <si>
    <t>Low-end</t>
  </si>
  <si>
    <t>High-end</t>
  </si>
  <si>
    <t>Mid-point</t>
  </si>
  <si>
    <t xml:space="preserve">   EBITDA guidance</t>
  </si>
  <si>
    <t>- YTD EBITDA</t>
  </si>
  <si>
    <t>= Implied 4Q24 EBITDA</t>
  </si>
  <si>
    <t>memo: y/y growth</t>
  </si>
  <si>
    <t xml:space="preserve">   YTD EBITDA</t>
  </si>
  <si>
    <t>/ Last year YTD EBITDA</t>
  </si>
  <si>
    <t>= YTD growth</t>
  </si>
  <si>
    <t>Fiber</t>
  </si>
  <si>
    <t>Copper</t>
  </si>
  <si>
    <t>Shareholders opposing the deal</t>
  </si>
  <si>
    <t>Cooper</t>
  </si>
  <si>
    <t>Carronade</t>
  </si>
  <si>
    <t>Glendon</t>
  </si>
  <si>
    <t>Cerberus</t>
  </si>
  <si>
    <t>Ares</t>
  </si>
  <si>
    <t>memo: % of O/S shares</t>
  </si>
  <si>
    <t>O/S shares</t>
  </si>
  <si>
    <t>Proxy capex forecast analysis</t>
  </si>
  <si>
    <t>Unconstrained</t>
  </si>
  <si>
    <r>
      <t xml:space="preserve">EBITDA </t>
    </r>
    <r>
      <rPr>
        <i/>
        <sz val="9"/>
        <color rgb="FF000000"/>
        <rFont val="Calibri"/>
        <family val="2"/>
      </rPr>
      <t>less</t>
    </r>
    <r>
      <rPr>
        <sz val="9"/>
        <color rgb="FF000000"/>
        <rFont val="Calibri"/>
        <family val="2"/>
      </rPr>
      <t xml:space="preserve"> Capex</t>
    </r>
  </si>
  <si>
    <t>Standalone</t>
  </si>
  <si>
    <t>UFCF</t>
  </si>
  <si>
    <t>Difference</t>
  </si>
  <si>
    <t>Incremental EBITDA margin</t>
  </si>
  <si>
    <t>Broadband ARPU</t>
  </si>
  <si>
    <t>Video ARPU</t>
  </si>
  <si>
    <t>Voice and other ARPU</t>
  </si>
  <si>
    <t>Broadband customers</t>
  </si>
  <si>
    <t>Broadband revenue</t>
  </si>
  <si>
    <t>voice and other revenue</t>
  </si>
  <si>
    <t>Total revenue</t>
  </si>
  <si>
    <t>memo: difference</t>
  </si>
  <si>
    <t>Connect capex per home</t>
  </si>
  <si>
    <t>New connects</t>
  </si>
  <si>
    <t>Connect capex</t>
  </si>
  <si>
    <t>Build capex</t>
  </si>
  <si>
    <t>Eligible on-net BEAD locations</t>
  </si>
  <si>
    <t>BEAD cost per location</t>
  </si>
  <si>
    <t>Total BEAD capex</t>
  </si>
  <si>
    <t>Implied non-BEAD Wave 3 capex</t>
  </si>
  <si>
    <t>Capex per Wave 3 location</t>
  </si>
  <si>
    <t>Wave 3 locations</t>
  </si>
  <si>
    <t>Wave 3 capex</t>
  </si>
  <si>
    <t>Edge-out capex</t>
  </si>
  <si>
    <t>Capex per edge-out location</t>
  </si>
  <si>
    <t>Edge-out locations</t>
  </si>
  <si>
    <t>BEAD locations</t>
  </si>
  <si>
    <t>Total locations</t>
  </si>
  <si>
    <t>Total build capex</t>
  </si>
  <si>
    <t xml:space="preserve">   Broadband customers</t>
  </si>
  <si>
    <t>/ Locations</t>
  </si>
  <si>
    <t>= Penetration</t>
  </si>
  <si>
    <t>EBITDA margin</t>
  </si>
  <si>
    <t>Business services &amp; maintenance capex</t>
  </si>
  <si>
    <t>Implied fiber capex</t>
  </si>
  <si>
    <t>/ Average cost</t>
  </si>
  <si>
    <t>= Build locations</t>
  </si>
  <si>
    <t>Capex per connect</t>
  </si>
  <si>
    <t xml:space="preserve">   Total revenue</t>
  </si>
  <si>
    <t>- Business and wholesale</t>
  </si>
  <si>
    <t>- Subsidy revenue</t>
  </si>
  <si>
    <t>- Consumer video</t>
  </si>
  <si>
    <t>- Consumer voice and other</t>
  </si>
  <si>
    <t>= Broadband revenue</t>
  </si>
  <si>
    <t>- Copper broadband revenue</t>
  </si>
  <si>
    <t>= Fiber broadband revenue</t>
  </si>
  <si>
    <t>/ Fiber broadband ARPU</t>
  </si>
  <si>
    <t>= Average fiber customers</t>
  </si>
  <si>
    <t>Fiber broadband customers - BOP</t>
  </si>
  <si>
    <t>Net adds</t>
  </si>
  <si>
    <t>Fiber broadband customers - EOP</t>
  </si>
  <si>
    <t>memo: average customers</t>
  </si>
  <si>
    <t>memo: Churn</t>
  </si>
  <si>
    <t>Fiber locations</t>
  </si>
  <si>
    <t>Fiber customers</t>
  </si>
  <si>
    <t>memo: penetration</t>
  </si>
  <si>
    <t>Non-BEAD locations</t>
  </si>
  <si>
    <t>BEAD customers</t>
  </si>
  <si>
    <t>Non-BEAD customers</t>
  </si>
  <si>
    <t>BEAD penetration</t>
  </si>
  <si>
    <t>Non-BEAD penetration</t>
  </si>
  <si>
    <t>Total penetration</t>
  </si>
  <si>
    <t>New BEAD locations</t>
  </si>
  <si>
    <t>Year 1 penetration</t>
  </si>
  <si>
    <t>Year 2 penetration</t>
  </si>
  <si>
    <t>Year 3 penetration</t>
  </si>
  <si>
    <t>Year 4 penetration</t>
  </si>
  <si>
    <t>Year 5 penetration</t>
  </si>
  <si>
    <t>Year 6 penetration</t>
  </si>
  <si>
    <t>Year 7 penetration</t>
  </si>
  <si>
    <t>Year 8 penetration</t>
  </si>
  <si>
    <t>Year 1 customers</t>
  </si>
  <si>
    <t>Year 2 customers</t>
  </si>
  <si>
    <t>Year 3 customers</t>
  </si>
  <si>
    <t>Year 4 customers</t>
  </si>
  <si>
    <t>Year 5 customers</t>
  </si>
  <si>
    <t>Year 6 customers</t>
  </si>
  <si>
    <t>Year 7 customers</t>
  </si>
  <si>
    <t>Year 8 customers</t>
  </si>
  <si>
    <t>Total customers</t>
  </si>
  <si>
    <t>Proxy forecast analysis</t>
  </si>
  <si>
    <t>NSR</t>
  </si>
  <si>
    <t>Proxy</t>
  </si>
  <si>
    <t>Adj EBITDA</t>
  </si>
  <si>
    <t>Unlevered FCF</t>
  </si>
  <si>
    <t>Consensus</t>
  </si>
  <si>
    <t>Vs NSR</t>
  </si>
  <si>
    <t>Vs Proxy</t>
  </si>
  <si>
    <t xml:space="preserve">   NSR total revenue</t>
  </si>
  <si>
    <t>- Consumer fiber broadband</t>
  </si>
  <si>
    <t>= Everything else</t>
  </si>
  <si>
    <t>Business and wholesale</t>
  </si>
  <si>
    <t xml:space="preserve">   Proxy total revenue</t>
  </si>
  <si>
    <t>- subsidy</t>
  </si>
  <si>
    <t>- Copper broadband</t>
  </si>
  <si>
    <t>- Consumer Voice &amp; Other</t>
  </si>
  <si>
    <t>= Business and wholesale</t>
  </si>
  <si>
    <t>Unconstrained capital case</t>
  </si>
  <si>
    <t>Vs standalone case</t>
  </si>
  <si>
    <t>VZ transaction</t>
  </si>
  <si>
    <t>Stock price previous day</t>
  </si>
  <si>
    <t xml:space="preserve">   FYBR SHOUT</t>
  </si>
  <si>
    <t>x Transaction price</t>
  </si>
  <si>
    <t>= Equity Value</t>
  </si>
  <si>
    <t>+ Net Debt</t>
  </si>
  <si>
    <t>= Transaction EV</t>
  </si>
  <si>
    <t>/ Total Locations</t>
  </si>
  <si>
    <t>= EV / Total Locations</t>
  </si>
  <si>
    <t xml:space="preserve">   Transaction EV</t>
  </si>
  <si>
    <t>- Copper locations @$250/location</t>
  </si>
  <si>
    <t>= Value for fiber locations</t>
  </si>
  <si>
    <t>/ Fiber locations</t>
  </si>
  <si>
    <t>= EV / Fiber locations</t>
  </si>
  <si>
    <t>Equity Value</t>
  </si>
  <si>
    <t>Transaction EV</t>
  </si>
  <si>
    <t>+ Break-up fees</t>
  </si>
  <si>
    <t>= Transaction EV (incl break-up fees)</t>
  </si>
  <si>
    <t xml:space="preserve">   Transaction EV (incl break-up fees)</t>
  </si>
  <si>
    <t xml:space="preserve">   CHTR SHOUT</t>
  </si>
  <si>
    <t>x Share price</t>
  </si>
  <si>
    <t>Enterprise Value</t>
  </si>
  <si>
    <t>Charter trading value</t>
  </si>
  <si>
    <t>Premium for fiber</t>
  </si>
  <si>
    <t>Value of synergies</t>
  </si>
  <si>
    <t>Price that VZ should pay</t>
  </si>
  <si>
    <t>Frontier</t>
  </si>
  <si>
    <t>Metronet</t>
  </si>
  <si>
    <t>Lumos</t>
  </si>
  <si>
    <t>Premium to prior closing price</t>
  </si>
  <si>
    <t xml:space="preserve">   FYBR previous day closing price</t>
  </si>
  <si>
    <t>x (1+Premium)</t>
  </si>
  <si>
    <t>= Transaction price</t>
  </si>
  <si>
    <t>x SHOUT</t>
  </si>
  <si>
    <t>= Transaction equty value</t>
  </si>
  <si>
    <t>+ Net debt</t>
  </si>
  <si>
    <t>/ 2024 EBITDA</t>
  </si>
  <si>
    <t>= EV / EBITDA</t>
  </si>
  <si>
    <t>Locations as of 3Q24</t>
  </si>
  <si>
    <t>Value per fiber location</t>
  </si>
  <si>
    <t xml:space="preserve">   Fiber locations</t>
  </si>
  <si>
    <t>x Value per fiber location</t>
  </si>
  <si>
    <t xml:space="preserve">   Copper locations</t>
  </si>
  <si>
    <t>x Value per copper location</t>
  </si>
  <si>
    <t>= Value for copper locations</t>
  </si>
  <si>
    <t xml:space="preserve">   Total value</t>
  </si>
  <si>
    <t>- Net debt</t>
  </si>
  <si>
    <t>= Equity value</t>
  </si>
  <si>
    <t>memo: upside to prior day's close</t>
  </si>
  <si>
    <t>Current offer</t>
  </si>
  <si>
    <t>Charter's trading value</t>
  </si>
  <si>
    <t>Charter's trading value + fiber premium</t>
  </si>
  <si>
    <t>Metronet/ Lumos value</t>
  </si>
  <si>
    <t xml:space="preserve">   Frontier's annual gross adds</t>
  </si>
  <si>
    <t>x CPGA</t>
  </si>
  <si>
    <t>= Customer acquisition cost</t>
  </si>
  <si>
    <t>VZ</t>
  </si>
  <si>
    <t>FYBR+VZ</t>
  </si>
  <si>
    <t>LUMN</t>
  </si>
  <si>
    <t>FYBR+VZ+LUMN</t>
  </si>
  <si>
    <t>On Net Unserved Locations</t>
  </si>
  <si>
    <t>On Net Underserved Locations</t>
  </si>
  <si>
    <t>Total On Net Locations</t>
  </si>
  <si>
    <t>Near Net Unserved Locations</t>
  </si>
  <si>
    <t>Near Net Underserved Locations</t>
  </si>
  <si>
    <t>Total Near Net Locations</t>
  </si>
  <si>
    <t>Party A</t>
  </si>
  <si>
    <t>Party E</t>
  </si>
  <si>
    <t>Verizon</t>
  </si>
  <si>
    <t>34-37</t>
  </si>
  <si>
    <t>30-33</t>
  </si>
  <si>
    <t>36-38</t>
  </si>
  <si>
    <t>Party A initial offer - Nov 2023</t>
  </si>
  <si>
    <t>Party E initial offer June 2024</t>
  </si>
  <si>
    <t>Party E updated offer July 2024</t>
  </si>
  <si>
    <t>Verizon initial offer August 2024</t>
  </si>
  <si>
    <t>Verizon updated offer August 2024</t>
  </si>
  <si>
    <t>Party E updated offer August 2024</t>
  </si>
  <si>
    <t>Verizon final offer September 2024</t>
  </si>
  <si>
    <t>Management estimate of synergies</t>
  </si>
  <si>
    <t>NSR estimate of CTA</t>
  </si>
  <si>
    <t xml:space="preserve">   Network synergies</t>
  </si>
  <si>
    <t>+ Go-to-market synergies</t>
  </si>
  <si>
    <t>= Run rate cost synergies</t>
  </si>
  <si>
    <t>x % Achieved</t>
  </si>
  <si>
    <t>= Cost Synergies</t>
  </si>
  <si>
    <t xml:space="preserve">   Total cost to achieve</t>
  </si>
  <si>
    <t>x % of Total CTA</t>
  </si>
  <si>
    <t>= Merger Costs</t>
  </si>
  <si>
    <t>memo: Cumulative CTA</t>
  </si>
  <si>
    <t>Synergies</t>
  </si>
  <si>
    <t>- Taxes @0%</t>
  </si>
  <si>
    <t>= Synergies (after tax)</t>
  </si>
  <si>
    <t>x VZ Multiple</t>
  </si>
  <si>
    <t>= Value of synergies</t>
  </si>
  <si>
    <t>- CTA</t>
  </si>
  <si>
    <t>= Value of synergies net of CTA</t>
  </si>
  <si>
    <t>- Taxes @25%</t>
  </si>
  <si>
    <t>/ VZ WACC</t>
  </si>
  <si>
    <t>/ FYBR WACC</t>
  </si>
  <si>
    <t>VZ EV/EBITDA multiple</t>
  </si>
  <si>
    <t>FYBR WACC</t>
  </si>
  <si>
    <t>VZ WACC</t>
  </si>
  <si>
    <t>Opex synergies</t>
  </si>
  <si>
    <t>Churn synergies</t>
  </si>
  <si>
    <t>Revenue synergies</t>
  </si>
  <si>
    <t>Synergies ex interest cost</t>
  </si>
  <si>
    <t>Interest cost synergies</t>
  </si>
  <si>
    <t>Total synergies</t>
  </si>
  <si>
    <t>CTA</t>
  </si>
  <si>
    <t>Synergies less CTA</t>
  </si>
  <si>
    <t>Standalone value</t>
  </si>
  <si>
    <t>Transaction value</t>
  </si>
  <si>
    <t>= Price per share</t>
  </si>
  <si>
    <t>Standalone value + opex synergies</t>
  </si>
  <si>
    <t>Standalone value + opex + revenue + churn synergies</t>
  </si>
  <si>
    <t>Standalone value + opex + revenue + churn + interest cost synergies</t>
  </si>
  <si>
    <t>Low</t>
  </si>
  <si>
    <t>High</t>
  </si>
  <si>
    <t>Average</t>
  </si>
  <si>
    <t xml:space="preserve">   G&amp;A</t>
  </si>
  <si>
    <t>x % Removed</t>
  </si>
  <si>
    <t>= G&amp;A Synergies</t>
  </si>
  <si>
    <t>+ Network synergies</t>
  </si>
  <si>
    <t>= Total synergies</t>
  </si>
  <si>
    <t>EV</t>
  </si>
  <si>
    <t>Net debt</t>
  </si>
  <si>
    <t>Equity value</t>
  </si>
  <si>
    <t>SHOUT</t>
  </si>
  <si>
    <t>Copper locations</t>
  </si>
  <si>
    <t xml:space="preserve">   2026 EBITDA</t>
  </si>
  <si>
    <t>x EV / EBITDA</t>
  </si>
  <si>
    <t>= EV</t>
  </si>
  <si>
    <t>= Value per share</t>
  </si>
  <si>
    <t xml:space="preserve">   EV</t>
  </si>
  <si>
    <t>- Copper @ 3x EBITDA</t>
  </si>
  <si>
    <t>= Fiber EV</t>
  </si>
  <si>
    <t>/ Fiber EBITDA</t>
  </si>
  <si>
    <t>= Fiber multiple</t>
  </si>
  <si>
    <t>/ Multiple</t>
  </si>
  <si>
    <t>Locations</t>
  </si>
  <si>
    <t>x Multiple</t>
  </si>
  <si>
    <t>SOGA Analysis</t>
  </si>
  <si>
    <t>1Q23</t>
  </si>
  <si>
    <t>2Q23</t>
  </si>
  <si>
    <t>3Q23</t>
  </si>
  <si>
    <t>4Q23</t>
  </si>
  <si>
    <t>1Q24</t>
  </si>
  <si>
    <t>2Q24</t>
  </si>
  <si>
    <t>Frontier fiber locations</t>
  </si>
  <si>
    <t>Total addressable households</t>
  </si>
  <si>
    <t>memo: Frontier fiber locations share</t>
  </si>
  <si>
    <t>Industry penetration</t>
  </si>
  <si>
    <t>Frontier fiber penetration</t>
  </si>
  <si>
    <t>memo: Implied penetration of competitors</t>
  </si>
  <si>
    <t xml:space="preserve">   Frontier fiber locations - BOP</t>
  </si>
  <si>
    <t>x Industry Penetration - BOP</t>
  </si>
  <si>
    <t>= Industry subscribers - BOP</t>
  </si>
  <si>
    <t xml:space="preserve">   Frontier fiber locations - EOP</t>
  </si>
  <si>
    <t>memo: market subscriber growth</t>
  </si>
  <si>
    <t>x Industry Penetration - EOP</t>
  </si>
  <si>
    <t>= Industry subscribers - EOP</t>
  </si>
  <si>
    <t>memo: industry net adds</t>
  </si>
  <si>
    <t>= Broadband subscribers in market</t>
  </si>
  <si>
    <t>x Frontier fiber churn</t>
  </si>
  <si>
    <t>= Industry disconnects</t>
  </si>
  <si>
    <t>memo: Industry gross adds</t>
  </si>
  <si>
    <t xml:space="preserve">   Frontier BOP fiber subscribers</t>
  </si>
  <si>
    <t>= Frontier disconnects</t>
  </si>
  <si>
    <t>+ Frontier net adds</t>
  </si>
  <si>
    <t>= Frontier gross adds</t>
  </si>
  <si>
    <t xml:space="preserve">   Frontier gross adds</t>
  </si>
  <si>
    <t>/ Indsutry gross adds</t>
  </si>
  <si>
    <t>= Frontier's SOGA</t>
  </si>
  <si>
    <t xml:space="preserve">   Frontier's gross adds</t>
  </si>
  <si>
    <t>- Frontier's gross adds in low-end plan</t>
  </si>
  <si>
    <t>= Frontier's gross adds in high-end plans</t>
  </si>
  <si>
    <t xml:space="preserve">   Industry gross adds</t>
  </si>
  <si>
    <t>= Industry gross adds ex low-end plans</t>
  </si>
  <si>
    <t>memo: Frontier's SOGA in high-end</t>
  </si>
  <si>
    <t>- Industry gross adds in low-end plan</t>
  </si>
  <si>
    <t>memo: Share of low-end plans</t>
  </si>
  <si>
    <t>1Q22</t>
  </si>
  <si>
    <t>2Q22</t>
  </si>
  <si>
    <t>3Q22</t>
  </si>
  <si>
    <t>4Q22</t>
  </si>
  <si>
    <t>memo: Implied Cable penetration</t>
  </si>
  <si>
    <t xml:space="preserve">   Frontier fiber locations</t>
  </si>
  <si>
    <t>x Industry penetration</t>
  </si>
  <si>
    <t>memo: Implied Cable disconnects</t>
  </si>
  <si>
    <t xml:space="preserve">   Total Cable industry net adds</t>
  </si>
  <si>
    <t>x Share of Frontier fiber locations</t>
  </si>
  <si>
    <t>= Cable net adds in Frontier fiber footprint</t>
  </si>
  <si>
    <t xml:space="preserve">   Frontier net adds</t>
  </si>
  <si>
    <t>+ Frontier disconnects</t>
  </si>
  <si>
    <t xml:space="preserve">   Cable net adds</t>
  </si>
  <si>
    <t>+ Cable disconnects</t>
  </si>
  <si>
    <t>= Cable gross adds</t>
  </si>
  <si>
    <t>+ Cable gross adds</t>
  </si>
  <si>
    <t>Indsutry gross adds</t>
  </si>
  <si>
    <t>memo: Frontier's SOGA</t>
  </si>
  <si>
    <t>ACP adjustment</t>
  </si>
  <si>
    <t xml:space="preserve">   ACP impact for CHTR/CMCSA/ATUS/CABO</t>
  </si>
  <si>
    <t>/ Their share of Cable industry</t>
  </si>
  <si>
    <t>= ACP impact for Cable</t>
  </si>
  <si>
    <t>= ACP impact in Frontier fiber locations</t>
  </si>
  <si>
    <t>Frontier ACP impact</t>
  </si>
  <si>
    <t>Cable ACP impact</t>
  </si>
  <si>
    <t>Total ACP impact in Frontier fiber locations</t>
  </si>
  <si>
    <t>memo: Industry gross adds excluding ACP impact</t>
  </si>
  <si>
    <t>After ACP adjustment</t>
  </si>
  <si>
    <t>Frontier gross adds</t>
  </si>
  <si>
    <t>Industry gross adds excl ACP impact</t>
  </si>
  <si>
    <t>Industry gross adds in low-end</t>
  </si>
  <si>
    <t>Industry gross adds in high-end</t>
  </si>
  <si>
    <t>memo: share of low-end (assumption)</t>
  </si>
  <si>
    <t>Frontier's gross adds in low-end</t>
  </si>
  <si>
    <t>Frontier's gross adds in high-end</t>
  </si>
  <si>
    <t>Base markets penetration</t>
  </si>
  <si>
    <t>Expansion markets penetration</t>
  </si>
  <si>
    <t>2Q24 Earnings</t>
  </si>
  <si>
    <t>Non-subsidy capex</t>
  </si>
  <si>
    <t>/ New passings</t>
  </si>
  <si>
    <t>Costs</t>
  </si>
  <si>
    <t>Reported arpu</t>
  </si>
  <si>
    <t>gift card</t>
  </si>
  <si>
    <t>adjusted arpu</t>
  </si>
  <si>
    <t>Pricing</t>
  </si>
  <si>
    <t>Share</t>
  </si>
  <si>
    <t>1Gbps</t>
  </si>
  <si>
    <t>2Gbps</t>
  </si>
  <si>
    <t>5Gbps</t>
  </si>
  <si>
    <t>= Base intake ARPU</t>
  </si>
  <si>
    <t>+ Value added services (assume 55% take it)</t>
  </si>
  <si>
    <t>= Intake ARPU for gig+ tiers</t>
  </si>
  <si>
    <t xml:space="preserve">   Gross adds</t>
  </si>
  <si>
    <t>x share that take gigabit speeds</t>
  </si>
  <si>
    <t>= Gross adds that take gigabit speeds</t>
  </si>
  <si>
    <t>memo: gross adds taking lower speeds</t>
  </si>
  <si>
    <t xml:space="preserve">  Fiber customer base BOP</t>
  </si>
  <si>
    <t xml:space="preserve">  Fiber customer base EOP (ex-gross adds)</t>
  </si>
  <si>
    <t xml:space="preserve">   2Q23 ARPU</t>
  </si>
  <si>
    <t>x Assume growth from 3 levers</t>
  </si>
  <si>
    <t>= ARPU for BOP base</t>
  </si>
  <si>
    <t>x Average customer base (ex-gross adds)</t>
  </si>
  <si>
    <t>= Revenue from base (ex-gross adds)</t>
  </si>
  <si>
    <t>memo: implied growth from 3 levers</t>
  </si>
  <si>
    <t xml:space="preserve">   Reported consumer fiber revenue</t>
  </si>
  <si>
    <t>- Revenue from base (ex-gross adds)</t>
  </si>
  <si>
    <t>= Revenue from gross adds</t>
  </si>
  <si>
    <t>/ Gross adds</t>
  </si>
  <si>
    <t>= Average intake ARPU</t>
  </si>
  <si>
    <t xml:space="preserve">   Assumed gross adds at 1Gbps+ tier</t>
  </si>
  <si>
    <t>x Intake ARPU</t>
  </si>
  <si>
    <t>= Additional revenue</t>
  </si>
  <si>
    <t xml:space="preserve">   Revenue from gross adds</t>
  </si>
  <si>
    <t>- Revenue from 1Gbps+ tier</t>
  </si>
  <si>
    <t>= Revenue from 200/500Mbps tier</t>
  </si>
  <si>
    <t>/ Gross adds at 200/500Mbps tiers</t>
  </si>
  <si>
    <t>= Average ARPU for 200/500Mbps tiers</t>
  </si>
  <si>
    <t>ARPU for 200Mbps</t>
  </si>
  <si>
    <t>ARPU for 500Mbps</t>
  </si>
  <si>
    <t>Share of gross adds for 200Mbps tier</t>
  </si>
  <si>
    <t>Share of gross add for 500Mbps tier</t>
  </si>
  <si>
    <t>Share of gross add for 1Gbps+ tier</t>
  </si>
  <si>
    <t xml:space="preserve">   Gross adds for 200Mbps tier</t>
  </si>
  <si>
    <t>+ Gross add for 500Mbps tier</t>
  </si>
  <si>
    <t>+ Gross add for 1Gbps+ tier</t>
  </si>
  <si>
    <t>= Total gross adds</t>
  </si>
  <si>
    <t xml:space="preserve">   1Gbps+ gross adds</t>
  </si>
  <si>
    <t>+ 200Mbps gross adds</t>
  </si>
  <si>
    <t>memo: share of gross adds taking 1Gbps+</t>
  </si>
  <si>
    <t xml:space="preserve">memo: share of gross adds taking 200Mbps </t>
  </si>
  <si>
    <t>Reported</t>
  </si>
  <si>
    <t>Scenario 1</t>
  </si>
  <si>
    <t>Gig+ gross adds</t>
  </si>
  <si>
    <t>lower speed tier gross adds</t>
  </si>
  <si>
    <t>Total gross adds</t>
  </si>
  <si>
    <t>Share of gig+</t>
  </si>
  <si>
    <t>Share of lower speed tiers</t>
  </si>
  <si>
    <t>Gig+ ARPU</t>
  </si>
  <si>
    <t>lower speed tier ARPU</t>
  </si>
  <si>
    <t>Base revenue</t>
  </si>
  <si>
    <t>Gig+ Revenue</t>
  </si>
  <si>
    <t>lower speed tier Revenue</t>
  </si>
  <si>
    <t>/ Average subs</t>
  </si>
  <si>
    <t>= ARPU</t>
  </si>
  <si>
    <t>3Q24</t>
  </si>
  <si>
    <t>4Q24</t>
  </si>
  <si>
    <t>Average fiber subscriber base</t>
  </si>
  <si>
    <t>= Fiber revenue</t>
  </si>
  <si>
    <t>1H23</t>
  </si>
  <si>
    <t>2H23</t>
  </si>
  <si>
    <t>1H24</t>
  </si>
  <si>
    <t>2H24</t>
  </si>
  <si>
    <t xml:space="preserve">   Revenue growth due to subscriber increase</t>
  </si>
  <si>
    <t>+ Revenue growth due to ARPU increase</t>
  </si>
  <si>
    <t>= Total revenue increase</t>
  </si>
  <si>
    <t xml:space="preserve">   EBITDA growth due to ARPU</t>
  </si>
  <si>
    <t>/ 2H23 EBITDA</t>
  </si>
  <si>
    <t>= EBITDA growth due to ARPU</t>
  </si>
  <si>
    <t>memo: change in EBITDA growth due to ARPU</t>
  </si>
  <si>
    <t>Subscriber acquisition cost</t>
  </si>
  <si>
    <t>memo: change in subscriber acquisition cost</t>
  </si>
  <si>
    <t>memo: cost growth y/y</t>
  </si>
  <si>
    <t>Analysis for Gigapower conference calll</t>
  </si>
  <si>
    <t>Current scenario</t>
  </si>
  <si>
    <t>1Q25</t>
  </si>
  <si>
    <t>2Q25</t>
  </si>
  <si>
    <t>3Q25</t>
  </si>
  <si>
    <t>4Q25</t>
  </si>
  <si>
    <t>1Q26</t>
  </si>
  <si>
    <t>2Q26</t>
  </si>
  <si>
    <t>3Q26</t>
  </si>
  <si>
    <t>4Q26</t>
  </si>
  <si>
    <t>1Q27</t>
  </si>
  <si>
    <t>2Q27</t>
  </si>
  <si>
    <t>3Q27</t>
  </si>
  <si>
    <t>4Q27</t>
  </si>
  <si>
    <t>1Q28</t>
  </si>
  <si>
    <t>2Q28</t>
  </si>
  <si>
    <t>3Q28</t>
  </si>
  <si>
    <t>4Q28</t>
  </si>
  <si>
    <t>Current fiber build projection</t>
  </si>
  <si>
    <t>memo: cumulative fiber passings</t>
  </si>
  <si>
    <t>Current fiber subscriber forecast</t>
  </si>
  <si>
    <t>memo: net adds</t>
  </si>
  <si>
    <t>Current EBITDA forecast</t>
  </si>
  <si>
    <t>memo: LTM EBITDA</t>
  </si>
  <si>
    <t>Current Capex forecast</t>
  </si>
  <si>
    <t>memo: LTM Capex</t>
  </si>
  <si>
    <t>Current UFCF forecast</t>
  </si>
  <si>
    <t>memo: LTM UFCF</t>
  </si>
  <si>
    <t>New scenario</t>
  </si>
  <si>
    <t>Fiber build projection</t>
  </si>
  <si>
    <t>memo: extra build vs current scenario</t>
  </si>
  <si>
    <t>memo: cumulative extra build vs current scenario</t>
  </si>
  <si>
    <t>New fiber subscriber forecast</t>
  </si>
  <si>
    <t>memo: extra subscribers</t>
  </si>
  <si>
    <t>memo: cumulative extra subscribers</t>
  </si>
  <si>
    <t>1Q</t>
  </si>
  <si>
    <t>2Q</t>
  </si>
  <si>
    <t>3Q</t>
  </si>
  <si>
    <t>4Q</t>
  </si>
  <si>
    <t>5Q</t>
  </si>
  <si>
    <t>6Q</t>
  </si>
  <si>
    <t>7Q</t>
  </si>
  <si>
    <t>8Q</t>
  </si>
  <si>
    <t>9Q</t>
  </si>
  <si>
    <t>10Q</t>
  </si>
  <si>
    <t>Subs</t>
  </si>
  <si>
    <t>Total extra subs</t>
  </si>
  <si>
    <t>Fiber Broadband ARPU</t>
  </si>
  <si>
    <t>Additional revenue</t>
  </si>
  <si>
    <t>Additional EBITDA</t>
  </si>
  <si>
    <t>memo: incremental margins</t>
  </si>
  <si>
    <t>New EBITDA forecast</t>
  </si>
  <si>
    <t>Additional build capex</t>
  </si>
  <si>
    <t>memo: cost per passing</t>
  </si>
  <si>
    <t>Additional connect capex</t>
  </si>
  <si>
    <t>memo: cost per connect</t>
  </si>
  <si>
    <t>Total additional capex</t>
  </si>
  <si>
    <t>New Capex forecast</t>
  </si>
  <si>
    <t>memo: Excess UFCF burn</t>
  </si>
  <si>
    <t>memo: Cumulative excess UFCF burn</t>
  </si>
  <si>
    <t>Extra debt</t>
  </si>
  <si>
    <t>Extra interest expense</t>
  </si>
  <si>
    <t>memo: Interest rate</t>
  </si>
  <si>
    <t>memo: Excess cash burn</t>
  </si>
  <si>
    <t>memo: Cumulative excess cash burn</t>
  </si>
  <si>
    <t>Total EV</t>
  </si>
  <si>
    <t>Cash burn</t>
  </si>
  <si>
    <t>1Q24 Earnings Analysis</t>
  </si>
  <si>
    <t>Actual</t>
  </si>
  <si>
    <t>Var</t>
  </si>
  <si>
    <t>% Var</t>
  </si>
  <si>
    <t>Fiber revenue</t>
  </si>
  <si>
    <t>Fiber costs</t>
  </si>
  <si>
    <t>Fiber ARPU</t>
  </si>
  <si>
    <t xml:space="preserve">   Average subs</t>
  </si>
  <si>
    <t>x ARPU beat</t>
  </si>
  <si>
    <t>= Beat due to ARPU</t>
  </si>
  <si>
    <t>Copper revenue</t>
  </si>
  <si>
    <t>Copper costs</t>
  </si>
  <si>
    <t>Copper ARPU</t>
  </si>
  <si>
    <t>1Q21</t>
  </si>
  <si>
    <t>2Q21</t>
  </si>
  <si>
    <t>3Q21</t>
  </si>
  <si>
    <t>4Q21</t>
  </si>
  <si>
    <t xml:space="preserve">   Reported fiber broadband ARPU</t>
  </si>
  <si>
    <t>+ Gift card impact</t>
  </si>
  <si>
    <t>= Adjusted fiber broadband ARPU</t>
  </si>
  <si>
    <t>memo: reported ARPU growth</t>
  </si>
  <si>
    <t>memo: adjusted ARPU growth</t>
  </si>
  <si>
    <t>% Change</t>
  </si>
  <si>
    <t>SG&amp;A costs</t>
  </si>
  <si>
    <t xml:space="preserve">   Fiber gross adds</t>
  </si>
  <si>
    <t>x CGPA</t>
  </si>
  <si>
    <t>= Subscriber acquisition costs</t>
  </si>
  <si>
    <t>Base fiber markets</t>
  </si>
  <si>
    <t>New markets</t>
  </si>
  <si>
    <t>Organic Net adds</t>
  </si>
  <si>
    <t>ACP impact</t>
  </si>
  <si>
    <t>Reported Net Adds</t>
  </si>
  <si>
    <t xml:space="preserve">   SG&amp;A</t>
  </si>
  <si>
    <t>x Share of subscriber acquisition cost</t>
  </si>
  <si>
    <t>= Subscriber acquisition cost</t>
  </si>
  <si>
    <t>/ Fiber gross adds</t>
  </si>
  <si>
    <t>= Fiber CGPA</t>
  </si>
  <si>
    <t>memo: Y/Y change in Fiber CGPA</t>
  </si>
  <si>
    <t>Baseline</t>
  </si>
  <si>
    <t>Acceleration due to improved marketing</t>
  </si>
  <si>
    <t>Seasonality</t>
  </si>
  <si>
    <t>Total adds (before hack and ACP)</t>
  </si>
  <si>
    <t>Impact of hack</t>
  </si>
  <si>
    <t>ACP</t>
  </si>
  <si>
    <t>Total adds (after ACP)</t>
  </si>
  <si>
    <t>Total adds (before ACP)</t>
  </si>
  <si>
    <t xml:space="preserve">   Number of days of outage</t>
  </si>
  <si>
    <t>x gross adds per day</t>
  </si>
  <si>
    <t>= Impact on gross adds</t>
  </si>
  <si>
    <t>x Assume win 25% back during the quarter</t>
  </si>
  <si>
    <t>= Impact on hack on gross and net adds</t>
  </si>
  <si>
    <t>Baseline ARPU growth</t>
  </si>
  <si>
    <t>Tailwind from gift card impact</t>
  </si>
  <si>
    <t>Reported ARPU growth</t>
  </si>
  <si>
    <t>1Q20</t>
  </si>
  <si>
    <t>2Q20</t>
  </si>
  <si>
    <t>3Q20</t>
  </si>
  <si>
    <t>4Q20</t>
  </si>
  <si>
    <t>Base markets</t>
  </si>
  <si>
    <t>Expansion markets</t>
  </si>
  <si>
    <t>Total fiber passings</t>
  </si>
  <si>
    <t>Passings by cohort</t>
  </si>
  <si>
    <t>Subscribers by cohort</t>
  </si>
  <si>
    <t>Total subscribers</t>
  </si>
  <si>
    <t>Penetration by cohort</t>
  </si>
  <si>
    <t xml:space="preserve">   Subsidy-related build capex</t>
  </si>
  <si>
    <t>NA</t>
  </si>
  <si>
    <t>+ Non-subsidy-related build capex</t>
  </si>
  <si>
    <t>= Build capex</t>
  </si>
  <si>
    <t>/ New fiber locations</t>
  </si>
  <si>
    <t>= Capex per location</t>
  </si>
  <si>
    <t>x Cost per connect</t>
  </si>
  <si>
    <t>= Capex to connect</t>
  </si>
  <si>
    <t xml:space="preserve">   Fiber build capex</t>
  </si>
  <si>
    <t>+ Connect capex</t>
  </si>
  <si>
    <t>= Total fiber capex</t>
  </si>
  <si>
    <t>+ Business and wholesale capex</t>
  </si>
  <si>
    <t>+ Maintenance capex</t>
  </si>
  <si>
    <t>= Total capex</t>
  </si>
  <si>
    <t xml:space="preserve">   Total fiber build planned</t>
  </si>
  <si>
    <t>- Base fiber locations</t>
  </si>
  <si>
    <t>= Fiber locations to be upgraded</t>
  </si>
  <si>
    <t>x Average cost per location</t>
  </si>
  <si>
    <t>= Total cost of upgrade</t>
  </si>
  <si>
    <t xml:space="preserve">   Locations upgraded till 2023</t>
  </si>
  <si>
    <t>x Direct build cost per location</t>
  </si>
  <si>
    <t>= Direct build cost (2021-23)</t>
  </si>
  <si>
    <t xml:space="preserve">   Total cost of upgrade</t>
  </si>
  <si>
    <t>- Direct build cost for 2021-23 build</t>
  </si>
  <si>
    <t>= Remaining cost of upgrade</t>
  </si>
  <si>
    <t>/ Locations yet to be upgraded</t>
  </si>
  <si>
    <t>= Cost per location (Accrual)</t>
  </si>
  <si>
    <t>Direct build capex spent so far (accrual)</t>
  </si>
  <si>
    <t xml:space="preserve">   Direct build capex spent so far (accrual)</t>
  </si>
  <si>
    <t>= Pre-work for future build</t>
  </si>
  <si>
    <t>Financing impact</t>
  </si>
  <si>
    <t>Accounts payable</t>
  </si>
  <si>
    <t>Vendor financing</t>
  </si>
  <si>
    <t>Inventory</t>
  </si>
  <si>
    <t>Net financing impact</t>
  </si>
  <si>
    <t>x Assume 75% related to fiber build</t>
  </si>
  <si>
    <t>Net financing impact related to fiber build</t>
  </si>
  <si>
    <t>memo: financing impact related to maintenance / commercial</t>
  </si>
  <si>
    <t xml:space="preserve">   Remaining cost of upgrade</t>
  </si>
  <si>
    <t>- Pre-work to be released</t>
  </si>
  <si>
    <t>+ Net impact of financing</t>
  </si>
  <si>
    <t>= Cash capex to be spent</t>
  </si>
  <si>
    <t>/ Locations to be upgraded</t>
  </si>
  <si>
    <t>= Cost per location (Cash)</t>
  </si>
  <si>
    <t xml:space="preserve">   Locations upgraded</t>
  </si>
  <si>
    <t>x Average direct build cost</t>
  </si>
  <si>
    <t>= Direct build capex (accrual)</t>
  </si>
  <si>
    <t>- Pre-work consumed</t>
  </si>
  <si>
    <t>+ Financing impact</t>
  </si>
  <si>
    <t>= Cash build capex</t>
  </si>
  <si>
    <t>/ Locations upgraded</t>
  </si>
  <si>
    <t xml:space="preserve">   Resi fiber gross adds</t>
  </si>
  <si>
    <t>x Prior year penetration</t>
  </si>
  <si>
    <t>= Gross adds at locations previously connected</t>
  </si>
  <si>
    <t>memo: gross adds at first-time locations</t>
  </si>
  <si>
    <t xml:space="preserve">   Gross adds at locations previously connected</t>
  </si>
  <si>
    <t>x Capex per connect</t>
  </si>
  <si>
    <t>= Connect capex at previously connected locations</t>
  </si>
  <si>
    <t xml:space="preserve">   Gross adds at first time locations</t>
  </si>
  <si>
    <t>Total connect capex</t>
  </si>
  <si>
    <t>memo: capex per connect</t>
  </si>
  <si>
    <t xml:space="preserve">   Direct fiber deployment accrual capex</t>
  </si>
  <si>
    <t>- Pre-work consumed and financing impact</t>
  </si>
  <si>
    <t>= Direct fiber deployment cash capex</t>
  </si>
  <si>
    <t xml:space="preserve">   Connect capex</t>
  </si>
  <si>
    <t>+ Commercial capex</t>
  </si>
  <si>
    <t>= Capex ex direct build cost (accrued)</t>
  </si>
  <si>
    <t>= Capex ex direct build cost (cash)</t>
  </si>
  <si>
    <t>= Total cash capex</t>
  </si>
  <si>
    <t>- Interest</t>
  </si>
  <si>
    <t>- Pension cost / contribution</t>
  </si>
  <si>
    <t>- Taxes</t>
  </si>
  <si>
    <t>+ Working Capital / Other</t>
  </si>
  <si>
    <t>Cash on hand</t>
  </si>
  <si>
    <t>2024 FCF burn</t>
  </si>
  <si>
    <t>2025 FCF burn</t>
  </si>
  <si>
    <t>2026 FCF burn</t>
  </si>
  <si>
    <t>Funding shortfall</t>
  </si>
  <si>
    <t>Year</t>
  </si>
  <si>
    <t>Variance</t>
  </si>
  <si>
    <t>%</t>
  </si>
  <si>
    <t>Fiber Homes</t>
  </si>
  <si>
    <t>x Value per Home</t>
  </si>
  <si>
    <t>= Value of Fiber</t>
  </si>
  <si>
    <t>memo: % of Total</t>
  </si>
  <si>
    <t>Copper Homes</t>
  </si>
  <si>
    <t>= Value of Copper</t>
  </si>
  <si>
    <t>Value of Fiber</t>
  </si>
  <si>
    <t>Value of Copper</t>
  </si>
  <si>
    <t>= Total Value</t>
  </si>
  <si>
    <t>- Net Debt</t>
  </si>
  <si>
    <t>- Cash burn</t>
  </si>
  <si>
    <t>Total Equity Value</t>
  </si>
  <si>
    <t>= Value/Share</t>
  </si>
  <si>
    <t xml:space="preserve">   Value</t>
  </si>
  <si>
    <t>/ EBITDA</t>
  </si>
  <si>
    <t>EBITDA growth</t>
  </si>
  <si>
    <t>Capex analysis</t>
  </si>
  <si>
    <t xml:space="preserve">   New connects</t>
  </si>
  <si>
    <t>x share of connects</t>
  </si>
  <si>
    <t>= New connects</t>
  </si>
  <si>
    <t>= Total cost to connect</t>
  </si>
  <si>
    <t xml:space="preserve">   New fiber passings</t>
  </si>
  <si>
    <t>x Cost to pass</t>
  </si>
  <si>
    <t>= Direct cost to pass</t>
  </si>
  <si>
    <t xml:space="preserve">   Maintenance / other capex</t>
  </si>
  <si>
    <t xml:space="preserve">   Total capex</t>
  </si>
  <si>
    <t>EBITDA to FCF Walkthrough</t>
  </si>
  <si>
    <t>2022</t>
  </si>
  <si>
    <t>2023</t>
  </si>
  <si>
    <t>2024</t>
  </si>
  <si>
    <t>Long-term Guide Analysis</t>
  </si>
  <si>
    <t>Base case</t>
  </si>
  <si>
    <t>Today</t>
  </si>
  <si>
    <t>Steady-state</t>
  </si>
  <si>
    <t>x Penetration</t>
  </si>
  <si>
    <t>= Fiber customers</t>
  </si>
  <si>
    <t>memo: consumer subs</t>
  </si>
  <si>
    <t>memo: commercial subs</t>
  </si>
  <si>
    <t>memo: consumer penetration</t>
  </si>
  <si>
    <t>memo: commercial penetration</t>
  </si>
  <si>
    <t>= Copper customers</t>
  </si>
  <si>
    <t>Consumer fiber broadband ARPU</t>
  </si>
  <si>
    <t>Consumer copper broadband ARPU</t>
  </si>
  <si>
    <t xml:space="preserve">   Consumer fiber broadband revenue</t>
  </si>
  <si>
    <t>+ Consumer copper broadband revenue</t>
  </si>
  <si>
    <t>= Consumer broadband revenue</t>
  </si>
  <si>
    <t>Total video subs</t>
  </si>
  <si>
    <t>Video revenue</t>
  </si>
  <si>
    <t>Voice and other revenue</t>
  </si>
  <si>
    <t>Total consumer revenue</t>
  </si>
  <si>
    <t xml:space="preserve">   SMB fiber revenue</t>
  </si>
  <si>
    <t>+ Enterprise fiber revenue</t>
  </si>
  <si>
    <t>+ Wholesale fiber revenue</t>
  </si>
  <si>
    <t>=  Commercial fiber revenue</t>
  </si>
  <si>
    <t>memo: SMB fiber ARPU</t>
  </si>
  <si>
    <t xml:space="preserve">   SMB copper revenue</t>
  </si>
  <si>
    <t>+ Enterprise copper revenue</t>
  </si>
  <si>
    <t>+ Wholesale copper revenue</t>
  </si>
  <si>
    <t>= Commercial copper revenue</t>
  </si>
  <si>
    <t>memo: SMB copper ARPU</t>
  </si>
  <si>
    <t xml:space="preserve">   SMB revenue</t>
  </si>
  <si>
    <t>+ Enterprise revenue</t>
  </si>
  <si>
    <t>+ Wholesale revenue</t>
  </si>
  <si>
    <t>Total commercial revenue</t>
  </si>
  <si>
    <t>Programming cost per video sub</t>
  </si>
  <si>
    <t xml:space="preserve">   Programming costs</t>
  </si>
  <si>
    <t>+ Non-programming costs</t>
  </si>
  <si>
    <t>Total costs (before cost cuts)</t>
  </si>
  <si>
    <t>memo: EBITDA margin</t>
  </si>
  <si>
    <t>memo: EBITDA per passing</t>
  </si>
  <si>
    <t>memo: Capex / revenue</t>
  </si>
  <si>
    <t>memo: Capex / passing</t>
  </si>
  <si>
    <t>NM</t>
  </si>
  <si>
    <t>memo: UFCF / revenue</t>
  </si>
  <si>
    <t>Management case</t>
  </si>
  <si>
    <t>= 'Total commercial revenue</t>
  </si>
  <si>
    <t>Anticipated future cost cuts</t>
  </si>
  <si>
    <t>Total costs (after cost cuts)</t>
  </si>
  <si>
    <t>Valuation</t>
  </si>
  <si>
    <t>Mgmt case</t>
  </si>
  <si>
    <t xml:space="preserve">   UFCF</t>
  </si>
  <si>
    <t>= Enterprise Value</t>
  </si>
  <si>
    <t>- Net Debt (3.5x EBITDA)</t>
  </si>
  <si>
    <t xml:space="preserve"> / Shares</t>
  </si>
  <si>
    <t xml:space="preserve"> / Discount to present</t>
  </si>
  <si>
    <t>= Current value per share</t>
  </si>
  <si>
    <t>memo: upside / (downside)</t>
  </si>
  <si>
    <t>Note: We haven't factored in potential reduction in share count</t>
  </si>
  <si>
    <t>3Q Analysis</t>
  </si>
  <si>
    <t>Mid</t>
  </si>
  <si>
    <t>Street</t>
  </si>
  <si>
    <t>- EBITDA so far</t>
  </si>
  <si>
    <t>= Implied 4Q EBITDA</t>
  </si>
  <si>
    <t xml:space="preserve">   Fiber location</t>
  </si>
  <si>
    <t>x Value per location</t>
  </si>
  <si>
    <t>= Fiber value</t>
  </si>
  <si>
    <t xml:space="preserve">   Capex guidance</t>
  </si>
  <si>
    <t>- Capex so far</t>
  </si>
  <si>
    <t>= Implied 4Q Capex</t>
  </si>
  <si>
    <t>Analysis for Shentel-Horizon quick hit</t>
  </si>
  <si>
    <t>= Fiber subs</t>
  </si>
  <si>
    <t>- Current subs</t>
  </si>
  <si>
    <t>= Additional subs</t>
  </si>
  <si>
    <t>Pro forma revenue</t>
  </si>
  <si>
    <t>x 45% margins</t>
  </si>
  <si>
    <t>= Pro forma EBITDA</t>
  </si>
  <si>
    <t>- cash burn</t>
  </si>
  <si>
    <t>memo: value per share</t>
  </si>
  <si>
    <t>Margin Analysis</t>
  </si>
  <si>
    <t>2022 Fiber revenue</t>
  </si>
  <si>
    <t>2022 Fiber EBITDA</t>
  </si>
  <si>
    <t>memo: margin</t>
  </si>
  <si>
    <t xml:space="preserve">   Target penetration</t>
  </si>
  <si>
    <t>- Actual penetration</t>
  </si>
  <si>
    <t>= Increase in penetration</t>
  </si>
  <si>
    <t>x Passings</t>
  </si>
  <si>
    <t>= Increase in customers</t>
  </si>
  <si>
    <t>= Increase in revenue</t>
  </si>
  <si>
    <t>x Incremental margins</t>
  </si>
  <si>
    <t>= Increase in EBITDA</t>
  </si>
  <si>
    <t xml:space="preserve">   Pro forma EBITDA</t>
  </si>
  <si>
    <t xml:space="preserve"> / Pro forma Revenue</t>
  </si>
  <si>
    <t>= Pro forma EBITDA margin</t>
  </si>
  <si>
    <t>Potential carve-out of 4 states (AZ, NM, NV, UT)</t>
  </si>
  <si>
    <t>Revenue from 4 states</t>
  </si>
  <si>
    <t>LTM Revenue</t>
  </si>
  <si>
    <t>memo: share of 4 states</t>
  </si>
  <si>
    <t>EBITDA from 4 states</t>
  </si>
  <si>
    <t>LTM EBITDA</t>
  </si>
  <si>
    <t>Average residential customers</t>
  </si>
  <si>
    <t>Average commercial customers</t>
  </si>
  <si>
    <t>Average customers</t>
  </si>
  <si>
    <t>/ Average customers</t>
  </si>
  <si>
    <t>/ ARPU</t>
  </si>
  <si>
    <t>= Customers</t>
  </si>
  <si>
    <t xml:space="preserve">   Locations</t>
  </si>
  <si>
    <t>x value per location</t>
  </si>
  <si>
    <t>= Value</t>
  </si>
  <si>
    <t>= Value / EBITDA</t>
  </si>
  <si>
    <t>ABS Details</t>
  </si>
  <si>
    <t>Customers</t>
  </si>
  <si>
    <t>memo: fiber penetration</t>
  </si>
  <si>
    <t>memo: total penetration</t>
  </si>
  <si>
    <t>Note Series</t>
  </si>
  <si>
    <t>Amount</t>
  </si>
  <si>
    <t>Interest Rate</t>
  </si>
  <si>
    <t>6.60% Series 2023-1</t>
  </si>
  <si>
    <t>A</t>
  </si>
  <si>
    <t>8.30% Series 2023-1</t>
  </si>
  <si>
    <t>B</t>
  </si>
  <si>
    <t>11.50% Series 2023-1</t>
  </si>
  <si>
    <t>C</t>
  </si>
  <si>
    <t>Total Series 2023-1</t>
  </si>
  <si>
    <t>memo: estimated proceeds received in 2023</t>
  </si>
  <si>
    <t>Variable Funding Notes</t>
  </si>
  <si>
    <t>Total ABS Debt</t>
  </si>
  <si>
    <t>memo: estimated total proceeds received</t>
  </si>
  <si>
    <t>Annualized Run Rate Revenue</t>
  </si>
  <si>
    <t>$</t>
  </si>
  <si>
    <t>% of Revenue</t>
  </si>
  <si>
    <t>LQA 2022 Gross Revenue</t>
  </si>
  <si>
    <t>Video opex</t>
  </si>
  <si>
    <t>Other opex</t>
  </si>
  <si>
    <t>Sales &amp; marketing</t>
  </si>
  <si>
    <t>memo: Debt / EBITDA</t>
  </si>
  <si>
    <t>Customer acquisition capex</t>
  </si>
  <si>
    <t>Business acquisition capex</t>
  </si>
  <si>
    <t>Maintenance and other capex</t>
  </si>
  <si>
    <t>Total capex</t>
  </si>
  <si>
    <t>ARRR</t>
  </si>
  <si>
    <t>memo: Debt / ARRR</t>
  </si>
  <si>
    <t>2020-22 Fiber Cohort</t>
  </si>
  <si>
    <t xml:space="preserve">   Passings</t>
  </si>
  <si>
    <t>= Annual Consumer Broadband Revenue</t>
  </si>
  <si>
    <t>x SMB + Enterprise Revenue per Passing</t>
  </si>
  <si>
    <t>= SMB + Enterprise Fiber Revenue</t>
  </si>
  <si>
    <t>x Whoelsale Revenue per Passing</t>
  </si>
  <si>
    <t>= Wholesale Revenue</t>
  </si>
  <si>
    <t>Commercial Revenue</t>
  </si>
  <si>
    <t xml:space="preserve">   Variable Consumer Opex</t>
  </si>
  <si>
    <t>+ Fixed Consumer Opex</t>
  </si>
  <si>
    <t>+ SMB + Enterprise Variable Opex</t>
  </si>
  <si>
    <t>+ SMB + Enterprise Fixed Opex</t>
  </si>
  <si>
    <t>+ Wholesale Opex</t>
  </si>
  <si>
    <t>= Total Opex</t>
  </si>
  <si>
    <t xml:space="preserve">   Consumer EBITDA</t>
  </si>
  <si>
    <t>+ SMB + Enterprise EBITDA</t>
  </si>
  <si>
    <t>+ Wholesale EBITDA</t>
  </si>
  <si>
    <t>memo: Consumer EBITDA margin</t>
  </si>
  <si>
    <t>memo: SMB + Enterprise EBITDA margin</t>
  </si>
  <si>
    <t>memo: Wholesale EBITDA margin</t>
  </si>
  <si>
    <t>memo: Commercial EBITDA margin</t>
  </si>
  <si>
    <t>Fixed</t>
  </si>
  <si>
    <t>Variable</t>
  </si>
  <si>
    <t>Total opex</t>
  </si>
  <si>
    <t>Consumer variable opex per month</t>
  </si>
  <si>
    <t>EMB + Enterprise variable opex per month</t>
  </si>
  <si>
    <t xml:space="preserve">   2020 Fiber EBITDA</t>
  </si>
  <si>
    <t>/ Base Fiber Passings</t>
  </si>
  <si>
    <t>= Fiber EBITDA per Passing</t>
  </si>
  <si>
    <t>x 2022-22 Cohort Passings</t>
  </si>
  <si>
    <t xml:space="preserve">   2020 Commercial Fiber Revenue</t>
  </si>
  <si>
    <t>x SMB + Enterprise</t>
  </si>
  <si>
    <t>= SMB + Enterprise Revenue</t>
  </si>
  <si>
    <t>memo: wholesale revenue</t>
  </si>
  <si>
    <t xml:space="preserve">   SMB + Enterprise Revenue</t>
  </si>
  <si>
    <t>= SMB + Enterprise Revneue per Passing</t>
  </si>
  <si>
    <t xml:space="preserve">   Wholesale Revenue</t>
  </si>
  <si>
    <t>= Wholesale Revneue per Passing</t>
  </si>
  <si>
    <t>= Commercial Revneue per Passing</t>
  </si>
  <si>
    <t>x Commercial Revenue per Passing</t>
  </si>
  <si>
    <t>= Commercial Fiber Revenue</t>
  </si>
  <si>
    <t>Gift Cards</t>
  </si>
  <si>
    <t xml:space="preserve">   Gift card impact</t>
  </si>
  <si>
    <t>x Average fiber subs</t>
  </si>
  <si>
    <t>= Impact of gift cards on revenue</t>
  </si>
  <si>
    <t>Average LTM Copper locations</t>
  </si>
  <si>
    <t>x $250 / location</t>
  </si>
  <si>
    <t>= Copper value</t>
  </si>
  <si>
    <t xml:space="preserve"> / LTM Copper EBITDA</t>
  </si>
  <si>
    <t>= Copper EV / EBITDA</t>
  </si>
  <si>
    <t>Average LTM Fiber locations</t>
  </si>
  <si>
    <t>x $3300 / location</t>
  </si>
  <si>
    <t xml:space="preserve"> / LTM Fiber EBITDA</t>
  </si>
  <si>
    <t>= Fiber EV / EBITDA</t>
  </si>
  <si>
    <t>Blended EV / EBITDA</t>
  </si>
  <si>
    <t>Fiber Today</t>
  </si>
  <si>
    <t>Fiber At Terminal Penetration</t>
  </si>
  <si>
    <t>Fiber LTM EBITDA</t>
  </si>
  <si>
    <t>+ EBITDA from additional 45% penetration</t>
  </si>
  <si>
    <t>Blended</t>
  </si>
  <si>
    <t>ABS</t>
  </si>
  <si>
    <t xml:space="preserve">   Frontier LTM Fiber EBITDA</t>
  </si>
  <si>
    <t>x 10x Multiple</t>
  </si>
  <si>
    <t>= Frontier's Enterprise Value</t>
  </si>
  <si>
    <t>= Frontier's Equity Value</t>
  </si>
  <si>
    <t>= Frontier Valuer per Share</t>
  </si>
  <si>
    <t xml:space="preserve">   Frontier LTM Copper EBITDA</t>
  </si>
  <si>
    <t>x 5x Multiple</t>
  </si>
  <si>
    <t>= Frontier's Copper Value</t>
  </si>
  <si>
    <t>Dallas</t>
  </si>
  <si>
    <t xml:space="preserve">   Customers</t>
  </si>
  <si>
    <t>/ Penetration</t>
  </si>
  <si>
    <t>= Passings</t>
  </si>
  <si>
    <t>Autopay</t>
  </si>
  <si>
    <t xml:space="preserve">   Gross Adds</t>
  </si>
  <si>
    <t>x Assume 50% autopay</t>
  </si>
  <si>
    <t>= Gross adds with autopay</t>
  </si>
  <si>
    <t xml:space="preserve">   Autopay subscriber base - BOP</t>
  </si>
  <si>
    <t>+ Gross adds with autopay</t>
  </si>
  <si>
    <t>= Autopay subscriber base - EOP</t>
  </si>
  <si>
    <t>memo: churn</t>
  </si>
  <si>
    <t>memo: autopay subs as % of total fiber sub base</t>
  </si>
  <si>
    <t>memo: autopay subs as % of total copper sub base</t>
  </si>
  <si>
    <t>Total Residential Broadband Subs</t>
  </si>
  <si>
    <t>Verizon Indemnification</t>
  </si>
  <si>
    <t xml:space="preserve">   Fiber units acquired from Verizon</t>
  </si>
  <si>
    <t>+ Copper units acquired from Verizon</t>
  </si>
  <si>
    <t>= Total units acquired from Verizon</t>
  </si>
  <si>
    <t>x % of units lead-exposed</t>
  </si>
  <si>
    <t>= Fiber units with lead-exposure</t>
  </si>
  <si>
    <t xml:space="preserve">   Copper units acquired from Verizon</t>
  </si>
  <si>
    <t>= Copper units with lead-exposure</t>
  </si>
  <si>
    <t xml:space="preserve">   Fiber units with lead-exposure</t>
  </si>
  <si>
    <t>x Cost per unit</t>
  </si>
  <si>
    <t>= Cost to remove copper from fiber units</t>
  </si>
  <si>
    <t xml:space="preserve">   Copper units with lead-exposure upgraded</t>
  </si>
  <si>
    <t>= Cost to upgrade copper units</t>
  </si>
  <si>
    <t>Total cost</t>
  </si>
  <si>
    <t xml:space="preserve">   Indemnification by Verizon</t>
  </si>
  <si>
    <t>/ Total cost of remediation</t>
  </si>
  <si>
    <t>= % of remediation cost indemnified by Verizon</t>
  </si>
  <si>
    <t>memo: Remaining remediation cost</t>
  </si>
  <si>
    <t xml:space="preserve">   LTM Fiber EBITDA</t>
  </si>
  <si>
    <t>x 9x Leverage</t>
  </si>
  <si>
    <t>= Maximum potential debt raise</t>
  </si>
  <si>
    <t xml:space="preserve">   Debt to be raised</t>
  </si>
  <si>
    <t>/ 9x Leverage</t>
  </si>
  <si>
    <t>= EBITDA needed for securitization</t>
  </si>
  <si>
    <t xml:space="preserve">   EBITDA needed for securitization</t>
  </si>
  <si>
    <t>/ LTM Fiber EBITDA</t>
  </si>
  <si>
    <t>= Share of fiber assets to be securitized</t>
  </si>
  <si>
    <t xml:space="preserve">   Fiber units</t>
  </si>
  <si>
    <t>x % of fiber assets to be securitized</t>
  </si>
  <si>
    <t>= Fiber units to be securitized</t>
  </si>
  <si>
    <t xml:space="preserve">   Fiber units to be securitized</t>
  </si>
  <si>
    <t>= Lead-exposed fiber units</t>
  </si>
  <si>
    <t>x Cost to remediate per unit</t>
  </si>
  <si>
    <t>= Total cost to remediate</t>
  </si>
  <si>
    <t>Lead-analysis</t>
  </si>
  <si>
    <t xml:space="preserve">   Total units</t>
  </si>
  <si>
    <t>x % with lead exposure</t>
  </si>
  <si>
    <t>= Lead-exposed units</t>
  </si>
  <si>
    <t xml:space="preserve">   Copper units</t>
  </si>
  <si>
    <t>Total lead-exposed units before BEAD</t>
  </si>
  <si>
    <t xml:space="preserve">   BEAD-eligible units</t>
  </si>
  <si>
    <t>x % with lead-exposure</t>
  </si>
  <si>
    <t>= BEAD-eligible locations with lead-exposure</t>
  </si>
  <si>
    <t xml:space="preserve">   Lead-exposed copper units before BEAD</t>
  </si>
  <si>
    <t>- BEAD-eligible locations with lead-exposure</t>
  </si>
  <si>
    <t>= Lead-exposed copper units excluding BEAD units</t>
  </si>
  <si>
    <t xml:space="preserve">   Lead-exposed copper units</t>
  </si>
  <si>
    <t>+ Lead-exposed fiber units</t>
  </si>
  <si>
    <t>= Total lead-exposed units</t>
  </si>
  <si>
    <t>+ Fiber units</t>
  </si>
  <si>
    <t>= Total units</t>
  </si>
  <si>
    <t>x Value per unit</t>
  </si>
  <si>
    <t>= Value of fiber units</t>
  </si>
  <si>
    <t>= Value of copper units</t>
  </si>
  <si>
    <t>Current fiber passings</t>
  </si>
  <si>
    <t>Pro forma fiber passings</t>
  </si>
  <si>
    <t>Current new fiber passings</t>
  </si>
  <si>
    <t>Pro forma new fiber passings</t>
  </si>
  <si>
    <t>Current copper passings</t>
  </si>
  <si>
    <t>Pro forma copper passings</t>
  </si>
  <si>
    <t>Current consumer broadband subs</t>
  </si>
  <si>
    <t>Fiber subs</t>
  </si>
  <si>
    <t>Copper subs</t>
  </si>
  <si>
    <t>Total consumer broadband subs</t>
  </si>
  <si>
    <t>Pro forma consumer broadband subs</t>
  </si>
  <si>
    <t>Total pro forma consumer broadband subs</t>
  </si>
  <si>
    <t>Current business broadband subs</t>
  </si>
  <si>
    <t>Total business broadband subs</t>
  </si>
  <si>
    <t>Pro forma business broadband subs</t>
  </si>
  <si>
    <t>Total pro forma business broadband subs</t>
  </si>
  <si>
    <t>Current total broadband subs</t>
  </si>
  <si>
    <t>Pro forma total broadband subs</t>
  </si>
  <si>
    <t>Current fiber revenue</t>
  </si>
  <si>
    <t>Consumer revenue</t>
  </si>
  <si>
    <t>Business revenue</t>
  </si>
  <si>
    <t>Total fiber revenue</t>
  </si>
  <si>
    <t>Current copper revenue</t>
  </si>
  <si>
    <t>Total copper revenue</t>
  </si>
  <si>
    <t>Current Revenue</t>
  </si>
  <si>
    <t>Pro forma fiber revenue</t>
  </si>
  <si>
    <t>Pro forma copper revenue</t>
  </si>
  <si>
    <t>Pro forma Revenue</t>
  </si>
  <si>
    <t>memo: change</t>
  </si>
  <si>
    <t>Operating costs</t>
  </si>
  <si>
    <t>Current Cost</t>
  </si>
  <si>
    <t>Total Cost</t>
  </si>
  <si>
    <t>Current total cost</t>
  </si>
  <si>
    <t>Video costs</t>
  </si>
  <si>
    <t>Fixed costs</t>
  </si>
  <si>
    <t>Variable costs</t>
  </si>
  <si>
    <t>Current total costs</t>
  </si>
  <si>
    <t>Pro forma Cost</t>
  </si>
  <si>
    <t>Pro forma total cost</t>
  </si>
  <si>
    <t>Pro forma total costs</t>
  </si>
  <si>
    <t>Current EBITDA</t>
  </si>
  <si>
    <t>Pro forma EBITDA</t>
  </si>
  <si>
    <t>Current capex</t>
  </si>
  <si>
    <t>Fiber build capex</t>
  </si>
  <si>
    <t>Fiber connect capex</t>
  </si>
  <si>
    <t>Scaling capex</t>
  </si>
  <si>
    <t>Maintenance capex</t>
  </si>
  <si>
    <t>Pro forma capex</t>
  </si>
  <si>
    <t>Capex to remove copper</t>
  </si>
  <si>
    <t>FCF and Leverage</t>
  </si>
  <si>
    <t>Current FCF</t>
  </si>
  <si>
    <t>- WC and Other</t>
  </si>
  <si>
    <t>= Current FCF</t>
  </si>
  <si>
    <t>Pro forma FCF</t>
  </si>
  <si>
    <t>= Pro forma FCF</t>
  </si>
  <si>
    <t>memo: change in FCF</t>
  </si>
  <si>
    <t xml:space="preserve">   Net Debt</t>
  </si>
  <si>
    <t xml:space="preserve"> / EBITDA</t>
  </si>
  <si>
    <t>= Current Net Leverage</t>
  </si>
  <si>
    <t xml:space="preserve">   Proforma Net Debt</t>
  </si>
  <si>
    <t xml:space="preserve"> / Pro forma EBITDA</t>
  </si>
  <si>
    <t>= Pro forma Net Leverage</t>
  </si>
  <si>
    <t xml:space="preserve">   Value of fiber units</t>
  </si>
  <si>
    <t>+ Value of copper units</t>
  </si>
  <si>
    <t>= Total EV</t>
  </si>
  <si>
    <t xml:space="preserve">   Total EV</t>
  </si>
  <si>
    <t>= Total Equity Value</t>
  </si>
  <si>
    <t xml:space="preserve">   Current fiber units</t>
  </si>
  <si>
    <t>+ Copper units requiring remediation</t>
  </si>
  <si>
    <t>= Fiber units</t>
  </si>
  <si>
    <t xml:space="preserve">   Current copper units</t>
  </si>
  <si>
    <t>- Copper units requiring remediation</t>
  </si>
  <si>
    <t>= Copper units</t>
  </si>
  <si>
    <t>Capex Analysis</t>
  </si>
  <si>
    <t xml:space="preserve">   Total Capex</t>
  </si>
  <si>
    <t>- Maintenance Capex</t>
  </si>
  <si>
    <t>= Build and Connect Capex</t>
  </si>
  <si>
    <t>- Estimated Connect Capex</t>
  </si>
  <si>
    <t>= Build Capex</t>
  </si>
  <si>
    <t>/ Locations Connected</t>
  </si>
  <si>
    <t>= Cost to pass per location</t>
  </si>
  <si>
    <t>NSR vs Consensus</t>
  </si>
  <si>
    <t>FY-2022</t>
  </si>
  <si>
    <t>FY-2023</t>
  </si>
  <si>
    <t>FY-2024</t>
  </si>
  <si>
    <t>FY-2025</t>
  </si>
  <si>
    <t>FY-2026</t>
  </si>
  <si>
    <t>2025</t>
  </si>
  <si>
    <t>2022-26 CAGR</t>
  </si>
  <si>
    <t>Residential fiber net adds</t>
  </si>
  <si>
    <t>Residential copper net adds</t>
  </si>
  <si>
    <t>Residential fiber subscribers</t>
  </si>
  <si>
    <t>Residential copper subscribers</t>
  </si>
  <si>
    <t>Residential fiber broadband ARPU</t>
  </si>
  <si>
    <t>Residential copper broadband ARPU</t>
  </si>
  <si>
    <t xml:space="preserve">   Capital expenditures</t>
  </si>
  <si>
    <t>x Proportion spent on fiber</t>
  </si>
  <si>
    <t>= Capital expenditures on fiber</t>
  </si>
  <si>
    <t xml:space="preserve">   Fiber capex</t>
  </si>
  <si>
    <t>/ Fiber passings during quarter</t>
  </si>
  <si>
    <t>= Spend per new fiber passing</t>
  </si>
  <si>
    <t xml:space="preserve">   Cumulative fiber capex</t>
  </si>
  <si>
    <t>/ Cumulative fiber passings</t>
  </si>
  <si>
    <t>- Spend for next year</t>
  </si>
  <si>
    <t>= Cumulative fiber spend for 2022</t>
  </si>
  <si>
    <t xml:space="preserve">   4Q22 Net Adds</t>
  </si>
  <si>
    <t xml:space="preserve"> 3Q22 ARPU (ex-gift card)</t>
  </si>
  <si>
    <t>x Half quarter impact (3 months / 2)</t>
  </si>
  <si>
    <t>= Revenue from 4Q22 net adds</t>
  </si>
  <si>
    <t>memo: EBITDA impact</t>
  </si>
  <si>
    <t>Gross adds impact</t>
  </si>
  <si>
    <t>= Acquisition Cost</t>
  </si>
  <si>
    <t>/ Average Subs</t>
  </si>
  <si>
    <t>= ARPU Impact</t>
  </si>
  <si>
    <t>If Gross adds were higher similar to net adds</t>
  </si>
  <si>
    <t>x Gross Adds increase</t>
  </si>
  <si>
    <t>Gift cards</t>
  </si>
  <si>
    <t xml:space="preserve">   Adjusted ARPU</t>
  </si>
  <si>
    <t>- Reported ARPU</t>
  </si>
  <si>
    <t>= Gift card impact</t>
  </si>
  <si>
    <t>x Average subs</t>
  </si>
  <si>
    <t>= Revenue impact from gift cards</t>
  </si>
  <si>
    <t>/ Gross Adds</t>
  </si>
  <si>
    <t>= Gift cards per GA</t>
  </si>
  <si>
    <t>CPGA</t>
  </si>
  <si>
    <t xml:space="preserve">   Impact on EBITDA from higher gross adds</t>
  </si>
  <si>
    <t>/ Sequentially higher gross adds</t>
  </si>
  <si>
    <t>= CPGA</t>
  </si>
  <si>
    <t>1MM Fiber Homes</t>
  </si>
  <si>
    <t>Fiber value per home</t>
  </si>
  <si>
    <t>- Copper value per home</t>
  </si>
  <si>
    <t>- Upgrade cost</t>
  </si>
  <si>
    <t>= Value created</t>
  </si>
  <si>
    <t>/ Shares</t>
  </si>
  <si>
    <t>Impact of rising fuel costs</t>
  </si>
  <si>
    <t>x fuel costs as % of revenue</t>
  </si>
  <si>
    <t>= Est. 3Q fuel costs</t>
  </si>
  <si>
    <t>x Est Increase</t>
  </si>
  <si>
    <t>= Est Increase in fuel costs in 3Q</t>
  </si>
  <si>
    <t>Capex per home</t>
  </si>
  <si>
    <t>Current</t>
  </si>
  <si>
    <t>Prior</t>
  </si>
  <si>
    <t>Using SL deal value to value Frontier</t>
  </si>
  <si>
    <t>SL Value</t>
  </si>
  <si>
    <t>/ Passings</t>
  </si>
  <si>
    <t>= EV / Passing</t>
  </si>
  <si>
    <t>Future</t>
  </si>
  <si>
    <t>EV / Passing</t>
  </si>
  <si>
    <t>= Fiber Value</t>
  </si>
  <si>
    <t>= Copper Value</t>
  </si>
  <si>
    <t>- Net debt &amp; cash burn</t>
  </si>
  <si>
    <t>/ Shares outstanding</t>
  </si>
  <si>
    <t>memo: upside</t>
  </si>
  <si>
    <t>Comparing Frontier and Lumen Take Rates</t>
  </si>
  <si>
    <t>New Fiber Passings Added</t>
  </si>
  <si>
    <t>Average Base Passings</t>
  </si>
  <si>
    <t>Average Fiber Passings</t>
  </si>
  <si>
    <t>Average Total Passings</t>
  </si>
  <si>
    <t>Base Fiber Penetration</t>
  </si>
  <si>
    <t>New Fiber Penetration</t>
  </si>
  <si>
    <t>Total Fiber Penetration</t>
  </si>
  <si>
    <t>Frontier - Base Markets</t>
  </si>
  <si>
    <t>Frontier - New Markets</t>
  </si>
  <si>
    <t>Base Fiber Subs</t>
  </si>
  <si>
    <t>Frontier - All Markets</t>
  </si>
  <si>
    <t>New Fiber Subs</t>
  </si>
  <si>
    <t>Lumen - Base Markets</t>
  </si>
  <si>
    <t>Total Fiber Subs</t>
  </si>
  <si>
    <t>Lumen - New Markets</t>
  </si>
  <si>
    <t>Lumen - All Markets</t>
  </si>
  <si>
    <t>Average Base Fiber Subs</t>
  </si>
  <si>
    <t>Average Fiber Fiber Subs</t>
  </si>
  <si>
    <t>Average Total Fiber Subs</t>
  </si>
  <si>
    <t>Net Adds</t>
  </si>
  <si>
    <t>Base Fiber</t>
  </si>
  <si>
    <t>New Fiber</t>
  </si>
  <si>
    <t>Total Fiber</t>
  </si>
  <si>
    <t>Q/Q Subscriber Growth</t>
  </si>
  <si>
    <t>Take Rates</t>
  </si>
  <si>
    <t>Take rates as % of locations added in last year</t>
  </si>
  <si>
    <t>Base Fiber Churn</t>
  </si>
  <si>
    <t>New Fiber Churn</t>
  </si>
  <si>
    <t>Total Fiber Churn</t>
  </si>
  <si>
    <t>Ratio of churn in new markets vs total markets</t>
  </si>
  <si>
    <t>Lumen - Version 1</t>
  </si>
  <si>
    <t>Total Fiber Net Adds</t>
  </si>
  <si>
    <t>Total Fiber - Q/Q Subscriber Growth</t>
  </si>
  <si>
    <t>Total Fiber - Gross Adds</t>
  </si>
  <si>
    <t>Total Fiber - Disconnects</t>
  </si>
  <si>
    <t>Total Fiber - Take Rates</t>
  </si>
  <si>
    <t>Lumen - Version 2</t>
  </si>
  <si>
    <t>New Fiber Subs Added</t>
  </si>
  <si>
    <t>Assumed churn</t>
  </si>
  <si>
    <t>Take rate</t>
  </si>
  <si>
    <t>Residential Fiber Broadband PSUs (EOP)</t>
  </si>
  <si>
    <t>Commercial Fiber Broadband PSUs (EOP)</t>
  </si>
  <si>
    <t>Voice Revenue / Fiber Broadband Customer</t>
  </si>
  <si>
    <t>Valuation per Line</t>
  </si>
  <si>
    <t>Average 2021 Passings</t>
  </si>
  <si>
    <t>Non-Fiber</t>
  </si>
  <si>
    <t>Figure 1: Value per fiber line</t>
  </si>
  <si>
    <t>x 12.5x Multiple</t>
  </si>
  <si>
    <t>/ Fiber Homes Passed</t>
  </si>
  <si>
    <t>= EV / Fiber Home Passed</t>
  </si>
  <si>
    <t>Figure 2: Value per home passed</t>
  </si>
  <si>
    <t>x Current Multiple</t>
  </si>
  <si>
    <t>/ Total Homes Passed</t>
  </si>
  <si>
    <t>= EV / Total Home Passed</t>
  </si>
  <si>
    <t>Figure 6: Value per copper line</t>
  </si>
  <si>
    <t>- Fiber EV @ 12.5x EBITDA</t>
  </si>
  <si>
    <t>= Copper EV</t>
  </si>
  <si>
    <t>/ Copper Homes Passed</t>
  </si>
  <si>
    <t>= EV / Copper Homes Passed</t>
  </si>
  <si>
    <t>Cohort Penetration Analysis</t>
  </si>
  <si>
    <t>New fiber homes</t>
  </si>
  <si>
    <t>Cumulative fiber homes</t>
  </si>
  <si>
    <t>2020 Cohort</t>
  </si>
  <si>
    <t>2021 Cohort</t>
  </si>
  <si>
    <t>2022 Cohort</t>
  </si>
  <si>
    <t>Consumer Fiber Revenue</t>
  </si>
  <si>
    <t>Consumer Copper Revenue</t>
  </si>
  <si>
    <t>Total Consumer Revenue</t>
  </si>
  <si>
    <t>12 months</t>
  </si>
  <si>
    <t>Additional Passings</t>
  </si>
  <si>
    <t>24 months</t>
  </si>
  <si>
    <t>Penetration on 2019 Passings</t>
  </si>
  <si>
    <t>Terminal</t>
  </si>
  <si>
    <t>Penetration on 1Q20 Passings</t>
  </si>
  <si>
    <t>Penetration on 2Q20 Passings</t>
  </si>
  <si>
    <t>Penetration on 3Q20 Passings</t>
  </si>
  <si>
    <t>Penetration on 4Q20 Passings</t>
  </si>
  <si>
    <t>Penetration on 1Q21 Passings</t>
  </si>
  <si>
    <t>Penetration on 2Q21 Passings</t>
  </si>
  <si>
    <t>Penetration on 3Q21 Passings</t>
  </si>
  <si>
    <t>Penetration on 4Q21 Passings</t>
  </si>
  <si>
    <t>Penetration on 1Q22 Passings</t>
  </si>
  <si>
    <t>Penetration on 2Q22 Passings</t>
  </si>
  <si>
    <t>Penetration on 3Q22 Passings</t>
  </si>
  <si>
    <t>Penetration on 4Q22 Passings</t>
  </si>
  <si>
    <t>Total Penetration</t>
  </si>
  <si>
    <t>Fiber Subs -  2019 Cohort</t>
  </si>
  <si>
    <t>Fiber Subs -  1Q20 Cohort</t>
  </si>
  <si>
    <t>Fiber Subs -  2Q20 Cohort</t>
  </si>
  <si>
    <t>Fiber Subs -  3Q20 Cohort</t>
  </si>
  <si>
    <t>Fiber Subs -  4Q20 Cohort</t>
  </si>
  <si>
    <t>Fiber Subs -  1Q21 Cohort</t>
  </si>
  <si>
    <t>Fiber Subs -  2Q21 Cohort</t>
  </si>
  <si>
    <t>Fiber Subs -  3Q21 Cohort</t>
  </si>
  <si>
    <t>Fiber Subs -  4Q21 Cohort</t>
  </si>
  <si>
    <t>Fiber Subs -  1Q22 Cohort</t>
  </si>
  <si>
    <t>Fiber Subs -  2Q22 Cohort</t>
  </si>
  <si>
    <t>Fiber Subs -  3Q22 Cohort</t>
  </si>
  <si>
    <t>Fiber Subs -  4Q22 Cohort</t>
  </si>
  <si>
    <t>Penetration on 2020 Passings</t>
  </si>
  <si>
    <t>Penetration on 2021 Passings</t>
  </si>
  <si>
    <t>Penetration on 2022 Passings</t>
  </si>
  <si>
    <t>Fiber Subs - 2020 Cohort</t>
  </si>
  <si>
    <t>Fiber Subs - 2021 Cohort</t>
  </si>
  <si>
    <t>Fiber Subs - 2022 Cohort</t>
  </si>
  <si>
    <t>Fiber Build Capex as per Cartesian</t>
  </si>
  <si>
    <t>Fiber homes upgraded</t>
  </si>
  <si>
    <t>x Capex per home</t>
  </si>
  <si>
    <t>= Total Fiber Capex</t>
  </si>
  <si>
    <t>Management Initial Build Cost</t>
  </si>
  <si>
    <t>Figure 1: Impact to Valuation from Fiber Upgrades</t>
  </si>
  <si>
    <t>Pro forma</t>
  </si>
  <si>
    <t>x Valuer per fiber home</t>
  </si>
  <si>
    <t>= Value of fiber</t>
  </si>
  <si>
    <t>x Valuer per Copper home</t>
  </si>
  <si>
    <t xml:space="preserve">   Value of Fiber</t>
  </si>
  <si>
    <t>+ Value of Copper</t>
  </si>
  <si>
    <t>- Upgrade Cost</t>
  </si>
  <si>
    <t>Value per Share</t>
  </si>
  <si>
    <t>Impact of Price Increase</t>
  </si>
  <si>
    <t>Average 2021 Consumer Fiber Subs</t>
  </si>
  <si>
    <t>x Price Increase per month</t>
  </si>
  <si>
    <t>x 12 Months</t>
  </si>
  <si>
    <t>= Increase in EBITDA in 2021</t>
  </si>
  <si>
    <t>580k homes</t>
  </si>
  <si>
    <t>6.7MM homes</t>
  </si>
  <si>
    <t>/ Homes Passed</t>
  </si>
  <si>
    <t>= Capex per home passed</t>
  </si>
  <si>
    <t>700k homes</t>
  </si>
  <si>
    <t>6MM homes</t>
  </si>
  <si>
    <t xml:space="preserve">   Capex per home passed</t>
  </si>
  <si>
    <t>x Homes Passed</t>
  </si>
  <si>
    <t>= Total Capex</t>
  </si>
  <si>
    <t>Revenue Disclosure from Blowout Materials</t>
  </si>
  <si>
    <t>Fiber Data</t>
  </si>
  <si>
    <t>Fiber Voice</t>
  </si>
  <si>
    <t>Fiber Other</t>
  </si>
  <si>
    <t>Legacy Data</t>
  </si>
  <si>
    <t>Legacy Voice</t>
  </si>
  <si>
    <t>Legacy Other</t>
  </si>
  <si>
    <t>Total Legacy</t>
  </si>
  <si>
    <t>Regulatory</t>
  </si>
  <si>
    <t>Commercial + Wholesale Data Revenue</t>
  </si>
  <si>
    <t>Wholesale + Regulatory</t>
  </si>
  <si>
    <t>Commercial</t>
  </si>
  <si>
    <t>Consumer Fiber</t>
  </si>
  <si>
    <t>Consumer Legacy</t>
  </si>
  <si>
    <t>Commercial Fiber</t>
  </si>
  <si>
    <t>Commercial Legacy</t>
  </si>
  <si>
    <t>Total Commercial</t>
  </si>
  <si>
    <t>Wholesale + Reg Fiber</t>
  </si>
  <si>
    <t>Wholesale + Reg Legacy</t>
  </si>
  <si>
    <t>Total Wholesale + Reg</t>
  </si>
  <si>
    <t>Operating Statistics</t>
  </si>
  <si>
    <t>Frontier Product Split</t>
  </si>
  <si>
    <t>1Q19</t>
  </si>
  <si>
    <t>2Q19</t>
  </si>
  <si>
    <t>3Q19</t>
  </si>
  <si>
    <t>4Q19</t>
  </si>
  <si>
    <t>Estimated Fiber Passings</t>
  </si>
  <si>
    <t xml:space="preserve">   Base Fiber Passings</t>
  </si>
  <si>
    <t xml:space="preserve">   Total Fiber Passings</t>
  </si>
  <si>
    <t>Estimated Broadband Fiber % Penetration</t>
  </si>
  <si>
    <t>Broadband Customers</t>
  </si>
  <si>
    <t xml:space="preserve">   Consumer</t>
  </si>
  <si>
    <t xml:space="preserve">   - Fiber</t>
  </si>
  <si>
    <t xml:space="preserve">   - Copper</t>
  </si>
  <si>
    <t xml:space="preserve">   - Total</t>
  </si>
  <si>
    <t xml:space="preserve">   Business</t>
  </si>
  <si>
    <t>Broadband Net Adds</t>
  </si>
  <si>
    <t>Broadband Churn</t>
  </si>
  <si>
    <t>Statement of Operations Data (Remaining Properties)</t>
  </si>
  <si>
    <t>Revenue:</t>
  </si>
  <si>
    <t>Customer revenue</t>
  </si>
  <si>
    <t>Other Revenue:</t>
  </si>
  <si>
    <t>Estimated Consumer Revenue By Product</t>
  </si>
  <si>
    <t>Consumer Copper</t>
  </si>
  <si>
    <t>Revenue Segment Details</t>
  </si>
  <si>
    <t>Base Fiber - Residential Broadband</t>
  </si>
  <si>
    <t>Base Fiber - Residential Video</t>
  </si>
  <si>
    <t>Base Fiber - Residential Voice</t>
  </si>
  <si>
    <t>Base Fiber - Residential Other</t>
  </si>
  <si>
    <t>Base Fiber - Residential Total</t>
  </si>
  <si>
    <t>New Fiber - Residential</t>
  </si>
  <si>
    <t>Copper - Residential Broadband</t>
  </si>
  <si>
    <t>Copper - Residential Video</t>
  </si>
  <si>
    <t>Copper - Residential Voice</t>
  </si>
  <si>
    <t>Copper - Residential Other</t>
  </si>
  <si>
    <t>Copper - Residential Total</t>
  </si>
  <si>
    <t>Base Fiber - Commercial Broadband</t>
  </si>
  <si>
    <t>Base Fiber - Commercial Other</t>
  </si>
  <si>
    <t>Base Fiber - Commercial Total</t>
  </si>
  <si>
    <t>Copper - Commercial Broadband</t>
  </si>
  <si>
    <t>Copper - Commercial Voice</t>
  </si>
  <si>
    <t>Copper - Commercial Data &amp; Wholesale</t>
  </si>
  <si>
    <t>Copper - Commercial Other</t>
  </si>
  <si>
    <t>Copper - Commercial Total</t>
  </si>
  <si>
    <t>Subsidy</t>
  </si>
  <si>
    <t>Consumer Video Services</t>
  </si>
  <si>
    <t>Consumer Voice Services</t>
  </si>
  <si>
    <r>
      <t xml:space="preserve">memo: Total EBITDA </t>
    </r>
    <r>
      <rPr>
        <sz val="9"/>
        <color theme="1"/>
        <rFont val="Calibri"/>
        <family val="2"/>
      </rPr>
      <t>Margin</t>
    </r>
  </si>
  <si>
    <t>memo: Consumer Broadband margin</t>
  </si>
  <si>
    <t>memo: Consumer Video margin</t>
  </si>
  <si>
    <t>memo: Consumer Voice margin</t>
  </si>
  <si>
    <t>memo: Commercial margin</t>
  </si>
  <si>
    <t>Average 2020 Passings</t>
  </si>
  <si>
    <t>Figure 7: Value created by upgrading to fiber</t>
  </si>
  <si>
    <t xml:space="preserve">   EV / Fiber home passed</t>
  </si>
  <si>
    <t>- EV / Copper home passed</t>
  </si>
  <si>
    <t>- Upgrade cost per home passed</t>
  </si>
  <si>
    <t>= Value created per home passed</t>
  </si>
  <si>
    <t>x Additional homes upgraded</t>
  </si>
  <si>
    <t>= Equity creased by upgrading to Fiber</t>
  </si>
  <si>
    <t>= Equity value created per share</t>
  </si>
  <si>
    <t>Figure 8: Potential FYBR share price</t>
  </si>
  <si>
    <t xml:space="preserve">   Current FYBR share price</t>
  </si>
  <si>
    <t>+ Value created</t>
  </si>
  <si>
    <t>= Potential FYBR share price</t>
  </si>
  <si>
    <t>memo: Potential upside</t>
  </si>
  <si>
    <t>+ Base Case FCF</t>
  </si>
  <si>
    <t>+ FTTH Cash Flow Before Investment (T-1)</t>
  </si>
  <si>
    <t>- FTTH Connect Capex (T-1)</t>
  </si>
  <si>
    <t>- FTTH Maintenance Capex (T-1)</t>
  </si>
  <si>
    <t>- FTTH Build Capex</t>
  </si>
  <si>
    <t>= Incremental Debt</t>
  </si>
  <si>
    <t>Figure 3: Average cost per Home Passed</t>
  </si>
  <si>
    <t xml:space="preserve">   Fiber Home Passed</t>
  </si>
  <si>
    <t>x Average cost per home passed</t>
  </si>
  <si>
    <t>x 45% penetration</t>
  </si>
  <si>
    <t>= Subscribers</t>
  </si>
  <si>
    <t>x Average cost to connect</t>
  </si>
  <si>
    <t>Total cost of upgrade + connect</t>
  </si>
  <si>
    <t>/ Fiber Home Passed</t>
  </si>
  <si>
    <t>= Average cost per Home Passed</t>
  </si>
  <si>
    <t>Figure 4: Equity value created</t>
  </si>
  <si>
    <t>- Current EV / home passed</t>
  </si>
  <si>
    <t>= Equity value created</t>
  </si>
  <si>
    <t>Figure 5: Potential FYBR share price</t>
  </si>
  <si>
    <t>Figure 9: Value per Fiber Home</t>
  </si>
  <si>
    <t xml:space="preserve">   Pro forma Fiber EBITDA</t>
  </si>
  <si>
    <t>Figure 5: Value per Fiber Home</t>
  </si>
  <si>
    <t>x 12x Multiple</t>
  </si>
  <si>
    <t>Figure 10: Value created by upgrading to fiber</t>
  </si>
  <si>
    <t xml:space="preserve">   EV / Fiber pome passed</t>
  </si>
  <si>
    <t>= Value created per share</t>
  </si>
  <si>
    <t>Figure 11: Potential FYBR share price</t>
  </si>
  <si>
    <t>+ Potential upside</t>
  </si>
  <si>
    <t>Altice</t>
  </si>
  <si>
    <t>Charter</t>
  </si>
  <si>
    <t xml:space="preserve">   Homes upgraded</t>
  </si>
  <si>
    <t>x EBITDA margin</t>
  </si>
  <si>
    <t>x EV/EBITDA Multiple</t>
  </si>
  <si>
    <t>/ Fiber homes passed</t>
  </si>
  <si>
    <t xml:space="preserve">   EV / Fiber homes passed</t>
  </si>
  <si>
    <t>= Value created per Home Passed</t>
  </si>
  <si>
    <t>x Additional Homes Upgraded</t>
  </si>
  <si>
    <t>Figure 15: Value created by higher penetration</t>
  </si>
  <si>
    <t xml:space="preserve">   Cable company penetration</t>
  </si>
  <si>
    <t>- FYBR penetration</t>
  </si>
  <si>
    <t>= Incremental penetration</t>
  </si>
  <si>
    <t>x FYBR homes to be upgraded</t>
  </si>
  <si>
    <t>= Incremental subs</t>
  </si>
  <si>
    <t>x Broadband ARPU</t>
  </si>
  <si>
    <t>x Months</t>
  </si>
  <si>
    <t>= Incremental Revenue</t>
  </si>
  <si>
    <t>x Incremental margin</t>
  </si>
  <si>
    <t>= Incremental EBITDA</t>
  </si>
  <si>
    <t>+ Base EBITDA</t>
  </si>
  <si>
    <t>= Total EBITDA</t>
  </si>
  <si>
    <t>x Cable company multiple</t>
  </si>
  <si>
    <t>= EV / Fiber homes passed</t>
  </si>
  <si>
    <t>Figure 16: Value created by upgrading to fiber</t>
  </si>
  <si>
    <t>Figure 17: Potential FYBR share price</t>
  </si>
  <si>
    <t>Charter EV</t>
  </si>
  <si>
    <t>= Charter EV / Homes Passed</t>
  </si>
  <si>
    <t>Altice USA EV</t>
  </si>
  <si>
    <t>= Altice USA EV / Homes Passed</t>
  </si>
  <si>
    <t xml:space="preserve">   Wave</t>
  </si>
  <si>
    <t>+ RCN</t>
  </si>
  <si>
    <t>+ Grande</t>
  </si>
  <si>
    <t>= Total Passings</t>
  </si>
  <si>
    <t xml:space="preserve">   Acquisition price</t>
  </si>
  <si>
    <t>= Price per Home Passed</t>
  </si>
  <si>
    <t>Figure 12: Comparative trading multiples</t>
  </si>
  <si>
    <t>Altice USA</t>
  </si>
  <si>
    <t>Astound Transaction</t>
  </si>
  <si>
    <t>WOW! Transaction</t>
  </si>
  <si>
    <t>Consolidated Communications</t>
  </si>
  <si>
    <t>= EV / Home passed</t>
  </si>
  <si>
    <t>Copper Data</t>
  </si>
  <si>
    <t>TDM Voice</t>
  </si>
  <si>
    <t>VoIP</t>
  </si>
  <si>
    <t>TV Blend</t>
  </si>
  <si>
    <t>Fiber Broadband</t>
  </si>
  <si>
    <t>Copper Broadband</t>
  </si>
  <si>
    <t>Data (Legacy + Ethernet)</t>
  </si>
  <si>
    <t>Traditional Voice</t>
  </si>
  <si>
    <t>Next-Gen Products</t>
  </si>
  <si>
    <t>Wholesale</t>
  </si>
  <si>
    <t>Opex Segment Details</t>
  </si>
  <si>
    <t>Video COGS</t>
  </si>
  <si>
    <t>Other COGS</t>
  </si>
  <si>
    <t>Opex Variable Cost</t>
  </si>
  <si>
    <t>Opex Variable SAC</t>
  </si>
  <si>
    <t>Network Costs</t>
  </si>
  <si>
    <t>Facilities</t>
  </si>
  <si>
    <t>Property Taxes</t>
  </si>
  <si>
    <t>IT &amp; Dev Ops</t>
  </si>
  <si>
    <t>Executive</t>
  </si>
  <si>
    <t>Risk &amp; Insurance</t>
  </si>
  <si>
    <t>Legal</t>
  </si>
  <si>
    <t>Total Reported</t>
  </si>
  <si>
    <t>Management Incentive Plan</t>
  </si>
  <si>
    <t>Vesting Tranche</t>
  </si>
  <si>
    <t>Shares</t>
  </si>
  <si>
    <t>Conditions</t>
  </si>
  <si>
    <t>RSUs vest on Grant Date</t>
  </si>
  <si>
    <t>Vest on Grant Date</t>
  </si>
  <si>
    <t>RSUs vest on Award 2 Price</t>
  </si>
  <si>
    <t>Vest if the Average Share Price equals 139% of price on Grant Date within 18 months</t>
  </si>
  <si>
    <t>RSUs vest on Award 3 Price</t>
  </si>
  <si>
    <t>Vest when Average Share Price equals 255% of price on Grant Date within 18 months</t>
  </si>
  <si>
    <t>Total RSUs</t>
  </si>
  <si>
    <t>Shares with respect to Awards</t>
  </si>
  <si>
    <t>Options</t>
  </si>
  <si>
    <t>Maximum Shares Awarded Per Year</t>
  </si>
  <si>
    <t>Other than initial Awards granted shortly following bankruptcy emergence</t>
  </si>
  <si>
    <t>Consumer Revenue Split</t>
  </si>
  <si>
    <t>Mix %</t>
  </si>
  <si>
    <t>Total Revenue Split</t>
  </si>
  <si>
    <t>Consumer / Total Mix Difference</t>
  </si>
  <si>
    <t>2020 Split: Total vs Fiber</t>
  </si>
  <si>
    <t>Fiber Share</t>
  </si>
  <si>
    <r>
      <t xml:space="preserve">memo: </t>
    </r>
    <r>
      <rPr>
        <sz val="9"/>
        <color theme="1"/>
        <rFont val="Calibri"/>
        <family val="2"/>
        <scheme val="minor"/>
      </rPr>
      <t>Customers</t>
    </r>
  </si>
  <si>
    <r>
      <t xml:space="preserve">memo: </t>
    </r>
    <r>
      <rPr>
        <sz val="9"/>
        <color theme="1"/>
        <rFont val="Calibri"/>
        <family val="2"/>
        <scheme val="minor"/>
      </rPr>
      <t>Revenue per passing</t>
    </r>
  </si>
  <si>
    <r>
      <t xml:space="preserve">memo: </t>
    </r>
    <r>
      <rPr>
        <sz val="9"/>
        <color theme="1"/>
        <rFont val="Calibri"/>
        <family val="2"/>
        <scheme val="minor"/>
      </rPr>
      <t>Revenue Per Passing</t>
    </r>
  </si>
  <si>
    <r>
      <t xml:space="preserve">memo: </t>
    </r>
    <r>
      <rPr>
        <sz val="9"/>
        <color theme="1"/>
        <rFont val="Calibri"/>
        <family val="2"/>
      </rPr>
      <t>Margin</t>
    </r>
  </si>
  <si>
    <t>Standalone Voice Subs</t>
  </si>
  <si>
    <t>Standalone voice revenue</t>
  </si>
  <si>
    <t xml:space="preserve">   Total voice revenue</t>
  </si>
  <si>
    <t>- Standalone voice revenue</t>
  </si>
  <si>
    <t>= Bundled voice revenue</t>
  </si>
  <si>
    <t>x Fiber share of bundled subs</t>
  </si>
  <si>
    <t>= Fiber voice revenue</t>
  </si>
  <si>
    <t>Capex Per Passing: Management</t>
  </si>
  <si>
    <t>IRR Threshold</t>
  </si>
  <si>
    <t>Potential Homes Passed</t>
  </si>
  <si>
    <t>2031 EBITDA Uplift</t>
  </si>
  <si>
    <t>% Broadband Homes w/ Fiber</t>
  </si>
  <si>
    <t>memo: Capex per passing</t>
  </si>
  <si>
    <t>memo: EBITDA per passing (Monthly)</t>
  </si>
  <si>
    <t>Cartesian</t>
  </si>
  <si>
    <t>https://stopthecap.com/2020/03/31/frontiers-inner-secrets-revealed-we-underinvested-for-years/</t>
  </si>
  <si>
    <t>Bondholder Presentation Details</t>
  </si>
  <si>
    <t>Broadband Subs By Speed</t>
  </si>
  <si>
    <t>Slow DSL (0-12 Mbps)</t>
  </si>
  <si>
    <t>Slow DSL (13-24 Mbps)</t>
  </si>
  <si>
    <t>Fast DSL (&gt;24 Mbps)</t>
  </si>
  <si>
    <t>FTR Management Base Case &amp; Reinvestment Case Financials</t>
  </si>
  <si>
    <t>Management Base Case (6/1)</t>
  </si>
  <si>
    <t xml:space="preserve">Consumer </t>
  </si>
  <si>
    <t>Regulatory + TSA</t>
  </si>
  <si>
    <r>
      <t xml:space="preserve">memo: </t>
    </r>
    <r>
      <rPr>
        <sz val="9"/>
        <color theme="1"/>
        <rFont val="Calibri"/>
        <family val="2"/>
      </rPr>
      <t>Change Y/Y</t>
    </r>
    <r>
      <rPr>
        <i/>
        <sz val="9"/>
        <color theme="1"/>
        <rFont val="Calibri"/>
        <family val="2"/>
      </rPr>
      <t xml:space="preserve"> - Consumer</t>
    </r>
  </si>
  <si>
    <r>
      <t xml:space="preserve">memo: </t>
    </r>
    <r>
      <rPr>
        <sz val="9"/>
        <color theme="1"/>
        <rFont val="Calibri"/>
        <family val="2"/>
      </rPr>
      <t>Change Y/Y</t>
    </r>
    <r>
      <rPr>
        <i/>
        <sz val="9"/>
        <color theme="1"/>
        <rFont val="Calibri"/>
        <family val="2"/>
      </rPr>
      <t xml:space="preserve"> - Commercial</t>
    </r>
  </si>
  <si>
    <r>
      <t xml:space="preserve">memo: </t>
    </r>
    <r>
      <rPr>
        <sz val="9"/>
        <color theme="1"/>
        <rFont val="Calibri"/>
        <family val="2"/>
      </rPr>
      <t>Change Y/Y</t>
    </r>
    <r>
      <rPr>
        <i/>
        <sz val="9"/>
        <color theme="1"/>
        <rFont val="Calibri"/>
        <family val="2"/>
      </rPr>
      <t xml:space="preserve"> - Whoelsale</t>
    </r>
  </si>
  <si>
    <r>
      <t xml:space="preserve">memo: </t>
    </r>
    <r>
      <rPr>
        <sz val="9"/>
        <color theme="1"/>
        <rFont val="Calibri"/>
        <family val="2"/>
      </rPr>
      <t>Change Y/Y</t>
    </r>
    <r>
      <rPr>
        <i/>
        <sz val="9"/>
        <color theme="1"/>
        <rFont val="Calibri"/>
        <family val="2"/>
      </rPr>
      <t xml:space="preserve"> - Regulatory + TSA</t>
    </r>
  </si>
  <si>
    <r>
      <t xml:space="preserve">memo: </t>
    </r>
    <r>
      <rPr>
        <sz val="9"/>
        <color theme="1"/>
        <rFont val="Calibri"/>
        <family val="2"/>
      </rPr>
      <t>Change Y/Y</t>
    </r>
    <r>
      <rPr>
        <i/>
        <sz val="9"/>
        <color theme="1"/>
        <rFont val="Calibri"/>
        <family val="2"/>
      </rPr>
      <t xml:space="preserve"> - Total</t>
    </r>
  </si>
  <si>
    <r>
      <t xml:space="preserve">memo: </t>
    </r>
    <r>
      <rPr>
        <sz val="9"/>
        <color theme="1"/>
        <rFont val="Calibri"/>
        <family val="2"/>
      </rPr>
      <t>Change Y/Y</t>
    </r>
    <r>
      <rPr>
        <i/>
        <sz val="9"/>
        <color theme="1"/>
        <rFont val="Calibri"/>
        <family val="2"/>
      </rPr>
      <t xml:space="preserve"> - Commercial + Wholesale</t>
    </r>
  </si>
  <si>
    <t>Adj. Operating Expenses</t>
  </si>
  <si>
    <t>Adj. EBITDA</t>
  </si>
  <si>
    <r>
      <t xml:space="preserve">memo: </t>
    </r>
    <r>
      <rPr>
        <sz val="9"/>
        <color theme="1"/>
        <rFont val="Calibri"/>
        <family val="2"/>
      </rPr>
      <t>Percent of revenue</t>
    </r>
  </si>
  <si>
    <t>OCF</t>
  </si>
  <si>
    <t>Investment Income</t>
  </si>
  <si>
    <t>Cash Taxes (Paid) / Refunded</t>
  </si>
  <si>
    <t>Pension/OPEB Contribution Net of Capital</t>
  </si>
  <si>
    <t>Changes in Working Capital</t>
  </si>
  <si>
    <t>Restructuring &amp; Other Costs</t>
  </si>
  <si>
    <t>Capital Leases</t>
  </si>
  <si>
    <t>Net Sale Proceeds</t>
  </si>
  <si>
    <t>Transformation Costs &amp; Other Adjustments</t>
  </si>
  <si>
    <t>Unlevered Free Cash Flow</t>
  </si>
  <si>
    <t>Interest expense assumption 6/2/20</t>
  </si>
  <si>
    <t>Interest expense assumption 12/15/20</t>
  </si>
  <si>
    <t>Differece</t>
  </si>
  <si>
    <t>Obligations Before Reinvestment</t>
  </si>
  <si>
    <t>Taxes / Interest / Term Loan</t>
  </si>
  <si>
    <t>Pension / OPEB / Changes in W/C</t>
  </si>
  <si>
    <t>Restructuring / Capital Leases / Other</t>
  </si>
  <si>
    <t>Total With Takeback Debt</t>
  </si>
  <si>
    <t>Base Case Revenue and EBITDA By Segment</t>
  </si>
  <si>
    <t>'20-24 CAGR</t>
  </si>
  <si>
    <t>'24-31 CAGR</t>
  </si>
  <si>
    <t>'20-31 CAGR</t>
  </si>
  <si>
    <t>Base Case Copper Broadband</t>
  </si>
  <si>
    <t>Base Case Voice</t>
  </si>
  <si>
    <t>Base Case Video</t>
  </si>
  <si>
    <t>Base Case Fiber Broadband</t>
  </si>
  <si>
    <t>Base Case Other</t>
  </si>
  <si>
    <t>Total Base Case Revenue</t>
  </si>
  <si>
    <t>memo: Copper Broadband Change Y/Y</t>
  </si>
  <si>
    <t>memo: Voice Change Y/Y</t>
  </si>
  <si>
    <t>memo: Video Change Y/Y</t>
  </si>
  <si>
    <t>memo: Fiber Change Y/Y</t>
  </si>
  <si>
    <t>memo: Other Change Y/Y</t>
  </si>
  <si>
    <t>memo: Total Change Y/Y</t>
  </si>
  <si>
    <t>Total Base Case EBITDA</t>
  </si>
  <si>
    <t>memo: Copper Broadband Margins</t>
  </si>
  <si>
    <t>memo: Voice Margins</t>
  </si>
  <si>
    <t>memo: Video Margins</t>
  </si>
  <si>
    <t>memo: Fiber Broadband Margins</t>
  </si>
  <si>
    <t>memo: Other Margins</t>
  </si>
  <si>
    <t>memo: Total Margins</t>
  </si>
  <si>
    <t>memo: Copper Change Y/Y</t>
  </si>
  <si>
    <t>Adjusted Base Case For Fiber Overbuild</t>
  </si>
  <si>
    <t>Percent of copper overbuilt beyond 3MM homes</t>
  </si>
  <si>
    <t xml:space="preserve">Base Case Copper </t>
  </si>
  <si>
    <t xml:space="preserve">Base Case Fiber </t>
  </si>
  <si>
    <t>memo: Copper Margins</t>
  </si>
  <si>
    <t>memo: Fiber Margins</t>
  </si>
  <si>
    <t>- Costs</t>
  </si>
  <si>
    <t>- Taxes / Interest / Term Loan</t>
  </si>
  <si>
    <t>- Pension / OPEB / Changes in W/C</t>
  </si>
  <si>
    <t>- Restructuring / Capital Leases / Other</t>
  </si>
  <si>
    <r>
      <t xml:space="preserve">memo: </t>
    </r>
    <r>
      <rPr>
        <i/>
        <sz val="9"/>
        <color theme="1"/>
        <rFont val="Calibri"/>
        <family val="2"/>
      </rPr>
      <t>Capex / revenue</t>
    </r>
  </si>
  <si>
    <t>Cash Balance</t>
  </si>
  <si>
    <t xml:space="preserve">   Cash - BOP</t>
  </si>
  <si>
    <t>+ Change in cash</t>
  </si>
  <si>
    <t>= Cash - EOP</t>
  </si>
  <si>
    <t>Base Case Leverage</t>
  </si>
  <si>
    <t xml:space="preserve">   Total Debt</t>
  </si>
  <si>
    <t>- Cash</t>
  </si>
  <si>
    <t xml:space="preserve">= Net Debt </t>
  </si>
  <si>
    <t>= Leverage</t>
  </si>
  <si>
    <r>
      <t xml:space="preserve">memo: </t>
    </r>
    <r>
      <rPr>
        <sz val="9"/>
        <color theme="1"/>
        <rFont val="Calibri"/>
        <family val="2"/>
      </rPr>
      <t>Total Debt / EBITDA</t>
    </r>
  </si>
  <si>
    <t>FTTH EBITDA</t>
  </si>
  <si>
    <t>PF Net Debt / EBITDA</t>
  </si>
  <si>
    <t>Mgmt Case 1B: Incremental Financials of Reinvestment Case - IRR Maximization With Takeback Debt</t>
  </si>
  <si>
    <t>'12-31 Cumulative</t>
  </si>
  <si>
    <t>Homes Passed</t>
  </si>
  <si>
    <r>
      <t xml:space="preserve">memo: </t>
    </r>
    <r>
      <rPr>
        <i/>
        <sz val="9"/>
        <color theme="1"/>
        <rFont val="Calibri"/>
        <family val="2"/>
      </rPr>
      <t>Net Adds</t>
    </r>
  </si>
  <si>
    <t>Residential Fiber Subscribers</t>
  </si>
  <si>
    <r>
      <t xml:space="preserve">memo: </t>
    </r>
    <r>
      <rPr>
        <i/>
        <sz val="9"/>
        <color theme="1"/>
        <rFont val="Calibri"/>
        <family val="2"/>
      </rPr>
      <t>Penetration</t>
    </r>
  </si>
  <si>
    <t>Brownsfield / Edge-out ARPU</t>
  </si>
  <si>
    <r>
      <t xml:space="preserve">memo: </t>
    </r>
    <r>
      <rPr>
        <sz val="9"/>
        <color theme="1"/>
        <rFont val="Calibri"/>
        <family val="2"/>
      </rPr>
      <t>Change Y/Y</t>
    </r>
  </si>
  <si>
    <t>Brownfield + Densification / Edge-out</t>
  </si>
  <si>
    <t>Tower / Small Cell</t>
  </si>
  <si>
    <t>RDOF</t>
  </si>
  <si>
    <r>
      <t xml:space="preserve">memo: </t>
    </r>
    <r>
      <rPr>
        <sz val="9"/>
        <color theme="1"/>
        <rFont val="Calibri"/>
        <family val="2"/>
      </rPr>
      <t>Incremental margin</t>
    </r>
  </si>
  <si>
    <r>
      <t xml:space="preserve">memo: </t>
    </r>
    <r>
      <rPr>
        <sz val="9"/>
        <color theme="1"/>
        <rFont val="Calibri"/>
        <family val="2"/>
      </rPr>
      <t>Capex per home passed</t>
    </r>
  </si>
  <si>
    <r>
      <t xml:space="preserve">memo: </t>
    </r>
    <r>
      <rPr>
        <sz val="9"/>
        <color theme="1"/>
        <rFont val="Calibri"/>
        <family val="2"/>
      </rPr>
      <t>Capex per new home</t>
    </r>
  </si>
  <si>
    <t>EBITDA Yield</t>
  </si>
  <si>
    <t>Total EBITDA (Base + Reinvestment)</t>
  </si>
  <si>
    <t xml:space="preserve">NSR FTTH Financials </t>
  </si>
  <si>
    <t>NSR FTTH Free Cash Flow</t>
  </si>
  <si>
    <t xml:space="preserve">   Residential</t>
  </si>
  <si>
    <t>+ Tower</t>
  </si>
  <si>
    <t>+ Commercial</t>
  </si>
  <si>
    <t>= Total</t>
  </si>
  <si>
    <t>- Interest Expense</t>
  </si>
  <si>
    <t>= EBT</t>
  </si>
  <si>
    <t>= Net Income</t>
  </si>
  <si>
    <t>+ D&amp;A</t>
  </si>
  <si>
    <t>- FTTH Connect Capex</t>
  </si>
  <si>
    <t>- FTTH Maintenance Capex</t>
  </si>
  <si>
    <t xml:space="preserve">   EBT</t>
  </si>
  <si>
    <t>- Cash taxes</t>
  </si>
  <si>
    <t>= Unelevered FCF</t>
  </si>
  <si>
    <r>
      <rPr>
        <i/>
        <sz val="9"/>
        <color theme="1"/>
        <rFont val="Calibri"/>
        <family val="2"/>
        <scheme val="minor"/>
      </rPr>
      <t xml:space="preserve">memo: </t>
    </r>
    <r>
      <rPr>
        <sz val="9"/>
        <color theme="1"/>
        <rFont val="Calibri"/>
        <family val="2"/>
        <scheme val="minor"/>
      </rPr>
      <t>Capex / Revenue</t>
    </r>
  </si>
  <si>
    <r>
      <rPr>
        <i/>
        <sz val="9"/>
        <color theme="1"/>
        <rFont val="Calibri"/>
        <family val="2"/>
        <scheme val="minor"/>
      </rPr>
      <t xml:space="preserve">memo: </t>
    </r>
    <r>
      <rPr>
        <sz val="9"/>
        <color theme="1"/>
        <rFont val="Calibri"/>
        <family val="2"/>
        <scheme val="minor"/>
      </rPr>
      <t>IRR Input</t>
    </r>
  </si>
  <si>
    <t>memo: Discount rate</t>
  </si>
  <si>
    <r>
      <rPr>
        <sz val="9"/>
        <color theme="1"/>
        <rFont val="Calibri"/>
        <family val="2"/>
        <scheme val="minor"/>
      </rPr>
      <t xml:space="preserve">memo: </t>
    </r>
    <r>
      <rPr>
        <i/>
        <sz val="9"/>
        <color theme="1"/>
        <rFont val="Calibri"/>
        <family val="2"/>
        <scheme val="minor"/>
      </rPr>
      <t>Terminal Growth</t>
    </r>
  </si>
  <si>
    <r>
      <rPr>
        <sz val="9"/>
        <color theme="1"/>
        <rFont val="Calibri"/>
        <family val="2"/>
        <scheme val="minor"/>
      </rPr>
      <t xml:space="preserve">memo: </t>
    </r>
    <r>
      <rPr>
        <i/>
        <sz val="9"/>
        <color theme="1"/>
        <rFont val="Calibri"/>
        <family val="2"/>
        <scheme val="minor"/>
      </rPr>
      <t>IRR</t>
    </r>
  </si>
  <si>
    <r>
      <rPr>
        <sz val="9"/>
        <color theme="1"/>
        <rFont val="Calibri"/>
        <family val="2"/>
        <scheme val="minor"/>
      </rPr>
      <t xml:space="preserve">memo: </t>
    </r>
    <r>
      <rPr>
        <i/>
        <sz val="9"/>
        <color theme="1"/>
        <rFont val="Calibri"/>
        <family val="2"/>
        <scheme val="minor"/>
      </rPr>
      <t>Terminal Multiple</t>
    </r>
  </si>
  <si>
    <r>
      <rPr>
        <sz val="9"/>
        <color theme="1"/>
        <rFont val="Calibri"/>
        <family val="2"/>
        <scheme val="minor"/>
      </rPr>
      <t xml:space="preserve">memo: </t>
    </r>
    <r>
      <rPr>
        <i/>
        <sz val="9"/>
        <color theme="1"/>
        <rFont val="Calibri"/>
        <family val="2"/>
        <scheme val="minor"/>
      </rPr>
      <t>Tax rate</t>
    </r>
  </si>
  <si>
    <t>NSR FTTH Free Cash Flow Drivers</t>
  </si>
  <si>
    <t xml:space="preserve">   Base Case Revenue</t>
  </si>
  <si>
    <t>+ FTTH Revenue (T-1)</t>
  </si>
  <si>
    <t>= PF Revenue</t>
  </si>
  <si>
    <t>memo: Base Case Revenue Change Y/Y</t>
  </si>
  <si>
    <t>memo: PF Revenue Change Y/Y</t>
  </si>
  <si>
    <t xml:space="preserve">   Base Case EBITDA</t>
  </si>
  <si>
    <t>+ FTTH EBITDA (T-1)</t>
  </si>
  <si>
    <t>= PF EBITDA</t>
  </si>
  <si>
    <t>memo: Base Case EBITDA margin</t>
  </si>
  <si>
    <t>memo: PF EBITDA margin</t>
  </si>
  <si>
    <t>FTTH Build Capex</t>
  </si>
  <si>
    <t>Passings Target</t>
  </si>
  <si>
    <r>
      <rPr>
        <i/>
        <sz val="9"/>
        <color theme="1"/>
        <rFont val="Calibri"/>
        <family val="2"/>
      </rPr>
      <t xml:space="preserve">memo: </t>
    </r>
    <r>
      <rPr>
        <sz val="9"/>
        <color theme="1"/>
        <rFont val="Calibri"/>
        <family val="2"/>
      </rPr>
      <t>New Passings</t>
    </r>
  </si>
  <si>
    <t>Capex per passing</t>
  </si>
  <si>
    <t xml:space="preserve">Capex </t>
  </si>
  <si>
    <t>memo: FTR Reinvestment Case Passings</t>
  </si>
  <si>
    <t>Cartesian Inputs - Cost Per Passing</t>
  </si>
  <si>
    <t>Total Program IRR</t>
  </si>
  <si>
    <t>Cost Per Passing</t>
  </si>
  <si>
    <t>Incremental Cost Per Passing</t>
  </si>
  <si>
    <t>Pro-Forma Cash For FTTH Build</t>
  </si>
  <si>
    <t xml:space="preserve">   Cash -BOP</t>
  </si>
  <si>
    <t>= Available Cash Before Debt</t>
  </si>
  <si>
    <t>+ Debt</t>
  </si>
  <si>
    <t xml:space="preserve">   Base Case Net Debt</t>
  </si>
  <si>
    <t>+ FTTH Debt</t>
  </si>
  <si>
    <t>- FCF After Build Completion</t>
  </si>
  <si>
    <t>= Pro-forma Net Debt</t>
  </si>
  <si>
    <t xml:space="preserve">   FTTH Debt</t>
  </si>
  <si>
    <t>x Interest Rate</t>
  </si>
  <si>
    <t>= FTTH Interest Expense</t>
  </si>
  <si>
    <t xml:space="preserve">   Base Case Leverage</t>
  </si>
  <si>
    <t>+ FTTH Leverage</t>
  </si>
  <si>
    <t>= Pro-forma Leverage</t>
  </si>
  <si>
    <t>Revenue &amp; EBITDA</t>
  </si>
  <si>
    <t xml:space="preserve">   FTTH Passings</t>
  </si>
  <si>
    <t>= FTTH Subs</t>
  </si>
  <si>
    <t>x Opex per sub</t>
  </si>
  <si>
    <t>= Opex</t>
  </si>
  <si>
    <t xml:space="preserve">    Revenue</t>
  </si>
  <si>
    <t xml:space="preserve">   New subs</t>
  </si>
  <si>
    <t>x Connect Capex</t>
  </si>
  <si>
    <t>= Connect Capex</t>
  </si>
  <si>
    <t>Cost</t>
  </si>
  <si>
    <t>Mix</t>
  </si>
  <si>
    <t>Aerial drop including labor</t>
  </si>
  <si>
    <t>Burried drop including labor</t>
  </si>
  <si>
    <t>Weighted drop with labor</t>
  </si>
  <si>
    <t>ONT with home gateway</t>
  </si>
  <si>
    <t>Total Connect Capex</t>
  </si>
  <si>
    <t xml:space="preserve">   Upgrades</t>
  </si>
  <si>
    <t>x Upgrade capex per sub</t>
  </si>
  <si>
    <t>= Upgrade capex</t>
  </si>
  <si>
    <r>
      <rPr>
        <i/>
        <sz val="9"/>
        <color theme="1"/>
        <rFont val="Calibri"/>
        <family val="2"/>
      </rPr>
      <t xml:space="preserve">memo: </t>
    </r>
    <r>
      <rPr>
        <sz val="9"/>
        <color theme="1"/>
        <rFont val="Calibri"/>
        <family val="2"/>
      </rPr>
      <t>Upgrade rate</t>
    </r>
  </si>
  <si>
    <t>Self installation</t>
  </si>
  <si>
    <t>Professional installation</t>
  </si>
  <si>
    <t>Weighted installation cost</t>
  </si>
  <si>
    <t>Gateway</t>
  </si>
  <si>
    <t>Total Upgrade capex</t>
  </si>
  <si>
    <t xml:space="preserve">   Connect Capex</t>
  </si>
  <si>
    <t>+ Upgrade Capex</t>
  </si>
  <si>
    <t>= FTTH Connect capex</t>
  </si>
  <si>
    <t>Tower  / Small Cell Financials</t>
  </si>
  <si>
    <t xml:space="preserve">   Towers</t>
  </si>
  <si>
    <t>x Revenue Per Tower</t>
  </si>
  <si>
    <t>x Margin</t>
  </si>
  <si>
    <t>Business Financials</t>
  </si>
  <si>
    <t xml:space="preserve">   Commercial Subs</t>
  </si>
  <si>
    <t>x Revenue Per Sub</t>
  </si>
  <si>
    <t>Tower &amp; Business Capex</t>
  </si>
  <si>
    <t>Total FTTH Revenue</t>
  </si>
  <si>
    <t>Total FTTH EBITDA</t>
  </si>
  <si>
    <r>
      <t xml:space="preserve">memo: </t>
    </r>
    <r>
      <rPr>
        <sz val="9"/>
        <color theme="1"/>
        <rFont val="Calibri"/>
        <family val="2"/>
      </rPr>
      <t>EBITDA Margin</t>
    </r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</si>
  <si>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</si>
  <si>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</si>
  <si>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</si>
  <si>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</si>
  <si>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</si>
  <si>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</si>
  <si>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</si>
  <si>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</si>
  <si>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</si>
  <si>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</si>
  <si>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Year 11</t>
  </si>
  <si>
    <t>Year 12</t>
  </si>
  <si>
    <t>Ending penetration</t>
  </si>
  <si>
    <r>
      <t xml:space="preserve">memo: </t>
    </r>
    <r>
      <rPr>
        <sz val="9"/>
        <color theme="1"/>
        <rFont val="Calibri"/>
        <family val="2"/>
      </rPr>
      <t>Penetration change Y/Y</t>
    </r>
  </si>
  <si>
    <t>Tower Case In Frontier Territory</t>
  </si>
  <si>
    <t>Cell Sites In '000</t>
  </si>
  <si>
    <t>'31-'19 CAGR</t>
  </si>
  <si>
    <t>Macro SItes</t>
  </si>
  <si>
    <t xml:space="preserve">Other </t>
  </si>
  <si>
    <t>memo: Frontier Share</t>
  </si>
  <si>
    <t>Small Cells</t>
  </si>
  <si>
    <t>Revenue ($mm)</t>
  </si>
  <si>
    <t>Macro Sites</t>
  </si>
  <si>
    <t>memo: Revenue per Macro Site</t>
  </si>
  <si>
    <t>memo: Revenue per Small Cell</t>
  </si>
  <si>
    <t>Sensitivities</t>
  </si>
  <si>
    <t>2031 Passings</t>
  </si>
  <si>
    <t>FTTH NPV</t>
  </si>
  <si>
    <t>Cartesian Inputs - Updated, Non Clustered</t>
  </si>
  <si>
    <t>Scenario Sensitivities</t>
  </si>
  <si>
    <t xml:space="preserve">Equity Value </t>
  </si>
  <si>
    <t>Enterprise NPV</t>
  </si>
  <si>
    <t>Increment.NPV</t>
  </si>
  <si>
    <t>Increment. NPV Var.</t>
  </si>
  <si>
    <t>NPV Per Increment. Passing</t>
  </si>
  <si>
    <t>Increment. NPV Per Passing Var.</t>
  </si>
  <si>
    <t>3MM</t>
  </si>
  <si>
    <t>6MM</t>
  </si>
  <si>
    <t>9MM</t>
  </si>
  <si>
    <t>2031 Subscribers</t>
  </si>
  <si>
    <t>2031 Revenue</t>
  </si>
  <si>
    <t>FV</t>
  </si>
  <si>
    <t>Investment Req.</t>
  </si>
  <si>
    <t>Rev / Passing</t>
  </si>
  <si>
    <t>EBITDA / Passing</t>
  </si>
  <si>
    <t>Incremental Capex</t>
  </si>
  <si>
    <t>Incremental Capex / Passing</t>
  </si>
  <si>
    <t>Total Capex / Passing</t>
  </si>
  <si>
    <t>memo: Increment/ capex / passing change</t>
  </si>
  <si>
    <t>memo: Total / capex / passing change</t>
  </si>
  <si>
    <t>Margins</t>
  </si>
  <si>
    <t>Base Case Copper EBITDA</t>
  </si>
  <si>
    <t>Base Case Non-Fiber EBITDA</t>
  </si>
  <si>
    <t>Base Case Total EBITDA</t>
  </si>
  <si>
    <t>NPV &amp; Terminal Multiple Sensitized To Discount Rate</t>
  </si>
  <si>
    <t>NSR Base Case + Reinvestment Case Financials</t>
  </si>
  <si>
    <t>Fiber / Copper Breakdown By Product</t>
  </si>
  <si>
    <t>Total Copper</t>
  </si>
  <si>
    <t>'19-'24 CAGR</t>
  </si>
  <si>
    <t>'24-'31 CAGR</t>
  </si>
  <si>
    <t>memo: Change Y/Y</t>
  </si>
  <si>
    <r>
      <t xml:space="preserve">memo: </t>
    </r>
    <r>
      <rPr>
        <sz val="9"/>
        <color theme="1"/>
        <rFont val="Calibri"/>
        <family val="2"/>
      </rPr>
      <t>Base Case Margin</t>
    </r>
  </si>
  <si>
    <r>
      <t xml:space="preserve">memo: </t>
    </r>
    <r>
      <rPr>
        <sz val="9"/>
        <color theme="1"/>
        <rFont val="Calibri"/>
        <family val="2"/>
      </rPr>
      <t>Margin with polished gold</t>
    </r>
  </si>
  <si>
    <t>Model</t>
  </si>
  <si>
    <t>Fiber / Copper Breakdown By Segment</t>
  </si>
  <si>
    <t>Wholesale &amp; Reg Fiber</t>
  </si>
  <si>
    <t>Commercial Copper</t>
  </si>
  <si>
    <t>Wholesale &amp; Reg Copper</t>
  </si>
  <si>
    <t>Consumer Fiber Revenue &amp; EBITDA</t>
  </si>
  <si>
    <t>Legacy Fiber Broadband Revenue &amp; EBITDA</t>
  </si>
  <si>
    <t xml:space="preserve">Consumer Broadband </t>
  </si>
  <si>
    <t>Legacy FTTH EBITDA</t>
  </si>
  <si>
    <r>
      <t xml:space="preserve">memo: </t>
    </r>
    <r>
      <rPr>
        <sz val="9"/>
        <color theme="1"/>
        <rFont val="Calibri"/>
        <family val="2"/>
      </rPr>
      <t>ARPU</t>
    </r>
  </si>
  <si>
    <r>
      <t xml:space="preserve">memo: </t>
    </r>
    <r>
      <rPr>
        <sz val="9"/>
        <color theme="1"/>
        <rFont val="Calibri"/>
        <family val="2"/>
      </rPr>
      <t>EBITDA margin</t>
    </r>
  </si>
  <si>
    <r>
      <t xml:space="preserve">memo: </t>
    </r>
    <r>
      <rPr>
        <sz val="9"/>
        <color theme="1"/>
        <rFont val="Calibri"/>
        <family val="2"/>
      </rPr>
      <t>Incremental EBITDA margin</t>
    </r>
  </si>
  <si>
    <t>Fiber EBITDA Share</t>
  </si>
  <si>
    <t>Total Fiber EBITDA</t>
  </si>
  <si>
    <t>Total Non-Fiber EBITDA</t>
  </si>
  <si>
    <r>
      <t xml:space="preserve">memo: </t>
    </r>
    <r>
      <rPr>
        <i/>
        <sz val="9"/>
        <color theme="1"/>
        <rFont val="Calibri"/>
        <family val="2"/>
      </rPr>
      <t>Fiber share</t>
    </r>
  </si>
  <si>
    <t>memo: Non Fiber share</t>
  </si>
  <si>
    <t>Target Leverage</t>
  </si>
  <si>
    <t>Consumer Revenue</t>
  </si>
  <si>
    <t>Base Case</t>
  </si>
  <si>
    <t>NSR FTTH</t>
  </si>
  <si>
    <t>memo: Model</t>
  </si>
  <si>
    <t>Commercial &amp; Wholesale</t>
  </si>
  <si>
    <t>memo: Change Y/Y - Base Case</t>
  </si>
  <si>
    <t>memo: Change Y/Y - NSR FTTH</t>
  </si>
  <si>
    <t>memo: Change Y/Y - Total</t>
  </si>
  <si>
    <t>memo: Change Y/Y - Model</t>
  </si>
  <si>
    <t>memo: Margins - Base Case</t>
  </si>
  <si>
    <t>memo: Margins - NSR FTTH</t>
  </si>
  <si>
    <t>memo: Margins - Total</t>
  </si>
  <si>
    <t>memo: Model Margins</t>
  </si>
  <si>
    <t>memo: Base Case Margins - Adj</t>
  </si>
  <si>
    <t>memo: FTTH Case Margins - Adj</t>
  </si>
  <si>
    <t>Management Forecast vs NSR</t>
  </si>
  <si>
    <t>NSR Revenue</t>
  </si>
  <si>
    <t>Revenue ex FTTH</t>
  </si>
  <si>
    <t>Percent Difference</t>
  </si>
  <si>
    <t>Mgmt. Base Case</t>
  </si>
  <si>
    <r>
      <t xml:space="preserve">memo: </t>
    </r>
    <r>
      <rPr>
        <sz val="9"/>
        <color theme="1"/>
        <rFont val="Calibri"/>
        <family val="2"/>
      </rPr>
      <t>Difference</t>
    </r>
  </si>
  <si>
    <r>
      <t xml:space="preserve">memo: </t>
    </r>
    <r>
      <rPr>
        <sz val="9"/>
        <color theme="1"/>
        <rFont val="Calibri"/>
        <family val="2"/>
      </rPr>
      <t>Percent Difference</t>
    </r>
  </si>
  <si>
    <t>NSR ex FTTH</t>
  </si>
  <si>
    <t>Reinvestment Case</t>
  </si>
  <si>
    <t>Project IRR Maximization</t>
  </si>
  <si>
    <t>Reinvestment - Self Funding</t>
  </si>
  <si>
    <t>Reinvestment - Not Self Funding</t>
  </si>
  <si>
    <t>New FTTH HHs Passed ('000)</t>
  </si>
  <si>
    <t>Total Fiber % (21% Today)</t>
  </si>
  <si>
    <t>SC / Tower</t>
  </si>
  <si>
    <t>Cumulative Capex ('21-'31)</t>
  </si>
  <si>
    <t>2031 Total OCF</t>
  </si>
  <si>
    <t>Revenue Per Passing (Monthly)</t>
  </si>
  <si>
    <t>EBITDA Per Passing (Monthly)</t>
  </si>
  <si>
    <t>EBITDA Margins</t>
  </si>
  <si>
    <t>Base Case Free Cash Flow</t>
  </si>
  <si>
    <t>- Other</t>
  </si>
  <si>
    <t>memo: Tax rate</t>
  </si>
  <si>
    <t>+ Changes in W/C</t>
  </si>
  <si>
    <t>VZ Fiber Acquisition (2/5/15)</t>
  </si>
  <si>
    <t>Tx Value</t>
  </si>
  <si>
    <t>Multiple</t>
  </si>
  <si>
    <t>Voice connections</t>
  </si>
  <si>
    <t>Broadband connections</t>
  </si>
  <si>
    <t>Video connections</t>
  </si>
  <si>
    <t>Includes SMB</t>
  </si>
  <si>
    <t>FiOS Passings</t>
  </si>
  <si>
    <t>FiOS broadband customers</t>
  </si>
  <si>
    <t>FiOS video customers</t>
  </si>
  <si>
    <t>2014 Revenue</t>
  </si>
  <si>
    <t>Pro-Forma adjusted Day 1 EBITDA</t>
  </si>
  <si>
    <r>
      <t xml:space="preserve">memo: </t>
    </r>
    <r>
      <rPr>
        <i/>
        <sz val="9"/>
        <color theme="1"/>
        <rFont val="Calibri"/>
        <family val="2"/>
      </rPr>
      <t>Margins</t>
    </r>
  </si>
  <si>
    <t>Anticipated Cost reductions</t>
  </si>
  <si>
    <t>EBITDA PF cost reductions</t>
  </si>
  <si>
    <t>VZ Financials</t>
  </si>
  <si>
    <r>
      <t xml:space="preserve">memo: </t>
    </r>
    <r>
      <rPr>
        <sz val="9"/>
        <color theme="1"/>
        <rFont val="Calibri"/>
        <family val="2"/>
      </rPr>
      <t>Margins</t>
    </r>
  </si>
  <si>
    <t>Fiber Multiple Sensitized to Copper Multiple</t>
  </si>
  <si>
    <t>Copper Multiple</t>
  </si>
  <si>
    <t>Fiber Multiple</t>
  </si>
  <si>
    <t>FTR Financials</t>
  </si>
  <si>
    <t>EBITDA before synergies</t>
  </si>
  <si>
    <t>memo: Margins before synergies</t>
  </si>
  <si>
    <t xml:space="preserve">memo: Margins </t>
  </si>
  <si>
    <t>FTTH Subscribers</t>
  </si>
  <si>
    <r>
      <t xml:space="preserve">memo: </t>
    </r>
    <r>
      <rPr>
        <sz val="9"/>
        <color theme="1"/>
        <rFont val="Calibri"/>
        <family val="2"/>
      </rPr>
      <t>Net Adds</t>
    </r>
  </si>
  <si>
    <t>FiOS Homes Passed</t>
  </si>
  <si>
    <t>FiOS Broadband Subscribers</t>
  </si>
  <si>
    <t>Costs Per Sub</t>
  </si>
  <si>
    <t>memo: Margins</t>
  </si>
  <si>
    <t>memo: ARPU</t>
  </si>
  <si>
    <t>memo: ARPU CAGR</t>
  </si>
  <si>
    <t>Broadband penetration</t>
  </si>
  <si>
    <t>Cost Analysis</t>
  </si>
  <si>
    <t>Marketing</t>
  </si>
  <si>
    <t>Fixed CPGA</t>
  </si>
  <si>
    <t>Variable CPGA</t>
  </si>
  <si>
    <t>Total CPGA</t>
  </si>
  <si>
    <t>New FTTH Passings</t>
  </si>
  <si>
    <t>Subs - BOP</t>
  </si>
  <si>
    <t>Subs - EOP</t>
  </si>
  <si>
    <t>= Acquisition costs</t>
  </si>
  <si>
    <t>Network Epansion By Footprint</t>
  </si>
  <si>
    <t>CTFC</t>
  </si>
  <si>
    <t>WINO</t>
  </si>
  <si>
    <t>Current Network Footprint</t>
  </si>
  <si>
    <t>Voice Only Homes</t>
  </si>
  <si>
    <t>Fiber Broadband Homes Passed</t>
  </si>
  <si>
    <t>Copper Broadband Homes Passed</t>
  </si>
  <si>
    <t>Total Homes Passed</t>
  </si>
  <si>
    <t>Incremental Brownfield Homes w/&gt;20% IRR</t>
  </si>
  <si>
    <t>Incremental Brownfield Homes w/ 15-20% IRR</t>
  </si>
  <si>
    <t>Total Brownfield Homes &gt;15% IRR</t>
  </si>
  <si>
    <t>memo: Percent of Copper Homes</t>
  </si>
  <si>
    <t>Incremental Out of Footprint Opportunity w/&gt;20% IRR</t>
  </si>
  <si>
    <t>FTTH homes</t>
  </si>
  <si>
    <t>Margin</t>
  </si>
  <si>
    <t>Non-FTTH homes</t>
  </si>
  <si>
    <t>Enterprise</t>
  </si>
  <si>
    <t>Homes passed</t>
  </si>
  <si>
    <t>= Subs</t>
  </si>
  <si>
    <t>memo: Incremental margin</t>
  </si>
  <si>
    <t>Copper Acqusiition Value Creation</t>
  </si>
  <si>
    <t>Market Cap</t>
  </si>
  <si>
    <t>EV / '21 EBITDA</t>
  </si>
  <si>
    <t>Lines</t>
  </si>
  <si>
    <t>EV / Line</t>
  </si>
  <si>
    <t>WIN</t>
  </si>
  <si>
    <t>CSNL</t>
  </si>
  <si>
    <t>TDS</t>
  </si>
  <si>
    <t>CMCSA</t>
  </si>
  <si>
    <t>CHTR</t>
  </si>
  <si>
    <t>ATUS</t>
  </si>
  <si>
    <t>FTR / SNET(2013)</t>
  </si>
  <si>
    <t>FTR / VZ (2015)</t>
  </si>
  <si>
    <t>WIN (2019)</t>
  </si>
  <si>
    <t>FTR (2020)</t>
  </si>
  <si>
    <t>Stonepeak / Astound (2020)</t>
  </si>
  <si>
    <t>EQT / ZAYO (2019)</t>
  </si>
  <si>
    <t>CCI / Lightower (2017)</t>
  </si>
  <si>
    <t>CTL / LVLT (2016)</t>
  </si>
  <si>
    <t>= LUMN EV</t>
  </si>
  <si>
    <r>
      <t xml:space="preserve">memo: </t>
    </r>
    <r>
      <rPr>
        <sz val="9"/>
        <color theme="1"/>
        <rFont val="Calibri"/>
        <family val="2"/>
      </rPr>
      <t>EBITDA Per Passing</t>
    </r>
  </si>
  <si>
    <r>
      <t xml:space="preserve">memo: </t>
    </r>
    <r>
      <rPr>
        <sz val="9"/>
        <color theme="1"/>
        <rFont val="Calibri"/>
        <family val="2"/>
      </rPr>
      <t>EV Per Passing</t>
    </r>
  </si>
  <si>
    <t xml:space="preserve">   Acquisition costs</t>
  </si>
  <si>
    <t xml:space="preserve">   Lines</t>
  </si>
  <si>
    <t>x % Upgraded</t>
  </si>
  <si>
    <t>= Upgraded Lines</t>
  </si>
  <si>
    <t>x NPV Per Upgraded Line</t>
  </si>
  <si>
    <t>= Value Creation</t>
  </si>
  <si>
    <t>x NPV Per Line</t>
  </si>
  <si>
    <t>= Pro-Forma Value</t>
  </si>
  <si>
    <t xml:space="preserve">   Frontier Non-FTTH EBITDA</t>
  </si>
  <si>
    <t>/ Frontier Non-FTTH Passings</t>
  </si>
  <si>
    <t>= Frontier Copper EBITDA Per Passing</t>
  </si>
  <si>
    <t>= Frontier Non-FTTH EV Per Passing</t>
  </si>
  <si>
    <t>x M&amp;A Premium</t>
  </si>
  <si>
    <t>= Acquisition EV / Passing</t>
  </si>
  <si>
    <t>memo: Acquisition multiple</t>
  </si>
  <si>
    <t xml:space="preserve">  Copper Acquisition</t>
  </si>
  <si>
    <t>+ Upgrade Costs</t>
  </si>
  <si>
    <t>Pass Capex</t>
  </si>
  <si>
    <t>= Total Costs</t>
  </si>
  <si>
    <t>Connect Capex</t>
  </si>
  <si>
    <t>Fiber NPV</t>
  </si>
  <si>
    <t>+ Incremental Value</t>
  </si>
  <si>
    <t>= Pro-forma Value</t>
  </si>
  <si>
    <t xml:space="preserve">   Incremental EBITDA Per Line</t>
  </si>
  <si>
    <t>x Multiple(discounted)</t>
  </si>
  <si>
    <t>= NPV Per Upgraded Line</t>
  </si>
  <si>
    <t>Wireless Opportunity</t>
  </si>
  <si>
    <t xml:space="preserve">   Frontier Fiber Passings</t>
  </si>
  <si>
    <t>x People per household</t>
  </si>
  <si>
    <t>= Frontier POPs</t>
  </si>
  <si>
    <t>x CBRS $ / MHz-POP</t>
  </si>
  <si>
    <t>x CBRS MHz</t>
  </si>
  <si>
    <t>= CBRS Costs</t>
  </si>
  <si>
    <t>MVNO - 80% Offload</t>
  </si>
  <si>
    <t xml:space="preserve">   Fiber Broaband Passings</t>
  </si>
  <si>
    <t>= Fiber Broadband Households</t>
  </si>
  <si>
    <t>= Fiber Subscribers</t>
  </si>
  <si>
    <t>x Wireless Penetration of Broadband</t>
  </si>
  <si>
    <t>= Wireless Subs</t>
  </si>
  <si>
    <t>x Wireless NPV Per Sub</t>
  </si>
  <si>
    <t>= Wireless NPV</t>
  </si>
  <si>
    <t>CBRS - 95% Offload</t>
  </si>
  <si>
    <t xml:space="preserve">   Wireless Subs</t>
  </si>
  <si>
    <t>= Gross Value</t>
  </si>
  <si>
    <t>- CBRS spectrum costs</t>
  </si>
  <si>
    <t>Wireless NPV</t>
  </si>
  <si>
    <t>Wireless Subs (2027)</t>
  </si>
  <si>
    <t>Wireless Penetration of Broadband Households</t>
  </si>
  <si>
    <t>NPV Per Sub</t>
  </si>
  <si>
    <t>Enterprise Opportunity</t>
  </si>
  <si>
    <t>CHTR SMB Customers</t>
  </si>
  <si>
    <t>CHTR Enterprise Customers</t>
  </si>
  <si>
    <t>CHTR Total Commerical Customers</t>
  </si>
  <si>
    <t>SMB Peneration</t>
  </si>
  <si>
    <t>Enterprise Penertration</t>
  </si>
  <si>
    <t>Total Commercial Penetration</t>
  </si>
  <si>
    <t>CHTR SMB Revenue</t>
  </si>
  <si>
    <t>CHTR Enterprise Revenue</t>
  </si>
  <si>
    <t>Total Commerical</t>
  </si>
  <si>
    <t>CMCSA Business Services Customers</t>
  </si>
  <si>
    <t>CMCSA Business Services Revenue</t>
  </si>
  <si>
    <t>CMCSA Passings</t>
  </si>
  <si>
    <t>Frontier Commercial Revenue</t>
  </si>
  <si>
    <t>Frontier Passings</t>
  </si>
  <si>
    <t>Market Revenue</t>
  </si>
  <si>
    <t>Frontier Share of Passings</t>
  </si>
  <si>
    <t>Frontier Share of Revenue</t>
  </si>
  <si>
    <t>Frontier Revenue TAM</t>
  </si>
  <si>
    <t xml:space="preserve">Enterprise </t>
  </si>
  <si>
    <t>Medium Sized</t>
  </si>
  <si>
    <t>SMB</t>
  </si>
  <si>
    <t>Total Commercial Opportunity</t>
  </si>
  <si>
    <t>Commercial Revenue Today</t>
  </si>
  <si>
    <t>Incremental Revenue Opportunity</t>
  </si>
  <si>
    <t>Incremental EBITDA Opportunity</t>
  </si>
  <si>
    <t>Commercial Value</t>
  </si>
  <si>
    <t>Long-term Growth</t>
  </si>
  <si>
    <t>'31-'40 CAGR</t>
  </si>
  <si>
    <t>memo: Incremental margins</t>
  </si>
  <si>
    <t>D&amp;A</t>
  </si>
  <si>
    <t>Interest</t>
  </si>
  <si>
    <r>
      <t xml:space="preserve">memo: </t>
    </r>
    <r>
      <rPr>
        <sz val="9"/>
        <color theme="1"/>
        <rFont val="Calibri"/>
        <family val="2"/>
      </rPr>
      <t>Interest rate</t>
    </r>
  </si>
  <si>
    <t>Pension &amp; other</t>
  </si>
  <si>
    <t>Taxes</t>
  </si>
  <si>
    <r>
      <t xml:space="preserve">memo: </t>
    </r>
    <r>
      <rPr>
        <sz val="9"/>
        <color theme="1"/>
        <rFont val="Calibri"/>
        <family val="2"/>
      </rPr>
      <t>Cash tax rate</t>
    </r>
  </si>
  <si>
    <t>FCF Per Share</t>
  </si>
  <si>
    <t xml:space="preserve">   FCF</t>
  </si>
  <si>
    <t>+ Incremental debt</t>
  </si>
  <si>
    <t>= Cash available for share repurchases</t>
  </si>
  <si>
    <t>/ Price Per Share</t>
  </si>
  <si>
    <t>= Shares repurchased</t>
  </si>
  <si>
    <t xml:space="preserve">   SHOUT - BOP</t>
  </si>
  <si>
    <t>- Share repurchases</t>
  </si>
  <si>
    <t>= SHOUT - EOP</t>
  </si>
  <si>
    <r>
      <t xml:space="preserve">memo: </t>
    </r>
    <r>
      <rPr>
        <sz val="9"/>
        <color theme="1"/>
        <rFont val="Calibri"/>
        <family val="2"/>
      </rPr>
      <t>Price per share</t>
    </r>
  </si>
  <si>
    <t>Total Debt</t>
  </si>
  <si>
    <t>Cash</t>
  </si>
  <si>
    <r>
      <t xml:space="preserve">memo: </t>
    </r>
    <r>
      <rPr>
        <sz val="9"/>
        <color theme="1"/>
        <rFont val="Calibri"/>
        <family val="2"/>
      </rPr>
      <t>Net Debt / EBITDA</t>
    </r>
  </si>
  <si>
    <t>Price Per Share</t>
  </si>
  <si>
    <t>Benchmarking</t>
  </si>
  <si>
    <t>FTR</t>
  </si>
  <si>
    <t>Residential Rev / Customer</t>
  </si>
  <si>
    <t>Commercial Rev / Customer</t>
  </si>
  <si>
    <t>Subsidy Rev / Customer</t>
  </si>
  <si>
    <t>Total Rev / Customer</t>
  </si>
  <si>
    <t>Programming Costs / Customer</t>
  </si>
  <si>
    <t>Non-programming Costs / Customer</t>
  </si>
  <si>
    <t>EBITDA / Customer</t>
  </si>
  <si>
    <r>
      <t xml:space="preserve">memo: </t>
    </r>
    <r>
      <rPr>
        <sz val="9"/>
        <color theme="1"/>
        <rFont val="Calibri"/>
        <family val="2"/>
      </rPr>
      <t>Margin</t>
    </r>
    <r>
      <rPr>
        <i/>
        <sz val="9"/>
        <color theme="1"/>
        <rFont val="Calibri"/>
        <family val="2"/>
      </rPr>
      <t>s</t>
    </r>
  </si>
  <si>
    <t>Commercial EBITDA</t>
  </si>
  <si>
    <r>
      <t xml:space="preserve">memo: </t>
    </r>
    <r>
      <rPr>
        <sz val="9"/>
        <color theme="1"/>
        <rFont val="Calibri"/>
        <family val="2"/>
      </rPr>
      <t>Commcercial margins</t>
    </r>
  </si>
  <si>
    <t>EBITDA / Customer ex Commercial</t>
  </si>
  <si>
    <r>
      <t xml:space="preserve">memo: </t>
    </r>
    <r>
      <rPr>
        <sz val="9"/>
        <color theme="1"/>
        <rFont val="Calibri"/>
        <family val="2"/>
      </rPr>
      <t>Margins ex commerical</t>
    </r>
  </si>
  <si>
    <t>Nonprogramming Costs Per Sub</t>
  </si>
  <si>
    <t>Cable Revenue ex wireless</t>
  </si>
  <si>
    <t>Cable EBITDA ex wireless</t>
  </si>
  <si>
    <t>Total Customer Relationships</t>
  </si>
  <si>
    <t>Revenue Per Relationship</t>
  </si>
  <si>
    <t>EBITDA Per Relationship</t>
  </si>
  <si>
    <t>Subsidy revenue per relationship</t>
  </si>
  <si>
    <t>Residential Revenue</t>
  </si>
  <si>
    <t>Programming Costs</t>
  </si>
  <si>
    <t>Franchise Fees</t>
  </si>
  <si>
    <t>Divestiture Analysis</t>
  </si>
  <si>
    <t>State Count</t>
  </si>
  <si>
    <t>Residential Passings</t>
  </si>
  <si>
    <t>Share of Residential Passings</t>
  </si>
  <si>
    <t>State Name</t>
  </si>
  <si>
    <t>20% IRR Threshold</t>
  </si>
  <si>
    <t>15% IRR Threshold</t>
  </si>
  <si>
    <t>9% IRR Threshold</t>
  </si>
  <si>
    <t>Alabama</t>
  </si>
  <si>
    <t>Arizona</t>
  </si>
  <si>
    <t>California</t>
  </si>
  <si>
    <t>Connecticut</t>
  </si>
  <si>
    <t>Florida</t>
  </si>
  <si>
    <t>Georgia</t>
  </si>
  <si>
    <t>Illinois</t>
  </si>
  <si>
    <t>Iowa</t>
  </si>
  <si>
    <t>Indiana</t>
  </si>
  <si>
    <t>Michigan</t>
  </si>
  <si>
    <t>Minnesota</t>
  </si>
  <si>
    <t>Mississippi</t>
  </si>
  <si>
    <t>Nebraska</t>
  </si>
  <si>
    <t>Nevada</t>
  </si>
  <si>
    <t>New Mexico</t>
  </si>
  <si>
    <t>New York</t>
  </si>
  <si>
    <t>North Carolina</t>
  </si>
  <si>
    <t>Ohio</t>
  </si>
  <si>
    <t>Pennsylvania</t>
  </si>
  <si>
    <t>South Carolina</t>
  </si>
  <si>
    <t>Tennessee</t>
  </si>
  <si>
    <t>Texas</t>
  </si>
  <si>
    <t>Utah</t>
  </si>
  <si>
    <t>Virginia</t>
  </si>
  <si>
    <t>West Virginia</t>
  </si>
  <si>
    <t>Wisconsin</t>
  </si>
  <si>
    <t>States with fewer than 100K fiber upgrades at 9% IRR Threshold</t>
  </si>
  <si>
    <t>Total Copper Passings</t>
  </si>
  <si>
    <t>Value Per Passing</t>
  </si>
  <si>
    <t>Value</t>
  </si>
  <si>
    <t>Post-upgrade Valuation</t>
  </si>
  <si>
    <t>Copper Sale</t>
  </si>
  <si>
    <t>Upgrade</t>
  </si>
  <si>
    <t>x EBITDA per passing</t>
  </si>
  <si>
    <r>
      <t xml:space="preserve">memo: </t>
    </r>
    <r>
      <rPr>
        <b/>
        <sz val="9"/>
        <color theme="1"/>
        <rFont val="Calibri"/>
        <family val="2"/>
      </rPr>
      <t>EV / Passing</t>
    </r>
  </si>
  <si>
    <t>Upgrade Costs</t>
  </si>
  <si>
    <t>Copper Acquisition</t>
  </si>
  <si>
    <t>Value creation</t>
  </si>
  <si>
    <t xml:space="preserve">   2021 EBITDA</t>
  </si>
  <si>
    <t>= Multiple</t>
  </si>
  <si>
    <t>CPE Capex Per Relationship</t>
  </si>
  <si>
    <t>Maintenance Capex Per Passing</t>
  </si>
  <si>
    <t>Scalable Infrastructure Per Passing</t>
  </si>
  <si>
    <t>Capex Per Residential Relationship</t>
  </si>
  <si>
    <t>Capex Per Passing</t>
  </si>
  <si>
    <t>Comcast</t>
  </si>
  <si>
    <t>Residential relationships</t>
  </si>
  <si>
    <t>CPE</t>
  </si>
  <si>
    <t>Scalable Infrastructure</t>
  </si>
  <si>
    <t>Line Extensions</t>
  </si>
  <si>
    <t>Maintenance</t>
  </si>
  <si>
    <t>Capex Per Relationship</t>
  </si>
  <si>
    <t>Business Services</t>
  </si>
  <si>
    <t>Residential Relationships</t>
  </si>
  <si>
    <r>
      <t xml:space="preserve">memo: </t>
    </r>
    <r>
      <rPr>
        <sz val="9"/>
        <color theme="1"/>
        <rFont val="Calibri"/>
        <family val="2"/>
      </rPr>
      <t>Fiber Capex  / Passing</t>
    </r>
  </si>
  <si>
    <r>
      <t xml:space="preserve">memo: </t>
    </r>
    <r>
      <rPr>
        <sz val="9"/>
        <color theme="1"/>
        <rFont val="Calibri"/>
        <family val="2"/>
      </rPr>
      <t>Copper Capex  / Passing</t>
    </r>
  </si>
  <si>
    <r>
      <t xml:space="preserve">memo: </t>
    </r>
    <r>
      <rPr>
        <sz val="9"/>
        <color theme="1"/>
        <rFont val="Calibri"/>
        <family val="2"/>
      </rPr>
      <t>Total Capex  / Passing</t>
    </r>
  </si>
  <si>
    <r>
      <t xml:space="preserve">memo: </t>
    </r>
    <r>
      <rPr>
        <sz val="9"/>
        <color theme="1"/>
        <rFont val="Calibri"/>
        <family val="2"/>
      </rPr>
      <t>Total Capex  / Relationship</t>
    </r>
  </si>
  <si>
    <t>FTTH Recurring</t>
  </si>
  <si>
    <t>Copper Recurring</t>
  </si>
  <si>
    <t>FTTH Build</t>
  </si>
  <si>
    <t>FTTH Connect</t>
  </si>
  <si>
    <t>Quarterly Revenue</t>
  </si>
  <si>
    <t>No Fiber Build</t>
  </si>
  <si>
    <t>3MM Fiber Passings</t>
  </si>
  <si>
    <t>5MM Fiber Passings</t>
  </si>
  <si>
    <t>8MM Fiber Passings</t>
  </si>
  <si>
    <t>Change Y/Y</t>
  </si>
  <si>
    <t>Chart</t>
  </si>
  <si>
    <t>memo: Fiber share</t>
  </si>
  <si>
    <t>memo: Fiber margins</t>
  </si>
  <si>
    <t>memo: Copper margins</t>
  </si>
  <si>
    <t>Revenue Per Passing</t>
  </si>
  <si>
    <t>memo: Fiber Passings</t>
  </si>
  <si>
    <t>Cartesian Aerial Costs To Pass</t>
  </si>
  <si>
    <t>$ / foot</t>
  </si>
  <si>
    <t xml:space="preserve">Greenfield </t>
  </si>
  <si>
    <t>Brownfield</t>
  </si>
  <si>
    <t>Materials</t>
  </si>
  <si>
    <t>Placement</t>
  </si>
  <si>
    <t>Greenfield vs. Brownfield</t>
  </si>
  <si>
    <t>Fiber Bundle</t>
  </si>
  <si>
    <t>Material Loading</t>
  </si>
  <si>
    <t>Admin</t>
  </si>
  <si>
    <t>Engineering</t>
  </si>
  <si>
    <t>Splicing</t>
  </si>
  <si>
    <t>Structure</t>
  </si>
  <si>
    <t>Pole</t>
  </si>
  <si>
    <t>Anchor</t>
  </si>
  <si>
    <t>Guy</t>
  </si>
  <si>
    <t>Astound Case Study</t>
  </si>
  <si>
    <t>Astound Broadband Components</t>
  </si>
  <si>
    <t>RCN</t>
  </si>
  <si>
    <t>Wave</t>
  </si>
  <si>
    <t>Grande</t>
  </si>
  <si>
    <t>EnTouch</t>
  </si>
  <si>
    <t>Infrastructure</t>
  </si>
  <si>
    <t>Cable</t>
  </si>
  <si>
    <t>Competitive Overlap</t>
  </si>
  <si>
    <t>3 players</t>
  </si>
  <si>
    <t>2 players</t>
  </si>
  <si>
    <t>Broadband Subscribers</t>
  </si>
  <si>
    <t>memo: Broadband Penetration</t>
  </si>
  <si>
    <t>Revenue growth ('17-'20)</t>
  </si>
  <si>
    <t>EBITDA growth ('17-'20)</t>
  </si>
  <si>
    <t>EBITDA margins</t>
  </si>
  <si>
    <t>Acquisition History</t>
  </si>
  <si>
    <t>Announcement Date</t>
  </si>
  <si>
    <t>Price</t>
  </si>
  <si>
    <t>EV / Broadband Sub</t>
  </si>
  <si>
    <t>EV / EBITDA</t>
  </si>
  <si>
    <t>EV / UFCF</t>
  </si>
  <si>
    <t>Buyer</t>
  </si>
  <si>
    <t>TPG</t>
  </si>
  <si>
    <t>RCN / TPG</t>
  </si>
  <si>
    <t>Stonepeak</t>
  </si>
  <si>
    <t>Seller</t>
  </si>
  <si>
    <t>ABRY</t>
  </si>
  <si>
    <t>Oak Hill / GI Partners</t>
  </si>
  <si>
    <t>TPG / Patriot Media</t>
  </si>
  <si>
    <t>2016 Homes Passed</t>
  </si>
  <si>
    <t>2016 Broadband Subs</t>
  </si>
  <si>
    <t>Video Subscribers</t>
  </si>
  <si>
    <t>Video Penetration</t>
  </si>
  <si>
    <t>Astound Broadband</t>
  </si>
  <si>
    <t>'16-'20 CAGR</t>
  </si>
  <si>
    <t>Broadband Subs</t>
  </si>
  <si>
    <t>Video Subs</t>
  </si>
  <si>
    <t>Broadband Penetration</t>
  </si>
  <si>
    <t>Steady State Capex</t>
  </si>
  <si>
    <t>Growth / One-time Capex</t>
  </si>
  <si>
    <t>memo: Steady state % revenue</t>
  </si>
  <si>
    <t>memo: Total capex % revenue</t>
  </si>
  <si>
    <t>memo: Steady state capex per passing</t>
  </si>
  <si>
    <t>memo: Capex per broadband sub</t>
  </si>
  <si>
    <t>UFCF (ex. One-time capex)</t>
  </si>
  <si>
    <t>Total Passings (Calculated)</t>
  </si>
  <si>
    <t>Total Broadband Subs (Calculated)</t>
  </si>
  <si>
    <t xml:space="preserve">RCN </t>
  </si>
  <si>
    <t>Frontier Pricing</t>
  </si>
  <si>
    <t>Broadband Pricing</t>
  </si>
  <si>
    <t>3 Mbps</t>
  </si>
  <si>
    <t>9 Mbps</t>
  </si>
  <si>
    <t>Fios 500/500</t>
  </si>
  <si>
    <t>Fios 1 Gbps</t>
  </si>
  <si>
    <t>DSL</t>
  </si>
  <si>
    <t>Plan</t>
  </si>
  <si>
    <t>Equipment</t>
  </si>
  <si>
    <t>Taxes &amp; fees (8% estimated)</t>
  </si>
  <si>
    <t>DSL Mix</t>
  </si>
  <si>
    <t>Fiber Mix</t>
  </si>
  <si>
    <t>Fiber Broadband Pricing</t>
  </si>
  <si>
    <t>Competitor</t>
  </si>
  <si>
    <t>City</t>
  </si>
  <si>
    <t>Address</t>
  </si>
  <si>
    <t>50/50</t>
  </si>
  <si>
    <t>500/500</t>
  </si>
  <si>
    <t>1 Gig</t>
  </si>
  <si>
    <t>50 Mbps</t>
  </si>
  <si>
    <t>100 Mbps</t>
  </si>
  <si>
    <t>200 Mbps</t>
  </si>
  <si>
    <t>400 Mbps</t>
  </si>
  <si>
    <t>800 Mbps</t>
  </si>
  <si>
    <t>1 Gbps</t>
  </si>
  <si>
    <t>1.2 Gbps</t>
  </si>
  <si>
    <t>Name</t>
  </si>
  <si>
    <t>Fort Wayne, IN</t>
  </si>
  <si>
    <t>3118 Oak Borough Run</t>
  </si>
  <si>
    <t>Plano, TX</t>
  </si>
  <si>
    <t>4412 Odessa Drive</t>
  </si>
  <si>
    <t>Tampa, FL</t>
  </si>
  <si>
    <t>920 E McBerry St</t>
  </si>
  <si>
    <t>Pomona, CA</t>
  </si>
  <si>
    <t>848 Laurel Ave</t>
  </si>
  <si>
    <t>AT&amp;T Penetration Analysis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</si>
  <si>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</si>
  <si>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</si>
  <si>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</si>
  <si>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</si>
  <si>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</si>
  <si>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</si>
  <si>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</si>
  <si>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</si>
  <si>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</si>
  <si>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</si>
  <si>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</si>
  <si>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</si>
  <si>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</si>
  <si>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</si>
  <si>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</si>
  <si>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</si>
  <si>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</si>
  <si>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</si>
  <si>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</si>
  <si>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</si>
  <si>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AT&amp;T Fiber Passings</t>
  </si>
  <si>
    <t>AT&amp;T Fiber Subs</t>
  </si>
  <si>
    <r>
      <t xml:space="preserve">memo: </t>
    </r>
    <r>
      <rPr>
        <sz val="9"/>
        <color theme="1"/>
        <rFont val="Calibri"/>
        <family val="2"/>
      </rPr>
      <t>Penetration</t>
    </r>
  </si>
  <si>
    <r>
      <t xml:space="preserve">memo: </t>
    </r>
    <r>
      <rPr>
        <sz val="9"/>
        <color theme="1"/>
        <rFont val="Calibri"/>
        <family val="2"/>
      </rPr>
      <t>Passings Change Y/Y</t>
    </r>
  </si>
  <si>
    <r>
      <t xml:space="preserve">memo: </t>
    </r>
    <r>
      <rPr>
        <sz val="9"/>
        <color theme="1"/>
        <rFont val="Calibri"/>
        <family val="2"/>
      </rPr>
      <t>Penetration Change Y/Y</t>
    </r>
  </si>
  <si>
    <t xml:space="preserve">Penetration </t>
  </si>
  <si>
    <t>Copper customers</t>
  </si>
  <si>
    <t>memo: Terminal year revenue growth</t>
  </si>
  <si>
    <t>memo: Terminal year EBITDA growth</t>
  </si>
  <si>
    <t>memo: Terminal year UFCF growth</t>
  </si>
  <si>
    <t xml:space="preserve">Value per share </t>
  </si>
  <si>
    <t>memo: Upside / (downside)</t>
  </si>
  <si>
    <t>Drivers</t>
  </si>
  <si>
    <t>Number of years to terminal year</t>
  </si>
  <si>
    <t>Terminal Year</t>
  </si>
  <si>
    <t>HH growth and penetration assumptions</t>
  </si>
  <si>
    <t>HH growth</t>
  </si>
  <si>
    <t>Share of consumer locations</t>
  </si>
  <si>
    <t>Terminal fiber penetration</t>
  </si>
  <si>
    <t>Terminal copper penetration</t>
  </si>
  <si>
    <t>Terminal video penetration</t>
  </si>
  <si>
    <t>ARPU and revenue assumptions</t>
  </si>
  <si>
    <t>Fiber broadband ARPU growth</t>
  </si>
  <si>
    <t>Copper broadband ARPU growth</t>
  </si>
  <si>
    <t>Video ARPU growth</t>
  </si>
  <si>
    <t>Voice and other revenue growth</t>
  </si>
  <si>
    <t>Commercial revenue growth</t>
  </si>
  <si>
    <t>Opex assumptions</t>
  </si>
  <si>
    <t>Variable cost per customer (excl. programming)</t>
  </si>
  <si>
    <t>Variable cost per customer - fiber</t>
  </si>
  <si>
    <t>Variable cost per customer - copper</t>
  </si>
  <si>
    <t>Fixed cost per location</t>
  </si>
  <si>
    <t>Cost cuts</t>
  </si>
  <si>
    <t>Capex assumptions</t>
  </si>
  <si>
    <t>Capex to pass per location</t>
  </si>
  <si>
    <t>Capex to reconnect - pro install</t>
  </si>
  <si>
    <t>Capex to reconnect - self-install</t>
  </si>
  <si>
    <t>Capex to reconnect - blended</t>
  </si>
  <si>
    <t>Business and wholesale capex</t>
  </si>
  <si>
    <t>Maintenance capex in 2023</t>
  </si>
  <si>
    <t>memo: Capex per passing in 2023</t>
  </si>
  <si>
    <t>Fiber maintenace capex per location</t>
  </si>
  <si>
    <t>memo: copper maintenace capex per location</t>
  </si>
  <si>
    <t>Steady state</t>
  </si>
  <si>
    <t>Terminal Year+1</t>
  </si>
  <si>
    <t>Growth</t>
  </si>
  <si>
    <t xml:space="preserve">   Total locations</t>
  </si>
  <si>
    <t>= Total customers</t>
  </si>
  <si>
    <t>memo: consumer revenue per customer</t>
  </si>
  <si>
    <t>memo: penetration of locations</t>
  </si>
  <si>
    <t>memo: revenue per customer per month</t>
  </si>
  <si>
    <t>memo: revenue per location per month</t>
  </si>
  <si>
    <t xml:space="preserve">   Commercial fiber revenue</t>
  </si>
  <si>
    <t>+ Commercial copper revenue</t>
  </si>
  <si>
    <t>= Total commercial revenue</t>
  </si>
  <si>
    <t xml:space="preserve">   Variable costs - fiber</t>
  </si>
  <si>
    <t>+ Variable costs - copper</t>
  </si>
  <si>
    <t>= Total variable costs</t>
  </si>
  <si>
    <t>+ Fixed costs</t>
  </si>
  <si>
    <t>= Total cash costs (excl. programming)</t>
  </si>
  <si>
    <t>-  Cost cuts</t>
  </si>
  <si>
    <t>+ Programming costs</t>
  </si>
  <si>
    <t>= Total cash costs</t>
  </si>
  <si>
    <t>memo: non-programming cost per customer</t>
  </si>
  <si>
    <t>memo: programming cost per video sub</t>
  </si>
  <si>
    <t>memo: EBITDA per customer per month</t>
  </si>
  <si>
    <t>memo: EBITDA per passing per month</t>
  </si>
  <si>
    <t>Capex to pass</t>
  </si>
  <si>
    <t>memo: new connects</t>
  </si>
  <si>
    <t>memo: reconnects</t>
  </si>
  <si>
    <t>memo: B&amp;W capex / passing</t>
  </si>
  <si>
    <t>memo: B&amp;W capex / revenue</t>
  </si>
  <si>
    <t>memo: Maintenance capex / passing</t>
  </si>
  <si>
    <t>memo: Maintenance capex / fiber passing</t>
  </si>
  <si>
    <t>memo: Maintenance capex / copper passing</t>
  </si>
  <si>
    <t>memo: Maintenance capex / revenues</t>
  </si>
  <si>
    <t>memo: UFCF per customer per month</t>
  </si>
  <si>
    <t>memo: UFCF per passing per month</t>
  </si>
  <si>
    <t>Frontier Dallas</t>
  </si>
  <si>
    <t>Dallas 2023</t>
  </si>
  <si>
    <t>FYBR 2023</t>
  </si>
  <si>
    <t>memo: penetration of fiber customers</t>
  </si>
  <si>
    <t>= Total costs (before overheads)</t>
  </si>
  <si>
    <t>memo: variable cost per customer</t>
  </si>
  <si>
    <t>memo: fixed cost per location</t>
  </si>
  <si>
    <t>EBITDA (before overheads)</t>
  </si>
  <si>
    <t>Estimated overheads</t>
  </si>
  <si>
    <t>memo: overheads per location</t>
  </si>
  <si>
    <t>EBITDA (after overheads)</t>
  </si>
  <si>
    <t>Frontier Base Markets</t>
  </si>
  <si>
    <t>2020-23 CAGR</t>
  </si>
  <si>
    <t>memo: penetration of customers</t>
  </si>
  <si>
    <t>Total costs</t>
  </si>
  <si>
    <t>Detailed model for DCF valuation</t>
  </si>
  <si>
    <t>Programming costs</t>
  </si>
  <si>
    <t xml:space="preserve">   Non-programming costs (before cost cuts)</t>
  </si>
  <si>
    <t>- Cost cuts</t>
  </si>
  <si>
    <t>= Non-programming costs (after cost cuts)</t>
  </si>
  <si>
    <t>memo: Total costs per customer</t>
  </si>
  <si>
    <t>memo: Total costs costs per location</t>
  </si>
  <si>
    <t>Steady-state DCF valuation</t>
  </si>
  <si>
    <t>Cash expenses</t>
  </si>
  <si>
    <t>EBIT</t>
  </si>
  <si>
    <t>EBIT after tax</t>
  </si>
  <si>
    <r>
      <t xml:space="preserve">memo: </t>
    </r>
    <r>
      <rPr>
        <sz val="9"/>
        <color rgb="FF000000"/>
        <rFont val="Calibri"/>
        <family val="2"/>
      </rPr>
      <t>EV / EBITDA</t>
    </r>
  </si>
  <si>
    <t>Metrics</t>
  </si>
  <si>
    <t>Revenue growth</t>
  </si>
  <si>
    <t xml:space="preserve">UFCF margin </t>
  </si>
  <si>
    <t>Capex / revenues</t>
  </si>
  <si>
    <t>D&amp;A / Capex</t>
  </si>
  <si>
    <t>Period</t>
  </si>
  <si>
    <t>PV of FCF</t>
  </si>
  <si>
    <t>Terminal FCF</t>
  </si>
  <si>
    <t>WACC Calculation</t>
  </si>
  <si>
    <t>/ R less G</t>
  </si>
  <si>
    <t>Risk free rate</t>
  </si>
  <si>
    <t>Market risk premium</t>
  </si>
  <si>
    <t>Beta</t>
  </si>
  <si>
    <t>Cost of equity</t>
  </si>
  <si>
    <t>Target equity %</t>
  </si>
  <si>
    <t>+ PV of NOL</t>
  </si>
  <si>
    <t>Wtd. Cost of equity</t>
  </si>
  <si>
    <t>= Enterprise value</t>
  </si>
  <si>
    <t>- Debt</t>
  </si>
  <si>
    <t>Cost of debt</t>
  </si>
  <si>
    <t>+ Cash</t>
  </si>
  <si>
    <t>After-tax cost of debt</t>
  </si>
  <si>
    <t xml:space="preserve"> = Equity Value</t>
  </si>
  <si>
    <t>Target debt %</t>
  </si>
  <si>
    <t>Wtd. Cost of debt</t>
  </si>
  <si>
    <t>WACC</t>
  </si>
  <si>
    <t>memo: premium / discount</t>
  </si>
  <si>
    <t>memo: terminal leverage</t>
  </si>
  <si>
    <t>Assumptions</t>
  </si>
  <si>
    <t>memo: terminal multiple</t>
  </si>
  <si>
    <t>Terminal growth</t>
  </si>
  <si>
    <t>At 7x</t>
  </si>
  <si>
    <t>Conservative</t>
  </si>
  <si>
    <t>Base</t>
  </si>
  <si>
    <t xml:space="preserve">   Future value</t>
  </si>
  <si>
    <t>/ Discounted to present</t>
  </si>
  <si>
    <t>At 10x</t>
  </si>
  <si>
    <t>At 11x</t>
  </si>
  <si>
    <t>Slide 3</t>
  </si>
  <si>
    <t>Fiber broadband customers</t>
  </si>
  <si>
    <t>UFCF per location</t>
  </si>
  <si>
    <t>EBITDA per location</t>
  </si>
  <si>
    <t>Slide 4</t>
  </si>
  <si>
    <t>Base fiber</t>
  </si>
  <si>
    <t>Slide 5</t>
  </si>
  <si>
    <t>Slide 6</t>
  </si>
  <si>
    <t>Conservative case</t>
  </si>
  <si>
    <t>Steady state target</t>
  </si>
  <si>
    <t>Commercial revenue</t>
  </si>
  <si>
    <t>Consumer fiber ARPU growth</t>
  </si>
  <si>
    <t>Total revenue growth</t>
  </si>
  <si>
    <t>Capex / revenue</t>
  </si>
  <si>
    <t>UFCF growth</t>
  </si>
  <si>
    <t>Cost per location</t>
  </si>
  <si>
    <t>Variable cost per customer</t>
  </si>
  <si>
    <t>Fixed cost per copper location</t>
  </si>
  <si>
    <t>Fixed cost per fiber location</t>
  </si>
  <si>
    <t>Valuations</t>
  </si>
  <si>
    <t>Conservative case @10x</t>
  </si>
  <si>
    <t>Base case @10x</t>
  </si>
  <si>
    <t>Enterprise value</t>
  </si>
  <si>
    <t xml:space="preserve">   Terminal EBITDA</t>
  </si>
  <si>
    <t>x Frontier's 2024 EV / EBITDA Multiple</t>
  </si>
  <si>
    <t>= Equity value per share</t>
  </si>
  <si>
    <t>/ Discounting to present</t>
  </si>
  <si>
    <t>= Present equity value per share</t>
  </si>
  <si>
    <t>memo: loss to discounting</t>
  </si>
  <si>
    <t xml:space="preserve">   Cash burn to get to 10MM fiber locations</t>
  </si>
  <si>
    <t>+ Capex for additional fiber locations</t>
  </si>
  <si>
    <t>+ Connect capex for extra locations</t>
  </si>
  <si>
    <t>= Total cash burn</t>
  </si>
  <si>
    <t>Impact of discounting</t>
  </si>
  <si>
    <t>x Leverage</t>
  </si>
  <si>
    <t>= Interest expense</t>
  </si>
  <si>
    <t xml:space="preserve">   Enterprise value</t>
  </si>
  <si>
    <t>Peer valuation</t>
  </si>
  <si>
    <t>2024 EBITDA growth</t>
  </si>
  <si>
    <t>2024 EV/EBITDA</t>
  </si>
  <si>
    <t>AT&amp;T</t>
  </si>
  <si>
    <t>T-Mobile</t>
  </si>
  <si>
    <t>Implied multiple for Frontier</t>
  </si>
  <si>
    <t>charter's multiple over expected growth rate over time</t>
  </si>
  <si>
    <t>exit multiple</t>
  </si>
  <si>
    <t>Flat B&amp;W with no cost cuts</t>
  </si>
  <si>
    <t>Flat B&amp;W with cost cuts (base case)</t>
  </si>
  <si>
    <t>Incremental margin analysis</t>
  </si>
  <si>
    <t>Change due to:</t>
  </si>
  <si>
    <t>EBITDA impact</t>
  </si>
  <si>
    <t>Total change</t>
  </si>
  <si>
    <t>Video customers</t>
  </si>
  <si>
    <t>2026-31 CAGR</t>
  </si>
  <si>
    <t>memo: fiber broadband ARPU growth</t>
  </si>
  <si>
    <t>memo: copper broadband ARPU growth</t>
  </si>
  <si>
    <t>memo: growth</t>
  </si>
  <si>
    <t>memo: SMB fiber ARPU growth</t>
  </si>
  <si>
    <t>memo: SMB copper ARPU growth</t>
  </si>
  <si>
    <t>memo: cash interest rate</t>
  </si>
  <si>
    <t>memo: net leverage</t>
  </si>
  <si>
    <t>Debt paydown</t>
  </si>
  <si>
    <t>Debt raised</t>
  </si>
  <si>
    <t>Interest rate on debt paydown</t>
  </si>
  <si>
    <t>Interest rate on debt raised</t>
  </si>
  <si>
    <t xml:space="preserve">   2031 EBITDA</t>
  </si>
  <si>
    <t>x EV / EBITDA Multiple</t>
  </si>
  <si>
    <t>memo: discounted to 2024</t>
  </si>
  <si>
    <t>Dallas Market</t>
  </si>
  <si>
    <t>memo: copper penetration</t>
  </si>
  <si>
    <t xml:space="preserve"> / Fiber locations</t>
  </si>
  <si>
    <t>= EBITDA per location</t>
  </si>
  <si>
    <t xml:space="preserve">   Steady-state fiber locations</t>
  </si>
  <si>
    <t>x EBITDA per location</t>
  </si>
  <si>
    <t>= Steady-state EBITDA</t>
  </si>
  <si>
    <t xml:space="preserve">   EBITDA as per Dallas markets</t>
  </si>
  <si>
    <t>- EBITDA as per our steady-state estimate</t>
  </si>
  <si>
    <t>= Difference in EBITDA</t>
  </si>
  <si>
    <t xml:space="preserve">   Extra EBITDA needed</t>
  </si>
  <si>
    <t>x (1-Share coming from cost cuts)</t>
  </si>
  <si>
    <t>= Extra EBITDA needed from commercial revenue</t>
  </si>
  <si>
    <t>x (1-Incremental margins)</t>
  </si>
  <si>
    <t>= Extra revenue needed</t>
  </si>
  <si>
    <t>memo: as % of 2023 business &amp; wholesale revenue</t>
  </si>
  <si>
    <t xml:space="preserve">   LTM Fiber EBITDA from 2Q22 to 1Q23</t>
  </si>
  <si>
    <t>- Contribution from expansion markets</t>
  </si>
  <si>
    <t>= Base fiber markets EBITDA</t>
  </si>
  <si>
    <t>/ Base fiber markets locations</t>
  </si>
  <si>
    <t xml:space="preserve">   EBITDA as per base markets</t>
  </si>
  <si>
    <t>Dallas 2024</t>
  </si>
  <si>
    <t>North Texas</t>
  </si>
  <si>
    <t>Total ABS Markets</t>
  </si>
  <si>
    <t>Fiber broadband subscribers</t>
  </si>
  <si>
    <t>Copper broadband subscribers</t>
  </si>
  <si>
    <t>Total broadband subscribers</t>
  </si>
  <si>
    <t>Fiber penetration</t>
  </si>
  <si>
    <t>Copper penetration</t>
  </si>
  <si>
    <t>Consumer fiber broadband churn</t>
  </si>
  <si>
    <t>Fiber Broadband Revenue</t>
  </si>
  <si>
    <t>Copper Broadband Revenue</t>
  </si>
  <si>
    <t>Broadband Revenue</t>
  </si>
  <si>
    <t>Other Consumer Revenue</t>
  </si>
  <si>
    <t>Management fee (video opex)</t>
  </si>
  <si>
    <t>Management fee (opex)</t>
  </si>
  <si>
    <t>Management fee (sales &amp; marketing)</t>
  </si>
  <si>
    <t>Maintenance &amp; other capex</t>
  </si>
  <si>
    <t>Net Cash Flow (as per Fitch)</t>
  </si>
  <si>
    <t>Total  Passings</t>
  </si>
  <si>
    <t>Fiber Subscribers</t>
  </si>
  <si>
    <t>Copper Subscribers</t>
  </si>
  <si>
    <t>Total  Subscribers</t>
  </si>
  <si>
    <t>Fiber Penetration</t>
  </si>
  <si>
    <t>Copper Penetration</t>
  </si>
  <si>
    <t>Total  Penetration</t>
  </si>
  <si>
    <t>Consumer Fiber Churn</t>
  </si>
  <si>
    <t>Consumer Copper Churn</t>
  </si>
  <si>
    <t>Consumer Fiber ARPU</t>
  </si>
  <si>
    <t>Revenue by product</t>
  </si>
  <si>
    <t>Data &amp; Internet</t>
  </si>
  <si>
    <t>Revenue by customer type</t>
  </si>
  <si>
    <t>Fiber passings</t>
  </si>
  <si>
    <t>memo: % penetration</t>
  </si>
  <si>
    <t>Copper passings</t>
  </si>
  <si>
    <t>Total subs</t>
  </si>
  <si>
    <t>Total passings</t>
  </si>
  <si>
    <t>memo: % growth</t>
  </si>
  <si>
    <t>North Texas Assets</t>
  </si>
  <si>
    <t>Commercial Passings</t>
  </si>
  <si>
    <t xml:space="preserve">   Fiber</t>
  </si>
  <si>
    <t xml:space="preserve">   Copper</t>
  </si>
  <si>
    <t>Consumer Passings</t>
  </si>
  <si>
    <t>Commercial Penetration</t>
  </si>
  <si>
    <t>Commercial Subscribers</t>
  </si>
  <si>
    <t>Total Commercial Subscribers</t>
  </si>
  <si>
    <t>Consumer Penetration</t>
  </si>
  <si>
    <t>Consumer Subscribers</t>
  </si>
  <si>
    <t>Total Consumer Subscribers</t>
  </si>
  <si>
    <t>Total Subscribers</t>
  </si>
  <si>
    <t>LQA</t>
  </si>
  <si>
    <t>Retained Collections</t>
  </si>
  <si>
    <t>Total Management Fee</t>
  </si>
  <si>
    <t>Frontier Communications Parent, Inc.</t>
  </si>
  <si>
    <t xml:space="preserve">FYBR   35909D109   BP0V999   NASDAQ    Common stock    </t>
  </si>
  <si>
    <t>Instrument ID</t>
  </si>
  <si>
    <t>Description</t>
  </si>
  <si>
    <t>Balance Sheet Amt Out (USD)</t>
  </si>
  <si>
    <t>Current Amt Out (USD)</t>
  </si>
  <si>
    <t>Coupon Rate</t>
  </si>
  <si>
    <t>Coupon Type</t>
  </si>
  <si>
    <t>Issue Date</t>
  </si>
  <si>
    <t>Maturity Date</t>
  </si>
  <si>
    <t>Issue Curr</t>
  </si>
  <si>
    <t>Seniority</t>
  </si>
  <si>
    <t>YTW</t>
  </si>
  <si>
    <t>OAS (LIBOR)</t>
  </si>
  <si>
    <t>ST Debt</t>
  </si>
  <si>
    <t>-</t>
  </si>
  <si>
    <t>Current Portion Of LTD</t>
  </si>
  <si>
    <t>USD</t>
  </si>
  <si>
    <t>Revolving Credit</t>
  </si>
  <si>
    <t>FDS21IOC0</t>
  </si>
  <si>
    <t>Senior Sec. Revolving Credit Facility</t>
  </si>
  <si>
    <t>03/23</t>
  </si>
  <si>
    <t>04/28</t>
  </si>
  <si>
    <t>SNR Sec</t>
  </si>
  <si>
    <t>_</t>
  </si>
  <si>
    <t>Term Loans</t>
  </si>
  <si>
    <t>FDS1MIP61</t>
  </si>
  <si>
    <t>Senior Sec. 1St Lien Term Loan B</t>
  </si>
  <si>
    <t>04/21</t>
  </si>
  <si>
    <t>10/27</t>
  </si>
  <si>
    <t>Notes/Bonds</t>
  </si>
  <si>
    <t>362338AQ8</t>
  </si>
  <si>
    <t>Frontier Southwest Inc</t>
  </si>
  <si>
    <t>11/91</t>
  </si>
  <si>
    <t>11/31</t>
  </si>
  <si>
    <t>FDS0UN8Q8</t>
  </si>
  <si>
    <t>Industrial Development Revenue Bond</t>
  </si>
  <si>
    <t>05/30</t>
  </si>
  <si>
    <t>35906ABE7 (144A)</t>
  </si>
  <si>
    <t>Frontier Communications Corp</t>
  </si>
  <si>
    <t>10/20</t>
  </si>
  <si>
    <t>35906ABF4 (144A)</t>
  </si>
  <si>
    <t>11/20</t>
  </si>
  <si>
    <t>05/28</t>
  </si>
  <si>
    <t>35908MAD2 (144A)</t>
  </si>
  <si>
    <t>Frontier Communications Holdings LLC</t>
  </si>
  <si>
    <t>05/22</t>
  </si>
  <si>
    <t>35908MAE0 (144A)</t>
  </si>
  <si>
    <t>03/31</t>
  </si>
  <si>
    <t>35908MAA8</t>
  </si>
  <si>
    <t>11/29</t>
  </si>
  <si>
    <t>35906ABG2 (144A)</t>
  </si>
  <si>
    <t>05/29</t>
  </si>
  <si>
    <t>35908MAB6 (144A)</t>
  </si>
  <si>
    <t xml:space="preserve">Frontier Communications Holdings LLC </t>
  </si>
  <si>
    <t>10/21</t>
  </si>
  <si>
    <t>01/30</t>
  </si>
  <si>
    <t>362311AH5</t>
  </si>
  <si>
    <t>Frontier California Inc</t>
  </si>
  <si>
    <t>05/98</t>
  </si>
  <si>
    <t>05/27</t>
  </si>
  <si>
    <t>SNR Unsec</t>
  </si>
  <si>
    <t>362311AG7</t>
  </si>
  <si>
    <t>362337AK3</t>
  </si>
  <si>
    <t>Frontier North Inc - Series G</t>
  </si>
  <si>
    <t>02/98</t>
  </si>
  <si>
    <t>02/28</t>
  </si>
  <si>
    <t>165123AM2</t>
  </si>
  <si>
    <t>Frontier West Virginia Inc</t>
  </si>
  <si>
    <t>10/89</t>
  </si>
  <si>
    <t>10/29</t>
  </si>
  <si>
    <t>362333AH9</t>
  </si>
  <si>
    <t>Frontier Florida LLC</t>
  </si>
  <si>
    <t>SUB</t>
  </si>
  <si>
    <t>35910EAB0</t>
  </si>
  <si>
    <t>Frontier Issuer LLC - Series 2023-1 - Class B</t>
  </si>
  <si>
    <t>08/23</t>
  </si>
  <si>
    <t>08/53</t>
  </si>
  <si>
    <t>Coll</t>
  </si>
  <si>
    <t>35910EAC8</t>
  </si>
  <si>
    <t>Frontier Issuer LLC - Series  2023-1 - Class C</t>
  </si>
  <si>
    <t>35910EAA2</t>
  </si>
  <si>
    <t>Frontier Issuer LLC - Series  2023-1 - Class A-2</t>
  </si>
  <si>
    <t>Unamortized Issuance Cost</t>
  </si>
  <si>
    <t>Premium &amp; Discount</t>
  </si>
  <si>
    <t>Unamortized Fair Value Adjustments</t>
  </si>
  <si>
    <t>LT Debt Total</t>
  </si>
  <si>
    <t>Current Portion of LTD</t>
  </si>
  <si>
    <t>Net LT Debt Total</t>
  </si>
  <si>
    <t>ST Debt Total</t>
  </si>
  <si>
    <t>Data as of 04 Aug '23</t>
  </si>
  <si>
    <t xml:space="preserve"> Amount Outstanding in millions of USD</t>
  </si>
  <si>
    <t>Source: FactSet DCS and FactSet Fixed Income</t>
  </si>
  <si>
    <t>* The current total debt outstanding value is not considered a reconciled amount.  Activity is determined on a transactional basis and there can be events that may affect amounts that are not disclosed until the next filing date.</t>
  </si>
  <si>
    <t>Maturities</t>
  </si>
  <si>
    <t>Interest calculation</t>
  </si>
  <si>
    <t>Prior year interest expense</t>
  </si>
  <si>
    <t>- Interest on debt paid off in prior year</t>
  </si>
  <si>
    <t>+ Interest on debt raised in prior year</t>
  </si>
  <si>
    <t>- Interest on debt paid off in this year (remaining months)</t>
  </si>
  <si>
    <t>+ Interest on debt raised in this year</t>
  </si>
  <si>
    <t>= Interest for the year</t>
  </si>
  <si>
    <t>Tagret Price</t>
  </si>
  <si>
    <t xml:space="preserve">   FTTH 2021 EBITDA</t>
  </si>
  <si>
    <t>+ Additional Fiber Upside</t>
  </si>
  <si>
    <t>= Target FTTH EBITDA</t>
  </si>
  <si>
    <t>= Target FTTH EV</t>
  </si>
  <si>
    <t xml:space="preserve">   Copper 2021 EBITDA</t>
  </si>
  <si>
    <t xml:space="preserve">   Fiber EV</t>
  </si>
  <si>
    <t>+ Copper EV</t>
  </si>
  <si>
    <t>+ New FTTH Build EV</t>
  </si>
  <si>
    <t>= Target Price</t>
  </si>
  <si>
    <r>
      <t xml:space="preserve">memo: </t>
    </r>
    <r>
      <rPr>
        <sz val="9"/>
        <color theme="1"/>
        <rFont val="Calibri"/>
        <family val="2"/>
      </rPr>
      <t>Upside / (Downside)</t>
    </r>
  </si>
  <si>
    <t>Sum Of The Parts</t>
  </si>
  <si>
    <t xml:space="preserve">   Base Case Non-Fiber EBITDA</t>
  </si>
  <si>
    <t>= Non-Fiber EV</t>
  </si>
  <si>
    <t xml:space="preserve">   Base Case Fiber EBITDA</t>
  </si>
  <si>
    <t>= Base Case Fiber EV</t>
  </si>
  <si>
    <r>
      <rPr>
        <i/>
        <sz val="9"/>
        <color theme="1"/>
        <rFont val="Calibri"/>
        <family val="2"/>
      </rPr>
      <t xml:space="preserve">memo: </t>
    </r>
    <r>
      <rPr>
        <sz val="9"/>
        <color theme="1"/>
        <rFont val="Calibri"/>
        <family val="2"/>
      </rPr>
      <t>New FTTH Fiber EBITDA</t>
    </r>
  </si>
  <si>
    <t xml:space="preserve">   Total EBITDA</t>
  </si>
  <si>
    <t>= Total Base Case EV</t>
  </si>
  <si>
    <t>+ FTTH Build NPV</t>
  </si>
  <si>
    <t>- Net Debt at Emergence</t>
  </si>
  <si>
    <t>- Net Debt Fiber Build</t>
  </si>
  <si>
    <t>= Value Per Share</t>
  </si>
  <si>
    <t>DCF as per PJT (high case)</t>
  </si>
  <si>
    <t>- Other liabilities</t>
  </si>
  <si>
    <t>DCF as per PJT (low case)</t>
  </si>
  <si>
    <t>DCF as per Barclays (high case)</t>
  </si>
  <si>
    <t>DCF as per Barclays (low case)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</si>
  <si>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</si>
  <si>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</si>
  <si>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</si>
  <si>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</si>
  <si>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</si>
  <si>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</si>
  <si>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</si>
  <si>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</si>
  <si>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EV Calculation</t>
  </si>
  <si>
    <t>Recent price</t>
  </si>
  <si>
    <t>x Shares outstanding</t>
  </si>
  <si>
    <t>= Market capitalization</t>
  </si>
  <si>
    <t>-  PV NOL and Other Tax Assets</t>
  </si>
  <si>
    <t>= Adjusted EV</t>
  </si>
  <si>
    <r>
      <t xml:space="preserve">memo: </t>
    </r>
    <r>
      <rPr>
        <sz val="9"/>
        <rFont val="Calibri"/>
        <family val="2"/>
      </rPr>
      <t>Upside to price target</t>
    </r>
  </si>
  <si>
    <r>
      <rPr>
        <i/>
        <sz val="9"/>
        <rFont val="Calibri"/>
        <family val="2"/>
      </rPr>
      <t xml:space="preserve">memo: </t>
    </r>
    <r>
      <rPr>
        <sz val="9"/>
        <rFont val="Calibri"/>
        <family val="2"/>
      </rPr>
      <t>FTR target price</t>
    </r>
  </si>
  <si>
    <t>Current Multiples</t>
  </si>
  <si>
    <t>EV / revenue</t>
  </si>
  <si>
    <t>EV / EBIT</t>
  </si>
  <si>
    <t>P / FCF</t>
  </si>
  <si>
    <t>FCF Yield</t>
  </si>
  <si>
    <t>Net Debt / EBITDA</t>
  </si>
  <si>
    <t>DCF</t>
  </si>
  <si>
    <t>'23-28 CAGR</t>
  </si>
  <si>
    <t>'23-31 CAGR</t>
  </si>
  <si>
    <t>NOL Valuation</t>
  </si>
  <si>
    <t xml:space="preserve">   NOL used</t>
  </si>
  <si>
    <t>x Tax rate</t>
  </si>
  <si>
    <t>= Shielded Taxes</t>
  </si>
  <si>
    <t>/ Discount factor</t>
  </si>
  <si>
    <t>= PV of shielded taxes</t>
  </si>
  <si>
    <t>memo: Remaining Available NOL</t>
  </si>
  <si>
    <t xml:space="preserve">  PV of Tax Shields (@ End of Forecast Horizon)</t>
  </si>
  <si>
    <t>.</t>
  </si>
  <si>
    <t>= NPV of Tax Shields (@ End of Forecast Horizon)</t>
  </si>
  <si>
    <t>+ PV of Tax Shields (Over Forecast Horizon)</t>
  </si>
  <si>
    <t>= NPV of NOL</t>
  </si>
  <si>
    <t>SOTP</t>
  </si>
  <si>
    <t xml:space="preserve">   FTTH Consumer Revenue</t>
  </si>
  <si>
    <t>+ Commercial Revenue</t>
  </si>
  <si>
    <t>+ Legacy Revenue</t>
  </si>
  <si>
    <t>= Total Revenue</t>
  </si>
  <si>
    <t xml:space="preserve">   FTTH Consumer EBITDA</t>
  </si>
  <si>
    <t>+ Legacy Consumer EBITDA</t>
  </si>
  <si>
    <t>+ Commercial EBITDA</t>
  </si>
  <si>
    <t>memo: FTTH Consumer EBITDA Margin</t>
  </si>
  <si>
    <t>memo: Commercial EBITDA Margin</t>
  </si>
  <si>
    <t>memo: Legacy Consumer EBITDA Margin</t>
  </si>
  <si>
    <t xml:space="preserve">   FTTH Consumer EV</t>
  </si>
  <si>
    <t>+ Legacy Consumer EV</t>
  </si>
  <si>
    <t>+ Commercial EV</t>
  </si>
  <si>
    <t>memo: FTTH Consumer EV Multiple</t>
  </si>
  <si>
    <t>memo: Commercial EV Multiple</t>
  </si>
  <si>
    <t>memo: Legacy Consumer EV Multiple</t>
  </si>
  <si>
    <t>memo: Total EV Multiple</t>
  </si>
  <si>
    <t xml:space="preserve">   FTTH Consumer Equity Value</t>
  </si>
  <si>
    <t>+ Legacy Consumer Equity Value</t>
  </si>
  <si>
    <t>+ Commercial Equity Value</t>
  </si>
  <si>
    <t xml:space="preserve">   FTTH Consumer Value Per Share</t>
  </si>
  <si>
    <t>+ Legacy Consumer Value Per Share</t>
  </si>
  <si>
    <t>+ Commercial Value Per Share</t>
  </si>
  <si>
    <t>= Total Value Per Share</t>
  </si>
  <si>
    <r>
      <t xml:space="preserve">memo: </t>
    </r>
    <r>
      <rPr>
        <i/>
        <sz val="9"/>
        <color theme="1"/>
        <rFont val="Calibri"/>
        <family val="2"/>
      </rPr>
      <t>SHOUT</t>
    </r>
  </si>
  <si>
    <t>NSR vs. Consensus</t>
  </si>
  <si>
    <r>
      <t xml:space="preserve">memo: </t>
    </r>
    <r>
      <rPr>
        <sz val="9"/>
        <rFont val="Calibri"/>
        <family val="2"/>
      </rPr>
      <t>Difference</t>
    </r>
  </si>
  <si>
    <r>
      <t xml:space="preserve">memo: </t>
    </r>
    <r>
      <rPr>
        <sz val="9"/>
        <rFont val="Calibri"/>
        <family val="2"/>
      </rPr>
      <t>NSR EBITDA Multiple</t>
    </r>
  </si>
  <si>
    <r>
      <t xml:space="preserve">memo: </t>
    </r>
    <r>
      <rPr>
        <sz val="9"/>
        <rFont val="Calibri"/>
        <family val="2"/>
      </rPr>
      <t>Consensus EBITDA Multiple</t>
    </r>
  </si>
  <si>
    <r>
      <t xml:space="preserve">memo: </t>
    </r>
    <r>
      <rPr>
        <sz val="9"/>
        <rFont val="Calibri"/>
        <family val="2"/>
      </rPr>
      <t>NSR UFCF Multiple</t>
    </r>
  </si>
  <si>
    <r>
      <t xml:space="preserve">memo: </t>
    </r>
    <r>
      <rPr>
        <sz val="9"/>
        <rFont val="Calibri"/>
        <family val="2"/>
      </rPr>
      <t>Consensus UFCF Multiple</t>
    </r>
  </si>
  <si>
    <t>Consensus Estimates (Hardcode)</t>
  </si>
  <si>
    <t/>
  </si>
  <si>
    <t>Consensus Estimates (FactSet)</t>
  </si>
  <si>
    <t>Guidance</t>
  </si>
  <si>
    <t>Long-Term Guidance</t>
  </si>
  <si>
    <t>Target Year*</t>
  </si>
  <si>
    <t>NSR Estimate</t>
  </si>
  <si>
    <t>10MM+</t>
  </si>
  <si>
    <t>Fiber Customers</t>
  </si>
  <si>
    <t>4.5MM+</t>
  </si>
  <si>
    <t>$4BN+</t>
  </si>
  <si>
    <t>EBITDA Margin</t>
  </si>
  <si>
    <t>Mid-to-High 40s (44-48%)</t>
  </si>
  <si>
    <t>* Target year for fiber passings is explicit but the rest of the guide is implied</t>
  </si>
  <si>
    <t>Explicit Guidance</t>
  </si>
  <si>
    <t>Midpoint</t>
  </si>
  <si>
    <t>Var.</t>
  </si>
  <si>
    <t>Capex per new fiber passing</t>
  </si>
  <si>
    <t>Cash interest</t>
  </si>
  <si>
    <t>Pension and OPEB expense</t>
  </si>
  <si>
    <t>Cash pension &amp; OPEB</t>
  </si>
  <si>
    <t>Implied FCF (ex-WC)</t>
  </si>
  <si>
    <t>Forward-looking context</t>
  </si>
  <si>
    <t>Comment</t>
  </si>
  <si>
    <t>Implication</t>
  </si>
  <si>
    <t>2024 fiber broadband net adds</t>
  </si>
  <si>
    <t>Above 2023</t>
  </si>
  <si>
    <t>&gt; 321</t>
  </si>
  <si>
    <t>4Q24 fiber broadband ARPU</t>
  </si>
  <si>
    <t>3-4% growth</t>
  </si>
  <si>
    <t>2024 fiber broadband ARPU growth</t>
  </si>
  <si>
    <t>3-4%</t>
  </si>
  <si>
    <t>2024 fiber revenue growth</t>
  </si>
  <si>
    <t>Accelerate</t>
  </si>
  <si>
    <t>&gt; 8.2%</t>
  </si>
  <si>
    <t>2024 consumer fiber revenue growth</t>
  </si>
  <si>
    <t>&gt; 11%</t>
  </si>
  <si>
    <t>2024 consumer revenue growth</t>
  </si>
  <si>
    <t>&gt; -0.6%</t>
  </si>
  <si>
    <t>2024 commercial revenue growth</t>
  </si>
  <si>
    <t>high-end of +/- 1-2%</t>
  </si>
  <si>
    <t>+1% to +2%</t>
  </si>
  <si>
    <t>MSD</t>
  </si>
  <si>
    <t>4% to 6%</t>
  </si>
  <si>
    <t>Implied FCF (ex-WC)*</t>
  </si>
  <si>
    <t>* We don't expect major swings in working capital</t>
  </si>
  <si>
    <t>Grow</t>
  </si>
  <si>
    <t>&gt; 5,787</t>
  </si>
  <si>
    <t>2023 EBITDA</t>
  </si>
  <si>
    <t>&gt; 2,080</t>
  </si>
  <si>
    <t>2Q23 EBITDA</t>
  </si>
  <si>
    <t>$520-$530</t>
  </si>
  <si>
    <t>4Q23 fiber broadband ARPU growth</t>
  </si>
  <si>
    <t>~4%</t>
  </si>
  <si>
    <t>Inputs</t>
  </si>
  <si>
    <t>1Q05</t>
  </si>
  <si>
    <t>2Q05</t>
  </si>
  <si>
    <t>3Q05</t>
  </si>
  <si>
    <t>4Q05</t>
  </si>
  <si>
    <t>1Q06</t>
  </si>
  <si>
    <t>2Q06</t>
  </si>
  <si>
    <t>3Q06</t>
  </si>
  <si>
    <t>4Q06</t>
  </si>
  <si>
    <t>1Q07</t>
  </si>
  <si>
    <t>2Q07</t>
  </si>
  <si>
    <t>3Q07</t>
  </si>
  <si>
    <t>4Q07</t>
  </si>
  <si>
    <t>1Q08</t>
  </si>
  <si>
    <t>2Q08</t>
  </si>
  <si>
    <t>3Q08</t>
  </si>
  <si>
    <t>4Q08</t>
  </si>
  <si>
    <t>1Q09</t>
  </si>
  <si>
    <t>2Q09</t>
  </si>
  <si>
    <t>3Q09</t>
  </si>
  <si>
    <t>4Q09</t>
  </si>
  <si>
    <t>1Q10</t>
  </si>
  <si>
    <t>2Q10</t>
  </si>
  <si>
    <t>3Q10</t>
  </si>
  <si>
    <t>4Q10</t>
  </si>
  <si>
    <t>1Q11</t>
  </si>
  <si>
    <t>2Q11</t>
  </si>
  <si>
    <t>3Q11</t>
  </si>
  <si>
    <t>4Q11</t>
  </si>
  <si>
    <t>1Q12</t>
  </si>
  <si>
    <t>2Q12</t>
  </si>
  <si>
    <t>3Q12</t>
  </si>
  <si>
    <t>4Q12</t>
  </si>
  <si>
    <t>1Q13</t>
  </si>
  <si>
    <t>2Q13</t>
  </si>
  <si>
    <t>3Q13</t>
  </si>
  <si>
    <t>4Q13</t>
  </si>
  <si>
    <t>2024E</t>
  </si>
  <si>
    <t>1Q25E</t>
  </si>
  <si>
    <t>2Q25E</t>
  </si>
  <si>
    <t>3Q25E</t>
  </si>
  <si>
    <t>4Q25E</t>
  </si>
  <si>
    <t>2025E</t>
  </si>
  <si>
    <t>2026E</t>
  </si>
  <si>
    <t>2027E</t>
  </si>
  <si>
    <t>2028E</t>
  </si>
  <si>
    <t>2029E</t>
  </si>
  <si>
    <t>2030E</t>
  </si>
  <si>
    <t>2031E</t>
  </si>
  <si>
    <t>2032E</t>
  </si>
  <si>
    <t>2033E</t>
  </si>
  <si>
    <t>Earnings Inputs</t>
  </si>
  <si>
    <t>Consumer fiber broadband net adds</t>
  </si>
  <si>
    <t>Trending schedule page 1</t>
  </si>
  <si>
    <t>Consumer copper broadband net adds</t>
  </si>
  <si>
    <t>Total consumer broadband net adds</t>
  </si>
  <si>
    <t>Commercial fiber broadband net adds</t>
  </si>
  <si>
    <t>Commercial copper broadband net adds</t>
  </si>
  <si>
    <t>Total Commercial broadband net adds</t>
  </si>
  <si>
    <t>Fiber broadband ARPU</t>
  </si>
  <si>
    <t>Trending schedule page 2</t>
  </si>
  <si>
    <t>Copper broadband ARPU</t>
  </si>
  <si>
    <t>Fiber Adj EBITDA</t>
  </si>
  <si>
    <t>Trending schedule page 4</t>
  </si>
  <si>
    <t>Copper Adj EBITDA</t>
  </si>
  <si>
    <t>Subsidy Adj EBITDA</t>
  </si>
  <si>
    <t>Total Adj EBITDA</t>
  </si>
  <si>
    <t>Revenue by Segment</t>
  </si>
  <si>
    <t>Business and Wholesale Fiber Revenue</t>
  </si>
  <si>
    <t>Business and Wholesale Copper Revenue</t>
  </si>
  <si>
    <t>Regulatory, USF, TSA Revenue</t>
  </si>
  <si>
    <t>Cash capex</t>
  </si>
  <si>
    <t>Trending schedule page 7</t>
  </si>
  <si>
    <t>Trending schedule page 8</t>
  </si>
  <si>
    <t>New fiber passings</t>
  </si>
  <si>
    <t>Press release</t>
  </si>
  <si>
    <t>Statement of Operations Data</t>
  </si>
  <si>
    <t>Operating expenses:</t>
  </si>
  <si>
    <t>Network access expenses</t>
  </si>
  <si>
    <t>Network related expenses</t>
  </si>
  <si>
    <t>Restructuring costs and other charges</t>
  </si>
  <si>
    <t>Total operating expenses</t>
  </si>
  <si>
    <t>Loss on early extinguishment of debt</t>
  </si>
  <si>
    <t>Reorganization items, net</t>
  </si>
  <si>
    <t>Diluted EPS</t>
  </si>
  <si>
    <t>Basic EPS</t>
  </si>
  <si>
    <t>Weighted average shares outstanding - diluted</t>
  </si>
  <si>
    <t>Weighted average shares outstanding - basic</t>
  </si>
  <si>
    <t>Shares outstanding - EOP (10-Q/K)</t>
  </si>
  <si>
    <t>EBITDA Build - Consolidated</t>
  </si>
  <si>
    <t>Net income</t>
  </si>
  <si>
    <t>Add back (subtract)</t>
  </si>
  <si>
    <t>Income tax expense</t>
  </si>
  <si>
    <t>Investment and other (income) loss, net</t>
  </si>
  <si>
    <t>Loss on extinguishment of debt</t>
  </si>
  <si>
    <t>Reorganization items</t>
  </si>
  <si>
    <t>Operating income (loss)</t>
  </si>
  <si>
    <t>Depreciation and amortization</t>
  </si>
  <si>
    <t>Add back:</t>
  </si>
  <si>
    <t>Restructuring Costs and other charges</t>
  </si>
  <si>
    <t>Storm-related insurance proceeds</t>
  </si>
  <si>
    <t>Loss on disposal of Northwest operations</t>
  </si>
  <si>
    <t>EBITDA Build - Remaining Properties</t>
  </si>
  <si>
    <t>Statement of Operations Data (Post 2Q21 Restatement, Normalized for Fresh Start Accounting)</t>
  </si>
  <si>
    <t>Business &amp; Wholesale Fiber Revenue</t>
  </si>
  <si>
    <t>Business &amp; Wholesale Copper Revenue</t>
  </si>
  <si>
    <t>Reg. &amp; TSA Revenue</t>
  </si>
  <si>
    <t>Total Revneue</t>
  </si>
  <si>
    <t>Video Content Expense</t>
  </si>
  <si>
    <t>Non-Programming Network Access Expense</t>
  </si>
  <si>
    <t>Network Related Expense</t>
  </si>
  <si>
    <t>Total Adjusted Operating Expenses</t>
  </si>
  <si>
    <t>Cost of Service excl Video Content Expense</t>
  </si>
  <si>
    <t>Subsidy EBITDA</t>
  </si>
  <si>
    <t>Statement of Operations Data (Reported)</t>
  </si>
  <si>
    <t>Statement of Operations Data (Post 2Q21 Restatement)</t>
  </si>
  <si>
    <t>memo: check</t>
  </si>
  <si>
    <t>(Gain) Loss on exitinguishment of dbet</t>
  </si>
  <si>
    <t>Amortization of deferred financing costs</t>
  </si>
  <si>
    <t>Non-cash reorganization items</t>
  </si>
  <si>
    <t>Bad debt expense</t>
  </si>
  <si>
    <t>Other adjustments</t>
  </si>
  <si>
    <t>Change in accounts recievable</t>
  </si>
  <si>
    <t>Change in accounts payable and other liabilities</t>
  </si>
  <si>
    <t>Change in prepaid expenses, income taxes, and other assets</t>
  </si>
  <si>
    <t>Capital expenditues</t>
  </si>
  <si>
    <t>Cash payments for vendor financing</t>
  </si>
  <si>
    <t>Cash paid for interest</t>
  </si>
  <si>
    <t>Cash paid for taxes</t>
  </si>
  <si>
    <t>Total debt</t>
  </si>
  <si>
    <t>Cash and equivalents</t>
  </si>
  <si>
    <t>Capitalized interest (from 10-Q/10-K)</t>
  </si>
  <si>
    <t>Free Cash Flow (from trending schedules)</t>
  </si>
  <si>
    <t>Adjusted Operating FCF</t>
  </si>
  <si>
    <t>Non-subsidy-related Build Capex</t>
  </si>
  <si>
    <t>Subsidy-related Build Capex</t>
  </si>
  <si>
    <t>Capex (from slides)</t>
  </si>
  <si>
    <t>Fiber build</t>
  </si>
  <si>
    <t>Customer acquisition, maintenance and other</t>
  </si>
  <si>
    <t>Change in payables</t>
  </si>
  <si>
    <t>Change in inventory</t>
  </si>
  <si>
    <t>Vendor financing (10-Q)</t>
  </si>
  <si>
    <t>Vendor financing balance</t>
  </si>
  <si>
    <t>Operating Metrics (Post 2Q21 Restatement)</t>
  </si>
  <si>
    <t>Consumer Customer Metrics</t>
  </si>
  <si>
    <t>Net customer additions (losses)</t>
  </si>
  <si>
    <t>Avg customer revenue per customer</t>
  </si>
  <si>
    <t>Customer monthly churn</t>
  </si>
  <si>
    <t>Broadband Customer metrics</t>
  </si>
  <si>
    <t>Broadband customers prior to 4Q23</t>
  </si>
  <si>
    <t>Wholesale broadband customers</t>
  </si>
  <si>
    <t>Broadband customers after 4Q23</t>
  </si>
  <si>
    <t>Net customer additions (losses) - prior to 2023</t>
  </si>
  <si>
    <t>Wholesale net adds</t>
  </si>
  <si>
    <t>Net customer additions (losses) after 4Q23</t>
  </si>
  <si>
    <t>Employees</t>
  </si>
  <si>
    <t>Cumulative 2020 Fiber Builds</t>
  </si>
  <si>
    <t>Cumulative 2021 Fiber Builds</t>
  </si>
  <si>
    <t>Cumulative 2022 Fiber Builds</t>
  </si>
  <si>
    <t>Cumulative 2023 Fiber Builds</t>
  </si>
  <si>
    <t>Cumulative 2024 Fiber Builds</t>
  </si>
  <si>
    <t>New Fiber Passings (Fron Slides / Press Release)</t>
  </si>
  <si>
    <t>Consumer Customer Relationships</t>
  </si>
  <si>
    <t>Total Net Adds</t>
  </si>
  <si>
    <t>Consumer Broadband Customers</t>
  </si>
  <si>
    <t xml:space="preserve">    Consumer Fiber</t>
  </si>
  <si>
    <t xml:space="preserve">   Consumer Copper</t>
  </si>
  <si>
    <t>Consumer Broadband Customers Net Adds</t>
  </si>
  <si>
    <t>Total Consumer Net Adds</t>
  </si>
  <si>
    <t>Business Broadband Customers - Prior to 4Q23</t>
  </si>
  <si>
    <t xml:space="preserve">    Business Fiber</t>
  </si>
  <si>
    <t xml:space="preserve">   Business Copper</t>
  </si>
  <si>
    <t>Total Business</t>
  </si>
  <si>
    <t>Wholesale Broadband Customers - Prior to 4Q23</t>
  </si>
  <si>
    <t xml:space="preserve">    Wholesale Fiber</t>
  </si>
  <si>
    <t xml:space="preserve">   Wholesale Copper</t>
  </si>
  <si>
    <t>Total Wholesale</t>
  </si>
  <si>
    <t>Business &amp; Wholesale Broadband Customers - After 4Q23</t>
  </si>
  <si>
    <t xml:space="preserve">    Business + Wholesale Fiber</t>
  </si>
  <si>
    <t xml:space="preserve">   Business + Wholesale Copper</t>
  </si>
  <si>
    <t>Total Business + Wholesale</t>
  </si>
  <si>
    <t>Business Broadband Customers Net Adds - Prior to 4Q23</t>
  </si>
  <si>
    <t>Total Business Net Adds</t>
  </si>
  <si>
    <t>Wholesale Broadband Customer Net Adds - Prior to 4Q23</t>
  </si>
  <si>
    <t>Business &amp; Wholesale Broadband Customers Net Adds - After 4Q23</t>
  </si>
  <si>
    <t>Total Business + Wholesale Net Adds</t>
  </si>
  <si>
    <t>Consumer Video Customers</t>
  </si>
  <si>
    <t>Fiber Video Subs</t>
  </si>
  <si>
    <t>Copper Video Subs</t>
  </si>
  <si>
    <t>Total Video Subs</t>
  </si>
  <si>
    <t>Consumer Video Customer Net Adds</t>
  </si>
  <si>
    <t>Fiber Video Net Adds</t>
  </si>
  <si>
    <t>Copper Video Net Adds</t>
  </si>
  <si>
    <t>Total Video Net Adds</t>
  </si>
  <si>
    <t>Total Consumer Churn</t>
  </si>
  <si>
    <t>Total Business Churn</t>
  </si>
  <si>
    <t>Total Business + Wholesale Churn</t>
  </si>
  <si>
    <t>Consumer Broadband ARPU</t>
  </si>
  <si>
    <t>Total Consumer ARPU</t>
  </si>
  <si>
    <t xml:space="preserve">    Consumer Fiber ARPU</t>
  </si>
  <si>
    <t xml:space="preserve">    Gift card impact</t>
  </si>
  <si>
    <t xml:space="preserve">    Adj Consumer Fiber ARPU</t>
  </si>
  <si>
    <t>Consumer Video ARPU</t>
  </si>
  <si>
    <t>Fiber Video</t>
  </si>
  <si>
    <t>Business Broadband ARPU</t>
  </si>
  <si>
    <t>Total Business ARPU</t>
  </si>
  <si>
    <t>Business + Wholesale Broadband ARPU</t>
  </si>
  <si>
    <t>Total Business + Wholesale ARPU</t>
  </si>
  <si>
    <t>From Slides</t>
  </si>
  <si>
    <t>Penetration for 2020 Expansion Cohort @ 12 Months</t>
  </si>
  <si>
    <t>Penetration for 2020 Expansion Cohort @ 24 Months</t>
  </si>
  <si>
    <t>Penetration for 2020 Expansion Cohort @ 36 Months</t>
  </si>
  <si>
    <t>Penetration for 2021 Expansion Cohort @ 12 Months</t>
  </si>
  <si>
    <t>Penetration for 2021 Expansion Cohort @ 24 Months</t>
  </si>
  <si>
    <t>Penetration for 2022 Expansion Cohort @ 12 Months</t>
  </si>
  <si>
    <t>Penetration for 2022 Expansion Cohort @ 24 Months</t>
  </si>
  <si>
    <t>Penetration for 2023 Expansion Cohort @ 12 Months</t>
  </si>
  <si>
    <t>Cumulative Passings in 2020 Expansion Cohort</t>
  </si>
  <si>
    <t>Cumulative Passings in 2021 Expansion Cohort</t>
  </si>
  <si>
    <t>Cumulative Passings in 2022 Expansion Cohort</t>
  </si>
  <si>
    <t>Average Consumer Fiber Broadband Subs</t>
  </si>
  <si>
    <t>Consumer Fiber Broadband ARPU</t>
  </si>
  <si>
    <t>Average Consumer Copper Subs</t>
  </si>
  <si>
    <t>Consumer Copper Broadband ARPU</t>
  </si>
  <si>
    <t>Consumer Fiber Video Revenue</t>
  </si>
  <si>
    <t>Consumer Fiber Other</t>
  </si>
  <si>
    <t>Consumer Copper Video Revenue</t>
  </si>
  <si>
    <t>Consumer Copper Other</t>
  </si>
  <si>
    <t>Regulatory, USF, TSA</t>
  </si>
  <si>
    <t>Total Adjusted EBITDA</t>
  </si>
  <si>
    <t>Adjusted EBITDA Margins</t>
  </si>
  <si>
    <t>Total Adjusted EBITDA Margins</t>
  </si>
  <si>
    <t>Statement of Operations Data (Pre 2Q21 Restatement)</t>
  </si>
  <si>
    <t>Adjusted Operating Expense</t>
  </si>
  <si>
    <t>Consolidated Opex (Estimated)</t>
  </si>
  <si>
    <t>Other (SG&amp;A)</t>
  </si>
  <si>
    <t>Remaining Property Opex (Estimated)</t>
  </si>
  <si>
    <t>Operating Metrics (Pre-2Q21 Restatement)</t>
  </si>
  <si>
    <t>New Fiber Net Adds</t>
  </si>
  <si>
    <t>Consumer Base Fiber Passings</t>
  </si>
  <si>
    <t>Total Consumer Fiber Passings</t>
  </si>
  <si>
    <t>Commercial Base Fiber Passings</t>
  </si>
  <si>
    <t>Consumer Customer metrics (Remaining Properties post 4Q18)</t>
  </si>
  <si>
    <t>Customers (in thousands)</t>
  </si>
  <si>
    <t>Average monthly consumer revenue per customer</t>
  </si>
  <si>
    <t>Commercial broadband subscriber metrics (Remaining Properties post 4Q18)</t>
  </si>
  <si>
    <t>Total Customer subscriber metrics (Remaining Properties post 4Q18)</t>
  </si>
  <si>
    <t>Net subscriber additions (losses)</t>
  </si>
  <si>
    <t>Broadband subscriber metrics (Remaining Properties)</t>
  </si>
  <si>
    <t>Broadband subscribers (in thousands)</t>
  </si>
  <si>
    <t>Fiber Broadband KPIs</t>
  </si>
  <si>
    <t>Consumer Fiber Broadband Customers</t>
  </si>
  <si>
    <t>Consumer Fiber Broadband net adds</t>
  </si>
  <si>
    <t>Consumer Fiber Broadband churn</t>
  </si>
  <si>
    <t>Copper Broadband KPIs</t>
  </si>
  <si>
    <t>Consumer Copper Broadband Customers</t>
  </si>
  <si>
    <t>Consumer Copper Broadband net adds</t>
  </si>
  <si>
    <t>Consumer Copper Broadband churn</t>
  </si>
  <si>
    <t>Consumer Total Broadband net adds</t>
  </si>
  <si>
    <t>Consumer Video excl. DISH</t>
  </si>
  <si>
    <t>Video (excl. DISH) subscriber metrics (Remaining Properties)</t>
  </si>
  <si>
    <t>Video subscribers (in thousands)</t>
  </si>
  <si>
    <t>DISH subscriber metrics (Remaining Properties)</t>
  </si>
  <si>
    <t>Commercial KPIs</t>
  </si>
  <si>
    <t>Shares outstanding</t>
  </si>
  <si>
    <t>1225E</t>
  </si>
  <si>
    <t>1Q26E</t>
  </si>
  <si>
    <t>1226E</t>
  </si>
  <si>
    <t>3Q26E</t>
  </si>
  <si>
    <t>4Q26E</t>
  </si>
  <si>
    <t>memo: FTTH Maintenance capex</t>
  </si>
  <si>
    <t>NSR vs. Consensus Estimates</t>
  </si>
  <si>
    <t>USD in millions; subscribers in thousands</t>
  </si>
  <si>
    <t>Current Street</t>
  </si>
  <si>
    <t>Prior Street</t>
  </si>
  <si>
    <t>Consumer Fiber Broadband Revenue</t>
  </si>
  <si>
    <t>Business Revenue</t>
  </si>
  <si>
    <t>Consumer Copper Broadband Revenue</t>
  </si>
  <si>
    <t>Total Consumer Broadband Revenue</t>
  </si>
  <si>
    <t>Consumer Video Revenue</t>
  </si>
  <si>
    <t>Consumer Voice and Other Revenue</t>
  </si>
  <si>
    <t>Business Fiber Broadband Revenue</t>
  </si>
  <si>
    <t>Cash from Ops</t>
  </si>
  <si>
    <t>Business Copper Broadband revenue</t>
  </si>
  <si>
    <t>Business Broadband Revenues</t>
  </si>
  <si>
    <t>Business Network Access Revenue</t>
  </si>
  <si>
    <t>Business Voice Revenue</t>
  </si>
  <si>
    <t>Other Business Revenue</t>
  </si>
  <si>
    <t>Fiber Adds</t>
  </si>
  <si>
    <t>Business and wholesale Revenue</t>
  </si>
  <si>
    <t>Total Adds</t>
  </si>
  <si>
    <t>Revenue from contracts with customers</t>
  </si>
  <si>
    <t>Subsidy and Other Revenue</t>
  </si>
  <si>
    <t>Consumer Copper ARPU</t>
  </si>
  <si>
    <t>Business Fiber ARPU</t>
  </si>
  <si>
    <t>Business Copper ARPU</t>
  </si>
  <si>
    <t>Business Fiber Churn</t>
  </si>
  <si>
    <t>Business Copper Churn</t>
  </si>
  <si>
    <t>Consolidated</t>
  </si>
  <si>
    <t>Consumer Broadband Churn</t>
  </si>
  <si>
    <t>Network Access Expense</t>
  </si>
  <si>
    <t>Other Revenue</t>
  </si>
  <si>
    <t xml:space="preserve">EBITDA </t>
  </si>
  <si>
    <t xml:space="preserve">Subsidy </t>
  </si>
  <si>
    <t>2021 Fiber EBITDA</t>
  </si>
  <si>
    <t>Upgrade Cost</t>
  </si>
  <si>
    <t>Net Leverage</t>
  </si>
  <si>
    <t>Equity</t>
  </si>
  <si>
    <t>2021E</t>
  </si>
  <si>
    <t>EBITDA Growth</t>
  </si>
  <si>
    <t xml:space="preserve">New Fiber </t>
  </si>
  <si>
    <t>Debt Valuation</t>
  </si>
  <si>
    <t>- Takeback debt</t>
  </si>
  <si>
    <t>= Residual value</t>
  </si>
  <si>
    <t>/ (1-Mgmt. dilution)</t>
  </si>
  <si>
    <t>= Implied market cap</t>
  </si>
  <si>
    <t>2021 EBITDA</t>
  </si>
  <si>
    <t>Residential</t>
  </si>
  <si>
    <t>Comps Metrics</t>
  </si>
  <si>
    <t>Revenues</t>
  </si>
  <si>
    <t>Interest Expense</t>
  </si>
  <si>
    <t>Pretax Income</t>
  </si>
  <si>
    <t>Tax Rate</t>
  </si>
  <si>
    <t>EPS</t>
  </si>
  <si>
    <t>Fully Diluted Shares</t>
  </si>
  <si>
    <t>CFO</t>
  </si>
  <si>
    <t>Company FCF / share</t>
  </si>
  <si>
    <t xml:space="preserve">Total Debt </t>
  </si>
  <si>
    <t>Total Cash</t>
  </si>
  <si>
    <t>Dividends</t>
  </si>
  <si>
    <t>Net Income</t>
  </si>
  <si>
    <t>Fully taxed FCFPS</t>
  </si>
  <si>
    <t>Wireline</t>
  </si>
  <si>
    <t xml:space="preserve">Total Opex </t>
  </si>
  <si>
    <t>Revenue Detail</t>
  </si>
  <si>
    <t>HSD</t>
  </si>
  <si>
    <t>Total Residential</t>
  </si>
  <si>
    <t>Total Cable Revenue</t>
  </si>
  <si>
    <t>Total Cable EBITDA (with wireless)</t>
  </si>
  <si>
    <t>ARPU Detail</t>
  </si>
  <si>
    <t>Revenue / Video Customer</t>
  </si>
  <si>
    <t>Revenue / HSD Customer</t>
  </si>
  <si>
    <t>Revenue / Voice Customer</t>
  </si>
  <si>
    <t>Revenue / Residential Relationship</t>
  </si>
  <si>
    <t>Revenue / Commercial Relationship</t>
  </si>
  <si>
    <t>Revenue / Relationship</t>
  </si>
  <si>
    <t>Subscriber Detail</t>
  </si>
  <si>
    <t>Video Customers (EOP)</t>
  </si>
  <si>
    <t>HSD Customers (EOP)</t>
  </si>
  <si>
    <t>Voice Customers (EOP)</t>
  </si>
  <si>
    <t>Video Customers</t>
  </si>
  <si>
    <t>HSD Customers</t>
  </si>
  <si>
    <t>Voice Customers</t>
  </si>
  <si>
    <t>Commercial Relationships</t>
  </si>
  <si>
    <t>Total Relationships</t>
  </si>
  <si>
    <t>Fiber Homes Passed</t>
  </si>
  <si>
    <t>Penetration Rate, as % of Homes Passed</t>
  </si>
  <si>
    <t>Take Rate</t>
  </si>
  <si>
    <t>Non-programming costs</t>
  </si>
  <si>
    <t>Non-programming costs / total relationship</t>
  </si>
  <si>
    <t>Programming Costs / Sub</t>
  </si>
  <si>
    <t>Programming Costs / Sub growth</t>
  </si>
  <si>
    <t>HSD Passings</t>
  </si>
  <si>
    <t>Voice Passings</t>
  </si>
  <si>
    <t>Expenses</t>
  </si>
  <si>
    <t>Advertising Revenue / Video PSU</t>
  </si>
  <si>
    <t>Progrm. / Video PSU / month</t>
  </si>
  <si>
    <t>y/y chg</t>
  </si>
  <si>
    <t>Cost to Service Customers</t>
  </si>
  <si>
    <t>Cost to Service / Relationship</t>
  </si>
  <si>
    <t>Franchises, Reg., and Conn.</t>
  </si>
  <si>
    <t>memo: % of video revenue</t>
  </si>
  <si>
    <t>memo: Other / Relationship</t>
  </si>
  <si>
    <t>memo: Marketing / Relationship</t>
  </si>
  <si>
    <t>Video churn</t>
  </si>
  <si>
    <t>Broadband churn</t>
  </si>
  <si>
    <t>Voice churn</t>
  </si>
  <si>
    <t>CPE capex</t>
  </si>
  <si>
    <t>Line Extension</t>
  </si>
  <si>
    <t>Scalable Infrastructure (ie: headend equipment)</t>
  </si>
  <si>
    <t>Suscess Based</t>
  </si>
  <si>
    <t>Upgrade/Rebuild</t>
  </si>
  <si>
    <t>Support Capital</t>
  </si>
  <si>
    <t>Mobile Capex</t>
  </si>
  <si>
    <t>ROIC (Consolidated)</t>
  </si>
  <si>
    <t>Normalized Operating Income</t>
  </si>
  <si>
    <t>Less taxes</t>
  </si>
  <si>
    <t>NOPAT</t>
  </si>
  <si>
    <t>Total assets</t>
  </si>
  <si>
    <t>Less current liabilities</t>
  </si>
  <si>
    <t>Less non op assets</t>
  </si>
  <si>
    <t>Net operating assets</t>
  </si>
  <si>
    <t>ROIC (annualized)</t>
  </si>
  <si>
    <t>Less WACC</t>
  </si>
  <si>
    <t>Excess return</t>
  </si>
  <si>
    <t>Single Play Penetration</t>
  </si>
  <si>
    <t>Double Play Penetration</t>
  </si>
  <si>
    <t>Triple Play Penetration</t>
  </si>
  <si>
    <t>Residential average video subs</t>
  </si>
  <si>
    <t>Residential average broadband subs</t>
  </si>
  <si>
    <t>Residential average voice subs</t>
  </si>
  <si>
    <t>Business average video subs</t>
  </si>
  <si>
    <t>Business average broadband subs</t>
  </si>
  <si>
    <t>Business average voice subs</t>
  </si>
  <si>
    <t>Total average video subs</t>
  </si>
  <si>
    <t>Total average broadband subs</t>
  </si>
  <si>
    <t>Total average voice subs</t>
  </si>
  <si>
    <t>Single Play</t>
  </si>
  <si>
    <t>Double Play</t>
  </si>
  <si>
    <t>Triple Play</t>
  </si>
  <si>
    <t>Single Play Video Subs</t>
  </si>
  <si>
    <t>CHTR HDS Subs</t>
  </si>
  <si>
    <t>TWC HSD Subs</t>
  </si>
  <si>
    <t>Base Passings</t>
  </si>
  <si>
    <t>New Passings</t>
  </si>
  <si>
    <t>New Passings Added</t>
  </si>
  <si>
    <t>Consumer Fiber Broadband Churn</t>
  </si>
  <si>
    <t>Commercial Fiber Voice &amp; Other</t>
  </si>
  <si>
    <t>Commercial Copper Customers</t>
  </si>
  <si>
    <t>Copper Consumer Broadband Churn</t>
  </si>
  <si>
    <t>Voice Revenue / Copper Broadband Customer</t>
  </si>
  <si>
    <t>Commercial Copper Voice &amp; Other</t>
  </si>
  <si>
    <t>Charter Pro-forma Programming Costs</t>
  </si>
  <si>
    <t>CHTR standalone</t>
  </si>
  <si>
    <t>CHTR - if rates negotiated on Day 1</t>
  </si>
  <si>
    <t>CHTR - PF</t>
  </si>
  <si>
    <t>CHTR - legacy</t>
  </si>
  <si>
    <t>TWC Systems</t>
  </si>
  <si>
    <t>Internet</t>
  </si>
  <si>
    <t>Telephone</t>
  </si>
  <si>
    <t>Advertising Sales</t>
  </si>
  <si>
    <t>Total Revenues</t>
  </si>
  <si>
    <t>Programming</t>
  </si>
  <si>
    <t>Costs to Service Customers</t>
  </si>
  <si>
    <t xml:space="preserve">Marketing </t>
  </si>
  <si>
    <t>Shared functions</t>
  </si>
  <si>
    <t>Opex (ex D&amp;A)</t>
  </si>
  <si>
    <t>Residential PSUs</t>
  </si>
  <si>
    <t>Video Passings</t>
  </si>
  <si>
    <t>Video Subs (BOP)</t>
  </si>
  <si>
    <t>Video Subs (EOP)</t>
  </si>
  <si>
    <t>Internet Passings</t>
  </si>
  <si>
    <t>Internet Subs (BOP)</t>
  </si>
  <si>
    <t>Internet Subs (EOP)</t>
  </si>
  <si>
    <t>Voice Subs (BOP)</t>
  </si>
  <si>
    <t>Voice Subs (EOP)</t>
  </si>
  <si>
    <t>Total Relationships (BOP)</t>
  </si>
  <si>
    <t>Total Relationships (EOP)</t>
  </si>
  <si>
    <t>Commercial PSUs</t>
  </si>
  <si>
    <t>BHN</t>
  </si>
  <si>
    <t>Video Subs (EOP) - Residential</t>
  </si>
  <si>
    <t>Internet Subs (EOP) - Residential</t>
  </si>
  <si>
    <t>Voice Subs (EOP) - Residential</t>
  </si>
  <si>
    <t>Total Relationships - Residential</t>
  </si>
  <si>
    <t>Video Subs (EOP) - Commercial</t>
  </si>
  <si>
    <t>Internet Subs (EOP) - Commercial</t>
  </si>
  <si>
    <t>Voice Subs (EOP) - Commercial</t>
  </si>
  <si>
    <t>Total Relationships - Commercial</t>
  </si>
  <si>
    <t>Advertising Revenue</t>
  </si>
  <si>
    <t>Legacy CHTR</t>
  </si>
  <si>
    <t>Opex Breakdown</t>
  </si>
  <si>
    <t>Residential Internet</t>
  </si>
  <si>
    <t>Residential Voice</t>
  </si>
  <si>
    <t>Triple-play Penetration</t>
  </si>
  <si>
    <t>Double-play Penetration</t>
  </si>
  <si>
    <t>Single-play Penetration</t>
  </si>
  <si>
    <t>Other Opex Breakdown (used in Video Cost Model)</t>
  </si>
  <si>
    <t>Other Costs</t>
  </si>
  <si>
    <t>Labor Costs</t>
  </si>
  <si>
    <t>Management Overhead</t>
  </si>
  <si>
    <t>Variable Labor Costs</t>
  </si>
  <si>
    <t>Video Variable Labor Costs</t>
  </si>
  <si>
    <t>Other Variable Labor Costs</t>
  </si>
  <si>
    <t>Prog Costs per Sub</t>
  </si>
  <si>
    <t>TWC-CMCSA merger model</t>
  </si>
  <si>
    <t>Mgmt fee</t>
  </si>
  <si>
    <t>Digital Video Subs</t>
  </si>
  <si>
    <t>PVNOL</t>
  </si>
  <si>
    <t>Digital Video Prog cost / month</t>
  </si>
  <si>
    <t>GLCI mgmt. fee</t>
  </si>
  <si>
    <t>Pay-TV Penetration of HSD Subs</t>
  </si>
  <si>
    <t>CHTR Cable</t>
  </si>
  <si>
    <t>Line extensions</t>
  </si>
  <si>
    <t>Success based capex</t>
  </si>
  <si>
    <t>Upgrade/rebuild</t>
  </si>
  <si>
    <t>Other &amp; Commercial</t>
  </si>
  <si>
    <t>EV/EBITDA</t>
  </si>
  <si>
    <t>Net Debt/EBITDA</t>
  </si>
  <si>
    <t>EV/UFCF</t>
  </si>
  <si>
    <t>P/E</t>
  </si>
  <si>
    <t>Dividend yield</t>
  </si>
  <si>
    <t>EV/revenue</t>
  </si>
  <si>
    <t>CapEx/Sales</t>
  </si>
  <si>
    <t>Comp Sheet</t>
  </si>
  <si>
    <t>Number of shares</t>
  </si>
  <si>
    <t>Other financial liabilities</t>
  </si>
  <si>
    <t>Cumulative dividends</t>
  </si>
  <si>
    <t>NPV YE tax credit</t>
  </si>
  <si>
    <t>EFCF Mkt Cap adj</t>
  </si>
  <si>
    <t>OpFCF</t>
  </si>
  <si>
    <t>Invested Capital</t>
  </si>
  <si>
    <t>Net fixed assets</t>
  </si>
  <si>
    <t>EFCF</t>
  </si>
  <si>
    <t>Adjusted net income</t>
  </si>
  <si>
    <t>Share buybacks</t>
  </si>
  <si>
    <t>Net interest</t>
  </si>
  <si>
    <t>FCF (CFO - Capex)</t>
  </si>
  <si>
    <t>Associates / Investments</t>
  </si>
  <si>
    <t>Minority Interests</t>
  </si>
  <si>
    <t>Cash Flow Items and Divisions for Company Sheet</t>
  </si>
  <si>
    <t>Disposals/Reductions</t>
  </si>
  <si>
    <t>Small and Medium Business</t>
  </si>
  <si>
    <t>Total Capex - Reported</t>
  </si>
  <si>
    <t xml:space="preserve">'22-'27 </t>
  </si>
  <si>
    <t>NWC</t>
  </si>
  <si>
    <t>Change in net debt</t>
  </si>
  <si>
    <t>Penetration on 1Q23 Passings</t>
  </si>
  <si>
    <t>Penetration on 2Q23 Passings</t>
  </si>
  <si>
    <t>Penetration on 3Q23 Passings</t>
  </si>
  <si>
    <t>Penetration on 4Q23 Passings</t>
  </si>
  <si>
    <t>Penetration on 1Q24 Passings</t>
  </si>
  <si>
    <t>Penetration on 1224 Passings</t>
  </si>
  <si>
    <t>Penetration on 3Q24 Passings</t>
  </si>
  <si>
    <t>Penetration on 4Q24 Passings</t>
  </si>
  <si>
    <t>Fiber Subs -  1Q23 Cohort</t>
  </si>
  <si>
    <t>Fiber Subs -  2Q23 Cohort</t>
  </si>
  <si>
    <t>Fiber Subs -  3Q23 Cohort</t>
  </si>
  <si>
    <t>Fiber Subs -  4Q23 Cohort</t>
  </si>
  <si>
    <t>Fiber Subs -  1Q24 Cohort</t>
  </si>
  <si>
    <t>Fiber Subs -  2Q24 Cohort</t>
  </si>
  <si>
    <t>Fiber Subs -  3Q24 Cohort</t>
  </si>
  <si>
    <t>Fiber Subs -  4Q24 Cohort</t>
  </si>
  <si>
    <t>memo; y/y change</t>
  </si>
  <si>
    <t>memo: Total Penetration</t>
  </si>
  <si>
    <t>Maturity Schedule</t>
  </si>
  <si>
    <t>DIP-to-Exit RCF</t>
  </si>
  <si>
    <t>DIP-to-Exit Term Loan</t>
  </si>
  <si>
    <t>5.000% DIP-to-Exit 1L Notes</t>
  </si>
  <si>
    <t>5.875% DIP-to-Exit 1L Notes</t>
  </si>
  <si>
    <t>6.750% DIP-to-Exit 2L Notes</t>
  </si>
  <si>
    <t>Subsidiary Debt</t>
  </si>
  <si>
    <t>Debt &amp; Trading Value Summary (4Q20)</t>
  </si>
  <si>
    <t>Principal Outstanding</t>
  </si>
  <si>
    <t>Trading Price</t>
  </si>
  <si>
    <t>Trading Value</t>
  </si>
  <si>
    <t>Emergence at Face</t>
  </si>
  <si>
    <t>1L Debt</t>
  </si>
  <si>
    <t>2L Debt</t>
  </si>
  <si>
    <t>2L Takeback Debt</t>
  </si>
  <si>
    <t>Unsecured Debt</t>
  </si>
  <si>
    <t>Pre-Emergence Cash Bridge</t>
  </si>
  <si>
    <t xml:space="preserve">   Beginning Unrestricted Cash - 1Q21</t>
  </si>
  <si>
    <t>+ Levered Net Operating Cash Flow - 1Q21</t>
  </si>
  <si>
    <t>+ PNW Pension &amp; OPEX Escrow Release</t>
  </si>
  <si>
    <t>= Beginning Unrestricted Cash - Effective Date</t>
  </si>
  <si>
    <t>- Pre-Petition Trade AP, Restructuring &amp; Other Emergence Costs</t>
  </si>
  <si>
    <t>= Pre-Emergence Unrestricted Cash Balance</t>
  </si>
  <si>
    <t>Excess Cash Calculation</t>
  </si>
  <si>
    <t xml:space="preserve">   Pre-Emergence Unrestricted Cash Balance</t>
  </si>
  <si>
    <t>- Minimum Cash Balance</t>
  </si>
  <si>
    <t>- Pension Deferrals and Accrued Payroll Tax (CARES Act)</t>
  </si>
  <si>
    <t>- Regulatory and Other Adjustments</t>
  </si>
  <si>
    <t>= Excess Cash Calculation</t>
  </si>
  <si>
    <t>Liquidity at emergence</t>
  </si>
  <si>
    <t>- Bondholder distribution</t>
  </si>
  <si>
    <t>+ Debt raise</t>
  </si>
  <si>
    <t>= Post-Emergence Cash Balance</t>
  </si>
  <si>
    <t>+ RCF</t>
  </si>
  <si>
    <t>= Post-Emergence Liquidity</t>
  </si>
  <si>
    <t>= Post-Emergence Unrestricted Liquidity</t>
  </si>
  <si>
    <t>Implied Equity Value</t>
  </si>
  <si>
    <t xml:space="preserve">   Bond market value</t>
  </si>
  <si>
    <t>- Cash distribution to bondholders</t>
  </si>
  <si>
    <r>
      <t xml:space="preserve">memo: </t>
    </r>
    <r>
      <rPr>
        <sz val="9"/>
        <color theme="1"/>
        <rFont val="Calibri"/>
        <family val="2"/>
      </rPr>
      <t>Cash on balance sheet</t>
    </r>
    <r>
      <rPr>
        <i/>
        <sz val="9"/>
        <color theme="1"/>
        <rFont val="Calibri"/>
        <family val="2"/>
      </rPr>
      <t xml:space="preserve"> (4Q20)</t>
    </r>
  </si>
  <si>
    <r>
      <t xml:space="preserve">memo: </t>
    </r>
    <r>
      <rPr>
        <sz val="9"/>
        <color theme="1"/>
        <rFont val="Calibri"/>
        <family val="2"/>
      </rPr>
      <t>Excess cash at emergence</t>
    </r>
  </si>
  <si>
    <t>Debt &amp; Trading Value Details</t>
  </si>
  <si>
    <t>Notes</t>
  </si>
  <si>
    <t>Secured debt issued by Frontier</t>
  </si>
  <si>
    <t>First lien notes due 5/1/28</t>
  </si>
  <si>
    <t>Second lien notes due 5/1/29</t>
  </si>
  <si>
    <t>Incremental term loan due 6/15/25</t>
  </si>
  <si>
    <t>First lien notes due 4/1/27</t>
  </si>
  <si>
    <t>IDRB due 5/1/30</t>
  </si>
  <si>
    <t>Unsecured debt issued by Frontier</t>
  </si>
  <si>
    <t>Senior notes due 4/15/20</t>
  </si>
  <si>
    <t>Senior notes due 9/15/20</t>
  </si>
  <si>
    <t>Senior notes due 7/1/20</t>
  </si>
  <si>
    <t>Senior notes due 9/15/21</t>
  </si>
  <si>
    <t>Senior notes due 4/15/22</t>
  </si>
  <si>
    <t>Senior notes due 9/15/22</t>
  </si>
  <si>
    <t>Senior notes due 1/15/23</t>
  </si>
  <si>
    <t>Senior notes due 4/15/24</t>
  </si>
  <si>
    <t>Senior notes due 1/15/25</t>
  </si>
  <si>
    <t>Senior notes due 9/15/25</t>
  </si>
  <si>
    <t>Senior notes due 11/1/25</t>
  </si>
  <si>
    <t>Senior notes due 8/15/26</t>
  </si>
  <si>
    <t>Senior notes due 1/15/27</t>
  </si>
  <si>
    <t>Senior notes due 8/15/31</t>
  </si>
  <si>
    <t>Senior notes due 10/1/34</t>
  </si>
  <si>
    <t>Senior notes due 7/1/35</t>
  </si>
  <si>
    <t>Senior notes due 10/1/46</t>
  </si>
  <si>
    <t>Secured debt issued by subsidiaries</t>
  </si>
  <si>
    <t>Debentures due 11/15/31</t>
  </si>
  <si>
    <t>RUS loan contracts due 1/3/28</t>
  </si>
  <si>
    <t>Unsecured debt issued by subsidiaries</t>
  </si>
  <si>
    <t>Debentures due 5/15/27</t>
  </si>
  <si>
    <t>Debentures due 2/1/28</t>
  </si>
  <si>
    <t>Debentures due 2/15/28</t>
  </si>
  <si>
    <t>Debentures due 10/15/29</t>
  </si>
  <si>
    <t>Debt prior to reclassification as liabilities subject to compromise</t>
  </si>
  <si>
    <t>Less: debt subject to compromise</t>
  </si>
  <si>
    <t>EV Sensitized To Unsecured Debt</t>
  </si>
  <si>
    <t>Cash distribution</t>
  </si>
  <si>
    <t>Takeback</t>
  </si>
  <si>
    <t>Mgmt dilution</t>
  </si>
  <si>
    <t xml:space="preserve">   Unsecured Debt </t>
  </si>
  <si>
    <t>x Price</t>
  </si>
  <si>
    <t>= Unsecured Debt Value</t>
  </si>
  <si>
    <t>- Cash Distribution</t>
  </si>
  <si>
    <t>- Takeback Debt</t>
  </si>
  <si>
    <t>= Residual Value</t>
  </si>
  <si>
    <t>/ (1-Mgmt. Dilution)</t>
  </si>
  <si>
    <t>= Implied Equity Value</t>
  </si>
  <si>
    <t>+ Net Debt At Emergence</t>
  </si>
  <si>
    <t>/ 2021 EBITDA</t>
  </si>
  <si>
    <t>= EV / EBITDA Multiple</t>
  </si>
  <si>
    <t>memo: Fiber Multiple</t>
  </si>
  <si>
    <t>memo: Copper Multiple</t>
  </si>
  <si>
    <t>2021 Fiber EV</t>
  </si>
  <si>
    <t>2021 Total EBITDA</t>
  </si>
  <si>
    <t>New Segment Model</t>
  </si>
  <si>
    <t xml:space="preserve">Customer </t>
  </si>
  <si>
    <t>memo: Change y / y - Consumer</t>
  </si>
  <si>
    <t xml:space="preserve">memo: Change y / y - Commercial </t>
  </si>
  <si>
    <t>memo: Change y / y - Total</t>
  </si>
  <si>
    <t>Commercial Fiber Other</t>
  </si>
  <si>
    <t>Base Fiber Commercial</t>
  </si>
  <si>
    <t>Base Fiber - Total</t>
  </si>
  <si>
    <t>New Fiber - Residential Broadband</t>
  </si>
  <si>
    <t>New Fiber - Residential Video</t>
  </si>
  <si>
    <t>New Fiber - Residential Other</t>
  </si>
  <si>
    <t>New Fiber - Residential Total</t>
  </si>
  <si>
    <t>Commercial Other</t>
  </si>
  <si>
    <t>Opportunity Markets Commercial</t>
  </si>
  <si>
    <t>Opportunity Markets - Total</t>
  </si>
  <si>
    <t>memo: Reported Revenue</t>
  </si>
  <si>
    <t>memo: Difference vs Main model tab</t>
  </si>
  <si>
    <t>memo: Adjusted EBITDA Margin</t>
  </si>
  <si>
    <t>Total Footprint</t>
  </si>
  <si>
    <t>memo: Net Adds - Total</t>
  </si>
  <si>
    <t>memo: YoY growth</t>
  </si>
  <si>
    <t>Opportunity Markets</t>
  </si>
  <si>
    <t>memo: Net Adds - Base</t>
  </si>
  <si>
    <t>memo: Net Adds - Opportunity</t>
  </si>
  <si>
    <t>memo: Net Adds - Fiber</t>
  </si>
  <si>
    <t>memo: Net Adds - Copper</t>
  </si>
  <si>
    <t>Base Fiber Markets</t>
  </si>
  <si>
    <t xml:space="preserve">Base Fiber </t>
  </si>
  <si>
    <t>memo: Net Adds - Base Fiber</t>
  </si>
  <si>
    <t>memo: Change Y/Y - Base Fiber</t>
  </si>
  <si>
    <t>Business Passings</t>
  </si>
  <si>
    <t>Residential Broadband Subsribers</t>
  </si>
  <si>
    <t>Base Fiber Broadband PSUs (BOP)</t>
  </si>
  <si>
    <t>Base Fiber Broadband Subscribers (EOP)</t>
  </si>
  <si>
    <t>Residential Video Subscribers (excl. DISH)</t>
  </si>
  <si>
    <t>Video Subscribers (EOP)</t>
  </si>
  <si>
    <t>memo: Take rate of base fiber passings</t>
  </si>
  <si>
    <t>memo: Penetration of base fiber passings</t>
  </si>
  <si>
    <t>memo: Penetration of base fiber broadband subs</t>
  </si>
  <si>
    <t>memo: Total y/y chg</t>
  </si>
  <si>
    <t>memo: Residential Broadband y/y chg</t>
  </si>
  <si>
    <t>memo: Residential Other y/y chg</t>
  </si>
  <si>
    <t>memo: Base Fiber Commercial y/y chg</t>
  </si>
  <si>
    <t>memo: Commercial Fiber Broadband y/y chg</t>
  </si>
  <si>
    <t>memo: Commercial Fiber Other y/y chg</t>
  </si>
  <si>
    <t>Total Base Fiber Revenue</t>
  </si>
  <si>
    <t>memo: Tota lBase Fiber y/y chg</t>
  </si>
  <si>
    <t>Depreciation &amp; Amortizaion</t>
  </si>
  <si>
    <t>Operating Income</t>
  </si>
  <si>
    <t>memo: Operating Income Margin</t>
  </si>
  <si>
    <t>Opportunity Markets Passings</t>
  </si>
  <si>
    <t>memo: Net Adds - Opportunity Markets</t>
  </si>
  <si>
    <t>memo: Change Y/Y - Opportunity Markets</t>
  </si>
  <si>
    <t>memo: Net Adds - New Fiber</t>
  </si>
  <si>
    <t>memo: Change Y/Y - New Fiber</t>
  </si>
  <si>
    <t xml:space="preserve">Copper </t>
  </si>
  <si>
    <t>memo: Change Y/Y - Copper</t>
  </si>
  <si>
    <t>New Fiber Broadband PSUs (BOP)</t>
  </si>
  <si>
    <t>New Fiber Broadband Subscribers (EOP)</t>
  </si>
  <si>
    <t>Copper Broadband Subscribers (EOP)</t>
  </si>
  <si>
    <t>memo: Take rate of broadband gross adds</t>
  </si>
  <si>
    <t>Residential Copper Video Subscribers (DISH)</t>
  </si>
  <si>
    <t>DISH Video Subscribers (EOP)</t>
  </si>
  <si>
    <t>memo: Take rate of Copper passings</t>
  </si>
  <si>
    <t>New Fiber - Commercial Broadband</t>
  </si>
  <si>
    <t>nm</t>
  </si>
  <si>
    <t>memo: Residential Video y/y chg</t>
  </si>
  <si>
    <t>Total Commercial Revenue</t>
  </si>
  <si>
    <t>memo: Commercial Revenue y/y chg</t>
  </si>
  <si>
    <t>memo: Commercial Copper Broadband y/y chg</t>
  </si>
  <si>
    <t>memo: Commercial Other y/y chg</t>
  </si>
  <si>
    <t>Total Opportunity Markets Revenue</t>
  </si>
  <si>
    <t>Regulatory / Subsidy</t>
  </si>
  <si>
    <t xml:space="preserve">   Subsidy</t>
  </si>
  <si>
    <t>+ Other</t>
  </si>
  <si>
    <t>Revenue &amp; EBITDA By Product</t>
  </si>
  <si>
    <t>Subscriber Model</t>
  </si>
  <si>
    <t>Migrations to Fiber</t>
  </si>
  <si>
    <t>Total Broadband Subscribers (EOP)</t>
  </si>
  <si>
    <t>Residential Video Subscribers (incl. DISH)</t>
  </si>
  <si>
    <t>memo: Video Subscribers ex DISH</t>
  </si>
  <si>
    <t xml:space="preserve">memo: Video Subscribers ex DISH Share </t>
  </si>
  <si>
    <t>Single Play Video &amp; Voice Subscribers</t>
  </si>
  <si>
    <t>memo: Penetration of broadband subs</t>
  </si>
  <si>
    <t>Commercial Total Customers</t>
  </si>
  <si>
    <t>Residential ARPU &amp; Revenue</t>
  </si>
  <si>
    <t>Base Residential Fiber Broadband</t>
  </si>
  <si>
    <t>New Residential Fiber Broadband</t>
  </si>
  <si>
    <t>Base Residential Fiber Video</t>
  </si>
  <si>
    <t>Residential Total Video</t>
  </si>
  <si>
    <t>Commercial ARPU &amp; Revenue</t>
  </si>
  <si>
    <t>New Fiber  - Total</t>
  </si>
  <si>
    <t>Copper - Total</t>
  </si>
  <si>
    <t>Customer</t>
  </si>
  <si>
    <t>memo: Change Y/Y - Customer</t>
  </si>
  <si>
    <t>CHECK</t>
  </si>
  <si>
    <t>memo: Gross Margin ($ / Sub)</t>
  </si>
  <si>
    <t>memo: Gross Margin ($)</t>
  </si>
  <si>
    <t>Franchise fees</t>
  </si>
  <si>
    <r>
      <t xml:space="preserve">memo: </t>
    </r>
    <r>
      <rPr>
        <b/>
        <sz val="9"/>
        <color rgb="FFFFFFFF"/>
        <rFont val="Calibri"/>
        <family val="2"/>
        <scheme val="minor"/>
      </rPr>
      <t>Percent of video revenue</t>
    </r>
  </si>
  <si>
    <t>Network Access Expenses (Ex. Content &amp; Franchise Fees)</t>
  </si>
  <si>
    <t>New Fiber Capex and Depreciation</t>
  </si>
  <si>
    <t>New Fiber Build Capex</t>
  </si>
  <si>
    <t>Base Fiber Capex and Depreciation</t>
  </si>
  <si>
    <t>1MM</t>
  </si>
  <si>
    <t>Optimistic</t>
  </si>
  <si>
    <t>1.5MM</t>
  </si>
  <si>
    <t>2MM</t>
  </si>
  <si>
    <t>New Fiber Build - Base Case Summary</t>
  </si>
  <si>
    <t>PLEASE SELECT THE SCENARIO AND PACING IN CELL B9 AND F9</t>
  </si>
  <si>
    <t>Scenario Selection</t>
  </si>
  <si>
    <t>Pacing</t>
  </si>
  <si>
    <t>memo: Cumulative Fiber Passings</t>
  </si>
  <si>
    <t>New Subscribers</t>
  </si>
  <si>
    <t>Cumulative Subscribers</t>
  </si>
  <si>
    <t>Annual Passings</t>
  </si>
  <si>
    <t>Total Deployment</t>
  </si>
  <si>
    <t>8.25MM</t>
  </si>
  <si>
    <t>29% in 4 Years</t>
  </si>
  <si>
    <t>35% in 4 Years</t>
  </si>
  <si>
    <t>40% in 4 Years</t>
  </si>
  <si>
    <t>New Fiber Build - Base Case</t>
  </si>
  <si>
    <t>1Q29</t>
  </si>
  <si>
    <t>2Q29</t>
  </si>
  <si>
    <t>3Q29</t>
  </si>
  <si>
    <t>4Q29</t>
  </si>
  <si>
    <t>1Q30</t>
  </si>
  <si>
    <t>2Q30</t>
  </si>
  <si>
    <t>3Q30</t>
  </si>
  <si>
    <t>4Q30</t>
  </si>
  <si>
    <t>1Q31</t>
  </si>
  <si>
    <t>2Q31</t>
  </si>
  <si>
    <t>3Q31</t>
  </si>
  <si>
    <t>4Q31</t>
  </si>
  <si>
    <t>Penetration gain</t>
  </si>
  <si>
    <t>Starting penetration</t>
  </si>
  <si>
    <t>Max penetration</t>
  </si>
  <si>
    <t>Maximum Build out</t>
  </si>
  <si>
    <t>Driver: Fade rate</t>
  </si>
  <si>
    <t>Output: Penetration Year 4</t>
  </si>
  <si>
    <t>Output: Penetration Year 7</t>
  </si>
  <si>
    <t>New Subscribers Adds</t>
  </si>
  <si>
    <t>New Fiber Build - Optimistic Case Summary</t>
  </si>
  <si>
    <t>New Fiber Build - Optimistic Case</t>
  </si>
  <si>
    <t>New Fiber Build - Conservative Case Summary</t>
  </si>
  <si>
    <t>New Fiber Build - Conservative Case</t>
  </si>
  <si>
    <t>Slide 11</t>
  </si>
  <si>
    <t>2020A</t>
  </si>
  <si>
    <t>2022E</t>
  </si>
  <si>
    <t>2023E</t>
  </si>
  <si>
    <t>20-'25 CAGR</t>
  </si>
  <si>
    <t>2019A</t>
  </si>
  <si>
    <t>memo: Change y/y</t>
  </si>
  <si>
    <t>Commercial / Wholesale</t>
  </si>
  <si>
    <t>Slide 12</t>
  </si>
  <si>
    <t>Consumer Broadband Subs</t>
  </si>
  <si>
    <t>memo: Homes Added</t>
  </si>
  <si>
    <t>Penetration - Consumer</t>
  </si>
  <si>
    <t>memo: Y/Y Change in Pen.</t>
  </si>
  <si>
    <t>Average Broadband Subs</t>
  </si>
  <si>
    <t>ARPU - Consumer Broadband</t>
  </si>
  <si>
    <t>Cons. Broadband Revneue</t>
  </si>
  <si>
    <t>Slide 13</t>
  </si>
  <si>
    <t>Slide 16</t>
  </si>
  <si>
    <t>Slide 17</t>
  </si>
  <si>
    <t>Copper Homes Passed</t>
  </si>
  <si>
    <t>memo: Fiber Home Adds</t>
  </si>
  <si>
    <t>memo: Fiber % of Footprint</t>
  </si>
  <si>
    <t>Consumer Fiber Subs</t>
  </si>
  <si>
    <t>memo: Fiber Net Adds</t>
  </si>
  <si>
    <t>memo: Fiber Penetration</t>
  </si>
  <si>
    <t>Slide 18</t>
  </si>
  <si>
    <t>Incremental Homes Upgraded to Fiber</t>
  </si>
  <si>
    <t>4MM</t>
  </si>
  <si>
    <t>5MM</t>
  </si>
  <si>
    <t>7MM</t>
  </si>
  <si>
    <t>x Terminal Penetration</t>
  </si>
  <si>
    <t>Fiber Subs</t>
  </si>
  <si>
    <t>x Fiber ARPU</t>
  </si>
  <si>
    <t>= Copper Subs</t>
  </si>
  <si>
    <t>x Copper ARPU</t>
  </si>
  <si>
    <t>memo: EBITDA Margin</t>
  </si>
  <si>
    <t>Total Build Cost</t>
  </si>
  <si>
    <t>= Avg. Build Cost/Home</t>
  </si>
  <si>
    <t>Total Connect Cost</t>
  </si>
  <si>
    <t>/ Subscribers</t>
  </si>
  <si>
    <t>= Avg. Connect Cost/Sub</t>
  </si>
  <si>
    <t>Avg Connect cost per Home</t>
  </si>
  <si>
    <t>Build Cost per Home</t>
  </si>
  <si>
    <t>Connect Cost per Home</t>
  </si>
  <si>
    <t>= Average Cost per Home</t>
  </si>
  <si>
    <t>= Total Cost</t>
  </si>
  <si>
    <t>Total Funding Required</t>
  </si>
  <si>
    <t>Peak Net Debt/EBITDA</t>
  </si>
  <si>
    <t>Year of Breakeven</t>
  </si>
  <si>
    <t>Slide 19</t>
  </si>
  <si>
    <t>1MM Pace</t>
  </si>
  <si>
    <t>1.5MM Pace</t>
  </si>
  <si>
    <t>2MM Pace</t>
  </si>
  <si>
    <t>45% in 4 Years</t>
  </si>
  <si>
    <t>45% in 6 Years</t>
  </si>
  <si>
    <t>45% in 8 Years</t>
  </si>
  <si>
    <t>Slide 21</t>
  </si>
  <si>
    <t>Total Non-Subsidy Revenue</t>
  </si>
  <si>
    <t>memo: % of revenues</t>
  </si>
  <si>
    <t>Slide 22</t>
  </si>
  <si>
    <t>Slide 14</t>
  </si>
  <si>
    <t>Slide 15</t>
  </si>
  <si>
    <t>2022 EBITDA</t>
  </si>
  <si>
    <t>/ 2022 UFCF</t>
  </si>
  <si>
    <t>= Implied UFCF Multiple</t>
  </si>
  <si>
    <t>Enterprise Value in 2022</t>
  </si>
  <si>
    <t>/ Homes Passed in 2022</t>
  </si>
  <si>
    <t>= EV per Home Passed</t>
  </si>
  <si>
    <t>Slide 23</t>
  </si>
  <si>
    <t>Slide 28</t>
  </si>
  <si>
    <t>Whole + Reg</t>
  </si>
  <si>
    <t>2020 EBITDA</t>
  </si>
  <si>
    <t>Sub Growth</t>
  </si>
  <si>
    <t>Change in Costs</t>
  </si>
  <si>
    <t>Wholesale Price Cut</t>
  </si>
  <si>
    <t>Other Revenue Changes</t>
  </si>
  <si>
    <t>Residential Broadband Subs</t>
  </si>
  <si>
    <t>Commercial Fiber Subs</t>
  </si>
  <si>
    <t>Residential Broadband ARPU</t>
  </si>
  <si>
    <t>Commercial Fiber ARPU</t>
  </si>
  <si>
    <t>Voice ARPU</t>
  </si>
  <si>
    <t>Sub Growth Impact</t>
  </si>
  <si>
    <t>ARPU Growth Impact</t>
  </si>
  <si>
    <t>Slide 10: The New Targets: "Base Fiber and Opportunity" (2020 Actual)</t>
  </si>
  <si>
    <t>"Base Fiber"</t>
  </si>
  <si>
    <t>"Opportunity Markets"</t>
  </si>
  <si>
    <t>"Regulatory"</t>
  </si>
  <si>
    <t>Commercial and Wholesale</t>
  </si>
  <si>
    <t>memo: Capital intensity</t>
  </si>
  <si>
    <t>Commercial Broadband Subs</t>
  </si>
  <si>
    <t>Commercial Broadband ARPU</t>
  </si>
  <si>
    <t>Fiber Capex</t>
  </si>
  <si>
    <t xml:space="preserve"> - Our</t>
  </si>
  <si>
    <t xml:space="preserve"> - Current</t>
  </si>
  <si>
    <t xml:space="preserve"> - Guidance</t>
  </si>
  <si>
    <t xml:space="preserve"> - Prior</t>
  </si>
  <si>
    <t>memo: Change</t>
  </si>
  <si>
    <t>memo: Change %</t>
  </si>
  <si>
    <t>Valuation per Share</t>
  </si>
  <si>
    <t>4Q24 Earnings</t>
  </si>
  <si>
    <t>Reported adds</t>
  </si>
  <si>
    <t>Deal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</si>
</sst>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0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5" formatCode="[$£-809]#,##0"/>
    <numFmt numFmtId="166" formatCode="0_);\(0\)"/>
    <numFmt numFmtId="167" formatCode="&quot;$&quot;#,##0.00"/>
    <numFmt numFmtId="168" formatCode="0.0%"/>
    <numFmt numFmtId="169" formatCode="#,##0.0_);\(#,##0.0\)"/>
    <numFmt numFmtId="170" formatCode="0.0%_);\(0.0%\);0.0%_);@_)"/>
    <numFmt numFmtId="171" formatCode="#,##0_);\(#,##0\);#,##0_);@_)"/>
    <numFmt numFmtId="172" formatCode="&quot;$&quot;#,##0.0_);\(&quot;$&quot;#,##0.0\);&quot;$&quot;#,##0.0_);@_)"/>
    <numFmt numFmtId="173" formatCode="&quot;$&quot;#,##0"/>
    <numFmt numFmtId="174" formatCode="0.0\x"/>
    <numFmt numFmtId="175" formatCode="0.00\x"/>
    <numFmt numFmtId="176" formatCode="0.0"/>
    <numFmt numFmtId="177" formatCode="0.00%_);\(0.00%\);0.00%_);@_)"/>
    <numFmt numFmtId="178" formatCode="_(0.0%_);\(0.0%\);_(&quot;–&quot;_)_%;@_(_%"/>
    <numFmt numFmtId="179" formatCode="#,##0.0%_);\(#,##0.0%\)"/>
    <numFmt numFmtId="180" formatCode="#,##0.00_);\(#,##0.00\);#,##0.00_);@_)"/>
    <numFmt numFmtId="181" formatCode="_(* #,##0_);_(* \(#,##0\);_(* &quot;-&quot;??_);_(@_)"/>
    <numFmt numFmtId="182" formatCode="_-* #,##0_-;\-* #,##0_-;_-* &quot;-&quot;??_-;_-@_-"/>
    <numFmt numFmtId="184" formatCode="0.000"/>
    <numFmt numFmtId="185" formatCode="_(* #,##0.0_);_(* \(#,##0.0\);_(* &quot;-&quot;??_);_(@_)"/>
    <numFmt numFmtId="186" formatCode="_(* #,##0_);_(* \(#,##0\);_(* &quot;-&quot;?_);_(@_)"/>
    <numFmt numFmtId="187" formatCode="#,,&quot;MM&quot;"/>
    <numFmt numFmtId="188" formatCode="#.0,&quot;MM&quot;"/>
    <numFmt numFmtId="189" formatCode="&quot;$&quot;#.0,&quot;BN&quot;"/>
    <numFmt numFmtId="190" formatCode="#0.0,&quot;MM&quot;"/>
    <numFmt numFmtId="191" formatCode="&quot;$&quot;#0.0,&quot;BN&quot;"/>
    <numFmt numFmtId="192" formatCode="#0.0,,&quot;MM&quot;"/>
    <numFmt numFmtId="193" formatCode="_(* #,##0.0_);_(* \(#,##0.0\);_(* &quot;-&quot;?_);_(@_)"/>
    <numFmt numFmtId="195" formatCode="##"/>
    <numFmt numFmtId="196" formatCode="##.0"/>
    <numFmt numFmtId="197" formatCode="#,###.0"/>
    <numFmt numFmtId="198" formatCode="#.###%"/>
    <numFmt numFmtId="199" formatCode="##.##"/>
    <numFmt numFmtId="200" formatCode="#00.0"/>
    <numFmt numFmtId="201" formatCode="#.#00%"/>
    <numFmt numFmtId="202" formatCode="#0#.00"/>
    <numFmt numFmtId="203" formatCode="#.##"/>
    <numFmt numFmtId="204" formatCode="###.0#"/>
    <numFmt numFmtId="205" formatCode="#,##0.0"/>
    <numFmt numFmtId="206" formatCode="#0.##"/>
    <numFmt numFmtId="207" formatCode="###.##"/>
    <numFmt numFmtId="208" formatCode="#.000%"/>
    <numFmt numFmtId="209" formatCode="#,#00.0"/>
    <numFmt numFmtId="210" formatCode="#.##0%"/>
    <numFmt numFmtId="211" formatCode="##0.0"/>
    <numFmt numFmtId="212" formatCode="##0.##"/>
    <numFmt numFmtId="213" formatCode="#,000.0"/>
    <numFmt numFmtId="214" formatCode="#0#.#0"/>
    <numFmt numFmtId="215" formatCode="##.0#"/>
    <numFmt numFmtId="216" formatCode="##.#0"/>
    <numFmt numFmtId="217" formatCode="#0.0"/>
    <numFmt numFmtId="218" formatCode="##.00"/>
    <numFmt numFmtId="219" formatCode="###.0"/>
    <numFmt numFmtId="220" formatCode="yyyy\-mm\-dd"/>
  </numFmts>
  <fonts count="116" x14ac:knownFonts="1">
    <font>
      <sz val="9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10"/>
      <name val="Arial Narrow"/>
      <family val="2"/>
    </font>
    <font>
      <b/>
      <sz val="9"/>
      <color indexed="8"/>
      <name val="Calibri"/>
      <family val="2"/>
    </font>
    <font>
      <b/>
      <sz val="9"/>
      <color theme="1"/>
      <name val="Calibri"/>
      <family val="2"/>
      <scheme val="minor"/>
    </font>
    <font>
      <sz val="9"/>
      <color rgb="FF0000FF"/>
      <name val="Calibri"/>
      <family val="2"/>
    </font>
    <font>
      <sz val="9"/>
      <color indexed="8"/>
      <name val="Calibri"/>
      <family val="2"/>
    </font>
    <font>
      <b/>
      <i/>
      <sz val="9"/>
      <color theme="1"/>
      <name val="Calibri"/>
      <family val="2"/>
      <scheme val="minor"/>
    </font>
    <font>
      <sz val="9"/>
      <color rgb="FF000000"/>
      <name val="Calibri"/>
      <family val="2"/>
    </font>
    <font>
      <b/>
      <i/>
      <sz val="9"/>
      <color indexed="8"/>
      <name val="Calibri"/>
      <family val="2"/>
    </font>
    <font>
      <b/>
      <sz val="9"/>
      <color indexed="9"/>
      <name val="Calibri"/>
      <family val="2"/>
    </font>
    <font>
      <b/>
      <i/>
      <sz val="9"/>
      <color indexed="12"/>
      <name val="Calibri"/>
      <family val="2"/>
    </font>
    <font>
      <b/>
      <sz val="9"/>
      <color rgb="FF000000"/>
      <name val="Calibri"/>
      <family val="2"/>
    </font>
    <font>
      <i/>
      <sz val="9"/>
      <color theme="1"/>
      <name val="Calibri"/>
      <family val="2"/>
      <scheme val="minor"/>
    </font>
    <font>
      <b/>
      <sz val="9"/>
      <color rgb="FF0000FF"/>
      <name val="Calibri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16"/>
      <color indexed="8"/>
      <name val="Calibri"/>
      <family val="2"/>
    </font>
    <font>
      <b/>
      <sz val="9"/>
      <color indexed="9"/>
      <name val="Calibri"/>
      <family val="2"/>
      <scheme val="minor"/>
    </font>
    <font>
      <sz val="9"/>
      <color rgb="FF008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0"/>
      <name val="Arial"/>
      <family val="2"/>
    </font>
    <font>
      <i/>
      <sz val="9"/>
      <color indexed="8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008000"/>
      <name val="Calibri"/>
      <family val="2"/>
      <scheme val="minor"/>
    </font>
    <font>
      <b/>
      <i/>
      <sz val="9"/>
      <color indexed="9"/>
      <name val="Calibri"/>
      <family val="2"/>
      <scheme val="minor"/>
    </font>
    <font>
      <sz val="9"/>
      <color rgb="FF0000FF"/>
      <name val="Calibri"/>
      <family val="2"/>
      <scheme val="minor"/>
    </font>
    <font>
      <b/>
      <sz val="9"/>
      <color rgb="FF0000FF"/>
      <name val="Calibri"/>
      <family val="2"/>
      <scheme val="minor"/>
    </font>
    <font>
      <i/>
      <sz val="9"/>
      <color rgb="FF0000FF"/>
      <name val="Calibri"/>
      <family val="2"/>
      <scheme val="minor"/>
    </font>
    <font>
      <i/>
      <sz val="9"/>
      <color theme="1"/>
      <name val="Calibri"/>
      <family val="2"/>
    </font>
    <font>
      <sz val="9"/>
      <color rgb="FF008000"/>
      <name val="Calibri"/>
      <family val="2"/>
    </font>
    <font>
      <i/>
      <sz val="9"/>
      <color rgb="FF0000FF"/>
      <name val="Calibri"/>
      <family val="2"/>
    </font>
    <font>
      <i/>
      <sz val="9"/>
      <color rgb="FF008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9"/>
      <color theme="1"/>
      <name val="Calibri"/>
      <family val="2"/>
    </font>
    <font>
      <i/>
      <sz val="9"/>
      <color rgb="FF000000"/>
      <name val="Calibri"/>
      <family val="2"/>
    </font>
    <font>
      <b/>
      <i/>
      <sz val="9"/>
      <color rgb="FF000000"/>
      <name val="Calibri"/>
      <family val="2"/>
    </font>
    <font>
      <i/>
      <sz val="9"/>
      <color rgb="FF008000"/>
      <name val="Calibri"/>
      <family val="2"/>
      <scheme val="minor"/>
    </font>
    <font>
      <sz val="9"/>
      <color rgb="FF660066"/>
      <name val="Calibri"/>
      <family val="2"/>
    </font>
    <font>
      <sz val="9"/>
      <color indexed="9"/>
      <name val="Calibri"/>
      <family val="2"/>
      <scheme val="minor"/>
    </font>
    <font>
      <b/>
      <i/>
      <sz val="9"/>
      <name val="Calibri"/>
      <family val="2"/>
    </font>
    <font>
      <b/>
      <sz val="9"/>
      <name val="Calibri"/>
      <family val="2"/>
    </font>
    <font>
      <i/>
      <sz val="9"/>
      <name val="Calibri"/>
      <family val="2"/>
    </font>
    <font>
      <sz val="9"/>
      <name val="Calibri"/>
      <family val="2"/>
    </font>
    <font>
      <sz val="11"/>
      <color indexed="8"/>
      <name val="Calibri"/>
      <family val="2"/>
    </font>
    <font>
      <b/>
      <i/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sz val="9"/>
      <color rgb="FF660066"/>
      <name val="Calibri"/>
      <family val="2"/>
      <scheme val="minor"/>
    </font>
    <font>
      <sz val="9"/>
      <color rgb="FF000000"/>
      <name val="Calibri"/>
      <family val="2"/>
      <scheme val="minor"/>
    </font>
    <font>
      <b/>
      <i/>
      <sz val="9"/>
      <color indexed="9"/>
      <name val="Calibri"/>
      <family val="2"/>
    </font>
    <font>
      <i/>
      <sz val="9"/>
      <name val="Calibri"/>
      <family val="2"/>
      <scheme val="minor"/>
    </font>
    <font>
      <b/>
      <i/>
      <sz val="9"/>
      <name val="Calibri"/>
      <family val="2"/>
      <scheme val="minor"/>
    </font>
    <font>
      <sz val="9"/>
      <color indexed="9"/>
      <name val="Calibri"/>
      <family val="2"/>
    </font>
    <font>
      <b/>
      <sz val="9"/>
      <color rgb="FF008000"/>
      <name val="Calibri"/>
      <family val="2"/>
    </font>
    <font>
      <sz val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i/>
      <sz val="10"/>
      <name val="Calibri"/>
      <family val="2"/>
    </font>
    <font>
      <b/>
      <i/>
      <sz val="10"/>
      <name val="Calibri"/>
      <family val="2"/>
    </font>
    <font>
      <b/>
      <i/>
      <sz val="10"/>
      <name val="Arial Narrow"/>
      <family val="2"/>
    </font>
    <font>
      <sz val="10"/>
      <color indexed="8"/>
      <name val="MS Sans Serif"/>
      <family val="2"/>
    </font>
    <font>
      <sz val="10"/>
      <name val="Calibri"/>
      <family val="2"/>
      <scheme val="minor"/>
    </font>
    <font>
      <b/>
      <sz val="10"/>
      <name val="Arial Narrow"/>
      <family val="2"/>
    </font>
    <font>
      <b/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Trebuchet MS"/>
      <family val="2"/>
    </font>
    <font>
      <u/>
      <sz val="9"/>
      <color theme="10"/>
      <name val="Calibri"/>
      <family val="2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9"/>
      <color indexed="8"/>
      <name val="Calibri"/>
      <family val="2"/>
    </font>
    <font>
      <sz val="9"/>
      <color rgb="FFFF0000"/>
      <name val="Calibri"/>
      <family val="2"/>
    </font>
    <font>
      <u/>
      <sz val="9"/>
      <color rgb="FF000000"/>
      <name val="Calibri"/>
      <family val="2"/>
    </font>
    <font>
      <b/>
      <sz val="9"/>
      <color rgb="FFFFFFFF"/>
      <name val="Calibri"/>
      <family val="2"/>
    </font>
    <font>
      <sz val="9"/>
      <color rgb="FFFFFFFF"/>
      <name val="Calibri"/>
      <family val="2"/>
    </font>
    <font>
      <sz val="11"/>
      <color rgb="FF000000"/>
      <name val="Calibri"/>
      <family val="2"/>
      <scheme val="minor"/>
    </font>
    <font>
      <b/>
      <sz val="9"/>
      <color rgb="FFFF0000"/>
      <name val="Calibri"/>
      <family val="2"/>
    </font>
    <font>
      <b/>
      <sz val="9"/>
      <color rgb="FFFFFFFF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0"/>
      <name val="Times New Roman"/>
      <family val="1"/>
    </font>
    <font>
      <b/>
      <i/>
      <sz val="9"/>
      <color rgb="FF008000"/>
      <name val="Calibri"/>
      <family val="2"/>
      <scheme val="minor"/>
    </font>
    <font>
      <b/>
      <i/>
      <sz val="9"/>
      <color rgb="FF0000FF"/>
      <name val="Calibri"/>
      <family val="2"/>
    </font>
    <font>
      <b/>
      <i/>
      <sz val="9"/>
      <color rgb="FFFFFFFF"/>
      <name val="Calibri"/>
      <family val="2"/>
    </font>
    <font>
      <sz val="9"/>
      <color rgb="FF00008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b/>
      <sz val="9"/>
      <color theme="0"/>
      <name val="Calibri"/>
      <family val="2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"/>
      <color theme="1"/>
      <name val="Calibri"/>
      <family val="2"/>
    </font>
    <font>
      <b/>
      <sz val="16"/>
      <color indexed="8"/>
      <name val="Calibri"/>
      <family val="2"/>
    </font>
    <font>
      <b/>
      <i/>
      <sz val="9"/>
      <color rgb="FF008000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i/>
      <sz val="10"/>
      <color theme="1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i/>
      <sz val="10"/>
      <color rgb="FF000000"/>
      <name val="Calibri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3366"/>
      <name val="Arial"/>
      <family val="2"/>
    </font>
    <font>
      <sz val="10"/>
      <color rgb="FFFF0000"/>
      <name val="Arial"/>
      <family val="2"/>
    </font>
    <font>
      <sz val="10"/>
      <color rgb="FF646464"/>
      <name val="Arial"/>
      <family val="2"/>
    </font>
    <font>
      <sz val="9"/>
      <color rgb="FF0000DD"/>
      <name val="Calibri"/>
      <family val="2"/>
      <scheme val="minor"/>
    </font>
    <font>
      <b/>
      <sz val="11"/>
      <color theme="1"/>
      <name val="Calibri"/>
      <family val="2"/>
    </font>
    <font>
      <i/>
      <sz val="9"/>
      <color rgb="FFFF0000"/>
      <name val="Calibri"/>
      <family val="2"/>
    </font>
    <font>
      <b/>
      <sz val="10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9E1F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0F0F0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rgb="FF00AEEF"/>
      </left>
      <right style="thin">
        <color rgb="FF00AEEF"/>
      </right>
      <top style="thin">
        <color rgb="FF00AEEF"/>
      </top>
      <bottom style="thin">
        <color rgb="FF00AEE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AEEF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9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0" fillId="0" borderId="0"/>
    <xf numFmtId="0" fontId="6" fillId="0" borderId="0" applyNumberFormat="0" applyFill="0" applyBorder="0" applyAlignment="0" applyProtection="0"/>
    <xf numFmtId="43" fontId="25" fillId="0" borderId="0" applyFont="0" applyFill="0" applyBorder="0" applyAlignment="0" applyProtection="0"/>
    <xf numFmtId="0" fontId="6" fillId="0" borderId="0" applyNumberFormat="0" applyFill="0" applyBorder="0" applyAlignment="0" applyProtection="0"/>
    <xf numFmtId="9" fontId="6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67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/>
    <xf numFmtId="0" fontId="68" fillId="3" borderId="13"/>
    <xf numFmtId="0" fontId="25" fillId="0" borderId="0"/>
    <xf numFmtId="0" fontId="2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0" fillId="0" borderId="0"/>
    <xf numFmtId="43" fontId="8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98" fillId="0" borderId="0"/>
    <xf numFmtId="0" fontId="107" fillId="0" borderId="0"/>
    <xf numFmtId="0" fontId="1" fillId="0" borderId="0"/>
  </cellStyleXfs>
  <cellXfs count="1859">
    <xf numFmtId="0" fontId="0" fillId="0" borderId="0" xfId="0"/>
    <xf numFmtId="0" fontId="5" fillId="0" borderId="0" xfId="0" applyFont="1"/>
    <xf numFmtId="166" fontId="7" fillId="0" borderId="1" xfId="3" applyNumberFormat="1" applyFont="1" applyBorder="1" applyAlignment="1">
      <alignment horizontal="right"/>
    </xf>
    <xf numFmtId="166" fontId="7" fillId="0" borderId="1" xfId="3" applyNumberFormat="1" applyFont="1" applyFill="1" applyBorder="1" applyAlignment="1">
      <alignment horizontal="right"/>
    </xf>
    <xf numFmtId="0" fontId="8" fillId="0" borderId="0" xfId="0" applyFont="1"/>
    <xf numFmtId="166" fontId="7" fillId="0" borderId="0" xfId="3" applyNumberFormat="1" applyFont="1" applyBorder="1" applyAlignment="1">
      <alignment horizontal="right"/>
    </xf>
    <xf numFmtId="166" fontId="7" fillId="0" borderId="0" xfId="3" applyNumberFormat="1" applyFont="1" applyFill="1" applyBorder="1" applyAlignment="1">
      <alignment horizontal="right"/>
    </xf>
    <xf numFmtId="37" fontId="9" fillId="0" borderId="0" xfId="3" applyNumberFormat="1" applyFont="1" applyBorder="1" applyAlignment="1">
      <alignment horizontal="right"/>
    </xf>
    <xf numFmtId="37" fontId="7" fillId="0" borderId="0" xfId="3" applyNumberFormat="1" applyFont="1" applyBorder="1" applyAlignment="1">
      <alignment horizontal="right"/>
    </xf>
    <xf numFmtId="37" fontId="10" fillId="0" borderId="0" xfId="3" applyNumberFormat="1" applyFont="1" applyBorder="1" applyAlignment="1">
      <alignment horizontal="right"/>
    </xf>
    <xf numFmtId="37" fontId="9" fillId="0" borderId="1" xfId="3" applyNumberFormat="1" applyFont="1" applyBorder="1" applyAlignment="1">
      <alignment horizontal="right"/>
    </xf>
    <xf numFmtId="37" fontId="7" fillId="0" borderId="1" xfId="3" applyNumberFormat="1" applyFont="1" applyBorder="1" applyAlignment="1">
      <alignment horizontal="right"/>
    </xf>
    <xf numFmtId="167" fontId="7" fillId="0" borderId="0" xfId="3" applyNumberFormat="1" applyFont="1" applyBorder="1" applyAlignment="1">
      <alignment horizontal="right"/>
    </xf>
    <xf numFmtId="0" fontId="11" fillId="0" borderId="0" xfId="0" applyFont="1"/>
    <xf numFmtId="37" fontId="7" fillId="0" borderId="2" xfId="3" applyNumberFormat="1" applyFont="1" applyBorder="1" applyAlignment="1">
      <alignment horizontal="right"/>
    </xf>
    <xf numFmtId="37" fontId="12" fillId="0" borderId="0" xfId="3" applyNumberFormat="1" applyFont="1" applyBorder="1" applyAlignment="1">
      <alignment horizontal="right"/>
    </xf>
    <xf numFmtId="166" fontId="10" fillId="0" borderId="0" xfId="3" applyNumberFormat="1" applyFont="1" applyBorder="1" applyAlignment="1">
      <alignment horizontal="right"/>
    </xf>
    <xf numFmtId="37" fontId="9" fillId="2" borderId="0" xfId="3" applyNumberFormat="1" applyFont="1" applyFill="1" applyBorder="1" applyAlignment="1">
      <alignment horizontal="right"/>
    </xf>
    <xf numFmtId="37" fontId="12" fillId="2" borderId="0" xfId="3" applyNumberFormat="1" applyFont="1" applyFill="1" applyBorder="1" applyAlignment="1">
      <alignment horizontal="right"/>
    </xf>
    <xf numFmtId="37" fontId="13" fillId="0" borderId="0" xfId="3" applyNumberFormat="1" applyFont="1" applyBorder="1" applyAlignment="1">
      <alignment horizontal="right"/>
    </xf>
    <xf numFmtId="166" fontId="9" fillId="0" borderId="0" xfId="3" applyNumberFormat="1" applyFont="1" applyBorder="1" applyAlignment="1">
      <alignment horizontal="right"/>
    </xf>
    <xf numFmtId="7" fontId="9" fillId="0" borderId="0" xfId="3" applyNumberFormat="1" applyFont="1" applyBorder="1" applyAlignment="1">
      <alignment horizontal="right"/>
    </xf>
    <xf numFmtId="10" fontId="9" fillId="0" borderId="0" xfId="3" applyNumberFormat="1" applyFont="1" applyBorder="1" applyAlignment="1">
      <alignment horizontal="right"/>
    </xf>
    <xf numFmtId="10" fontId="9" fillId="2" borderId="0" xfId="3" applyNumberFormat="1" applyFont="1" applyFill="1" applyBorder="1" applyAlignment="1">
      <alignment horizontal="right"/>
    </xf>
    <xf numFmtId="37" fontId="9" fillId="3" borderId="0" xfId="3" applyNumberFormat="1" applyFont="1" applyFill="1" applyBorder="1" applyAlignment="1">
      <alignment horizontal="right"/>
    </xf>
    <xf numFmtId="37" fontId="14" fillId="4" borderId="2" xfId="3" applyNumberFormat="1" applyFont="1" applyFill="1" applyBorder="1"/>
    <xf numFmtId="7" fontId="15" fillId="0" borderId="0" xfId="1" applyNumberFormat="1" applyFont="1" applyBorder="1" applyAlignment="1"/>
    <xf numFmtId="0" fontId="5" fillId="0" borderId="0" xfId="0" applyFont="1" applyAlignment="1">
      <alignment horizontal="left" indent="2"/>
    </xf>
    <xf numFmtId="37" fontId="16" fillId="0" borderId="0" xfId="3" applyNumberFormat="1" applyFont="1" applyBorder="1" applyAlignment="1">
      <alignment horizontal="right"/>
    </xf>
    <xf numFmtId="0" fontId="8" fillId="0" borderId="0" xfId="0" applyFont="1" applyAlignment="1">
      <alignment horizontal="left" indent="1"/>
    </xf>
    <xf numFmtId="0" fontId="5" fillId="0" borderId="0" xfId="0" applyFont="1" applyAlignment="1">
      <alignment horizontal="left" indent="1"/>
    </xf>
    <xf numFmtId="37" fontId="7" fillId="0" borderId="3" xfId="3" applyNumberFormat="1" applyFont="1" applyBorder="1" applyAlignment="1">
      <alignment horizontal="right"/>
    </xf>
    <xf numFmtId="37" fontId="16" fillId="0" borderId="3" xfId="3" applyNumberFormat="1" applyFont="1" applyBorder="1" applyAlignment="1">
      <alignment horizontal="right"/>
    </xf>
    <xf numFmtId="0" fontId="17" fillId="0" borderId="0" xfId="0" applyFont="1"/>
    <xf numFmtId="37" fontId="18" fillId="0" borderId="0" xfId="3" applyNumberFormat="1" applyFont="1" applyBorder="1" applyAlignment="1">
      <alignment horizontal="right"/>
    </xf>
    <xf numFmtId="0" fontId="8" fillId="0" borderId="0" xfId="0" applyFont="1" applyAlignment="1">
      <alignment horizontal="left" indent="2"/>
    </xf>
    <xf numFmtId="37" fontId="16" fillId="0" borderId="1" xfId="3" applyNumberFormat="1" applyFont="1" applyBorder="1" applyAlignment="1">
      <alignment horizontal="right"/>
    </xf>
    <xf numFmtId="37" fontId="16" fillId="0" borderId="4" xfId="3" applyNumberFormat="1" applyFont="1" applyBorder="1" applyAlignment="1">
      <alignment horizontal="right"/>
    </xf>
    <xf numFmtId="37" fontId="21" fillId="0" borderId="5" xfId="3" applyNumberFormat="1" applyFont="1" applyBorder="1"/>
    <xf numFmtId="37" fontId="7" fillId="0" borderId="0" xfId="3" applyNumberFormat="1" applyFont="1"/>
    <xf numFmtId="37" fontId="10" fillId="0" borderId="0" xfId="3" applyNumberFormat="1" applyFont="1"/>
    <xf numFmtId="37" fontId="20" fillId="0" borderId="1" xfId="3" applyNumberFormat="1" applyFont="1" applyBorder="1"/>
    <xf numFmtId="166" fontId="19" fillId="0" borderId="1" xfId="3" applyNumberFormat="1" applyFont="1" applyBorder="1" applyAlignment="1">
      <alignment horizontal="right"/>
    </xf>
    <xf numFmtId="37" fontId="22" fillId="4" borderId="2" xfId="3" applyNumberFormat="1" applyFont="1" applyFill="1" applyBorder="1"/>
    <xf numFmtId="37" fontId="23" fillId="0" borderId="0" xfId="0" applyNumberFormat="1" applyFont="1"/>
    <xf numFmtId="37" fontId="24" fillId="0" borderId="0" xfId="0" applyNumberFormat="1" applyFont="1"/>
    <xf numFmtId="37" fontId="26" fillId="0" borderId="0" xfId="4" applyNumberFormat="1" applyFont="1"/>
    <xf numFmtId="168" fontId="17" fillId="0" borderId="0" xfId="0" applyNumberFormat="1" applyFont="1"/>
    <xf numFmtId="0" fontId="27" fillId="0" borderId="0" xfId="4" applyFont="1"/>
    <xf numFmtId="0" fontId="28" fillId="0" borderId="0" xfId="4" applyFont="1"/>
    <xf numFmtId="37" fontId="8" fillId="0" borderId="2" xfId="0" applyNumberFormat="1" applyFont="1" applyBorder="1"/>
    <xf numFmtId="37" fontId="24" fillId="0" borderId="2" xfId="0" applyNumberFormat="1" applyFont="1" applyBorder="1"/>
    <xf numFmtId="168" fontId="11" fillId="0" borderId="0" xfId="0" applyNumberFormat="1" applyFont="1"/>
    <xf numFmtId="37" fontId="29" fillId="0" borderId="0" xfId="0" applyNumberFormat="1" applyFont="1"/>
    <xf numFmtId="37" fontId="30" fillId="5" borderId="2" xfId="0" applyNumberFormat="1" applyFont="1" applyFill="1" applyBorder="1"/>
    <xf numFmtId="37" fontId="11" fillId="2" borderId="0" xfId="0" applyNumberFormat="1" applyFont="1" applyFill="1"/>
    <xf numFmtId="37" fontId="5" fillId="2" borderId="0" xfId="0" applyNumberFormat="1" applyFont="1" applyFill="1"/>
    <xf numFmtId="37" fontId="31" fillId="0" borderId="0" xfId="0" applyNumberFormat="1" applyFont="1"/>
    <xf numFmtId="37" fontId="8" fillId="0" borderId="0" xfId="0" applyNumberFormat="1" applyFont="1"/>
    <xf numFmtId="37" fontId="5" fillId="0" borderId="0" xfId="0" applyNumberFormat="1" applyFont="1"/>
    <xf numFmtId="37" fontId="8" fillId="2" borderId="0" xfId="0" applyNumberFormat="1" applyFont="1" applyFill="1"/>
    <xf numFmtId="37" fontId="17" fillId="2" borderId="0" xfId="0" quotePrefix="1" applyNumberFormat="1" applyFont="1" applyFill="1" applyAlignment="1">
      <alignment horizontal="left"/>
    </xf>
    <xf numFmtId="37" fontId="17" fillId="0" borderId="0" xfId="0" applyNumberFormat="1" applyFont="1"/>
    <xf numFmtId="37" fontId="5" fillId="2" borderId="0" xfId="0" applyNumberFormat="1" applyFont="1" applyFill="1" applyAlignment="1">
      <alignment horizontal="left" indent="1"/>
    </xf>
    <xf numFmtId="37" fontId="8" fillId="2" borderId="0" xfId="0" applyNumberFormat="1" applyFont="1" applyFill="1" applyAlignment="1">
      <alignment horizontal="left"/>
    </xf>
    <xf numFmtId="169" fontId="17" fillId="2" borderId="0" xfId="0" applyNumberFormat="1" applyFont="1" applyFill="1" applyAlignment="1">
      <alignment horizontal="left"/>
    </xf>
    <xf numFmtId="37" fontId="17" fillId="2" borderId="0" xfId="0" applyNumberFormat="1" applyFont="1" applyFill="1" applyAlignment="1">
      <alignment horizontal="left" indent="1"/>
    </xf>
    <xf numFmtId="37" fontId="5" fillId="2" borderId="0" xfId="0" applyNumberFormat="1" applyFont="1" applyFill="1" applyAlignment="1">
      <alignment horizontal="left"/>
    </xf>
    <xf numFmtId="169" fontId="11" fillId="2" borderId="0" xfId="0" applyNumberFormat="1" applyFont="1" applyFill="1" applyAlignment="1">
      <alignment horizontal="left"/>
    </xf>
    <xf numFmtId="168" fontId="17" fillId="2" borderId="0" xfId="2" quotePrefix="1" applyNumberFormat="1" applyFont="1" applyFill="1" applyAlignment="1">
      <alignment horizontal="left"/>
    </xf>
    <xf numFmtId="37" fontId="17" fillId="2" borderId="0" xfId="0" applyNumberFormat="1" applyFont="1" applyFill="1"/>
    <xf numFmtId="37" fontId="17" fillId="2" borderId="1" xfId="0" applyNumberFormat="1" applyFont="1" applyFill="1" applyBorder="1"/>
    <xf numFmtId="37" fontId="17" fillId="2" borderId="0" xfId="0" applyNumberFormat="1" applyFont="1" applyFill="1" applyAlignment="1">
      <alignment horizontal="left"/>
    </xf>
    <xf numFmtId="168" fontId="17" fillId="2" borderId="0" xfId="2" applyNumberFormat="1" applyFont="1" applyFill="1"/>
    <xf numFmtId="170" fontId="0" fillId="0" borderId="0" xfId="0" applyNumberFormat="1"/>
    <xf numFmtId="170" fontId="34" fillId="0" borderId="0" xfId="0" applyNumberFormat="1" applyFont="1"/>
    <xf numFmtId="37" fontId="0" fillId="0" borderId="0" xfId="0" applyNumberFormat="1"/>
    <xf numFmtId="37" fontId="34" fillId="0" borderId="0" xfId="0" applyNumberFormat="1" applyFont="1"/>
    <xf numFmtId="37" fontId="11" fillId="2" borderId="0" xfId="0" quotePrefix="1" applyNumberFormat="1" applyFont="1" applyFill="1" applyAlignment="1">
      <alignment horizontal="left"/>
    </xf>
    <xf numFmtId="37" fontId="35" fillId="0" borderId="0" xfId="0" applyNumberFormat="1" applyFont="1"/>
    <xf numFmtId="37" fontId="37" fillId="0" borderId="0" xfId="0" applyNumberFormat="1" applyFont="1"/>
    <xf numFmtId="166" fontId="10" fillId="3" borderId="0" xfId="3" applyNumberFormat="1" applyFont="1" applyFill="1" applyBorder="1" applyAlignment="1">
      <alignment horizontal="right"/>
    </xf>
    <xf numFmtId="10" fontId="36" fillId="0" borderId="0" xfId="0" applyNumberFormat="1" applyFont="1"/>
    <xf numFmtId="168" fontId="34" fillId="0" borderId="0" xfId="0" applyNumberFormat="1" applyFont="1"/>
    <xf numFmtId="170" fontId="40" fillId="0" borderId="0" xfId="0" applyNumberFormat="1" applyFont="1"/>
    <xf numFmtId="37" fontId="4" fillId="0" borderId="0" xfId="0" applyNumberFormat="1" applyFont="1"/>
    <xf numFmtId="37" fontId="40" fillId="0" borderId="0" xfId="0" applyNumberFormat="1" applyFont="1"/>
    <xf numFmtId="170" fontId="36" fillId="0" borderId="0" xfId="0" applyNumberFormat="1" applyFont="1"/>
    <xf numFmtId="168" fontId="41" fillId="0" borderId="0" xfId="0" applyNumberFormat="1" applyFont="1"/>
    <xf numFmtId="168" fontId="42" fillId="0" borderId="0" xfId="0" applyNumberFormat="1" applyFont="1"/>
    <xf numFmtId="0" fontId="4" fillId="0" borderId="0" xfId="0" applyFont="1"/>
    <xf numFmtId="168" fontId="40" fillId="0" borderId="0" xfId="0" applyNumberFormat="1" applyFont="1"/>
    <xf numFmtId="170" fontId="4" fillId="0" borderId="0" xfId="0" applyNumberFormat="1" applyFont="1"/>
    <xf numFmtId="10" fontId="40" fillId="0" borderId="0" xfId="0" applyNumberFormat="1" applyFont="1"/>
    <xf numFmtId="0" fontId="34" fillId="0" borderId="0" xfId="0" applyFont="1"/>
    <xf numFmtId="37" fontId="9" fillId="0" borderId="0" xfId="0" applyNumberFormat="1" applyFont="1"/>
    <xf numFmtId="37" fontId="36" fillId="0" borderId="0" xfId="0" applyNumberFormat="1" applyFont="1"/>
    <xf numFmtId="170" fontId="37" fillId="0" borderId="0" xfId="0" applyNumberFormat="1" applyFont="1"/>
    <xf numFmtId="0" fontId="9" fillId="0" borderId="0" xfId="0" applyFont="1"/>
    <xf numFmtId="170" fontId="9" fillId="0" borderId="0" xfId="0" applyNumberFormat="1" applyFont="1"/>
    <xf numFmtId="37" fontId="4" fillId="0" borderId="1" xfId="0" applyNumberFormat="1" applyFont="1" applyBorder="1"/>
    <xf numFmtId="167" fontId="0" fillId="0" borderId="0" xfId="0" applyNumberFormat="1"/>
    <xf numFmtId="167" fontId="4" fillId="0" borderId="0" xfId="0" applyNumberFormat="1" applyFont="1"/>
    <xf numFmtId="167" fontId="9" fillId="0" borderId="0" xfId="0" applyNumberFormat="1" applyFont="1"/>
    <xf numFmtId="37" fontId="0" fillId="0" borderId="1" xfId="0" applyNumberFormat="1" applyBorder="1"/>
    <xf numFmtId="37" fontId="22" fillId="5" borderId="2" xfId="0" applyNumberFormat="1" applyFont="1" applyFill="1" applyBorder="1"/>
    <xf numFmtId="37" fontId="45" fillId="5" borderId="2" xfId="0" applyNumberFormat="1" applyFont="1" applyFill="1" applyBorder="1"/>
    <xf numFmtId="170" fontId="45" fillId="5" borderId="2" xfId="0" applyNumberFormat="1" applyFont="1" applyFill="1" applyBorder="1"/>
    <xf numFmtId="0" fontId="0" fillId="2" borderId="0" xfId="0" applyFill="1"/>
    <xf numFmtId="0" fontId="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167" fontId="34" fillId="0" borderId="0" xfId="0" applyNumberFormat="1" applyFont="1"/>
    <xf numFmtId="167" fontId="40" fillId="0" borderId="0" xfId="0" applyNumberFormat="1" applyFont="1"/>
    <xf numFmtId="37" fontId="17" fillId="2" borderId="1" xfId="0" applyNumberFormat="1" applyFont="1" applyFill="1" applyBorder="1" applyAlignment="1">
      <alignment horizontal="left"/>
    </xf>
    <xf numFmtId="0" fontId="0" fillId="0" borderId="1" xfId="0" applyBorder="1"/>
    <xf numFmtId="170" fontId="34" fillId="0" borderId="1" xfId="0" applyNumberFormat="1" applyFont="1" applyBorder="1"/>
    <xf numFmtId="0" fontId="17" fillId="2" borderId="0" xfId="0" applyFont="1" applyFill="1" applyAlignment="1">
      <alignment horizontal="left"/>
    </xf>
    <xf numFmtId="170" fontId="40" fillId="0" borderId="1" xfId="0" applyNumberFormat="1" applyFont="1" applyBorder="1"/>
    <xf numFmtId="37" fontId="33" fillId="2" borderId="0" xfId="0" applyNumberFormat="1" applyFont="1" applyFill="1"/>
    <xf numFmtId="0" fontId="5" fillId="2" borderId="0" xfId="0" applyFont="1" applyFill="1"/>
    <xf numFmtId="37" fontId="0" fillId="2" borderId="0" xfId="0" applyNumberFormat="1" applyFill="1"/>
    <xf numFmtId="37" fontId="4" fillId="2" borderId="0" xfId="0" applyNumberFormat="1" applyFont="1" applyFill="1"/>
    <xf numFmtId="168" fontId="34" fillId="2" borderId="0" xfId="0" applyNumberFormat="1" applyFont="1" applyFill="1"/>
    <xf numFmtId="168" fontId="40" fillId="2" borderId="0" xfId="0" applyNumberFormat="1" applyFont="1" applyFill="1"/>
    <xf numFmtId="37" fontId="34" fillId="2" borderId="0" xfId="0" applyNumberFormat="1" applyFont="1" applyFill="1"/>
    <xf numFmtId="37" fontId="40" fillId="2" borderId="0" xfId="0" applyNumberFormat="1" applyFont="1" applyFill="1"/>
    <xf numFmtId="170" fontId="34" fillId="2" borderId="0" xfId="0" applyNumberFormat="1" applyFont="1" applyFill="1"/>
    <xf numFmtId="170" fontId="40" fillId="2" borderId="0" xfId="0" applyNumberFormat="1" applyFont="1" applyFill="1"/>
    <xf numFmtId="10" fontId="36" fillId="2" borderId="0" xfId="0" applyNumberFormat="1" applyFont="1" applyFill="1"/>
    <xf numFmtId="10" fontId="40" fillId="2" borderId="0" xfId="0" applyNumberFormat="1" applyFont="1" applyFill="1"/>
    <xf numFmtId="168" fontId="41" fillId="2" borderId="0" xfId="0" applyNumberFormat="1" applyFont="1" applyFill="1"/>
    <xf numFmtId="168" fontId="42" fillId="2" borderId="0" xfId="0" applyNumberFormat="1" applyFont="1" applyFill="1"/>
    <xf numFmtId="37" fontId="47" fillId="0" borderId="0" xfId="0" applyNumberFormat="1" applyFont="1"/>
    <xf numFmtId="37" fontId="48" fillId="0" borderId="0" xfId="0" applyNumberFormat="1" applyFont="1"/>
    <xf numFmtId="37" fontId="49" fillId="0" borderId="0" xfId="0" applyNumberFormat="1" applyFont="1"/>
    <xf numFmtId="37" fontId="49" fillId="0" borderId="0" xfId="5" applyNumberFormat="1" applyFont="1"/>
    <xf numFmtId="7" fontId="34" fillId="0" borderId="0" xfId="0" applyNumberFormat="1" applyFont="1"/>
    <xf numFmtId="7" fontId="40" fillId="0" borderId="0" xfId="0" applyNumberFormat="1" applyFont="1"/>
    <xf numFmtId="5" fontId="36" fillId="0" borderId="0" xfId="0" applyNumberFormat="1" applyFont="1"/>
    <xf numFmtId="5" fontId="42" fillId="0" borderId="0" xfId="0" applyNumberFormat="1" applyFont="1"/>
    <xf numFmtId="37" fontId="51" fillId="0" borderId="0" xfId="0" applyNumberFormat="1" applyFont="1"/>
    <xf numFmtId="0" fontId="40" fillId="0" borderId="0" xfId="0" applyFont="1"/>
    <xf numFmtId="9" fontId="33" fillId="2" borderId="0" xfId="2" applyFont="1" applyFill="1"/>
    <xf numFmtId="9" fontId="52" fillId="2" borderId="0" xfId="2" applyFont="1" applyFill="1"/>
    <xf numFmtId="0" fontId="12" fillId="0" borderId="0" xfId="0" applyFont="1"/>
    <xf numFmtId="9" fontId="51" fillId="2" borderId="0" xfId="2" applyFont="1" applyFill="1"/>
    <xf numFmtId="9" fontId="0" fillId="0" borderId="0" xfId="0" applyNumberFormat="1"/>
    <xf numFmtId="0" fontId="4" fillId="0" borderId="2" xfId="0" applyFont="1" applyBorder="1"/>
    <xf numFmtId="9" fontId="18" fillId="0" borderId="2" xfId="0" applyNumberFormat="1" applyFont="1" applyBorder="1"/>
    <xf numFmtId="168" fontId="9" fillId="0" borderId="0" xfId="0" applyNumberFormat="1" applyFont="1"/>
    <xf numFmtId="173" fontId="34" fillId="0" borderId="0" xfId="0" applyNumberFormat="1" applyFont="1"/>
    <xf numFmtId="37" fontId="54" fillId="0" borderId="0" xfId="0" applyNumberFormat="1" applyFont="1"/>
    <xf numFmtId="37" fontId="8" fillId="0" borderId="1" xfId="0" applyNumberFormat="1" applyFont="1" applyBorder="1"/>
    <xf numFmtId="37" fontId="54" fillId="0" borderId="1" xfId="0" applyNumberFormat="1" applyFont="1" applyBorder="1"/>
    <xf numFmtId="170" fontId="11" fillId="0" borderId="0" xfId="0" applyNumberFormat="1" applyFont="1"/>
    <xf numFmtId="170" fontId="17" fillId="0" borderId="0" xfId="0" applyNumberFormat="1" applyFont="1"/>
    <xf numFmtId="170" fontId="33" fillId="0" borderId="0" xfId="0" applyNumberFormat="1" applyFont="1"/>
    <xf numFmtId="37" fontId="5" fillId="0" borderId="1" xfId="0" applyNumberFormat="1" applyFont="1" applyBorder="1"/>
    <xf numFmtId="37" fontId="12" fillId="0" borderId="0" xfId="3" applyNumberFormat="1" applyFont="1" applyFill="1" applyBorder="1" applyAlignment="1">
      <alignment horizontal="right"/>
    </xf>
    <xf numFmtId="37" fontId="31" fillId="2" borderId="0" xfId="0" applyNumberFormat="1" applyFont="1" applyFill="1"/>
    <xf numFmtId="37" fontId="24" fillId="0" borderId="1" xfId="0" applyNumberFormat="1" applyFont="1" applyBorder="1"/>
    <xf numFmtId="37" fontId="23" fillId="0" borderId="1" xfId="0" applyNumberFormat="1" applyFont="1" applyBorder="1"/>
    <xf numFmtId="0" fontId="34" fillId="0" borderId="0" xfId="0" applyFont="1" applyAlignment="1">
      <alignment horizontal="right"/>
    </xf>
    <xf numFmtId="0" fontId="17" fillId="0" borderId="0" xfId="0" applyFont="1" applyAlignment="1">
      <alignment horizontal="left"/>
    </xf>
    <xf numFmtId="0" fontId="5" fillId="6" borderId="0" xfId="0" applyFont="1" applyFill="1"/>
    <xf numFmtId="37" fontId="55" fillId="5" borderId="2" xfId="0" applyNumberFormat="1" applyFont="1" applyFill="1" applyBorder="1"/>
    <xf numFmtId="37" fontId="46" fillId="2" borderId="0" xfId="0" applyNumberFormat="1" applyFont="1" applyFill="1"/>
    <xf numFmtId="37" fontId="49" fillId="2" borderId="0" xfId="0" applyNumberFormat="1" applyFont="1" applyFill="1"/>
    <xf numFmtId="37" fontId="49" fillId="2" borderId="0" xfId="0" applyNumberFormat="1" applyFont="1" applyFill="1" applyAlignment="1">
      <alignment horizontal="left" indent="1"/>
    </xf>
    <xf numFmtId="37" fontId="48" fillId="2" borderId="0" xfId="0" applyNumberFormat="1" applyFont="1" applyFill="1"/>
    <xf numFmtId="37" fontId="49" fillId="2" borderId="0" xfId="5" quotePrefix="1" applyNumberFormat="1" applyFont="1" applyFill="1" applyAlignment="1">
      <alignment horizontal="left"/>
    </xf>
    <xf numFmtId="37" fontId="10" fillId="2" borderId="0" xfId="5" quotePrefix="1" applyNumberFormat="1" applyFont="1" applyFill="1" applyAlignment="1">
      <alignment horizontal="left"/>
    </xf>
    <xf numFmtId="37" fontId="7" fillId="2" borderId="0" xfId="5" quotePrefix="1" applyNumberFormat="1" applyFont="1" applyFill="1" applyAlignment="1">
      <alignment horizontal="left"/>
    </xf>
    <xf numFmtId="37" fontId="49" fillId="2" borderId="0" xfId="5" quotePrefix="1" applyNumberFormat="1" applyFont="1" applyFill="1"/>
    <xf numFmtId="37" fontId="47" fillId="2" borderId="0" xfId="5" quotePrefix="1" applyNumberFormat="1" applyFont="1" applyFill="1"/>
    <xf numFmtId="37" fontId="48" fillId="2" borderId="0" xfId="5" applyNumberFormat="1" applyFont="1" applyFill="1"/>
    <xf numFmtId="0" fontId="49" fillId="0" borderId="0" xfId="0" applyFont="1"/>
    <xf numFmtId="0" fontId="0" fillId="0" borderId="0" xfId="0" quotePrefix="1"/>
    <xf numFmtId="0" fontId="5" fillId="0" borderId="0" xfId="0" quotePrefix="1" applyFont="1" applyAlignment="1">
      <alignment horizontal="left" indent="2"/>
    </xf>
    <xf numFmtId="37" fontId="35" fillId="2" borderId="0" xfId="0" applyNumberFormat="1" applyFont="1" applyFill="1"/>
    <xf numFmtId="176" fontId="34" fillId="0" borderId="0" xfId="0" applyNumberFormat="1" applyFont="1"/>
    <xf numFmtId="176" fontId="40" fillId="0" borderId="0" xfId="0" applyNumberFormat="1" applyFont="1"/>
    <xf numFmtId="37" fontId="24" fillId="2" borderId="0" xfId="0" applyNumberFormat="1" applyFont="1" applyFill="1"/>
    <xf numFmtId="37" fontId="54" fillId="2" borderId="0" xfId="0" applyNumberFormat="1" applyFont="1" applyFill="1"/>
    <xf numFmtId="7" fontId="8" fillId="0" borderId="0" xfId="0" applyNumberFormat="1" applyFont="1"/>
    <xf numFmtId="7" fontId="8" fillId="0" borderId="3" xfId="0" applyNumberFormat="1" applyFont="1" applyBorder="1"/>
    <xf numFmtId="0" fontId="8" fillId="0" borderId="0" xfId="0" quotePrefix="1" applyFont="1" applyAlignment="1">
      <alignment horizontal="left"/>
    </xf>
    <xf numFmtId="0" fontId="5" fillId="0" borderId="0" xfId="0" quotePrefix="1" applyFont="1" applyAlignment="1">
      <alignment horizontal="left"/>
    </xf>
    <xf numFmtId="7" fontId="4" fillId="0" borderId="3" xfId="0" applyNumberFormat="1" applyFont="1" applyBorder="1"/>
    <xf numFmtId="170" fontId="5" fillId="0" borderId="0" xfId="0" applyNumberFormat="1" applyFont="1"/>
    <xf numFmtId="166" fontId="19" fillId="0" borderId="1" xfId="3" quotePrefix="1" applyNumberFormat="1" applyFont="1" applyBorder="1" applyAlignment="1">
      <alignment horizontal="right"/>
    </xf>
    <xf numFmtId="9" fontId="9" fillId="0" borderId="0" xfId="0" applyNumberFormat="1" applyFont="1"/>
    <xf numFmtId="37" fontId="22" fillId="2" borderId="0" xfId="0" applyNumberFormat="1" applyFont="1" applyFill="1"/>
    <xf numFmtId="37" fontId="45" fillId="2" borderId="0" xfId="0" applyNumberFormat="1" applyFont="1" applyFill="1"/>
    <xf numFmtId="170" fontId="45" fillId="2" borderId="0" xfId="0" applyNumberFormat="1" applyFont="1" applyFill="1"/>
    <xf numFmtId="168" fontId="56" fillId="2" borderId="0" xfId="0" applyNumberFormat="1" applyFont="1" applyFill="1"/>
    <xf numFmtId="167" fontId="48" fillId="0" borderId="0" xfId="0" applyNumberFormat="1" applyFont="1"/>
    <xf numFmtId="170" fontId="28" fillId="2" borderId="0" xfId="0" applyNumberFormat="1" applyFont="1" applyFill="1"/>
    <xf numFmtId="37" fontId="28" fillId="2" borderId="0" xfId="0" applyNumberFormat="1" applyFont="1" applyFill="1"/>
    <xf numFmtId="168" fontId="57" fillId="2" borderId="0" xfId="0" applyNumberFormat="1" applyFont="1" applyFill="1"/>
    <xf numFmtId="37" fontId="14" fillId="7" borderId="2" xfId="3" applyNumberFormat="1" applyFont="1" applyFill="1" applyBorder="1"/>
    <xf numFmtId="37" fontId="58" fillId="7" borderId="2" xfId="3" applyNumberFormat="1" applyFont="1" applyFill="1" applyBorder="1"/>
    <xf numFmtId="37" fontId="49" fillId="0" borderId="0" xfId="3" applyNumberFormat="1" applyFont="1" applyAlignment="1">
      <alignment horizontal="left" indent="1"/>
    </xf>
    <xf numFmtId="8" fontId="44" fillId="9" borderId="0" xfId="3" applyNumberFormat="1" applyFont="1" applyFill="1" applyBorder="1"/>
    <xf numFmtId="37" fontId="49" fillId="0" borderId="0" xfId="3" quotePrefix="1" applyNumberFormat="1" applyFont="1"/>
    <xf numFmtId="37" fontId="49" fillId="0" borderId="0" xfId="3" applyNumberFormat="1" applyFont="1"/>
    <xf numFmtId="8" fontId="49" fillId="0" borderId="0" xfId="3" applyNumberFormat="1" applyFont="1" applyFill="1"/>
    <xf numFmtId="172" fontId="35" fillId="0" borderId="0" xfId="3" applyNumberFormat="1" applyFont="1" applyFill="1"/>
    <xf numFmtId="37" fontId="35" fillId="0" borderId="0" xfId="3" applyNumberFormat="1" applyFont="1"/>
    <xf numFmtId="178" fontId="49" fillId="0" borderId="0" xfId="3" applyNumberFormat="1" applyFont="1"/>
    <xf numFmtId="10" fontId="49" fillId="0" borderId="0" xfId="3" applyNumberFormat="1" applyFont="1" applyFill="1"/>
    <xf numFmtId="37" fontId="47" fillId="0" borderId="0" xfId="3" quotePrefix="1" applyNumberFormat="1" applyFont="1"/>
    <xf numFmtId="179" fontId="49" fillId="0" borderId="0" xfId="3" applyNumberFormat="1" applyFont="1" applyFill="1"/>
    <xf numFmtId="169" fontId="49" fillId="0" borderId="0" xfId="3" applyNumberFormat="1" applyFont="1" applyFill="1"/>
    <xf numFmtId="37" fontId="47" fillId="0" borderId="3" xfId="3" applyNumberFormat="1" applyFont="1" applyBorder="1"/>
    <xf numFmtId="37" fontId="49" fillId="0" borderId="0" xfId="3" applyNumberFormat="1" applyFont="1" applyFill="1"/>
    <xf numFmtId="37" fontId="48" fillId="0" borderId="0" xfId="3" applyNumberFormat="1" applyFont="1"/>
    <xf numFmtId="9" fontId="48" fillId="0" borderId="0" xfId="3" applyNumberFormat="1" applyFont="1"/>
    <xf numFmtId="5" fontId="18" fillId="0" borderId="0" xfId="6" applyNumberFormat="1" applyFont="1"/>
    <xf numFmtId="0" fontId="49" fillId="0" borderId="0" xfId="3" applyNumberFormat="1" applyFont="1" applyFill="1" applyBorder="1"/>
    <xf numFmtId="37" fontId="58" fillId="10" borderId="2" xfId="3" applyNumberFormat="1" applyFont="1" applyFill="1" applyBorder="1"/>
    <xf numFmtId="37" fontId="49" fillId="0" borderId="0" xfId="3" applyNumberFormat="1" applyFont="1" applyBorder="1"/>
    <xf numFmtId="165" fontId="49" fillId="0" borderId="0" xfId="3" applyFont="1" applyBorder="1"/>
    <xf numFmtId="37" fontId="47" fillId="0" borderId="1" xfId="3" applyNumberFormat="1" applyFont="1" applyBorder="1" applyAlignment="1">
      <alignment horizontal="right"/>
    </xf>
    <xf numFmtId="166" fontId="18" fillId="0" borderId="1" xfId="3" applyNumberFormat="1" applyFont="1" applyBorder="1" applyAlignment="1">
      <alignment horizontal="right"/>
    </xf>
    <xf numFmtId="166" fontId="47" fillId="0" borderId="1" xfId="3" applyNumberFormat="1" applyFont="1" applyBorder="1" applyAlignment="1">
      <alignment horizontal="right"/>
    </xf>
    <xf numFmtId="166" fontId="47" fillId="0" borderId="1" xfId="3" applyNumberFormat="1" applyFont="1" applyFill="1" applyBorder="1" applyAlignment="1">
      <alignment horizontal="right"/>
    </xf>
    <xf numFmtId="174" fontId="49" fillId="0" borderId="0" xfId="3" applyNumberFormat="1" applyFont="1"/>
    <xf numFmtId="37" fontId="47" fillId="6" borderId="2" xfId="3" applyNumberFormat="1" applyFont="1" applyFill="1" applyBorder="1" applyAlignment="1">
      <alignment horizontal="right"/>
    </xf>
    <xf numFmtId="166" fontId="47" fillId="6" borderId="2" xfId="3" applyNumberFormat="1" applyFont="1" applyFill="1" applyBorder="1" applyAlignment="1">
      <alignment horizontal="right"/>
    </xf>
    <xf numFmtId="37" fontId="46" fillId="6" borderId="0" xfId="3" applyNumberFormat="1" applyFont="1" applyFill="1" applyBorder="1"/>
    <xf numFmtId="168" fontId="0" fillId="0" borderId="0" xfId="0" applyNumberFormat="1"/>
    <xf numFmtId="37" fontId="28" fillId="2" borderId="0" xfId="3" applyNumberFormat="1" applyFont="1" applyFill="1" applyBorder="1"/>
    <xf numFmtId="37" fontId="49" fillId="6" borderId="0" xfId="3" applyNumberFormat="1" applyFont="1" applyFill="1" applyBorder="1"/>
    <xf numFmtId="38" fontId="5" fillId="2" borderId="0" xfId="0" applyNumberFormat="1" applyFont="1" applyFill="1"/>
    <xf numFmtId="37" fontId="48" fillId="6" borderId="0" xfId="3" applyNumberFormat="1" applyFont="1" applyFill="1" applyBorder="1"/>
    <xf numFmtId="168" fontId="17" fillId="2" borderId="0" xfId="0" applyNumberFormat="1" applyFont="1" applyFill="1"/>
    <xf numFmtId="174" fontId="56" fillId="0" borderId="0" xfId="0" applyNumberFormat="1" applyFont="1"/>
    <xf numFmtId="37" fontId="48" fillId="6" borderId="0" xfId="3" applyNumberFormat="1" applyFont="1" applyFill="1"/>
    <xf numFmtId="0" fontId="0" fillId="6" borderId="0" xfId="0" applyFill="1"/>
    <xf numFmtId="0" fontId="46" fillId="2" borderId="0" xfId="0" applyFont="1" applyFill="1"/>
    <xf numFmtId="0" fontId="49" fillId="2" borderId="0" xfId="0" applyFont="1" applyFill="1"/>
    <xf numFmtId="38" fontId="31" fillId="2" borderId="0" xfId="7" applyNumberFormat="1" applyFont="1" applyFill="1" applyAlignment="1"/>
    <xf numFmtId="8" fontId="31" fillId="2" borderId="0" xfId="7" applyNumberFormat="1" applyFont="1" applyFill="1" applyAlignment="1"/>
    <xf numFmtId="0" fontId="8" fillId="2" borderId="2" xfId="8" applyFont="1" applyFill="1" applyBorder="1" applyAlignment="1">
      <alignment horizontal="center"/>
    </xf>
    <xf numFmtId="166" fontId="8" fillId="2" borderId="2" xfId="8" applyNumberFormat="1" applyFont="1" applyFill="1" applyBorder="1" applyAlignment="1">
      <alignment horizontal="right"/>
    </xf>
    <xf numFmtId="0" fontId="8" fillId="2" borderId="2" xfId="8" applyFont="1" applyFill="1" applyBorder="1" applyAlignment="1">
      <alignment horizontal="right"/>
    </xf>
    <xf numFmtId="37" fontId="53" fillId="0" borderId="0" xfId="7" applyNumberFormat="1" applyFont="1" applyFill="1" applyBorder="1" applyAlignment="1"/>
    <xf numFmtId="8" fontId="53" fillId="0" borderId="0" xfId="7" applyNumberFormat="1" applyFont="1" applyFill="1" applyBorder="1" applyAlignment="1"/>
    <xf numFmtId="37" fontId="49" fillId="2" borderId="0" xfId="9" applyNumberFormat="1" applyFont="1" applyFill="1" applyBorder="1" applyAlignment="1">
      <alignment horizontal="right"/>
    </xf>
    <xf numFmtId="37" fontId="49" fillId="11" borderId="0" xfId="9" applyNumberFormat="1" applyFont="1" applyFill="1" applyBorder="1" applyAlignment="1">
      <alignment horizontal="right"/>
    </xf>
    <xf numFmtId="37" fontId="47" fillId="11" borderId="0" xfId="9" applyNumberFormat="1" applyFont="1" applyFill="1" applyBorder="1" applyAlignment="1">
      <alignment horizontal="right"/>
    </xf>
    <xf numFmtId="37" fontId="59" fillId="0" borderId="2" xfId="0" applyNumberFormat="1" applyFont="1" applyBorder="1"/>
    <xf numFmtId="37" fontId="47" fillId="11" borderId="2" xfId="9" applyNumberFormat="1" applyFont="1" applyFill="1" applyBorder="1" applyAlignment="1">
      <alignment horizontal="right"/>
    </xf>
    <xf numFmtId="37" fontId="48" fillId="11" borderId="0" xfId="0" applyNumberFormat="1" applyFont="1" applyFill="1"/>
    <xf numFmtId="37" fontId="35" fillId="0" borderId="2" xfId="0" applyNumberFormat="1" applyFont="1" applyBorder="1"/>
    <xf numFmtId="37" fontId="46" fillId="11" borderId="0" xfId="0" applyNumberFormat="1" applyFont="1" applyFill="1"/>
    <xf numFmtId="37" fontId="0" fillId="0" borderId="2" xfId="0" applyNumberFormat="1" applyBorder="1"/>
    <xf numFmtId="170" fontId="49" fillId="0" borderId="0" xfId="3" applyNumberFormat="1" applyFont="1"/>
    <xf numFmtId="37" fontId="49" fillId="6" borderId="0" xfId="3" applyNumberFormat="1" applyFont="1" applyFill="1"/>
    <xf numFmtId="37" fontId="9" fillId="6" borderId="0" xfId="3" applyNumberFormat="1" applyFont="1" applyFill="1"/>
    <xf numFmtId="9" fontId="36" fillId="0" borderId="0" xfId="3" applyNumberFormat="1" applyFont="1" applyFill="1" applyBorder="1" applyAlignment="1"/>
    <xf numFmtId="165" fontId="49" fillId="6" borderId="0" xfId="3" applyFont="1" applyFill="1"/>
    <xf numFmtId="169" fontId="9" fillId="6" borderId="2" xfId="3" applyNumberFormat="1" applyFont="1" applyFill="1" applyBorder="1"/>
    <xf numFmtId="9" fontId="49" fillId="6" borderId="0" xfId="3" applyNumberFormat="1" applyFont="1" applyFill="1"/>
    <xf numFmtId="177" fontId="44" fillId="6" borderId="0" xfId="3" applyNumberFormat="1" applyFont="1" applyFill="1"/>
    <xf numFmtId="168" fontId="49" fillId="6" borderId="0" xfId="3" applyNumberFormat="1" applyFont="1" applyFill="1"/>
    <xf numFmtId="170" fontId="44" fillId="6" borderId="0" xfId="3" applyNumberFormat="1" applyFont="1" applyFill="1"/>
    <xf numFmtId="180" fontId="44" fillId="6" borderId="0" xfId="3" applyNumberFormat="1" applyFont="1" applyFill="1"/>
    <xf numFmtId="165" fontId="44" fillId="6" borderId="0" xfId="3" applyFont="1" applyFill="1"/>
    <xf numFmtId="168" fontId="9" fillId="12" borderId="10" xfId="3" applyNumberFormat="1" applyFont="1" applyFill="1" applyBorder="1"/>
    <xf numFmtId="174" fontId="36" fillId="6" borderId="0" xfId="3" applyNumberFormat="1" applyFont="1" applyFill="1"/>
    <xf numFmtId="37" fontId="35" fillId="6" borderId="0" xfId="3" applyNumberFormat="1" applyFont="1" applyFill="1"/>
    <xf numFmtId="37" fontId="22" fillId="7" borderId="2" xfId="3" applyNumberFormat="1" applyFont="1" applyFill="1" applyBorder="1"/>
    <xf numFmtId="37" fontId="45" fillId="7" borderId="2" xfId="3" applyNumberFormat="1" applyFont="1" applyFill="1" applyBorder="1"/>
    <xf numFmtId="37" fontId="22" fillId="2" borderId="2" xfId="3" applyNumberFormat="1" applyFont="1" applyFill="1" applyBorder="1"/>
    <xf numFmtId="37" fontId="45" fillId="2" borderId="2" xfId="3" applyNumberFormat="1" applyFont="1" applyFill="1" applyBorder="1"/>
    <xf numFmtId="37" fontId="45" fillId="2" borderId="0" xfId="3" applyNumberFormat="1" applyFont="1" applyFill="1" applyBorder="1"/>
    <xf numFmtId="0" fontId="28" fillId="2" borderId="0" xfId="0" applyFont="1" applyFill="1"/>
    <xf numFmtId="0" fontId="28" fillId="2" borderId="2" xfId="0" applyFont="1" applyFill="1" applyBorder="1"/>
    <xf numFmtId="0" fontId="27" fillId="2" borderId="2" xfId="0" applyFont="1" applyFill="1" applyBorder="1" applyAlignment="1">
      <alignment horizontal="right"/>
    </xf>
    <xf numFmtId="37" fontId="23" fillId="2" borderId="0" xfId="0" applyNumberFormat="1" applyFont="1" applyFill="1" applyAlignment="1">
      <alignment horizontal="right"/>
    </xf>
    <xf numFmtId="0" fontId="28" fillId="2" borderId="0" xfId="0" quotePrefix="1" applyFont="1" applyFill="1"/>
    <xf numFmtId="9" fontId="31" fillId="2" borderId="1" xfId="0" applyNumberFormat="1" applyFont="1" applyFill="1" applyBorder="1" applyAlignment="1">
      <alignment horizontal="right"/>
    </xf>
    <xf numFmtId="37" fontId="28" fillId="2" borderId="0" xfId="0" applyNumberFormat="1" applyFont="1" applyFill="1" applyAlignment="1">
      <alignment horizontal="right"/>
    </xf>
    <xf numFmtId="39" fontId="28" fillId="2" borderId="0" xfId="0" applyNumberFormat="1" applyFont="1" applyFill="1"/>
    <xf numFmtId="0" fontId="27" fillId="2" borderId="0" xfId="0" quotePrefix="1" applyFont="1" applyFill="1"/>
    <xf numFmtId="37" fontId="27" fillId="2" borderId="2" xfId="0" applyNumberFormat="1" applyFont="1" applyFill="1" applyBorder="1" applyAlignment="1">
      <alignment horizontal="right"/>
    </xf>
    <xf numFmtId="0" fontId="56" fillId="2" borderId="0" xfId="0" quotePrefix="1" applyFont="1" applyFill="1"/>
    <xf numFmtId="37" fontId="28" fillId="2" borderId="0" xfId="1" applyNumberFormat="1" applyFont="1" applyFill="1" applyBorder="1" applyAlignment="1">
      <alignment horizontal="right"/>
    </xf>
    <xf numFmtId="181" fontId="28" fillId="2" borderId="0" xfId="1" applyNumberFormat="1" applyFont="1" applyFill="1" applyBorder="1" applyAlignment="1">
      <alignment horizontal="right"/>
    </xf>
    <xf numFmtId="43" fontId="28" fillId="2" borderId="0" xfId="1" applyFont="1" applyFill="1" applyBorder="1" applyAlignment="1">
      <alignment horizontal="right"/>
    </xf>
    <xf numFmtId="37" fontId="28" fillId="2" borderId="1" xfId="1" applyNumberFormat="1" applyFont="1" applyFill="1" applyBorder="1" applyAlignment="1">
      <alignment horizontal="right"/>
    </xf>
    <xf numFmtId="37" fontId="27" fillId="2" borderId="3" xfId="1" applyNumberFormat="1" applyFont="1" applyFill="1" applyBorder="1" applyAlignment="1">
      <alignment horizontal="right"/>
    </xf>
    <xf numFmtId="0" fontId="28" fillId="2" borderId="1" xfId="0" applyFont="1" applyFill="1" applyBorder="1"/>
    <xf numFmtId="37" fontId="28" fillId="2" borderId="1" xfId="0" applyNumberFormat="1" applyFont="1" applyFill="1" applyBorder="1" applyAlignment="1">
      <alignment horizontal="right"/>
    </xf>
    <xf numFmtId="37" fontId="43" fillId="2" borderId="0" xfId="0" applyNumberFormat="1" applyFont="1" applyFill="1" applyAlignment="1">
      <alignment horizontal="right"/>
    </xf>
    <xf numFmtId="37" fontId="12" fillId="0" borderId="0" xfId="3" applyNumberFormat="1" applyFont="1"/>
    <xf numFmtId="0" fontId="4" fillId="0" borderId="0" xfId="0" quotePrefix="1" applyFont="1"/>
    <xf numFmtId="174" fontId="9" fillId="0" borderId="0" xfId="0" applyNumberFormat="1" applyFont="1"/>
    <xf numFmtId="5" fontId="4" fillId="0" borderId="3" xfId="0" applyNumberFormat="1" applyFont="1" applyBorder="1"/>
    <xf numFmtId="0" fontId="60" fillId="2" borderId="0" xfId="6" applyFont="1" applyFill="1"/>
    <xf numFmtId="0" fontId="61" fillId="2" borderId="5" xfId="6" applyFont="1" applyFill="1" applyBorder="1"/>
    <xf numFmtId="0" fontId="60" fillId="2" borderId="5" xfId="6" applyFont="1" applyFill="1" applyBorder="1"/>
    <xf numFmtId="0" fontId="60" fillId="2" borderId="0" xfId="0" applyFont="1" applyFill="1"/>
    <xf numFmtId="37" fontId="21" fillId="2" borderId="0" xfId="0" applyNumberFormat="1" applyFont="1" applyFill="1"/>
    <xf numFmtId="14" fontId="49" fillId="2" borderId="0" xfId="0" applyNumberFormat="1" applyFont="1" applyFill="1" applyAlignment="1">
      <alignment horizontal="left"/>
    </xf>
    <xf numFmtId="0" fontId="62" fillId="2" borderId="0" xfId="0" applyFont="1" applyFill="1"/>
    <xf numFmtId="0" fontId="63" fillId="2" borderId="0" xfId="6" applyFont="1" applyFill="1"/>
    <xf numFmtId="0" fontId="64" fillId="2" borderId="0" xfId="6" applyFont="1" applyFill="1"/>
    <xf numFmtId="0" fontId="48" fillId="2" borderId="0" xfId="6" applyFont="1" applyFill="1"/>
    <xf numFmtId="0" fontId="49" fillId="2" borderId="0" xfId="6" applyFont="1" applyFill="1"/>
    <xf numFmtId="0" fontId="65" fillId="2" borderId="0" xfId="0" applyFont="1" applyFill="1"/>
    <xf numFmtId="0" fontId="49" fillId="2" borderId="0" xfId="0" applyFont="1" applyFill="1" applyAlignment="1">
      <alignment horizontal="right"/>
    </xf>
    <xf numFmtId="9" fontId="60" fillId="2" borderId="0" xfId="0" applyNumberFormat="1" applyFont="1" applyFill="1"/>
    <xf numFmtId="173" fontId="49" fillId="2" borderId="0" xfId="0" applyNumberFormat="1" applyFont="1" applyFill="1"/>
    <xf numFmtId="168" fontId="60" fillId="2" borderId="0" xfId="0" applyNumberFormat="1" applyFont="1" applyFill="1"/>
    <xf numFmtId="0" fontId="49" fillId="6" borderId="0" xfId="0" applyFont="1" applyFill="1"/>
    <xf numFmtId="3" fontId="49" fillId="2" borderId="0" xfId="0" applyNumberFormat="1" applyFont="1" applyFill="1"/>
    <xf numFmtId="0" fontId="60" fillId="2" borderId="5" xfId="0" applyFont="1" applyFill="1" applyBorder="1"/>
    <xf numFmtId="37" fontId="14" fillId="4" borderId="2" xfId="12" applyNumberFormat="1" applyFont="1" applyFill="1" applyBorder="1"/>
    <xf numFmtId="37" fontId="49" fillId="11" borderId="0" xfId="12" applyNumberFormat="1" applyFont="1" applyFill="1"/>
    <xf numFmtId="37" fontId="46" fillId="11" borderId="0" xfId="12" applyNumberFormat="1" applyFont="1" applyFill="1"/>
    <xf numFmtId="37" fontId="49" fillId="6" borderId="0" xfId="12" applyNumberFormat="1" applyFont="1" applyFill="1"/>
    <xf numFmtId="37" fontId="49" fillId="11" borderId="0" xfId="12" applyNumberFormat="1" applyFont="1" applyFill="1" applyAlignment="1">
      <alignment horizontal="left" indent="1"/>
    </xf>
    <xf numFmtId="0" fontId="28" fillId="6" borderId="0" xfId="12" applyFont="1" applyFill="1"/>
    <xf numFmtId="0" fontId="6" fillId="11" borderId="0" xfId="12" applyFill="1"/>
    <xf numFmtId="37" fontId="5" fillId="11" borderId="0" xfId="0" applyNumberFormat="1" applyFont="1" applyFill="1"/>
    <xf numFmtId="168" fontId="17" fillId="11" borderId="0" xfId="0" applyNumberFormat="1" applyFont="1" applyFill="1"/>
    <xf numFmtId="37" fontId="17" fillId="11" borderId="0" xfId="0" applyNumberFormat="1" applyFont="1" applyFill="1"/>
    <xf numFmtId="0" fontId="28" fillId="11" borderId="0" xfId="12" applyFont="1" applyFill="1"/>
    <xf numFmtId="37" fontId="17" fillId="11" borderId="0" xfId="0" quotePrefix="1" applyNumberFormat="1" applyFont="1" applyFill="1" applyAlignment="1">
      <alignment horizontal="left"/>
    </xf>
    <xf numFmtId="37" fontId="5" fillId="11" borderId="0" xfId="0" applyNumberFormat="1" applyFont="1" applyFill="1" applyAlignment="1">
      <alignment horizontal="left"/>
    </xf>
    <xf numFmtId="0" fontId="57" fillId="11" borderId="0" xfId="12" applyFont="1" applyFill="1"/>
    <xf numFmtId="37" fontId="5" fillId="11" borderId="0" xfId="0" applyNumberFormat="1" applyFont="1" applyFill="1" applyAlignment="1">
      <alignment horizontal="left" indent="1"/>
    </xf>
    <xf numFmtId="0" fontId="66" fillId="11" borderId="0" xfId="12" applyFont="1" applyFill="1"/>
    <xf numFmtId="0" fontId="66" fillId="6" borderId="0" xfId="12" applyFont="1" applyFill="1"/>
    <xf numFmtId="0" fontId="6" fillId="6" borderId="0" xfId="12" applyFill="1"/>
    <xf numFmtId="37" fontId="49" fillId="2" borderId="0" xfId="13" applyNumberFormat="1" applyFont="1" applyFill="1"/>
    <xf numFmtId="37" fontId="49" fillId="2" borderId="0" xfId="13" applyNumberFormat="1" applyFont="1" applyFill="1" applyBorder="1"/>
    <xf numFmtId="0" fontId="68" fillId="6" borderId="0" xfId="12" applyFont="1" applyFill="1"/>
    <xf numFmtId="0" fontId="27" fillId="11" borderId="0" xfId="0" applyFont="1" applyFill="1"/>
    <xf numFmtId="0" fontId="28" fillId="11" borderId="0" xfId="0" applyFont="1" applyFill="1"/>
    <xf numFmtId="44" fontId="28" fillId="11" borderId="0" xfId="11" applyFont="1" applyFill="1"/>
    <xf numFmtId="0" fontId="5" fillId="11" borderId="0" xfId="0" applyFont="1" applyFill="1" applyAlignment="1">
      <alignment horizontal="left" indent="1"/>
    </xf>
    <xf numFmtId="0" fontId="5" fillId="11" borderId="0" xfId="0" applyFont="1" applyFill="1" applyAlignment="1">
      <alignment horizontal="left" indent="2"/>
    </xf>
    <xf numFmtId="0" fontId="28" fillId="11" borderId="0" xfId="0" applyFont="1" applyFill="1" applyAlignment="1">
      <alignment horizontal="left" indent="1"/>
    </xf>
    <xf numFmtId="0" fontId="5" fillId="11" borderId="0" xfId="0" applyFont="1" applyFill="1"/>
    <xf numFmtId="168" fontId="28" fillId="11" borderId="0" xfId="2" applyNumberFormat="1" applyFont="1" applyFill="1"/>
    <xf numFmtId="0" fontId="8" fillId="11" borderId="0" xfId="0" applyFont="1" applyFill="1"/>
    <xf numFmtId="0" fontId="17" fillId="11" borderId="0" xfId="0" applyFont="1" applyFill="1"/>
    <xf numFmtId="0" fontId="5" fillId="11" borderId="0" xfId="0" quotePrefix="1" applyFont="1" applyFill="1" applyAlignment="1">
      <alignment horizontal="left" indent="2"/>
    </xf>
    <xf numFmtId="0" fontId="5" fillId="11" borderId="0" xfId="0" applyFont="1" applyFill="1" applyAlignment="1">
      <alignment horizontal="left"/>
    </xf>
    <xf numFmtId="0" fontId="69" fillId="11" borderId="0" xfId="12" applyFont="1" applyFill="1"/>
    <xf numFmtId="0" fontId="5" fillId="2" borderId="0" xfId="0" applyFont="1" applyFill="1" applyAlignment="1">
      <alignment horizontal="left" indent="1"/>
    </xf>
    <xf numFmtId="168" fontId="6" fillId="11" borderId="0" xfId="12" applyNumberFormat="1" applyFill="1"/>
    <xf numFmtId="0" fontId="70" fillId="13" borderId="2" xfId="12" applyFont="1" applyFill="1" applyBorder="1" applyAlignment="1">
      <alignment horizontal="left"/>
    </xf>
    <xf numFmtId="0" fontId="71" fillId="0" borderId="0" xfId="0" applyFont="1"/>
    <xf numFmtId="0" fontId="6" fillId="11" borderId="0" xfId="0" applyFont="1" applyFill="1"/>
    <xf numFmtId="0" fontId="72" fillId="11" borderId="0" xfId="0" applyFont="1" applyFill="1"/>
    <xf numFmtId="0" fontId="73" fillId="11" borderId="0" xfId="0" applyFont="1" applyFill="1"/>
    <xf numFmtId="37" fontId="22" fillId="4" borderId="2" xfId="0" applyNumberFormat="1" applyFont="1" applyFill="1" applyBorder="1"/>
    <xf numFmtId="0" fontId="28" fillId="0" borderId="0" xfId="0" applyFont="1"/>
    <xf numFmtId="37" fontId="28" fillId="0" borderId="0" xfId="0" applyNumberFormat="1" applyFont="1"/>
    <xf numFmtId="168" fontId="33" fillId="0" borderId="0" xfId="0" applyNumberFormat="1" applyFont="1"/>
    <xf numFmtId="37" fontId="12" fillId="0" borderId="0" xfId="0" applyNumberFormat="1" applyFont="1"/>
    <xf numFmtId="0" fontId="0" fillId="0" borderId="2" xfId="0" applyBorder="1"/>
    <xf numFmtId="1" fontId="9" fillId="0" borderId="0" xfId="0" applyNumberFormat="1" applyFont="1"/>
    <xf numFmtId="0" fontId="0" fillId="0" borderId="0" xfId="0" applyAlignment="1">
      <alignment horizontal="left"/>
    </xf>
    <xf numFmtId="37" fontId="0" fillId="0" borderId="0" xfId="0" applyNumberFormat="1" applyAlignment="1">
      <alignment horizontal="right"/>
    </xf>
    <xf numFmtId="170" fontId="4" fillId="0" borderId="2" xfId="0" applyNumberFormat="1" applyFont="1" applyBorder="1"/>
    <xf numFmtId="37" fontId="4" fillId="0" borderId="2" xfId="0" applyNumberFormat="1" applyFont="1" applyBorder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>
      <alignment horizontal="right"/>
    </xf>
    <xf numFmtId="0" fontId="4" fillId="0" borderId="2" xfId="0" applyFont="1" applyBorder="1" applyAlignment="1">
      <alignment horizontal="right"/>
    </xf>
    <xf numFmtId="170" fontId="41" fillId="0" borderId="0" xfId="0" applyNumberFormat="1" applyFont="1"/>
    <xf numFmtId="168" fontId="36" fillId="0" borderId="0" xfId="0" applyNumberFormat="1" applyFont="1"/>
    <xf numFmtId="0" fontId="74" fillId="0" borderId="0" xfId="14"/>
    <xf numFmtId="167" fontId="12" fillId="0" borderId="0" xfId="0" applyNumberFormat="1" applyFont="1"/>
    <xf numFmtId="173" fontId="0" fillId="0" borderId="0" xfId="0" applyNumberFormat="1"/>
    <xf numFmtId="173" fontId="4" fillId="0" borderId="0" xfId="0" applyNumberFormat="1" applyFont="1"/>
    <xf numFmtId="37" fontId="4" fillId="0" borderId="2" xfId="0" applyNumberFormat="1" applyFont="1" applyBorder="1"/>
    <xf numFmtId="9" fontId="18" fillId="0" borderId="0" xfId="0" applyNumberFormat="1" applyFont="1"/>
    <xf numFmtId="0" fontId="4" fillId="0" borderId="2" xfId="0" applyFont="1" applyBorder="1" applyAlignment="1">
      <alignment horizontal="right" wrapText="1"/>
    </xf>
    <xf numFmtId="167" fontId="4" fillId="0" borderId="3" xfId="0" applyNumberFormat="1" applyFont="1" applyBorder="1"/>
    <xf numFmtId="174" fontId="36" fillId="0" borderId="0" xfId="0" applyNumberFormat="1" applyFont="1"/>
    <xf numFmtId="174" fontId="41" fillId="0" borderId="0" xfId="0" applyNumberFormat="1" applyFont="1"/>
    <xf numFmtId="37" fontId="16" fillId="0" borderId="2" xfId="0" applyNumberFormat="1" applyFont="1" applyBorder="1"/>
    <xf numFmtId="173" fontId="4" fillId="0" borderId="2" xfId="0" applyNumberFormat="1" applyFont="1" applyBorder="1"/>
    <xf numFmtId="37" fontId="76" fillId="2" borderId="5" xfId="15" applyNumberFormat="1" applyFont="1" applyFill="1" applyBorder="1"/>
    <xf numFmtId="37" fontId="20" fillId="2" borderId="5" xfId="15" applyNumberFormat="1" applyFont="1" applyFill="1" applyBorder="1"/>
    <xf numFmtId="0" fontId="75" fillId="2" borderId="5" xfId="15" applyFill="1" applyBorder="1"/>
    <xf numFmtId="0" fontId="75" fillId="0" borderId="0" xfId="15"/>
    <xf numFmtId="37" fontId="19" fillId="2" borderId="0" xfId="15" applyNumberFormat="1" applyFont="1" applyFill="1"/>
    <xf numFmtId="37" fontId="20" fillId="2" borderId="0" xfId="15" applyNumberFormat="1" applyFont="1" applyFill="1"/>
    <xf numFmtId="0" fontId="75" fillId="2" borderId="0" xfId="15" applyFill="1"/>
    <xf numFmtId="37" fontId="20" fillId="2" borderId="12" xfId="15" applyNumberFormat="1" applyFont="1" applyFill="1" applyBorder="1"/>
    <xf numFmtId="37" fontId="51" fillId="0" borderId="0" xfId="15" applyNumberFormat="1" applyFont="1"/>
    <xf numFmtId="37" fontId="54" fillId="0" borderId="0" xfId="15" applyNumberFormat="1" applyFont="1"/>
    <xf numFmtId="37" fontId="5" fillId="0" borderId="0" xfId="15" applyNumberFormat="1" applyFont="1"/>
    <xf numFmtId="37" fontId="75" fillId="0" borderId="0" xfId="15" applyNumberFormat="1"/>
    <xf numFmtId="9" fontId="5" fillId="0" borderId="0" xfId="15" applyNumberFormat="1" applyFont="1"/>
    <xf numFmtId="170" fontId="5" fillId="0" borderId="0" xfId="15" applyNumberFormat="1" applyFont="1"/>
    <xf numFmtId="37" fontId="52" fillId="0" borderId="0" xfId="15" applyNumberFormat="1" applyFont="1"/>
    <xf numFmtId="39" fontId="77" fillId="0" borderId="0" xfId="15" applyNumberFormat="1" applyFont="1"/>
    <xf numFmtId="169" fontId="5" fillId="0" borderId="0" xfId="15" applyNumberFormat="1" applyFont="1"/>
    <xf numFmtId="9" fontId="17" fillId="0" borderId="0" xfId="15" applyNumberFormat="1" applyFont="1"/>
    <xf numFmtId="174" fontId="33" fillId="0" borderId="0" xfId="15" applyNumberFormat="1" applyFont="1"/>
    <xf numFmtId="168" fontId="54" fillId="2" borderId="0" xfId="15" applyNumberFormat="1" applyFont="1" applyFill="1"/>
    <xf numFmtId="37" fontId="17" fillId="0" borderId="0" xfId="15" applyNumberFormat="1" applyFont="1"/>
    <xf numFmtId="37" fontId="11" fillId="0" borderId="0" xfId="15" applyNumberFormat="1" applyFont="1"/>
    <xf numFmtId="37" fontId="8" fillId="0" borderId="2" xfId="15" applyNumberFormat="1" applyFont="1" applyBorder="1"/>
    <xf numFmtId="37" fontId="17" fillId="0" borderId="1" xfId="15" applyNumberFormat="1" applyFont="1" applyBorder="1"/>
    <xf numFmtId="9" fontId="17" fillId="0" borderId="1" xfId="15" applyNumberFormat="1" applyFont="1" applyBorder="1"/>
    <xf numFmtId="37" fontId="5" fillId="0" borderId="0" xfId="15" quotePrefix="1" applyNumberFormat="1" applyFont="1"/>
    <xf numFmtId="37" fontId="5" fillId="0" borderId="1" xfId="15" applyNumberFormat="1" applyFont="1" applyBorder="1"/>
    <xf numFmtId="37" fontId="5" fillId="0" borderId="2" xfId="15" applyNumberFormat="1" applyFont="1" applyBorder="1"/>
    <xf numFmtId="37" fontId="8" fillId="0" borderId="0" xfId="15" applyNumberFormat="1" applyFont="1"/>
    <xf numFmtId="37" fontId="8" fillId="0" borderId="0" xfId="15" quotePrefix="1" applyNumberFormat="1" applyFont="1"/>
    <xf numFmtId="37" fontId="8" fillId="0" borderId="3" xfId="15" applyNumberFormat="1" applyFont="1" applyBorder="1"/>
    <xf numFmtId="9" fontId="5" fillId="0" borderId="1" xfId="15" applyNumberFormat="1" applyFont="1" applyBorder="1"/>
    <xf numFmtId="8" fontId="8" fillId="0" borderId="3" xfId="15" applyNumberFormat="1" applyFont="1" applyBorder="1"/>
    <xf numFmtId="37" fontId="5" fillId="0" borderId="0" xfId="15" applyNumberFormat="1" applyFont="1" applyAlignment="1">
      <alignment horizontal="right"/>
    </xf>
    <xf numFmtId="174" fontId="31" fillId="0" borderId="0" xfId="15" applyNumberFormat="1" applyFont="1" applyAlignment="1">
      <alignment horizontal="left"/>
    </xf>
    <xf numFmtId="0" fontId="5" fillId="0" borderId="0" xfId="15" applyFont="1"/>
    <xf numFmtId="173" fontId="31" fillId="0" borderId="0" xfId="15" applyNumberFormat="1" applyFont="1" applyAlignment="1">
      <alignment horizontal="left"/>
    </xf>
    <xf numFmtId="170" fontId="31" fillId="0" borderId="0" xfId="15" applyNumberFormat="1" applyFont="1" applyAlignment="1">
      <alignment horizontal="left"/>
    </xf>
    <xf numFmtId="37" fontId="31" fillId="0" borderId="0" xfId="15" applyNumberFormat="1" applyFont="1"/>
    <xf numFmtId="37" fontId="31" fillId="2" borderId="0" xfId="15" applyNumberFormat="1" applyFont="1" applyFill="1"/>
    <xf numFmtId="169" fontId="54" fillId="2" borderId="0" xfId="15" applyNumberFormat="1" applyFont="1" applyFill="1"/>
    <xf numFmtId="9" fontId="54" fillId="2" borderId="0" xfId="15" applyNumberFormat="1" applyFont="1" applyFill="1"/>
    <xf numFmtId="9" fontId="52" fillId="2" borderId="0" xfId="15" applyNumberFormat="1" applyFont="1" applyFill="1"/>
    <xf numFmtId="5" fontId="31" fillId="2" borderId="0" xfId="15" applyNumberFormat="1" applyFont="1" applyFill="1"/>
    <xf numFmtId="168" fontId="31" fillId="2" borderId="0" xfId="15" applyNumberFormat="1" applyFont="1" applyFill="1"/>
    <xf numFmtId="37" fontId="54" fillId="2" borderId="0" xfId="15" applyNumberFormat="1" applyFont="1" applyFill="1"/>
    <xf numFmtId="166" fontId="8" fillId="0" borderId="2" xfId="15" applyNumberFormat="1" applyFont="1" applyBorder="1"/>
    <xf numFmtId="9" fontId="33" fillId="2" borderId="0" xfId="15" applyNumberFormat="1" applyFont="1" applyFill="1"/>
    <xf numFmtId="166" fontId="8" fillId="0" borderId="0" xfId="15" applyNumberFormat="1" applyFont="1"/>
    <xf numFmtId="5" fontId="5" fillId="0" borderId="1" xfId="15" applyNumberFormat="1" applyFont="1" applyBorder="1"/>
    <xf numFmtId="37" fontId="35" fillId="0" borderId="0" xfId="0" applyNumberFormat="1" applyFont="1" applyAlignment="1">
      <alignment horizontal="right"/>
    </xf>
    <xf numFmtId="168" fontId="17" fillId="0" borderId="1" xfId="15" applyNumberFormat="1" applyFont="1" applyBorder="1"/>
    <xf numFmtId="37" fontId="8" fillId="0" borderId="0" xfId="15" applyNumberFormat="1" applyFont="1" applyAlignment="1">
      <alignment horizontal="right"/>
    </xf>
    <xf numFmtId="37" fontId="8" fillId="2" borderId="0" xfId="15" applyNumberFormat="1" applyFont="1" applyFill="1"/>
    <xf numFmtId="166" fontId="8" fillId="0" borderId="2" xfId="15" applyNumberFormat="1" applyFont="1" applyBorder="1" applyAlignment="1">
      <alignment horizontal="right"/>
    </xf>
    <xf numFmtId="37" fontId="8" fillId="2" borderId="3" xfId="0" applyNumberFormat="1" applyFont="1" applyFill="1" applyBorder="1"/>
    <xf numFmtId="169" fontId="5" fillId="0" borderId="1" xfId="15" applyNumberFormat="1" applyFont="1" applyBorder="1"/>
    <xf numFmtId="37" fontId="23" fillId="0" borderId="0" xfId="15" applyNumberFormat="1" applyFont="1"/>
    <xf numFmtId="8" fontId="43" fillId="0" borderId="1" xfId="15" applyNumberFormat="1" applyFont="1" applyBorder="1"/>
    <xf numFmtId="37" fontId="31" fillId="9" borderId="0" xfId="15" applyNumberFormat="1" applyFont="1" applyFill="1"/>
    <xf numFmtId="9" fontId="31" fillId="2" borderId="0" xfId="15" applyNumberFormat="1" applyFont="1" applyFill="1"/>
    <xf numFmtId="174" fontId="31" fillId="2" borderId="0" xfId="15" applyNumberFormat="1" applyFont="1" applyFill="1"/>
    <xf numFmtId="37" fontId="78" fillId="0" borderId="0" xfId="3" applyNumberFormat="1" applyFont="1" applyBorder="1" applyAlignment="1">
      <alignment horizontal="right"/>
    </xf>
    <xf numFmtId="170" fontId="5" fillId="0" borderId="7" xfId="15" applyNumberFormat="1" applyFont="1" applyBorder="1"/>
    <xf numFmtId="170" fontId="5" fillId="0" borderId="8" xfId="15" applyNumberFormat="1" applyFont="1" applyBorder="1"/>
    <xf numFmtId="170" fontId="5" fillId="0" borderId="9" xfId="15" applyNumberFormat="1" applyFont="1" applyBorder="1"/>
    <xf numFmtId="37" fontId="43" fillId="2" borderId="0" xfId="0" applyNumberFormat="1" applyFont="1" applyFill="1"/>
    <xf numFmtId="37" fontId="33" fillId="0" borderId="0" xfId="15" applyNumberFormat="1" applyFont="1"/>
    <xf numFmtId="0" fontId="4" fillId="0" borderId="2" xfId="0" applyFont="1" applyBorder="1" applyAlignment="1">
      <alignment wrapText="1"/>
    </xf>
    <xf numFmtId="37" fontId="9" fillId="0" borderId="0" xfId="0" applyNumberFormat="1" applyFont="1" applyAlignment="1">
      <alignment wrapText="1"/>
    </xf>
    <xf numFmtId="174" fontId="0" fillId="0" borderId="0" xfId="0" applyNumberFormat="1"/>
    <xf numFmtId="0" fontId="7" fillId="0" borderId="0" xfId="3" applyNumberFormat="1" applyFont="1" applyBorder="1" applyAlignment="1">
      <alignment horizontal="right"/>
    </xf>
    <xf numFmtId="37" fontId="23" fillId="9" borderId="0" xfId="15" applyNumberFormat="1" applyFont="1" applyFill="1"/>
    <xf numFmtId="174" fontId="23" fillId="9" borderId="0" xfId="15" applyNumberFormat="1" applyFont="1" applyFill="1"/>
    <xf numFmtId="37" fontId="18" fillId="0" borderId="0" xfId="0" applyNumberFormat="1" applyFont="1"/>
    <xf numFmtId="5" fontId="18" fillId="0" borderId="0" xfId="0" applyNumberFormat="1" applyFont="1"/>
    <xf numFmtId="0" fontId="34" fillId="0" borderId="0" xfId="0" quotePrefix="1" applyFont="1"/>
    <xf numFmtId="37" fontId="4" fillId="0" borderId="3" xfId="0" applyNumberFormat="1" applyFont="1" applyBorder="1"/>
    <xf numFmtId="0" fontId="0" fillId="0" borderId="0" xfId="0" quotePrefix="1" applyAlignment="1">
      <alignment horizontal="left"/>
    </xf>
    <xf numFmtId="0" fontId="4" fillId="0" borderId="0" xfId="0" quotePrefix="1" applyFont="1" applyAlignment="1">
      <alignment horizontal="left"/>
    </xf>
    <xf numFmtId="5" fontId="9" fillId="0" borderId="0" xfId="0" applyNumberFormat="1" applyFont="1"/>
    <xf numFmtId="174" fontId="4" fillId="0" borderId="2" xfId="0" applyNumberFormat="1" applyFont="1" applyBorder="1"/>
    <xf numFmtId="37" fontId="59" fillId="0" borderId="0" xfId="0" applyNumberFormat="1" applyFont="1"/>
    <xf numFmtId="0" fontId="40" fillId="0" borderId="0" xfId="0" quotePrefix="1" applyFont="1"/>
    <xf numFmtId="37" fontId="18" fillId="0" borderId="2" xfId="0" applyNumberFormat="1" applyFont="1" applyBorder="1"/>
    <xf numFmtId="5" fontId="0" fillId="0" borderId="0" xfId="0" applyNumberFormat="1"/>
    <xf numFmtId="37" fontId="16" fillId="0" borderId="0" xfId="0" applyNumberFormat="1" applyFont="1"/>
    <xf numFmtId="170" fontId="35" fillId="0" borderId="0" xfId="0" applyNumberFormat="1" applyFont="1"/>
    <xf numFmtId="37" fontId="18" fillId="0" borderId="3" xfId="0" applyNumberFormat="1" applyFont="1" applyBorder="1"/>
    <xf numFmtId="0" fontId="40" fillId="0" borderId="1" xfId="0" applyFont="1" applyBorder="1"/>
    <xf numFmtId="172" fontId="4" fillId="0" borderId="0" xfId="0" applyNumberFormat="1" applyFont="1"/>
    <xf numFmtId="7" fontId="0" fillId="0" borderId="0" xfId="0" applyNumberFormat="1"/>
    <xf numFmtId="37" fontId="10" fillId="0" borderId="1" xfId="3" applyNumberFormat="1" applyFont="1" applyBorder="1"/>
    <xf numFmtId="10" fontId="9" fillId="0" borderId="0" xfId="0" applyNumberFormat="1" applyFont="1"/>
    <xf numFmtId="0" fontId="4" fillId="0" borderId="2" xfId="0" applyFont="1" applyBorder="1" applyAlignment="1">
      <alignment horizontal="left" wrapText="1"/>
    </xf>
    <xf numFmtId="0" fontId="9" fillId="0" borderId="0" xfId="0" applyFont="1" applyAlignment="1">
      <alignment horizontal="left"/>
    </xf>
    <xf numFmtId="167" fontId="79" fillId="0" borderId="0" xfId="0" applyNumberFormat="1" applyFont="1"/>
    <xf numFmtId="10" fontId="9" fillId="0" borderId="3" xfId="0" applyNumberFormat="1" applyFont="1" applyBorder="1"/>
    <xf numFmtId="0" fontId="4" fillId="0" borderId="0" xfId="0" applyFont="1" applyAlignment="1">
      <alignment horizontal="right" wrapText="1"/>
    </xf>
    <xf numFmtId="0" fontId="4" fillId="0" borderId="0" xfId="0" applyFont="1" applyAlignment="1">
      <alignment horizontal="left" wrapText="1"/>
    </xf>
    <xf numFmtId="0" fontId="40" fillId="0" borderId="0" xfId="0" applyFont="1" applyAlignment="1">
      <alignment horizontal="left" wrapText="1"/>
    </xf>
    <xf numFmtId="10" fontId="12" fillId="0" borderId="0" xfId="0" applyNumberFormat="1" applyFont="1"/>
    <xf numFmtId="37" fontId="12" fillId="0" borderId="0" xfId="0" applyNumberFormat="1" applyFont="1" applyAlignment="1">
      <alignment horizontal="right"/>
    </xf>
    <xf numFmtId="0" fontId="16" fillId="0" borderId="2" xfId="0" applyFont="1" applyBorder="1" applyAlignment="1">
      <alignment horizontal="right" wrapText="1"/>
    </xf>
    <xf numFmtId="0" fontId="16" fillId="0" borderId="0" xfId="0" applyFont="1"/>
    <xf numFmtId="0" fontId="12" fillId="0" borderId="1" xfId="0" applyFont="1" applyBorder="1"/>
    <xf numFmtId="0" fontId="42" fillId="0" borderId="0" xfId="0" applyFont="1"/>
    <xf numFmtId="0" fontId="12" fillId="0" borderId="0" xfId="0" applyFont="1" applyAlignment="1">
      <alignment horizontal="left" wrapText="1"/>
    </xf>
    <xf numFmtId="37" fontId="12" fillId="0" borderId="0" xfId="0" applyNumberFormat="1" applyFont="1" applyAlignment="1">
      <alignment horizontal="right" wrapText="1"/>
    </xf>
    <xf numFmtId="0" fontId="16" fillId="0" borderId="0" xfId="0" applyFont="1" applyAlignment="1">
      <alignment horizontal="left" wrapText="1"/>
    </xf>
    <xf numFmtId="0" fontId="16" fillId="0" borderId="1" xfId="0" applyFont="1" applyBorder="1" applyAlignment="1">
      <alignment horizontal="right" wrapText="1"/>
    </xf>
    <xf numFmtId="5" fontId="34" fillId="0" borderId="0" xfId="0" applyNumberFormat="1" applyFont="1"/>
    <xf numFmtId="0" fontId="34" fillId="0" borderId="1" xfId="0" applyFont="1" applyBorder="1"/>
    <xf numFmtId="170" fontId="0" fillId="0" borderId="1" xfId="0" applyNumberFormat="1" applyBorder="1"/>
    <xf numFmtId="37" fontId="41" fillId="0" borderId="0" xfId="0" applyNumberFormat="1" applyFont="1"/>
    <xf numFmtId="37" fontId="16" fillId="0" borderId="3" xfId="0" applyNumberFormat="1" applyFont="1" applyBorder="1"/>
    <xf numFmtId="0" fontId="40" fillId="0" borderId="0" xfId="0" quotePrefix="1" applyFont="1" applyAlignment="1">
      <alignment horizontal="left"/>
    </xf>
    <xf numFmtId="0" fontId="40" fillId="0" borderId="2" xfId="0" applyFont="1" applyBorder="1" applyAlignment="1">
      <alignment wrapText="1"/>
    </xf>
    <xf numFmtId="0" fontId="4" fillId="0" borderId="2" xfId="0" quotePrefix="1" applyFont="1" applyBorder="1" applyAlignment="1">
      <alignment wrapText="1"/>
    </xf>
    <xf numFmtId="0" fontId="34" fillId="0" borderId="0" xfId="0" quotePrefix="1" applyFont="1" applyAlignment="1">
      <alignment horizontal="left"/>
    </xf>
    <xf numFmtId="0" fontId="4" fillId="0" borderId="2" xfId="0" quotePrefix="1" applyFont="1" applyBorder="1" applyAlignment="1">
      <alignment horizontal="left"/>
    </xf>
    <xf numFmtId="0" fontId="18" fillId="0" borderId="0" xfId="0" applyFont="1"/>
    <xf numFmtId="37" fontId="4" fillId="0" borderId="2" xfId="0" applyNumberFormat="1" applyFont="1" applyBorder="1" applyAlignment="1">
      <alignment horizontal="right" wrapText="1"/>
    </xf>
    <xf numFmtId="37" fontId="4" fillId="0" borderId="0" xfId="0" applyNumberFormat="1" applyFont="1" applyAlignment="1">
      <alignment horizontal="right" wrapText="1"/>
    </xf>
    <xf numFmtId="166" fontId="4" fillId="0" borderId="2" xfId="0" applyNumberFormat="1" applyFont="1" applyBorder="1" applyAlignment="1">
      <alignment horizontal="right" wrapText="1"/>
    </xf>
    <xf numFmtId="6" fontId="0" fillId="0" borderId="0" xfId="0" applyNumberFormat="1"/>
    <xf numFmtId="166" fontId="4" fillId="0" borderId="2" xfId="0" quotePrefix="1" applyNumberFormat="1" applyFont="1" applyBorder="1" applyAlignment="1">
      <alignment horizontal="right" wrapText="1"/>
    </xf>
    <xf numFmtId="0" fontId="4" fillId="0" borderId="1" xfId="0" quotePrefix="1" applyFont="1" applyBorder="1"/>
    <xf numFmtId="5" fontId="9" fillId="2" borderId="0" xfId="0" applyNumberFormat="1" applyFont="1" applyFill="1"/>
    <xf numFmtId="170" fontId="9" fillId="2" borderId="0" xfId="0" applyNumberFormat="1" applyFont="1" applyFill="1"/>
    <xf numFmtId="37" fontId="4" fillId="2" borderId="2" xfId="0" applyNumberFormat="1" applyFont="1" applyFill="1" applyBorder="1"/>
    <xf numFmtId="37" fontId="0" fillId="2" borderId="2" xfId="0" applyNumberFormat="1" applyFill="1" applyBorder="1"/>
    <xf numFmtId="0" fontId="4" fillId="0" borderId="1" xfId="0" quotePrefix="1" applyFont="1" applyBorder="1" applyAlignment="1">
      <alignment horizontal="left"/>
    </xf>
    <xf numFmtId="0" fontId="4" fillId="0" borderId="1" xfId="0" applyFont="1" applyBorder="1"/>
    <xf numFmtId="174" fontId="34" fillId="0" borderId="0" xfId="0" applyNumberFormat="1" applyFont="1"/>
    <xf numFmtId="0" fontId="4" fillId="0" borderId="2" xfId="0" quotePrefix="1" applyFont="1" applyBorder="1" applyAlignment="1">
      <alignment horizontal="right" wrapText="1"/>
    </xf>
    <xf numFmtId="37" fontId="9" fillId="2" borderId="0" xfId="0" applyNumberFormat="1" applyFont="1" applyFill="1"/>
    <xf numFmtId="182" fontId="9" fillId="0" borderId="0" xfId="0" applyNumberFormat="1" applyFont="1"/>
    <xf numFmtId="9" fontId="9" fillId="0" borderId="0" xfId="0" applyNumberFormat="1" applyFont="1" applyAlignment="1">
      <alignment horizontal="left"/>
    </xf>
    <xf numFmtId="37" fontId="5" fillId="0" borderId="0" xfId="15" applyNumberFormat="1" applyFont="1" applyAlignment="1">
      <alignment wrapText="1"/>
    </xf>
    <xf numFmtId="37" fontId="8" fillId="0" borderId="2" xfId="15" applyNumberFormat="1" applyFont="1" applyBorder="1" applyAlignment="1">
      <alignment wrapText="1"/>
    </xf>
    <xf numFmtId="37" fontId="0" fillId="0" borderId="0" xfId="0" applyNumberFormat="1" applyAlignment="1">
      <alignment wrapText="1"/>
    </xf>
    <xf numFmtId="37" fontId="4" fillId="0" borderId="0" xfId="0" applyNumberFormat="1" applyFont="1" applyAlignment="1">
      <alignment horizontal="right"/>
    </xf>
    <xf numFmtId="1" fontId="36" fillId="0" borderId="0" xfId="0" applyNumberFormat="1" applyFont="1"/>
    <xf numFmtId="0" fontId="40" fillId="14" borderId="2" xfId="0" applyFont="1" applyFill="1" applyBorder="1"/>
    <xf numFmtId="0" fontId="0" fillId="14" borderId="2" xfId="0" applyFill="1" applyBorder="1"/>
    <xf numFmtId="0" fontId="40" fillId="2" borderId="0" xfId="0" applyFont="1" applyFill="1"/>
    <xf numFmtId="0" fontId="40" fillId="2" borderId="2" xfId="0" applyFont="1" applyFill="1" applyBorder="1"/>
    <xf numFmtId="0" fontId="4" fillId="2" borderId="2" xfId="0" applyFont="1" applyFill="1" applyBorder="1"/>
    <xf numFmtId="0" fontId="4" fillId="2" borderId="0" xfId="0" applyFont="1" applyFill="1"/>
    <xf numFmtId="0" fontId="4" fillId="2" borderId="0" xfId="0" quotePrefix="1" applyFont="1" applyFill="1"/>
    <xf numFmtId="7" fontId="37" fillId="0" borderId="0" xfId="0" applyNumberFormat="1" applyFont="1"/>
    <xf numFmtId="0" fontId="34" fillId="2" borderId="0" xfId="0" quotePrefix="1" applyFont="1" applyFill="1"/>
    <xf numFmtId="5" fontId="41" fillId="0" borderId="0" xfId="0" applyNumberFormat="1" applyFont="1"/>
    <xf numFmtId="166" fontId="18" fillId="0" borderId="0" xfId="3" applyNumberFormat="1" applyFont="1" applyBorder="1" applyAlignment="1">
      <alignment horizontal="right"/>
    </xf>
    <xf numFmtId="166" fontId="47" fillId="0" borderId="0" xfId="3" applyNumberFormat="1" applyFont="1" applyBorder="1" applyAlignment="1">
      <alignment horizontal="right"/>
    </xf>
    <xf numFmtId="166" fontId="47" fillId="0" borderId="0" xfId="3" applyNumberFormat="1" applyFont="1" applyFill="1" applyBorder="1" applyAlignment="1">
      <alignment horizontal="right"/>
    </xf>
    <xf numFmtId="9" fontId="36" fillId="0" borderId="0" xfId="0" applyNumberFormat="1" applyFont="1"/>
    <xf numFmtId="9" fontId="41" fillId="0" borderId="0" xfId="0" applyNumberFormat="1" applyFont="1"/>
    <xf numFmtId="174" fontId="0" fillId="0" borderId="0" xfId="0" quotePrefix="1" applyNumberFormat="1" applyAlignment="1">
      <alignment horizontal="left"/>
    </xf>
    <xf numFmtId="174" fontId="12" fillId="0" borderId="0" xfId="0" applyNumberFormat="1" applyFont="1"/>
    <xf numFmtId="174" fontId="35" fillId="0" borderId="0" xfId="0" applyNumberFormat="1" applyFont="1"/>
    <xf numFmtId="37" fontId="12" fillId="6" borderId="0" xfId="3" applyNumberFormat="1" applyFont="1" applyFill="1"/>
    <xf numFmtId="168" fontId="41" fillId="6" borderId="0" xfId="2" applyNumberFormat="1" applyFont="1" applyFill="1"/>
    <xf numFmtId="37" fontId="12" fillId="6" borderId="1" xfId="3" applyNumberFormat="1" applyFont="1" applyFill="1" applyBorder="1"/>
    <xf numFmtId="37" fontId="12" fillId="6" borderId="0" xfId="3" applyNumberFormat="1" applyFont="1" applyFill="1" applyBorder="1"/>
    <xf numFmtId="0" fontId="12" fillId="6" borderId="0" xfId="0" applyFont="1" applyFill="1"/>
    <xf numFmtId="37" fontId="12" fillId="6" borderId="3" xfId="3" applyNumberFormat="1" applyFont="1" applyFill="1" applyBorder="1"/>
    <xf numFmtId="37" fontId="41" fillId="6" borderId="0" xfId="3" applyNumberFormat="1" applyFont="1" applyFill="1"/>
    <xf numFmtId="174" fontId="41" fillId="6" borderId="0" xfId="3" applyNumberFormat="1" applyFont="1" applyFill="1"/>
    <xf numFmtId="174" fontId="12" fillId="6" borderId="0" xfId="3" applyNumberFormat="1" applyFont="1" applyFill="1"/>
    <xf numFmtId="37" fontId="42" fillId="6" borderId="0" xfId="3" applyNumberFormat="1" applyFont="1" applyFill="1"/>
    <xf numFmtId="170" fontId="12" fillId="6" borderId="0" xfId="3" applyNumberFormat="1" applyFont="1" applyFill="1"/>
    <xf numFmtId="9" fontId="41" fillId="6" borderId="0" xfId="3" applyNumberFormat="1" applyFont="1" applyFill="1"/>
    <xf numFmtId="165" fontId="12" fillId="6" borderId="0" xfId="3" applyFont="1" applyFill="1"/>
    <xf numFmtId="169" fontId="12" fillId="6" borderId="2" xfId="3" applyNumberFormat="1" applyFont="1" applyFill="1" applyBorder="1"/>
    <xf numFmtId="39" fontId="12" fillId="6" borderId="0" xfId="3" applyNumberFormat="1" applyFont="1" applyFill="1"/>
    <xf numFmtId="165" fontId="12" fillId="2" borderId="0" xfId="3" applyFont="1" applyFill="1"/>
    <xf numFmtId="37" fontId="12" fillId="6" borderId="0" xfId="3" applyNumberFormat="1" applyFont="1" applyFill="1" applyAlignment="1">
      <alignment horizontal="left" indent="1"/>
    </xf>
    <xf numFmtId="37" fontId="12" fillId="6" borderId="0" xfId="3" quotePrefix="1" applyNumberFormat="1" applyFont="1" applyFill="1"/>
    <xf numFmtId="9" fontId="12" fillId="6" borderId="1" xfId="3" applyNumberFormat="1" applyFont="1" applyFill="1" applyBorder="1"/>
    <xf numFmtId="9" fontId="12" fillId="6" borderId="0" xfId="3" applyNumberFormat="1" applyFont="1" applyFill="1"/>
    <xf numFmtId="37" fontId="16" fillId="6" borderId="0" xfId="3" quotePrefix="1" applyNumberFormat="1" applyFont="1" applyFill="1"/>
    <xf numFmtId="37" fontId="16" fillId="6" borderId="0" xfId="3" applyNumberFormat="1" applyFont="1" applyFill="1"/>
    <xf numFmtId="39" fontId="12" fillId="6" borderId="1" xfId="3" applyNumberFormat="1" applyFont="1" applyFill="1" applyBorder="1"/>
    <xf numFmtId="168" fontId="12" fillId="6" borderId="0" xfId="3" applyNumberFormat="1" applyFont="1" applyFill="1"/>
    <xf numFmtId="37" fontId="12" fillId="2" borderId="0" xfId="3" applyNumberFormat="1" applyFont="1" applyFill="1"/>
    <xf numFmtId="167" fontId="12" fillId="6" borderId="0" xfId="3" applyNumberFormat="1" applyFont="1" applyFill="1"/>
    <xf numFmtId="168" fontId="12" fillId="6" borderId="2" xfId="3" applyNumberFormat="1" applyFont="1" applyFill="1" applyBorder="1"/>
    <xf numFmtId="7" fontId="12" fillId="6" borderId="0" xfId="3" applyNumberFormat="1" applyFont="1" applyFill="1"/>
    <xf numFmtId="7" fontId="16" fillId="12" borderId="11" xfId="3" applyNumberFormat="1" applyFont="1" applyFill="1" applyBorder="1"/>
    <xf numFmtId="168" fontId="12" fillId="6" borderId="3" xfId="3" applyNumberFormat="1" applyFont="1" applyFill="1" applyBorder="1"/>
    <xf numFmtId="168" fontId="41" fillId="6" borderId="0" xfId="10" applyNumberFormat="1" applyFont="1" applyFill="1"/>
    <xf numFmtId="168" fontId="9" fillId="12" borderId="7" xfId="3" applyNumberFormat="1" applyFont="1" applyFill="1" applyBorder="1"/>
    <xf numFmtId="168" fontId="9" fillId="12" borderId="8" xfId="3" applyNumberFormat="1" applyFont="1" applyFill="1" applyBorder="1"/>
    <xf numFmtId="39" fontId="9" fillId="12" borderId="9" xfId="3" applyNumberFormat="1" applyFont="1" applyFill="1" applyBorder="1"/>
    <xf numFmtId="168" fontId="9" fillId="12" borderId="9" xfId="3" applyNumberFormat="1" applyFont="1" applyFill="1" applyBorder="1"/>
    <xf numFmtId="37" fontId="80" fillId="6" borderId="0" xfId="3" applyNumberFormat="1" applyFont="1" applyFill="1"/>
    <xf numFmtId="165" fontId="12" fillId="6" borderId="1" xfId="3" applyFont="1" applyFill="1" applyBorder="1"/>
    <xf numFmtId="37" fontId="81" fillId="7" borderId="2" xfId="3" applyNumberFormat="1" applyFont="1" applyFill="1" applyBorder="1"/>
    <xf numFmtId="37" fontId="82" fillId="7" borderId="2" xfId="3" applyNumberFormat="1" applyFont="1" applyFill="1" applyBorder="1"/>
    <xf numFmtId="10" fontId="16" fillId="0" borderId="0" xfId="0" applyNumberFormat="1" applyFont="1"/>
    <xf numFmtId="7" fontId="16" fillId="0" borderId="0" xfId="0" applyNumberFormat="1" applyFont="1"/>
    <xf numFmtId="170" fontId="10" fillId="0" borderId="0" xfId="3" applyNumberFormat="1" applyFont="1"/>
    <xf numFmtId="0" fontId="5" fillId="0" borderId="1" xfId="0" applyFont="1" applyBorder="1" applyAlignment="1">
      <alignment horizontal="left" indent="2"/>
    </xf>
    <xf numFmtId="0" fontId="17" fillId="0" borderId="0" xfId="0" applyFont="1" applyAlignment="1">
      <alignment horizontal="left" indent="2"/>
    </xf>
    <xf numFmtId="174" fontId="40" fillId="0" borderId="0" xfId="0" applyNumberFormat="1" applyFont="1"/>
    <xf numFmtId="5" fontId="35" fillId="0" borderId="1" xfId="0" applyNumberFormat="1" applyFont="1" applyBorder="1"/>
    <xf numFmtId="0" fontId="0" fillId="0" borderId="0" xfId="0" quotePrefix="1" applyAlignment="1">
      <alignment horizontal="left" wrapText="1"/>
    </xf>
    <xf numFmtId="0" fontId="4" fillId="0" borderId="0" xfId="0" quotePrefix="1" applyFont="1" applyAlignment="1">
      <alignment horizontal="left" wrapText="1"/>
    </xf>
    <xf numFmtId="0" fontId="34" fillId="0" borderId="0" xfId="0" applyFont="1" applyAlignment="1">
      <alignment horizontal="left" wrapText="1"/>
    </xf>
    <xf numFmtId="37" fontId="36" fillId="0" borderId="0" xfId="0" applyNumberFormat="1" applyFont="1" applyAlignment="1">
      <alignment horizontal="right" wrapText="1"/>
    </xf>
    <xf numFmtId="37" fontId="37" fillId="0" borderId="0" xfId="0" applyNumberFormat="1" applyFont="1" applyAlignment="1">
      <alignment horizontal="right" wrapText="1"/>
    </xf>
    <xf numFmtId="37" fontId="9" fillId="0" borderId="0" xfId="0" applyNumberFormat="1" applyFont="1" applyAlignment="1">
      <alignment horizontal="right" wrapText="1"/>
    </xf>
    <xf numFmtId="170" fontId="9" fillId="0" borderId="0" xfId="0" applyNumberFormat="1" applyFont="1" applyAlignment="1">
      <alignment horizontal="right" wrapText="1"/>
    </xf>
    <xf numFmtId="37" fontId="4" fillId="0" borderId="3" xfId="0" applyNumberFormat="1" applyFont="1" applyBorder="1" applyAlignment="1">
      <alignment horizontal="right" wrapText="1"/>
    </xf>
    <xf numFmtId="168" fontId="52" fillId="2" borderId="0" xfId="15" applyNumberFormat="1" applyFont="1" applyFill="1"/>
    <xf numFmtId="166" fontId="4" fillId="0" borderId="2" xfId="0" applyNumberFormat="1" applyFont="1" applyBorder="1"/>
    <xf numFmtId="166" fontId="4" fillId="0" borderId="2" xfId="0" applyNumberFormat="1" applyFont="1" applyBorder="1" applyAlignment="1">
      <alignment wrapText="1"/>
    </xf>
    <xf numFmtId="175" fontId="9" fillId="0" borderId="0" xfId="0" quotePrefix="1" applyNumberFormat="1" applyFont="1" applyAlignment="1">
      <alignment horizontal="left"/>
    </xf>
    <xf numFmtId="37" fontId="0" fillId="3" borderId="0" xfId="0" applyNumberFormat="1" applyFill="1"/>
    <xf numFmtId="0" fontId="12" fillId="0" borderId="2" xfId="0" applyFont="1" applyBorder="1"/>
    <xf numFmtId="0" fontId="16" fillId="0" borderId="2" xfId="0" applyFont="1" applyBorder="1"/>
    <xf numFmtId="0" fontId="12" fillId="0" borderId="0" xfId="0" applyFont="1" applyAlignment="1">
      <alignment horizontal="left"/>
    </xf>
    <xf numFmtId="37" fontId="16" fillId="0" borderId="2" xfId="0" applyNumberFormat="1" applyFont="1" applyBorder="1" applyAlignment="1">
      <alignment horizontal="right"/>
    </xf>
    <xf numFmtId="0" fontId="41" fillId="0" borderId="0" xfId="0" applyFont="1"/>
    <xf numFmtId="0" fontId="83" fillId="0" borderId="0" xfId="15" applyFont="1"/>
    <xf numFmtId="170" fontId="12" fillId="0" borderId="0" xfId="0" applyNumberFormat="1" applyFont="1"/>
    <xf numFmtId="170" fontId="16" fillId="0" borderId="2" xfId="0" applyNumberFormat="1" applyFont="1" applyBorder="1"/>
    <xf numFmtId="0" fontId="16" fillId="0" borderId="1" xfId="0" applyFont="1" applyBorder="1"/>
    <xf numFmtId="170" fontId="16" fillId="0" borderId="1" xfId="0" applyNumberFormat="1" applyFont="1" applyBorder="1"/>
    <xf numFmtId="3" fontId="0" fillId="0" borderId="0" xfId="0" applyNumberFormat="1"/>
    <xf numFmtId="173" fontId="9" fillId="0" borderId="0" xfId="0" applyNumberFormat="1" applyFont="1"/>
    <xf numFmtId="173" fontId="12" fillId="0" borderId="0" xfId="0" applyNumberFormat="1" applyFont="1"/>
    <xf numFmtId="10" fontId="0" fillId="0" borderId="0" xfId="0" applyNumberFormat="1"/>
    <xf numFmtId="172" fontId="0" fillId="0" borderId="0" xfId="0" applyNumberFormat="1"/>
    <xf numFmtId="174" fontId="12" fillId="3" borderId="0" xfId="0" applyNumberFormat="1" applyFont="1" applyFill="1"/>
    <xf numFmtId="175" fontId="9" fillId="0" borderId="1" xfId="0" quotePrefix="1" applyNumberFormat="1" applyFont="1" applyBorder="1" applyAlignment="1">
      <alignment horizontal="left"/>
    </xf>
    <xf numFmtId="0" fontId="4" fillId="15" borderId="2" xfId="0" applyFont="1" applyFill="1" applyBorder="1"/>
    <xf numFmtId="169" fontId="9" fillId="0" borderId="0" xfId="0" applyNumberFormat="1" applyFont="1"/>
    <xf numFmtId="169" fontId="4" fillId="0" borderId="0" xfId="0" applyNumberFormat="1" applyFont="1"/>
    <xf numFmtId="170" fontId="42" fillId="0" borderId="0" xfId="0" applyNumberFormat="1" applyFont="1"/>
    <xf numFmtId="174" fontId="17" fillId="0" borderId="0" xfId="15" applyNumberFormat="1" applyFont="1"/>
    <xf numFmtId="37" fontId="0" fillId="0" borderId="3" xfId="0" applyNumberFormat="1" applyBorder="1"/>
    <xf numFmtId="169" fontId="0" fillId="0" borderId="0" xfId="0" applyNumberFormat="1"/>
    <xf numFmtId="9" fontId="0" fillId="0" borderId="1" xfId="0" applyNumberFormat="1" applyBorder="1"/>
    <xf numFmtId="0" fontId="4" fillId="0" borderId="0" xfId="0" applyFont="1" applyAlignment="1">
      <alignment wrapText="1"/>
    </xf>
    <xf numFmtId="174" fontId="4" fillId="2" borderId="2" xfId="0" applyNumberFormat="1" applyFont="1" applyFill="1" applyBorder="1"/>
    <xf numFmtId="37" fontId="79" fillId="0" borderId="0" xfId="0" applyNumberFormat="1" applyFont="1"/>
    <xf numFmtId="37" fontId="9" fillId="3" borderId="10" xfId="0" applyNumberFormat="1" applyFont="1" applyFill="1" applyBorder="1"/>
    <xf numFmtId="5" fontId="4" fillId="0" borderId="0" xfId="0" applyNumberFormat="1" applyFont="1"/>
    <xf numFmtId="37" fontId="9" fillId="0" borderId="0" xfId="0" quotePrefix="1" applyNumberFormat="1" applyFont="1" applyAlignment="1">
      <alignment horizontal="left"/>
    </xf>
    <xf numFmtId="166" fontId="4" fillId="0" borderId="2" xfId="0" applyNumberFormat="1" applyFont="1" applyBorder="1" applyAlignment="1">
      <alignment horizontal="left" wrapText="1"/>
    </xf>
    <xf numFmtId="0" fontId="4" fillId="14" borderId="2" xfId="0" quotePrefix="1" applyFont="1" applyFill="1" applyBorder="1"/>
    <xf numFmtId="37" fontId="4" fillId="14" borderId="2" xfId="0" applyNumberFormat="1" applyFont="1" applyFill="1" applyBorder="1"/>
    <xf numFmtId="0" fontId="4" fillId="14" borderId="2" xfId="0" applyFont="1" applyFill="1" applyBorder="1"/>
    <xf numFmtId="37" fontId="12" fillId="0" borderId="0" xfId="0" quotePrefix="1" applyNumberFormat="1" applyFont="1" applyAlignment="1">
      <alignment horizontal="left"/>
    </xf>
    <xf numFmtId="170" fontId="0" fillId="2" borderId="0" xfId="0" applyNumberFormat="1" applyFill="1"/>
    <xf numFmtId="0" fontId="0" fillId="0" borderId="1" xfId="0" quotePrefix="1" applyBorder="1" applyAlignment="1">
      <alignment horizontal="left"/>
    </xf>
    <xf numFmtId="170" fontId="36" fillId="0" borderId="1" xfId="0" applyNumberFormat="1" applyFont="1" applyBorder="1"/>
    <xf numFmtId="5" fontId="16" fillId="0" borderId="3" xfId="0" applyNumberFormat="1" applyFont="1" applyBorder="1"/>
    <xf numFmtId="7" fontId="9" fillId="0" borderId="0" xfId="0" applyNumberFormat="1" applyFont="1"/>
    <xf numFmtId="7" fontId="35" fillId="0" borderId="0" xfId="0" applyNumberFormat="1" applyFont="1"/>
    <xf numFmtId="37" fontId="23" fillId="2" borderId="0" xfId="0" applyNumberFormat="1" applyFont="1" applyFill="1"/>
    <xf numFmtId="37" fontId="16" fillId="6" borderId="2" xfId="3" applyNumberFormat="1" applyFont="1" applyFill="1" applyBorder="1" applyAlignment="1">
      <alignment horizontal="right" wrapText="1"/>
    </xf>
    <xf numFmtId="166" fontId="16" fillId="6" borderId="2" xfId="3" applyNumberFormat="1" applyFont="1" applyFill="1" applyBorder="1" applyAlignment="1">
      <alignment horizontal="right" wrapText="1"/>
    </xf>
    <xf numFmtId="166" fontId="16" fillId="6" borderId="2" xfId="3" quotePrefix="1" applyNumberFormat="1" applyFont="1" applyFill="1" applyBorder="1" applyAlignment="1">
      <alignment horizontal="right" wrapText="1"/>
    </xf>
    <xf numFmtId="37" fontId="12" fillId="0" borderId="1" xfId="0" applyNumberFormat="1" applyFont="1" applyBorder="1"/>
    <xf numFmtId="9" fontId="34" fillId="0" borderId="0" xfId="0" applyNumberFormat="1" applyFont="1"/>
    <xf numFmtId="0" fontId="27" fillId="2" borderId="0" xfId="0" applyFont="1" applyFill="1" applyAlignment="1">
      <alignment horizontal="right"/>
    </xf>
    <xf numFmtId="9" fontId="31" fillId="2" borderId="0" xfId="0" applyNumberFormat="1" applyFont="1" applyFill="1" applyAlignment="1">
      <alignment horizontal="right"/>
    </xf>
    <xf numFmtId="37" fontId="27" fillId="2" borderId="0" xfId="0" applyNumberFormat="1" applyFont="1" applyFill="1" applyAlignment="1">
      <alignment horizontal="right"/>
    </xf>
    <xf numFmtId="37" fontId="23" fillId="2" borderId="0" xfId="3" applyNumberFormat="1" applyFont="1" applyFill="1" applyBorder="1"/>
    <xf numFmtId="0" fontId="8" fillId="2" borderId="0" xfId="8" applyFont="1" applyFill="1" applyBorder="1" applyAlignment="1">
      <alignment horizontal="right"/>
    </xf>
    <xf numFmtId="0" fontId="49" fillId="2" borderId="1" xfId="0" applyFont="1" applyFill="1" applyBorder="1"/>
    <xf numFmtId="8" fontId="53" fillId="0" borderId="1" xfId="7" applyNumberFormat="1" applyFont="1" applyFill="1" applyBorder="1" applyAlignment="1"/>
    <xf numFmtId="170" fontId="56" fillId="2" borderId="0" xfId="0" applyNumberFormat="1" applyFont="1" applyFill="1"/>
    <xf numFmtId="0" fontId="0" fillId="0" borderId="0" xfId="0" quotePrefix="1" applyAlignment="1">
      <alignment wrapText="1"/>
    </xf>
    <xf numFmtId="37" fontId="4" fillId="0" borderId="1" xfId="0" applyNumberFormat="1" applyFont="1" applyBorder="1" applyAlignment="1">
      <alignment horizontal="right" wrapText="1"/>
    </xf>
    <xf numFmtId="0" fontId="4" fillId="0" borderId="1" xfId="0" quotePrefix="1" applyFont="1" applyBorder="1" applyAlignment="1">
      <alignment horizontal="left" wrapText="1"/>
    </xf>
    <xf numFmtId="0" fontId="4" fillId="0" borderId="0" xfId="0" quotePrefix="1" applyFont="1" applyAlignment="1">
      <alignment wrapText="1"/>
    </xf>
    <xf numFmtId="0" fontId="40" fillId="0" borderId="0" xfId="0" applyFont="1" applyAlignment="1">
      <alignment horizontal="left"/>
    </xf>
    <xf numFmtId="37" fontId="9" fillId="0" borderId="1" xfId="0" applyNumberFormat="1" applyFont="1" applyBorder="1" applyAlignment="1">
      <alignment horizontal="right" wrapText="1"/>
    </xf>
    <xf numFmtId="0" fontId="4" fillId="0" borderId="1" xfId="0" quotePrefix="1" applyFont="1" applyBorder="1" applyAlignment="1">
      <alignment wrapText="1"/>
    </xf>
    <xf numFmtId="37" fontId="53" fillId="9" borderId="0" xfId="7" applyNumberFormat="1" applyFont="1" applyFill="1" applyAlignment="1">
      <alignment horizontal="center"/>
    </xf>
    <xf numFmtId="1" fontId="22" fillId="16" borderId="0" xfId="17" applyNumberFormat="1" applyFont="1" applyFill="1" applyAlignment="1">
      <alignment horizontal="center" wrapText="1"/>
    </xf>
    <xf numFmtId="174" fontId="0" fillId="2" borderId="0" xfId="0" applyNumberFormat="1" applyFill="1"/>
    <xf numFmtId="37" fontId="53" fillId="0" borderId="0" xfId="0" applyNumberFormat="1" applyFont="1" applyAlignment="1">
      <alignment horizontal="right"/>
    </xf>
    <xf numFmtId="37" fontId="53" fillId="0" borderId="0" xfId="0" applyNumberFormat="1" applyFont="1" applyAlignment="1">
      <alignment horizontal="center"/>
    </xf>
    <xf numFmtId="0" fontId="4" fillId="2" borderId="2" xfId="0" applyFont="1" applyFill="1" applyBorder="1" applyAlignment="1">
      <alignment horizontal="right" wrapText="1"/>
    </xf>
    <xf numFmtId="0" fontId="4" fillId="2" borderId="2" xfId="0" applyFont="1" applyFill="1" applyBorder="1" applyAlignment="1">
      <alignment wrapText="1"/>
    </xf>
    <xf numFmtId="0" fontId="34" fillId="2" borderId="0" xfId="0" applyFont="1" applyFill="1"/>
    <xf numFmtId="173" fontId="34" fillId="2" borderId="0" xfId="0" applyNumberFormat="1" applyFont="1" applyFill="1"/>
    <xf numFmtId="0" fontId="4" fillId="2" borderId="2" xfId="0" applyFont="1" applyFill="1" applyBorder="1" applyAlignment="1">
      <alignment horizontal="right"/>
    </xf>
    <xf numFmtId="174" fontId="9" fillId="0" borderId="0" xfId="0" applyNumberFormat="1" applyFont="1" applyAlignment="1">
      <alignment horizontal="right"/>
    </xf>
    <xf numFmtId="173" fontId="36" fillId="2" borderId="0" xfId="0" applyNumberFormat="1" applyFont="1" applyFill="1"/>
    <xf numFmtId="173" fontId="0" fillId="2" borderId="0" xfId="0" applyNumberFormat="1" applyFill="1"/>
    <xf numFmtId="9" fontId="9" fillId="0" borderId="1" xfId="0" applyNumberFormat="1" applyFont="1" applyBorder="1"/>
    <xf numFmtId="173" fontId="18" fillId="0" borderId="0" xfId="0" applyNumberFormat="1" applyFont="1"/>
    <xf numFmtId="170" fontId="9" fillId="0" borderId="1" xfId="0" applyNumberFormat="1" applyFont="1" applyBorder="1"/>
    <xf numFmtId="170" fontId="79" fillId="0" borderId="0" xfId="0" applyNumberFormat="1" applyFont="1"/>
    <xf numFmtId="5" fontId="79" fillId="0" borderId="0" xfId="0" applyNumberFormat="1" applyFont="1"/>
    <xf numFmtId="5" fontId="84" fillId="0" borderId="0" xfId="0" applyNumberFormat="1" applyFont="1"/>
    <xf numFmtId="0" fontId="4" fillId="0" borderId="1" xfId="0" applyFont="1" applyBorder="1" applyAlignment="1">
      <alignment horizontal="right"/>
    </xf>
    <xf numFmtId="168" fontId="0" fillId="2" borderId="0" xfId="0" applyNumberFormat="1" applyFill="1"/>
    <xf numFmtId="168" fontId="36" fillId="2" borderId="0" xfId="0" applyNumberFormat="1" applyFont="1" applyFill="1"/>
    <xf numFmtId="37" fontId="5" fillId="11" borderId="3" xfId="0" applyNumberFormat="1" applyFont="1" applyFill="1" applyBorder="1"/>
    <xf numFmtId="37" fontId="24" fillId="0" borderId="3" xfId="0" applyNumberFormat="1" applyFont="1" applyBorder="1"/>
    <xf numFmtId="3" fontId="4" fillId="0" borderId="2" xfId="0" applyNumberFormat="1" applyFont="1" applyBorder="1"/>
    <xf numFmtId="174" fontId="79" fillId="2" borderId="0" xfId="0" applyNumberFormat="1" applyFont="1" applyFill="1"/>
    <xf numFmtId="174" fontId="9" fillId="2" borderId="0" xfId="0" applyNumberFormat="1" applyFont="1" applyFill="1"/>
    <xf numFmtId="9" fontId="36" fillId="2" borderId="0" xfId="0" applyNumberFormat="1" applyFont="1" applyFill="1"/>
    <xf numFmtId="3" fontId="79" fillId="0" borderId="0" xfId="0" applyNumberFormat="1" applyFont="1"/>
    <xf numFmtId="9" fontId="41" fillId="2" borderId="0" xfId="0" applyNumberFormat="1" applyFont="1" applyFill="1"/>
    <xf numFmtId="168" fontId="9" fillId="0" borderId="0" xfId="0" quotePrefix="1" applyNumberFormat="1" applyFont="1" applyAlignment="1">
      <alignment horizontal="left"/>
    </xf>
    <xf numFmtId="0" fontId="16" fillId="0" borderId="2" xfId="0" applyFont="1" applyBorder="1" applyAlignment="1">
      <alignment horizontal="right"/>
    </xf>
    <xf numFmtId="0" fontId="0" fillId="3" borderId="0" xfId="0" applyFill="1"/>
    <xf numFmtId="174" fontId="4" fillId="0" borderId="3" xfId="0" applyNumberFormat="1" applyFont="1" applyBorder="1"/>
    <xf numFmtId="37" fontId="0" fillId="0" borderId="0" xfId="0" applyNumberFormat="1" applyAlignment="1">
      <alignment horizontal="right" wrapText="1"/>
    </xf>
    <xf numFmtId="0" fontId="12" fillId="0" borderId="0" xfId="0" quotePrefix="1" applyFont="1"/>
    <xf numFmtId="0" fontId="16" fillId="0" borderId="0" xfId="0" quotePrefix="1" applyFont="1"/>
    <xf numFmtId="174" fontId="16" fillId="0" borderId="3" xfId="0" applyNumberFormat="1" applyFont="1" applyBorder="1"/>
    <xf numFmtId="7" fontId="9" fillId="0" borderId="1" xfId="0" applyNumberFormat="1" applyFont="1" applyBorder="1"/>
    <xf numFmtId="0" fontId="41" fillId="0" borderId="0" xfId="0" quotePrefix="1" applyFont="1"/>
    <xf numFmtId="168" fontId="12" fillId="0" borderId="0" xfId="0" applyNumberFormat="1" applyFont="1"/>
    <xf numFmtId="0" fontId="8" fillId="0" borderId="1" xfId="0" applyFont="1" applyBorder="1" applyAlignment="1">
      <alignment wrapText="1"/>
    </xf>
    <xf numFmtId="0" fontId="8" fillId="0" borderId="1" xfId="0" applyFont="1" applyBorder="1" applyAlignment="1">
      <alignment horizontal="right" wrapText="1"/>
    </xf>
    <xf numFmtId="0" fontId="5" fillId="0" borderId="1" xfId="0" applyFont="1" applyBorder="1"/>
    <xf numFmtId="170" fontId="8" fillId="0" borderId="0" xfId="0" applyNumberFormat="1" applyFont="1"/>
    <xf numFmtId="0" fontId="5" fillId="0" borderId="1" xfId="0" applyFont="1" applyBorder="1" applyAlignment="1">
      <alignment wrapText="1"/>
    </xf>
    <xf numFmtId="37" fontId="77" fillId="0" borderId="0" xfId="0" applyNumberFormat="1" applyFont="1" applyAlignment="1">
      <alignment wrapText="1"/>
    </xf>
    <xf numFmtId="37" fontId="86" fillId="0" borderId="0" xfId="0" applyNumberFormat="1" applyFont="1" applyAlignment="1">
      <alignment wrapText="1"/>
    </xf>
    <xf numFmtId="5" fontId="5" fillId="0" borderId="0" xfId="15" applyNumberFormat="1" applyFont="1"/>
    <xf numFmtId="0" fontId="24" fillId="0" borderId="1" xfId="0" applyFont="1" applyBorder="1" applyAlignment="1">
      <alignment wrapText="1"/>
    </xf>
    <xf numFmtId="0" fontId="24" fillId="0" borderId="1" xfId="0" applyFont="1" applyBorder="1" applyAlignment="1">
      <alignment horizontal="right" wrapText="1"/>
    </xf>
    <xf numFmtId="0" fontId="54" fillId="0" borderId="0" xfId="0" applyFont="1" applyAlignment="1">
      <alignment horizontal="left"/>
    </xf>
    <xf numFmtId="0" fontId="54" fillId="0" borderId="0" xfId="0" applyFont="1"/>
    <xf numFmtId="0" fontId="24" fillId="0" borderId="0" xfId="0" applyFont="1"/>
    <xf numFmtId="170" fontId="33" fillId="0" borderId="0" xfId="15" applyNumberFormat="1" applyFont="1"/>
    <xf numFmtId="170" fontId="17" fillId="0" borderId="0" xfId="15" applyNumberFormat="1" applyFont="1"/>
    <xf numFmtId="37" fontId="4" fillId="0" borderId="2" xfId="0" applyNumberFormat="1" applyFont="1" applyBorder="1" applyAlignment="1">
      <alignment wrapText="1"/>
    </xf>
    <xf numFmtId="0" fontId="0" fillId="3" borderId="1" xfId="0" applyFill="1" applyBorder="1"/>
    <xf numFmtId="37" fontId="4" fillId="3" borderId="0" xfId="0" applyNumberFormat="1" applyFont="1" applyFill="1"/>
    <xf numFmtId="5" fontId="0" fillId="3" borderId="0" xfId="0" applyNumberFormat="1" applyFill="1"/>
    <xf numFmtId="37" fontId="4" fillId="3" borderId="1" xfId="0" applyNumberFormat="1" applyFont="1" applyFill="1" applyBorder="1"/>
    <xf numFmtId="0" fontId="34" fillId="3" borderId="0" xfId="0" applyFont="1" applyFill="1"/>
    <xf numFmtId="170" fontId="34" fillId="3" borderId="0" xfId="0" applyNumberFormat="1" applyFont="1" applyFill="1"/>
    <xf numFmtId="0" fontId="8" fillId="0" borderId="1" xfId="0" applyFont="1" applyBorder="1"/>
    <xf numFmtId="5" fontId="35" fillId="2" borderId="1" xfId="0" applyNumberFormat="1" applyFont="1" applyFill="1" applyBorder="1"/>
    <xf numFmtId="37" fontId="17" fillId="2" borderId="0" xfId="15" applyNumberFormat="1" applyFont="1" applyFill="1"/>
    <xf numFmtId="37" fontId="5" fillId="2" borderId="0" xfId="15" applyNumberFormat="1" applyFont="1" applyFill="1"/>
    <xf numFmtId="174" fontId="4" fillId="0" borderId="0" xfId="0" applyNumberFormat="1" applyFont="1"/>
    <xf numFmtId="7" fontId="12" fillId="0" borderId="0" xfId="0" applyNumberFormat="1" applyFont="1"/>
    <xf numFmtId="37" fontId="78" fillId="0" borderId="0" xfId="4" applyNumberFormat="1" applyFont="1" applyBorder="1"/>
    <xf numFmtId="37" fontId="10" fillId="0" borderId="0" xfId="3" applyNumberFormat="1" applyFont="1" applyBorder="1" applyAlignment="1">
      <alignment horizontal="left"/>
    </xf>
    <xf numFmtId="37" fontId="7" fillId="0" borderId="0" xfId="5" applyNumberFormat="1" applyFont="1"/>
    <xf numFmtId="37" fontId="12" fillId="2" borderId="0" xfId="0" applyNumberFormat="1" applyFont="1" applyFill="1"/>
    <xf numFmtId="37" fontId="24" fillId="2" borderId="1" xfId="0" applyNumberFormat="1" applyFont="1" applyFill="1" applyBorder="1"/>
    <xf numFmtId="37" fontId="10" fillId="0" borderId="0" xfId="5" applyNumberFormat="1" applyFont="1"/>
    <xf numFmtId="173" fontId="36" fillId="2" borderId="0" xfId="18" applyNumberFormat="1" applyFont="1" applyFill="1" applyBorder="1"/>
    <xf numFmtId="173" fontId="40" fillId="0" borderId="0" xfId="0" applyNumberFormat="1" applyFont="1"/>
    <xf numFmtId="5" fontId="12" fillId="0" borderId="0" xfId="0" applyNumberFormat="1" applyFont="1"/>
    <xf numFmtId="168" fontId="41" fillId="0" borderId="1" xfId="0" applyNumberFormat="1" applyFont="1" applyBorder="1"/>
    <xf numFmtId="168" fontId="42" fillId="0" borderId="2" xfId="0" applyNumberFormat="1" applyFont="1" applyBorder="1"/>
    <xf numFmtId="0" fontId="40" fillId="2" borderId="2" xfId="0" applyFont="1" applyFill="1" applyBorder="1" applyAlignment="1">
      <alignment wrapText="1"/>
    </xf>
    <xf numFmtId="0" fontId="4" fillId="2" borderId="2" xfId="0" quotePrefix="1" applyFont="1" applyFill="1" applyBorder="1" applyAlignment="1">
      <alignment horizontal="right" wrapText="1"/>
    </xf>
    <xf numFmtId="0" fontId="40" fillId="3" borderId="0" xfId="0" applyFont="1" applyFill="1"/>
    <xf numFmtId="170" fontId="37" fillId="3" borderId="0" xfId="0" applyNumberFormat="1" applyFont="1" applyFill="1"/>
    <xf numFmtId="0" fontId="40" fillId="3" borderId="2" xfId="0" applyFont="1" applyFill="1" applyBorder="1" applyAlignment="1">
      <alignment wrapText="1"/>
    </xf>
    <xf numFmtId="0" fontId="4" fillId="3" borderId="2" xfId="0" applyFont="1" applyFill="1" applyBorder="1" applyAlignment="1">
      <alignment horizontal="right" wrapText="1"/>
    </xf>
    <xf numFmtId="0" fontId="4" fillId="3" borderId="2" xfId="0" quotePrefix="1" applyFont="1" applyFill="1" applyBorder="1" applyAlignment="1">
      <alignment horizontal="right" wrapText="1"/>
    </xf>
    <xf numFmtId="0" fontId="4" fillId="3" borderId="0" xfId="0" applyFont="1" applyFill="1"/>
    <xf numFmtId="0" fontId="40" fillId="0" borderId="2" xfId="0" applyFont="1" applyBorder="1"/>
    <xf numFmtId="170" fontId="4" fillId="0" borderId="2" xfId="0" applyNumberFormat="1" applyFont="1" applyBorder="1" applyAlignment="1">
      <alignment horizontal="right"/>
    </xf>
    <xf numFmtId="174" fontId="9" fillId="0" borderId="0" xfId="0" applyNumberFormat="1" applyFont="1" applyAlignment="1">
      <alignment horizontal="left"/>
    </xf>
    <xf numFmtId="174" fontId="0" fillId="0" borderId="0" xfId="0" applyNumberFormat="1" applyAlignment="1">
      <alignment horizontal="left"/>
    </xf>
    <xf numFmtId="0" fontId="16" fillId="0" borderId="1" xfId="0" quotePrefix="1" applyFont="1" applyBorder="1"/>
    <xf numFmtId="174" fontId="16" fillId="0" borderId="1" xfId="0" applyNumberFormat="1" applyFont="1" applyBorder="1"/>
    <xf numFmtId="167" fontId="60" fillId="2" borderId="0" xfId="0" applyNumberFormat="1" applyFont="1" applyFill="1"/>
    <xf numFmtId="7" fontId="4" fillId="0" borderId="0" xfId="0" applyNumberFormat="1" applyFont="1" applyAlignment="1">
      <alignment horizontal="right" wrapText="1"/>
    </xf>
    <xf numFmtId="0" fontId="4" fillId="0" borderId="17" xfId="0" applyFont="1" applyBorder="1" applyAlignment="1">
      <alignment horizontal="right"/>
    </xf>
    <xf numFmtId="0" fontId="4" fillId="0" borderId="18" xfId="0" applyFont="1" applyBorder="1" applyAlignment="1">
      <alignment horizontal="right"/>
    </xf>
    <xf numFmtId="167" fontId="0" fillId="0" borderId="17" xfId="0" applyNumberFormat="1" applyBorder="1"/>
    <xf numFmtId="167" fontId="4" fillId="0" borderId="18" xfId="0" applyNumberFormat="1" applyFont="1" applyBorder="1"/>
    <xf numFmtId="167" fontId="0" fillId="0" borderId="19" xfId="0" applyNumberFormat="1" applyBorder="1"/>
    <xf numFmtId="167" fontId="4" fillId="0" borderId="20" xfId="0" applyNumberFormat="1" applyFont="1" applyBorder="1"/>
    <xf numFmtId="167" fontId="0" fillId="0" borderId="21" xfId="0" applyNumberFormat="1" applyBorder="1"/>
    <xf numFmtId="167" fontId="0" fillId="0" borderId="1" xfId="0" applyNumberFormat="1" applyBorder="1"/>
    <xf numFmtId="167" fontId="4" fillId="0" borderId="1" xfId="0" applyNumberFormat="1" applyFont="1" applyBorder="1"/>
    <xf numFmtId="167" fontId="4" fillId="0" borderId="22" xfId="0" applyNumberFormat="1" applyFont="1" applyBorder="1"/>
    <xf numFmtId="167" fontId="4" fillId="0" borderId="17" xfId="0" applyNumberFormat="1" applyFont="1" applyBorder="1"/>
    <xf numFmtId="0" fontId="0" fillId="0" borderId="21" xfId="0" applyBorder="1"/>
    <xf numFmtId="0" fontId="0" fillId="0" borderId="22" xfId="0" applyBorder="1"/>
    <xf numFmtId="0" fontId="9" fillId="0" borderId="0" xfId="0" applyFont="1" applyAlignment="1">
      <alignment horizontal="right"/>
    </xf>
    <xf numFmtId="166" fontId="18" fillId="0" borderId="0" xfId="0" applyNumberFormat="1" applyFont="1"/>
    <xf numFmtId="0" fontId="0" fillId="0" borderId="1" xfId="0" applyBorder="1" applyAlignment="1">
      <alignment wrapText="1"/>
    </xf>
    <xf numFmtId="0" fontId="9" fillId="0" borderId="1" xfId="0" applyFont="1" applyBorder="1" applyAlignment="1">
      <alignment horizontal="right" wrapText="1"/>
    </xf>
    <xf numFmtId="0" fontId="9" fillId="0" borderId="1" xfId="0" applyFont="1" applyBorder="1" applyAlignment="1">
      <alignment wrapText="1"/>
    </xf>
    <xf numFmtId="170" fontId="16" fillId="0" borderId="0" xfId="0" applyNumberFormat="1" applyFont="1"/>
    <xf numFmtId="37" fontId="28" fillId="2" borderId="0" xfId="19" applyNumberFormat="1" applyFont="1" applyFill="1" applyBorder="1"/>
    <xf numFmtId="0" fontId="28" fillId="2" borderId="0" xfId="19" applyFont="1" applyFill="1"/>
    <xf numFmtId="0" fontId="57" fillId="2" borderId="0" xfId="19" applyFont="1" applyFill="1" applyBorder="1"/>
    <xf numFmtId="37" fontId="56" fillId="2" borderId="0" xfId="19" applyNumberFormat="1" applyFont="1" applyFill="1" applyBorder="1"/>
    <xf numFmtId="0" fontId="28" fillId="2" borderId="0" xfId="12" applyFont="1" applyFill="1"/>
    <xf numFmtId="37" fontId="32" fillId="2" borderId="1" xfId="19" applyNumberFormat="1" applyFont="1" applyFill="1" applyBorder="1" applyAlignment="1">
      <alignment horizontal="right"/>
    </xf>
    <xf numFmtId="37" fontId="24" fillId="2" borderId="1" xfId="19" applyNumberFormat="1" applyFont="1" applyFill="1" applyBorder="1" applyAlignment="1">
      <alignment horizontal="right"/>
    </xf>
    <xf numFmtId="37" fontId="24" fillId="11" borderId="1" xfId="12" applyNumberFormat="1" applyFont="1" applyFill="1" applyBorder="1" applyAlignment="1">
      <alignment horizontal="center"/>
    </xf>
    <xf numFmtId="37" fontId="24" fillId="11" borderId="1" xfId="12" applyNumberFormat="1" applyFont="1" applyFill="1" applyBorder="1" applyAlignment="1">
      <alignment horizontal="right"/>
    </xf>
    <xf numFmtId="37" fontId="54" fillId="2" borderId="0" xfId="19" applyNumberFormat="1" applyFont="1" applyFill="1"/>
    <xf numFmtId="37" fontId="54" fillId="2" borderId="0" xfId="12" applyNumberFormat="1" applyFont="1" applyFill="1" applyBorder="1"/>
    <xf numFmtId="168" fontId="54" fillId="11" borderId="0" xfId="12" applyNumberFormat="1" applyFont="1" applyFill="1" applyBorder="1"/>
    <xf numFmtId="168" fontId="54" fillId="2" borderId="0" xfId="19" applyNumberFormat="1" applyFont="1" applyFill="1" applyBorder="1"/>
    <xf numFmtId="37" fontId="24" fillId="2" borderId="23" xfId="19" applyNumberFormat="1" applyFont="1" applyFill="1" applyBorder="1" applyAlignment="1">
      <alignment horizontal="right"/>
    </xf>
    <xf numFmtId="37" fontId="19" fillId="2" borderId="0" xfId="0" applyNumberFormat="1" applyFont="1" applyFill="1"/>
    <xf numFmtId="37" fontId="4" fillId="0" borderId="23" xfId="0" applyNumberFormat="1" applyFont="1" applyBorder="1"/>
    <xf numFmtId="37" fontId="0" fillId="0" borderId="23" xfId="0" applyNumberFormat="1" applyBorder="1"/>
    <xf numFmtId="0" fontId="40" fillId="0" borderId="23" xfId="0" applyFont="1" applyBorder="1"/>
    <xf numFmtId="0" fontId="0" fillId="0" borderId="23" xfId="0" applyBorder="1"/>
    <xf numFmtId="170" fontId="34" fillId="0" borderId="23" xfId="0" applyNumberFormat="1" applyFont="1" applyBorder="1"/>
    <xf numFmtId="170" fontId="40" fillId="0" borderId="23" xfId="0" applyNumberFormat="1" applyFont="1" applyBorder="1"/>
    <xf numFmtId="168" fontId="5" fillId="2" borderId="0" xfId="2" applyNumberFormat="1" applyFont="1" applyFill="1" applyBorder="1"/>
    <xf numFmtId="168" fontId="8" fillId="2" borderId="0" xfId="2" applyNumberFormat="1" applyFont="1" applyFill="1" applyBorder="1"/>
    <xf numFmtId="168" fontId="5" fillId="2" borderId="1" xfId="2" applyNumberFormat="1" applyFont="1" applyFill="1" applyBorder="1"/>
    <xf numFmtId="37" fontId="51" fillId="2" borderId="0" xfId="19" applyNumberFormat="1" applyFont="1" applyFill="1" applyAlignment="1">
      <alignment horizontal="left"/>
    </xf>
    <xf numFmtId="169" fontId="54" fillId="2" borderId="0" xfId="19" applyNumberFormat="1" applyFont="1" applyFill="1" applyAlignment="1">
      <alignment horizontal="left" indent="1"/>
    </xf>
    <xf numFmtId="169" fontId="24" fillId="2" borderId="0" xfId="19" applyNumberFormat="1" applyFont="1" applyFill="1" applyAlignment="1">
      <alignment horizontal="left"/>
    </xf>
    <xf numFmtId="7" fontId="4" fillId="0" borderId="0" xfId="0" applyNumberFormat="1" applyFont="1"/>
    <xf numFmtId="43" fontId="0" fillId="0" borderId="0" xfId="0" applyNumberFormat="1"/>
    <xf numFmtId="170" fontId="60" fillId="2" borderId="0" xfId="0" applyNumberFormat="1" applyFont="1" applyFill="1"/>
    <xf numFmtId="0" fontId="16" fillId="0" borderId="23" xfId="0" applyFont="1" applyBorder="1" applyAlignment="1">
      <alignment horizontal="right"/>
    </xf>
    <xf numFmtId="0" fontId="54" fillId="2" borderId="23" xfId="19" applyFont="1" applyFill="1" applyBorder="1"/>
    <xf numFmtId="0" fontId="16" fillId="0" borderId="1" xfId="0" applyFont="1" applyBorder="1" applyAlignment="1">
      <alignment horizontal="right"/>
    </xf>
    <xf numFmtId="37" fontId="79" fillId="0" borderId="1" xfId="0" applyNumberFormat="1" applyFont="1" applyBorder="1"/>
    <xf numFmtId="168" fontId="9" fillId="0" borderId="0" xfId="3" applyNumberFormat="1" applyFont="1" applyBorder="1" applyAlignment="1">
      <alignment horizontal="right"/>
    </xf>
    <xf numFmtId="10" fontId="7" fillId="0" borderId="0" xfId="3" applyNumberFormat="1" applyFont="1" applyBorder="1" applyAlignment="1">
      <alignment horizontal="right"/>
    </xf>
    <xf numFmtId="37" fontId="51" fillId="2" borderId="0" xfId="0" applyNumberFormat="1" applyFont="1" applyFill="1"/>
    <xf numFmtId="37" fontId="41" fillId="2" borderId="0" xfId="0" applyNumberFormat="1" applyFont="1" applyFill="1"/>
    <xf numFmtId="10" fontId="37" fillId="2" borderId="0" xfId="0" applyNumberFormat="1" applyFont="1" applyFill="1"/>
    <xf numFmtId="10" fontId="37" fillId="0" borderId="0" xfId="0" applyNumberFormat="1" applyFont="1"/>
    <xf numFmtId="167" fontId="35" fillId="0" borderId="0" xfId="0" applyNumberFormat="1" applyFont="1"/>
    <xf numFmtId="37" fontId="88" fillId="2" borderId="0" xfId="0" applyNumberFormat="1" applyFont="1" applyFill="1"/>
    <xf numFmtId="37" fontId="7" fillId="0" borderId="23" xfId="3" applyNumberFormat="1" applyFont="1" applyBorder="1" applyAlignment="1">
      <alignment horizontal="right"/>
    </xf>
    <xf numFmtId="10" fontId="16" fillId="0" borderId="23" xfId="3" applyNumberFormat="1" applyFont="1" applyBorder="1" applyAlignment="1">
      <alignment horizontal="right"/>
    </xf>
    <xf numFmtId="7" fontId="16" fillId="0" borderId="23" xfId="3" applyNumberFormat="1" applyFont="1" applyBorder="1" applyAlignment="1">
      <alignment horizontal="right"/>
    </xf>
    <xf numFmtId="166" fontId="16" fillId="0" borderId="0" xfId="3" applyNumberFormat="1" applyFont="1" applyBorder="1" applyAlignment="1">
      <alignment horizontal="right"/>
    </xf>
    <xf numFmtId="3" fontId="4" fillId="0" borderId="0" xfId="0" applyNumberFormat="1" applyFont="1"/>
    <xf numFmtId="0" fontId="16" fillId="0" borderId="0" xfId="0" applyFont="1" applyAlignment="1">
      <alignment horizontal="right"/>
    </xf>
    <xf numFmtId="168" fontId="12" fillId="0" borderId="0" xfId="0" applyNumberFormat="1" applyFont="1" applyAlignment="1">
      <alignment horizontal="right"/>
    </xf>
    <xf numFmtId="168" fontId="89" fillId="0" borderId="0" xfId="0" applyNumberFormat="1" applyFont="1" applyAlignment="1">
      <alignment horizontal="right"/>
    </xf>
    <xf numFmtId="170" fontId="7" fillId="0" borderId="0" xfId="3" applyNumberFormat="1" applyFont="1" applyBorder="1" applyAlignment="1">
      <alignment horizontal="right"/>
    </xf>
    <xf numFmtId="9" fontId="4" fillId="0" borderId="2" xfId="0" applyNumberFormat="1" applyFont="1" applyBorder="1"/>
    <xf numFmtId="0" fontId="90" fillId="0" borderId="2" xfId="0" applyFont="1" applyBorder="1" applyAlignment="1">
      <alignment horizontal="right"/>
    </xf>
    <xf numFmtId="0" fontId="81" fillId="0" borderId="2" xfId="0" applyFont="1" applyBorder="1" applyAlignment="1">
      <alignment horizontal="right"/>
    </xf>
    <xf numFmtId="1" fontId="81" fillId="0" borderId="2" xfId="0" applyNumberFormat="1" applyFont="1" applyBorder="1" applyAlignment="1">
      <alignment horizontal="right"/>
    </xf>
    <xf numFmtId="168" fontId="36" fillId="0" borderId="0" xfId="0" applyNumberFormat="1" applyFont="1" applyAlignment="1">
      <alignment horizontal="right"/>
    </xf>
    <xf numFmtId="168" fontId="41" fillId="0" borderId="0" xfId="0" applyNumberFormat="1" applyFont="1" applyAlignment="1">
      <alignment horizontal="right"/>
    </xf>
    <xf numFmtId="174" fontId="18" fillId="0" borderId="3" xfId="0" applyNumberFormat="1" applyFont="1" applyBorder="1"/>
    <xf numFmtId="37" fontId="11" fillId="2" borderId="0" xfId="0" applyNumberFormat="1" applyFont="1" applyFill="1" applyAlignment="1">
      <alignment horizontal="left"/>
    </xf>
    <xf numFmtId="0" fontId="4" fillId="0" borderId="23" xfId="0" applyFont="1" applyBorder="1" applyAlignment="1">
      <alignment horizontal="right"/>
    </xf>
    <xf numFmtId="5" fontId="16" fillId="0" borderId="0" xfId="0" applyNumberFormat="1" applyFont="1"/>
    <xf numFmtId="37" fontId="9" fillId="0" borderId="23" xfId="0" applyNumberFormat="1" applyFont="1" applyBorder="1"/>
    <xf numFmtId="37" fontId="16" fillId="0" borderId="23" xfId="0" applyNumberFormat="1" applyFont="1" applyBorder="1"/>
    <xf numFmtId="0" fontId="4" fillId="0" borderId="2" xfId="0" applyFont="1" applyBorder="1" applyAlignment="1">
      <alignment horizontal="left"/>
    </xf>
    <xf numFmtId="3" fontId="9" fillId="0" borderId="0" xfId="0" applyNumberFormat="1" applyFont="1"/>
    <xf numFmtId="3" fontId="18" fillId="0" borderId="23" xfId="0" applyNumberFormat="1" applyFont="1" applyBorder="1"/>
    <xf numFmtId="37" fontId="18" fillId="0" borderId="23" xfId="0" applyNumberFormat="1" applyFont="1" applyBorder="1"/>
    <xf numFmtId="37" fontId="59" fillId="0" borderId="23" xfId="0" applyNumberFormat="1" applyFont="1" applyBorder="1"/>
    <xf numFmtId="37" fontId="42" fillId="0" borderId="0" xfId="0" applyNumberFormat="1" applyFont="1"/>
    <xf numFmtId="37" fontId="22" fillId="4" borderId="23" xfId="3" applyNumberFormat="1" applyFont="1" applyFill="1" applyBorder="1"/>
    <xf numFmtId="37" fontId="24" fillId="0" borderId="23" xfId="0" applyNumberFormat="1" applyFont="1" applyBorder="1"/>
    <xf numFmtId="5" fontId="16" fillId="0" borderId="23" xfId="0" applyNumberFormat="1" applyFont="1" applyBorder="1"/>
    <xf numFmtId="37" fontId="18" fillId="2" borderId="0" xfId="0" applyNumberFormat="1" applyFont="1" applyFill="1"/>
    <xf numFmtId="184" fontId="0" fillId="0" borderId="0" xfId="0" applyNumberFormat="1"/>
    <xf numFmtId="37" fontId="5" fillId="2" borderId="23" xfId="0" applyNumberFormat="1" applyFont="1" applyFill="1" applyBorder="1" applyAlignment="1">
      <alignment horizontal="left"/>
    </xf>
    <xf numFmtId="167" fontId="16" fillId="2" borderId="23" xfId="0" applyNumberFormat="1" applyFont="1" applyFill="1" applyBorder="1"/>
    <xf numFmtId="173" fontId="16" fillId="2" borderId="23" xfId="0" applyNumberFormat="1" applyFont="1" applyFill="1" applyBorder="1"/>
    <xf numFmtId="37" fontId="11" fillId="2" borderId="1" xfId="0" applyNumberFormat="1" applyFont="1" applyFill="1" applyBorder="1" applyAlignment="1">
      <alignment horizontal="left"/>
    </xf>
    <xf numFmtId="181" fontId="0" fillId="0" borderId="1" xfId="0" applyNumberFormat="1" applyBorder="1"/>
    <xf numFmtId="168" fontId="3" fillId="0" borderId="0" xfId="2" applyNumberFormat="1" applyFont="1" applyBorder="1"/>
    <xf numFmtId="168" fontId="9" fillId="0" borderId="0" xfId="2" applyNumberFormat="1" applyFont="1" applyBorder="1"/>
    <xf numFmtId="185" fontId="12" fillId="0" borderId="1" xfId="1" applyNumberFormat="1" applyFont="1" applyBorder="1"/>
    <xf numFmtId="186" fontId="12" fillId="0" borderId="0" xfId="0" applyNumberFormat="1" applyFont="1"/>
    <xf numFmtId="181" fontId="16" fillId="0" borderId="2" xfId="1" applyNumberFormat="1" applyFont="1" applyBorder="1"/>
    <xf numFmtId="0" fontId="12" fillId="0" borderId="23" xfId="0" applyFont="1" applyBorder="1"/>
    <xf numFmtId="181" fontId="12" fillId="0" borderId="1" xfId="1" applyNumberFormat="1" applyFont="1" applyBorder="1"/>
    <xf numFmtId="181" fontId="16" fillId="0" borderId="0" xfId="1" applyNumberFormat="1" applyFont="1" applyBorder="1"/>
    <xf numFmtId="9" fontId="12" fillId="0" borderId="1" xfId="0" applyNumberFormat="1" applyFont="1" applyBorder="1"/>
    <xf numFmtId="181" fontId="12" fillId="0" borderId="0" xfId="1" applyNumberFormat="1" applyFont="1" applyBorder="1"/>
    <xf numFmtId="181" fontId="12" fillId="0" borderId="0" xfId="0" applyNumberFormat="1" applyFont="1"/>
    <xf numFmtId="181" fontId="16" fillId="0" borderId="1" xfId="1" applyNumberFormat="1" applyFont="1" applyBorder="1"/>
    <xf numFmtId="186" fontId="12" fillId="0" borderId="1" xfId="0" applyNumberFormat="1" applyFont="1" applyBorder="1"/>
    <xf numFmtId="181" fontId="12" fillId="0" borderId="1" xfId="0" applyNumberFormat="1" applyFont="1" applyBorder="1"/>
    <xf numFmtId="43" fontId="16" fillId="0" borderId="2" xfId="1" applyFont="1" applyBorder="1"/>
    <xf numFmtId="8" fontId="12" fillId="0" borderId="0" xfId="0" applyNumberFormat="1" applyFont="1"/>
    <xf numFmtId="43" fontId="12" fillId="0" borderId="0" xfId="0" applyNumberFormat="1" applyFont="1"/>
    <xf numFmtId="9" fontId="41" fillId="0" borderId="0" xfId="2" applyFont="1"/>
    <xf numFmtId="181" fontId="0" fillId="0" borderId="0" xfId="1" applyNumberFormat="1" applyFont="1"/>
    <xf numFmtId="181" fontId="4" fillId="0" borderId="2" xfId="1" applyNumberFormat="1" applyFont="1" applyBorder="1"/>
    <xf numFmtId="181" fontId="0" fillId="0" borderId="0" xfId="0" applyNumberFormat="1"/>
    <xf numFmtId="181" fontId="0" fillId="0" borderId="2" xfId="1" applyNumberFormat="1" applyFont="1" applyBorder="1"/>
    <xf numFmtId="8" fontId="16" fillId="0" borderId="2" xfId="0" applyNumberFormat="1" applyFont="1" applyBorder="1"/>
    <xf numFmtId="9" fontId="0" fillId="0" borderId="0" xfId="2" applyFont="1"/>
    <xf numFmtId="181" fontId="16" fillId="0" borderId="23" xfId="0" applyNumberFormat="1" applyFont="1" applyBorder="1"/>
    <xf numFmtId="181" fontId="16" fillId="0" borderId="2" xfId="0" applyNumberFormat="1" applyFont="1" applyBorder="1"/>
    <xf numFmtId="0" fontId="12" fillId="0" borderId="1" xfId="0" quotePrefix="1" applyFont="1" applyBorder="1"/>
    <xf numFmtId="9" fontId="12" fillId="0" borderId="1" xfId="2" applyFont="1" applyBorder="1"/>
    <xf numFmtId="9" fontId="0" fillId="0" borderId="0" xfId="2" applyFont="1" applyBorder="1"/>
    <xf numFmtId="9" fontId="12" fillId="0" borderId="0" xfId="2" applyFont="1" applyBorder="1"/>
    <xf numFmtId="5" fontId="12" fillId="0" borderId="0" xfId="1" applyNumberFormat="1" applyFont="1" applyBorder="1"/>
    <xf numFmtId="168" fontId="0" fillId="0" borderId="0" xfId="2" applyNumberFormat="1" applyFont="1"/>
    <xf numFmtId="185" fontId="0" fillId="0" borderId="0" xfId="1" applyNumberFormat="1" applyFont="1"/>
    <xf numFmtId="181" fontId="4" fillId="0" borderId="0" xfId="1" applyNumberFormat="1" applyFont="1"/>
    <xf numFmtId="181" fontId="0" fillId="0" borderId="1" xfId="1" applyNumberFormat="1" applyFont="1" applyBorder="1"/>
    <xf numFmtId="10" fontId="0" fillId="0" borderId="0" xfId="2" applyNumberFormat="1" applyFont="1"/>
    <xf numFmtId="10" fontId="4" fillId="0" borderId="0" xfId="2" applyNumberFormat="1" applyFont="1"/>
    <xf numFmtId="185" fontId="0" fillId="0" borderId="1" xfId="1" applyNumberFormat="1" applyFont="1" applyBorder="1"/>
    <xf numFmtId="185" fontId="4" fillId="0" borderId="0" xfId="1" applyNumberFormat="1" applyFont="1"/>
    <xf numFmtId="37" fontId="12" fillId="0" borderId="1" xfId="3" applyNumberFormat="1" applyFont="1" applyBorder="1" applyAlignment="1">
      <alignment horizontal="right"/>
    </xf>
    <xf numFmtId="37" fontId="56" fillId="2" borderId="0" xfId="0" applyNumberFormat="1" applyFont="1" applyFill="1"/>
    <xf numFmtId="37" fontId="35" fillId="0" borderId="1" xfId="0" applyNumberFormat="1" applyFont="1" applyBorder="1"/>
    <xf numFmtId="37" fontId="30" fillId="17" borderId="2" xfId="0" applyNumberFormat="1" applyFont="1" applyFill="1" applyBorder="1"/>
    <xf numFmtId="9" fontId="9" fillId="0" borderId="0" xfId="2" applyFont="1"/>
    <xf numFmtId="168" fontId="4" fillId="0" borderId="0" xfId="2" applyNumberFormat="1" applyFont="1"/>
    <xf numFmtId="7" fontId="49" fillId="0" borderId="0" xfId="0" applyNumberFormat="1" applyFont="1"/>
    <xf numFmtId="170" fontId="34" fillId="0" borderId="0" xfId="0" applyNumberFormat="1" applyFont="1" applyAlignment="1">
      <alignment horizontal="right"/>
    </xf>
    <xf numFmtId="170" fontId="40" fillId="0" borderId="0" xfId="0" applyNumberFormat="1" applyFont="1" applyAlignment="1">
      <alignment horizontal="right"/>
    </xf>
    <xf numFmtId="9" fontId="49" fillId="0" borderId="0" xfId="2" applyFont="1"/>
    <xf numFmtId="181" fontId="4" fillId="0" borderId="0" xfId="0" applyNumberFormat="1" applyFont="1"/>
    <xf numFmtId="181" fontId="59" fillId="0" borderId="0" xfId="1" applyNumberFormat="1" applyFont="1"/>
    <xf numFmtId="181" fontId="9" fillId="0" borderId="0" xfId="1" applyNumberFormat="1" applyFont="1"/>
    <xf numFmtId="181" fontId="49" fillId="0" borderId="0" xfId="1" applyNumberFormat="1" applyFont="1"/>
    <xf numFmtId="9" fontId="91" fillId="0" borderId="0" xfId="2" applyFont="1"/>
    <xf numFmtId="181" fontId="4" fillId="0" borderId="2" xfId="0" applyNumberFormat="1" applyFont="1" applyBorder="1"/>
    <xf numFmtId="37" fontId="21" fillId="2" borderId="5" xfId="3" applyNumberFormat="1" applyFont="1" applyFill="1" applyBorder="1"/>
    <xf numFmtId="37" fontId="7" fillId="2" borderId="0" xfId="3" applyNumberFormat="1" applyFont="1" applyFill="1"/>
    <xf numFmtId="37" fontId="10" fillId="2" borderId="1" xfId="3" applyNumberFormat="1" applyFont="1" applyFill="1" applyBorder="1"/>
    <xf numFmtId="181" fontId="0" fillId="2" borderId="0" xfId="1" applyNumberFormat="1" applyFont="1" applyFill="1"/>
    <xf numFmtId="9" fontId="0" fillId="2" borderId="0" xfId="0" applyNumberFormat="1" applyFill="1"/>
    <xf numFmtId="0" fontId="0" fillId="2" borderId="0" xfId="0" applyFill="1" applyAlignment="1">
      <alignment horizontal="left"/>
    </xf>
    <xf numFmtId="43" fontId="0" fillId="2" borderId="0" xfId="0" applyNumberFormat="1" applyFill="1"/>
    <xf numFmtId="181" fontId="0" fillId="2" borderId="0" xfId="0" applyNumberFormat="1" applyFill="1"/>
    <xf numFmtId="0" fontId="4" fillId="2" borderId="0" xfId="0" applyFont="1" applyFill="1" applyAlignment="1">
      <alignment horizontal="left"/>
    </xf>
    <xf numFmtId="181" fontId="4" fillId="2" borderId="2" xfId="1" applyNumberFormat="1" applyFont="1" applyFill="1" applyBorder="1"/>
    <xf numFmtId="168" fontId="0" fillId="2" borderId="0" xfId="2" applyNumberFormat="1" applyFont="1" applyFill="1"/>
    <xf numFmtId="181" fontId="4" fillId="2" borderId="0" xfId="0" applyNumberFormat="1" applyFont="1" applyFill="1"/>
    <xf numFmtId="0" fontId="4" fillId="2" borderId="23" xfId="0" applyFont="1" applyFill="1" applyBorder="1" applyAlignment="1">
      <alignment horizontal="right"/>
    </xf>
    <xf numFmtId="0" fontId="4" fillId="2" borderId="1" xfId="0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0" fontId="4" fillId="2" borderId="14" xfId="0" applyFont="1" applyFill="1" applyBorder="1" applyAlignment="1">
      <alignment horizontal="right"/>
    </xf>
    <xf numFmtId="37" fontId="57" fillId="2" borderId="0" xfId="0" applyNumberFormat="1" applyFont="1" applyFill="1"/>
    <xf numFmtId="166" fontId="19" fillId="0" borderId="2" xfId="3" applyNumberFormat="1" applyFont="1" applyBorder="1" applyAlignment="1">
      <alignment horizontal="right"/>
    </xf>
    <xf numFmtId="170" fontId="36" fillId="2" borderId="0" xfId="0" applyNumberFormat="1" applyFont="1" applyFill="1"/>
    <xf numFmtId="181" fontId="4" fillId="0" borderId="1" xfId="0" applyNumberFormat="1" applyFont="1" applyBorder="1"/>
    <xf numFmtId="0" fontId="17" fillId="0" borderId="0" xfId="0" applyFont="1" applyAlignment="1">
      <alignment horizontal="left" indent="1"/>
    </xf>
    <xf numFmtId="181" fontId="34" fillId="0" borderId="0" xfId="0" applyNumberFormat="1" applyFont="1"/>
    <xf numFmtId="181" fontId="40" fillId="0" borderId="0" xfId="0" applyNumberFormat="1" applyFont="1"/>
    <xf numFmtId="181" fontId="49" fillId="0" borderId="1" xfId="1" applyNumberFormat="1" applyFont="1" applyBorder="1"/>
    <xf numFmtId="181" fontId="18" fillId="0" borderId="0" xfId="0" applyNumberFormat="1" applyFont="1"/>
    <xf numFmtId="181" fontId="48" fillId="0" borderId="0" xfId="1" applyNumberFormat="1" applyFont="1"/>
    <xf numFmtId="168" fontId="9" fillId="0" borderId="0" xfId="2" applyNumberFormat="1" applyFont="1"/>
    <xf numFmtId="181" fontId="35" fillId="0" borderId="0" xfId="0" applyNumberFormat="1" applyFont="1"/>
    <xf numFmtId="9" fontId="0" fillId="2" borderId="0" xfId="2" applyFont="1" applyFill="1"/>
    <xf numFmtId="0" fontId="84" fillId="2" borderId="0" xfId="0" applyFont="1" applyFill="1"/>
    <xf numFmtId="0" fontId="92" fillId="2" borderId="0" xfId="0" applyFont="1" applyFill="1"/>
    <xf numFmtId="0" fontId="93" fillId="2" borderId="0" xfId="0" applyFont="1" applyFill="1" applyAlignment="1">
      <alignment horizontal="center"/>
    </xf>
    <xf numFmtId="0" fontId="93" fillId="2" borderId="16" xfId="0" applyFont="1" applyFill="1" applyBorder="1"/>
    <xf numFmtId="37" fontId="93" fillId="2" borderId="2" xfId="0" applyNumberFormat="1" applyFont="1" applyFill="1" applyBorder="1" applyAlignment="1">
      <alignment horizontal="right"/>
    </xf>
    <xf numFmtId="0" fontId="93" fillId="2" borderId="2" xfId="0" applyFont="1" applyFill="1" applyBorder="1" applyAlignment="1">
      <alignment horizontal="right"/>
    </xf>
    <xf numFmtId="0" fontId="93" fillId="2" borderId="20" xfId="0" applyFont="1" applyFill="1" applyBorder="1"/>
    <xf numFmtId="181" fontId="93" fillId="2" borderId="0" xfId="1" applyNumberFormat="1" applyFont="1" applyFill="1"/>
    <xf numFmtId="181" fontId="92" fillId="2" borderId="0" xfId="1" applyNumberFormat="1" applyFont="1" applyFill="1"/>
    <xf numFmtId="0" fontId="94" fillId="2" borderId="0" xfId="0" applyFont="1" applyFill="1"/>
    <xf numFmtId="7" fontId="93" fillId="2" borderId="2" xfId="0" applyNumberFormat="1" applyFont="1" applyFill="1" applyBorder="1" applyAlignment="1">
      <alignment horizontal="right"/>
    </xf>
    <xf numFmtId="5" fontId="92" fillId="2" borderId="0" xfId="1" applyNumberFormat="1" applyFont="1" applyFill="1"/>
    <xf numFmtId="0" fontId="59" fillId="2" borderId="0" xfId="0" applyFont="1" applyFill="1"/>
    <xf numFmtId="0" fontId="4" fillId="18" borderId="0" xfId="0" applyFont="1" applyFill="1"/>
    <xf numFmtId="9" fontId="17" fillId="18" borderId="0" xfId="2" applyFont="1" applyFill="1"/>
    <xf numFmtId="0" fontId="0" fillId="18" borderId="0" xfId="0" applyFill="1"/>
    <xf numFmtId="166" fontId="24" fillId="0" borderId="1" xfId="3" applyNumberFormat="1" applyFont="1" applyBorder="1" applyAlignment="1">
      <alignment horizontal="right"/>
    </xf>
    <xf numFmtId="166" fontId="24" fillId="0" borderId="1" xfId="3" quotePrefix="1" applyNumberFormat="1" applyFont="1" applyBorder="1" applyAlignment="1">
      <alignment horizontal="right" wrapText="1"/>
    </xf>
    <xf numFmtId="166" fontId="19" fillId="0" borderId="0" xfId="3" applyNumberFormat="1" applyFont="1" applyBorder="1" applyAlignment="1">
      <alignment horizontal="right"/>
    </xf>
    <xf numFmtId="0" fontId="54" fillId="0" borderId="0" xfId="0" applyFont="1" applyAlignment="1">
      <alignment horizontal="left" indent="2"/>
    </xf>
    <xf numFmtId="9" fontId="54" fillId="0" borderId="0" xfId="2" applyFont="1"/>
    <xf numFmtId="0" fontId="52" fillId="0" borderId="0" xfId="0" applyFont="1" applyAlignment="1">
      <alignment horizontal="left" indent="2"/>
    </xf>
    <xf numFmtId="9" fontId="52" fillId="0" borderId="0" xfId="2" applyFont="1"/>
    <xf numFmtId="0" fontId="24" fillId="0" borderId="0" xfId="0" applyFont="1" applyAlignment="1">
      <alignment horizontal="left" indent="1"/>
    </xf>
    <xf numFmtId="9" fontId="24" fillId="0" borderId="2" xfId="2" applyFont="1" applyBorder="1"/>
    <xf numFmtId="0" fontId="52" fillId="0" borderId="0" xfId="0" applyFont="1" applyAlignment="1">
      <alignment horizontal="left" indent="1"/>
    </xf>
    <xf numFmtId="9" fontId="17" fillId="0" borderId="0" xfId="2" applyFont="1"/>
    <xf numFmtId="0" fontId="54" fillId="0" borderId="0" xfId="0" applyFont="1" applyAlignment="1">
      <alignment horizontal="left" indent="1"/>
    </xf>
    <xf numFmtId="0" fontId="52" fillId="0" borderId="0" xfId="0" applyFont="1"/>
    <xf numFmtId="168" fontId="54" fillId="0" borderId="0" xfId="2" applyNumberFormat="1" applyFont="1" applyBorder="1"/>
    <xf numFmtId="9" fontId="52" fillId="0" borderId="0" xfId="2" applyFont="1" applyBorder="1"/>
    <xf numFmtId="37" fontId="52" fillId="0" borderId="0" xfId="0" applyNumberFormat="1" applyFont="1"/>
    <xf numFmtId="168" fontId="24" fillId="0" borderId="2" xfId="2" applyNumberFormat="1" applyFont="1" applyBorder="1"/>
    <xf numFmtId="9" fontId="54" fillId="0" borderId="0" xfId="2" applyFont="1" applyBorder="1"/>
    <xf numFmtId="9" fontId="51" fillId="0" borderId="2" xfId="2" applyFont="1" applyBorder="1"/>
    <xf numFmtId="168" fontId="52" fillId="0" borderId="0" xfId="2" applyNumberFormat="1" applyFont="1" applyBorder="1"/>
    <xf numFmtId="167" fontId="16" fillId="0" borderId="2" xfId="0" applyNumberFormat="1" applyFont="1" applyBorder="1"/>
    <xf numFmtId="168" fontId="24" fillId="0" borderId="0" xfId="2" applyNumberFormat="1" applyFont="1" applyBorder="1"/>
    <xf numFmtId="9" fontId="54" fillId="0" borderId="0" xfId="2" applyFont="1" applyFill="1" applyBorder="1"/>
    <xf numFmtId="168" fontId="54" fillId="0" borderId="2" xfId="2" applyNumberFormat="1" applyFont="1" applyBorder="1"/>
    <xf numFmtId="168" fontId="17" fillId="0" borderId="0" xfId="2" applyNumberFormat="1" applyFont="1" applyBorder="1"/>
    <xf numFmtId="9" fontId="17" fillId="0" borderId="0" xfId="2" applyFont="1" applyBorder="1"/>
    <xf numFmtId="166" fontId="24" fillId="0" borderId="0" xfId="3" applyNumberFormat="1" applyFont="1" applyBorder="1" applyAlignment="1">
      <alignment horizontal="right"/>
    </xf>
    <xf numFmtId="0" fontId="52" fillId="0" borderId="0" xfId="0" quotePrefix="1" applyFont="1"/>
    <xf numFmtId="0" fontId="54" fillId="0" borderId="0" xfId="0" quotePrefix="1" applyFont="1"/>
    <xf numFmtId="9" fontId="54" fillId="3" borderId="0" xfId="2" applyFont="1" applyFill="1" applyBorder="1"/>
    <xf numFmtId="173" fontId="12" fillId="3" borderId="0" xfId="0" applyNumberFormat="1" applyFont="1" applyFill="1"/>
    <xf numFmtId="0" fontId="24" fillId="0" borderId="0" xfId="0" quotePrefix="1" applyFont="1"/>
    <xf numFmtId="181" fontId="12" fillId="0" borderId="0" xfId="1" applyNumberFormat="1" applyFont="1"/>
    <xf numFmtId="9" fontId="12" fillId="3" borderId="0" xfId="0" applyNumberFormat="1" applyFont="1" applyFill="1"/>
    <xf numFmtId="9" fontId="12" fillId="0" borderId="0" xfId="0" applyNumberFormat="1" applyFont="1"/>
    <xf numFmtId="9" fontId="12" fillId="0" borderId="0" xfId="2" applyFont="1"/>
    <xf numFmtId="9" fontId="12" fillId="2" borderId="0" xfId="0" applyNumberFormat="1" applyFont="1" applyFill="1"/>
    <xf numFmtId="173" fontId="12" fillId="2" borderId="0" xfId="0" applyNumberFormat="1" applyFont="1" applyFill="1"/>
    <xf numFmtId="173" fontId="16" fillId="0" borderId="3" xfId="0" applyNumberFormat="1" applyFont="1" applyBorder="1"/>
    <xf numFmtId="173" fontId="16" fillId="0" borderId="0" xfId="0" applyNumberFormat="1" applyFont="1"/>
    <xf numFmtId="37" fontId="54" fillId="0" borderId="2" xfId="0" applyNumberFormat="1" applyFont="1" applyBorder="1"/>
    <xf numFmtId="181" fontId="12" fillId="3" borderId="0" xfId="1" applyNumberFormat="1" applyFont="1" applyFill="1"/>
    <xf numFmtId="0" fontId="12" fillId="3" borderId="0" xfId="0" applyFont="1" applyFill="1"/>
    <xf numFmtId="0" fontId="5" fillId="0" borderId="0" xfId="0" quotePrefix="1" applyFont="1"/>
    <xf numFmtId="37" fontId="5" fillId="3" borderId="0" xfId="0" applyNumberFormat="1" applyFont="1" applyFill="1"/>
    <xf numFmtId="9" fontId="5" fillId="0" borderId="0" xfId="2" applyFont="1" applyBorder="1"/>
    <xf numFmtId="168" fontId="24" fillId="0" borderId="0" xfId="2" quotePrefix="1" applyNumberFormat="1" applyFont="1"/>
    <xf numFmtId="174" fontId="16" fillId="0" borderId="0" xfId="0" applyNumberFormat="1" applyFont="1"/>
    <xf numFmtId="43" fontId="0" fillId="0" borderId="0" xfId="1" applyFont="1"/>
    <xf numFmtId="166" fontId="24" fillId="0" borderId="2" xfId="3" applyNumberFormat="1" applyFont="1" applyBorder="1" applyAlignment="1">
      <alignment horizontal="right" vertical="center" wrapText="1"/>
    </xf>
    <xf numFmtId="166" fontId="19" fillId="0" borderId="2" xfId="3" applyNumberFormat="1" applyFont="1" applyBorder="1" applyAlignment="1">
      <alignment horizontal="right" vertical="center" wrapText="1"/>
    </xf>
    <xf numFmtId="37" fontId="24" fillId="2" borderId="2" xfId="0" applyNumberFormat="1" applyFont="1" applyFill="1" applyBorder="1"/>
    <xf numFmtId="37" fontId="12" fillId="3" borderId="0" xfId="3" applyNumberFormat="1" applyFont="1" applyFill="1" applyBorder="1" applyAlignment="1">
      <alignment horizontal="right"/>
    </xf>
    <xf numFmtId="37" fontId="7" fillId="3" borderId="2" xfId="3" applyNumberFormat="1" applyFont="1" applyFill="1" applyBorder="1" applyAlignment="1">
      <alignment horizontal="right"/>
    </xf>
    <xf numFmtId="166" fontId="7" fillId="3" borderId="0" xfId="3" applyNumberFormat="1" applyFont="1" applyFill="1" applyBorder="1" applyAlignment="1">
      <alignment horizontal="right"/>
    </xf>
    <xf numFmtId="37" fontId="10" fillId="3" borderId="0" xfId="3" applyNumberFormat="1" applyFont="1" applyFill="1" applyBorder="1" applyAlignment="1">
      <alignment horizontal="right"/>
    </xf>
    <xf numFmtId="37" fontId="7" fillId="2" borderId="0" xfId="3" applyNumberFormat="1" applyFont="1" applyFill="1" applyBorder="1" applyAlignment="1">
      <alignment horizontal="right"/>
    </xf>
    <xf numFmtId="166" fontId="7" fillId="2" borderId="0" xfId="3" applyNumberFormat="1" applyFont="1" applyFill="1" applyBorder="1" applyAlignment="1">
      <alignment horizontal="right"/>
    </xf>
    <xf numFmtId="37" fontId="10" fillId="2" borderId="0" xfId="3" applyNumberFormat="1" applyFont="1" applyFill="1" applyBorder="1" applyAlignment="1">
      <alignment horizontal="right"/>
    </xf>
    <xf numFmtId="37" fontId="4" fillId="2" borderId="23" xfId="0" applyNumberFormat="1" applyFont="1" applyFill="1" applyBorder="1"/>
    <xf numFmtId="37" fontId="7" fillId="2" borderId="23" xfId="3" applyNumberFormat="1" applyFont="1" applyFill="1" applyBorder="1" applyAlignment="1">
      <alignment horizontal="right"/>
    </xf>
    <xf numFmtId="166" fontId="9" fillId="2" borderId="0" xfId="3" applyNumberFormat="1" applyFont="1" applyFill="1" applyBorder="1" applyAlignment="1">
      <alignment horizontal="right"/>
    </xf>
    <xf numFmtId="166" fontId="10" fillId="2" borderId="0" xfId="3" applyNumberFormat="1" applyFont="1" applyFill="1" applyBorder="1" applyAlignment="1">
      <alignment horizontal="right"/>
    </xf>
    <xf numFmtId="170" fontId="7" fillId="2" borderId="0" xfId="3" applyNumberFormat="1" applyFont="1" applyFill="1" applyBorder="1" applyAlignment="1">
      <alignment horizontal="right"/>
    </xf>
    <xf numFmtId="166" fontId="10" fillId="0" borderId="0" xfId="3" applyNumberFormat="1" applyFont="1" applyFill="1" applyBorder="1" applyAlignment="1">
      <alignment horizontal="right"/>
    </xf>
    <xf numFmtId="37" fontId="10" fillId="0" borderId="1" xfId="3" applyNumberFormat="1" applyFont="1" applyBorder="1" applyAlignment="1">
      <alignment horizontal="right"/>
    </xf>
    <xf numFmtId="43" fontId="7" fillId="2" borderId="0" xfId="1" applyFont="1" applyFill="1" applyBorder="1" applyAlignment="1">
      <alignment horizontal="right"/>
    </xf>
    <xf numFmtId="43" fontId="9" fillId="2" borderId="0" xfId="1" applyFont="1" applyFill="1" applyBorder="1" applyAlignment="1">
      <alignment horizontal="right"/>
    </xf>
    <xf numFmtId="185" fontId="9" fillId="2" borderId="0" xfId="1" applyNumberFormat="1" applyFont="1" applyFill="1" applyBorder="1" applyAlignment="1">
      <alignment horizontal="right"/>
    </xf>
    <xf numFmtId="185" fontId="18" fillId="2" borderId="0" xfId="1" applyNumberFormat="1" applyFont="1" applyFill="1" applyBorder="1" applyAlignment="1">
      <alignment horizontal="right"/>
    </xf>
    <xf numFmtId="168" fontId="9" fillId="2" borderId="0" xfId="2" applyNumberFormat="1" applyFont="1" applyFill="1" applyBorder="1" applyAlignment="1">
      <alignment horizontal="right"/>
    </xf>
    <xf numFmtId="168" fontId="7" fillId="2" borderId="0" xfId="2" applyNumberFormat="1" applyFont="1" applyFill="1" applyBorder="1" applyAlignment="1">
      <alignment horizontal="right"/>
    </xf>
    <xf numFmtId="37" fontId="49" fillId="2" borderId="0" xfId="3" applyNumberFormat="1" applyFont="1" applyFill="1" applyBorder="1" applyAlignment="1">
      <alignment horizontal="right"/>
    </xf>
    <xf numFmtId="37" fontId="9" fillId="2" borderId="1" xfId="3" applyNumberFormat="1" applyFont="1" applyFill="1" applyBorder="1" applyAlignment="1">
      <alignment horizontal="right"/>
    </xf>
    <xf numFmtId="10" fontId="10" fillId="2" borderId="0" xfId="2" applyNumberFormat="1" applyFont="1" applyFill="1" applyBorder="1" applyAlignment="1">
      <alignment horizontal="right"/>
    </xf>
    <xf numFmtId="10" fontId="7" fillId="2" borderId="0" xfId="2" applyNumberFormat="1" applyFont="1" applyFill="1" applyBorder="1" applyAlignment="1">
      <alignment horizontal="right"/>
    </xf>
    <xf numFmtId="10" fontId="9" fillId="2" borderId="0" xfId="2" applyNumberFormat="1" applyFont="1" applyFill="1" applyBorder="1" applyAlignment="1">
      <alignment horizontal="right"/>
    </xf>
    <xf numFmtId="43" fontId="18" fillId="2" borderId="0" xfId="1" applyFont="1" applyFill="1" applyBorder="1" applyAlignment="1">
      <alignment horizontal="right"/>
    </xf>
    <xf numFmtId="43" fontId="9" fillId="2" borderId="1" xfId="1" applyFont="1" applyFill="1" applyBorder="1" applyAlignment="1">
      <alignment horizontal="right"/>
    </xf>
    <xf numFmtId="10" fontId="9" fillId="2" borderId="1" xfId="2" applyNumberFormat="1" applyFont="1" applyFill="1" applyBorder="1" applyAlignment="1">
      <alignment horizontal="right"/>
    </xf>
    <xf numFmtId="10" fontId="18" fillId="2" borderId="0" xfId="2" applyNumberFormat="1" applyFont="1" applyFill="1" applyBorder="1" applyAlignment="1">
      <alignment horizontal="right"/>
    </xf>
    <xf numFmtId="0" fontId="79" fillId="0" borderId="0" xfId="0" applyFont="1"/>
    <xf numFmtId="0" fontId="5" fillId="19" borderId="0" xfId="0" applyFont="1" applyFill="1"/>
    <xf numFmtId="166" fontId="7" fillId="19" borderId="0" xfId="3" applyNumberFormat="1" applyFont="1" applyFill="1" applyBorder="1" applyAlignment="1">
      <alignment horizontal="right"/>
    </xf>
    <xf numFmtId="0" fontId="0" fillId="19" borderId="0" xfId="0" applyFill="1"/>
    <xf numFmtId="0" fontId="8" fillId="13" borderId="0" xfId="0" applyFont="1" applyFill="1"/>
    <xf numFmtId="0" fontId="5" fillId="13" borderId="0" xfId="0" applyFont="1" applyFill="1"/>
    <xf numFmtId="166" fontId="7" fillId="13" borderId="0" xfId="3" applyNumberFormat="1" applyFont="1" applyFill="1" applyBorder="1" applyAlignment="1">
      <alignment horizontal="right"/>
    </xf>
    <xf numFmtId="0" fontId="0" fillId="13" borderId="0" xfId="0" applyFill="1"/>
    <xf numFmtId="37" fontId="7" fillId="2" borderId="2" xfId="3" applyNumberFormat="1" applyFont="1" applyFill="1" applyBorder="1" applyAlignment="1">
      <alignment horizontal="right"/>
    </xf>
    <xf numFmtId="37" fontId="95" fillId="19" borderId="2" xfId="3" applyNumberFormat="1" applyFont="1" applyFill="1" applyBorder="1"/>
    <xf numFmtId="0" fontId="96" fillId="19" borderId="0" xfId="0" applyFont="1" applyFill="1"/>
    <xf numFmtId="0" fontId="97" fillId="19" borderId="0" xfId="0" applyFont="1" applyFill="1"/>
    <xf numFmtId="43" fontId="35" fillId="0" borderId="0" xfId="0" applyNumberFormat="1" applyFont="1"/>
    <xf numFmtId="0" fontId="5" fillId="0" borderId="0" xfId="0" quotePrefix="1" applyFont="1" applyAlignment="1">
      <alignment horizontal="left" indent="1"/>
    </xf>
    <xf numFmtId="181" fontId="3" fillId="0" borderId="0" xfId="1" applyNumberFormat="1" applyFont="1"/>
    <xf numFmtId="181" fontId="59" fillId="0" borderId="0" xfId="0" applyNumberFormat="1" applyFont="1"/>
    <xf numFmtId="181" fontId="16" fillId="0" borderId="0" xfId="1" applyNumberFormat="1" applyFont="1"/>
    <xf numFmtId="181" fontId="16" fillId="0" borderId="0" xfId="0" applyNumberFormat="1" applyFont="1"/>
    <xf numFmtId="43" fontId="16" fillId="0" borderId="0" xfId="0" applyNumberFormat="1" applyFont="1"/>
    <xf numFmtId="43" fontId="16" fillId="0" borderId="0" xfId="1" applyFont="1"/>
    <xf numFmtId="170" fontId="5" fillId="2" borderId="0" xfId="0" applyNumberFormat="1" applyFont="1" applyFill="1"/>
    <xf numFmtId="0" fontId="9" fillId="2" borderId="0" xfId="0" applyFont="1" applyFill="1"/>
    <xf numFmtId="167" fontId="12" fillId="2" borderId="0" xfId="0" applyNumberFormat="1" applyFont="1" applyFill="1"/>
    <xf numFmtId="167" fontId="9" fillId="2" borderId="0" xfId="0" applyNumberFormat="1" applyFont="1" applyFill="1"/>
    <xf numFmtId="167" fontId="4" fillId="2" borderId="0" xfId="0" applyNumberFormat="1" applyFont="1" applyFill="1"/>
    <xf numFmtId="167" fontId="0" fillId="2" borderId="0" xfId="0" applyNumberFormat="1" applyFill="1"/>
    <xf numFmtId="181" fontId="5" fillId="0" borderId="0" xfId="1" applyNumberFormat="1" applyFont="1"/>
    <xf numFmtId="181" fontId="8" fillId="0" borderId="0" xfId="1" applyNumberFormat="1" applyFont="1"/>
    <xf numFmtId="0" fontId="86" fillId="0" borderId="0" xfId="0" applyFont="1" applyAlignment="1">
      <alignment horizontal="left" indent="2"/>
    </xf>
    <xf numFmtId="0" fontId="86" fillId="0" borderId="0" xfId="0" applyFont="1"/>
    <xf numFmtId="181" fontId="9" fillId="0" borderId="0" xfId="1" applyNumberFormat="1" applyFont="1" applyBorder="1"/>
    <xf numFmtId="181" fontId="4" fillId="0" borderId="0" xfId="1" applyNumberFormat="1" applyFont="1" applyBorder="1"/>
    <xf numFmtId="37" fontId="35" fillId="0" borderId="23" xfId="0" applyNumberFormat="1" applyFont="1" applyBorder="1"/>
    <xf numFmtId="170" fontId="48" fillId="0" borderId="0" xfId="0" applyNumberFormat="1" applyFont="1"/>
    <xf numFmtId="37" fontId="49" fillId="0" borderId="23" xfId="0" applyNumberFormat="1" applyFont="1" applyBorder="1"/>
    <xf numFmtId="168" fontId="12" fillId="0" borderId="0" xfId="2" applyNumberFormat="1" applyFont="1"/>
    <xf numFmtId="43" fontId="4" fillId="0" borderId="2" xfId="0" applyNumberFormat="1" applyFont="1" applyBorder="1"/>
    <xf numFmtId="181" fontId="54" fillId="2" borderId="0" xfId="1" applyNumberFormat="1" applyFont="1" applyFill="1" applyBorder="1"/>
    <xf numFmtId="5" fontId="0" fillId="0" borderId="1" xfId="0" applyNumberFormat="1" applyBorder="1"/>
    <xf numFmtId="166" fontId="19" fillId="2" borderId="2" xfId="3" applyNumberFormat="1" applyFont="1" applyFill="1" applyBorder="1" applyAlignment="1">
      <alignment horizontal="right"/>
    </xf>
    <xf numFmtId="0" fontId="0" fillId="2" borderId="0" xfId="0" quotePrefix="1" applyFill="1"/>
    <xf numFmtId="9" fontId="34" fillId="2" borderId="0" xfId="2" applyFont="1" applyFill="1"/>
    <xf numFmtId="0" fontId="0" fillId="2" borderId="2" xfId="0" applyFill="1" applyBorder="1"/>
    <xf numFmtId="0" fontId="0" fillId="2" borderId="1" xfId="0" applyFill="1" applyBorder="1"/>
    <xf numFmtId="43" fontId="0" fillId="2" borderId="0" xfId="1" applyFont="1" applyFill="1"/>
    <xf numFmtId="181" fontId="9" fillId="2" borderId="0" xfId="1" applyNumberFormat="1" applyFont="1" applyFill="1" applyBorder="1" applyAlignment="1">
      <alignment horizontal="right"/>
    </xf>
    <xf numFmtId="181" fontId="49" fillId="2" borderId="0" xfId="1" applyNumberFormat="1" applyFont="1" applyFill="1" applyBorder="1" applyAlignment="1">
      <alignment horizontal="right"/>
    </xf>
    <xf numFmtId="181" fontId="47" fillId="2" borderId="0" xfId="1" applyNumberFormat="1" applyFont="1" applyFill="1" applyBorder="1" applyAlignment="1">
      <alignment horizontal="right"/>
    </xf>
    <xf numFmtId="181" fontId="47" fillId="2" borderId="2" xfId="1" applyNumberFormat="1" applyFont="1" applyFill="1" applyBorder="1" applyAlignment="1">
      <alignment horizontal="right"/>
    </xf>
    <xf numFmtId="181" fontId="9" fillId="2" borderId="1" xfId="1" applyNumberFormat="1" applyFont="1" applyFill="1" applyBorder="1" applyAlignment="1">
      <alignment horizontal="right"/>
    </xf>
    <xf numFmtId="37" fontId="7" fillId="2" borderId="1" xfId="3" applyNumberFormat="1" applyFont="1" applyFill="1" applyBorder="1" applyAlignment="1">
      <alignment horizontal="right"/>
    </xf>
    <xf numFmtId="168" fontId="49" fillId="2" borderId="0" xfId="2" applyNumberFormat="1" applyFont="1" applyFill="1" applyBorder="1" applyAlignment="1">
      <alignment horizontal="right"/>
    </xf>
    <xf numFmtId="168" fontId="47" fillId="2" borderId="0" xfId="2" applyNumberFormat="1" applyFont="1" applyFill="1" applyBorder="1" applyAlignment="1">
      <alignment horizontal="right"/>
    </xf>
    <xf numFmtId="0" fontId="0" fillId="0" borderId="14" xfId="0" applyBorder="1"/>
    <xf numFmtId="10" fontId="0" fillId="0" borderId="1" xfId="0" applyNumberFormat="1" applyBorder="1"/>
    <xf numFmtId="37" fontId="49" fillId="0" borderId="0" xfId="3" applyNumberFormat="1" applyFont="1" applyBorder="1" applyAlignment="1">
      <alignment horizontal="right"/>
    </xf>
    <xf numFmtId="185" fontId="7" fillId="2" borderId="0" xfId="1" applyNumberFormat="1" applyFont="1" applyFill="1" applyBorder="1" applyAlignment="1">
      <alignment horizontal="right"/>
    </xf>
    <xf numFmtId="37" fontId="37" fillId="2" borderId="0" xfId="0" applyNumberFormat="1" applyFont="1" applyFill="1"/>
    <xf numFmtId="168" fontId="48" fillId="2" borderId="0" xfId="0" applyNumberFormat="1" applyFont="1" applyFill="1"/>
    <xf numFmtId="168" fontId="48" fillId="2" borderId="0" xfId="2" applyNumberFormat="1" applyFont="1" applyFill="1"/>
    <xf numFmtId="168" fontId="11" fillId="2" borderId="0" xfId="2" applyNumberFormat="1" applyFont="1" applyFill="1"/>
    <xf numFmtId="181" fontId="59" fillId="0" borderId="0" xfId="1" applyNumberFormat="1" applyFont="1" applyBorder="1"/>
    <xf numFmtId="181" fontId="35" fillId="0" borderId="1" xfId="1" applyNumberFormat="1" applyFont="1" applyBorder="1"/>
    <xf numFmtId="181" fontId="4" fillId="0" borderId="1" xfId="1" applyNumberFormat="1" applyFont="1" applyBorder="1"/>
    <xf numFmtId="168" fontId="33" fillId="2" borderId="0" xfId="0" applyNumberFormat="1" applyFont="1" applyFill="1"/>
    <xf numFmtId="181" fontId="7" fillId="0" borderId="0" xfId="1" applyNumberFormat="1" applyFont="1" applyBorder="1" applyAlignment="1">
      <alignment horizontal="right"/>
    </xf>
    <xf numFmtId="181" fontId="5" fillId="0" borderId="0" xfId="0" applyNumberFormat="1" applyFont="1"/>
    <xf numFmtId="181" fontId="8" fillId="0" borderId="0" xfId="0" applyNumberFormat="1" applyFont="1"/>
    <xf numFmtId="181" fontId="7" fillId="0" borderId="1" xfId="1" applyNumberFormat="1" applyFont="1" applyBorder="1" applyAlignment="1">
      <alignment horizontal="right"/>
    </xf>
    <xf numFmtId="37" fontId="17" fillId="3" borderId="0" xfId="0" applyNumberFormat="1" applyFont="1" applyFill="1"/>
    <xf numFmtId="170" fontId="36" fillId="3" borderId="0" xfId="0" applyNumberFormat="1" applyFont="1" applyFill="1"/>
    <xf numFmtId="170" fontId="40" fillId="3" borderId="0" xfId="0" applyNumberFormat="1" applyFont="1" applyFill="1"/>
    <xf numFmtId="170" fontId="28" fillId="3" borderId="0" xfId="0" applyNumberFormat="1" applyFont="1" applyFill="1"/>
    <xf numFmtId="170" fontId="5" fillId="3" borderId="0" xfId="0" applyNumberFormat="1" applyFont="1" applyFill="1"/>
    <xf numFmtId="167" fontId="34" fillId="3" borderId="0" xfId="0" applyNumberFormat="1" applyFont="1" applyFill="1"/>
    <xf numFmtId="167" fontId="40" fillId="3" borderId="0" xfId="0" applyNumberFormat="1" applyFont="1" applyFill="1"/>
    <xf numFmtId="37" fontId="10" fillId="0" borderId="23" xfId="3" applyNumberFormat="1" applyFont="1" applyBorder="1"/>
    <xf numFmtId="0" fontId="16" fillId="14" borderId="2" xfId="0" applyFont="1" applyFill="1" applyBorder="1"/>
    <xf numFmtId="0" fontId="4" fillId="0" borderId="24" xfId="0" applyFont="1" applyBorder="1"/>
    <xf numFmtId="181" fontId="4" fillId="0" borderId="25" xfId="1" applyNumberFormat="1" applyFont="1" applyBorder="1"/>
    <xf numFmtId="181" fontId="4" fillId="0" borderId="26" xfId="1" applyNumberFormat="1" applyFont="1" applyBorder="1"/>
    <xf numFmtId="37" fontId="49" fillId="3" borderId="0" xfId="0" applyNumberFormat="1" applyFont="1" applyFill="1"/>
    <xf numFmtId="187" fontId="12" fillId="0" borderId="0" xfId="0" applyNumberFormat="1" applyFont="1" applyAlignment="1">
      <alignment horizontal="right"/>
    </xf>
    <xf numFmtId="188" fontId="12" fillId="0" borderId="0" xfId="0" applyNumberFormat="1" applyFont="1" applyAlignment="1">
      <alignment horizontal="right"/>
    </xf>
    <xf numFmtId="189" fontId="12" fillId="0" borderId="0" xfId="1" applyNumberFormat="1" applyFont="1" applyAlignment="1">
      <alignment horizontal="right"/>
    </xf>
    <xf numFmtId="37" fontId="24" fillId="2" borderId="0" xfId="12" applyNumberFormat="1" applyFont="1" applyFill="1" applyBorder="1"/>
    <xf numFmtId="168" fontId="24" fillId="11" borderId="0" xfId="12" applyNumberFormat="1" applyFont="1" applyFill="1" applyBorder="1"/>
    <xf numFmtId="181" fontId="27" fillId="0" borderId="0" xfId="1" applyNumberFormat="1" applyFont="1"/>
    <xf numFmtId="181" fontId="17" fillId="0" borderId="0" xfId="0" applyNumberFormat="1" applyFont="1"/>
    <xf numFmtId="168" fontId="17" fillId="0" borderId="0" xfId="2" applyNumberFormat="1" applyFont="1"/>
    <xf numFmtId="168" fontId="56" fillId="0" borderId="0" xfId="2" applyNumberFormat="1" applyFont="1"/>
    <xf numFmtId="37" fontId="8" fillId="3" borderId="0" xfId="0" applyNumberFormat="1" applyFont="1" applyFill="1"/>
    <xf numFmtId="173" fontId="0" fillId="3" borderId="0" xfId="0" applyNumberFormat="1" applyFill="1"/>
    <xf numFmtId="173" fontId="4" fillId="3" borderId="0" xfId="0" applyNumberFormat="1" applyFont="1" applyFill="1"/>
    <xf numFmtId="181" fontId="59" fillId="0" borderId="1" xfId="1" applyNumberFormat="1" applyFont="1" applyBorder="1"/>
    <xf numFmtId="167" fontId="49" fillId="2" borderId="0" xfId="0" applyNumberFormat="1" applyFont="1" applyFill="1"/>
    <xf numFmtId="167" fontId="0" fillId="3" borderId="0" xfId="0" applyNumberFormat="1" applyFill="1"/>
    <xf numFmtId="167" fontId="4" fillId="3" borderId="0" xfId="0" applyNumberFormat="1" applyFont="1" applyFill="1"/>
    <xf numFmtId="167" fontId="12" fillId="3" borderId="0" xfId="0" applyNumberFormat="1" applyFont="1" applyFill="1"/>
    <xf numFmtId="167" fontId="9" fillId="3" borderId="0" xfId="0" applyNumberFormat="1" applyFont="1" applyFill="1"/>
    <xf numFmtId="170" fontId="48" fillId="3" borderId="0" xfId="0" applyNumberFormat="1" applyFont="1" applyFill="1"/>
    <xf numFmtId="170" fontId="46" fillId="3" borderId="0" xfId="0" applyNumberFormat="1" applyFont="1" applyFill="1"/>
    <xf numFmtId="181" fontId="49" fillId="0" borderId="0" xfId="1" applyNumberFormat="1" applyFont="1" applyBorder="1"/>
    <xf numFmtId="181" fontId="47" fillId="0" borderId="0" xfId="1" applyNumberFormat="1" applyFont="1" applyBorder="1"/>
    <xf numFmtId="168" fontId="48" fillId="0" borderId="0" xfId="0" applyNumberFormat="1" applyFont="1"/>
    <xf numFmtId="181" fontId="47" fillId="0" borderId="1" xfId="1" applyNumberFormat="1" applyFont="1" applyBorder="1"/>
    <xf numFmtId="37" fontId="27" fillId="0" borderId="0" xfId="0" applyNumberFormat="1" applyFont="1"/>
    <xf numFmtId="167" fontId="36" fillId="0" borderId="0" xfId="0" applyNumberFormat="1" applyFont="1"/>
    <xf numFmtId="167" fontId="46" fillId="0" borderId="0" xfId="0" applyNumberFormat="1" applyFont="1"/>
    <xf numFmtId="181" fontId="9" fillId="0" borderId="1" xfId="1" applyNumberFormat="1" applyFont="1" applyBorder="1"/>
    <xf numFmtId="0" fontId="56" fillId="0" borderId="0" xfId="4" applyFont="1"/>
    <xf numFmtId="43" fontId="17" fillId="0" borderId="0" xfId="1" applyFont="1"/>
    <xf numFmtId="43" fontId="17" fillId="0" borderId="0" xfId="0" applyNumberFormat="1" applyFont="1"/>
    <xf numFmtId="181" fontId="35" fillId="0" borderId="0" xfId="1" applyNumberFormat="1" applyFont="1"/>
    <xf numFmtId="181" fontId="27" fillId="2" borderId="0" xfId="1" applyNumberFormat="1" applyFont="1" applyFill="1" applyBorder="1"/>
    <xf numFmtId="168" fontId="11" fillId="0" borderId="0" xfId="2" applyNumberFormat="1" applyFont="1"/>
    <xf numFmtId="43" fontId="11" fillId="0" borderId="0" xfId="1" applyFont="1"/>
    <xf numFmtId="43" fontId="11" fillId="0" borderId="0" xfId="0" applyNumberFormat="1" applyFont="1"/>
    <xf numFmtId="37" fontId="5" fillId="2" borderId="0" xfId="0" quotePrefix="1" applyNumberFormat="1" applyFont="1" applyFill="1" applyAlignment="1">
      <alignment horizontal="left"/>
    </xf>
    <xf numFmtId="169" fontId="5" fillId="2" borderId="0" xfId="0" applyNumberFormat="1" applyFont="1" applyFill="1" applyAlignment="1">
      <alignment horizontal="left"/>
    </xf>
    <xf numFmtId="168" fontId="34" fillId="0" borderId="0" xfId="2" applyNumberFormat="1" applyFont="1"/>
    <xf numFmtId="168" fontId="40" fillId="0" borderId="0" xfId="2" applyNumberFormat="1" applyFont="1"/>
    <xf numFmtId="0" fontId="5" fillId="6" borderId="0" xfId="0" quotePrefix="1" applyFont="1" applyFill="1"/>
    <xf numFmtId="0" fontId="8" fillId="6" borderId="0" xfId="0" quotePrefix="1" applyFont="1" applyFill="1"/>
    <xf numFmtId="181" fontId="9" fillId="0" borderId="0" xfId="1" applyNumberFormat="1" applyFont="1" applyBorder="1" applyAlignment="1">
      <alignment horizontal="right"/>
    </xf>
    <xf numFmtId="181" fontId="9" fillId="0" borderId="1" xfId="1" applyNumberFormat="1" applyFont="1" applyBorder="1" applyAlignment="1">
      <alignment horizontal="right"/>
    </xf>
    <xf numFmtId="181" fontId="9" fillId="0" borderId="0" xfId="1" applyNumberFormat="1" applyFont="1" applyFill="1" applyBorder="1" applyAlignment="1">
      <alignment horizontal="right"/>
    </xf>
    <xf numFmtId="181" fontId="9" fillId="0" borderId="1" xfId="1" applyNumberFormat="1" applyFont="1" applyFill="1" applyBorder="1" applyAlignment="1">
      <alignment horizontal="right"/>
    </xf>
    <xf numFmtId="181" fontId="18" fillId="0" borderId="0" xfId="1" applyNumberFormat="1" applyFont="1" applyBorder="1" applyAlignment="1">
      <alignment horizontal="right"/>
    </xf>
    <xf numFmtId="181" fontId="18" fillId="0" borderId="0" xfId="1" applyNumberFormat="1" applyFont="1"/>
    <xf numFmtId="181" fontId="9" fillId="0" borderId="2" xfId="1" applyNumberFormat="1" applyFont="1" applyBorder="1"/>
    <xf numFmtId="185" fontId="0" fillId="0" borderId="0" xfId="0" applyNumberFormat="1"/>
    <xf numFmtId="190" fontId="12" fillId="0" borderId="0" xfId="0" applyNumberFormat="1" applyFont="1" applyAlignment="1">
      <alignment horizontal="right"/>
    </xf>
    <xf numFmtId="191" fontId="12" fillId="0" borderId="0" xfId="1" applyNumberFormat="1" applyFont="1" applyAlignment="1">
      <alignment horizontal="right"/>
    </xf>
    <xf numFmtId="192" fontId="12" fillId="0" borderId="0" xfId="0" applyNumberFormat="1" applyFont="1" applyAlignment="1">
      <alignment horizontal="right"/>
    </xf>
    <xf numFmtId="181" fontId="12" fillId="6" borderId="0" xfId="1" applyNumberFormat="1" applyFont="1" applyFill="1"/>
    <xf numFmtId="170" fontId="82" fillId="7" borderId="2" xfId="3" applyNumberFormat="1" applyFont="1" applyFill="1" applyBorder="1"/>
    <xf numFmtId="0" fontId="12" fillId="2" borderId="0" xfId="0" applyFont="1" applyFill="1"/>
    <xf numFmtId="177" fontId="36" fillId="0" borderId="0" xfId="0" applyNumberFormat="1" applyFont="1"/>
    <xf numFmtId="168" fontId="36" fillId="0" borderId="0" xfId="2" applyNumberFormat="1" applyFont="1"/>
    <xf numFmtId="167" fontId="35" fillId="3" borderId="0" xfId="0" applyNumberFormat="1" applyFont="1" applyFill="1"/>
    <xf numFmtId="167" fontId="49" fillId="3" borderId="0" xfId="0" applyNumberFormat="1" applyFont="1" applyFill="1"/>
    <xf numFmtId="170" fontId="41" fillId="3" borderId="0" xfId="0" applyNumberFormat="1" applyFont="1" applyFill="1"/>
    <xf numFmtId="171" fontId="27" fillId="2" borderId="0" xfId="0" applyNumberFormat="1" applyFont="1" applyFill="1"/>
    <xf numFmtId="37" fontId="27" fillId="2" borderId="0" xfId="0" applyNumberFormat="1" applyFont="1" applyFill="1"/>
    <xf numFmtId="37" fontId="5" fillId="3" borderId="0" xfId="0" applyNumberFormat="1" applyFont="1" applyFill="1" applyAlignment="1">
      <alignment horizontal="left"/>
    </xf>
    <xf numFmtId="37" fontId="8" fillId="3" borderId="0" xfId="0" applyNumberFormat="1" applyFont="1" applyFill="1" applyAlignment="1">
      <alignment horizontal="left"/>
    </xf>
    <xf numFmtId="37" fontId="0" fillId="3" borderId="1" xfId="0" applyNumberFormat="1" applyFill="1" applyBorder="1"/>
    <xf numFmtId="170" fontId="5" fillId="3" borderId="1" xfId="0" applyNumberFormat="1" applyFont="1" applyFill="1" applyBorder="1"/>
    <xf numFmtId="170" fontId="8" fillId="3" borderId="0" xfId="0" applyNumberFormat="1" applyFont="1" applyFill="1"/>
    <xf numFmtId="10" fontId="34" fillId="0" borderId="0" xfId="0" applyNumberFormat="1" applyFont="1"/>
    <xf numFmtId="37" fontId="99" fillId="0" borderId="5" xfId="3" applyNumberFormat="1" applyFont="1" applyBorder="1"/>
    <xf numFmtId="37" fontId="11" fillId="0" borderId="0" xfId="0" applyNumberFormat="1" applyFont="1"/>
    <xf numFmtId="181" fontId="11" fillId="0" borderId="0" xfId="0" applyNumberFormat="1" applyFont="1"/>
    <xf numFmtId="0" fontId="8" fillId="2" borderId="0" xfId="0" applyFont="1" applyFill="1"/>
    <xf numFmtId="170" fontId="4" fillId="2" borderId="0" xfId="0" applyNumberFormat="1" applyFont="1" applyFill="1"/>
    <xf numFmtId="170" fontId="27" fillId="2" borderId="0" xfId="0" applyNumberFormat="1" applyFont="1" applyFill="1"/>
    <xf numFmtId="171" fontId="22" fillId="5" borderId="2" xfId="0" applyNumberFormat="1" applyFont="1" applyFill="1" applyBorder="1"/>
    <xf numFmtId="37" fontId="100" fillId="0" borderId="0" xfId="0" applyNumberFormat="1" applyFont="1"/>
    <xf numFmtId="9" fontId="40" fillId="0" borderId="0" xfId="0" applyNumberFormat="1" applyFont="1"/>
    <xf numFmtId="171" fontId="22" fillId="2" borderId="0" xfId="0" applyNumberFormat="1" applyFont="1" applyFill="1"/>
    <xf numFmtId="0" fontId="4" fillId="0" borderId="23" xfId="0" applyFont="1" applyBorder="1"/>
    <xf numFmtId="9" fontId="4" fillId="0" borderId="0" xfId="0" applyNumberFormat="1" applyFont="1"/>
    <xf numFmtId="0" fontId="40" fillId="0" borderId="0" xfId="0" applyFont="1" applyAlignment="1">
      <alignment horizontal="right"/>
    </xf>
    <xf numFmtId="181" fontId="28" fillId="2" borderId="0" xfId="1" applyNumberFormat="1" applyFont="1" applyFill="1" applyBorder="1"/>
    <xf numFmtId="37" fontId="5" fillId="2" borderId="1" xfId="0" applyNumberFormat="1" applyFont="1" applyFill="1" applyBorder="1"/>
    <xf numFmtId="167" fontId="47" fillId="2" borderId="0" xfId="0" applyNumberFormat="1" applyFont="1" applyFill="1"/>
    <xf numFmtId="37" fontId="8" fillId="2" borderId="1" xfId="0" applyNumberFormat="1" applyFont="1" applyFill="1" applyBorder="1"/>
    <xf numFmtId="37" fontId="47" fillId="2" borderId="0" xfId="0" applyNumberFormat="1" applyFont="1" applyFill="1"/>
    <xf numFmtId="167" fontId="49" fillId="0" borderId="0" xfId="0" applyNumberFormat="1" applyFont="1"/>
    <xf numFmtId="167" fontId="47" fillId="0" borderId="0" xfId="0" applyNumberFormat="1" applyFont="1"/>
    <xf numFmtId="170" fontId="28" fillId="0" borderId="0" xfId="0" applyNumberFormat="1" applyFont="1"/>
    <xf numFmtId="165" fontId="49" fillId="6" borderId="1" xfId="3" applyFont="1" applyFill="1" applyBorder="1"/>
    <xf numFmtId="181" fontId="5" fillId="2" borderId="0" xfId="1" applyNumberFormat="1" applyFont="1" applyFill="1"/>
    <xf numFmtId="168" fontId="9" fillId="2" borderId="0" xfId="3" applyNumberFormat="1" applyFont="1" applyFill="1" applyBorder="1" applyAlignment="1">
      <alignment horizontal="right"/>
    </xf>
    <xf numFmtId="193" fontId="0" fillId="0" borderId="0" xfId="0" applyNumberFormat="1"/>
    <xf numFmtId="43" fontId="4" fillId="0" borderId="0" xfId="0" applyNumberFormat="1" applyFont="1"/>
    <xf numFmtId="10" fontId="0" fillId="0" borderId="1" xfId="2" applyNumberFormat="1" applyFont="1" applyBorder="1"/>
    <xf numFmtId="43" fontId="9" fillId="0" borderId="0" xfId="1" applyFont="1"/>
    <xf numFmtId="43" fontId="0" fillId="0" borderId="1" xfId="1" applyFont="1" applyBorder="1"/>
    <xf numFmtId="43" fontId="4" fillId="0" borderId="0" xfId="1" applyFont="1"/>
    <xf numFmtId="185" fontId="3" fillId="0" borderId="0" xfId="1" applyNumberFormat="1" applyFont="1"/>
    <xf numFmtId="168" fontId="3" fillId="0" borderId="0" xfId="2" applyNumberFormat="1" applyFont="1"/>
    <xf numFmtId="10" fontId="3" fillId="0" borderId="0" xfId="2" applyNumberFormat="1" applyFont="1"/>
    <xf numFmtId="37" fontId="47" fillId="0" borderId="0" xfId="3" applyNumberFormat="1" applyFont="1" applyBorder="1" applyAlignment="1">
      <alignment horizontal="right"/>
    </xf>
    <xf numFmtId="181" fontId="29" fillId="0" borderId="0" xfId="1" applyNumberFormat="1" applyFont="1"/>
    <xf numFmtId="166" fontId="29" fillId="0" borderId="1" xfId="3" applyNumberFormat="1" applyFont="1" applyBorder="1" applyAlignment="1">
      <alignment horizontal="right"/>
    </xf>
    <xf numFmtId="177" fontId="37" fillId="0" borderId="0" xfId="0" applyNumberFormat="1" applyFont="1"/>
    <xf numFmtId="177" fontId="40" fillId="0" borderId="0" xfId="0" applyNumberFormat="1" applyFont="1"/>
    <xf numFmtId="10" fontId="54" fillId="2" borderId="0" xfId="2" applyNumberFormat="1" applyFont="1" applyFill="1" applyBorder="1"/>
    <xf numFmtId="181" fontId="9" fillId="2" borderId="0" xfId="1" applyNumberFormat="1" applyFont="1" applyFill="1"/>
    <xf numFmtId="9" fontId="34" fillId="0" borderId="0" xfId="2" applyFont="1"/>
    <xf numFmtId="181" fontId="49" fillId="0" borderId="0" xfId="1" applyNumberFormat="1" applyFont="1" applyFill="1" applyBorder="1" applyAlignment="1">
      <alignment horizontal="right"/>
    </xf>
    <xf numFmtId="10" fontId="9" fillId="2" borderId="0" xfId="0" applyNumberFormat="1" applyFont="1" applyFill="1"/>
    <xf numFmtId="0" fontId="101" fillId="2" borderId="0" xfId="22" applyFont="1" applyFill="1"/>
    <xf numFmtId="181" fontId="101" fillId="2" borderId="0" xfId="1" applyNumberFormat="1" applyFont="1" applyFill="1"/>
    <xf numFmtId="168" fontId="12" fillId="0" borderId="1" xfId="2" applyNumberFormat="1" applyFont="1" applyBorder="1"/>
    <xf numFmtId="181" fontId="47" fillId="0" borderId="0" xfId="1" applyNumberFormat="1" applyFont="1"/>
    <xf numFmtId="181" fontId="0" fillId="0" borderId="3" xfId="1" applyNumberFormat="1" applyFont="1" applyBorder="1"/>
    <xf numFmtId="177" fontId="48" fillId="0" borderId="0" xfId="0" applyNumberFormat="1" applyFont="1"/>
    <xf numFmtId="43" fontId="4" fillId="0" borderId="3" xfId="0" applyNumberFormat="1" applyFont="1" applyBorder="1"/>
    <xf numFmtId="43" fontId="4" fillId="0" borderId="23" xfId="0" applyNumberFormat="1" applyFont="1" applyBorder="1"/>
    <xf numFmtId="181" fontId="4" fillId="0" borderId="3" xfId="0" applyNumberFormat="1" applyFont="1" applyBorder="1"/>
    <xf numFmtId="181" fontId="4" fillId="0" borderId="3" xfId="1" applyNumberFormat="1" applyFont="1" applyBorder="1"/>
    <xf numFmtId="181" fontId="34" fillId="0" borderId="0" xfId="1" applyNumberFormat="1" applyFont="1"/>
    <xf numFmtId="37" fontId="7" fillId="0" borderId="23" xfId="3" applyNumberFormat="1" applyFont="1" applyBorder="1"/>
    <xf numFmtId="37" fontId="4" fillId="3" borderId="23" xfId="0" applyNumberFormat="1" applyFont="1" applyFill="1" applyBorder="1"/>
    <xf numFmtId="9" fontId="12" fillId="6" borderId="0" xfId="2" applyFont="1" applyFill="1"/>
    <xf numFmtId="0" fontId="16" fillId="20" borderId="2" xfId="0" applyFont="1" applyFill="1" applyBorder="1" applyAlignment="1">
      <alignment horizontal="left"/>
    </xf>
    <xf numFmtId="0" fontId="16" fillId="14" borderId="2" xfId="0" applyFont="1" applyFill="1" applyBorder="1" applyAlignment="1">
      <alignment horizontal="right"/>
    </xf>
    <xf numFmtId="37" fontId="20" fillId="2" borderId="0" xfId="0" applyNumberFormat="1" applyFont="1" applyFill="1"/>
    <xf numFmtId="49" fontId="19" fillId="2" borderId="2" xfId="0" applyNumberFormat="1" applyFont="1" applyFill="1" applyBorder="1" applyAlignment="1">
      <alignment horizontal="right"/>
    </xf>
    <xf numFmtId="37" fontId="20" fillId="2" borderId="2" xfId="0" applyNumberFormat="1" applyFont="1" applyFill="1" applyBorder="1"/>
    <xf numFmtId="37" fontId="26" fillId="2" borderId="0" xfId="0" applyNumberFormat="1" applyFont="1" applyFill="1"/>
    <xf numFmtId="168" fontId="26" fillId="2" borderId="0" xfId="2" applyNumberFormat="1" applyFont="1" applyFill="1"/>
    <xf numFmtId="37" fontId="20" fillId="2" borderId="1" xfId="0" applyNumberFormat="1" applyFont="1" applyFill="1" applyBorder="1"/>
    <xf numFmtId="43" fontId="20" fillId="2" borderId="0" xfId="1" applyFont="1" applyFill="1"/>
    <xf numFmtId="168" fontId="41" fillId="6" borderId="0" xfId="2" applyNumberFormat="1" applyFont="1" applyFill="1" applyAlignment="1">
      <alignment horizontal="right"/>
    </xf>
    <xf numFmtId="49" fontId="24" fillId="2" borderId="2" xfId="0" applyNumberFormat="1" applyFont="1" applyFill="1" applyBorder="1" applyAlignment="1">
      <alignment horizontal="right"/>
    </xf>
    <xf numFmtId="0" fontId="16" fillId="0" borderId="2" xfId="0" quotePrefix="1" applyFont="1" applyBorder="1"/>
    <xf numFmtId="37" fontId="9" fillId="0" borderId="0" xfId="3" applyNumberFormat="1" applyFont="1" applyFill="1" applyBorder="1" applyAlignment="1">
      <alignment horizontal="right"/>
    </xf>
    <xf numFmtId="181" fontId="49" fillId="0" borderId="1" xfId="1" applyNumberFormat="1" applyFont="1" applyFill="1" applyBorder="1" applyAlignment="1">
      <alignment horizontal="right"/>
    </xf>
    <xf numFmtId="168" fontId="33" fillId="0" borderId="0" xfId="2" applyNumberFormat="1" applyFont="1"/>
    <xf numFmtId="181" fontId="12" fillId="0" borderId="2" xfId="0" applyNumberFormat="1" applyFont="1" applyBorder="1"/>
    <xf numFmtId="0" fontId="16" fillId="0" borderId="1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quotePrefix="1" applyFont="1" applyAlignment="1">
      <alignment horizontal="center"/>
    </xf>
    <xf numFmtId="9" fontId="12" fillId="0" borderId="0" xfId="0" applyNumberFormat="1" applyFont="1" applyAlignment="1">
      <alignment horizontal="center"/>
    </xf>
    <xf numFmtId="9" fontId="12" fillId="0" borderId="0" xfId="0" quotePrefix="1" applyNumberFormat="1" applyFont="1" applyAlignment="1">
      <alignment horizontal="center"/>
    </xf>
    <xf numFmtId="37" fontId="9" fillId="0" borderId="0" xfId="3" applyNumberFormat="1" applyFont="1" applyBorder="1"/>
    <xf numFmtId="172" fontId="9" fillId="0" borderId="0" xfId="3" applyNumberFormat="1" applyFont="1" applyFill="1" applyBorder="1"/>
    <xf numFmtId="37" fontId="9" fillId="0" borderId="27" xfId="3" applyNumberFormat="1" applyFont="1" applyBorder="1"/>
    <xf numFmtId="10" fontId="0" fillId="2" borderId="0" xfId="0" applyNumberFormat="1" applyFill="1"/>
    <xf numFmtId="168" fontId="54" fillId="11" borderId="0" xfId="12" applyNumberFormat="1" applyFont="1" applyFill="1" applyBorder="1" applyAlignment="1">
      <alignment horizontal="right"/>
    </xf>
    <xf numFmtId="7" fontId="0" fillId="2" borderId="0" xfId="1" applyNumberFormat="1" applyFont="1" applyFill="1"/>
    <xf numFmtId="7" fontId="54" fillId="2" borderId="0" xfId="1" applyNumberFormat="1" applyFont="1" applyFill="1" applyBorder="1"/>
    <xf numFmtId="7" fontId="0" fillId="2" borderId="0" xfId="0" applyNumberFormat="1" applyFill="1"/>
    <xf numFmtId="37" fontId="3" fillId="0" borderId="0" xfId="3" applyNumberFormat="1" applyFont="1" applyBorder="1" applyAlignment="1">
      <alignment horizontal="right"/>
    </xf>
    <xf numFmtId="37" fontId="3" fillId="2" borderId="0" xfId="3" applyNumberFormat="1" applyFont="1" applyFill="1" applyBorder="1" applyAlignment="1">
      <alignment horizontal="right"/>
    </xf>
    <xf numFmtId="166" fontId="7" fillId="0" borderId="23" xfId="3" applyNumberFormat="1" applyFont="1" applyBorder="1" applyAlignment="1">
      <alignment horizontal="right"/>
    </xf>
    <xf numFmtId="37" fontId="16" fillId="0" borderId="23" xfId="3" applyNumberFormat="1" applyFont="1" applyBorder="1" applyAlignment="1">
      <alignment horizontal="right"/>
    </xf>
    <xf numFmtId="37" fontId="9" fillId="0" borderId="1" xfId="3" applyNumberFormat="1" applyFont="1" applyFill="1" applyBorder="1" applyAlignment="1">
      <alignment horizontal="right"/>
    </xf>
    <xf numFmtId="10" fontId="18" fillId="0" borderId="0" xfId="2" applyNumberFormat="1" applyFont="1" applyFill="1" applyBorder="1" applyAlignment="1">
      <alignment horizontal="right"/>
    </xf>
    <xf numFmtId="43" fontId="18" fillId="0" borderId="0" xfId="1" applyFont="1" applyFill="1" applyBorder="1" applyAlignment="1">
      <alignment horizontal="right"/>
    </xf>
    <xf numFmtId="181" fontId="9" fillId="3" borderId="0" xfId="1" applyNumberFormat="1" applyFont="1" applyFill="1"/>
    <xf numFmtId="9" fontId="5" fillId="0" borderId="0" xfId="2" applyFont="1"/>
    <xf numFmtId="167" fontId="40" fillId="2" borderId="0" xfId="0" applyNumberFormat="1" applyFont="1" applyFill="1"/>
    <xf numFmtId="167" fontId="34" fillId="2" borderId="0" xfId="0" applyNumberFormat="1" applyFont="1" applyFill="1"/>
    <xf numFmtId="168" fontId="4" fillId="2" borderId="0" xfId="2" applyNumberFormat="1" applyFont="1" applyFill="1"/>
    <xf numFmtId="168" fontId="35" fillId="0" borderId="0" xfId="2" applyNumberFormat="1" applyFont="1"/>
    <xf numFmtId="168" fontId="4" fillId="0" borderId="0" xfId="0" applyNumberFormat="1" applyFont="1"/>
    <xf numFmtId="0" fontId="49" fillId="0" borderId="0" xfId="0" quotePrefix="1" applyFont="1"/>
    <xf numFmtId="168" fontId="5" fillId="0" borderId="0" xfId="2" applyNumberFormat="1" applyFont="1"/>
    <xf numFmtId="168" fontId="8" fillId="0" borderId="0" xfId="2" applyNumberFormat="1" applyFont="1"/>
    <xf numFmtId="37" fontId="24" fillId="2" borderId="23" xfId="19" applyNumberFormat="1" applyFont="1" applyFill="1" applyBorder="1" applyAlignment="1">
      <alignment horizontal="center"/>
    </xf>
    <xf numFmtId="181" fontId="4" fillId="2" borderId="0" xfId="1" applyNumberFormat="1" applyFont="1" applyFill="1"/>
    <xf numFmtId="0" fontId="102" fillId="9" borderId="2" xfId="0" applyFont="1" applyFill="1" applyBorder="1"/>
    <xf numFmtId="0" fontId="0" fillId="9" borderId="0" xfId="0" quotePrefix="1" applyFill="1"/>
    <xf numFmtId="0" fontId="0" fillId="9" borderId="0" xfId="0" applyFill="1"/>
    <xf numFmtId="0" fontId="102" fillId="9" borderId="0" xfId="0" applyFont="1" applyFill="1"/>
    <xf numFmtId="0" fontId="103" fillId="9" borderId="0" xfId="0" quotePrefix="1" applyFont="1" applyFill="1"/>
    <xf numFmtId="0" fontId="104" fillId="9" borderId="0" xfId="0" quotePrefix="1" applyFont="1" applyFill="1"/>
    <xf numFmtId="0" fontId="104" fillId="9" borderId="0" xfId="0" applyFont="1" applyFill="1"/>
    <xf numFmtId="0" fontId="105" fillId="9" borderId="0" xfId="0" applyFont="1" applyFill="1"/>
    <xf numFmtId="0" fontId="105" fillId="9" borderId="0" xfId="0" quotePrefix="1" applyFont="1" applyFill="1"/>
    <xf numFmtId="0" fontId="4" fillId="9" borderId="0" xfId="0" quotePrefix="1" applyFont="1" applyFill="1"/>
    <xf numFmtId="181" fontId="0" fillId="9" borderId="1" xfId="1" applyNumberFormat="1" applyFont="1" applyFill="1" applyBorder="1"/>
    <xf numFmtId="0" fontId="4" fillId="9" borderId="0" xfId="0" applyFont="1" applyFill="1"/>
    <xf numFmtId="0" fontId="12" fillId="9" borderId="0" xfId="0" quotePrefix="1" applyFont="1" applyFill="1"/>
    <xf numFmtId="0" fontId="16" fillId="9" borderId="0" xfId="0" quotePrefix="1" applyFont="1" applyFill="1"/>
    <xf numFmtId="181" fontId="16" fillId="0" borderId="3" xfId="1" applyNumberFormat="1" applyFont="1" applyBorder="1"/>
    <xf numFmtId="181" fontId="0" fillId="0" borderId="0" xfId="1" applyNumberFormat="1" applyFont="1" applyBorder="1"/>
    <xf numFmtId="0" fontId="34" fillId="9" borderId="0" xfId="0" applyFont="1" applyFill="1"/>
    <xf numFmtId="174" fontId="47" fillId="9" borderId="0" xfId="0" applyNumberFormat="1" applyFont="1" applyFill="1"/>
    <xf numFmtId="43" fontId="16" fillId="0" borderId="3" xfId="0" applyNumberFormat="1" applyFont="1" applyBorder="1"/>
    <xf numFmtId="0" fontId="104" fillId="9" borderId="2" xfId="0" quotePrefix="1" applyFont="1" applyFill="1" applyBorder="1"/>
    <xf numFmtId="181" fontId="12" fillId="0" borderId="2" xfId="1" applyNumberFormat="1" applyFont="1" applyBorder="1"/>
    <xf numFmtId="0" fontId="104" fillId="9" borderId="1" xfId="0" quotePrefix="1" applyFont="1" applyFill="1" applyBorder="1"/>
    <xf numFmtId="0" fontId="4" fillId="21" borderId="0" xfId="0" applyFont="1" applyFill="1"/>
    <xf numFmtId="181" fontId="0" fillId="21" borderId="0" xfId="1" applyNumberFormat="1" applyFont="1" applyFill="1"/>
    <xf numFmtId="174" fontId="48" fillId="9" borderId="0" xfId="0" applyNumberFormat="1" applyFont="1" applyFill="1"/>
    <xf numFmtId="174" fontId="49" fillId="9" borderId="1" xfId="0" applyNumberFormat="1" applyFont="1" applyFill="1" applyBorder="1"/>
    <xf numFmtId="174" fontId="12" fillId="9" borderId="1" xfId="0" applyNumberFormat="1" applyFont="1" applyFill="1" applyBorder="1"/>
    <xf numFmtId="9" fontId="16" fillId="0" borderId="0" xfId="2" applyFont="1"/>
    <xf numFmtId="0" fontId="12" fillId="9" borderId="2" xfId="0" quotePrefix="1" applyFont="1" applyFill="1" applyBorder="1"/>
    <xf numFmtId="0" fontId="105" fillId="9" borderId="2" xfId="0" applyFont="1" applyFill="1" applyBorder="1"/>
    <xf numFmtId="0" fontId="12" fillId="9" borderId="1" xfId="0" quotePrefix="1" applyFont="1" applyFill="1" applyBorder="1"/>
    <xf numFmtId="9" fontId="16" fillId="0" borderId="3" xfId="2" applyFont="1" applyBorder="1"/>
    <xf numFmtId="0" fontId="106" fillId="9" borderId="0" xfId="0" quotePrefix="1" applyFont="1" applyFill="1"/>
    <xf numFmtId="181" fontId="41" fillId="0" borderId="0" xfId="1" applyNumberFormat="1" applyFont="1" applyBorder="1"/>
    <xf numFmtId="0" fontId="102" fillId="9" borderId="2" xfId="0" applyFont="1" applyFill="1" applyBorder="1" applyAlignment="1">
      <alignment horizontal="right"/>
    </xf>
    <xf numFmtId="181" fontId="4" fillId="0" borderId="23" xfId="1" applyNumberFormat="1" applyFont="1" applyBorder="1"/>
    <xf numFmtId="185" fontId="18" fillId="0" borderId="0" xfId="1" applyNumberFormat="1" applyFont="1"/>
    <xf numFmtId="185" fontId="49" fillId="2" borderId="0" xfId="1" applyNumberFormat="1" applyFont="1" applyFill="1" applyBorder="1" applyAlignment="1">
      <alignment horizontal="right"/>
    </xf>
    <xf numFmtId="37" fontId="32" fillId="0" borderId="0" xfId="0" applyNumberFormat="1" applyFont="1"/>
    <xf numFmtId="170" fontId="46" fillId="0" borderId="0" xfId="0" applyNumberFormat="1" applyFont="1"/>
    <xf numFmtId="170" fontId="89" fillId="2" borderId="0" xfId="0" applyNumberFormat="1" applyFont="1" applyFill="1"/>
    <xf numFmtId="170" fontId="48" fillId="2" borderId="0" xfId="0" applyNumberFormat="1" applyFont="1" applyFill="1"/>
    <xf numFmtId="0" fontId="107" fillId="0" borderId="0" xfId="27"/>
    <xf numFmtId="0" fontId="108" fillId="0" borderId="0" xfId="27" applyFont="1"/>
    <xf numFmtId="0" fontId="107" fillId="0" borderId="0" xfId="27" applyAlignment="1">
      <alignment horizontal="left"/>
    </xf>
    <xf numFmtId="195" fontId="107" fillId="0" borderId="0" xfId="27" applyNumberFormat="1" applyAlignment="1">
      <alignment horizontal="right"/>
    </xf>
    <xf numFmtId="0" fontId="109" fillId="22" borderId="0" xfId="27" applyFont="1" applyFill="1" applyAlignment="1">
      <alignment horizontal="left"/>
    </xf>
    <xf numFmtId="0" fontId="109" fillId="22" borderId="0" xfId="27" applyFont="1" applyFill="1" applyAlignment="1">
      <alignment horizontal="right"/>
    </xf>
    <xf numFmtId="196" fontId="109" fillId="22" borderId="0" xfId="27" applyNumberFormat="1" applyFont="1" applyFill="1" applyAlignment="1">
      <alignment horizontal="right"/>
    </xf>
    <xf numFmtId="0" fontId="107" fillId="0" borderId="0" xfId="27" applyAlignment="1">
      <alignment horizontal="left" indent="1"/>
    </xf>
    <xf numFmtId="196" fontId="107" fillId="0" borderId="0" xfId="27" applyNumberFormat="1" applyAlignment="1">
      <alignment horizontal="right"/>
    </xf>
    <xf numFmtId="176" fontId="109" fillId="22" borderId="0" xfId="27" applyNumberFormat="1" applyFont="1" applyFill="1" applyAlignment="1">
      <alignment horizontal="right"/>
    </xf>
    <xf numFmtId="176" fontId="107" fillId="0" borderId="0" xfId="27" applyNumberFormat="1" applyAlignment="1">
      <alignment horizontal="right"/>
    </xf>
    <xf numFmtId="197" fontId="109" fillId="22" borderId="0" xfId="27" applyNumberFormat="1" applyFont="1" applyFill="1" applyAlignment="1">
      <alignment horizontal="right"/>
    </xf>
    <xf numFmtId="197" fontId="107" fillId="0" borderId="0" xfId="27" applyNumberFormat="1" applyAlignment="1">
      <alignment horizontal="right"/>
    </xf>
    <xf numFmtId="198" fontId="107" fillId="0" borderId="0" xfId="27" applyNumberFormat="1" applyAlignment="1">
      <alignment horizontal="right"/>
    </xf>
    <xf numFmtId="199" fontId="107" fillId="0" borderId="0" xfId="27" applyNumberFormat="1" applyAlignment="1">
      <alignment horizontal="right"/>
    </xf>
    <xf numFmtId="200" fontId="107" fillId="0" borderId="0" xfId="27" applyNumberFormat="1" applyAlignment="1">
      <alignment horizontal="right"/>
    </xf>
    <xf numFmtId="201" fontId="107" fillId="0" borderId="0" xfId="27" applyNumberFormat="1" applyAlignment="1">
      <alignment horizontal="right"/>
    </xf>
    <xf numFmtId="202" fontId="107" fillId="0" borderId="0" xfId="27" applyNumberFormat="1" applyAlignment="1">
      <alignment horizontal="right"/>
    </xf>
    <xf numFmtId="203" fontId="107" fillId="0" borderId="0" xfId="27" applyNumberFormat="1" applyAlignment="1">
      <alignment horizontal="right"/>
    </xf>
    <xf numFmtId="204" fontId="107" fillId="0" borderId="0" xfId="27" applyNumberFormat="1" applyAlignment="1">
      <alignment horizontal="right"/>
    </xf>
    <xf numFmtId="0" fontId="107" fillId="22" borderId="0" xfId="27" applyFill="1" applyAlignment="1">
      <alignment horizontal="left" indent="1"/>
    </xf>
    <xf numFmtId="0" fontId="107" fillId="22" borderId="0" xfId="27" applyFill="1" applyAlignment="1">
      <alignment horizontal="left"/>
    </xf>
    <xf numFmtId="196" fontId="107" fillId="22" borderId="0" xfId="27" applyNumberFormat="1" applyFill="1" applyAlignment="1">
      <alignment horizontal="right"/>
    </xf>
    <xf numFmtId="201" fontId="107" fillId="22" borderId="0" xfId="27" applyNumberFormat="1" applyFill="1" applyAlignment="1">
      <alignment horizontal="right"/>
    </xf>
    <xf numFmtId="195" fontId="107" fillId="22" borderId="0" xfId="27" applyNumberFormat="1" applyFill="1" applyAlignment="1">
      <alignment horizontal="right"/>
    </xf>
    <xf numFmtId="205" fontId="107" fillId="0" borderId="0" xfId="27" applyNumberFormat="1" applyAlignment="1">
      <alignment horizontal="right"/>
    </xf>
    <xf numFmtId="206" fontId="107" fillId="0" borderId="0" xfId="27" applyNumberFormat="1" applyAlignment="1">
      <alignment horizontal="right"/>
    </xf>
    <xf numFmtId="207" fontId="107" fillId="0" borderId="0" xfId="27" applyNumberFormat="1" applyAlignment="1">
      <alignment horizontal="right"/>
    </xf>
    <xf numFmtId="205" fontId="107" fillId="22" borderId="0" xfId="27" applyNumberFormat="1" applyFill="1" applyAlignment="1">
      <alignment horizontal="right"/>
    </xf>
    <xf numFmtId="208" fontId="107" fillId="22" borderId="0" xfId="27" applyNumberFormat="1" applyFill="1" applyAlignment="1">
      <alignment horizontal="right"/>
    </xf>
    <xf numFmtId="199" fontId="107" fillId="22" borderId="0" xfId="27" applyNumberFormat="1" applyFill="1" applyAlignment="1">
      <alignment horizontal="right"/>
    </xf>
    <xf numFmtId="203" fontId="107" fillId="22" borderId="0" xfId="27" applyNumberFormat="1" applyFill="1" applyAlignment="1">
      <alignment horizontal="right"/>
    </xf>
    <xf numFmtId="207" fontId="107" fillId="22" borderId="0" xfId="27" applyNumberFormat="1" applyFill="1" applyAlignment="1">
      <alignment horizontal="right"/>
    </xf>
    <xf numFmtId="209" fontId="107" fillId="0" borderId="0" xfId="27" applyNumberFormat="1" applyAlignment="1">
      <alignment horizontal="right"/>
    </xf>
    <xf numFmtId="210" fontId="107" fillId="0" borderId="0" xfId="27" applyNumberFormat="1" applyAlignment="1">
      <alignment horizontal="right"/>
    </xf>
    <xf numFmtId="211" fontId="107" fillId="22" borderId="0" xfId="27" applyNumberFormat="1" applyFill="1" applyAlignment="1">
      <alignment horizontal="right"/>
    </xf>
    <xf numFmtId="198" fontId="107" fillId="22" borderId="0" xfId="27" applyNumberFormat="1" applyFill="1" applyAlignment="1">
      <alignment horizontal="right"/>
    </xf>
    <xf numFmtId="212" fontId="107" fillId="22" borderId="0" xfId="27" applyNumberFormat="1" applyFill="1" applyAlignment="1">
      <alignment horizontal="right"/>
    </xf>
    <xf numFmtId="211" fontId="107" fillId="0" borderId="0" xfId="27" applyNumberFormat="1" applyAlignment="1">
      <alignment horizontal="right"/>
    </xf>
    <xf numFmtId="213" fontId="107" fillId="22" borderId="0" xfId="27" applyNumberFormat="1" applyFill="1" applyAlignment="1">
      <alignment horizontal="right"/>
    </xf>
    <xf numFmtId="210" fontId="107" fillId="22" borderId="0" xfId="27" applyNumberFormat="1" applyFill="1" applyAlignment="1">
      <alignment horizontal="right"/>
    </xf>
    <xf numFmtId="214" fontId="107" fillId="22" borderId="0" xfId="27" applyNumberFormat="1" applyFill="1" applyAlignment="1">
      <alignment horizontal="right"/>
    </xf>
    <xf numFmtId="213" fontId="107" fillId="0" borderId="0" xfId="27" applyNumberFormat="1" applyAlignment="1">
      <alignment horizontal="right"/>
    </xf>
    <xf numFmtId="208" fontId="107" fillId="0" borderId="0" xfId="27" applyNumberFormat="1" applyAlignment="1">
      <alignment horizontal="right"/>
    </xf>
    <xf numFmtId="215" fontId="107" fillId="0" borderId="0" xfId="27" applyNumberFormat="1" applyAlignment="1">
      <alignment horizontal="right"/>
    </xf>
    <xf numFmtId="200" fontId="107" fillId="22" borderId="0" xfId="27" applyNumberFormat="1" applyFill="1" applyAlignment="1">
      <alignment horizontal="right"/>
    </xf>
    <xf numFmtId="206" fontId="107" fillId="22" borderId="0" xfId="27" applyNumberFormat="1" applyFill="1" applyAlignment="1">
      <alignment horizontal="right"/>
    </xf>
    <xf numFmtId="216" fontId="107" fillId="0" borderId="0" xfId="27" applyNumberFormat="1" applyAlignment="1">
      <alignment horizontal="right"/>
    </xf>
    <xf numFmtId="212" fontId="107" fillId="0" borderId="0" xfId="27" applyNumberFormat="1" applyAlignment="1">
      <alignment horizontal="right"/>
    </xf>
    <xf numFmtId="217" fontId="107" fillId="22" borderId="0" xfId="27" applyNumberFormat="1" applyFill="1" applyAlignment="1">
      <alignment horizontal="right"/>
    </xf>
    <xf numFmtId="218" fontId="107" fillId="22" borderId="0" xfId="27" applyNumberFormat="1" applyFill="1" applyAlignment="1">
      <alignment horizontal="right"/>
    </xf>
    <xf numFmtId="219" fontId="107" fillId="22" borderId="0" xfId="27" applyNumberFormat="1" applyFill="1" applyAlignment="1">
      <alignment horizontal="right"/>
    </xf>
    <xf numFmtId="0" fontId="107" fillId="0" borderId="0" xfId="27" applyAlignment="1">
      <alignment horizontal="right"/>
    </xf>
    <xf numFmtId="0" fontId="107" fillId="22" borderId="0" xfId="27" applyFill="1" applyAlignment="1">
      <alignment horizontal="right"/>
    </xf>
    <xf numFmtId="196" fontId="110" fillId="22" borderId="0" xfId="27" applyNumberFormat="1" applyFont="1" applyFill="1" applyAlignment="1">
      <alignment horizontal="right"/>
    </xf>
    <xf numFmtId="0" fontId="111" fillId="0" borderId="0" xfId="27" applyFont="1" applyAlignment="1">
      <alignment horizontal="left"/>
    </xf>
    <xf numFmtId="185" fontId="0" fillId="0" borderId="2" xfId="1" applyNumberFormat="1" applyFont="1" applyBorder="1"/>
    <xf numFmtId="181" fontId="40" fillId="0" borderId="0" xfId="1" applyNumberFormat="1" applyFont="1"/>
    <xf numFmtId="37" fontId="49" fillId="0" borderId="1" xfId="0" applyNumberFormat="1" applyFont="1" applyBorder="1"/>
    <xf numFmtId="181" fontId="3" fillId="0" borderId="0" xfId="1" applyNumberFormat="1" applyFont="1" applyBorder="1"/>
    <xf numFmtId="9" fontId="102" fillId="9" borderId="2" xfId="0" applyNumberFormat="1" applyFont="1" applyFill="1" applyBorder="1" applyAlignment="1">
      <alignment horizontal="right"/>
    </xf>
    <xf numFmtId="9" fontId="36" fillId="0" borderId="0" xfId="2" applyFont="1"/>
    <xf numFmtId="37" fontId="99" fillId="2" borderId="5" xfId="3" applyNumberFormat="1" applyFont="1" applyFill="1" applyBorder="1"/>
    <xf numFmtId="37" fontId="10" fillId="2" borderId="0" xfId="3" applyNumberFormat="1" applyFont="1" applyFill="1"/>
    <xf numFmtId="170" fontId="10" fillId="2" borderId="0" xfId="3" applyNumberFormat="1" applyFont="1" applyFill="1"/>
    <xf numFmtId="37" fontId="10" fillId="2" borderId="23" xfId="3" applyNumberFormat="1" applyFont="1" applyFill="1" applyBorder="1"/>
    <xf numFmtId="37" fontId="7" fillId="2" borderId="23" xfId="3" applyNumberFormat="1" applyFont="1" applyFill="1" applyBorder="1"/>
    <xf numFmtId="37" fontId="20" fillId="2" borderId="1" xfId="3" applyNumberFormat="1" applyFont="1" applyFill="1" applyBorder="1"/>
    <xf numFmtId="166" fontId="29" fillId="2" borderId="1" xfId="3" applyNumberFormat="1" applyFont="1" applyFill="1" applyBorder="1" applyAlignment="1">
      <alignment horizontal="right"/>
    </xf>
    <xf numFmtId="166" fontId="19" fillId="2" borderId="1" xfId="3" quotePrefix="1" applyNumberFormat="1" applyFont="1" applyFill="1" applyBorder="1" applyAlignment="1">
      <alignment horizontal="right"/>
    </xf>
    <xf numFmtId="0" fontId="8" fillId="2" borderId="2" xfId="0" applyFont="1" applyFill="1" applyBorder="1"/>
    <xf numFmtId="0" fontId="8" fillId="2" borderId="2" xfId="0" applyFont="1" applyFill="1" applyBorder="1" applyAlignment="1">
      <alignment horizontal="right"/>
    </xf>
    <xf numFmtId="0" fontId="8" fillId="2" borderId="2" xfId="0" applyFont="1" applyFill="1" applyBorder="1" applyAlignment="1">
      <alignment horizontal="right" wrapText="1"/>
    </xf>
    <xf numFmtId="181" fontId="0" fillId="0" borderId="0" xfId="1" applyNumberFormat="1" applyFont="1" applyFill="1" applyBorder="1"/>
    <xf numFmtId="10" fontId="4" fillId="0" borderId="0" xfId="0" applyNumberFormat="1" applyFont="1"/>
    <xf numFmtId="9" fontId="34" fillId="0" borderId="1" xfId="2" applyFont="1" applyBorder="1"/>
    <xf numFmtId="43" fontId="0" fillId="0" borderId="1" xfId="0" applyNumberFormat="1" applyBorder="1"/>
    <xf numFmtId="9" fontId="4" fillId="0" borderId="0" xfId="2" applyFont="1"/>
    <xf numFmtId="9" fontId="4" fillId="0" borderId="2" xfId="2" applyFont="1" applyBorder="1"/>
    <xf numFmtId="10" fontId="40" fillId="0" borderId="0" xfId="2" applyNumberFormat="1" applyFont="1"/>
    <xf numFmtId="9" fontId="0" fillId="0" borderId="1" xfId="2" applyFont="1" applyBorder="1"/>
    <xf numFmtId="37" fontId="47" fillId="2" borderId="0" xfId="3" applyNumberFormat="1" applyFont="1" applyFill="1" applyBorder="1" applyAlignment="1">
      <alignment horizontal="right"/>
    </xf>
    <xf numFmtId="43" fontId="49" fillId="2" borderId="0" xfId="1" applyFont="1" applyFill="1" applyBorder="1" applyAlignment="1">
      <alignment horizontal="right"/>
    </xf>
    <xf numFmtId="168" fontId="49" fillId="0" borderId="0" xfId="0" applyNumberFormat="1" applyFont="1"/>
    <xf numFmtId="168" fontId="47" fillId="0" borderId="0" xfId="0" applyNumberFormat="1" applyFont="1"/>
    <xf numFmtId="43" fontId="34" fillId="0" borderId="0" xfId="1" applyFont="1"/>
    <xf numFmtId="174" fontId="0" fillId="0" borderId="1" xfId="0" applyNumberFormat="1" applyBorder="1"/>
    <xf numFmtId="9" fontId="34" fillId="0" borderId="0" xfId="2" applyFont="1" applyBorder="1"/>
    <xf numFmtId="0" fontId="31" fillId="11" borderId="0" xfId="0" applyFont="1" applyFill="1"/>
    <xf numFmtId="0" fontId="19" fillId="2" borderId="2" xfId="0" applyFont="1" applyFill="1" applyBorder="1"/>
    <xf numFmtId="0" fontId="8" fillId="0" borderId="23" xfId="0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0" fontId="8" fillId="0" borderId="1" xfId="0" quotePrefix="1" applyFont="1" applyBorder="1" applyAlignment="1">
      <alignment horizontal="right"/>
    </xf>
    <xf numFmtId="181" fontId="5" fillId="0" borderId="2" xfId="1" applyNumberFormat="1" applyFont="1" applyBorder="1"/>
    <xf numFmtId="181" fontId="5" fillId="0" borderId="1" xfId="1" applyNumberFormat="1" applyFont="1" applyBorder="1"/>
    <xf numFmtId="168" fontId="5" fillId="0" borderId="1" xfId="0" applyNumberFormat="1" applyFont="1" applyBorder="1"/>
    <xf numFmtId="168" fontId="5" fillId="0" borderId="1" xfId="2" applyNumberFormat="1" applyFont="1" applyBorder="1"/>
    <xf numFmtId="9" fontId="5" fillId="0" borderId="0" xfId="0" applyNumberFormat="1" applyFont="1"/>
    <xf numFmtId="181" fontId="5" fillId="0" borderId="3" xfId="1" applyNumberFormat="1" applyFont="1" applyBorder="1"/>
    <xf numFmtId="0" fontId="17" fillId="0" borderId="1" xfId="0" applyFont="1" applyBorder="1"/>
    <xf numFmtId="9" fontId="5" fillId="0" borderId="1" xfId="2" applyFont="1" applyBorder="1"/>
    <xf numFmtId="43" fontId="5" fillId="0" borderId="0" xfId="1" applyFont="1"/>
    <xf numFmtId="181" fontId="17" fillId="0" borderId="0" xfId="1" applyNumberFormat="1" applyFont="1"/>
    <xf numFmtId="181" fontId="17" fillId="0" borderId="1" xfId="1" applyNumberFormat="1" applyFont="1" applyBorder="1"/>
    <xf numFmtId="0" fontId="20" fillId="2" borderId="0" xfId="0" applyFont="1" applyFill="1"/>
    <xf numFmtId="0" fontId="20" fillId="2" borderId="0" xfId="0" quotePrefix="1" applyFont="1" applyFill="1"/>
    <xf numFmtId="0" fontId="20" fillId="2" borderId="1" xfId="0" applyFont="1" applyFill="1" applyBorder="1"/>
    <xf numFmtId="181" fontId="20" fillId="2" borderId="0" xfId="1" applyNumberFormat="1" applyFont="1" applyFill="1"/>
    <xf numFmtId="0" fontId="26" fillId="2" borderId="0" xfId="0" applyFont="1" applyFill="1"/>
    <xf numFmtId="181" fontId="26" fillId="2" borderId="0" xfId="1" applyNumberFormat="1" applyFont="1" applyFill="1"/>
    <xf numFmtId="181" fontId="20" fillId="2" borderId="1" xfId="1" applyNumberFormat="1" applyFont="1" applyFill="1" applyBorder="1"/>
    <xf numFmtId="9" fontId="5" fillId="0" borderId="1" xfId="0" applyNumberFormat="1" applyFont="1" applyBorder="1"/>
    <xf numFmtId="9" fontId="112" fillId="0" borderId="0" xfId="2" applyFont="1" applyBorder="1"/>
    <xf numFmtId="37" fontId="28" fillId="0" borderId="23" xfId="0" applyNumberFormat="1" applyFont="1" applyBorder="1"/>
    <xf numFmtId="0" fontId="8" fillId="0" borderId="0" xfId="0" quotePrefix="1" applyFont="1"/>
    <xf numFmtId="37" fontId="27" fillId="0" borderId="2" xfId="0" applyNumberFormat="1" applyFont="1" applyBorder="1"/>
    <xf numFmtId="185" fontId="0" fillId="0" borderId="0" xfId="1" applyNumberFormat="1" applyFont="1" applyBorder="1"/>
    <xf numFmtId="193" fontId="34" fillId="0" borderId="0" xfId="0" applyNumberFormat="1" applyFont="1"/>
    <xf numFmtId="37" fontId="0" fillId="9" borderId="0" xfId="0" applyNumberFormat="1" applyFill="1"/>
    <xf numFmtId="181" fontId="49" fillId="2" borderId="0" xfId="1" applyNumberFormat="1" applyFont="1" applyFill="1"/>
    <xf numFmtId="181" fontId="18" fillId="2" borderId="0" xfId="1" applyNumberFormat="1" applyFont="1" applyFill="1"/>
    <xf numFmtId="185" fontId="18" fillId="0" borderId="0" xfId="1" applyNumberFormat="1" applyFont="1" applyFill="1" applyBorder="1" applyAlignment="1">
      <alignment horizontal="right"/>
    </xf>
    <xf numFmtId="185" fontId="47" fillId="2" borderId="0" xfId="1" applyNumberFormat="1" applyFont="1" applyFill="1" applyBorder="1" applyAlignment="1">
      <alignment horizontal="right"/>
    </xf>
    <xf numFmtId="37" fontId="49" fillId="2" borderId="1" xfId="3" applyNumberFormat="1" applyFont="1" applyFill="1" applyBorder="1" applyAlignment="1">
      <alignment horizontal="right"/>
    </xf>
    <xf numFmtId="43" fontId="18" fillId="2" borderId="1" xfId="1" applyFont="1" applyFill="1" applyBorder="1" applyAlignment="1">
      <alignment horizontal="right"/>
    </xf>
    <xf numFmtId="37" fontId="0" fillId="2" borderId="1" xfId="0" applyNumberFormat="1" applyFill="1" applyBorder="1"/>
    <xf numFmtId="168" fontId="49" fillId="0" borderId="0" xfId="2" applyNumberFormat="1" applyFont="1"/>
    <xf numFmtId="6" fontId="4" fillId="0" borderId="1" xfId="0" applyNumberFormat="1" applyFont="1" applyBorder="1"/>
    <xf numFmtId="9" fontId="12" fillId="0" borderId="0" xfId="0" quotePrefix="1" applyNumberFormat="1" applyFont="1" applyAlignment="1">
      <alignment horizontal="center" wrapText="1"/>
    </xf>
    <xf numFmtId="181" fontId="10" fillId="0" borderId="0" xfId="1" applyNumberFormat="1" applyFont="1" applyBorder="1" applyAlignment="1">
      <alignment horizontal="right"/>
    </xf>
    <xf numFmtId="181" fontId="12" fillId="0" borderId="0" xfId="1" applyNumberFormat="1" applyFont="1" applyAlignment="1">
      <alignment horizontal="right"/>
    </xf>
    <xf numFmtId="181" fontId="12" fillId="0" borderId="1" xfId="1" applyNumberFormat="1" applyFont="1" applyBorder="1" applyAlignment="1">
      <alignment horizontal="right"/>
    </xf>
    <xf numFmtId="166" fontId="16" fillId="0" borderId="1" xfId="3" applyNumberFormat="1" applyFont="1" applyBorder="1" applyAlignment="1">
      <alignment horizontal="right"/>
    </xf>
    <xf numFmtId="166" fontId="16" fillId="0" borderId="9" xfId="3" applyNumberFormat="1" applyFont="1" applyBorder="1" applyAlignment="1">
      <alignment horizontal="right"/>
    </xf>
    <xf numFmtId="181" fontId="12" fillId="0" borderId="8" xfId="1" applyNumberFormat="1" applyFont="1" applyBorder="1"/>
    <xf numFmtId="181" fontId="12" fillId="0" borderId="9" xfId="1" applyNumberFormat="1" applyFont="1" applyBorder="1"/>
    <xf numFmtId="181" fontId="16" fillId="0" borderId="8" xfId="1" applyNumberFormat="1" applyFont="1" applyBorder="1"/>
    <xf numFmtId="0" fontId="12" fillId="0" borderId="9" xfId="0" applyFont="1" applyBorder="1"/>
    <xf numFmtId="181" fontId="41" fillId="0" borderId="0" xfId="0" applyNumberFormat="1" applyFont="1"/>
    <xf numFmtId="181" fontId="41" fillId="0" borderId="0" xfId="1" applyNumberFormat="1" applyFont="1"/>
    <xf numFmtId="0" fontId="41" fillId="0" borderId="1" xfId="0" applyFont="1" applyBorder="1"/>
    <xf numFmtId="37" fontId="41" fillId="0" borderId="1" xfId="0" applyNumberFormat="1" applyFont="1" applyBorder="1"/>
    <xf numFmtId="5" fontId="48" fillId="0" borderId="0" xfId="0" applyNumberFormat="1" applyFont="1"/>
    <xf numFmtId="181" fontId="100" fillId="0" borderId="0" xfId="0" applyNumberFormat="1" applyFont="1"/>
    <xf numFmtId="43" fontId="16" fillId="0" borderId="3" xfId="1" applyFont="1" applyBorder="1"/>
    <xf numFmtId="0" fontId="34" fillId="9" borderId="0" xfId="0" quotePrefix="1" applyFont="1" applyFill="1"/>
    <xf numFmtId="0" fontId="4" fillId="9" borderId="1" xfId="0" applyFont="1" applyFill="1" applyBorder="1"/>
    <xf numFmtId="43" fontId="0" fillId="9" borderId="0" xfId="1" applyFont="1" applyFill="1"/>
    <xf numFmtId="181" fontId="0" fillId="9" borderId="0" xfId="1" applyNumberFormat="1" applyFont="1" applyFill="1"/>
    <xf numFmtId="181" fontId="0" fillId="9" borderId="0" xfId="0" applyNumberFormat="1" applyFill="1"/>
    <xf numFmtId="168" fontId="0" fillId="9" borderId="0" xfId="2" applyNumberFormat="1" applyFont="1" applyFill="1"/>
    <xf numFmtId="168" fontId="0" fillId="9" borderId="1" xfId="2" applyNumberFormat="1" applyFont="1" applyFill="1" applyBorder="1"/>
    <xf numFmtId="168" fontId="34" fillId="9" borderId="0" xfId="2" applyNumberFormat="1" applyFont="1" applyFill="1"/>
    <xf numFmtId="37" fontId="34" fillId="9" borderId="0" xfId="0" applyNumberFormat="1" applyFont="1" applyFill="1"/>
    <xf numFmtId="43" fontId="34" fillId="9" borderId="0" xfId="0" applyNumberFormat="1" applyFont="1" applyFill="1"/>
    <xf numFmtId="43" fontId="34" fillId="9" borderId="0" xfId="1" applyFont="1" applyFill="1"/>
    <xf numFmtId="181" fontId="34" fillId="9" borderId="0" xfId="1" applyNumberFormat="1" applyFont="1" applyFill="1"/>
    <xf numFmtId="181" fontId="34" fillId="9" borderId="0" xfId="0" applyNumberFormat="1" applyFont="1" applyFill="1"/>
    <xf numFmtId="9" fontId="34" fillId="9" borderId="0" xfId="2" applyFont="1" applyFill="1"/>
    <xf numFmtId="37" fontId="4" fillId="9" borderId="0" xfId="0" applyNumberFormat="1" applyFont="1" applyFill="1"/>
    <xf numFmtId="186" fontId="4" fillId="9" borderId="0" xfId="0" applyNumberFormat="1" applyFont="1" applyFill="1"/>
    <xf numFmtId="181" fontId="4" fillId="9" borderId="0" xfId="1" applyNumberFormat="1" applyFont="1" applyFill="1"/>
    <xf numFmtId="168" fontId="0" fillId="9" borderId="0" xfId="0" applyNumberFormat="1" applyFill="1"/>
    <xf numFmtId="181" fontId="4" fillId="9" borderId="0" xfId="0" applyNumberFormat="1" applyFont="1" applyFill="1"/>
    <xf numFmtId="168" fontId="36" fillId="9" borderId="0" xfId="1" applyNumberFormat="1" applyFont="1" applyFill="1"/>
    <xf numFmtId="168" fontId="9" fillId="9" borderId="0" xfId="2" applyNumberFormat="1" applyFont="1" applyFill="1"/>
    <xf numFmtId="37" fontId="59" fillId="9" borderId="0" xfId="0" applyNumberFormat="1" applyFont="1" applyFill="1"/>
    <xf numFmtId="37" fontId="37" fillId="9" borderId="0" xfId="0" applyNumberFormat="1" applyFont="1" applyFill="1"/>
    <xf numFmtId="181" fontId="35" fillId="9" borderId="0" xfId="1" applyNumberFormat="1" applyFont="1" applyFill="1"/>
    <xf numFmtId="43" fontId="35" fillId="9" borderId="0" xfId="1" applyFont="1" applyFill="1"/>
    <xf numFmtId="168" fontId="35" fillId="9" borderId="0" xfId="2" applyNumberFormat="1" applyFont="1" applyFill="1"/>
    <xf numFmtId="181" fontId="35" fillId="9" borderId="1" xfId="1" applyNumberFormat="1" applyFont="1" applyFill="1" applyBorder="1"/>
    <xf numFmtId="37" fontId="35" fillId="9" borderId="0" xfId="0" applyNumberFormat="1" applyFont="1" applyFill="1"/>
    <xf numFmtId="181" fontId="0" fillId="9" borderId="1" xfId="0" applyNumberFormat="1" applyFill="1" applyBorder="1"/>
    <xf numFmtId="43" fontId="34" fillId="9" borderId="0" xfId="0" applyNumberFormat="1" applyFont="1" applyFill="1" applyAlignment="1">
      <alignment horizontal="right"/>
    </xf>
    <xf numFmtId="9" fontId="9" fillId="9" borderId="0" xfId="0" applyNumberFormat="1" applyFont="1" applyFill="1"/>
    <xf numFmtId="168" fontId="0" fillId="9" borderId="0" xfId="2" applyNumberFormat="1" applyFont="1" applyFill="1" applyAlignment="1">
      <alignment horizontal="right"/>
    </xf>
    <xf numFmtId="168" fontId="9" fillId="9" borderId="0" xfId="0" applyNumberFormat="1" applyFont="1" applyFill="1"/>
    <xf numFmtId="37" fontId="12" fillId="9" borderId="0" xfId="0" applyNumberFormat="1" applyFont="1" applyFill="1"/>
    <xf numFmtId="37" fontId="12" fillId="9" borderId="1" xfId="0" applyNumberFormat="1" applyFont="1" applyFill="1" applyBorder="1"/>
    <xf numFmtId="37" fontId="0" fillId="9" borderId="1" xfId="0" applyNumberFormat="1" applyFill="1" applyBorder="1"/>
    <xf numFmtId="174" fontId="34" fillId="9" borderId="0" xfId="0" applyNumberFormat="1" applyFont="1" applyFill="1"/>
    <xf numFmtId="10" fontId="9" fillId="9" borderId="0" xfId="0" applyNumberFormat="1" applyFont="1" applyFill="1"/>
    <xf numFmtId="10" fontId="0" fillId="9" borderId="0" xfId="2" applyNumberFormat="1" applyFont="1" applyFill="1"/>
    <xf numFmtId="174" fontId="0" fillId="9" borderId="1" xfId="0" applyNumberFormat="1" applyFill="1" applyBorder="1"/>
    <xf numFmtId="174" fontId="4" fillId="9" borderId="1" xfId="0" applyNumberFormat="1" applyFont="1" applyFill="1" applyBorder="1"/>
    <xf numFmtId="43" fontId="4" fillId="9" borderId="0" xfId="0" applyNumberFormat="1" applyFont="1" applyFill="1"/>
    <xf numFmtId="37" fontId="9" fillId="9" borderId="0" xfId="0" applyNumberFormat="1" applyFont="1" applyFill="1"/>
    <xf numFmtId="0" fontId="4" fillId="13" borderId="0" xfId="0" applyFont="1" applyFill="1"/>
    <xf numFmtId="9" fontId="0" fillId="9" borderId="1" xfId="2" applyFont="1" applyFill="1" applyBorder="1"/>
    <xf numFmtId="9" fontId="4" fillId="9" borderId="1" xfId="2" applyFont="1" applyFill="1" applyBorder="1"/>
    <xf numFmtId="0" fontId="4" fillId="9" borderId="1" xfId="0" applyFont="1" applyFill="1" applyBorder="1" applyAlignment="1">
      <alignment horizontal="right"/>
    </xf>
    <xf numFmtId="181" fontId="9" fillId="9" borderId="0" xfId="1" applyNumberFormat="1" applyFont="1" applyFill="1"/>
    <xf numFmtId="37" fontId="18" fillId="9" borderId="0" xfId="0" applyNumberFormat="1" applyFont="1" applyFill="1"/>
    <xf numFmtId="37" fontId="48" fillId="9" borderId="0" xfId="0" applyNumberFormat="1" applyFont="1" applyFill="1"/>
    <xf numFmtId="43" fontId="49" fillId="9" borderId="0" xfId="1" applyFont="1" applyFill="1"/>
    <xf numFmtId="181" fontId="18" fillId="9" borderId="0" xfId="0" applyNumberFormat="1" applyFont="1" applyFill="1"/>
    <xf numFmtId="181" fontId="49" fillId="9" borderId="0" xfId="1" applyNumberFormat="1" applyFont="1" applyFill="1"/>
    <xf numFmtId="181" fontId="36" fillId="9" borderId="0" xfId="1" applyNumberFormat="1" applyFont="1" applyFill="1"/>
    <xf numFmtId="37" fontId="36" fillId="9" borderId="0" xfId="0" applyNumberFormat="1" applyFont="1" applyFill="1"/>
    <xf numFmtId="181" fontId="0" fillId="2" borderId="1" xfId="1" applyNumberFormat="1" applyFont="1" applyFill="1" applyBorder="1"/>
    <xf numFmtId="168" fontId="37" fillId="9" borderId="0" xfId="2" applyNumberFormat="1" applyFont="1" applyFill="1"/>
    <xf numFmtId="181" fontId="59" fillId="9" borderId="0" xfId="0" applyNumberFormat="1" applyFont="1" applyFill="1"/>
    <xf numFmtId="181" fontId="35" fillId="2" borderId="0" xfId="1" applyNumberFormat="1" applyFont="1" applyFill="1"/>
    <xf numFmtId="181" fontId="3" fillId="9" borderId="0" xfId="1" applyNumberFormat="1" applyFont="1" applyFill="1" applyBorder="1"/>
    <xf numFmtId="181" fontId="47" fillId="9" borderId="0" xfId="0" applyNumberFormat="1" applyFont="1" applyFill="1"/>
    <xf numFmtId="168" fontId="34" fillId="2" borderId="0" xfId="2" applyNumberFormat="1" applyFont="1" applyFill="1"/>
    <xf numFmtId="181" fontId="0" fillId="9" borderId="0" xfId="1" applyNumberFormat="1" applyFont="1" applyFill="1" applyBorder="1"/>
    <xf numFmtId="181" fontId="35" fillId="9" borderId="0" xfId="0" applyNumberFormat="1" applyFont="1" applyFill="1"/>
    <xf numFmtId="168" fontId="9" fillId="2" borderId="0" xfId="2" applyNumberFormat="1" applyFont="1" applyFill="1"/>
    <xf numFmtId="0" fontId="4" fillId="2" borderId="1" xfId="0" applyFont="1" applyFill="1" applyBorder="1"/>
    <xf numFmtId="181" fontId="49" fillId="9" borderId="1" xfId="1" applyNumberFormat="1" applyFont="1" applyFill="1" applyBorder="1"/>
    <xf numFmtId="168" fontId="0" fillId="2" borderId="1" xfId="0" applyNumberFormat="1" applyFill="1" applyBorder="1"/>
    <xf numFmtId="0" fontId="113" fillId="2" borderId="2" xfId="0" applyFont="1" applyFill="1" applyBorder="1" applyAlignment="1">
      <alignment horizontal="right" wrapText="1"/>
    </xf>
    <xf numFmtId="43" fontId="0" fillId="9" borderId="0" xfId="0" applyNumberFormat="1" applyFill="1"/>
    <xf numFmtId="181" fontId="48" fillId="2" borderId="0" xfId="1" applyNumberFormat="1" applyFont="1" applyFill="1"/>
    <xf numFmtId="9" fontId="0" fillId="9" borderId="0" xfId="0" applyNumberFormat="1" applyFill="1"/>
    <xf numFmtId="181" fontId="34" fillId="2" borderId="0" xfId="0" applyNumberFormat="1" applyFont="1" applyFill="1"/>
    <xf numFmtId="9" fontId="36" fillId="2" borderId="0" xfId="2" applyFont="1" applyFill="1"/>
    <xf numFmtId="181" fontId="34" fillId="2" borderId="0" xfId="1" applyNumberFormat="1" applyFont="1" applyFill="1"/>
    <xf numFmtId="9" fontId="0" fillId="9" borderId="0" xfId="2" applyFont="1" applyFill="1"/>
    <xf numFmtId="37" fontId="47" fillId="9" borderId="0" xfId="0" applyNumberFormat="1" applyFont="1" applyFill="1"/>
    <xf numFmtId="168" fontId="49" fillId="9" borderId="1" xfId="2" applyNumberFormat="1" applyFont="1" applyFill="1" applyBorder="1"/>
    <xf numFmtId="174" fontId="49" fillId="2" borderId="1" xfId="3" applyNumberFormat="1" applyFont="1" applyFill="1" applyBorder="1"/>
    <xf numFmtId="43" fontId="4" fillId="2" borderId="0" xfId="0" applyNumberFormat="1" applyFont="1" applyFill="1"/>
    <xf numFmtId="43" fontId="0" fillId="2" borderId="1" xfId="1" applyFont="1" applyFill="1" applyBorder="1"/>
    <xf numFmtId="43" fontId="4" fillId="2" borderId="0" xfId="1" applyFont="1" applyFill="1"/>
    <xf numFmtId="174" fontId="49" fillId="2" borderId="0" xfId="24" applyNumberFormat="1" applyFont="1" applyFill="1"/>
    <xf numFmtId="186" fontId="47" fillId="9" borderId="0" xfId="0" applyNumberFormat="1" applyFont="1" applyFill="1"/>
    <xf numFmtId="181" fontId="48" fillId="2" borderId="0" xfId="0" applyNumberFormat="1" applyFont="1" applyFill="1"/>
    <xf numFmtId="0" fontId="49" fillId="9" borderId="0" xfId="0" applyFont="1" applyFill="1"/>
    <xf numFmtId="181" fontId="47" fillId="9" borderId="0" xfId="1" applyNumberFormat="1" applyFont="1" applyFill="1"/>
    <xf numFmtId="168" fontId="48" fillId="9" borderId="0" xfId="2" applyNumberFormat="1" applyFont="1" applyFill="1"/>
    <xf numFmtId="43" fontId="48" fillId="9" borderId="0" xfId="0" applyNumberFormat="1" applyFont="1" applyFill="1"/>
    <xf numFmtId="43" fontId="48" fillId="9" borderId="0" xfId="1" applyFont="1" applyFill="1"/>
    <xf numFmtId="43" fontId="49" fillId="9" borderId="0" xfId="0" applyNumberFormat="1" applyFont="1" applyFill="1"/>
    <xf numFmtId="181" fontId="49" fillId="9" borderId="0" xfId="1" applyNumberFormat="1" applyFont="1" applyFill="1" applyBorder="1"/>
    <xf numFmtId="181" fontId="49" fillId="9" borderId="0" xfId="0" applyNumberFormat="1" applyFont="1" applyFill="1"/>
    <xf numFmtId="181" fontId="48" fillId="9" borderId="0" xfId="1" applyNumberFormat="1" applyFont="1" applyFill="1"/>
    <xf numFmtId="9" fontId="49" fillId="9" borderId="0" xfId="2" applyFont="1" applyFill="1"/>
    <xf numFmtId="168" fontId="49" fillId="9" borderId="0" xfId="2" applyNumberFormat="1" applyFont="1" applyFill="1" applyBorder="1"/>
    <xf numFmtId="37" fontId="16" fillId="2" borderId="2" xfId="3" applyNumberFormat="1" applyFont="1" applyFill="1" applyBorder="1" applyAlignment="1">
      <alignment horizontal="right" wrapText="1"/>
    </xf>
    <xf numFmtId="166" fontId="16" fillId="2" borderId="2" xfId="3" applyNumberFormat="1" applyFont="1" applyFill="1" applyBorder="1" applyAlignment="1">
      <alignment horizontal="right" wrapText="1"/>
    </xf>
    <xf numFmtId="37" fontId="12" fillId="2" borderId="1" xfId="3" applyNumberFormat="1" applyFont="1" applyFill="1" applyBorder="1"/>
    <xf numFmtId="37" fontId="12" fillId="2" borderId="0" xfId="3" applyNumberFormat="1" applyFont="1" applyFill="1" applyBorder="1"/>
    <xf numFmtId="37" fontId="12" fillId="2" borderId="3" xfId="3" applyNumberFormat="1" applyFont="1" applyFill="1" applyBorder="1"/>
    <xf numFmtId="37" fontId="41" fillId="2" borderId="0" xfId="3" applyNumberFormat="1" applyFont="1" applyFill="1"/>
    <xf numFmtId="174" fontId="41" fillId="2" borderId="0" xfId="3" applyNumberFormat="1" applyFont="1" applyFill="1"/>
    <xf numFmtId="174" fontId="12" fillId="2" borderId="0" xfId="3" applyNumberFormat="1" applyFont="1" applyFill="1"/>
    <xf numFmtId="37" fontId="42" fillId="2" borderId="0" xfId="3" applyNumberFormat="1" applyFont="1" applyFill="1"/>
    <xf numFmtId="9" fontId="41" fillId="2" borderId="0" xfId="3" applyNumberFormat="1" applyFont="1" applyFill="1"/>
    <xf numFmtId="169" fontId="9" fillId="2" borderId="2" xfId="3" applyNumberFormat="1" applyFont="1" applyFill="1" applyBorder="1"/>
    <xf numFmtId="169" fontId="12" fillId="2" borderId="2" xfId="3" applyNumberFormat="1" applyFont="1" applyFill="1" applyBorder="1"/>
    <xf numFmtId="39" fontId="12" fillId="2" borderId="0" xfId="3" applyNumberFormat="1" applyFont="1" applyFill="1"/>
    <xf numFmtId="37" fontId="80" fillId="2" borderId="0" xfId="3" applyNumberFormat="1" applyFont="1" applyFill="1"/>
    <xf numFmtId="37" fontId="12" fillId="2" borderId="0" xfId="3" applyNumberFormat="1" applyFont="1" applyFill="1" applyAlignment="1">
      <alignment horizontal="left" indent="1"/>
    </xf>
    <xf numFmtId="37" fontId="12" fillId="2" borderId="0" xfId="3" quotePrefix="1" applyNumberFormat="1" applyFont="1" applyFill="1"/>
    <xf numFmtId="9" fontId="12" fillId="2" borderId="1" xfId="3" applyNumberFormat="1" applyFont="1" applyFill="1" applyBorder="1"/>
    <xf numFmtId="168" fontId="9" fillId="2" borderId="7" xfId="3" applyNumberFormat="1" applyFont="1" applyFill="1" applyBorder="1"/>
    <xf numFmtId="9" fontId="12" fillId="2" borderId="0" xfId="3" applyNumberFormat="1" applyFont="1" applyFill="1"/>
    <xf numFmtId="168" fontId="12" fillId="2" borderId="0" xfId="3" applyNumberFormat="1" applyFont="1" applyFill="1"/>
    <xf numFmtId="37" fontId="16" fillId="2" borderId="0" xfId="3" quotePrefix="1" applyNumberFormat="1" applyFont="1" applyFill="1"/>
    <xf numFmtId="37" fontId="16" fillId="2" borderId="0" xfId="3" applyNumberFormat="1" applyFont="1" applyFill="1"/>
    <xf numFmtId="168" fontId="9" fillId="2" borderId="8" xfId="3" applyNumberFormat="1" applyFont="1" applyFill="1" applyBorder="1"/>
    <xf numFmtId="39" fontId="12" fillId="2" borderId="1" xfId="3" applyNumberFormat="1" applyFont="1" applyFill="1" applyBorder="1"/>
    <xf numFmtId="39" fontId="9" fillId="2" borderId="9" xfId="3" applyNumberFormat="1" applyFont="1" applyFill="1" applyBorder="1"/>
    <xf numFmtId="168" fontId="9" fillId="2" borderId="10" xfId="3" applyNumberFormat="1" applyFont="1" applyFill="1" applyBorder="1"/>
    <xf numFmtId="9" fontId="12" fillId="2" borderId="0" xfId="2" applyFont="1" applyFill="1"/>
    <xf numFmtId="167" fontId="12" fillId="2" borderId="0" xfId="3" applyNumberFormat="1" applyFont="1" applyFill="1"/>
    <xf numFmtId="168" fontId="12" fillId="2" borderId="2" xfId="3" applyNumberFormat="1" applyFont="1" applyFill="1" applyBorder="1"/>
    <xf numFmtId="7" fontId="12" fillId="2" borderId="0" xfId="3" applyNumberFormat="1" applyFont="1" applyFill="1"/>
    <xf numFmtId="168" fontId="12" fillId="2" borderId="0" xfId="2" applyNumberFormat="1" applyFont="1" applyFill="1"/>
    <xf numFmtId="7" fontId="16" fillId="2" borderId="11" xfId="3" applyNumberFormat="1" applyFont="1" applyFill="1" applyBorder="1"/>
    <xf numFmtId="168" fontId="12" fillId="2" borderId="3" xfId="3" applyNumberFormat="1" applyFont="1" applyFill="1" applyBorder="1"/>
    <xf numFmtId="168" fontId="41" fillId="2" borderId="0" xfId="10" applyNumberFormat="1" applyFont="1" applyFill="1"/>
    <xf numFmtId="174" fontId="36" fillId="2" borderId="0" xfId="3" applyNumberFormat="1" applyFont="1" applyFill="1"/>
    <xf numFmtId="181" fontId="12" fillId="2" borderId="0" xfId="1" applyNumberFormat="1" applyFont="1" applyFill="1"/>
    <xf numFmtId="0" fontId="12" fillId="2" borderId="1" xfId="0" applyFont="1" applyFill="1" applyBorder="1"/>
    <xf numFmtId="165" fontId="12" fillId="2" borderId="1" xfId="3" applyFont="1" applyFill="1" applyBorder="1"/>
    <xf numFmtId="37" fontId="49" fillId="2" borderId="0" xfId="3" applyNumberFormat="1" applyFont="1" applyFill="1"/>
    <xf numFmtId="37" fontId="49" fillId="2" borderId="1" xfId="3" applyNumberFormat="1" applyFont="1" applyFill="1" applyBorder="1"/>
    <xf numFmtId="37" fontId="36" fillId="2" borderId="0" xfId="0" applyNumberFormat="1" applyFont="1" applyFill="1"/>
    <xf numFmtId="9" fontId="9" fillId="2" borderId="0" xfId="2" applyFont="1" applyFill="1"/>
    <xf numFmtId="7" fontId="4" fillId="2" borderId="0" xfId="0" applyNumberFormat="1" applyFont="1" applyFill="1"/>
    <xf numFmtId="174" fontId="49" fillId="2" borderId="1" xfId="24" applyNumberFormat="1" applyFont="1" applyFill="1" applyBorder="1"/>
    <xf numFmtId="174" fontId="0" fillId="2" borderId="1" xfId="0" applyNumberFormat="1" applyFill="1" applyBorder="1"/>
    <xf numFmtId="181" fontId="0" fillId="2" borderId="1" xfId="0" applyNumberFormat="1" applyFill="1" applyBorder="1"/>
    <xf numFmtId="168" fontId="0" fillId="9" borderId="1" xfId="0" applyNumberFormat="1" applyFill="1" applyBorder="1"/>
    <xf numFmtId="181" fontId="0" fillId="2" borderId="0" xfId="1" applyNumberFormat="1" applyFont="1" applyFill="1" applyBorder="1"/>
    <xf numFmtId="193" fontId="0" fillId="2" borderId="0" xfId="0" applyNumberFormat="1" applyFill="1"/>
    <xf numFmtId="0" fontId="79" fillId="2" borderId="0" xfId="0" applyFont="1" applyFill="1"/>
    <xf numFmtId="181" fontId="79" fillId="2" borderId="0" xfId="0" applyNumberFormat="1" applyFont="1" applyFill="1"/>
    <xf numFmtId="9" fontId="79" fillId="2" borderId="0" xfId="0" applyNumberFormat="1" applyFont="1" applyFill="1"/>
    <xf numFmtId="9" fontId="34" fillId="9" borderId="0" xfId="0" applyNumberFormat="1" applyFont="1" applyFill="1"/>
    <xf numFmtId="43" fontId="34" fillId="2" borderId="0" xfId="0" applyNumberFormat="1" applyFont="1" applyFill="1"/>
    <xf numFmtId="43" fontId="34" fillId="2" borderId="0" xfId="1" applyFont="1" applyFill="1"/>
    <xf numFmtId="181" fontId="49" fillId="2" borderId="1" xfId="1" applyNumberFormat="1" applyFont="1" applyFill="1" applyBorder="1"/>
    <xf numFmtId="181" fontId="3" fillId="2" borderId="1" xfId="1" applyNumberFormat="1" applyFont="1" applyFill="1" applyBorder="1"/>
    <xf numFmtId="0" fontId="35" fillId="9" borderId="0" xfId="0" applyFont="1" applyFill="1"/>
    <xf numFmtId="181" fontId="37" fillId="9" borderId="0" xfId="1" applyNumberFormat="1" applyFont="1" applyFill="1"/>
    <xf numFmtId="168" fontId="36" fillId="2" borderId="0" xfId="2" applyNumberFormat="1" applyFont="1" applyFill="1"/>
    <xf numFmtId="0" fontId="114" fillId="2" borderId="0" xfId="0" applyFont="1" applyFill="1"/>
    <xf numFmtId="168" fontId="34" fillId="9" borderId="0" xfId="0" applyNumberFormat="1" applyFont="1" applyFill="1"/>
    <xf numFmtId="43" fontId="36" fillId="9" borderId="0" xfId="0" applyNumberFormat="1" applyFont="1" applyFill="1"/>
    <xf numFmtId="43" fontId="48" fillId="9" borderId="0" xfId="1" applyFont="1" applyFill="1" applyBorder="1"/>
    <xf numFmtId="181" fontId="37" fillId="2" borderId="0" xfId="1" applyNumberFormat="1" applyFont="1" applyFill="1"/>
    <xf numFmtId="0" fontId="4" fillId="9" borderId="1" xfId="0" applyFont="1" applyFill="1" applyBorder="1" applyAlignment="1">
      <alignment horizontal="center"/>
    </xf>
    <xf numFmtId="168" fontId="0" fillId="2" borderId="0" xfId="2" applyNumberFormat="1" applyFont="1" applyFill="1" applyAlignment="1">
      <alignment horizontal="center"/>
    </xf>
    <xf numFmtId="0" fontId="0" fillId="2" borderId="0" xfId="0" applyFill="1" applyAlignment="1">
      <alignment horizontal="center"/>
    </xf>
    <xf numFmtId="168" fontId="0" fillId="2" borderId="0" xfId="0" applyNumberFormat="1" applyFill="1" applyAlignment="1">
      <alignment horizontal="center"/>
    </xf>
    <xf numFmtId="0" fontId="34" fillId="2" borderId="0" xfId="0" applyFont="1" applyFill="1" applyAlignment="1">
      <alignment horizontal="center"/>
    </xf>
    <xf numFmtId="168" fontId="3" fillId="2" borderId="0" xfId="2" applyNumberFormat="1" applyFont="1" applyFill="1" applyAlignment="1">
      <alignment horizontal="center"/>
    </xf>
    <xf numFmtId="9" fontId="0" fillId="2" borderId="0" xfId="0" applyNumberFormat="1" applyFill="1" applyAlignment="1">
      <alignment horizontal="center"/>
    </xf>
    <xf numFmtId="181" fontId="0" fillId="2" borderId="0" xfId="0" applyNumberFormat="1" applyFill="1" applyAlignment="1">
      <alignment horizontal="center"/>
    </xf>
    <xf numFmtId="168" fontId="34" fillId="2" borderId="0" xfId="2" applyNumberFormat="1" applyFont="1" applyFill="1" applyAlignment="1">
      <alignment horizontal="center"/>
    </xf>
    <xf numFmtId="168" fontId="34" fillId="2" borderId="0" xfId="0" applyNumberFormat="1" applyFont="1" applyFill="1" applyAlignment="1">
      <alignment horizontal="center"/>
    </xf>
    <xf numFmtId="168" fontId="35" fillId="2" borderId="0" xfId="2" applyNumberFormat="1" applyFont="1" applyFill="1" applyAlignment="1">
      <alignment horizontal="center"/>
    </xf>
    <xf numFmtId="0" fontId="115" fillId="2" borderId="0" xfId="0" applyFont="1" applyFill="1"/>
    <xf numFmtId="0" fontId="101" fillId="2" borderId="0" xfId="0" applyFont="1" applyFill="1"/>
    <xf numFmtId="0" fontId="115" fillId="2" borderId="1" xfId="0" applyFont="1" applyFill="1" applyBorder="1" applyAlignment="1">
      <alignment horizontal="right"/>
    </xf>
    <xf numFmtId="9" fontId="101" fillId="2" borderId="0" xfId="0" applyNumberFormat="1" applyFont="1" applyFill="1"/>
    <xf numFmtId="9" fontId="101" fillId="2" borderId="1" xfId="0" applyNumberFormat="1" applyFont="1" applyFill="1" applyBorder="1"/>
    <xf numFmtId="9" fontId="115" fillId="2" borderId="0" xfId="2" applyFont="1" applyFill="1"/>
    <xf numFmtId="181" fontId="101" fillId="2" borderId="1" xfId="1" applyNumberFormat="1" applyFont="1" applyFill="1" applyBorder="1"/>
    <xf numFmtId="181" fontId="115" fillId="2" borderId="0" xfId="1" applyNumberFormat="1" applyFont="1" applyFill="1"/>
    <xf numFmtId="0" fontId="115" fillId="2" borderId="1" xfId="0" applyFont="1" applyFill="1" applyBorder="1"/>
    <xf numFmtId="181" fontId="101" fillId="2" borderId="0" xfId="1" applyNumberFormat="1" applyFont="1" applyFill="1" applyBorder="1"/>
    <xf numFmtId="168" fontId="49" fillId="2" borderId="9" xfId="3" applyNumberFormat="1" applyFont="1" applyFill="1" applyBorder="1"/>
    <xf numFmtId="8" fontId="9" fillId="9" borderId="0" xfId="1" applyNumberFormat="1" applyFont="1" applyFill="1"/>
    <xf numFmtId="8" fontId="49" fillId="9" borderId="0" xfId="1" applyNumberFormat="1" applyFont="1" applyFill="1"/>
    <xf numFmtId="43" fontId="37" fillId="9" borderId="0" xfId="1" applyFont="1" applyFill="1"/>
    <xf numFmtId="37" fontId="47" fillId="9" borderId="2" xfId="0" applyNumberFormat="1" applyFont="1" applyFill="1" applyBorder="1"/>
    <xf numFmtId="168" fontId="4" fillId="2" borderId="0" xfId="2" applyNumberFormat="1" applyFont="1" applyFill="1" applyAlignment="1">
      <alignment horizontal="center"/>
    </xf>
    <xf numFmtId="8" fontId="4" fillId="0" borderId="0" xfId="0" applyNumberFormat="1" applyFont="1"/>
    <xf numFmtId="9" fontId="34" fillId="2" borderId="0" xfId="0" applyNumberFormat="1" applyFont="1" applyFill="1"/>
    <xf numFmtId="8" fontId="34" fillId="2" borderId="0" xfId="0" applyNumberFormat="1" applyFont="1" applyFill="1"/>
    <xf numFmtId="43" fontId="0" fillId="2" borderId="0" xfId="1" applyFont="1" applyFill="1" applyBorder="1" applyAlignment="1">
      <alignment horizontal="right"/>
    </xf>
    <xf numFmtId="43" fontId="0" fillId="2" borderId="0" xfId="0" applyNumberFormat="1" applyFill="1" applyAlignment="1">
      <alignment horizontal="right"/>
    </xf>
    <xf numFmtId="0" fontId="47" fillId="13" borderId="0" xfId="0" applyFont="1" applyFill="1"/>
    <xf numFmtId="37" fontId="47" fillId="2" borderId="2" xfId="0" applyNumberFormat="1" applyFont="1" applyFill="1" applyBorder="1"/>
    <xf numFmtId="39" fontId="0" fillId="2" borderId="1" xfId="0" applyNumberFormat="1" applyFill="1" applyBorder="1"/>
    <xf numFmtId="8" fontId="32" fillId="8" borderId="6" xfId="3" applyNumberFormat="1" applyFont="1" applyFill="1" applyBorder="1"/>
    <xf numFmtId="43" fontId="49" fillId="0" borderId="0" xfId="0" applyNumberFormat="1" applyFont="1"/>
    <xf numFmtId="167" fontId="59" fillId="0" borderId="0" xfId="0" applyNumberFormat="1" applyFont="1"/>
    <xf numFmtId="168" fontId="89" fillId="0" borderId="0" xfId="0" applyNumberFormat="1" applyFont="1"/>
    <xf numFmtId="43" fontId="12" fillId="0" borderId="0" xfId="1" applyFont="1"/>
    <xf numFmtId="43" fontId="12" fillId="0" borderId="1" xfId="1" applyFont="1" applyBorder="1"/>
    <xf numFmtId="43" fontId="16" fillId="0" borderId="1" xfId="1" applyFont="1" applyBorder="1"/>
    <xf numFmtId="168" fontId="16" fillId="0" borderId="0" xfId="0" applyNumberFormat="1" applyFont="1"/>
    <xf numFmtId="168" fontId="41" fillId="0" borderId="0" xfId="2" applyNumberFormat="1" applyFont="1"/>
    <xf numFmtId="181" fontId="36" fillId="0" borderId="0" xfId="0" applyNumberFormat="1" applyFont="1"/>
    <xf numFmtId="196" fontId="109" fillId="22" borderId="0" xfId="0" applyNumberFormat="1" applyFont="1" applyFill="1" applyAlignment="1">
      <alignment horizontal="right"/>
    </xf>
    <xf numFmtId="0" fontId="109" fillId="22" borderId="0" xfId="0" applyFont="1" applyFill="1" applyAlignment="1">
      <alignment horizontal="right"/>
    </xf>
    <xf numFmtId="196" fontId="110" fillId="22" borderId="0" xfId="0" applyNumberFormat="1" applyFont="1" applyFill="1" applyAlignment="1">
      <alignment horizontal="right"/>
    </xf>
    <xf numFmtId="0" fontId="107" fillId="22" borderId="0" xfId="0" applyFont="1" applyFill="1" applyAlignment="1">
      <alignment horizontal="left" indent="1"/>
    </xf>
    <xf numFmtId="0" fontId="107" fillId="22" borderId="0" xfId="0" applyFont="1" applyFill="1" applyAlignment="1">
      <alignment horizontal="left"/>
    </xf>
    <xf numFmtId="195" fontId="107" fillId="22" borderId="0" xfId="0" applyNumberFormat="1" applyFont="1" applyFill="1" applyAlignment="1">
      <alignment horizontal="right"/>
    </xf>
    <xf numFmtId="0" fontId="107" fillId="0" borderId="0" xfId="0" applyFont="1"/>
    <xf numFmtId="196" fontId="110" fillId="0" borderId="0" xfId="0" applyNumberFormat="1" applyFont="1" applyAlignment="1">
      <alignment horizontal="right"/>
    </xf>
    <xf numFmtId="0" fontId="107" fillId="0" borderId="0" xfId="0" applyFont="1" applyAlignment="1">
      <alignment horizontal="left"/>
    </xf>
    <xf numFmtId="181" fontId="107" fillId="0" borderId="0" xfId="1" applyNumberFormat="1" applyFont="1"/>
    <xf numFmtId="0" fontId="107" fillId="0" borderId="0" xfId="27" quotePrefix="1"/>
    <xf numFmtId="0" fontId="108" fillId="0" borderId="0" xfId="27" quotePrefix="1" applyFont="1"/>
    <xf numFmtId="181" fontId="108" fillId="0" borderId="0" xfId="1" applyNumberFormat="1" applyFont="1"/>
    <xf numFmtId="181" fontId="107" fillId="0" borderId="1" xfId="1" applyNumberFormat="1" applyFont="1" applyBorder="1"/>
    <xf numFmtId="0" fontId="0" fillId="9" borderId="1" xfId="0" applyFill="1" applyBorder="1"/>
    <xf numFmtId="0" fontId="0" fillId="9" borderId="2" xfId="0" applyFill="1" applyBorder="1"/>
    <xf numFmtId="168" fontId="4" fillId="9" borderId="0" xfId="2" applyNumberFormat="1" applyFont="1" applyFill="1"/>
    <xf numFmtId="167" fontId="0" fillId="9" borderId="0" xfId="0" applyNumberFormat="1" applyFill="1"/>
    <xf numFmtId="181" fontId="9" fillId="9" borderId="1" xfId="1" applyNumberFormat="1" applyFont="1" applyFill="1" applyBorder="1"/>
    <xf numFmtId="167" fontId="9" fillId="9" borderId="0" xfId="0" applyNumberFormat="1" applyFont="1" applyFill="1"/>
    <xf numFmtId="181" fontId="9" fillId="9" borderId="1" xfId="0" applyNumberFormat="1" applyFont="1" applyFill="1" applyBorder="1"/>
    <xf numFmtId="181" fontId="18" fillId="9" borderId="0" xfId="1" applyNumberFormat="1" applyFont="1" applyFill="1"/>
    <xf numFmtId="174" fontId="18" fillId="9" borderId="0" xfId="1" applyNumberFormat="1" applyFont="1" applyFill="1"/>
    <xf numFmtId="174" fontId="4" fillId="9" borderId="0" xfId="1" applyNumberFormat="1" applyFont="1" applyFill="1"/>
    <xf numFmtId="0" fontId="4" fillId="9" borderId="2" xfId="0" applyFont="1" applyFill="1" applyBorder="1" applyAlignment="1">
      <alignment horizontal="right"/>
    </xf>
    <xf numFmtId="181" fontId="18" fillId="9" borderId="0" xfId="1" applyNumberFormat="1" applyFont="1" applyFill="1" applyBorder="1"/>
    <xf numFmtId="181" fontId="18" fillId="9" borderId="1" xfId="1" applyNumberFormat="1" applyFont="1" applyFill="1" applyBorder="1"/>
    <xf numFmtId="43" fontId="9" fillId="9" borderId="0" xfId="1" applyFont="1" applyFill="1"/>
    <xf numFmtId="43" fontId="9" fillId="9" borderId="1" xfId="1" applyFont="1" applyFill="1" applyBorder="1"/>
    <xf numFmtId="43" fontId="0" fillId="9" borderId="1" xfId="0" applyNumberFormat="1" applyFill="1" applyBorder="1"/>
    <xf numFmtId="43" fontId="0" fillId="9" borderId="2" xfId="1" applyFont="1" applyFill="1" applyBorder="1"/>
    <xf numFmtId="43" fontId="4" fillId="9" borderId="0" xfId="1" applyFont="1" applyFill="1"/>
    <xf numFmtId="181" fontId="9" fillId="3" borderId="1" xfId="1" applyNumberFormat="1" applyFont="1" applyFill="1" applyBorder="1"/>
    <xf numFmtId="181" fontId="49" fillId="3" borderId="0" xfId="1" applyNumberFormat="1" applyFont="1" applyFill="1"/>
    <xf numFmtId="43" fontId="49" fillId="3" borderId="0" xfId="1" applyFont="1" applyFill="1" applyBorder="1" applyAlignment="1">
      <alignment horizontal="right"/>
    </xf>
    <xf numFmtId="43" fontId="9" fillId="3" borderId="1" xfId="1" applyFont="1" applyFill="1" applyBorder="1" applyAlignment="1">
      <alignment horizontal="right"/>
    </xf>
    <xf numFmtId="43" fontId="49" fillId="3" borderId="0" xfId="0" applyNumberFormat="1" applyFont="1" applyFill="1"/>
    <xf numFmtId="43" fontId="12" fillId="0" borderId="0" xfId="1" applyFont="1" applyBorder="1"/>
    <xf numFmtId="168" fontId="12" fillId="0" borderId="0" xfId="0" quotePrefix="1" applyNumberFormat="1" applyFont="1" applyAlignment="1">
      <alignment horizontal="center"/>
    </xf>
    <xf numFmtId="168" fontId="12" fillId="0" borderId="1" xfId="0" applyNumberFormat="1" applyFont="1" applyBorder="1"/>
    <xf numFmtId="10" fontId="12" fillId="0" borderId="1" xfId="0" applyNumberFormat="1" applyFont="1" applyBorder="1"/>
    <xf numFmtId="9" fontId="12" fillId="0" borderId="0" xfId="2" applyFont="1" applyFill="1" applyBorder="1"/>
    <xf numFmtId="9" fontId="4" fillId="0" borderId="1" xfId="2" applyFont="1" applyBorder="1"/>
    <xf numFmtId="174" fontId="47" fillId="0" borderId="0" xfId="3" applyNumberFormat="1" applyFont="1"/>
    <xf numFmtId="14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43" fontId="0" fillId="0" borderId="0" xfId="1" applyFont="1" applyAlignment="1">
      <alignment horizontal="center"/>
    </xf>
    <xf numFmtId="168" fontId="0" fillId="0" borderId="1" xfId="2" applyNumberFormat="1" applyFont="1" applyBorder="1"/>
    <xf numFmtId="181" fontId="0" fillId="0" borderId="0" xfId="1" applyNumberFormat="1" applyFont="1" applyAlignment="1">
      <alignment horizontal="center"/>
    </xf>
    <xf numFmtId="174" fontId="77" fillId="0" borderId="1" xfId="0" applyNumberFormat="1" applyFont="1" applyBorder="1"/>
    <xf numFmtId="14" fontId="12" fillId="0" borderId="1" xfId="0" applyNumberFormat="1" applyFont="1" applyBorder="1" applyAlignment="1">
      <alignment horizontal="left"/>
    </xf>
    <xf numFmtId="166" fontId="24" fillId="0" borderId="1" xfId="28" applyNumberFormat="1" applyFont="1" applyBorder="1" applyAlignment="1">
      <alignment horizontal="right"/>
    </xf>
    <xf numFmtId="0" fontId="54" fillId="0" borderId="0" xfId="28" quotePrefix="1" applyFont="1"/>
    <xf numFmtId="0" fontId="24" fillId="0" borderId="0" xfId="28" quotePrefix="1" applyFont="1"/>
    <xf numFmtId="181" fontId="16" fillId="0" borderId="0" xfId="1" applyNumberFormat="1" applyFont="1" applyAlignment="1">
      <alignment horizontal="center"/>
    </xf>
    <xf numFmtId="14" fontId="12" fillId="0" borderId="0" xfId="0" applyNumberFormat="1" applyFont="1" applyAlignment="1">
      <alignment horizontal="left"/>
    </xf>
    <xf numFmtId="9" fontId="12" fillId="0" borderId="1" xfId="2" applyFont="1" applyBorder="1" applyAlignment="1"/>
    <xf numFmtId="0" fontId="12" fillId="0" borderId="1" xfId="0" applyFont="1" applyBorder="1" applyAlignment="1">
      <alignment horizontal="center"/>
    </xf>
    <xf numFmtId="0" fontId="52" fillId="0" borderId="0" xfId="28" quotePrefix="1" applyFont="1"/>
    <xf numFmtId="181" fontId="41" fillId="0" borderId="0" xfId="1" applyNumberFormat="1" applyFont="1" applyAlignment="1">
      <alignment horizontal="center"/>
    </xf>
    <xf numFmtId="168" fontId="48" fillId="0" borderId="0" xfId="2" applyNumberFormat="1" applyFont="1"/>
    <xf numFmtId="181" fontId="9" fillId="0" borderId="0" xfId="0" applyNumberFormat="1" applyFont="1"/>
    <xf numFmtId="43" fontId="35" fillId="0" borderId="0" xfId="1" applyFont="1"/>
    <xf numFmtId="185" fontId="9" fillId="0" borderId="0" xfId="1" applyNumberFormat="1" applyFont="1"/>
    <xf numFmtId="181" fontId="49" fillId="0" borderId="0" xfId="0" applyNumberFormat="1" applyFont="1"/>
    <xf numFmtId="43" fontId="35" fillId="0" borderId="1" xfId="1" applyFont="1" applyBorder="1"/>
    <xf numFmtId="37" fontId="9" fillId="6" borderId="3" xfId="3" applyNumberFormat="1" applyFont="1" applyFill="1" applyBorder="1"/>
    <xf numFmtId="37" fontId="9" fillId="2" borderId="0" xfId="3" applyNumberFormat="1" applyFont="1" applyFill="1"/>
    <xf numFmtId="37" fontId="35" fillId="3" borderId="0" xfId="3" applyNumberFormat="1" applyFont="1" applyFill="1"/>
    <xf numFmtId="37" fontId="12" fillId="3" borderId="1" xfId="3" applyNumberFormat="1" applyFont="1" applyFill="1" applyBorder="1"/>
    <xf numFmtId="37" fontId="9" fillId="3" borderId="0" xfId="3" applyNumberFormat="1" applyFont="1" applyFill="1"/>
    <xf numFmtId="37" fontId="12" fillId="3" borderId="0" xfId="3" applyNumberFormat="1" applyFont="1" applyFill="1"/>
    <xf numFmtId="37" fontId="35" fillId="2" borderId="0" xfId="3" applyNumberFormat="1" applyFont="1" applyFill="1"/>
    <xf numFmtId="10" fontId="9" fillId="6" borderId="14" xfId="3" applyNumberFormat="1" applyFont="1" applyFill="1" applyBorder="1"/>
    <xf numFmtId="168" fontId="9" fillId="2" borderId="28" xfId="3" applyNumberFormat="1" applyFont="1" applyFill="1" applyBorder="1"/>
    <xf numFmtId="168" fontId="9" fillId="2" borderId="29" xfId="3" applyNumberFormat="1" applyFont="1" applyFill="1" applyBorder="1"/>
    <xf numFmtId="10" fontId="12" fillId="6" borderId="1" xfId="3" applyNumberFormat="1" applyFont="1" applyFill="1" applyBorder="1"/>
    <xf numFmtId="220" fontId="25" fillId="0" borderId="0" xfId="0" applyNumberFormat="1" applyFont="1"/>
    <xf numFmtId="0" fontId="25" fillId="0" borderId="0" xfId="0" applyFont="1" applyAlignment="1">
      <alignment horizontal="right"/>
    </xf>
    <xf numFmtId="2" fontId="25" fillId="0" borderId="0" xfId="0" applyNumberFormat="1" applyFont="1"/>
    <xf numFmtId="0" fontId="25" fillId="0" borderId="0" xfId="0" applyFont="1"/>
    <xf numFmtId="43" fontId="0" fillId="0" borderId="0" xfId="7" applyFont="1"/>
    <xf numFmtId="181" fontId="4" fillId="3" borderId="2" xfId="1" applyNumberFormat="1" applyFont="1" applyFill="1" applyBorder="1"/>
    <xf numFmtId="181" fontId="46" fillId="0" borderId="0" xfId="0" applyNumberFormat="1" applyFont="1"/>
    <xf numFmtId="10" fontId="9" fillId="12" borderId="9" xfId="3" applyNumberFormat="1" applyFont="1" applyFill="1" applyBorder="1"/>
    <xf numFmtId="37" fontId="7" fillId="0" borderId="23" xfId="3" quotePrefix="1" applyNumberFormat="1" applyFont="1" applyBorder="1" applyAlignment="1">
      <alignment horizontal="right"/>
    </xf>
    <xf numFmtId="37" fontId="8" fillId="0" borderId="23" xfId="0" applyNumberFormat="1" applyFont="1" applyBorder="1"/>
    <xf numFmtId="37" fontId="29" fillId="0" borderId="23" xfId="0" applyNumberFormat="1" applyFont="1" applyBorder="1"/>
    <xf numFmtId="37" fontId="13" fillId="0" borderId="23" xfId="4" applyNumberFormat="1" applyFont="1" applyBorder="1"/>
    <xf numFmtId="37" fontId="18" fillId="2" borderId="23" xfId="9" applyNumberFormat="1" applyFont="1" applyFill="1" applyBorder="1" applyAlignment="1">
      <alignment horizontal="right"/>
    </xf>
    <xf numFmtId="37" fontId="47" fillId="2" borderId="23" xfId="9" applyNumberFormat="1" applyFont="1" applyFill="1" applyBorder="1" applyAlignment="1">
      <alignment horizontal="right"/>
    </xf>
    <xf numFmtId="37" fontId="9" fillId="2" borderId="23" xfId="9" applyNumberFormat="1" applyFont="1" applyFill="1" applyBorder="1" applyAlignment="1">
      <alignment horizontal="right"/>
    </xf>
    <xf numFmtId="37" fontId="47" fillId="11" borderId="23" xfId="9" applyNumberFormat="1" applyFont="1" applyFill="1" applyBorder="1" applyAlignment="1">
      <alignment horizontal="right"/>
    </xf>
    <xf numFmtId="37" fontId="46" fillId="2" borderId="23" xfId="5" applyNumberFormat="1" applyFont="1" applyFill="1" applyBorder="1"/>
    <xf numFmtId="37" fontId="5" fillId="0" borderId="23" xfId="15" applyNumberFormat="1" applyFont="1" applyBorder="1"/>
    <xf numFmtId="37" fontId="8" fillId="0" borderId="23" xfId="15" applyNumberFormat="1" applyFont="1" applyBorder="1"/>
    <xf numFmtId="37" fontId="31" fillId="0" borderId="23" xfId="15" applyNumberFormat="1" applyFont="1" applyBorder="1"/>
    <xf numFmtId="0" fontId="0" fillId="0" borderId="23" xfId="0" applyBorder="1" applyAlignment="1">
      <alignment horizontal="left"/>
    </xf>
    <xf numFmtId="37" fontId="24" fillId="2" borderId="23" xfId="0" applyNumberFormat="1" applyFont="1" applyFill="1" applyBorder="1"/>
    <xf numFmtId="37" fontId="27" fillId="2" borderId="23" xfId="0" applyNumberFormat="1" applyFont="1" applyFill="1" applyBorder="1"/>
    <xf numFmtId="37" fontId="8" fillId="2" borderId="23" xfId="0" applyNumberFormat="1" applyFont="1" applyFill="1" applyBorder="1"/>
    <xf numFmtId="37" fontId="29" fillId="2" borderId="23" xfId="0" applyNumberFormat="1" applyFont="1" applyFill="1" applyBorder="1"/>
    <xf numFmtId="37" fontId="12" fillId="0" borderId="23" xfId="0" applyNumberFormat="1" applyFont="1" applyBorder="1"/>
    <xf numFmtId="37" fontId="0" fillId="2" borderId="23" xfId="0" applyNumberFormat="1" applyFill="1" applyBorder="1"/>
    <xf numFmtId="9" fontId="4" fillId="0" borderId="23" xfId="0" applyNumberFormat="1" applyFont="1" applyBorder="1"/>
    <xf numFmtId="37" fontId="40" fillId="0" borderId="23" xfId="0" applyNumberFormat="1" applyFont="1" applyBorder="1"/>
    <xf numFmtId="5" fontId="4" fillId="0" borderId="23" xfId="0" applyNumberFormat="1" applyFont="1" applyBorder="1"/>
    <xf numFmtId="37" fontId="18" fillId="2" borderId="23" xfId="0" applyNumberFormat="1" applyFont="1" applyFill="1" applyBorder="1"/>
    <xf numFmtId="0" fontId="12" fillId="0" borderId="23" xfId="0" applyFont="1" applyBorder="1" applyAlignment="1">
      <alignment horizontal="left"/>
    </xf>
    <xf numFmtId="37" fontId="59" fillId="3" borderId="23" xfId="0" applyNumberFormat="1" applyFont="1" applyFill="1" applyBorder="1"/>
    <xf numFmtId="37" fontId="84" fillId="0" borderId="23" xfId="0" applyNumberFormat="1" applyFont="1" applyBorder="1"/>
    <xf numFmtId="7" fontId="4" fillId="0" borderId="23" xfId="0" applyNumberFormat="1" applyFont="1" applyBorder="1"/>
    <xf numFmtId="170" fontId="4" fillId="0" borderId="23" xfId="0" applyNumberFormat="1" applyFont="1" applyBorder="1"/>
    <xf numFmtId="169" fontId="4" fillId="0" borderId="23" xfId="0" applyNumberFormat="1" applyFont="1" applyBorder="1"/>
    <xf numFmtId="3" fontId="4" fillId="0" borderId="23" xfId="0" applyNumberFormat="1" applyFont="1" applyBorder="1"/>
    <xf numFmtId="167" fontId="4" fillId="0" borderId="23" xfId="0" applyNumberFormat="1" applyFont="1" applyBorder="1"/>
    <xf numFmtId="0" fontId="24" fillId="0" borderId="23" xfId="0" applyFont="1" applyBorder="1" applyAlignment="1">
      <alignment wrapText="1"/>
    </xf>
    <xf numFmtId="0" fontId="5" fillId="0" borderId="23" xfId="0" applyFont="1" applyBorder="1"/>
    <xf numFmtId="37" fontId="24" fillId="0" borderId="23" xfId="0" applyNumberFormat="1" applyFont="1" applyBorder="1" applyAlignment="1">
      <alignment wrapText="1"/>
    </xf>
    <xf numFmtId="170" fontId="8" fillId="0" borderId="23" xfId="0" applyNumberFormat="1" applyFont="1" applyBorder="1"/>
    <xf numFmtId="173" fontId="4" fillId="0" borderId="23" xfId="0" applyNumberFormat="1" applyFont="1" applyBorder="1"/>
    <xf numFmtId="0" fontId="34" fillId="0" borderId="23" xfId="0" applyFont="1" applyBorder="1" applyAlignment="1">
      <alignment horizontal="right" wrapText="1"/>
    </xf>
    <xf numFmtId="167" fontId="0" fillId="0" borderId="23" xfId="0" applyNumberFormat="1" applyBorder="1"/>
    <xf numFmtId="14" fontId="9" fillId="0" borderId="23" xfId="0" applyNumberFormat="1" applyFont="1" applyBorder="1"/>
    <xf numFmtId="37" fontId="49" fillId="2" borderId="23" xfId="3" applyNumberFormat="1" applyFont="1" applyFill="1" applyBorder="1"/>
    <xf numFmtId="37" fontId="12" fillId="2" borderId="23" xfId="3" applyNumberFormat="1" applyFont="1" applyFill="1" applyBorder="1"/>
    <xf numFmtId="37" fontId="16" fillId="2" borderId="23" xfId="3" applyNumberFormat="1" applyFont="1" applyFill="1" applyBorder="1"/>
    <xf numFmtId="37" fontId="12" fillId="6" borderId="23" xfId="3" applyNumberFormat="1" applyFont="1" applyFill="1" applyBorder="1"/>
    <xf numFmtId="37" fontId="12" fillId="3" borderId="23" xfId="3" applyNumberFormat="1" applyFont="1" applyFill="1" applyBorder="1"/>
    <xf numFmtId="37" fontId="16" fillId="6" borderId="23" xfId="3" applyNumberFormat="1" applyFont="1" applyFill="1" applyBorder="1"/>
    <xf numFmtId="37" fontId="47" fillId="0" borderId="23" xfId="3" applyNumberFormat="1" applyFont="1" applyBorder="1"/>
    <xf numFmtId="37" fontId="28" fillId="2" borderId="23" xfId="1" applyNumberFormat="1" applyFont="1" applyFill="1" applyBorder="1" applyAlignment="1">
      <alignment horizontal="right"/>
    </xf>
    <xf numFmtId="181" fontId="7" fillId="0" borderId="23" xfId="1" applyNumberFormat="1" applyFont="1" applyBorder="1" applyAlignment="1">
      <alignment horizontal="right"/>
    </xf>
    <xf numFmtId="37" fontId="7" fillId="3" borderId="23" xfId="3" applyNumberFormat="1" applyFont="1" applyFill="1" applyBorder="1" applyAlignment="1">
      <alignment horizontal="right"/>
    </xf>
    <xf numFmtId="37" fontId="51" fillId="11" borderId="23" xfId="12" applyNumberFormat="1" applyFont="1" applyFill="1" applyBorder="1"/>
    <xf numFmtId="37" fontId="54" fillId="11" borderId="23" xfId="12" applyNumberFormat="1" applyFont="1" applyFill="1" applyBorder="1" applyAlignment="1">
      <alignment horizontal="right"/>
    </xf>
    <xf numFmtId="37" fontId="7" fillId="2" borderId="23" xfId="3" quotePrefix="1" applyNumberFormat="1" applyFont="1" applyFill="1" applyBorder="1" applyAlignment="1">
      <alignment horizontal="right"/>
    </xf>
    <xf numFmtId="37" fontId="16" fillId="0" borderId="23" xfId="0" applyNumberFormat="1" applyFont="1" applyBorder="1" applyAlignment="1">
      <alignment horizontal="right" wrapText="1"/>
    </xf>
    <xf numFmtId="10" fontId="16" fillId="0" borderId="23" xfId="0" applyNumberFormat="1" applyFont="1" applyBorder="1"/>
    <xf numFmtId="167" fontId="16" fillId="0" borderId="23" xfId="0" applyNumberFormat="1" applyFont="1" applyBorder="1"/>
    <xf numFmtId="37" fontId="9" fillId="0" borderId="23" xfId="0" applyNumberFormat="1" applyFont="1" applyBorder="1" applyAlignment="1">
      <alignment horizontal="right" wrapText="1"/>
    </xf>
    <xf numFmtId="37" fontId="4" fillId="0" borderId="23" xfId="0" applyNumberFormat="1" applyFont="1" applyBorder="1" applyAlignment="1">
      <alignment horizontal="right" wrapText="1"/>
    </xf>
    <xf numFmtId="37" fontId="0" fillId="0" borderId="23" xfId="0" applyNumberFormat="1" applyBorder="1" applyAlignment="1">
      <alignment horizontal="right" wrapText="1"/>
    </xf>
    <xf numFmtId="37" fontId="12" fillId="0" borderId="23" xfId="0" applyNumberFormat="1" applyFont="1" applyBorder="1" applyAlignment="1">
      <alignment horizontal="right" wrapText="1"/>
    </xf>
    <xf numFmtId="0" fontId="0" fillId="0" borderId="23" xfId="0" applyBorder="1" applyAlignment="1">
      <alignment horizontal="left" wrapText="1"/>
    </xf>
    <xf numFmtId="7" fontId="16" fillId="0" borderId="23" xfId="0" applyNumberFormat="1" applyFont="1" applyBorder="1"/>
    <xf numFmtId="14" fontId="0" fillId="9" borderId="0" xfId="0" applyNumberFormat="1" applyFill="1"/>
    <xf numFmtId="14" fontId="0" fillId="2" borderId="0" xfId="0" applyNumberFormat="1" applyFill="1"/>
    <xf numFmtId="0" fontId="4" fillId="0" borderId="1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0" xfId="0" applyFont="1" applyAlignment="1">
      <alignment horizontal="center" vertical="center" textRotation="90"/>
    </xf>
    <xf numFmtId="0" fontId="24" fillId="0" borderId="23" xfId="0" applyFont="1" applyBorder="1" applyAlignment="1">
      <alignment horizontal="center" wrapText="1"/>
    </xf>
    <xf numFmtId="0" fontId="8" fillId="0" borderId="23" xfId="0" applyFont="1" applyBorder="1" applyAlignment="1">
      <alignment horizontal="center" wrapText="1"/>
    </xf>
    <xf numFmtId="0" fontId="4" fillId="0" borderId="23" xfId="0" applyFont="1" applyBorder="1" applyAlignment="1">
      <alignment horizontal="center" vertical="center" textRotation="90"/>
    </xf>
    <xf numFmtId="0" fontId="4" fillId="0" borderId="1" xfId="0" applyFont="1" applyBorder="1" applyAlignment="1">
      <alignment horizontal="center" vertical="center" textRotation="90"/>
    </xf>
    <xf numFmtId="37" fontId="24" fillId="2" borderId="23" xfId="19" applyNumberFormat="1" applyFont="1" applyFill="1" applyBorder="1" applyAlignment="1">
      <alignment horizontal="center"/>
    </xf>
    <xf numFmtId="0" fontId="93" fillId="2" borderId="1" xfId="0" applyFont="1" applyFill="1" applyBorder="1" applyAlignment="1">
      <alignment horizontal="center"/>
    </xf>
    <xf numFmtId="0" fontId="93" fillId="2" borderId="0" xfId="0" applyFont="1" applyFill="1" applyAlignment="1">
      <alignment horizontal="center"/>
    </xf>
    <xf numFmtId="0" fontId="16" fillId="0" borderId="23" xfId="0" applyFont="1" applyBorder="1" applyAlignment="1">
      <alignment horizontal="center" wrapText="1"/>
    </xf>
  </cellXfs>
  <cellStyles count="29">
    <cellStyle name="_x000a_386grabber=M" xfId="4" xr:uid="{7D718510-9419-4014-A741-77E4C6F8AEE4}"/>
    <cellStyle name="_x000a_386grabber=M 3" xfId="18" xr:uid="{643D95B4-D197-4DE7-A34A-1E0128D9270E}"/>
    <cellStyle name="******************************************" xfId="13" xr:uid="{01E744BE-FB49-48E4-B6DD-DE2C3B1E062D}"/>
    <cellStyle name="Comma" xfId="1" builtinId="3"/>
    <cellStyle name="Comma 2" xfId="7" xr:uid="{B2BB9493-604D-45E6-AB93-2F573F7CACCA}"/>
    <cellStyle name="Comma 2 2" xfId="21" xr:uid="{13B87DDB-8C34-4780-A0E4-E5A79CCDDDEE}"/>
    <cellStyle name="Comma 3" xfId="25" xr:uid="{577D6EAC-C992-45C4-956A-A39138C65070}"/>
    <cellStyle name="Currency" xfId="11" builtinId="4"/>
    <cellStyle name="Hyperlink" xfId="14" builtinId="8"/>
    <cellStyle name="Input Data" xfId="16" xr:uid="{77B3FD66-4D6A-4CF9-BAF6-5B40BCDEA4AB}"/>
    <cellStyle name="Normal" xfId="0" builtinId="0"/>
    <cellStyle name="Normal 14" xfId="28" xr:uid="{6409D947-6130-4CF9-8495-F39CA8CFCDB3}"/>
    <cellStyle name="Normal 19" xfId="8" xr:uid="{7D653C55-FF0D-4071-8786-567DC0AF4D9B}"/>
    <cellStyle name="Normal 2" xfId="15" xr:uid="{3954223A-BB30-4782-BA47-429A2454A47C}"/>
    <cellStyle name="Normal 2 3" xfId="12" xr:uid="{65B802B5-5114-4E52-9A1E-A13F20D0D1F8}"/>
    <cellStyle name="Normal 3" xfId="20" xr:uid="{D6C0C022-BFAF-4C44-934C-D642AEAD2C2F}"/>
    <cellStyle name="Normal 3 2" xfId="19" xr:uid="{36FDF3EC-CB02-4EE2-B12C-EE7A364894D7}"/>
    <cellStyle name="Normal 4" xfId="22" xr:uid="{42379612-C3E5-4440-AFE8-F90A8C1E45D1}"/>
    <cellStyle name="Normal 5" xfId="26" xr:uid="{CB74785C-CEF2-4360-A138-65F178447281}"/>
    <cellStyle name="Normal 6" xfId="27" xr:uid="{2FE2EC8D-26BB-4680-823B-46E3CFEB97CC}"/>
    <cellStyle name="Normal_AMT Model New_wip" xfId="5" xr:uid="{F3DE8F9A-A8CE-40AE-84AC-852DDB104859}"/>
    <cellStyle name="Normal_PCS Model New" xfId="6" xr:uid="{B09F207C-E0AF-4988-A89F-06039C6BC701}"/>
    <cellStyle name="Normal_S Model New" xfId="3" xr:uid="{FF9A6214-22FB-4F35-9507-B6BEEEC36924}"/>
    <cellStyle name="Normal_S Model New 2" xfId="24" xr:uid="{0B81C333-5AE9-4CDA-B952-D373049B2775}"/>
    <cellStyle name="Normal_TheGeorge" xfId="17" xr:uid="{646A429C-D05A-4B91-AA26-E07D62E23365}"/>
    <cellStyle name="Percent" xfId="2" builtinId="5"/>
    <cellStyle name="Percent 2" xfId="9" xr:uid="{7133CA0D-2912-4AEA-8584-26040B07EA3C}"/>
    <cellStyle name="Percent 2 2" xfId="10" xr:uid="{9CAB7AA4-AFFC-4020-A02B-8DA1ED3C97ED}"/>
    <cellStyle name="Percent 3" xfId="23" xr:uid="{AD186616-FC19-4A92-BA35-5987A82CC725}"/>
  </cellStyles>
  <dxfs count="0"/>
  <tableStyles count="0" defaultTableStyle="TableStyleMedium2" defaultPivotStyle="PivotStyleLight16"/>
  <colors>
    <mruColors>
      <color rgb="FF263238"/>
      <color rgb="FF0000FF"/>
      <color rgb="FF008000"/>
      <color rgb="FFF19375"/>
      <color rgb="FFB0BEC5"/>
      <color rgb="FF91A4AD"/>
      <color rgb="FF3366FF"/>
      <color rgb="FF000080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15.xml"/><Relationship Id="rId50" Type="http://schemas.openxmlformats.org/officeDocument/2006/relationships/styles" Target="styles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externalLink" Target="externalLinks/externalLink8.xml"/><Relationship Id="rId45" Type="http://schemas.openxmlformats.org/officeDocument/2006/relationships/externalLink" Target="externalLinks/externalLink13.xml"/><Relationship Id="rId53" Type="http://schemas.microsoft.com/office/2017/10/relationships/person" Target="persons/person.xml"/><Relationship Id="rId58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16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46" Type="http://schemas.openxmlformats.org/officeDocument/2006/relationships/externalLink" Target="externalLinks/externalLink1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9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49" Type="http://schemas.openxmlformats.org/officeDocument/2006/relationships/theme" Target="theme/theme1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2.xml"/><Relationship Id="rId52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6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7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8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9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Analysis!$B$3590:$F$3590</c:f>
              <c:numCache>
                <c:formatCode>0_);\(0\)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Analysis!$B$3591:$F$3591</c:f>
              <c:numCache>
                <c:formatCode>#,##0_);\(#,##0\)</c:formatCode>
                <c:ptCount val="5"/>
                <c:pt idx="0">
                  <c:v>305.92353495920327</c:v>
                </c:pt>
                <c:pt idx="1">
                  <c:v>-477.11713835529531</c:v>
                </c:pt>
                <c:pt idx="2">
                  <c:v>-962.71503184759786</c:v>
                </c:pt>
                <c:pt idx="3">
                  <c:v>-1254.6458747133772</c:v>
                </c:pt>
                <c:pt idx="4">
                  <c:v>-1589.0751834754487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C6-4B94-990C-D5BCF5D3D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703411167"/>
        <c:axId val="1703426143"/>
      </c:barChart>
      <c:catAx>
        <c:axId val="1703411167"/>
        <c:scaling>
          <c:orientation val="minMax"/>
        </c:scaling>
        <c:delete val="0"/>
        <c:axPos val="b"/>
        <c:numFmt formatCode="0_);\(0\)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703426143"/>
        <c:crosses val="autoZero"/>
        <c:auto val="1"/>
        <c:lblAlgn val="ctr"/>
        <c:lblOffset val="100"/>
        <c:noMultiLvlLbl val="0"/>
      </c:catAx>
      <c:valAx>
        <c:axId val="1703426143"/>
        <c:scaling>
          <c:orientation val="minMax"/>
        </c:scaling>
        <c:delete val="1"/>
        <c:axPos val="l"/>
        <c:numFmt formatCode="#,##0_);\(#,##0\)" sourceLinked="1"/>
        <c:majorTickMark val="none"/>
        <c:minorTickMark val="none"/>
        <c:tickLblPos val="nextTo"/>
        <c:crossAx val="1703411167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800" b="0" i="0" u="none" strike="noStrike" baseline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 orientation="portrait" horizontalDpi="1200" verticalDpi="12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Analysis!$A$1851:$A$1855</c:f>
              <c:strCache>
                <c:ptCount val="5"/>
                <c:pt idx="0">
                  <c:v>Cash on hand</c:v>
                </c:pt>
                <c:pt idx="1">
                  <c:v>2024 FCF burn</c:v>
                </c:pt>
                <c:pt idx="2">
                  <c:v>2025 FCF burn</c:v>
                </c:pt>
                <c:pt idx="3">
                  <c:v>2026 FCF burn</c:v>
                </c:pt>
                <c:pt idx="4">
                  <c:v>Funding shortfall</c:v>
                </c:pt>
              </c:strCache>
            </c:strRef>
          </c:cat>
          <c:val>
            <c:numRef>
              <c:f>Analysis!$B$1851:$B$1855</c:f>
              <c:numCache>
                <c:formatCode>_(* #,##0_);_(* \(#,##0\);_(* "-"??_);_(@_)</c:formatCode>
                <c:ptCount val="5"/>
                <c:pt idx="0">
                  <c:v>2200</c:v>
                </c:pt>
                <c:pt idx="1">
                  <c:v>549</c:v>
                </c:pt>
                <c:pt idx="2">
                  <c:v>-1289.2067340418082</c:v>
                </c:pt>
                <c:pt idx="3">
                  <c:v>-1289.2067340418082</c:v>
                </c:pt>
                <c:pt idx="4">
                  <c:v>-2868.955249149084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D-477A-B5AE-72C659D0C9D1}"/>
            </c:ext>
          </c:extLst>
        </c:ser>
        <c:ser>
          <c:idx val="1"/>
          <c:order val="1"/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26323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1B1-4FCF-8C41-CE96C2BE43EB}"/>
              </c:ext>
            </c:extLst>
          </c:dPt>
          <c:dPt>
            <c:idx val="3"/>
            <c:invertIfNegative val="0"/>
            <c:bubble3D val="0"/>
            <c:spPr>
              <a:solidFill>
                <a:srgbClr val="26323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1B1-4FCF-8C41-CE96C2BE43EB}"/>
              </c:ext>
            </c:extLst>
          </c:dPt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B1-4FCF-8C41-CE96C2BE43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Analysis!$A$1851:$A$1855</c:f>
              <c:strCache>
                <c:ptCount val="5"/>
                <c:pt idx="0">
                  <c:v>Cash on hand</c:v>
                </c:pt>
                <c:pt idx="1">
                  <c:v>2024 FCF burn</c:v>
                </c:pt>
                <c:pt idx="2">
                  <c:v>2025 FCF burn</c:v>
                </c:pt>
                <c:pt idx="3">
                  <c:v>2026 FCF burn</c:v>
                </c:pt>
                <c:pt idx="4">
                  <c:v>Funding shortfall</c:v>
                </c:pt>
              </c:strCache>
            </c:strRef>
          </c:cat>
          <c:val>
            <c:numRef>
              <c:f>Analysis!$C$1851:$C$1855</c:f>
              <c:numCache>
                <c:formatCode>_(* #,##0_);_(* \(#,##0\);_(* "-"??_);_(@_)</c:formatCode>
                <c:ptCount val="5"/>
                <c:pt idx="1">
                  <c:v>1651</c:v>
                </c:pt>
                <c:pt idx="2">
                  <c:v>549</c:v>
                </c:pt>
                <c:pt idx="3">
                  <c:v>-1579.7485151072758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DD-477A-B5AE-72C659D0C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263238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Proxy_DCF!$A$287:$A$463</c:f>
              <c:numCache>
                <c:formatCode>yyyy\-mm\-dd</c:formatCode>
                <c:ptCount val="177"/>
                <c:pt idx="0">
                  <c:v>45293</c:v>
                </c:pt>
                <c:pt idx="1">
                  <c:v>45294</c:v>
                </c:pt>
                <c:pt idx="2">
                  <c:v>45295</c:v>
                </c:pt>
                <c:pt idx="3">
                  <c:v>45296</c:v>
                </c:pt>
                <c:pt idx="4">
                  <c:v>45299</c:v>
                </c:pt>
                <c:pt idx="5">
                  <c:v>45300</c:v>
                </c:pt>
                <c:pt idx="6">
                  <c:v>45301</c:v>
                </c:pt>
                <c:pt idx="7">
                  <c:v>45302</c:v>
                </c:pt>
                <c:pt idx="8">
                  <c:v>45303</c:v>
                </c:pt>
                <c:pt idx="9">
                  <c:v>45306</c:v>
                </c:pt>
                <c:pt idx="10">
                  <c:v>45307</c:v>
                </c:pt>
                <c:pt idx="11">
                  <c:v>45308</c:v>
                </c:pt>
                <c:pt idx="12">
                  <c:v>45309</c:v>
                </c:pt>
                <c:pt idx="13">
                  <c:v>45310</c:v>
                </c:pt>
                <c:pt idx="14">
                  <c:v>45313</c:v>
                </c:pt>
                <c:pt idx="15">
                  <c:v>45314</c:v>
                </c:pt>
                <c:pt idx="16">
                  <c:v>45315</c:v>
                </c:pt>
                <c:pt idx="17">
                  <c:v>45316</c:v>
                </c:pt>
                <c:pt idx="18">
                  <c:v>45317</c:v>
                </c:pt>
                <c:pt idx="19">
                  <c:v>45320</c:v>
                </c:pt>
                <c:pt idx="20">
                  <c:v>45321</c:v>
                </c:pt>
                <c:pt idx="21">
                  <c:v>45322</c:v>
                </c:pt>
                <c:pt idx="22">
                  <c:v>45323</c:v>
                </c:pt>
                <c:pt idx="23">
                  <c:v>45324</c:v>
                </c:pt>
                <c:pt idx="24">
                  <c:v>45327</c:v>
                </c:pt>
                <c:pt idx="25">
                  <c:v>45328</c:v>
                </c:pt>
                <c:pt idx="26">
                  <c:v>45329</c:v>
                </c:pt>
                <c:pt idx="27">
                  <c:v>45330</c:v>
                </c:pt>
                <c:pt idx="28">
                  <c:v>45331</c:v>
                </c:pt>
                <c:pt idx="29">
                  <c:v>45334</c:v>
                </c:pt>
                <c:pt idx="30">
                  <c:v>45335</c:v>
                </c:pt>
                <c:pt idx="31">
                  <c:v>45336</c:v>
                </c:pt>
                <c:pt idx="32">
                  <c:v>45337</c:v>
                </c:pt>
                <c:pt idx="33">
                  <c:v>45338</c:v>
                </c:pt>
                <c:pt idx="34">
                  <c:v>45341</c:v>
                </c:pt>
                <c:pt idx="35">
                  <c:v>45342</c:v>
                </c:pt>
                <c:pt idx="36">
                  <c:v>45343</c:v>
                </c:pt>
                <c:pt idx="37">
                  <c:v>45344</c:v>
                </c:pt>
                <c:pt idx="38">
                  <c:v>45345</c:v>
                </c:pt>
                <c:pt idx="39">
                  <c:v>45348</c:v>
                </c:pt>
                <c:pt idx="40">
                  <c:v>45349</c:v>
                </c:pt>
                <c:pt idx="41">
                  <c:v>45350</c:v>
                </c:pt>
                <c:pt idx="42">
                  <c:v>45351</c:v>
                </c:pt>
                <c:pt idx="43">
                  <c:v>45352</c:v>
                </c:pt>
                <c:pt idx="44">
                  <c:v>45355</c:v>
                </c:pt>
                <c:pt idx="45">
                  <c:v>45356</c:v>
                </c:pt>
                <c:pt idx="46">
                  <c:v>45357</c:v>
                </c:pt>
                <c:pt idx="47">
                  <c:v>45358</c:v>
                </c:pt>
                <c:pt idx="48">
                  <c:v>45359</c:v>
                </c:pt>
                <c:pt idx="49">
                  <c:v>45362</c:v>
                </c:pt>
                <c:pt idx="50">
                  <c:v>45363</c:v>
                </c:pt>
                <c:pt idx="51">
                  <c:v>45364</c:v>
                </c:pt>
                <c:pt idx="52">
                  <c:v>45365</c:v>
                </c:pt>
                <c:pt idx="53">
                  <c:v>45366</c:v>
                </c:pt>
                <c:pt idx="54">
                  <c:v>45369</c:v>
                </c:pt>
                <c:pt idx="55">
                  <c:v>45370</c:v>
                </c:pt>
                <c:pt idx="56">
                  <c:v>45371</c:v>
                </c:pt>
                <c:pt idx="57">
                  <c:v>45372</c:v>
                </c:pt>
                <c:pt idx="58">
                  <c:v>45373</c:v>
                </c:pt>
                <c:pt idx="59">
                  <c:v>45376</c:v>
                </c:pt>
                <c:pt idx="60">
                  <c:v>45377</c:v>
                </c:pt>
                <c:pt idx="61">
                  <c:v>45378</c:v>
                </c:pt>
                <c:pt idx="62">
                  <c:v>45379</c:v>
                </c:pt>
                <c:pt idx="63">
                  <c:v>45380</c:v>
                </c:pt>
                <c:pt idx="64">
                  <c:v>45383</c:v>
                </c:pt>
                <c:pt idx="65">
                  <c:v>45384</c:v>
                </c:pt>
                <c:pt idx="66">
                  <c:v>45385</c:v>
                </c:pt>
                <c:pt idx="67">
                  <c:v>45386</c:v>
                </c:pt>
                <c:pt idx="68">
                  <c:v>45387</c:v>
                </c:pt>
                <c:pt idx="69">
                  <c:v>45390</c:v>
                </c:pt>
                <c:pt idx="70">
                  <c:v>45391</c:v>
                </c:pt>
                <c:pt idx="71">
                  <c:v>45392</c:v>
                </c:pt>
                <c:pt idx="72">
                  <c:v>45393</c:v>
                </c:pt>
                <c:pt idx="73">
                  <c:v>45394</c:v>
                </c:pt>
                <c:pt idx="74">
                  <c:v>45397</c:v>
                </c:pt>
                <c:pt idx="75">
                  <c:v>45398</c:v>
                </c:pt>
                <c:pt idx="76">
                  <c:v>45399</c:v>
                </c:pt>
                <c:pt idx="77">
                  <c:v>45400</c:v>
                </c:pt>
                <c:pt idx="78">
                  <c:v>45401</c:v>
                </c:pt>
                <c:pt idx="79">
                  <c:v>45404</c:v>
                </c:pt>
                <c:pt idx="80">
                  <c:v>45405</c:v>
                </c:pt>
                <c:pt idx="81">
                  <c:v>45406</c:v>
                </c:pt>
                <c:pt idx="82">
                  <c:v>45407</c:v>
                </c:pt>
                <c:pt idx="83">
                  <c:v>45408</c:v>
                </c:pt>
                <c:pt idx="84">
                  <c:v>45411</c:v>
                </c:pt>
                <c:pt idx="85">
                  <c:v>45412</c:v>
                </c:pt>
                <c:pt idx="86">
                  <c:v>45413</c:v>
                </c:pt>
                <c:pt idx="87">
                  <c:v>45414</c:v>
                </c:pt>
                <c:pt idx="88">
                  <c:v>45415</c:v>
                </c:pt>
                <c:pt idx="89">
                  <c:v>45418</c:v>
                </c:pt>
                <c:pt idx="90">
                  <c:v>45419</c:v>
                </c:pt>
                <c:pt idx="91">
                  <c:v>45420</c:v>
                </c:pt>
                <c:pt idx="92">
                  <c:v>45421</c:v>
                </c:pt>
                <c:pt idx="93">
                  <c:v>45422</c:v>
                </c:pt>
                <c:pt idx="94">
                  <c:v>45425</c:v>
                </c:pt>
                <c:pt idx="95">
                  <c:v>45426</c:v>
                </c:pt>
                <c:pt idx="96">
                  <c:v>45427</c:v>
                </c:pt>
                <c:pt idx="97">
                  <c:v>45428</c:v>
                </c:pt>
                <c:pt idx="98">
                  <c:v>45429</c:v>
                </c:pt>
                <c:pt idx="99">
                  <c:v>45432</c:v>
                </c:pt>
                <c:pt idx="100">
                  <c:v>45433</c:v>
                </c:pt>
                <c:pt idx="101">
                  <c:v>45434</c:v>
                </c:pt>
                <c:pt idx="102">
                  <c:v>45435</c:v>
                </c:pt>
                <c:pt idx="103">
                  <c:v>45436</c:v>
                </c:pt>
                <c:pt idx="104">
                  <c:v>45439</c:v>
                </c:pt>
                <c:pt idx="105">
                  <c:v>45440</c:v>
                </c:pt>
                <c:pt idx="106">
                  <c:v>45441</c:v>
                </c:pt>
                <c:pt idx="107">
                  <c:v>45442</c:v>
                </c:pt>
                <c:pt idx="108">
                  <c:v>45443</c:v>
                </c:pt>
                <c:pt idx="109">
                  <c:v>45446</c:v>
                </c:pt>
                <c:pt idx="110">
                  <c:v>45447</c:v>
                </c:pt>
                <c:pt idx="111">
                  <c:v>45448</c:v>
                </c:pt>
                <c:pt idx="112">
                  <c:v>45449</c:v>
                </c:pt>
                <c:pt idx="113">
                  <c:v>45450</c:v>
                </c:pt>
                <c:pt idx="114">
                  <c:v>45453</c:v>
                </c:pt>
                <c:pt idx="115">
                  <c:v>45454</c:v>
                </c:pt>
                <c:pt idx="116">
                  <c:v>45455</c:v>
                </c:pt>
                <c:pt idx="117">
                  <c:v>45456</c:v>
                </c:pt>
                <c:pt idx="118">
                  <c:v>45457</c:v>
                </c:pt>
                <c:pt idx="119">
                  <c:v>45460</c:v>
                </c:pt>
                <c:pt idx="120">
                  <c:v>45461</c:v>
                </c:pt>
                <c:pt idx="121">
                  <c:v>45462</c:v>
                </c:pt>
                <c:pt idx="122">
                  <c:v>45463</c:v>
                </c:pt>
                <c:pt idx="123">
                  <c:v>45464</c:v>
                </c:pt>
                <c:pt idx="124">
                  <c:v>45467</c:v>
                </c:pt>
                <c:pt idx="125">
                  <c:v>45468</c:v>
                </c:pt>
                <c:pt idx="126">
                  <c:v>45469</c:v>
                </c:pt>
                <c:pt idx="127">
                  <c:v>45470</c:v>
                </c:pt>
                <c:pt idx="128">
                  <c:v>45471</c:v>
                </c:pt>
                <c:pt idx="129">
                  <c:v>45474</c:v>
                </c:pt>
                <c:pt idx="130">
                  <c:v>45475</c:v>
                </c:pt>
                <c:pt idx="131">
                  <c:v>45476</c:v>
                </c:pt>
                <c:pt idx="132">
                  <c:v>45477</c:v>
                </c:pt>
                <c:pt idx="133">
                  <c:v>45478</c:v>
                </c:pt>
                <c:pt idx="134">
                  <c:v>45481</c:v>
                </c:pt>
                <c:pt idx="135">
                  <c:v>45482</c:v>
                </c:pt>
                <c:pt idx="136">
                  <c:v>45483</c:v>
                </c:pt>
                <c:pt idx="137">
                  <c:v>45484</c:v>
                </c:pt>
                <c:pt idx="138">
                  <c:v>45485</c:v>
                </c:pt>
                <c:pt idx="139">
                  <c:v>45488</c:v>
                </c:pt>
                <c:pt idx="140">
                  <c:v>45489</c:v>
                </c:pt>
                <c:pt idx="141">
                  <c:v>45490</c:v>
                </c:pt>
                <c:pt idx="142">
                  <c:v>45491</c:v>
                </c:pt>
                <c:pt idx="143">
                  <c:v>45492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45502</c:v>
                </c:pt>
                <c:pt idx="150">
                  <c:v>45503</c:v>
                </c:pt>
                <c:pt idx="151">
                  <c:v>45504</c:v>
                </c:pt>
                <c:pt idx="152">
                  <c:v>45505</c:v>
                </c:pt>
                <c:pt idx="153">
                  <c:v>45506</c:v>
                </c:pt>
                <c:pt idx="154">
                  <c:v>45509</c:v>
                </c:pt>
                <c:pt idx="155">
                  <c:v>45510</c:v>
                </c:pt>
                <c:pt idx="156">
                  <c:v>45511</c:v>
                </c:pt>
                <c:pt idx="157">
                  <c:v>45512</c:v>
                </c:pt>
                <c:pt idx="158">
                  <c:v>45513</c:v>
                </c:pt>
                <c:pt idx="159">
                  <c:v>45516</c:v>
                </c:pt>
                <c:pt idx="160">
                  <c:v>45517</c:v>
                </c:pt>
                <c:pt idx="161">
                  <c:v>45518</c:v>
                </c:pt>
                <c:pt idx="162">
                  <c:v>45519</c:v>
                </c:pt>
                <c:pt idx="163">
                  <c:v>45520</c:v>
                </c:pt>
                <c:pt idx="164">
                  <c:v>45523</c:v>
                </c:pt>
                <c:pt idx="165">
                  <c:v>45524</c:v>
                </c:pt>
                <c:pt idx="166">
                  <c:v>45525</c:v>
                </c:pt>
                <c:pt idx="167">
                  <c:v>45526</c:v>
                </c:pt>
                <c:pt idx="168">
                  <c:v>45527</c:v>
                </c:pt>
                <c:pt idx="169">
                  <c:v>45530</c:v>
                </c:pt>
                <c:pt idx="170">
                  <c:v>45531</c:v>
                </c:pt>
                <c:pt idx="171">
                  <c:v>45532</c:v>
                </c:pt>
                <c:pt idx="172">
                  <c:v>45533</c:v>
                </c:pt>
                <c:pt idx="173">
                  <c:v>45534</c:v>
                </c:pt>
                <c:pt idx="174">
                  <c:v>45537</c:v>
                </c:pt>
                <c:pt idx="175">
                  <c:v>45538</c:v>
                </c:pt>
                <c:pt idx="176">
                  <c:v>45539</c:v>
                </c:pt>
              </c:numCache>
            </c:numRef>
          </c:cat>
          <c:val>
            <c:numRef>
              <c:f>Proxy_DCF!$B$287:$B$463</c:f>
              <c:numCache>
                <c:formatCode>0.00</c:formatCode>
                <c:ptCount val="177"/>
                <c:pt idx="0">
                  <c:v>3.95</c:v>
                </c:pt>
                <c:pt idx="1">
                  <c:v>3.91</c:v>
                </c:pt>
                <c:pt idx="2">
                  <c:v>3.99</c:v>
                </c:pt>
                <c:pt idx="3">
                  <c:v>4.05</c:v>
                </c:pt>
                <c:pt idx="4">
                  <c:v>4.01</c:v>
                </c:pt>
                <c:pt idx="5">
                  <c:v>4.0199999999999996</c:v>
                </c:pt>
                <c:pt idx="6">
                  <c:v>4.04</c:v>
                </c:pt>
                <c:pt idx="7">
                  <c:v>3.98</c:v>
                </c:pt>
                <c:pt idx="8">
                  <c:v>3.96</c:v>
                </c:pt>
                <c:pt idx="10">
                  <c:v>4.07</c:v>
                </c:pt>
                <c:pt idx="11">
                  <c:v>4.0999999999999996</c:v>
                </c:pt>
                <c:pt idx="12">
                  <c:v>4.1399999999999997</c:v>
                </c:pt>
                <c:pt idx="13">
                  <c:v>4.1500000000000004</c:v>
                </c:pt>
                <c:pt idx="14">
                  <c:v>4.1100000000000003</c:v>
                </c:pt>
                <c:pt idx="15">
                  <c:v>4.1399999999999997</c:v>
                </c:pt>
                <c:pt idx="16">
                  <c:v>4.18</c:v>
                </c:pt>
                <c:pt idx="17">
                  <c:v>4.1399999999999997</c:v>
                </c:pt>
                <c:pt idx="18">
                  <c:v>4.1500000000000004</c:v>
                </c:pt>
                <c:pt idx="19">
                  <c:v>4.08</c:v>
                </c:pt>
                <c:pt idx="20">
                  <c:v>4.0599999999999996</c:v>
                </c:pt>
                <c:pt idx="21">
                  <c:v>3.99</c:v>
                </c:pt>
                <c:pt idx="22">
                  <c:v>3.87</c:v>
                </c:pt>
                <c:pt idx="23">
                  <c:v>4.03</c:v>
                </c:pt>
                <c:pt idx="24">
                  <c:v>4.17</c:v>
                </c:pt>
                <c:pt idx="25">
                  <c:v>4.09</c:v>
                </c:pt>
                <c:pt idx="26">
                  <c:v>4.09</c:v>
                </c:pt>
                <c:pt idx="27">
                  <c:v>4.1500000000000004</c:v>
                </c:pt>
                <c:pt idx="28">
                  <c:v>4.17</c:v>
                </c:pt>
                <c:pt idx="29">
                  <c:v>4.17</c:v>
                </c:pt>
                <c:pt idx="30">
                  <c:v>4.3099999999999996</c:v>
                </c:pt>
                <c:pt idx="31">
                  <c:v>4.2699999999999996</c:v>
                </c:pt>
                <c:pt idx="32">
                  <c:v>4.24</c:v>
                </c:pt>
                <c:pt idx="33">
                  <c:v>4.3</c:v>
                </c:pt>
                <c:pt idx="35">
                  <c:v>4.2699999999999996</c:v>
                </c:pt>
                <c:pt idx="36">
                  <c:v>4.32</c:v>
                </c:pt>
                <c:pt idx="37">
                  <c:v>4.33</c:v>
                </c:pt>
                <c:pt idx="38">
                  <c:v>4.26</c:v>
                </c:pt>
                <c:pt idx="39">
                  <c:v>4.28</c:v>
                </c:pt>
                <c:pt idx="40">
                  <c:v>4.3099999999999996</c:v>
                </c:pt>
                <c:pt idx="41">
                  <c:v>4.2699999999999996</c:v>
                </c:pt>
                <c:pt idx="42">
                  <c:v>4.25</c:v>
                </c:pt>
                <c:pt idx="43">
                  <c:v>4.1900000000000004</c:v>
                </c:pt>
                <c:pt idx="44">
                  <c:v>4.22</c:v>
                </c:pt>
                <c:pt idx="45">
                  <c:v>4.13</c:v>
                </c:pt>
                <c:pt idx="46">
                  <c:v>4.1100000000000003</c:v>
                </c:pt>
                <c:pt idx="47">
                  <c:v>4.09</c:v>
                </c:pt>
                <c:pt idx="48">
                  <c:v>4.09</c:v>
                </c:pt>
                <c:pt idx="49">
                  <c:v>4.0999999999999996</c:v>
                </c:pt>
                <c:pt idx="50">
                  <c:v>4.16</c:v>
                </c:pt>
                <c:pt idx="51">
                  <c:v>4.1900000000000004</c:v>
                </c:pt>
                <c:pt idx="52">
                  <c:v>4.29</c:v>
                </c:pt>
                <c:pt idx="53">
                  <c:v>4.3099999999999996</c:v>
                </c:pt>
                <c:pt idx="54">
                  <c:v>4.34</c:v>
                </c:pt>
                <c:pt idx="55">
                  <c:v>4.3</c:v>
                </c:pt>
                <c:pt idx="56">
                  <c:v>4.2699999999999996</c:v>
                </c:pt>
                <c:pt idx="57">
                  <c:v>4.2699999999999996</c:v>
                </c:pt>
                <c:pt idx="58">
                  <c:v>4.22</c:v>
                </c:pt>
                <c:pt idx="59">
                  <c:v>4.25</c:v>
                </c:pt>
                <c:pt idx="60">
                  <c:v>4.24</c:v>
                </c:pt>
                <c:pt idx="61">
                  <c:v>4.2</c:v>
                </c:pt>
                <c:pt idx="62">
                  <c:v>4.2</c:v>
                </c:pt>
                <c:pt idx="64">
                  <c:v>4.33</c:v>
                </c:pt>
                <c:pt idx="65">
                  <c:v>4.3600000000000003</c:v>
                </c:pt>
                <c:pt idx="66">
                  <c:v>4.3600000000000003</c:v>
                </c:pt>
                <c:pt idx="67">
                  <c:v>4.3099999999999996</c:v>
                </c:pt>
                <c:pt idx="68">
                  <c:v>4.3899999999999997</c:v>
                </c:pt>
                <c:pt idx="69">
                  <c:v>4.42</c:v>
                </c:pt>
                <c:pt idx="70">
                  <c:v>4.3600000000000003</c:v>
                </c:pt>
                <c:pt idx="71">
                  <c:v>4.55</c:v>
                </c:pt>
                <c:pt idx="72">
                  <c:v>4.5599999999999996</c:v>
                </c:pt>
                <c:pt idx="73">
                  <c:v>4.5</c:v>
                </c:pt>
                <c:pt idx="74">
                  <c:v>4.63</c:v>
                </c:pt>
                <c:pt idx="75">
                  <c:v>4.67</c:v>
                </c:pt>
                <c:pt idx="76">
                  <c:v>4.59</c:v>
                </c:pt>
                <c:pt idx="77">
                  <c:v>4.6399999999999997</c:v>
                </c:pt>
                <c:pt idx="78">
                  <c:v>4.62</c:v>
                </c:pt>
                <c:pt idx="79">
                  <c:v>4.62</c:v>
                </c:pt>
                <c:pt idx="80">
                  <c:v>4.6100000000000003</c:v>
                </c:pt>
                <c:pt idx="81">
                  <c:v>4.6500000000000004</c:v>
                </c:pt>
                <c:pt idx="82">
                  <c:v>4.7</c:v>
                </c:pt>
                <c:pt idx="83">
                  <c:v>4.67</c:v>
                </c:pt>
                <c:pt idx="84">
                  <c:v>4.63</c:v>
                </c:pt>
                <c:pt idx="85">
                  <c:v>4.6900000000000004</c:v>
                </c:pt>
                <c:pt idx="86">
                  <c:v>4.63</c:v>
                </c:pt>
                <c:pt idx="87">
                  <c:v>4.58</c:v>
                </c:pt>
                <c:pt idx="88">
                  <c:v>4.5</c:v>
                </c:pt>
                <c:pt idx="89">
                  <c:v>4.49</c:v>
                </c:pt>
                <c:pt idx="90">
                  <c:v>4.47</c:v>
                </c:pt>
                <c:pt idx="91">
                  <c:v>4.4800000000000004</c:v>
                </c:pt>
                <c:pt idx="92">
                  <c:v>4.45</c:v>
                </c:pt>
                <c:pt idx="93">
                  <c:v>4.5</c:v>
                </c:pt>
                <c:pt idx="94">
                  <c:v>4.4800000000000004</c:v>
                </c:pt>
                <c:pt idx="95">
                  <c:v>4.45</c:v>
                </c:pt>
                <c:pt idx="96">
                  <c:v>4.3600000000000003</c:v>
                </c:pt>
                <c:pt idx="97">
                  <c:v>4.38</c:v>
                </c:pt>
                <c:pt idx="98">
                  <c:v>4.42</c:v>
                </c:pt>
                <c:pt idx="99">
                  <c:v>4.4400000000000004</c:v>
                </c:pt>
                <c:pt idx="100">
                  <c:v>4.41</c:v>
                </c:pt>
                <c:pt idx="101">
                  <c:v>4.43</c:v>
                </c:pt>
                <c:pt idx="102">
                  <c:v>4.47</c:v>
                </c:pt>
                <c:pt idx="103">
                  <c:v>4.46</c:v>
                </c:pt>
                <c:pt idx="105">
                  <c:v>4.54</c:v>
                </c:pt>
                <c:pt idx="106">
                  <c:v>4.6100000000000003</c:v>
                </c:pt>
                <c:pt idx="107">
                  <c:v>4.55</c:v>
                </c:pt>
                <c:pt idx="108">
                  <c:v>4.51</c:v>
                </c:pt>
                <c:pt idx="109">
                  <c:v>4.41</c:v>
                </c:pt>
                <c:pt idx="110">
                  <c:v>4.33</c:v>
                </c:pt>
                <c:pt idx="111">
                  <c:v>4.29</c:v>
                </c:pt>
                <c:pt idx="112">
                  <c:v>4.28</c:v>
                </c:pt>
                <c:pt idx="113">
                  <c:v>4.43</c:v>
                </c:pt>
                <c:pt idx="114">
                  <c:v>4.47</c:v>
                </c:pt>
                <c:pt idx="115">
                  <c:v>4.3899999999999997</c:v>
                </c:pt>
                <c:pt idx="116">
                  <c:v>4.3099999999999996</c:v>
                </c:pt>
                <c:pt idx="117">
                  <c:v>4.24</c:v>
                </c:pt>
                <c:pt idx="118">
                  <c:v>4.2</c:v>
                </c:pt>
                <c:pt idx="119">
                  <c:v>4.28</c:v>
                </c:pt>
                <c:pt idx="120">
                  <c:v>4.22</c:v>
                </c:pt>
                <c:pt idx="122">
                  <c:v>4.25</c:v>
                </c:pt>
                <c:pt idx="123">
                  <c:v>4.25</c:v>
                </c:pt>
                <c:pt idx="124">
                  <c:v>4.25</c:v>
                </c:pt>
                <c:pt idx="125">
                  <c:v>4.2300000000000004</c:v>
                </c:pt>
                <c:pt idx="126">
                  <c:v>4.32</c:v>
                </c:pt>
                <c:pt idx="127">
                  <c:v>4.29</c:v>
                </c:pt>
                <c:pt idx="128">
                  <c:v>4.3600000000000003</c:v>
                </c:pt>
                <c:pt idx="129">
                  <c:v>4.4800000000000004</c:v>
                </c:pt>
                <c:pt idx="130">
                  <c:v>4.43</c:v>
                </c:pt>
                <c:pt idx="131">
                  <c:v>4.3600000000000003</c:v>
                </c:pt>
                <c:pt idx="133">
                  <c:v>4.28</c:v>
                </c:pt>
                <c:pt idx="134">
                  <c:v>4.28</c:v>
                </c:pt>
                <c:pt idx="135">
                  <c:v>4.3</c:v>
                </c:pt>
                <c:pt idx="136">
                  <c:v>4.28</c:v>
                </c:pt>
                <c:pt idx="137">
                  <c:v>4.2</c:v>
                </c:pt>
                <c:pt idx="138">
                  <c:v>4.18</c:v>
                </c:pt>
                <c:pt idx="139">
                  <c:v>4.2300000000000004</c:v>
                </c:pt>
                <c:pt idx="140">
                  <c:v>4.17</c:v>
                </c:pt>
                <c:pt idx="141">
                  <c:v>4.16</c:v>
                </c:pt>
                <c:pt idx="142">
                  <c:v>4.2</c:v>
                </c:pt>
                <c:pt idx="143">
                  <c:v>4.25</c:v>
                </c:pt>
                <c:pt idx="144">
                  <c:v>4.26</c:v>
                </c:pt>
                <c:pt idx="145">
                  <c:v>4.25</c:v>
                </c:pt>
                <c:pt idx="146">
                  <c:v>4.28</c:v>
                </c:pt>
                <c:pt idx="147">
                  <c:v>4.2699999999999996</c:v>
                </c:pt>
                <c:pt idx="148">
                  <c:v>4.2</c:v>
                </c:pt>
                <c:pt idx="149">
                  <c:v>4.17</c:v>
                </c:pt>
                <c:pt idx="150">
                  <c:v>4.1500000000000004</c:v>
                </c:pt>
                <c:pt idx="151">
                  <c:v>4.09</c:v>
                </c:pt>
                <c:pt idx="152">
                  <c:v>3.99</c:v>
                </c:pt>
                <c:pt idx="153">
                  <c:v>3.8</c:v>
                </c:pt>
                <c:pt idx="154">
                  <c:v>3.78</c:v>
                </c:pt>
                <c:pt idx="155">
                  <c:v>3.9</c:v>
                </c:pt>
                <c:pt idx="156">
                  <c:v>3.96</c:v>
                </c:pt>
                <c:pt idx="157">
                  <c:v>3.99</c:v>
                </c:pt>
                <c:pt idx="158">
                  <c:v>3.94</c:v>
                </c:pt>
                <c:pt idx="159">
                  <c:v>3.9</c:v>
                </c:pt>
                <c:pt idx="160">
                  <c:v>3.85</c:v>
                </c:pt>
                <c:pt idx="161">
                  <c:v>3.83</c:v>
                </c:pt>
                <c:pt idx="162">
                  <c:v>3.92</c:v>
                </c:pt>
                <c:pt idx="163">
                  <c:v>3.89</c:v>
                </c:pt>
                <c:pt idx="164">
                  <c:v>3.86</c:v>
                </c:pt>
                <c:pt idx="165">
                  <c:v>3.82</c:v>
                </c:pt>
                <c:pt idx="166">
                  <c:v>3.79</c:v>
                </c:pt>
                <c:pt idx="167">
                  <c:v>3.86</c:v>
                </c:pt>
                <c:pt idx="168">
                  <c:v>3.81</c:v>
                </c:pt>
                <c:pt idx="169">
                  <c:v>3.82</c:v>
                </c:pt>
                <c:pt idx="170">
                  <c:v>3.83</c:v>
                </c:pt>
                <c:pt idx="171">
                  <c:v>3.84</c:v>
                </c:pt>
                <c:pt idx="172">
                  <c:v>3.87</c:v>
                </c:pt>
                <c:pt idx="173">
                  <c:v>3.91</c:v>
                </c:pt>
                <c:pt idx="175">
                  <c:v>3.84</c:v>
                </c:pt>
                <c:pt idx="176">
                  <c:v>3.77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92-4D2D-A59B-B126F7F48C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95160607"/>
        <c:axId val="1495161855"/>
      </c:lineChart>
      <c:dateAx>
        <c:axId val="1495160607"/>
        <c:scaling>
          <c:orientation val="minMax"/>
        </c:scaling>
        <c:delete val="0"/>
        <c:axPos val="b"/>
        <c:numFmt formatCode="yyyy\-mm\-dd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Offset val="100"/>
        <c:baseTimeUnit val="days"/>
      </c:dateAx>
      <c:valAx>
        <c:axId val="1495161855"/>
        <c:scaling>
          <c:orientation val="minMax"/>
          <c:min val="3.5"/>
        </c:scaling>
        <c:delete val="0"/>
        <c:axPos val="l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'Debt-old'!$B$20</c:f>
              <c:strCache>
                <c:ptCount val="1"/>
                <c:pt idx="0">
                  <c:v>Principal Outstanding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'Debt-old'!$A$21:$A$26</c:f>
              <c:strCache>
                <c:ptCount val="5"/>
                <c:pt idx="0">
                  <c:v>1L Debt</c:v>
                </c:pt>
                <c:pt idx="1">
                  <c:v>2L Debt</c:v>
                </c:pt>
                <c:pt idx="2">
                  <c:v>Subsidiary Debt</c:v>
                </c:pt>
                <c:pt idx="3">
                  <c:v>Unsecured Debt</c:v>
                </c:pt>
                <c:pt idx="4">
                  <c:v>Total Debt</c:v>
                </c:pt>
              </c:strCache>
            </c:strRef>
          </c:cat>
          <c:val>
            <c:numRef>
              <c:f>'Debt-old'!$B$21:$B$26</c:f>
              <c:numCache>
                <c:formatCode>#,##0_);\(#,##0\)</c:formatCode>
                <c:ptCount val="5"/>
                <c:pt idx="0">
                  <c:v>3963</c:v>
                </c:pt>
                <c:pt idx="1">
                  <c:v>1000</c:v>
                </c:pt>
                <c:pt idx="2">
                  <c:v>856</c:v>
                </c:pt>
                <c:pt idx="3">
                  <c:v>10949</c:v>
                </c:pt>
                <c:pt idx="4">
                  <c:v>16768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2-4DEE-BD4A-63AF212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789445231"/>
        <c:axId val="789445647"/>
      </c:barChart>
      <c:catAx>
        <c:axId val="789445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445647"/>
        <c:crosses val="autoZero"/>
        <c:auto val="1"/>
        <c:lblAlgn val="ctr"/>
        <c:lblOffset val="100"/>
        <c:noMultiLvlLbl val="0"/>
      </c:catAx>
      <c:valAx>
        <c:axId val="789445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4452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New_Build_Summary!$A$27</c:f>
              <c:strCache>
                <c:ptCount val="1"/>
                <c:pt idx="0">
                  <c:v>1MM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3.2060367454068185E-2"/>
                  <c:y val="6.547325102880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84C-B07F-84042A191733}"/>
                </c:ext>
              </c:extLst>
            </c:dLbl>
            <c:dLbl>
              <c:idx val="3"/>
              <c:layout>
                <c:manualLayout>
                  <c:x val="-4.1319626713327499E-2"/>
                  <c:y val="4.0781893004115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84C-B07F-84042A191733}"/>
                </c:ext>
              </c:extLst>
            </c:dLbl>
            <c:dLbl>
              <c:idx val="4"/>
              <c:layout>
                <c:manualLayout>
                  <c:x val="-4.4406046466413919E-2"/>
                  <c:y val="3.666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84C-B07F-84042A191733}"/>
                </c:ext>
              </c:extLst>
            </c:dLbl>
            <c:dLbl>
              <c:idx val="5"/>
              <c:layout>
                <c:manualLayout>
                  <c:x val="-4.6485975332919621E-2"/>
                  <c:y val="3.1186868686868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EF-4433-B5F7-5A2190DA1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New_Build_Summary!$B$26:$G$26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New_Build_Summary!$B$27:$G$27</c:f>
              <c:numCache>
                <c:formatCode>_(* #,##0_);_(* \(#,##0\);_(* "-"??_);_(@_)</c:formatCode>
                <c:ptCount val="6"/>
                <c:pt idx="0">
                  <c:v>2772</c:v>
                </c:pt>
                <c:pt idx="1">
                  <c:v>2340.8147765327703</c:v>
                </c:pt>
                <c:pt idx="2">
                  <c:v>1985.1288854287322</c:v>
                </c:pt>
                <c:pt idx="3">
                  <c:v>1982.482559434316</c:v>
                </c:pt>
                <c:pt idx="4">
                  <c:v>2062.6606304069087</c:v>
                </c:pt>
                <c:pt idx="5">
                  <c:v>2198.5828672411171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1-484C-B07F-84042A191733}"/>
            </c:ext>
          </c:extLst>
        </c:ser>
        <c:ser>
          <c:idx val="1"/>
          <c:order val="1"/>
          <c:tx>
            <c:strRef>
              <c:f>New_Build_Summary!$A$28</c:f>
              <c:strCache>
                <c:ptCount val="1"/>
                <c:pt idx="0">
                  <c:v>1.5MM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8.1443083503450961E-2"/>
                  <c:y val="4.0781893004115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84C-B07F-84042A191733}"/>
                </c:ext>
              </c:extLst>
            </c:dLbl>
            <c:dLbl>
              <c:idx val="3"/>
              <c:layout>
                <c:manualLayout>
                  <c:x val="-1.0455429182463304E-2"/>
                  <c:y val="-6.2098765432098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84C-B07F-84042A191733}"/>
                </c:ext>
              </c:extLst>
            </c:dLbl>
            <c:dLbl>
              <c:idx val="4"/>
              <c:layout>
                <c:manualLayout>
                  <c:x val="-3.8233168653304214E-2"/>
                  <c:y val="-3.3479148439778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84C-B07F-84042A191733}"/>
                </c:ext>
              </c:extLst>
            </c:dLbl>
            <c:dLbl>
              <c:idx val="5"/>
              <c:layout>
                <c:manualLayout>
                  <c:x val="-4.9897780177682496E-2"/>
                  <c:y val="-2.773569023569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EF-4433-B5F7-5A2190DA1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New_Build_Summary!$B$26:$G$26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New_Build_Summary!$B$28:$G$28</c:f>
              <c:numCache>
                <c:formatCode>_(* #,##0_);_(* \(#,##0\);_(* "-"??_);_(@_)</c:formatCode>
                <c:ptCount val="6"/>
                <c:pt idx="0">
                  <c:v>2772</c:v>
                </c:pt>
                <c:pt idx="1">
                  <c:v>2340.8147765327703</c:v>
                </c:pt>
                <c:pt idx="2">
                  <c:v>1985.5766378853723</c:v>
                </c:pt>
                <c:pt idx="3">
                  <c:v>1986.5357618658077</c:v>
                </c:pt>
                <c:pt idx="4">
                  <c:v>2078.9116564650667</c:v>
                </c:pt>
                <c:pt idx="5">
                  <c:v>2240.35998435071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1-484C-B07F-84042A191733}"/>
            </c:ext>
          </c:extLst>
        </c:ser>
        <c:ser>
          <c:idx val="2"/>
          <c:order val="2"/>
          <c:tx>
            <c:strRef>
              <c:f>New_Build_Summary!$A$29</c:f>
              <c:strCache>
                <c:ptCount val="1"/>
                <c:pt idx="0">
                  <c:v>2MM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3.823320696024108E-2"/>
                  <c:y val="-4.5637860082304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84C-B07F-84042A191733}"/>
                </c:ext>
              </c:extLst>
            </c:dLbl>
            <c:dLbl>
              <c:idx val="3"/>
              <c:layout>
                <c:manualLayout>
                  <c:x val="-4.7492466219500457E-2"/>
                  <c:y val="-0.10736625514403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71-484C-B07F-84042A191733}"/>
                </c:ext>
              </c:extLst>
            </c:dLbl>
            <c:dLbl>
              <c:idx val="4"/>
              <c:layout>
                <c:manualLayout>
                  <c:x val="-6.0133194711971136E-2"/>
                  <c:y val="-6.5614478114478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EF-4433-B5F7-5A2190DA176B}"/>
                </c:ext>
              </c:extLst>
            </c:dLbl>
            <c:dLbl>
              <c:idx val="5"/>
              <c:layout>
                <c:manualLayout>
                  <c:x val="-6.69568044014969E-2"/>
                  <c:y val="-7.8240740740740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EF-4433-B5F7-5A2190DA1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New_Build_Summary!$B$26:$G$26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New_Build_Summary!$B$29:$G$29</c:f>
              <c:numCache>
                <c:formatCode>_(* #,##0_);_(* \(#,##0\);_(* "-"??_);_(@_)</c:formatCode>
                <c:ptCount val="6"/>
                <c:pt idx="0">
                  <c:v>2772</c:v>
                </c:pt>
                <c:pt idx="1">
                  <c:v>2340.8147765327703</c:v>
                </c:pt>
                <c:pt idx="2">
                  <c:v>1986.0741406149741</c:v>
                </c:pt>
                <c:pt idx="3">
                  <c:v>1990.8708394378186</c:v>
                </c:pt>
                <c:pt idx="4">
                  <c:v>2095.869643030097</c:v>
                </c:pt>
                <c:pt idx="5">
                  <c:v>2283.358825106478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1-484C-B07F-84042A19173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27807519"/>
        <c:axId val="1927820415"/>
      </c:lineChart>
      <c:catAx>
        <c:axId val="1927807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927820415"/>
        <c:crosses val="autoZero"/>
        <c:auto val="1"/>
        <c:lblAlgn val="ctr"/>
        <c:lblOffset val="100"/>
        <c:noMultiLvlLbl val="0"/>
      </c:catAx>
      <c:valAx>
        <c:axId val="1927820415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927807519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800" b="0" i="0" u="none" strike="noStrike" baseline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 orientation="portrait" horizontalDpi="1200" verticalDpi="120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New_Build_Summary!$A$33</c:f>
              <c:strCache>
                <c:ptCount val="1"/>
                <c:pt idx="0">
                  <c:v>1MM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3634441528142317E-2"/>
                  <c:y val="-8.1666666666666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47-491F-881D-6D3D174CF06A}"/>
                </c:ext>
              </c:extLst>
            </c:dLbl>
            <c:dLbl>
              <c:idx val="2"/>
              <c:layout>
                <c:manualLayout>
                  <c:x val="-3.2893700787401628E-2"/>
                  <c:y val="3.2154471544715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47-491F-881D-6D3D174CF06A}"/>
                </c:ext>
              </c:extLst>
            </c:dLbl>
            <c:dLbl>
              <c:idx val="3"/>
              <c:layout>
                <c:manualLayout>
                  <c:x val="-3.0601092896174985E-2"/>
                  <c:y val="3.9208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7D-410B-A0FA-8ACF4F99C36E}"/>
                </c:ext>
              </c:extLst>
            </c:dLbl>
            <c:dLbl>
              <c:idx val="4"/>
              <c:layout>
                <c:manualLayout>
                  <c:x val="-2.7289286305679748E-2"/>
                  <c:y val="3.9208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7D-410B-A0FA-8ACF4F99C3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New_Build_Summary!$B$26:$G$26</c15:sqref>
                  </c15:fullRef>
                </c:ext>
              </c:extLst>
              <c:f>New_Build_Summary!$C$26:$G$26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New_Build_Summary!$B$33:$G$33</c15:sqref>
                  </c15:fullRef>
                </c:ext>
              </c:extLst>
              <c:f>New_Build_Summary!$C$33:$G$33</c:f>
              <c:numCache>
                <c:formatCode>0%</c:formatCode>
                <c:ptCount val="5"/>
                <c:pt idx="0">
                  <c:v>-0.15555022491602799</c:v>
                </c:pt>
                <c:pt idx="1">
                  <c:v>-0.15194960945644842</c:v>
                </c:pt>
                <c:pt idx="2">
                  <c:v>-1.3330751538808139E-3</c:v>
                </c:pt>
                <c:pt idx="3">
                  <c:v>4.0443266747058226E-2</c:v>
                </c:pt>
                <c:pt idx="4">
                  <c:v>6.5896558469433986E-2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7-491F-881D-6D3D174CF06A}"/>
            </c:ext>
          </c:extLst>
        </c:ser>
        <c:ser>
          <c:idx val="1"/>
          <c:order val="1"/>
          <c:tx>
            <c:strRef>
              <c:f>New_Build_Summary!$A$34</c:f>
              <c:strCache>
                <c:ptCount val="1"/>
                <c:pt idx="0">
                  <c:v>1.5MM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9.1535676096043544E-2"/>
                  <c:y val="-7.3536585365853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47-491F-881D-6D3D174CF06A}"/>
                </c:ext>
              </c:extLst>
            </c:dLbl>
            <c:dLbl>
              <c:idx val="2"/>
              <c:layout>
                <c:manualLayout>
                  <c:x val="-3.3912899486670041E-2"/>
                  <c:y val="-5.2458333333333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7D-410B-A0FA-8ACF4F99C3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New_Build_Summary!$B$26:$G$26</c15:sqref>
                  </c15:fullRef>
                </c:ext>
              </c:extLst>
              <c:f>New_Build_Summary!$C$26:$G$26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New_Build_Summary!$B$34:$G$34</c15:sqref>
                  </c15:fullRef>
                </c:ext>
              </c:extLst>
              <c:f>New_Build_Summary!$C$34:$G$34</c:f>
              <c:numCache>
                <c:formatCode>0%</c:formatCode>
                <c:ptCount val="5"/>
                <c:pt idx="0">
                  <c:v>-0.15555022491602799</c:v>
                </c:pt>
                <c:pt idx="1">
                  <c:v>-0.15175832885572393</c:v>
                </c:pt>
                <c:pt idx="2">
                  <c:v>4.8304556073786031E-4</c:v>
                </c:pt>
                <c:pt idx="3">
                  <c:v>4.6500997551887524E-2</c:v>
                </c:pt>
                <c:pt idx="4">
                  <c:v>7.766002339905409E-2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7-491F-881D-6D3D174CF06A}"/>
            </c:ext>
          </c:extLst>
        </c:ser>
        <c:ser>
          <c:idx val="2"/>
          <c:order val="2"/>
          <c:tx>
            <c:strRef>
              <c:f>New_Build_Summary!$A$35</c:f>
              <c:strCache>
                <c:ptCount val="1"/>
                <c:pt idx="0">
                  <c:v>2MM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832579955283367E-2"/>
                  <c:y val="2.402439024390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47-491F-881D-6D3D174CF06A}"/>
                </c:ext>
              </c:extLst>
            </c:dLbl>
            <c:dLbl>
              <c:idx val="2"/>
              <c:layout>
                <c:manualLayout>
                  <c:x val="-9.1017832905015042E-2"/>
                  <c:y val="-2.4044619422572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47-491F-881D-6D3D174CF06A}"/>
                </c:ext>
              </c:extLst>
            </c:dLbl>
            <c:dLbl>
              <c:idx val="3"/>
              <c:layout>
                <c:manualLayout>
                  <c:x val="-9.3525418115582057E-2"/>
                  <c:y val="-2.745833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7D-410B-A0FA-8ACF4F99C3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New_Build_Summary!$B$26:$G$26</c15:sqref>
                  </c15:fullRef>
                </c:ext>
              </c:extLst>
              <c:f>New_Build_Summary!$C$26:$G$26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New_Build_Summary!$B$35:$G$35</c15:sqref>
                  </c15:fullRef>
                </c:ext>
              </c:extLst>
              <c:f>New_Build_Summary!$C$35:$G$35</c:f>
              <c:numCache>
                <c:formatCode>0%</c:formatCode>
                <c:ptCount val="5"/>
                <c:pt idx="0">
                  <c:v>-0.15555022491602799</c:v>
                </c:pt>
                <c:pt idx="1">
                  <c:v>-0.15154579485491815</c:v>
                </c:pt>
                <c:pt idx="2">
                  <c:v>2.4151660427738086E-3</c:v>
                </c:pt>
                <c:pt idx="3">
                  <c:v>5.2740138391864644E-2</c:v>
                </c:pt>
                <c:pt idx="4">
                  <c:v>8.9456509234667525E-2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47-491F-881D-6D3D174CF0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5002895"/>
        <c:axId val="404999151"/>
      </c:lineChart>
      <c:catAx>
        <c:axId val="4050028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404999151"/>
        <c:crosses val="autoZero"/>
        <c:auto val="1"/>
        <c:lblAlgn val="ctr"/>
        <c:lblOffset val="100"/>
        <c:noMultiLvlLbl val="0"/>
      </c:catAx>
      <c:valAx>
        <c:axId val="40499915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05002895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800" b="0" i="0" u="none" strike="noStrike" baseline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 orientation="portrait" horizontalDpi="1200" verticalDpi="120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New_Build_Summary!$A$63</c:f>
              <c:strCache>
                <c:ptCount val="1"/>
                <c:pt idx="0">
                  <c:v>29% in 4 Years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8.9122193059200938E-3"/>
                  <c:y val="-6.754629629629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C1-4318-8584-7ABB3A730F72}"/>
                </c:ext>
              </c:extLst>
            </c:dLbl>
            <c:dLbl>
              <c:idx val="3"/>
              <c:layout>
                <c:manualLayout>
                  <c:x val="-6.4467774861475646E-2"/>
                  <c:y val="-9.06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C1-4318-8584-7ABB3A730F72}"/>
                </c:ext>
              </c:extLst>
            </c:dLbl>
            <c:dLbl>
              <c:idx val="4"/>
              <c:layout>
                <c:manualLayout>
                  <c:x val="-4.5949256342957129E-2"/>
                  <c:y val="-6.7546296296296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C1-4318-8584-7ABB3A730F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New_Build_Summary!$B$62:$G$62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New_Build_Summary!$B$63:$G$63</c:f>
              <c:numCache>
                <c:formatCode>_(* #,##0_);_(* \(#,##0\);_(* "-"??_);_(@_)</c:formatCode>
                <c:ptCount val="6"/>
                <c:pt idx="0">
                  <c:v>2772</c:v>
                </c:pt>
                <c:pt idx="1">
                  <c:v>2448.5987656680049</c:v>
                </c:pt>
                <c:pt idx="2">
                  <c:v>1959.2556241824459</c:v>
                </c:pt>
                <c:pt idx="3">
                  <c:v>1921.954425482887</c:v>
                </c:pt>
                <c:pt idx="4">
                  <c:v>2045.7146143971931</c:v>
                </c:pt>
                <c:pt idx="5">
                  <c:v>2283.2884036358596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5C1-4318-8584-7ABB3A730F72}"/>
            </c:ext>
          </c:extLst>
        </c:ser>
        <c:ser>
          <c:idx val="1"/>
          <c:order val="1"/>
          <c:tx>
            <c:strRef>
              <c:f>New_Build_Summary!$A$64</c:f>
              <c:strCache>
                <c:ptCount val="1"/>
                <c:pt idx="0">
                  <c:v>35% in 4 Years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6.4467774861475702E-2"/>
                  <c:y val="-5.3657407407407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C1-4318-8584-7ABB3A730F72}"/>
                </c:ext>
              </c:extLst>
            </c:dLbl>
            <c:dLbl>
              <c:idx val="3"/>
              <c:layout>
                <c:manualLayout>
                  <c:x val="-1.8171478565179467E-2"/>
                  <c:y val="-6.2916666666666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C1-4318-8584-7ABB3A730F72}"/>
                </c:ext>
              </c:extLst>
            </c:dLbl>
            <c:dLbl>
              <c:idx val="4"/>
              <c:layout>
                <c:manualLayout>
                  <c:x val="-3.668999708369787E-2"/>
                  <c:y val="-2.1250000000000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C1-4318-8584-7ABB3A730F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New_Build_Summary!$B$62:$G$62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New_Build_Summary!$B$64:$G$64</c:f>
              <c:numCache>
                <c:formatCode>_(* #,##0_);_(* \(#,##0\);_(* "-"??_);_(@_)</c:formatCode>
                <c:ptCount val="6"/>
                <c:pt idx="0">
                  <c:v>2772</c:v>
                </c:pt>
                <c:pt idx="1">
                  <c:v>2448.4851660475724</c:v>
                </c:pt>
                <c:pt idx="2">
                  <c:v>1956.6086584537888</c:v>
                </c:pt>
                <c:pt idx="3">
                  <c:v>1909.6333233972764</c:v>
                </c:pt>
                <c:pt idx="4">
                  <c:v>2009.5460945257964</c:v>
                </c:pt>
                <c:pt idx="5">
                  <c:v>2202.7113455368276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C1-4318-8584-7ABB3A730F72}"/>
            </c:ext>
          </c:extLst>
        </c:ser>
        <c:ser>
          <c:idx val="2"/>
          <c:order val="2"/>
          <c:tx>
            <c:strRef>
              <c:f>New_Build_Summary!$A$65</c:f>
              <c:strCache>
                <c:ptCount val="1"/>
                <c:pt idx="0">
                  <c:v>40% in 4 Years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3.977641683678429E-2"/>
                  <c:y val="5.282407407407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C1-4318-8584-7ABB3A730F72}"/>
                </c:ext>
              </c:extLst>
            </c:dLbl>
            <c:dLbl>
              <c:idx val="3"/>
              <c:layout>
                <c:manualLayout>
                  <c:x val="-4.9035676096043666E-2"/>
                  <c:y val="3.8935185185185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C1-4318-8584-7ABB3A730F72}"/>
                </c:ext>
              </c:extLst>
            </c:dLbl>
            <c:dLbl>
              <c:idx val="4"/>
              <c:layout>
                <c:manualLayout>
                  <c:x val="-4.5949256342957129E-2"/>
                  <c:y val="4.81944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C1-4318-8584-7ABB3A730F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New_Build_Summary!$B$62:$G$62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New_Build_Summary!$B$65:$G$65</c:f>
              <c:numCache>
                <c:formatCode>_(* #,##0_);_(* \(#,##0\);_(* "-"??_);_(@_)</c:formatCode>
                <c:ptCount val="6"/>
                <c:pt idx="0">
                  <c:v>2772</c:v>
                </c:pt>
                <c:pt idx="1">
                  <c:v>2448.392892926503</c:v>
                </c:pt>
                <c:pt idx="2">
                  <c:v>1954.3641039427857</c:v>
                </c:pt>
                <c:pt idx="3">
                  <c:v>1898.8585233269296</c:v>
                </c:pt>
                <c:pt idx="4">
                  <c:v>1976.8455516648974</c:v>
                </c:pt>
                <c:pt idx="5">
                  <c:v>2130.0242262022334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C1-4318-8584-7ABB3A730F7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27807519"/>
        <c:axId val="1927820415"/>
      </c:lineChart>
      <c:catAx>
        <c:axId val="1927807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927820415"/>
        <c:crosses val="autoZero"/>
        <c:auto val="1"/>
        <c:lblAlgn val="ctr"/>
        <c:lblOffset val="100"/>
        <c:noMultiLvlLbl val="0"/>
      </c:catAx>
      <c:valAx>
        <c:axId val="1927820415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927807519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800" b="0" i="0" u="none" strike="noStrike" baseline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 orientation="portrait" horizontalDpi="1200" verticalDpi="120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New_Build_Summary!$A$69</c:f>
              <c:strCache>
                <c:ptCount val="1"/>
                <c:pt idx="0">
                  <c:v>29% in 4 Years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New_Build_Summary!$B$62:$G$62</c15:sqref>
                  </c15:fullRef>
                </c:ext>
              </c:extLst>
              <c:f>New_Build_Summary!$C$62:$G$62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New_Build_Summary!$B$69:$G$69</c15:sqref>
                  </c15:fullRef>
                </c:ext>
              </c:extLst>
              <c:f>New_Build_Summary!$C$69:$G$69</c:f>
              <c:numCache>
                <c:formatCode>0%</c:formatCode>
                <c:ptCount val="5"/>
                <c:pt idx="0">
                  <c:v>-0.11666711195237922</c:v>
                </c:pt>
                <c:pt idx="1">
                  <c:v>-0.19984619299277506</c:v>
                </c:pt>
                <c:pt idx="2">
                  <c:v>-1.9038454318651699E-2</c:v>
                </c:pt>
                <c:pt idx="3">
                  <c:v>6.4392884281432305E-2</c:v>
                </c:pt>
                <c:pt idx="4">
                  <c:v>0.11613242021476777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9A-4C3F-A94B-0720051AD2F9}"/>
            </c:ext>
          </c:extLst>
        </c:ser>
        <c:ser>
          <c:idx val="1"/>
          <c:order val="1"/>
          <c:tx>
            <c:strRef>
              <c:f>New_Build_Summary!$A$70</c:f>
              <c:strCache>
                <c:ptCount val="1"/>
                <c:pt idx="0">
                  <c:v>35% in 4 Years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2.6001263730921959E-3"/>
                  <c:y val="2.504629629629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A-4C3F-A94B-0720051AD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New_Build_Summary!$B$62:$G$62</c15:sqref>
                  </c15:fullRef>
                </c:ext>
              </c:extLst>
              <c:f>New_Build_Summary!$C$62:$G$62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New_Build_Summary!$B$70:$G$70</c15:sqref>
                  </c15:fullRef>
                </c:ext>
              </c:extLst>
              <c:f>New_Build_Summary!$C$70:$G$70</c:f>
              <c:numCache>
                <c:formatCode>0%</c:formatCode>
                <c:ptCount val="5"/>
                <c:pt idx="0">
                  <c:v>-0.11670809305643126</c:v>
                </c:pt>
                <c:pt idx="1">
                  <c:v>-0.20089013174941439</c:v>
                </c:pt>
                <c:pt idx="2">
                  <c:v>-2.4008549105386634E-2</c:v>
                </c:pt>
                <c:pt idx="3">
                  <c:v>5.2320395703387312E-2</c:v>
                </c:pt>
                <c:pt idx="4">
                  <c:v>9.6123821960209188E-2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9A-4C3F-A94B-0720051AD2F9}"/>
            </c:ext>
          </c:extLst>
        </c:ser>
        <c:ser>
          <c:idx val="2"/>
          <c:order val="2"/>
          <c:tx>
            <c:strRef>
              <c:f>New_Build_Summary!$A$71</c:f>
              <c:strCache>
                <c:ptCount val="1"/>
                <c:pt idx="0">
                  <c:v>40% in 4 Years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7646787207154663E-2"/>
                  <c:y val="5.7453703703703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A-4C3F-A94B-0720051AD2F9}"/>
                </c:ext>
              </c:extLst>
            </c:dLbl>
            <c:dLbl>
              <c:idx val="2"/>
              <c:layout>
                <c:manualLayout>
                  <c:x val="-2.5177651404685582E-2"/>
                  <c:y val="4.356481481481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A-4C3F-A94B-0720051AD2F9}"/>
                </c:ext>
              </c:extLst>
            </c:dLbl>
            <c:dLbl>
              <c:idx val="3"/>
              <c:layout>
                <c:manualLayout>
                  <c:x val="-3.4691358024691359E-2"/>
                  <c:y val="4.3564814814814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A-4C3F-A94B-0720051AD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New_Build_Summary!$B$62:$G$62</c15:sqref>
                  </c15:fullRef>
                </c:ext>
              </c:extLst>
              <c:f>New_Build_Summary!$C$62:$G$62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New_Build_Summary!$B$71:$G$71</c15:sqref>
                  </c15:fullRef>
                </c:ext>
              </c:extLst>
              <c:f>New_Build_Summary!$C$71:$G$71</c:f>
              <c:numCache>
                <c:formatCode>0%</c:formatCode>
                <c:ptCount val="5"/>
                <c:pt idx="0">
                  <c:v>-0.11674138061814465</c:v>
                </c:pt>
                <c:pt idx="1">
                  <c:v>-0.20177676156918467</c:v>
                </c:pt>
                <c:pt idx="2">
                  <c:v>-2.8400839180313331E-2</c:v>
                </c:pt>
                <c:pt idx="3">
                  <c:v>4.1070478595387483E-2</c:v>
                </c:pt>
                <c:pt idx="4">
                  <c:v>7.74864148634824E-2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9A-4C3F-A94B-0720051AD2F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5002895"/>
        <c:axId val="404999151"/>
      </c:lineChart>
      <c:catAx>
        <c:axId val="4050028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404999151"/>
        <c:crosses val="autoZero"/>
        <c:auto val="1"/>
        <c:lblAlgn val="ctr"/>
        <c:lblOffset val="100"/>
        <c:noMultiLvlLbl val="0"/>
      </c:catAx>
      <c:valAx>
        <c:axId val="40499915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05002895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800" b="0" i="0" u="none" strike="noStrike" baseline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 orientation="portrait" horizontalDpi="1200" verticalDpi="120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'Exhibits for Analyst Day BF'!$A$168</c:f>
              <c:strCache>
                <c:ptCount val="1"/>
                <c:pt idx="0">
                  <c:v>1MM Pace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'Exhibits for Analyst Day BF'!$B$167:$G$167</c:f>
              <c:strCache>
                <c:ptCount val="6"/>
                <c:pt idx="0">
                  <c:v>2020A</c:v>
                </c:pt>
                <c:pt idx="1">
                  <c:v>2021E</c:v>
                </c:pt>
                <c:pt idx="2">
                  <c:v>2022E</c:v>
                </c:pt>
                <c:pt idx="3">
                  <c:v>2023E</c:v>
                </c:pt>
                <c:pt idx="4">
                  <c:v>2024E</c:v>
                </c:pt>
                <c:pt idx="5">
                  <c:v>2025E</c:v>
                </c:pt>
              </c:strCache>
            </c:strRef>
          </c:cat>
          <c:val>
            <c:numRef>
              <c:f>'Exhibits for Analyst Day BF'!$B$168:$G$168</c:f>
              <c:numCache>
                <c:formatCode>#,##0_);\(#,##0\)</c:formatCode>
                <c:ptCount val="6"/>
                <c:pt idx="0">
                  <c:v>1000</c:v>
                </c:pt>
                <c:pt idx="1">
                  <c:v>1050</c:v>
                </c:pt>
                <c:pt idx="2">
                  <c:v>1102.5</c:v>
                </c:pt>
                <c:pt idx="3">
                  <c:v>1157.625</c:v>
                </c:pt>
                <c:pt idx="4">
                  <c:v>1215.5062500000001</c:v>
                </c:pt>
                <c:pt idx="5">
                  <c:v>1276.2815625000003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4A-4CE8-8DBC-9916758473B9}"/>
            </c:ext>
          </c:extLst>
        </c:ser>
        <c:ser>
          <c:idx val="1"/>
          <c:order val="1"/>
          <c:tx>
            <c:strRef>
              <c:f>'Exhibits for Analyst Day BF'!$A$169</c:f>
              <c:strCache>
                <c:ptCount val="1"/>
                <c:pt idx="0">
                  <c:v>1.5MM Pace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'Exhibits for Analyst Day BF'!$B$167:$G$167</c:f>
              <c:strCache>
                <c:ptCount val="6"/>
                <c:pt idx="0">
                  <c:v>2020A</c:v>
                </c:pt>
                <c:pt idx="1">
                  <c:v>2021E</c:v>
                </c:pt>
                <c:pt idx="2">
                  <c:v>2022E</c:v>
                </c:pt>
                <c:pt idx="3">
                  <c:v>2023E</c:v>
                </c:pt>
                <c:pt idx="4">
                  <c:v>2024E</c:v>
                </c:pt>
                <c:pt idx="5">
                  <c:v>2025E</c:v>
                </c:pt>
              </c:strCache>
            </c:strRef>
          </c:cat>
          <c:val>
            <c:numRef>
              <c:f>'Exhibits for Analyst Day BF'!$B$169:$G$169</c:f>
              <c:numCache>
                <c:formatCode>#,##0_);\(#,##0\)</c:formatCode>
                <c:ptCount val="6"/>
                <c:pt idx="0">
                  <c:v>1000</c:v>
                </c:pt>
                <c:pt idx="1">
                  <c:v>1100</c:v>
                </c:pt>
                <c:pt idx="2">
                  <c:v>1210</c:v>
                </c:pt>
                <c:pt idx="3">
                  <c:v>1331</c:v>
                </c:pt>
                <c:pt idx="4">
                  <c:v>1464.1000000000001</c:v>
                </c:pt>
                <c:pt idx="5">
                  <c:v>1610.5100000000002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4A-4CE8-8DBC-9916758473B9}"/>
            </c:ext>
          </c:extLst>
        </c:ser>
        <c:ser>
          <c:idx val="2"/>
          <c:order val="2"/>
          <c:tx>
            <c:strRef>
              <c:f>'Exhibits for Analyst Day BF'!$A$170</c:f>
              <c:strCache>
                <c:ptCount val="1"/>
                <c:pt idx="0">
                  <c:v>2MM Pace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lg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'Exhibits for Analyst Day BF'!$B$167:$G$167</c:f>
              <c:strCache>
                <c:ptCount val="6"/>
                <c:pt idx="0">
                  <c:v>2020A</c:v>
                </c:pt>
                <c:pt idx="1">
                  <c:v>2021E</c:v>
                </c:pt>
                <c:pt idx="2">
                  <c:v>2022E</c:v>
                </c:pt>
                <c:pt idx="3">
                  <c:v>2023E</c:v>
                </c:pt>
                <c:pt idx="4">
                  <c:v>2024E</c:v>
                </c:pt>
                <c:pt idx="5">
                  <c:v>2025E</c:v>
                </c:pt>
              </c:strCache>
            </c:strRef>
          </c:cat>
          <c:val>
            <c:numRef>
              <c:f>'Exhibits for Analyst Day BF'!$B$170:$G$170</c:f>
              <c:numCache>
                <c:formatCode>#,##0_);\(#,##0\)</c:formatCode>
                <c:ptCount val="6"/>
                <c:pt idx="0">
                  <c:v>1000</c:v>
                </c:pt>
                <c:pt idx="1">
                  <c:v>1150</c:v>
                </c:pt>
                <c:pt idx="2">
                  <c:v>1322.5</c:v>
                </c:pt>
                <c:pt idx="3">
                  <c:v>1520.8749999999998</c:v>
                </c:pt>
                <c:pt idx="4">
                  <c:v>1749.0062499999997</c:v>
                </c:pt>
                <c:pt idx="5">
                  <c:v>2011.3571874999996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4A-4CE8-8DBC-991675847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5621184"/>
        <c:axId val="865627424"/>
      </c:lineChart>
      <c:catAx>
        <c:axId val="86562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865627424"/>
        <c:crosses val="autoZero"/>
        <c:auto val="1"/>
        <c:lblAlgn val="ctr"/>
        <c:lblOffset val="100"/>
        <c:noMultiLvlLbl val="0"/>
      </c:catAx>
      <c:valAx>
        <c:axId val="865627424"/>
        <c:scaling>
          <c:orientation val="minMax"/>
        </c:scaling>
        <c:delete val="1"/>
        <c:axPos val="l"/>
        <c:numFmt formatCode="#,##0_);\(#,##0\)" sourceLinked="1"/>
        <c:majorTickMark val="none"/>
        <c:minorTickMark val="none"/>
        <c:tickLblPos val="nextTo"/>
        <c:crossAx val="86562118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800" b="0" i="0" u="none" strike="noStrike" baseline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'Exhibits for Analyst Day BF'!$A$172</c:f>
              <c:strCache>
                <c:ptCount val="1"/>
                <c:pt idx="0">
                  <c:v>1MM Pace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'Exhibits for Analyst Day BF'!$B$167:$G$167</c:f>
              <c:strCache>
                <c:ptCount val="6"/>
                <c:pt idx="0">
                  <c:v>2020A</c:v>
                </c:pt>
                <c:pt idx="1">
                  <c:v>2021E</c:v>
                </c:pt>
                <c:pt idx="2">
                  <c:v>2022E</c:v>
                </c:pt>
                <c:pt idx="3">
                  <c:v>2023E</c:v>
                </c:pt>
                <c:pt idx="4">
                  <c:v>2024E</c:v>
                </c:pt>
                <c:pt idx="5">
                  <c:v>2025E</c:v>
                </c:pt>
              </c:strCache>
            </c:strRef>
          </c:cat>
          <c:val>
            <c:numRef>
              <c:f>'Exhibits for Analyst Day BF'!$B$172:$G$172</c:f>
              <c:numCache>
                <c:formatCode>0%</c:formatCode>
                <c:ptCount val="6"/>
                <c:pt idx="0">
                  <c:v>0.19760479041916224</c:v>
                </c:pt>
                <c:pt idx="1">
                  <c:v>5.0000000000000044E-2</c:v>
                </c:pt>
                <c:pt idx="2">
                  <c:v>5.0000000000000044E-2</c:v>
                </c:pt>
                <c:pt idx="3">
                  <c:v>5.0000000000000044E-2</c:v>
                </c:pt>
                <c:pt idx="4">
                  <c:v>5.0000000000000044E-2</c:v>
                </c:pt>
                <c:pt idx="5">
                  <c:v>5.0000000000000044E-2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51-43C2-ADF2-4E483F91379F}"/>
            </c:ext>
          </c:extLst>
        </c:ser>
        <c:ser>
          <c:idx val="1"/>
          <c:order val="1"/>
          <c:tx>
            <c:strRef>
              <c:f>'Exhibits for Analyst Day BF'!$A$173</c:f>
              <c:strCache>
                <c:ptCount val="1"/>
                <c:pt idx="0">
                  <c:v>1.5MM Pace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51-43C2-ADF2-4E483F9137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'Exhibits for Analyst Day BF'!$B$167:$G$167</c:f>
              <c:strCache>
                <c:ptCount val="6"/>
                <c:pt idx="0">
                  <c:v>2020A</c:v>
                </c:pt>
                <c:pt idx="1">
                  <c:v>2021E</c:v>
                </c:pt>
                <c:pt idx="2">
                  <c:v>2022E</c:v>
                </c:pt>
                <c:pt idx="3">
                  <c:v>2023E</c:v>
                </c:pt>
                <c:pt idx="4">
                  <c:v>2024E</c:v>
                </c:pt>
                <c:pt idx="5">
                  <c:v>2025E</c:v>
                </c:pt>
              </c:strCache>
            </c:strRef>
          </c:cat>
          <c:val>
            <c:numRef>
              <c:f>'Exhibits for Analyst Day BF'!$B$173:$G$173</c:f>
              <c:numCache>
                <c:formatCode>0%</c:formatCode>
                <c:ptCount val="6"/>
                <c:pt idx="0">
                  <c:v>0.19760479041916224</c:v>
                </c:pt>
                <c:pt idx="1">
                  <c:v>0.10000000000000009</c:v>
                </c:pt>
                <c:pt idx="2">
                  <c:v>0.10000000000000009</c:v>
                </c:pt>
                <c:pt idx="3">
                  <c:v>0.10000000000000009</c:v>
                </c:pt>
                <c:pt idx="4">
                  <c:v>0.10000000000000009</c:v>
                </c:pt>
                <c:pt idx="5">
                  <c:v>0.10000000000000009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51-43C2-ADF2-4E483F91379F}"/>
            </c:ext>
          </c:extLst>
        </c:ser>
        <c:ser>
          <c:idx val="2"/>
          <c:order val="2"/>
          <c:tx>
            <c:strRef>
              <c:f>'Exhibits for Analyst Day BF'!$A$174</c:f>
              <c:strCache>
                <c:ptCount val="1"/>
                <c:pt idx="0">
                  <c:v>2MM Pace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lg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'Exhibits for Analyst Day BF'!$B$167:$G$167</c:f>
              <c:strCache>
                <c:ptCount val="6"/>
                <c:pt idx="0">
                  <c:v>2020A</c:v>
                </c:pt>
                <c:pt idx="1">
                  <c:v>2021E</c:v>
                </c:pt>
                <c:pt idx="2">
                  <c:v>2022E</c:v>
                </c:pt>
                <c:pt idx="3">
                  <c:v>2023E</c:v>
                </c:pt>
                <c:pt idx="4">
                  <c:v>2024E</c:v>
                </c:pt>
                <c:pt idx="5">
                  <c:v>2025E</c:v>
                </c:pt>
              </c:strCache>
            </c:strRef>
          </c:cat>
          <c:val>
            <c:numRef>
              <c:f>'Exhibits for Analyst Day BF'!$B$174:$G$174</c:f>
              <c:numCache>
                <c:formatCode>0%</c:formatCode>
                <c:ptCount val="6"/>
                <c:pt idx="0">
                  <c:v>0.19760479041916224</c:v>
                </c:pt>
                <c:pt idx="1">
                  <c:v>0.14999999999999991</c:v>
                </c:pt>
                <c:pt idx="2">
                  <c:v>0.14999999999999991</c:v>
                </c:pt>
                <c:pt idx="3">
                  <c:v>0.14999999999999991</c:v>
                </c:pt>
                <c:pt idx="4">
                  <c:v>0.14999999999999991</c:v>
                </c:pt>
                <c:pt idx="5">
                  <c:v>0.14999999999999991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51-43C2-ADF2-4E483F913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5621184"/>
        <c:axId val="865627424"/>
      </c:lineChart>
      <c:catAx>
        <c:axId val="86562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865627424"/>
        <c:crosses val="autoZero"/>
        <c:auto val="1"/>
        <c:lblAlgn val="ctr"/>
        <c:lblOffset val="100"/>
        <c:noMultiLvlLbl val="0"/>
      </c:catAx>
      <c:valAx>
        <c:axId val="8656274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86562118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800" b="0" i="0" u="none" strike="noStrike" baseline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'Exhibits for Analyst Day BF'!$A$183</c:f>
              <c:strCache>
                <c:ptCount val="1"/>
                <c:pt idx="0">
                  <c:v>45% in 4 Years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'Exhibits for Analyst Day BF'!$B$167:$G$167</c:f>
              <c:strCache>
                <c:ptCount val="6"/>
                <c:pt idx="0">
                  <c:v>2020A</c:v>
                </c:pt>
                <c:pt idx="1">
                  <c:v>2021E</c:v>
                </c:pt>
                <c:pt idx="2">
                  <c:v>2022E</c:v>
                </c:pt>
                <c:pt idx="3">
                  <c:v>2023E</c:v>
                </c:pt>
                <c:pt idx="4">
                  <c:v>2024E</c:v>
                </c:pt>
                <c:pt idx="5">
                  <c:v>2025E</c:v>
                </c:pt>
              </c:strCache>
            </c:strRef>
          </c:cat>
          <c:val>
            <c:numRef>
              <c:f>'Exhibits for Analyst Day BF'!$B$183:$G$183</c:f>
              <c:numCache>
                <c:formatCode>#,##0_);\(#,##0\)</c:formatCode>
                <c:ptCount val="6"/>
                <c:pt idx="0">
                  <c:v>1000</c:v>
                </c:pt>
                <c:pt idx="1">
                  <c:v>1050</c:v>
                </c:pt>
                <c:pt idx="2">
                  <c:v>1102.5</c:v>
                </c:pt>
                <c:pt idx="3">
                  <c:v>1157.625</c:v>
                </c:pt>
                <c:pt idx="4">
                  <c:v>1215.5062500000001</c:v>
                </c:pt>
                <c:pt idx="5">
                  <c:v>1276.2815625000003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F-46F8-B46F-3D910DB6FFAA}"/>
            </c:ext>
          </c:extLst>
        </c:ser>
        <c:ser>
          <c:idx val="1"/>
          <c:order val="1"/>
          <c:tx>
            <c:strRef>
              <c:f>'Exhibits for Analyst Day BF'!$A$184</c:f>
              <c:strCache>
                <c:ptCount val="1"/>
                <c:pt idx="0">
                  <c:v>45% in 6 Years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'Exhibits for Analyst Day BF'!$B$167:$G$167</c:f>
              <c:strCache>
                <c:ptCount val="6"/>
                <c:pt idx="0">
                  <c:v>2020A</c:v>
                </c:pt>
                <c:pt idx="1">
                  <c:v>2021E</c:v>
                </c:pt>
                <c:pt idx="2">
                  <c:v>2022E</c:v>
                </c:pt>
                <c:pt idx="3">
                  <c:v>2023E</c:v>
                </c:pt>
                <c:pt idx="4">
                  <c:v>2024E</c:v>
                </c:pt>
                <c:pt idx="5">
                  <c:v>2025E</c:v>
                </c:pt>
              </c:strCache>
            </c:strRef>
          </c:cat>
          <c:val>
            <c:numRef>
              <c:f>'Exhibits for Analyst Day BF'!$B$184:$G$184</c:f>
              <c:numCache>
                <c:formatCode>#,##0_);\(#,##0\)</c:formatCode>
                <c:ptCount val="6"/>
                <c:pt idx="0">
                  <c:v>1000</c:v>
                </c:pt>
                <c:pt idx="1">
                  <c:v>1100</c:v>
                </c:pt>
                <c:pt idx="2">
                  <c:v>1210</c:v>
                </c:pt>
                <c:pt idx="3">
                  <c:v>1331</c:v>
                </c:pt>
                <c:pt idx="4">
                  <c:v>1464.1000000000001</c:v>
                </c:pt>
                <c:pt idx="5">
                  <c:v>1610.5100000000002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BF-46F8-B46F-3D910DB6FFAA}"/>
            </c:ext>
          </c:extLst>
        </c:ser>
        <c:ser>
          <c:idx val="2"/>
          <c:order val="2"/>
          <c:tx>
            <c:strRef>
              <c:f>'Exhibits for Analyst Day BF'!$A$185</c:f>
              <c:strCache>
                <c:ptCount val="1"/>
                <c:pt idx="0">
                  <c:v>45% in 8 Years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lg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'Exhibits for Analyst Day BF'!$B$167:$G$167</c:f>
              <c:strCache>
                <c:ptCount val="6"/>
                <c:pt idx="0">
                  <c:v>2020A</c:v>
                </c:pt>
                <c:pt idx="1">
                  <c:v>2021E</c:v>
                </c:pt>
                <c:pt idx="2">
                  <c:v>2022E</c:v>
                </c:pt>
                <c:pt idx="3">
                  <c:v>2023E</c:v>
                </c:pt>
                <c:pt idx="4">
                  <c:v>2024E</c:v>
                </c:pt>
                <c:pt idx="5">
                  <c:v>2025E</c:v>
                </c:pt>
              </c:strCache>
            </c:strRef>
          </c:cat>
          <c:val>
            <c:numRef>
              <c:f>'Exhibits for Analyst Day BF'!$B$185:$G$185</c:f>
              <c:numCache>
                <c:formatCode>#,##0_);\(#,##0\)</c:formatCode>
                <c:ptCount val="6"/>
                <c:pt idx="0">
                  <c:v>1000</c:v>
                </c:pt>
                <c:pt idx="1">
                  <c:v>1150</c:v>
                </c:pt>
                <c:pt idx="2">
                  <c:v>1322.5</c:v>
                </c:pt>
                <c:pt idx="3">
                  <c:v>1520.8749999999998</c:v>
                </c:pt>
                <c:pt idx="4">
                  <c:v>1749.0062499999997</c:v>
                </c:pt>
                <c:pt idx="5">
                  <c:v>2011.3571874999996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BF-46F8-B46F-3D910DB6F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5621184"/>
        <c:axId val="865627424"/>
      </c:lineChart>
      <c:catAx>
        <c:axId val="86562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865627424"/>
        <c:crosses val="autoZero"/>
        <c:auto val="1"/>
        <c:lblAlgn val="ctr"/>
        <c:lblOffset val="100"/>
        <c:noMultiLvlLbl val="0"/>
      </c:catAx>
      <c:valAx>
        <c:axId val="865627424"/>
        <c:scaling>
          <c:orientation val="minMax"/>
        </c:scaling>
        <c:delete val="1"/>
        <c:axPos val="l"/>
        <c:numFmt formatCode="#,##0_);\(#,##0\)" sourceLinked="1"/>
        <c:majorTickMark val="none"/>
        <c:minorTickMark val="none"/>
        <c:tickLblPos val="nextTo"/>
        <c:crossAx val="86562118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800" b="0" i="0" u="none" strike="noStrike" baseline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'Exhibits for Analyst Day BF'!$A$187</c:f>
              <c:strCache>
                <c:ptCount val="1"/>
                <c:pt idx="0">
                  <c:v>45% in 4 Years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'Exhibits for Analyst Day BF'!$B$167:$G$167</c:f>
              <c:strCache>
                <c:ptCount val="6"/>
                <c:pt idx="0">
                  <c:v>2020A</c:v>
                </c:pt>
                <c:pt idx="1">
                  <c:v>2021E</c:v>
                </c:pt>
                <c:pt idx="2">
                  <c:v>2022E</c:v>
                </c:pt>
                <c:pt idx="3">
                  <c:v>2023E</c:v>
                </c:pt>
                <c:pt idx="4">
                  <c:v>2024E</c:v>
                </c:pt>
                <c:pt idx="5">
                  <c:v>2025E</c:v>
                </c:pt>
              </c:strCache>
            </c:strRef>
          </c:cat>
          <c:val>
            <c:numRef>
              <c:f>'Exhibits for Analyst Day BF'!$B$187:$G$187</c:f>
              <c:numCache>
                <c:formatCode>0%</c:formatCode>
                <c:ptCount val="6"/>
                <c:pt idx="0">
                  <c:v>0.19760479041916224</c:v>
                </c:pt>
                <c:pt idx="1">
                  <c:v>5.0000000000000044E-2</c:v>
                </c:pt>
                <c:pt idx="2">
                  <c:v>5.0000000000000044E-2</c:v>
                </c:pt>
                <c:pt idx="3">
                  <c:v>5.0000000000000044E-2</c:v>
                </c:pt>
                <c:pt idx="4">
                  <c:v>5.0000000000000044E-2</c:v>
                </c:pt>
                <c:pt idx="5">
                  <c:v>5.0000000000000044E-2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FB-4DA9-BE7B-CD7EDD2AF98C}"/>
            </c:ext>
          </c:extLst>
        </c:ser>
        <c:ser>
          <c:idx val="1"/>
          <c:order val="1"/>
          <c:tx>
            <c:strRef>
              <c:f>'Exhibits for Analyst Day BF'!$A$188</c:f>
              <c:strCache>
                <c:ptCount val="1"/>
                <c:pt idx="0">
                  <c:v>45% in 6 Years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FB-4DA9-BE7B-CD7EDD2AF9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'Exhibits for Analyst Day BF'!$B$167:$G$167</c:f>
              <c:strCache>
                <c:ptCount val="6"/>
                <c:pt idx="0">
                  <c:v>2020A</c:v>
                </c:pt>
                <c:pt idx="1">
                  <c:v>2021E</c:v>
                </c:pt>
                <c:pt idx="2">
                  <c:v>2022E</c:v>
                </c:pt>
                <c:pt idx="3">
                  <c:v>2023E</c:v>
                </c:pt>
                <c:pt idx="4">
                  <c:v>2024E</c:v>
                </c:pt>
                <c:pt idx="5">
                  <c:v>2025E</c:v>
                </c:pt>
              </c:strCache>
            </c:strRef>
          </c:cat>
          <c:val>
            <c:numRef>
              <c:f>'Exhibits for Analyst Day BF'!$B$188:$G$188</c:f>
              <c:numCache>
                <c:formatCode>0%</c:formatCode>
                <c:ptCount val="6"/>
                <c:pt idx="0">
                  <c:v>0.19760479041916224</c:v>
                </c:pt>
                <c:pt idx="1">
                  <c:v>0.10000000000000009</c:v>
                </c:pt>
                <c:pt idx="2">
                  <c:v>0.10000000000000009</c:v>
                </c:pt>
                <c:pt idx="3">
                  <c:v>0.10000000000000009</c:v>
                </c:pt>
                <c:pt idx="4">
                  <c:v>0.10000000000000009</c:v>
                </c:pt>
                <c:pt idx="5">
                  <c:v>0.10000000000000009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FB-4DA9-BE7B-CD7EDD2AF98C}"/>
            </c:ext>
          </c:extLst>
        </c:ser>
        <c:ser>
          <c:idx val="2"/>
          <c:order val="2"/>
          <c:tx>
            <c:strRef>
              <c:f>'Exhibits for Analyst Day BF'!$A$189</c:f>
              <c:strCache>
                <c:ptCount val="1"/>
                <c:pt idx="0">
                  <c:v>45% in 8 Years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lg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'Exhibits for Analyst Day BF'!$B$167:$G$167</c:f>
              <c:strCache>
                <c:ptCount val="6"/>
                <c:pt idx="0">
                  <c:v>2020A</c:v>
                </c:pt>
                <c:pt idx="1">
                  <c:v>2021E</c:v>
                </c:pt>
                <c:pt idx="2">
                  <c:v>2022E</c:v>
                </c:pt>
                <c:pt idx="3">
                  <c:v>2023E</c:v>
                </c:pt>
                <c:pt idx="4">
                  <c:v>2024E</c:v>
                </c:pt>
                <c:pt idx="5">
                  <c:v>2025E</c:v>
                </c:pt>
              </c:strCache>
            </c:strRef>
          </c:cat>
          <c:val>
            <c:numRef>
              <c:f>'Exhibits for Analyst Day BF'!$B$189:$G$189</c:f>
              <c:numCache>
                <c:formatCode>0%</c:formatCode>
                <c:ptCount val="6"/>
                <c:pt idx="0">
                  <c:v>0.19760479041916224</c:v>
                </c:pt>
                <c:pt idx="1">
                  <c:v>0.14999999999999991</c:v>
                </c:pt>
                <c:pt idx="2">
                  <c:v>0.14999999999999991</c:v>
                </c:pt>
                <c:pt idx="3">
                  <c:v>0.14999999999999991</c:v>
                </c:pt>
                <c:pt idx="4">
                  <c:v>0.14999999999999991</c:v>
                </c:pt>
                <c:pt idx="5">
                  <c:v>0.14999999999999991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FB-4DA9-BE7B-CD7EDD2AF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5621184"/>
        <c:axId val="865627424"/>
      </c:lineChart>
      <c:catAx>
        <c:axId val="86562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865627424"/>
        <c:crosses val="autoZero"/>
        <c:auto val="1"/>
        <c:lblAlgn val="ctr"/>
        <c:lblOffset val="100"/>
        <c:noMultiLvlLbl val="0"/>
      </c:catAx>
      <c:valAx>
        <c:axId val="8656274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86562118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800" b="0" i="0" u="none" strike="noStrike" baseline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Analysis!$A$1509</c:f>
              <c:strCache>
                <c:ptCount val="1"/>
                <c:pt idx="0">
                  <c:v>Base fiber markets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rgbClr val="4D4D4D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Analysis!$B$1508:$F$1508</c:f>
              <c:strCache>
                <c:ptCount val="5"/>
                <c:pt idx="0">
                  <c:v>1Q23</c:v>
                </c:pt>
                <c:pt idx="1">
                  <c:v>2Q23</c:v>
                </c:pt>
                <c:pt idx="2">
                  <c:v>3Q23</c:v>
                </c:pt>
                <c:pt idx="3">
                  <c:v>4Q23</c:v>
                </c:pt>
                <c:pt idx="4">
                  <c:v>1Q24</c:v>
                </c:pt>
              </c:strCache>
            </c:strRef>
          </c:cat>
          <c:val>
            <c:numRef>
              <c:f>Analysis!$B$1509:$F$1509</c:f>
              <c:numCache>
                <c:formatCode>0.0%</c:formatCode>
                <c:ptCount val="5"/>
                <c:pt idx="0">
                  <c:v>0.435</c:v>
                </c:pt>
                <c:pt idx="1">
                  <c:v>0.434</c:v>
                </c:pt>
                <c:pt idx="2">
                  <c:v>0.439</c:v>
                </c:pt>
                <c:pt idx="3">
                  <c:v>0.44500000000000001</c:v>
                </c:pt>
                <c:pt idx="4">
                  <c:v>0.44900000000000001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8-4B4F-A04D-45171DF0F38C}"/>
            </c:ext>
          </c:extLst>
        </c:ser>
        <c:ser>
          <c:idx val="1"/>
          <c:order val="1"/>
          <c:tx>
            <c:strRef>
              <c:f>Analysis!$A$1510</c:f>
              <c:strCache>
                <c:ptCount val="1"/>
                <c:pt idx="0">
                  <c:v>New markets</c:v>
                </c:pt>
              </c:strCache>
            </c:strRef>
          </c:tx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rgbClr val="4D4D4D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Analysis!$B$1508:$F$1508</c:f>
              <c:strCache>
                <c:ptCount val="5"/>
                <c:pt idx="0">
                  <c:v>1Q23</c:v>
                </c:pt>
                <c:pt idx="1">
                  <c:v>2Q23</c:v>
                </c:pt>
                <c:pt idx="2">
                  <c:v>3Q23</c:v>
                </c:pt>
                <c:pt idx="3">
                  <c:v>4Q23</c:v>
                </c:pt>
                <c:pt idx="4">
                  <c:v>1Q24</c:v>
                </c:pt>
              </c:strCache>
            </c:strRef>
          </c:cat>
          <c:val>
            <c:numRef>
              <c:f>Analysis!$B$1510:$F$1510</c:f>
              <c:numCache>
                <c:formatCode>0.0%</c:formatCode>
                <c:ptCount val="5"/>
                <c:pt idx="0">
                  <c:v>0.16396808045474426</c:v>
                </c:pt>
                <c:pt idx="1">
                  <c:v>0.17104033807145605</c:v>
                </c:pt>
                <c:pt idx="2">
                  <c:v>0.17311856899488928</c:v>
                </c:pt>
                <c:pt idx="3">
                  <c:v>0.17526468788249691</c:v>
                </c:pt>
                <c:pt idx="4">
                  <c:v>0.18046601671309193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E8-4B4F-A04D-45171DF0F38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bg1"/>
            </a:solidFill>
            <a:ln w="25400"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EE-4190-98C8-35D77A74553B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EE-4190-98C8-35D77A74553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EE-4190-98C8-35D77A74553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EE-4190-98C8-35D77A7455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EE-4190-98C8-35D77A74553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EE-4190-98C8-35D77A7455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'Exhibits for Analyst Day BF'!$A$324:$A$330</c:f>
              <c:strCache>
                <c:ptCount val="7"/>
                <c:pt idx="0">
                  <c:v>2020 EBITDA</c:v>
                </c:pt>
                <c:pt idx="1">
                  <c:v>Sub Growth</c:v>
                </c:pt>
                <c:pt idx="2">
                  <c:v>ARPU Growth</c:v>
                </c:pt>
                <c:pt idx="3">
                  <c:v>Change in Costs</c:v>
                </c:pt>
                <c:pt idx="4">
                  <c:v>Wholesale Price Cut</c:v>
                </c:pt>
                <c:pt idx="5">
                  <c:v>Other Revenue Changes</c:v>
                </c:pt>
                <c:pt idx="6">
                  <c:v>2021 EBITDA</c:v>
                </c:pt>
              </c:strCache>
            </c:strRef>
          </c:cat>
          <c:val>
            <c:numRef>
              <c:f>'Exhibits for Analyst Day BF'!$B$324:$B$330</c:f>
              <c:numCache>
                <c:formatCode>_(* #,##0_);_(* \(#,##0\);_(* "-"??_);_(@_)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1043.2550573141179</c:v>
                </c:pt>
                <c:pt idx="3">
                  <c:v>1111.4879781951618</c:v>
                </c:pt>
                <c:pt idx="4">
                  <c:v>1091.487978195162</c:v>
                </c:pt>
                <c:pt idx="5">
                  <c:v>1044.8623768344735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EE-4190-98C8-35D77A74553B}"/>
            </c:ext>
          </c:extLst>
        </c:ser>
        <c:ser>
          <c:idx val="1"/>
          <c:order val="1"/>
          <c:spPr>
            <a:solidFill>
              <a:srgbClr val="9999FF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'Exhibits for Analyst Day BF'!$A$324:$A$330</c:f>
              <c:strCache>
                <c:ptCount val="7"/>
                <c:pt idx="0">
                  <c:v>2020 EBITDA</c:v>
                </c:pt>
                <c:pt idx="1">
                  <c:v>Sub Growth</c:v>
                </c:pt>
                <c:pt idx="2">
                  <c:v>ARPU Growth</c:v>
                </c:pt>
                <c:pt idx="3">
                  <c:v>Change in Costs</c:v>
                </c:pt>
                <c:pt idx="4">
                  <c:v>Wholesale Price Cut</c:v>
                </c:pt>
                <c:pt idx="5">
                  <c:v>Other Revenue Changes</c:v>
                </c:pt>
                <c:pt idx="6">
                  <c:v>2021 EBITDA</c:v>
                </c:pt>
              </c:strCache>
            </c:strRef>
          </c:cat>
          <c:val>
            <c:numRef>
              <c:f>'Exhibits for Analyst Day BF'!$C$324:$C$330</c:f>
              <c:numCache>
                <c:formatCode>_(* #,##0_);_(* \(#,##0\);_(* "-"??_);_(@_)</c:formatCode>
                <c:ptCount val="7"/>
                <c:pt idx="1">
                  <c:v>43.255057314117963</c:v>
                </c:pt>
                <c:pt idx="2">
                  <c:v>68.232920881043867</c:v>
                </c:pt>
                <c:pt idx="3">
                  <c:v>80.000000000000227</c:v>
                </c:pt>
                <c:pt idx="4">
                  <c:v>100</c:v>
                </c:pt>
                <c:pt idx="5">
                  <c:v>46.625601360688577</c:v>
                </c:pt>
                <c:pt idx="6">
                  <c:v>1044.8623768344735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EE-4190-98C8-35D77A745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0714159"/>
        <c:axId val="150711247"/>
      </c:barChart>
      <c:catAx>
        <c:axId val="150714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50711247"/>
        <c:crosses val="autoZero"/>
        <c:auto val="1"/>
        <c:lblAlgn val="ctr"/>
        <c:lblOffset val="100"/>
        <c:noMultiLvlLbl val="0"/>
      </c:catAx>
      <c:valAx>
        <c:axId val="150711247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50714159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800" b="0" i="0" u="none" strike="noStrike" baseline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 orientation="portrait" horizontalDpi="1200" verticalDpi="120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'Exhibits for Analyst Day BF'!$B$299</c:f>
              <c:strCache>
                <c:ptCount val="1"/>
                <c:pt idx="0">
                  <c:v>Fiber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'Exhibits for Analyst Day BF'!$A$300:$A$302</c:f>
              <c:strCache>
                <c:ptCount val="3"/>
                <c:pt idx="0">
                  <c:v>Whole + Reg</c:v>
                </c:pt>
                <c:pt idx="1">
                  <c:v>Commercial</c:v>
                </c:pt>
                <c:pt idx="2">
                  <c:v>Consumer</c:v>
                </c:pt>
              </c:strCache>
            </c:strRef>
          </c:cat>
          <c:val>
            <c:numRef>
              <c:f>'Exhibits for Analyst Day BF'!$B$300:$B$302</c:f>
              <c:numCache>
                <c:formatCode>General</c:formatCode>
                <c:ptCount val="3"/>
                <c:pt idx="0">
                  <c:v>0.5</c:v>
                </c:pt>
                <c:pt idx="1">
                  <c:v>0.3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4-46F7-AA82-DE9D0C6FBDC8}"/>
            </c:ext>
          </c:extLst>
        </c:ser>
        <c:ser>
          <c:idx val="1"/>
          <c:order val="1"/>
          <c:tx>
            <c:strRef>
              <c:f>'Exhibits for Analyst Day BF'!$C$299</c:f>
              <c:strCache>
                <c:ptCount val="1"/>
                <c:pt idx="0">
                  <c:v>Legacy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'Exhibits for Analyst Day BF'!$A$300:$A$302</c:f>
              <c:strCache>
                <c:ptCount val="3"/>
                <c:pt idx="0">
                  <c:v>Whole + Reg</c:v>
                </c:pt>
                <c:pt idx="1">
                  <c:v>Commercial</c:v>
                </c:pt>
                <c:pt idx="2">
                  <c:v>Consumer</c:v>
                </c:pt>
              </c:strCache>
            </c:strRef>
          </c:cat>
          <c:val>
            <c:numRef>
              <c:f>'Exhibits for Analyst Day BF'!$C$300:$C$302</c:f>
              <c:numCache>
                <c:formatCode>General</c:formatCode>
                <c:ptCount val="3"/>
                <c:pt idx="0">
                  <c:v>1.5</c:v>
                </c:pt>
                <c:pt idx="1">
                  <c:v>1.4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F4-46F7-AA82-DE9D0C6FBDC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257894639"/>
        <c:axId val="410573903"/>
      </c:barChart>
      <c:catAx>
        <c:axId val="2578946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410573903"/>
        <c:crosses val="autoZero"/>
        <c:auto val="1"/>
        <c:lblAlgn val="ctr"/>
        <c:lblOffset val="100"/>
        <c:noMultiLvlLbl val="0"/>
      </c:catAx>
      <c:valAx>
        <c:axId val="41057390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57894639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800" b="0" i="0" u="none" strike="noStrike" baseline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 orientation="portrait" horizontalDpi="1200" verticalDpi="120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Guidance</c:v>
          </c:tx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Sheet1!$C$3:$F$3</c:f>
              <c:numCache>
                <c:formatCode>0_);\(0\)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Sheet1!$C$5:$F$5</c:f>
              <c:numCache>
                <c:formatCode>#,##0_);\(#,##0\)</c:formatCode>
                <c:ptCount val="4"/>
                <c:pt idx="0">
                  <c:v>1181.8499999999999</c:v>
                </c:pt>
                <c:pt idx="1">
                  <c:v>1418.1</c:v>
                </c:pt>
                <c:pt idx="2">
                  <c:v>1431.9</c:v>
                </c:pt>
                <c:pt idx="3">
                  <c:v>1397.4999999999998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B-49C5-AFA1-BB1E08781B75}"/>
            </c:ext>
          </c:extLst>
        </c:ser>
        <c:ser>
          <c:idx val="1"/>
          <c:order val="1"/>
          <c:tx>
            <c:v>Cartesian</c:v>
          </c:tx>
          <c:spPr>
            <a:solidFill>
              <a:srgbClr val="9999FF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Sheet1!$C$3:$F$3</c:f>
              <c:numCache>
                <c:formatCode>0_);\(0\)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Sheet1!$C$6:$F$6</c:f>
              <c:numCache>
                <c:formatCode>#,##0_);\(#,##0\)</c:formatCode>
                <c:ptCount val="4"/>
                <c:pt idx="0">
                  <c:v>1382</c:v>
                </c:pt>
                <c:pt idx="1">
                  <c:v>2211.1999999999998</c:v>
                </c:pt>
                <c:pt idx="2">
                  <c:v>2390.86</c:v>
                </c:pt>
                <c:pt idx="3">
                  <c:v>2392.2420000000002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B-49C5-AFA1-BB1E08781B7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2005386640"/>
        <c:axId val="2005388720"/>
      </c:barChart>
      <c:catAx>
        <c:axId val="2005386640"/>
        <c:scaling>
          <c:orientation val="minMax"/>
        </c:scaling>
        <c:delete val="0"/>
        <c:axPos val="b"/>
        <c:numFmt formatCode="0_);\(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05388720"/>
        <c:crosses val="autoZero"/>
        <c:auto val="1"/>
        <c:lblAlgn val="ctr"/>
        <c:lblOffset val="100"/>
        <c:noMultiLvlLbl val="0"/>
      </c:catAx>
      <c:valAx>
        <c:axId val="2005388720"/>
        <c:scaling>
          <c:orientation val="minMax"/>
        </c:scaling>
        <c:delete val="1"/>
        <c:axPos val="l"/>
        <c:numFmt formatCode="#,##0_);\(#,##0\)" sourceLinked="1"/>
        <c:majorTickMark val="none"/>
        <c:minorTickMark val="none"/>
        <c:tickLblPos val="nextTo"/>
        <c:crossAx val="200538664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800" b="0" i="0" u="none" strike="noStrike" baseline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Guidance</c:v>
          </c:tx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Sheet1!$C$3:$F$3</c:f>
              <c:numCache>
                <c:formatCode>0_);\(0\)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Sheet1!$C$22:$F$22</c:f>
              <c:numCache>
                <c:formatCode>0.0\x</c:formatCode>
                <c:ptCount val="4"/>
                <c:pt idx="0">
                  <c:v>3.3908653846153847</c:v>
                </c:pt>
                <c:pt idx="1">
                  <c:v>4.2599905970850962</c:v>
                </c:pt>
                <c:pt idx="2">
                  <c:v>4.8027543314082628</c:v>
                </c:pt>
                <c:pt idx="3">
                  <c:v>5.2466149168475829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4-4891-BB3A-E1C04DD839A5}"/>
            </c:ext>
          </c:extLst>
        </c:ser>
        <c:ser>
          <c:idx val="1"/>
          <c:order val="1"/>
          <c:tx>
            <c:v>Cartesian</c:v>
          </c:tx>
          <c:spPr>
            <a:solidFill>
              <a:srgbClr val="9999FF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Sheet1!$C$3:$F$3</c:f>
              <c:numCache>
                <c:formatCode>0_);\(0\)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Sheet1!$C$23:$F$23</c:f>
              <c:numCache>
                <c:formatCode>0.0\x</c:formatCode>
                <c:ptCount val="4"/>
                <c:pt idx="0">
                  <c:v>3.3364924186861189</c:v>
                </c:pt>
                <c:pt idx="1">
                  <c:v>3.7984721420408154</c:v>
                </c:pt>
                <c:pt idx="2">
                  <c:v>4.0490871970197171</c:v>
                </c:pt>
                <c:pt idx="3">
                  <c:v>4.6153306044148756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4-4891-BB3A-E1C04DD839A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2023434208"/>
        <c:axId val="2023456672"/>
      </c:barChart>
      <c:catAx>
        <c:axId val="2023434208"/>
        <c:scaling>
          <c:orientation val="minMax"/>
        </c:scaling>
        <c:delete val="0"/>
        <c:axPos val="b"/>
        <c:numFmt formatCode="0_);\(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23456672"/>
        <c:crosses val="autoZero"/>
        <c:auto val="1"/>
        <c:lblAlgn val="ctr"/>
        <c:lblOffset val="100"/>
        <c:noMultiLvlLbl val="0"/>
      </c:catAx>
      <c:valAx>
        <c:axId val="2023456672"/>
        <c:scaling>
          <c:orientation val="minMax"/>
        </c:scaling>
        <c:delete val="1"/>
        <c:axPos val="l"/>
        <c:numFmt formatCode="0.0\x" sourceLinked="1"/>
        <c:majorTickMark val="none"/>
        <c:minorTickMark val="none"/>
        <c:tickLblPos val="nextTo"/>
        <c:crossAx val="202343420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800" b="0" i="0" u="none" strike="noStrike" baseline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bg1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20E-4802-9381-EE3A32AD67B5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0E-4802-9381-EE3A32AD67B5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20E-4802-9381-EE3A32AD67B5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0E-4802-9381-EE3A32AD67B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0E-4802-9381-EE3A32AD67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0E-4802-9381-EE3A32AD67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Sheet1!$B$52:$B$56</c:f>
              <c:strCache>
                <c:ptCount val="5"/>
                <c:pt idx="0">
                  <c:v>Fiber</c:v>
                </c:pt>
                <c:pt idx="1">
                  <c:v>Copper</c:v>
                </c:pt>
                <c:pt idx="2">
                  <c:v>Net Debt</c:v>
                </c:pt>
                <c:pt idx="3">
                  <c:v>Upgrade Cost</c:v>
                </c:pt>
                <c:pt idx="4">
                  <c:v>Equity Value</c:v>
                </c:pt>
              </c:strCache>
            </c:strRef>
          </c:cat>
          <c:val>
            <c:numRef>
              <c:f>Sheet1!$C$52:$C$56</c:f>
              <c:numCache>
                <c:formatCode>_(* #,##0.00_);_(* \(#,##0.00\);_(* "-"??_);_(@_)</c:formatCode>
                <c:ptCount val="5"/>
                <c:pt idx="0">
                  <c:v>148.12473896700541</c:v>
                </c:pt>
                <c:pt idx="1">
                  <c:v>148.12473896700541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0E-4802-9381-EE3A32AD67B5}"/>
            </c:ext>
          </c:extLst>
        </c:ser>
        <c:ser>
          <c:idx val="1"/>
          <c:order val="1"/>
          <c:spPr>
            <a:solidFill>
              <a:srgbClr val="9999FF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Sheet1!$B$52:$B$56</c:f>
              <c:strCache>
                <c:ptCount val="5"/>
                <c:pt idx="0">
                  <c:v>Fiber</c:v>
                </c:pt>
                <c:pt idx="1">
                  <c:v>Copper</c:v>
                </c:pt>
                <c:pt idx="2">
                  <c:v>Net Debt</c:v>
                </c:pt>
                <c:pt idx="3">
                  <c:v>Upgrade Cost</c:v>
                </c:pt>
                <c:pt idx="4">
                  <c:v>Equity Value</c:v>
                </c:pt>
              </c:strCache>
            </c:strRef>
          </c:cat>
          <c:val>
            <c:numRef>
              <c:f>Sheet1!$D$52:$D$56</c:f>
              <c:numCache>
                <c:formatCode>_(* #,##0.00_);_(* \(#,##0.00\);_(* "-"??_);_(@_)</c:formatCode>
                <c:ptCount val="5"/>
                <c:pt idx="1">
                  <c:v>0</c:v>
                </c:pt>
                <c:pt idx="2">
                  <c:v>41.580769230769228</c:v>
                </c:pt>
                <c:pt idx="3">
                  <c:v>37.154469166118815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0E-4802-9381-EE3A32AD67B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475587663"/>
        <c:axId val="1475585167"/>
      </c:barChart>
      <c:catAx>
        <c:axId val="1475587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475585167"/>
        <c:crosses val="autoZero"/>
        <c:auto val="1"/>
        <c:lblAlgn val="ctr"/>
        <c:lblOffset val="100"/>
        <c:noMultiLvlLbl val="0"/>
      </c:catAx>
      <c:valAx>
        <c:axId val="1475585167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none"/>
        <c:minorTickMark val="none"/>
        <c:tickLblPos val="nextTo"/>
        <c:crossAx val="1475587663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800" b="0" i="0" u="none" strike="noStrike" baseline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Analysis!$A$1514</c:f>
              <c:strCache>
                <c:ptCount val="1"/>
                <c:pt idx="0">
                  <c:v>Base fiber markets</c:v>
                </c:pt>
              </c:strCache>
            </c:strRef>
          </c:tx>
          <c:spPr>
            <a:ln w="28575" cap="rnd">
              <a:solidFill>
                <a:srgbClr val="263238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4D4D4D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Analysis!$B$1508:$F$1508</c:f>
              <c:strCache>
                <c:ptCount val="5"/>
                <c:pt idx="0">
                  <c:v>1Q23</c:v>
                </c:pt>
                <c:pt idx="1">
                  <c:v>2Q23</c:v>
                </c:pt>
                <c:pt idx="2">
                  <c:v>3Q23</c:v>
                </c:pt>
                <c:pt idx="3">
                  <c:v>4Q23</c:v>
                </c:pt>
                <c:pt idx="4">
                  <c:v>1Q24</c:v>
                </c:pt>
              </c:strCache>
            </c:strRef>
          </c:cat>
          <c:val>
            <c:numRef>
              <c:f>Analysis!$B$1514:$F$1514</c:f>
              <c:numCache>
                <c:formatCode>0.0%</c:formatCode>
                <c:ptCount val="5"/>
                <c:pt idx="0">
                  <c:v>1.8753190763765505E-2</c:v>
                </c:pt>
                <c:pt idx="1">
                  <c:v>1.7296511254924044E-2</c:v>
                </c:pt>
                <c:pt idx="2">
                  <c:v>2.3941275704989152E-2</c:v>
                </c:pt>
                <c:pt idx="3">
                  <c:v>2.177811201248056E-2</c:v>
                </c:pt>
                <c:pt idx="4">
                  <c:v>2.0622645739910263E-2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FD-49E6-A06F-39C48C7F7E7C}"/>
            </c:ext>
          </c:extLst>
        </c:ser>
        <c:ser>
          <c:idx val="1"/>
          <c:order val="1"/>
          <c:tx>
            <c:strRef>
              <c:f>Analysis!$A$1515</c:f>
              <c:strCache>
                <c:ptCount val="1"/>
                <c:pt idx="0">
                  <c:v>New markets</c:v>
                </c:pt>
              </c:strCache>
            </c:strRef>
          </c:tx>
          <c:spPr>
            <a:ln w="28575" cap="rnd">
              <a:solidFill>
                <a:srgbClr val="465A63"/>
              </a:solidFill>
              <a:prstDash val="lg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4D4D4D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Analysis!$B$1508:$F$1508</c:f>
              <c:strCache>
                <c:ptCount val="5"/>
                <c:pt idx="0">
                  <c:v>1Q23</c:v>
                </c:pt>
                <c:pt idx="1">
                  <c:v>2Q23</c:v>
                </c:pt>
                <c:pt idx="2">
                  <c:v>3Q23</c:v>
                </c:pt>
                <c:pt idx="3">
                  <c:v>4Q23</c:v>
                </c:pt>
                <c:pt idx="4">
                  <c:v>1Q24</c:v>
                </c:pt>
              </c:strCache>
            </c:strRef>
          </c:cat>
          <c:val>
            <c:numRef>
              <c:f>Analysis!$B$1515:$F$1515</c:f>
              <c:numCache>
                <c:formatCode>0.0%</c:formatCode>
                <c:ptCount val="5"/>
                <c:pt idx="0">
                  <c:v>4.2101093822141111E-2</c:v>
                </c:pt>
                <c:pt idx="1">
                  <c:v>3.5172042627967207E-2</c:v>
                </c:pt>
                <c:pt idx="2">
                  <c:v>2.9727652005352094E-2</c:v>
                </c:pt>
                <c:pt idx="3">
                  <c:v>2.6736658063445162E-2</c:v>
                </c:pt>
                <c:pt idx="4">
                  <c:v>2.814325248768423E-2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FD-49E6-A06F-39C48C7F7E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95160607"/>
        <c:axId val="1495161855"/>
      </c:line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49516060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Analysis!$A$1524</c:f>
              <c:strCache>
                <c:ptCount val="1"/>
                <c:pt idx="0">
                  <c:v>Organic Net adds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Analysis!$B$1523:$E$1523</c:f>
              <c:strCache>
                <c:ptCount val="4"/>
                <c:pt idx="0">
                  <c:v>1Q24</c:v>
                </c:pt>
                <c:pt idx="1">
                  <c:v>2Q24</c:v>
                </c:pt>
                <c:pt idx="2">
                  <c:v>3Q24</c:v>
                </c:pt>
                <c:pt idx="3">
                  <c:v>4Q24</c:v>
                </c:pt>
              </c:strCache>
            </c:strRef>
          </c:cat>
          <c:val>
            <c:numRef>
              <c:f>Analysis!$B$1524:$E$1524</c:f>
              <c:numCache>
                <c:formatCode>_(* #,##0_);_(* \(#,##0\);_(* "-"??_);_(@_)</c:formatCode>
                <c:ptCount val="4"/>
                <c:pt idx="0">
                  <c:v>88</c:v>
                </c:pt>
                <c:pt idx="1">
                  <c:v>92</c:v>
                </c:pt>
                <c:pt idx="2">
                  <c:v>108</c:v>
                </c:pt>
                <c:pt idx="3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D-477A-B5AE-72C659D0C9D1}"/>
            </c:ext>
          </c:extLst>
        </c:ser>
        <c:ser>
          <c:idx val="1"/>
          <c:order val="1"/>
          <c:tx>
            <c:strRef>
              <c:f>Analysis!$A$1525</c:f>
              <c:strCache>
                <c:ptCount val="1"/>
                <c:pt idx="0">
                  <c:v>ACP impact</c:v>
                </c:pt>
              </c:strCache>
            </c:strRef>
          </c:tx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Analysis!$B$1523:$E$1523</c:f>
              <c:strCache>
                <c:ptCount val="4"/>
                <c:pt idx="0">
                  <c:v>1Q24</c:v>
                </c:pt>
                <c:pt idx="1">
                  <c:v>2Q24</c:v>
                </c:pt>
                <c:pt idx="2">
                  <c:v>3Q24</c:v>
                </c:pt>
                <c:pt idx="3">
                  <c:v>4Q24</c:v>
                </c:pt>
              </c:strCache>
            </c:strRef>
          </c:cat>
          <c:val>
            <c:numRef>
              <c:f>Analysis!$B$1525:$E$1525</c:f>
              <c:numCache>
                <c:formatCode>_(* #,##0_);_(* \(#,##0\);_(* "-"??_);_(@_)</c:formatCode>
                <c:ptCount val="4"/>
                <c:pt idx="1">
                  <c:v>-3</c:v>
                </c:pt>
                <c:pt idx="2">
                  <c:v>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DD-477A-B5AE-72C659D0C9D1}"/>
            </c:ext>
          </c:extLst>
        </c:ser>
        <c:ser>
          <c:idx val="2"/>
          <c:order val="2"/>
          <c:tx>
            <c:strRef>
              <c:f>Analysis!$A$1526</c:f>
              <c:strCache>
                <c:ptCount val="1"/>
                <c:pt idx="0">
                  <c:v>Reported Net Adds</c:v>
                </c:pt>
              </c:strCache>
            </c:strRef>
          </c:tx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Analysis!$B$1523:$E$1523</c:f>
              <c:strCache>
                <c:ptCount val="4"/>
                <c:pt idx="0">
                  <c:v>1Q24</c:v>
                </c:pt>
                <c:pt idx="1">
                  <c:v>2Q24</c:v>
                </c:pt>
                <c:pt idx="2">
                  <c:v>3Q24</c:v>
                </c:pt>
                <c:pt idx="3">
                  <c:v>4Q24</c:v>
                </c:pt>
              </c:strCache>
            </c:strRef>
          </c:cat>
          <c:val>
            <c:numRef>
              <c:f>Analysis!$B$1526:$E$1526</c:f>
              <c:numCache>
                <c:formatCode>_(* #,##0_);_(* \(#,##0\);_(* "-"??_);_(@_)</c:formatCode>
                <c:ptCount val="4"/>
                <c:pt idx="0">
                  <c:v>88</c:v>
                </c:pt>
                <c:pt idx="1">
                  <c:v>89</c:v>
                </c:pt>
                <c:pt idx="2">
                  <c:v>102</c:v>
                </c:pt>
                <c:pt idx="3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DD-477A-B5AE-72C659D0C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12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Analysis!$A$1531</c:f>
              <c:strCache>
                <c:ptCount val="1"/>
                <c:pt idx="0">
                  <c:v>ACP impact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Analysis!$B$1530:$E$1530</c:f>
              <c:strCache>
                <c:ptCount val="4"/>
                <c:pt idx="0">
                  <c:v>1Q24</c:v>
                </c:pt>
                <c:pt idx="1">
                  <c:v>2Q24</c:v>
                </c:pt>
                <c:pt idx="2">
                  <c:v>3Q24</c:v>
                </c:pt>
                <c:pt idx="3">
                  <c:v>4Q24</c:v>
                </c:pt>
              </c:strCache>
            </c:strRef>
          </c:cat>
          <c:val>
            <c:numRef>
              <c:f>Analysis!$B$1531:$E$1531</c:f>
              <c:numCache>
                <c:formatCode>_(* #,##0_);_(* \(#,##0\);_(* "-"??_);_(@_)</c:formatCode>
                <c:ptCount val="4"/>
                <c:pt idx="0">
                  <c:v>0</c:v>
                </c:pt>
                <c:pt idx="1">
                  <c:v>-4.333333333333333</c:v>
                </c:pt>
                <c:pt idx="2">
                  <c:v>-8.6666666666666661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D-499E-9E70-63366C8A04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Analysis!$A$1554</c:f>
              <c:strCache>
                <c:ptCount val="1"/>
                <c:pt idx="0">
                  <c:v>Baseline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Analysis!$B$1553:$E$1553</c:f>
              <c:strCache>
                <c:ptCount val="4"/>
                <c:pt idx="0">
                  <c:v>1Q24</c:v>
                </c:pt>
                <c:pt idx="1">
                  <c:v>2Q24</c:v>
                </c:pt>
                <c:pt idx="2">
                  <c:v>3Q24</c:v>
                </c:pt>
                <c:pt idx="3">
                  <c:v>4Q24</c:v>
                </c:pt>
              </c:strCache>
            </c:strRef>
          </c:cat>
          <c:val>
            <c:numRef>
              <c:f>Analysis!$B$1554:$E$1554</c:f>
              <c:numCache>
                <c:formatCode>_(* #,##0_);_(* \(#,##0\);_(* "-"??_);_(@_)</c:formatCode>
                <c:ptCount val="4"/>
                <c:pt idx="0">
                  <c:v>84.25</c:v>
                </c:pt>
                <c:pt idx="1">
                  <c:v>85</c:v>
                </c:pt>
                <c:pt idx="2">
                  <c:v>90.9381443298969</c:v>
                </c:pt>
                <c:pt idx="3">
                  <c:v>90.9381443298969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D-499E-9E70-63366C8A04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in val="-12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Analysis!$A$1555</c:f>
              <c:strCache>
                <c:ptCount val="1"/>
                <c:pt idx="0">
                  <c:v>Acceleration due to improved marketing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Analysis!$B$1553:$E$1553</c:f>
              <c:strCache>
                <c:ptCount val="4"/>
                <c:pt idx="0">
                  <c:v>1Q24</c:v>
                </c:pt>
                <c:pt idx="1">
                  <c:v>2Q24</c:v>
                </c:pt>
                <c:pt idx="2">
                  <c:v>3Q24</c:v>
                </c:pt>
                <c:pt idx="3">
                  <c:v>4Q24</c:v>
                </c:pt>
              </c:strCache>
            </c:strRef>
          </c:cat>
          <c:val>
            <c:numRef>
              <c:f>Analysis!$B$1555:$E$1555</c:f>
              <c:numCache>
                <c:formatCode>_(* #,##0_);_(* \(#,##0\);_(* "-"??_);_(@_)</c:formatCode>
                <c:ptCount val="4"/>
                <c:pt idx="1">
                  <c:v>11.1881443298969</c:v>
                </c:pt>
                <c:pt idx="2">
                  <c:v>12.0618556701031</c:v>
                </c:pt>
                <c:pt idx="3">
                  <c:v>13.0618556701031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67-4071-B6E1-616840D6510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108"/>
          <c:min val="-12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Analysis!$A$1556</c:f>
              <c:strCache>
                <c:ptCount val="1"/>
                <c:pt idx="0">
                  <c:v>Seasonality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4.2437781360066642E-17"/>
                  <c:y val="2.31481481481481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B7-4818-A588-7CA468C412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Analysis!$B$1553:$E$1553</c:f>
              <c:strCache>
                <c:ptCount val="4"/>
                <c:pt idx="0">
                  <c:v>1Q24</c:v>
                </c:pt>
                <c:pt idx="1">
                  <c:v>2Q24</c:v>
                </c:pt>
                <c:pt idx="2">
                  <c:v>3Q24</c:v>
                </c:pt>
                <c:pt idx="3">
                  <c:v>4Q24</c:v>
                </c:pt>
              </c:strCache>
            </c:strRef>
          </c:cat>
          <c:val>
            <c:numRef>
              <c:f>Analysis!$B$1556:$E$1556</c:f>
              <c:numCache>
                <c:formatCode>_(* #,##0_);_(* \(#,##0\);_(* "-"??_);_(@_)</c:formatCode>
                <c:ptCount val="4"/>
                <c:pt idx="0">
                  <c:v>0.75</c:v>
                </c:pt>
                <c:pt idx="1">
                  <c:v>-5.25</c:v>
                </c:pt>
                <c:pt idx="2">
                  <c:v>3</c:v>
                </c:pt>
                <c:pt idx="3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AE-4BFF-9400-E5EEB2EE5AE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108"/>
          <c:min val="-12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Analysis!$A$1559</c:f>
              <c:strCache>
                <c:ptCount val="1"/>
                <c:pt idx="0">
                  <c:v>ACP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Analysis!$B$1553:$E$1553</c:f>
              <c:strCache>
                <c:ptCount val="4"/>
                <c:pt idx="0">
                  <c:v>1Q24</c:v>
                </c:pt>
                <c:pt idx="1">
                  <c:v>2Q24</c:v>
                </c:pt>
                <c:pt idx="2">
                  <c:v>3Q24</c:v>
                </c:pt>
                <c:pt idx="3">
                  <c:v>4Q24</c:v>
                </c:pt>
              </c:strCache>
            </c:strRef>
          </c:cat>
          <c:val>
            <c:numRef>
              <c:f>Analysis!$B$1559:$E$1559</c:f>
              <c:numCache>
                <c:formatCode>_(* #,##0_);_(* \(#,##0\);_(* "-"??_);_(@_)</c:formatCode>
                <c:ptCount val="4"/>
                <c:pt idx="1">
                  <c:v>-0.93814432989690721</c:v>
                </c:pt>
                <c:pt idx="2">
                  <c:v>-2</c:v>
                </c:pt>
                <c:pt idx="3">
                  <c:v>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B8-43A9-8BBE-1AF77FABFBC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108"/>
          <c:min val="-12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Analysis!$A$1560</c:f>
              <c:strCache>
                <c:ptCount val="1"/>
                <c:pt idx="0">
                  <c:v>Total adds (after ACP)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Analysis!$B$1553:$E$1553</c:f>
              <c:strCache>
                <c:ptCount val="4"/>
                <c:pt idx="0">
                  <c:v>1Q24</c:v>
                </c:pt>
                <c:pt idx="1">
                  <c:v>2Q24</c:v>
                </c:pt>
                <c:pt idx="2">
                  <c:v>3Q24</c:v>
                </c:pt>
                <c:pt idx="3">
                  <c:v>4Q24</c:v>
                </c:pt>
              </c:strCache>
            </c:strRef>
          </c:cat>
          <c:val>
            <c:numRef>
              <c:f>Analysis!$B$1560:$E$1560</c:f>
              <c:numCache>
                <c:formatCode>_(* #,##0_);_(* \(#,##0\);_(* "-"??_);_(@_)</c:formatCode>
                <c:ptCount val="4"/>
                <c:pt idx="0">
                  <c:v>85</c:v>
                </c:pt>
                <c:pt idx="1">
                  <c:v>90</c:v>
                </c:pt>
                <c:pt idx="2">
                  <c:v>104</c:v>
                </c:pt>
                <c:pt idx="3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1C-4FA7-8C47-B11FBF91E51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in val="-12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Analysis!$B$3590:$F$3590</c:f>
              <c:numCache>
                <c:formatCode>0_);\(0\)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Analysis!$B$3599:$F$3599</c:f>
              <c:numCache>
                <c:formatCode>#,##0_);\(#,##0\)</c:formatCode>
                <c:ptCount val="5"/>
                <c:pt idx="0">
                  <c:v>305.92353495920327</c:v>
                </c:pt>
                <c:pt idx="1">
                  <c:v>-648.88448862834775</c:v>
                </c:pt>
                <c:pt idx="2">
                  <c:v>-1385.2589659473188</c:v>
                </c:pt>
                <c:pt idx="3">
                  <c:v>-1725.8537294569978</c:v>
                </c:pt>
                <c:pt idx="4">
                  <c:v>-90.434307505885499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3-4BFC-8D52-92807ECCC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703411167"/>
        <c:axId val="1703426143"/>
      </c:barChart>
      <c:catAx>
        <c:axId val="1703411167"/>
        <c:scaling>
          <c:orientation val="minMax"/>
        </c:scaling>
        <c:delete val="0"/>
        <c:axPos val="b"/>
        <c:numFmt formatCode="0_);\(0\)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703426143"/>
        <c:crosses val="autoZero"/>
        <c:auto val="1"/>
        <c:lblAlgn val="ctr"/>
        <c:lblOffset val="100"/>
        <c:noMultiLvlLbl val="0"/>
      </c:catAx>
      <c:valAx>
        <c:axId val="1703426143"/>
        <c:scaling>
          <c:orientation val="minMax"/>
        </c:scaling>
        <c:delete val="1"/>
        <c:axPos val="l"/>
        <c:numFmt formatCode="#,##0_);\(#,##0\)" sourceLinked="1"/>
        <c:majorTickMark val="none"/>
        <c:minorTickMark val="none"/>
        <c:tickLblPos val="nextTo"/>
        <c:crossAx val="1703411167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800" b="0" i="0" u="none" strike="noStrike" baseline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Analysis!$A$1557</c:f>
              <c:strCache>
                <c:ptCount val="1"/>
                <c:pt idx="0">
                  <c:v>Total adds (before hack and ACP)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Analysis!$B$1553:$E$1553</c:f>
              <c:strCache>
                <c:ptCount val="4"/>
                <c:pt idx="0">
                  <c:v>1Q24</c:v>
                </c:pt>
                <c:pt idx="1">
                  <c:v>2Q24</c:v>
                </c:pt>
                <c:pt idx="2">
                  <c:v>3Q24</c:v>
                </c:pt>
                <c:pt idx="3">
                  <c:v>4Q24</c:v>
                </c:pt>
              </c:strCache>
            </c:strRef>
          </c:cat>
          <c:val>
            <c:numRef>
              <c:f>Analysis!$B$1557:$E$1557</c:f>
              <c:numCache>
                <c:formatCode>_(* #,##0_);_(* \(#,##0\);_(* "-"??_);_(@_)</c:formatCode>
                <c:ptCount val="4"/>
                <c:pt idx="0">
                  <c:v>85</c:v>
                </c:pt>
                <c:pt idx="1">
                  <c:v>90.9381443298969</c:v>
                </c:pt>
                <c:pt idx="2">
                  <c:v>106</c:v>
                </c:pt>
                <c:pt idx="3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AF-412C-A622-65BDA42D28F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in val="-12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Analysis!$A$1586:$B$1586</c:f>
              <c:strCache>
                <c:ptCount val="2"/>
                <c:pt idx="0">
                  <c:v>Baseline ARPU growth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Analysis!$C$1585:$F$1585</c:f>
              <c:strCache>
                <c:ptCount val="4"/>
                <c:pt idx="0">
                  <c:v>1Q24</c:v>
                </c:pt>
                <c:pt idx="1">
                  <c:v>2Q24</c:v>
                </c:pt>
                <c:pt idx="2">
                  <c:v>3Q24</c:v>
                </c:pt>
                <c:pt idx="3">
                  <c:v>4Q24</c:v>
                </c:pt>
              </c:strCache>
            </c:strRef>
          </c:cat>
          <c:val>
            <c:numRef>
              <c:f>Analysis!$C$1586:$F$1586</c:f>
              <c:numCache>
                <c:formatCode>0.0%</c:formatCode>
                <c:ptCount val="4"/>
                <c:pt idx="0">
                  <c:v>3.5000000000000003E-2</c:v>
                </c:pt>
                <c:pt idx="1">
                  <c:v>3.5000000000000003E-2</c:v>
                </c:pt>
                <c:pt idx="2">
                  <c:v>3.5000000000000003E-2</c:v>
                </c:pt>
                <c:pt idx="3">
                  <c:v>3.5000000000000003E-2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D-499E-9E70-63366C8A04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7.0000000000000007E-2"/>
        </c:scaling>
        <c:delete val="1"/>
        <c:axPos val="l"/>
        <c:numFmt formatCode="0.0%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Analysis!$A$1587:$B$1587</c:f>
              <c:strCache>
                <c:ptCount val="2"/>
                <c:pt idx="0">
                  <c:v>Tailwind from gift card impact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Analysis!$C$1585:$F$1585</c:f>
              <c:strCache>
                <c:ptCount val="4"/>
                <c:pt idx="0">
                  <c:v>1Q24</c:v>
                </c:pt>
                <c:pt idx="1">
                  <c:v>2Q24</c:v>
                </c:pt>
                <c:pt idx="2">
                  <c:v>3Q24</c:v>
                </c:pt>
                <c:pt idx="3">
                  <c:v>4Q24</c:v>
                </c:pt>
              </c:strCache>
            </c:strRef>
          </c:cat>
          <c:val>
            <c:numRef>
              <c:f>Analysis!$C$1587:$F$1587</c:f>
              <c:numCache>
                <c:formatCode>0.0%</c:formatCode>
                <c:ptCount val="4"/>
                <c:pt idx="0">
                  <c:v>2.5872395833333478E-2</c:v>
                </c:pt>
                <c:pt idx="1">
                  <c:v>-1.4575411913816949E-4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56-4CBA-B12E-041659E911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7.0000000000000007E-2"/>
        </c:scaling>
        <c:delete val="1"/>
        <c:axPos val="l"/>
        <c:numFmt formatCode="0.0%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Analysis!$A$1588:$B$1588</c:f>
              <c:strCache>
                <c:ptCount val="2"/>
                <c:pt idx="0">
                  <c:v>Reported ARPU growth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Analysis!$C$1585:$F$1585</c:f>
              <c:strCache>
                <c:ptCount val="4"/>
                <c:pt idx="0">
                  <c:v>1Q24</c:v>
                </c:pt>
                <c:pt idx="1">
                  <c:v>2Q24</c:v>
                </c:pt>
                <c:pt idx="2">
                  <c:v>3Q24</c:v>
                </c:pt>
                <c:pt idx="3">
                  <c:v>4Q24</c:v>
                </c:pt>
              </c:strCache>
            </c:strRef>
          </c:cat>
          <c:val>
            <c:numRef>
              <c:f>Analysis!$C$1588:$F$1588</c:f>
              <c:numCache>
                <c:formatCode>0.0%</c:formatCode>
                <c:ptCount val="4"/>
                <c:pt idx="0">
                  <c:v>6.0872395833333481E-2</c:v>
                </c:pt>
                <c:pt idx="1">
                  <c:v>3.4854245880861834E-2</c:v>
                </c:pt>
                <c:pt idx="2">
                  <c:v>1.4110714839510097E-2</c:v>
                </c:pt>
                <c:pt idx="3">
                  <c:v>2.8366583541147294E-2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92-474B-8520-D2F86178AFB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Analysis!$B$1328:$U$1328</c:f>
              <c:strCache>
                <c:ptCount val="20"/>
                <c:pt idx="0">
                  <c:v>1Q24</c:v>
                </c:pt>
                <c:pt idx="1">
                  <c:v>2Q24</c:v>
                </c:pt>
                <c:pt idx="2">
                  <c:v>3Q24</c:v>
                </c:pt>
                <c:pt idx="3">
                  <c:v>4Q24</c:v>
                </c:pt>
                <c:pt idx="4">
                  <c:v>1Q25</c:v>
                </c:pt>
                <c:pt idx="5">
                  <c:v>2Q25</c:v>
                </c:pt>
                <c:pt idx="6">
                  <c:v>3Q25</c:v>
                </c:pt>
                <c:pt idx="7">
                  <c:v>4Q25</c:v>
                </c:pt>
                <c:pt idx="8">
                  <c:v>1Q26</c:v>
                </c:pt>
                <c:pt idx="9">
                  <c:v>2Q26</c:v>
                </c:pt>
                <c:pt idx="10">
                  <c:v>3Q26</c:v>
                </c:pt>
                <c:pt idx="11">
                  <c:v>4Q26</c:v>
                </c:pt>
                <c:pt idx="12">
                  <c:v>1Q27</c:v>
                </c:pt>
                <c:pt idx="13">
                  <c:v>2Q27</c:v>
                </c:pt>
                <c:pt idx="14">
                  <c:v>3Q27</c:v>
                </c:pt>
                <c:pt idx="15">
                  <c:v>4Q27</c:v>
                </c:pt>
                <c:pt idx="16">
                  <c:v>1Q28</c:v>
                </c:pt>
                <c:pt idx="17">
                  <c:v>2Q28</c:v>
                </c:pt>
                <c:pt idx="18">
                  <c:v>3Q28</c:v>
                </c:pt>
                <c:pt idx="19">
                  <c:v>4Q28</c:v>
                </c:pt>
              </c:strCache>
            </c:strRef>
          </c:cat>
          <c:val>
            <c:numRef>
              <c:f>Analysis!$B$1342:$U$1342</c:f>
              <c:numCache>
                <c:formatCode>_(* #,##0_);_(* \(#,##0\);_(* "-"??_);_(@_)</c:formatCode>
                <c:ptCount val="20"/>
                <c:pt idx="0">
                  <c:v>-482</c:v>
                </c:pt>
                <c:pt idx="1">
                  <c:v>-118</c:v>
                </c:pt>
                <c:pt idx="2">
                  <c:v>-150</c:v>
                </c:pt>
                <c:pt idx="3">
                  <c:v>-245</c:v>
                </c:pt>
                <c:pt idx="4">
                  <c:v>-425.45173339249266</c:v>
                </c:pt>
                <c:pt idx="5">
                  <c:v>-66.070680250239775</c:v>
                </c:pt>
                <c:pt idx="6">
                  <c:v>-98.545694022917701</c:v>
                </c:pt>
                <c:pt idx="7">
                  <c:v>-187.925247573663</c:v>
                </c:pt>
                <c:pt idx="8">
                  <c:v>-326.63708913897733</c:v>
                </c:pt>
                <c:pt idx="9">
                  <c:v>22.140051539026217</c:v>
                </c:pt>
                <c:pt idx="10">
                  <c:v>-10.883785920788114</c:v>
                </c:pt>
                <c:pt idx="11">
                  <c:v>-90.074557770435376</c:v>
                </c:pt>
                <c:pt idx="12">
                  <c:v>109.03659554489911</c:v>
                </c:pt>
                <c:pt idx="13">
                  <c:v>337.29684963711736</c:v>
                </c:pt>
                <c:pt idx="14">
                  <c:v>310.04448731451458</c:v>
                </c:pt>
                <c:pt idx="15">
                  <c:v>286.47680689309931</c:v>
                </c:pt>
                <c:pt idx="16">
                  <c:v>284.37918438940233</c:v>
                </c:pt>
                <c:pt idx="17">
                  <c:v>477.48901111552027</c:v>
                </c:pt>
                <c:pt idx="18">
                  <c:v>451.07663553776933</c:v>
                </c:pt>
                <c:pt idx="19">
                  <c:v>447.9580922386458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D-499E-9E70-63366C8A04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Analysis!$B$1328:$U$1328</c:f>
              <c:strCache>
                <c:ptCount val="20"/>
                <c:pt idx="0">
                  <c:v>1Q24</c:v>
                </c:pt>
                <c:pt idx="1">
                  <c:v>2Q24</c:v>
                </c:pt>
                <c:pt idx="2">
                  <c:v>3Q24</c:v>
                </c:pt>
                <c:pt idx="3">
                  <c:v>4Q24</c:v>
                </c:pt>
                <c:pt idx="4">
                  <c:v>1Q25</c:v>
                </c:pt>
                <c:pt idx="5">
                  <c:v>2Q25</c:v>
                </c:pt>
                <c:pt idx="6">
                  <c:v>3Q25</c:v>
                </c:pt>
                <c:pt idx="7">
                  <c:v>4Q25</c:v>
                </c:pt>
                <c:pt idx="8">
                  <c:v>1Q26</c:v>
                </c:pt>
                <c:pt idx="9">
                  <c:v>2Q26</c:v>
                </c:pt>
                <c:pt idx="10">
                  <c:v>3Q26</c:v>
                </c:pt>
                <c:pt idx="11">
                  <c:v>4Q26</c:v>
                </c:pt>
                <c:pt idx="12">
                  <c:v>1Q27</c:v>
                </c:pt>
                <c:pt idx="13">
                  <c:v>2Q27</c:v>
                </c:pt>
                <c:pt idx="14">
                  <c:v>3Q27</c:v>
                </c:pt>
                <c:pt idx="15">
                  <c:v>4Q27</c:v>
                </c:pt>
                <c:pt idx="16">
                  <c:v>1Q28</c:v>
                </c:pt>
                <c:pt idx="17">
                  <c:v>2Q28</c:v>
                </c:pt>
                <c:pt idx="18">
                  <c:v>3Q28</c:v>
                </c:pt>
                <c:pt idx="19">
                  <c:v>4Q28</c:v>
                </c:pt>
              </c:strCache>
            </c:strRef>
          </c:cat>
          <c:val>
            <c:numRef>
              <c:f>Analysis!$B$1405:$U$1405</c:f>
              <c:numCache>
                <c:formatCode>_(* #,##0_);_(* \(#,##0\);_(* "-"??_);_(@_)</c:formatCode>
                <c:ptCount val="20"/>
                <c:pt idx="0">
                  <c:v>-482</c:v>
                </c:pt>
                <c:pt idx="1">
                  <c:v>-118</c:v>
                </c:pt>
                <c:pt idx="2">
                  <c:v>-150</c:v>
                </c:pt>
                <c:pt idx="3">
                  <c:v>-245</c:v>
                </c:pt>
                <c:pt idx="4">
                  <c:v>-425.45173339249266</c:v>
                </c:pt>
                <c:pt idx="5">
                  <c:v>-66.070680250239775</c:v>
                </c:pt>
                <c:pt idx="6">
                  <c:v>-98.545694022917701</c:v>
                </c:pt>
                <c:pt idx="7">
                  <c:v>-187.925247573663</c:v>
                </c:pt>
                <c:pt idx="8">
                  <c:v>-472.20661882474462</c:v>
                </c:pt>
                <c:pt idx="9">
                  <c:v>-73.77456568833054</c:v>
                </c:pt>
                <c:pt idx="10">
                  <c:v>-109.45376741354903</c:v>
                </c:pt>
                <c:pt idx="11">
                  <c:v>-207.06176663688393</c:v>
                </c:pt>
                <c:pt idx="12">
                  <c:v>-347.74432892780885</c:v>
                </c:pt>
                <c:pt idx="13">
                  <c:v>42.565687226471368</c:v>
                </c:pt>
                <c:pt idx="14">
                  <c:v>11.543564953247028</c:v>
                </c:pt>
                <c:pt idx="15">
                  <c:v>-68.427784997810022</c:v>
                </c:pt>
                <c:pt idx="16">
                  <c:v>-64.740621743546853</c:v>
                </c:pt>
                <c:pt idx="17">
                  <c:v>131.37862146186092</c:v>
                </c:pt>
                <c:pt idx="18">
                  <c:v>108.97921263702688</c:v>
                </c:pt>
                <c:pt idx="19">
                  <c:v>214.80365209805848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31-4C94-B537-09846E8CAC8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Analysis!$E$1328:$U$1328</c:f>
              <c:strCache>
                <c:ptCount val="17"/>
                <c:pt idx="0">
                  <c:v>4Q24</c:v>
                </c:pt>
                <c:pt idx="1">
                  <c:v>1Q25</c:v>
                </c:pt>
                <c:pt idx="2">
                  <c:v>2Q25</c:v>
                </c:pt>
                <c:pt idx="3">
                  <c:v>3Q25</c:v>
                </c:pt>
                <c:pt idx="4">
                  <c:v>4Q25</c:v>
                </c:pt>
                <c:pt idx="5">
                  <c:v>1Q26</c:v>
                </c:pt>
                <c:pt idx="6">
                  <c:v>2Q26</c:v>
                </c:pt>
                <c:pt idx="7">
                  <c:v>3Q26</c:v>
                </c:pt>
                <c:pt idx="8">
                  <c:v>4Q26</c:v>
                </c:pt>
                <c:pt idx="9">
                  <c:v>1Q27</c:v>
                </c:pt>
                <c:pt idx="10">
                  <c:v>2Q27</c:v>
                </c:pt>
                <c:pt idx="11">
                  <c:v>3Q27</c:v>
                </c:pt>
                <c:pt idx="12">
                  <c:v>4Q27</c:v>
                </c:pt>
                <c:pt idx="13">
                  <c:v>1Q28</c:v>
                </c:pt>
                <c:pt idx="14">
                  <c:v>2Q28</c:v>
                </c:pt>
                <c:pt idx="15">
                  <c:v>3Q28</c:v>
                </c:pt>
                <c:pt idx="16">
                  <c:v>4Q28</c:v>
                </c:pt>
              </c:strCache>
            </c:strRef>
          </c:cat>
          <c:val>
            <c:numRef>
              <c:f>Analysis!$E$1343:$U$1343</c:f>
              <c:numCache>
                <c:formatCode>_(* #,##0_);_(* \(#,##0\);_(* "-"??_);_(@_)</c:formatCode>
                <c:ptCount val="17"/>
                <c:pt idx="0">
                  <c:v>-995</c:v>
                </c:pt>
                <c:pt idx="1">
                  <c:v>-938.45173339249266</c:v>
                </c:pt>
                <c:pt idx="2">
                  <c:v>-886.52241364273243</c:v>
                </c:pt>
                <c:pt idx="3">
                  <c:v>-835.06810766565013</c:v>
                </c:pt>
                <c:pt idx="4">
                  <c:v>-777.99335523931313</c:v>
                </c:pt>
                <c:pt idx="5">
                  <c:v>-679.17871098579781</c:v>
                </c:pt>
                <c:pt idx="6">
                  <c:v>-590.96797919653181</c:v>
                </c:pt>
                <c:pt idx="7">
                  <c:v>-503.30607109440223</c:v>
                </c:pt>
                <c:pt idx="8">
                  <c:v>-405.4553812911746</c:v>
                </c:pt>
                <c:pt idx="9">
                  <c:v>30.218303392701841</c:v>
                </c:pt>
                <c:pt idx="10">
                  <c:v>345.37510149079299</c:v>
                </c:pt>
                <c:pt idx="11">
                  <c:v>666.30337472609563</c:v>
                </c:pt>
                <c:pt idx="12">
                  <c:v>1042.8547393896304</c:v>
                </c:pt>
                <c:pt idx="13">
                  <c:v>1218.1973282341337</c:v>
                </c:pt>
                <c:pt idx="14">
                  <c:v>1358.3894897125365</c:v>
                </c:pt>
                <c:pt idx="15">
                  <c:v>1499.4216379357913</c:v>
                </c:pt>
                <c:pt idx="16">
                  <c:v>1660.9029232813377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68-45A4-94DB-7712372942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Analysis!$E$1328:$U$1328</c:f>
              <c:strCache>
                <c:ptCount val="17"/>
                <c:pt idx="0">
                  <c:v>4Q24</c:v>
                </c:pt>
                <c:pt idx="1">
                  <c:v>1Q25</c:v>
                </c:pt>
                <c:pt idx="2">
                  <c:v>2Q25</c:v>
                </c:pt>
                <c:pt idx="3">
                  <c:v>3Q25</c:v>
                </c:pt>
                <c:pt idx="4">
                  <c:v>4Q25</c:v>
                </c:pt>
                <c:pt idx="5">
                  <c:v>1Q26</c:v>
                </c:pt>
                <c:pt idx="6">
                  <c:v>2Q26</c:v>
                </c:pt>
                <c:pt idx="7">
                  <c:v>3Q26</c:v>
                </c:pt>
                <c:pt idx="8">
                  <c:v>4Q26</c:v>
                </c:pt>
                <c:pt idx="9">
                  <c:v>1Q27</c:v>
                </c:pt>
                <c:pt idx="10">
                  <c:v>2Q27</c:v>
                </c:pt>
                <c:pt idx="11">
                  <c:v>3Q27</c:v>
                </c:pt>
                <c:pt idx="12">
                  <c:v>4Q27</c:v>
                </c:pt>
                <c:pt idx="13">
                  <c:v>1Q28</c:v>
                </c:pt>
                <c:pt idx="14">
                  <c:v>2Q28</c:v>
                </c:pt>
                <c:pt idx="15">
                  <c:v>3Q28</c:v>
                </c:pt>
                <c:pt idx="16">
                  <c:v>4Q28</c:v>
                </c:pt>
              </c:strCache>
            </c:strRef>
          </c:cat>
          <c:val>
            <c:numRef>
              <c:f>Analysis!$E$1406:$U$1406</c:f>
              <c:numCache>
                <c:formatCode>_(* #,##0_);_(* \(#,##0\);_(* "-"??_);_(@_)</c:formatCode>
                <c:ptCount val="17"/>
                <c:pt idx="0">
                  <c:v>-995</c:v>
                </c:pt>
                <c:pt idx="1">
                  <c:v>-938.45173339249266</c:v>
                </c:pt>
                <c:pt idx="2">
                  <c:v>-886.52241364273243</c:v>
                </c:pt>
                <c:pt idx="3">
                  <c:v>-835.06810766565013</c:v>
                </c:pt>
                <c:pt idx="4">
                  <c:v>-777.99335523931313</c:v>
                </c:pt>
                <c:pt idx="5">
                  <c:v>-824.7482406715651</c:v>
                </c:pt>
                <c:pt idx="6">
                  <c:v>-832.45212610965586</c:v>
                </c:pt>
                <c:pt idx="7">
                  <c:v>-843.36019950028719</c:v>
                </c:pt>
                <c:pt idx="8">
                  <c:v>-862.49671856350813</c:v>
                </c:pt>
                <c:pt idx="9">
                  <c:v>-738.03442866657235</c:v>
                </c:pt>
                <c:pt idx="10">
                  <c:v>-621.69417575177044</c:v>
                </c:pt>
                <c:pt idx="11">
                  <c:v>-500.69684338497439</c:v>
                </c:pt>
                <c:pt idx="12">
                  <c:v>-362.06286174590048</c:v>
                </c:pt>
                <c:pt idx="13">
                  <c:v>-79.059154561638479</c:v>
                </c:pt>
                <c:pt idx="14">
                  <c:v>9.7537796737510689</c:v>
                </c:pt>
                <c:pt idx="15">
                  <c:v>107.18942735753092</c:v>
                </c:pt>
                <c:pt idx="16">
                  <c:v>390.42086445339942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11-41ED-BA86-DA704F78F53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2000"/>
          <c:min val="-10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Analysis!$A$1418:$A$1423</c:f>
              <c:strCache>
                <c:ptCount val="6"/>
                <c:pt idx="0">
                  <c:v>Fiber locations</c:v>
                </c:pt>
                <c:pt idx="1">
                  <c:v>Copper locations</c:v>
                </c:pt>
                <c:pt idx="2">
                  <c:v>Total EV</c:v>
                </c:pt>
                <c:pt idx="3">
                  <c:v>Net debt</c:v>
                </c:pt>
                <c:pt idx="4">
                  <c:v>Cash burn</c:v>
                </c:pt>
                <c:pt idx="5">
                  <c:v>Equity Value</c:v>
                </c:pt>
              </c:strCache>
            </c:strRef>
          </c:cat>
          <c:val>
            <c:numRef>
              <c:f>Analysis!$B$1418:$B$1423</c:f>
              <c:numCache>
                <c:formatCode>_(* #,##0_);_(* \(#,##0\);_(* "-"??_);_(@_)</c:formatCode>
                <c:ptCount val="6"/>
                <c:pt idx="0">
                  <c:v>18836.077618784177</c:v>
                </c:pt>
                <c:pt idx="1">
                  <c:v>18836.077618784177</c:v>
                </c:pt>
                <c:pt idx="2">
                  <c:v>20211.077618784177</c:v>
                </c:pt>
                <c:pt idx="3">
                  <c:v>9400.0776187841766</c:v>
                </c:pt>
                <c:pt idx="4">
                  <c:v>5982.1223696350926</c:v>
                </c:pt>
                <c:pt idx="5">
                  <c:v>5982.1223696350926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D-477A-B5AE-72C659D0C9D1}"/>
            </c:ext>
          </c:extLst>
        </c:ser>
        <c:ser>
          <c:idx val="1"/>
          <c:order val="1"/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3.70370370370370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Roboto" pitchFamily="2" charset="0"/>
                      <a:ea typeface="Roboto" pitchFamily="2" charset="0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AB-449A-A058-C061EA8843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Analysis!$A$1418:$A$1423</c:f>
              <c:strCache>
                <c:ptCount val="6"/>
                <c:pt idx="0">
                  <c:v>Fiber locations</c:v>
                </c:pt>
                <c:pt idx="1">
                  <c:v>Copper locations</c:v>
                </c:pt>
                <c:pt idx="2">
                  <c:v>Total EV</c:v>
                </c:pt>
                <c:pt idx="3">
                  <c:v>Net debt</c:v>
                </c:pt>
                <c:pt idx="4">
                  <c:v>Cash burn</c:v>
                </c:pt>
                <c:pt idx="5">
                  <c:v>Equity Value</c:v>
                </c:pt>
              </c:strCache>
            </c:strRef>
          </c:cat>
          <c:val>
            <c:numRef>
              <c:f>Analysis!$C$1418:$C$1423</c:f>
              <c:numCache>
                <c:formatCode>_(* #,##0_);_(* \(#,##0\);_(* "-"??_);_(@_)</c:formatCode>
                <c:ptCount val="6"/>
                <c:pt idx="1">
                  <c:v>1375</c:v>
                </c:pt>
                <c:pt idx="3">
                  <c:v>10811</c:v>
                </c:pt>
                <c:pt idx="4">
                  <c:v>3417.955249149084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DD-477A-B5AE-72C659D0C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300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Analysis!$A$1427:$A$1432</c:f>
              <c:strCache>
                <c:ptCount val="6"/>
                <c:pt idx="0">
                  <c:v>Fiber locations</c:v>
                </c:pt>
                <c:pt idx="1">
                  <c:v>Copper locations</c:v>
                </c:pt>
                <c:pt idx="2">
                  <c:v>Total EV</c:v>
                </c:pt>
                <c:pt idx="3">
                  <c:v>Net debt</c:v>
                </c:pt>
                <c:pt idx="4">
                  <c:v>Cash burn</c:v>
                </c:pt>
                <c:pt idx="5">
                  <c:v>Equity Value</c:v>
                </c:pt>
              </c:strCache>
            </c:strRef>
          </c:cat>
          <c:val>
            <c:numRef>
              <c:f>Analysis!$B$1427:$B$1432</c:f>
              <c:numCache>
                <c:formatCode>_(* #,##0_);_(* \(#,##0\);_(* "-"??_);_(@_)</c:formatCode>
                <c:ptCount val="6"/>
                <c:pt idx="0">
                  <c:v>24486.900904419432</c:v>
                </c:pt>
                <c:pt idx="1">
                  <c:v>24486.900904419432</c:v>
                </c:pt>
                <c:pt idx="2">
                  <c:v>25086.900904419432</c:v>
                </c:pt>
                <c:pt idx="3">
                  <c:v>14275.900904419432</c:v>
                </c:pt>
                <c:pt idx="4">
                  <c:v>7354.1495701784543</c:v>
                </c:pt>
                <c:pt idx="5">
                  <c:v>7354.1495701784543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043-4E8B-BFC2-07FE0D79C035}"/>
            </c:ext>
          </c:extLst>
        </c:ser>
        <c:ser>
          <c:idx val="1"/>
          <c:order val="1"/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3.24074074074074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Roboto" pitchFamily="2" charset="0"/>
                      <a:ea typeface="Roboto" pitchFamily="2" charset="0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E0-4451-904B-6E9D3E104E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Analysis!$A$1427:$A$1432</c:f>
              <c:strCache>
                <c:ptCount val="6"/>
                <c:pt idx="0">
                  <c:v>Fiber locations</c:v>
                </c:pt>
                <c:pt idx="1">
                  <c:v>Copper locations</c:v>
                </c:pt>
                <c:pt idx="2">
                  <c:v>Total EV</c:v>
                </c:pt>
                <c:pt idx="3">
                  <c:v>Net debt</c:v>
                </c:pt>
                <c:pt idx="4">
                  <c:v>Cash burn</c:v>
                </c:pt>
                <c:pt idx="5">
                  <c:v>Equity Value</c:v>
                </c:pt>
              </c:strCache>
            </c:strRef>
          </c:cat>
          <c:val>
            <c:numRef>
              <c:f>Analysis!$C$1427:$C$1432</c:f>
              <c:numCache>
                <c:formatCode>_(* #,##0_);_(* \(#,##0\);_(* "-"??_);_(@_)</c:formatCode>
                <c:ptCount val="6"/>
                <c:pt idx="1">
                  <c:v>600</c:v>
                </c:pt>
                <c:pt idx="3">
                  <c:v>10811</c:v>
                </c:pt>
                <c:pt idx="4">
                  <c:v>6921.7513342409775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043-4E8B-BFC2-07FE0D79C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Analysis!$A$3430</c:f>
              <c:strCache>
                <c:ptCount val="1"/>
                <c:pt idx="0">
                  <c:v>Consumer Fiber Revenue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Analysis!$B$3429:$G$3429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Analysis!$B$3430:$G$3430</c:f>
              <c:numCache>
                <c:formatCode>_(* #,##0_);_(* \(#,##0\);_(* "-"??_);_(@_)</c:formatCode>
                <c:ptCount val="6"/>
                <c:pt idx="0">
                  <c:v>1680</c:v>
                </c:pt>
                <c:pt idx="1">
                  <c:v>1638</c:v>
                </c:pt>
                <c:pt idx="2">
                  <c:v>1688</c:v>
                </c:pt>
                <c:pt idx="3">
                  <c:v>1873</c:v>
                </c:pt>
                <c:pt idx="4">
                  <c:v>2122</c:v>
                </c:pt>
                <c:pt idx="5">
                  <c:v>2461.7408877429939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5-4CCA-A0BD-18ABDFA3BA78}"/>
            </c:ext>
          </c:extLst>
        </c:ser>
        <c:ser>
          <c:idx val="1"/>
          <c:order val="1"/>
          <c:tx>
            <c:strRef>
              <c:f>Analysis!$A$3431</c:f>
              <c:strCache>
                <c:ptCount val="1"/>
                <c:pt idx="0">
                  <c:v>Consumer Copper Revenue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Analysis!$B$3429:$G$3429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Analysis!$B$3431:$G$3431</c:f>
              <c:numCache>
                <c:formatCode>_(* #,##0_);_(* \(#,##0\);_(* "-"??_);_(@_)</c:formatCode>
                <c:ptCount val="6"/>
                <c:pt idx="0">
                  <c:v>1736</c:v>
                </c:pt>
                <c:pt idx="1">
                  <c:v>1580</c:v>
                </c:pt>
                <c:pt idx="2">
                  <c:v>1428</c:v>
                </c:pt>
                <c:pt idx="3">
                  <c:v>1224</c:v>
                </c:pt>
                <c:pt idx="4">
                  <c:v>1041</c:v>
                </c:pt>
                <c:pt idx="5">
                  <c:v>792.79429138054729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5-4CCA-A0BD-18ABDFA3BA78}"/>
            </c:ext>
          </c:extLst>
        </c:ser>
        <c:ser>
          <c:idx val="2"/>
          <c:order val="2"/>
          <c:tx>
            <c:strRef>
              <c:f>Analysis!$A$3432</c:f>
              <c:strCache>
                <c:ptCount val="1"/>
                <c:pt idx="0">
                  <c:v>Total Consumer Revenue</c:v>
                </c:pt>
              </c:strCache>
            </c:strRef>
          </c:tx>
          <c:spPr>
            <a:solidFill>
              <a:sysClr val="window" lastClr="FFFFFF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Analysis!$B$3429:$G$3429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Analysis!$B$3432:$G$3432</c:f>
              <c:numCache>
                <c:formatCode>_(* #,##0_);_(* \(#,##0\);_(* "-"??_);_(@_)</c:formatCode>
                <c:ptCount val="6"/>
                <c:pt idx="0">
                  <c:v>3416</c:v>
                </c:pt>
                <c:pt idx="1">
                  <c:v>3218</c:v>
                </c:pt>
                <c:pt idx="2">
                  <c:v>3116</c:v>
                </c:pt>
                <c:pt idx="3">
                  <c:v>3097</c:v>
                </c:pt>
                <c:pt idx="4">
                  <c:v>3163</c:v>
                </c:pt>
                <c:pt idx="5">
                  <c:v>3254.5351791235412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15-4CCA-A0BD-18ABDFA3BA7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2086137311"/>
        <c:axId val="2086138143"/>
      </c:barChart>
      <c:catAx>
        <c:axId val="2086137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86138143"/>
        <c:crosses val="autoZero"/>
        <c:auto val="1"/>
        <c:lblAlgn val="ctr"/>
        <c:lblOffset val="100"/>
        <c:noMultiLvlLbl val="0"/>
      </c:catAx>
      <c:valAx>
        <c:axId val="2086138143"/>
        <c:scaling>
          <c:orientation val="minMax"/>
          <c:max val="4000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2086137311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800" b="0" i="0" u="none" strike="noStrike" baseline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Analysis!$A$1558</c:f>
              <c:strCache>
                <c:ptCount val="1"/>
                <c:pt idx="0">
                  <c:v>Impact of hack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Analysis!$B$1553:$E$1553</c:f>
              <c:strCache>
                <c:ptCount val="4"/>
                <c:pt idx="0">
                  <c:v>1Q24</c:v>
                </c:pt>
                <c:pt idx="1">
                  <c:v>2Q24</c:v>
                </c:pt>
                <c:pt idx="2">
                  <c:v>3Q24</c:v>
                </c:pt>
                <c:pt idx="3">
                  <c:v>4Q24</c:v>
                </c:pt>
              </c:strCache>
            </c:strRef>
          </c:cat>
          <c:val>
            <c:numRef>
              <c:f>Analysis!$B$1558:$E$1558</c:f>
              <c:numCache>
                <c:formatCode>_(* #,##0_);_(* \(#,##0\);_(* "-"??_);_(@_)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42D7-4A54-B9FA-21B9A2700E8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108"/>
          <c:min val="-12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Analysis!$A$1563</c:f>
              <c:strCache>
                <c:ptCount val="1"/>
                <c:pt idx="0">
                  <c:v>Total adds (before ACP)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Analysis!$B$1553:$E$1553</c:f>
              <c:strCache>
                <c:ptCount val="4"/>
                <c:pt idx="0">
                  <c:v>1Q24</c:v>
                </c:pt>
                <c:pt idx="1">
                  <c:v>2Q24</c:v>
                </c:pt>
                <c:pt idx="2">
                  <c:v>3Q24</c:v>
                </c:pt>
                <c:pt idx="3">
                  <c:v>4Q24</c:v>
                </c:pt>
              </c:strCache>
            </c:strRef>
          </c:cat>
          <c:val>
            <c:numRef>
              <c:f>Analysis!$B$1563:$E$1563</c:f>
              <c:numCache>
                <c:formatCode>_(* #,##0_);_(* \(#,##0\);_(* "-"??_);_(@_)</c:formatCode>
                <c:ptCount val="4"/>
                <c:pt idx="0">
                  <c:v>85</c:v>
                </c:pt>
                <c:pt idx="1">
                  <c:v>90.9381443298969</c:v>
                </c:pt>
                <c:pt idx="2">
                  <c:v>106</c:v>
                </c:pt>
                <c:pt idx="3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4D-4C94-A807-B594525DECF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in val="-12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Analysis!$B$1085:$K$1085</c:f>
              <c:strCache>
                <c:ptCount val="10"/>
                <c:pt idx="0">
                  <c:v>1Q22</c:v>
                </c:pt>
                <c:pt idx="1">
                  <c:v>2Q22</c:v>
                </c:pt>
                <c:pt idx="2">
                  <c:v>3Q22</c:v>
                </c:pt>
                <c:pt idx="3">
                  <c:v>4Q22</c:v>
                </c:pt>
                <c:pt idx="4">
                  <c:v>1Q23</c:v>
                </c:pt>
                <c:pt idx="5">
                  <c:v>2Q23</c:v>
                </c:pt>
                <c:pt idx="6">
                  <c:v>3Q23</c:v>
                </c:pt>
                <c:pt idx="7">
                  <c:v>4Q23</c:v>
                </c:pt>
                <c:pt idx="8">
                  <c:v>1Q24</c:v>
                </c:pt>
                <c:pt idx="9">
                  <c:v>2Q24</c:v>
                </c:pt>
              </c:strCache>
            </c:strRef>
          </c:cat>
          <c:val>
            <c:numRef>
              <c:f>Analysis!$B$1120:$K$1120</c:f>
              <c:numCache>
                <c:formatCode>0%</c:formatCode>
                <c:ptCount val="10"/>
                <c:pt idx="0">
                  <c:v>0.52130172027528754</c:v>
                </c:pt>
                <c:pt idx="1">
                  <c:v>0.52443567337279551</c:v>
                </c:pt>
                <c:pt idx="2">
                  <c:v>0.51228410163231264</c:v>
                </c:pt>
                <c:pt idx="3">
                  <c:v>0.53598895017662318</c:v>
                </c:pt>
                <c:pt idx="4">
                  <c:v>0.54681571337284507</c:v>
                </c:pt>
                <c:pt idx="5">
                  <c:v>0.48161855029190742</c:v>
                </c:pt>
                <c:pt idx="6">
                  <c:v>0.48194097190360558</c:v>
                </c:pt>
                <c:pt idx="7">
                  <c:v>0.53432337012135056</c:v>
                </c:pt>
                <c:pt idx="8">
                  <c:v>0.52375471695358378</c:v>
                </c:pt>
                <c:pt idx="9">
                  <c:v>0.51893556299771282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D-499E-9E70-63366C8A04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in val="0"/>
        </c:scaling>
        <c:delete val="1"/>
        <c:axPos val="l"/>
        <c:numFmt formatCode="0%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Analysis!$B$1085:$K$1085</c:f>
              <c:strCache>
                <c:ptCount val="10"/>
                <c:pt idx="0">
                  <c:v>1Q22</c:v>
                </c:pt>
                <c:pt idx="1">
                  <c:v>2Q22</c:v>
                </c:pt>
                <c:pt idx="2">
                  <c:v>3Q22</c:v>
                </c:pt>
                <c:pt idx="3">
                  <c:v>4Q22</c:v>
                </c:pt>
                <c:pt idx="4">
                  <c:v>1Q23</c:v>
                </c:pt>
                <c:pt idx="5">
                  <c:v>2Q23</c:v>
                </c:pt>
                <c:pt idx="6">
                  <c:v>3Q23</c:v>
                </c:pt>
                <c:pt idx="7">
                  <c:v>4Q23</c:v>
                </c:pt>
                <c:pt idx="8">
                  <c:v>1Q24</c:v>
                </c:pt>
                <c:pt idx="9">
                  <c:v>2Q24</c:v>
                </c:pt>
              </c:strCache>
            </c:strRef>
          </c:cat>
          <c:val>
            <c:numRef>
              <c:f>Analysis!$B$1169:$K$1169</c:f>
              <c:numCache>
                <c:formatCode>0%</c:formatCode>
                <c:ptCount val="10"/>
                <c:pt idx="0">
                  <c:v>0.69506896036705001</c:v>
                </c:pt>
                <c:pt idx="1">
                  <c:v>0.6992475644970606</c:v>
                </c:pt>
                <c:pt idx="2">
                  <c:v>0.68304546884308337</c:v>
                </c:pt>
                <c:pt idx="3">
                  <c:v>0.71465193356883094</c:v>
                </c:pt>
                <c:pt idx="4">
                  <c:v>0.72908761783046017</c:v>
                </c:pt>
                <c:pt idx="5">
                  <c:v>0.64215806705587664</c:v>
                </c:pt>
                <c:pt idx="6">
                  <c:v>0.64258796253814077</c:v>
                </c:pt>
                <c:pt idx="7">
                  <c:v>0.71243116016180075</c:v>
                </c:pt>
                <c:pt idx="8">
                  <c:v>0.69833962260477844</c:v>
                </c:pt>
                <c:pt idx="9">
                  <c:v>0.51151402517264255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95-433B-8D8B-74322A09822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in val="0"/>
        </c:scaling>
        <c:delete val="1"/>
        <c:axPos val="l"/>
        <c:numFmt formatCode="0%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Analysis!$B$1172:$K$1172</c:f>
              <c:strCache>
                <c:ptCount val="10"/>
                <c:pt idx="0">
                  <c:v>1Q22</c:v>
                </c:pt>
                <c:pt idx="1">
                  <c:v>2Q22</c:v>
                </c:pt>
                <c:pt idx="2">
                  <c:v>3Q22</c:v>
                </c:pt>
                <c:pt idx="3">
                  <c:v>4Q22</c:v>
                </c:pt>
                <c:pt idx="4">
                  <c:v>1Q23</c:v>
                </c:pt>
                <c:pt idx="5">
                  <c:v>2Q23</c:v>
                </c:pt>
                <c:pt idx="6">
                  <c:v>3Q23</c:v>
                </c:pt>
                <c:pt idx="7">
                  <c:v>4Q23</c:v>
                </c:pt>
                <c:pt idx="8">
                  <c:v>1Q24</c:v>
                </c:pt>
                <c:pt idx="9">
                  <c:v>2Q24</c:v>
                </c:pt>
              </c:strCache>
            </c:strRef>
          </c:cat>
          <c:val>
            <c:numRef>
              <c:f>Analysis!$B$1173:$K$1173</c:f>
              <c:numCache>
                <c:formatCode>0.0%</c:formatCode>
                <c:ptCount val="10"/>
                <c:pt idx="0">
                  <c:v>0.42399999999999999</c:v>
                </c:pt>
                <c:pt idx="1">
                  <c:v>0.42599999999999999</c:v>
                </c:pt>
                <c:pt idx="2">
                  <c:v>0.42899999999999999</c:v>
                </c:pt>
                <c:pt idx="3">
                  <c:v>0.432</c:v>
                </c:pt>
                <c:pt idx="4">
                  <c:v>0.435</c:v>
                </c:pt>
                <c:pt idx="5">
                  <c:v>0.434</c:v>
                </c:pt>
                <c:pt idx="6">
                  <c:v>0.439</c:v>
                </c:pt>
                <c:pt idx="7">
                  <c:v>0.44500000000000001</c:v>
                </c:pt>
                <c:pt idx="8">
                  <c:v>0.44900000000000001</c:v>
                </c:pt>
                <c:pt idx="9">
                  <c:v>0.45300000000000001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D-499E-9E70-63366C8A04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in val="0"/>
        </c:scaling>
        <c:delete val="1"/>
        <c:axPos val="l"/>
        <c:numFmt formatCode="0.0%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Analysis!$B$1172:$K$1172</c:f>
              <c:strCache>
                <c:ptCount val="10"/>
                <c:pt idx="0">
                  <c:v>1Q22</c:v>
                </c:pt>
                <c:pt idx="1">
                  <c:v>2Q22</c:v>
                </c:pt>
                <c:pt idx="2">
                  <c:v>3Q22</c:v>
                </c:pt>
                <c:pt idx="3">
                  <c:v>4Q22</c:v>
                </c:pt>
                <c:pt idx="4">
                  <c:v>1Q23</c:v>
                </c:pt>
                <c:pt idx="5">
                  <c:v>2Q23</c:v>
                </c:pt>
                <c:pt idx="6">
                  <c:v>3Q23</c:v>
                </c:pt>
                <c:pt idx="7">
                  <c:v>4Q23</c:v>
                </c:pt>
                <c:pt idx="8">
                  <c:v>1Q24</c:v>
                </c:pt>
                <c:pt idx="9">
                  <c:v>2Q24</c:v>
                </c:pt>
              </c:strCache>
            </c:strRef>
          </c:cat>
          <c:val>
            <c:numRef>
              <c:f>Analysis!$B$1174:$K$1174</c:f>
              <c:numCache>
                <c:formatCode>0.0%</c:formatCode>
                <c:ptCount val="10"/>
                <c:pt idx="0">
                  <c:v>0.13416898395721935</c:v>
                </c:pt>
                <c:pt idx="1">
                  <c:v>0.14227138157894734</c:v>
                </c:pt>
                <c:pt idx="2">
                  <c:v>0.14635162731333765</c:v>
                </c:pt>
                <c:pt idx="3">
                  <c:v>0.15229158110882957</c:v>
                </c:pt>
                <c:pt idx="4">
                  <c:v>0.16396808045474426</c:v>
                </c:pt>
                <c:pt idx="5">
                  <c:v>0.17104033807145605</c:v>
                </c:pt>
                <c:pt idx="6">
                  <c:v>0.17311856899488928</c:v>
                </c:pt>
                <c:pt idx="7">
                  <c:v>0.17526468788249691</c:v>
                </c:pt>
                <c:pt idx="8">
                  <c:v>0.18046601671309193</c:v>
                </c:pt>
                <c:pt idx="9">
                  <c:v>0.18275037707390648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82-413E-A405-5550BB78363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in val="0"/>
        </c:scaling>
        <c:delete val="1"/>
        <c:axPos val="l"/>
        <c:numFmt formatCode="0.0%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B3D07CC-D613-4103-BBDB-8DD1786072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DAC-433B-9B22-3678C7A666D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2BA957A-A7DC-4E38-8F38-717BAE58F9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DAC-433B-9B22-3678C7A666D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F8E2B82-F7F8-4B0F-8955-11450B6AD5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DAC-433B-9B22-3678C7A666D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70D1F5F-77DB-49C2-8C23-16426CB765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DAC-433B-9B22-3678C7A666D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69AF50C-7528-42D4-A5BE-8722EEBE3C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DAC-433B-9B22-3678C7A666D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0D79318-639A-442A-84F6-755260C1A7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DAC-433B-9B22-3678C7A666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AE4FD48-761A-45B4-8D38-973ACC246C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DAC-433B-9B22-3678C7A666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Analysis!$B$645:$H$645</c:f>
              <c:numCache>
                <c:formatCode>_(* #,##0_);_(* \(#,##0\);_(* "-"??_);_(@_)</c:formatCode>
                <c:ptCount val="7"/>
                <c:pt idx="0">
                  <c:v>3200</c:v>
                </c:pt>
                <c:pt idx="1">
                  <c:v>3450</c:v>
                </c:pt>
                <c:pt idx="2">
                  <c:v>3700</c:v>
                </c:pt>
                <c:pt idx="3">
                  <c:v>3950</c:v>
                </c:pt>
                <c:pt idx="4">
                  <c:v>4200</c:v>
                </c:pt>
                <c:pt idx="5">
                  <c:v>4450</c:v>
                </c:pt>
                <c:pt idx="6">
                  <c:v>4700</c:v>
                </c:pt>
              </c:numCache>
            </c:numRef>
          </c:cat>
          <c:val>
            <c:numRef>
              <c:f>Analysis!$B$654:$H$654</c:f>
              <c:numCache>
                <c:formatCode>_(* #,##0_);_(* \(#,##0\);_(* "-"??_);_(@_)</c:formatCode>
                <c:ptCount val="7"/>
                <c:pt idx="0">
                  <c:v>26216.9</c:v>
                </c:pt>
                <c:pt idx="1">
                  <c:v>28112.400000000001</c:v>
                </c:pt>
                <c:pt idx="2">
                  <c:v>30007.9</c:v>
                </c:pt>
                <c:pt idx="3">
                  <c:v>31903.4</c:v>
                </c:pt>
                <c:pt idx="4">
                  <c:v>33798.9</c:v>
                </c:pt>
                <c:pt idx="5">
                  <c:v>35694.400000000001</c:v>
                </c:pt>
                <c:pt idx="6">
                  <c:v>37589.9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Analysis!$B$662:$H$662</c15:f>
                <c15:dlblRangeCache>
                  <c:ptCount val="7"/>
                  <c:pt idx="0">
                    <c:v> 26.2 </c:v>
                  </c:pt>
                  <c:pt idx="1">
                    <c:v> 28.1 </c:v>
                  </c:pt>
                  <c:pt idx="2">
                    <c:v> 30.0 </c:v>
                  </c:pt>
                  <c:pt idx="3">
                    <c:v> 31.9 </c:v>
                  </c:pt>
                  <c:pt idx="4">
                    <c:v> 33.8 </c:v>
                  </c:pt>
                  <c:pt idx="5">
                    <c:v> 35.7 </c:v>
                  </c:pt>
                  <c:pt idx="6">
                    <c:v> 37.6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1BD-499E-9E70-63366C8A04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Value per fiber location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41-4ED2-8E35-308A099A61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Analysis!$A$549:$A$551</c:f>
              <c:strCache>
                <c:ptCount val="3"/>
                <c:pt idx="0">
                  <c:v>Equity Value</c:v>
                </c:pt>
                <c:pt idx="1">
                  <c:v>Net Debt</c:v>
                </c:pt>
                <c:pt idx="2">
                  <c:v>Transaction EV</c:v>
                </c:pt>
              </c:strCache>
            </c:strRef>
          </c:cat>
          <c:val>
            <c:numRef>
              <c:f>Analysis!$B$549:$B$551</c:f>
              <c:numCache>
                <c:formatCode>_(* #,##0_);_(* \(#,##0\);_(* "-"??_);_(@_)</c:formatCode>
                <c:ptCount val="3"/>
                <c:pt idx="0">
                  <c:v>10010</c:v>
                </c:pt>
                <c:pt idx="1">
                  <c:v>10010</c:v>
                </c:pt>
                <c:pt idx="2">
                  <c:v>20256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D-477A-B5AE-72C659D0C9D1}"/>
            </c:ext>
          </c:extLst>
        </c:ser>
        <c:ser>
          <c:idx val="1"/>
          <c:order val="1"/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Analysis!$A$549:$A$551</c:f>
              <c:strCache>
                <c:ptCount val="3"/>
                <c:pt idx="0">
                  <c:v>Equity Value</c:v>
                </c:pt>
                <c:pt idx="1">
                  <c:v>Net Debt</c:v>
                </c:pt>
                <c:pt idx="2">
                  <c:v>Transaction EV</c:v>
                </c:pt>
              </c:strCache>
            </c:strRef>
          </c:cat>
          <c:val>
            <c:numRef>
              <c:f>Analysis!$C$549:$C$551</c:f>
              <c:numCache>
                <c:formatCode>_(* #,##0_);_(* \(#,##0\);_(* "-"??_);_(@_)</c:formatCode>
                <c:ptCount val="3"/>
                <c:pt idx="1">
                  <c:v>10246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DD-477A-B5AE-72C659D0C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B93-4041-B88E-D461874D47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Analysis!$A$549:$A$551</c:f>
              <c:strCache>
                <c:ptCount val="3"/>
                <c:pt idx="0">
                  <c:v>Equity Value</c:v>
                </c:pt>
                <c:pt idx="1">
                  <c:v>Net Debt</c:v>
                </c:pt>
                <c:pt idx="2">
                  <c:v>Transaction EV</c:v>
                </c:pt>
              </c:strCache>
            </c:strRef>
          </c:cat>
          <c:val>
            <c:numRef>
              <c:f>Analysis!$D$549:$D$551</c:f>
              <c:numCache>
                <c:formatCode>_(* #,##0_);_(* \(#,##0\);_(* "-"??_);_(@_)</c:formatCode>
                <c:ptCount val="3"/>
                <c:pt idx="0">
                  <c:v>10010</c:v>
                </c:pt>
                <c:pt idx="1">
                  <c:v>10010</c:v>
                </c:pt>
                <c:pt idx="2">
                  <c:v>22688.206734041807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93-4041-B88E-D461874D47C1}"/>
            </c:ext>
          </c:extLst>
        </c:ser>
        <c:ser>
          <c:idx val="1"/>
          <c:order val="1"/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Analysis!$A$549:$A$551</c:f>
              <c:strCache>
                <c:ptCount val="3"/>
                <c:pt idx="0">
                  <c:v>Equity Value</c:v>
                </c:pt>
                <c:pt idx="1">
                  <c:v>Net Debt</c:v>
                </c:pt>
                <c:pt idx="2">
                  <c:v>Transaction EV</c:v>
                </c:pt>
              </c:strCache>
            </c:strRef>
          </c:cat>
          <c:val>
            <c:numRef>
              <c:f>Analysis!$E$549:$E$551</c:f>
              <c:numCache>
                <c:formatCode>_(* #,##0_);_(* \(#,##0\);_(* "-"??_);_(@_)</c:formatCode>
                <c:ptCount val="3"/>
                <c:pt idx="1">
                  <c:v>12678.206734041807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B93-4041-B88E-D461874D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C25-44D4-8803-FDAC321999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Analysis!$A$587:$A$589</c:f>
              <c:strCache>
                <c:ptCount val="3"/>
                <c:pt idx="0">
                  <c:v>Equity Value</c:v>
                </c:pt>
                <c:pt idx="1">
                  <c:v>Net Debt</c:v>
                </c:pt>
                <c:pt idx="2">
                  <c:v>Enterprise Value</c:v>
                </c:pt>
              </c:strCache>
            </c:strRef>
          </c:cat>
          <c:val>
            <c:numRef>
              <c:f>Analysis!$B$587:$B$589</c:f>
              <c:numCache>
                <c:formatCode>_(* #,##0_);_(* \(#,##0\);_(* "-"??_);_(@_)</c:formatCode>
                <c:ptCount val="3"/>
                <c:pt idx="0">
                  <c:v>58660.550619000001</c:v>
                </c:pt>
                <c:pt idx="1">
                  <c:v>58660.550619000001</c:v>
                </c:pt>
                <c:pt idx="2">
                  <c:v>152087.55061899999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25-44D4-8803-FDAC321999E0}"/>
            </c:ext>
          </c:extLst>
        </c:ser>
        <c:ser>
          <c:idx val="1"/>
          <c:order val="1"/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Analysis!$A$587:$A$589</c:f>
              <c:strCache>
                <c:ptCount val="3"/>
                <c:pt idx="0">
                  <c:v>Equity Value</c:v>
                </c:pt>
                <c:pt idx="1">
                  <c:v>Net Debt</c:v>
                </c:pt>
                <c:pt idx="2">
                  <c:v>Enterprise Value</c:v>
                </c:pt>
              </c:strCache>
            </c:strRef>
          </c:cat>
          <c:val>
            <c:numRef>
              <c:f>Analysis!$C$587:$C$589</c:f>
              <c:numCache>
                <c:formatCode>_(* #,##0_);_(* \(#,##0\);_(* "-"??_);_(@_)</c:formatCode>
                <c:ptCount val="3"/>
                <c:pt idx="1">
                  <c:v>93426.999999999985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C25-44D4-8803-FDAC32199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Analysis!$T$3116</c:f>
              <c:strCache>
                <c:ptCount val="1"/>
                <c:pt idx="0">
                  <c:v>Frontier - Base Markets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Analysis!$U$3115:$Y$3115</c:f>
              <c:strCache>
                <c:ptCount val="5"/>
                <c:pt idx="0">
                  <c:v>4Q20</c:v>
                </c:pt>
                <c:pt idx="1">
                  <c:v>1Q21</c:v>
                </c:pt>
                <c:pt idx="2">
                  <c:v>2Q21</c:v>
                </c:pt>
                <c:pt idx="3">
                  <c:v>3Q21</c:v>
                </c:pt>
                <c:pt idx="4">
                  <c:v>4Q21</c:v>
                </c:pt>
              </c:strCache>
            </c:strRef>
          </c:cat>
          <c:val>
            <c:numRef>
              <c:f>Analysis!$U$3116:$Y$3116</c:f>
              <c:numCache>
                <c:formatCode>0.00%</c:formatCode>
                <c:ptCount val="5"/>
                <c:pt idx="0">
                  <c:v>2.1070133024696631E-2</c:v>
                </c:pt>
                <c:pt idx="1">
                  <c:v>1.8327020719575125E-2</c:v>
                </c:pt>
                <c:pt idx="2">
                  <c:v>1.7665948000000015E-2</c:v>
                </c:pt>
                <c:pt idx="3">
                  <c:v>2.2018621276595703E-2</c:v>
                </c:pt>
                <c:pt idx="4">
                  <c:v>2.0398224137931052E-2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70-4D43-8F47-BD2E155A6819}"/>
            </c:ext>
          </c:extLst>
        </c:ser>
        <c:ser>
          <c:idx val="1"/>
          <c:order val="1"/>
          <c:tx>
            <c:strRef>
              <c:f>Analysis!$T$3119</c:f>
              <c:strCache>
                <c:ptCount val="1"/>
                <c:pt idx="0">
                  <c:v>Lumen - Base Markets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Analysis!$U$3115:$Y$3115</c:f>
              <c:strCache>
                <c:ptCount val="5"/>
                <c:pt idx="0">
                  <c:v>4Q20</c:v>
                </c:pt>
                <c:pt idx="1">
                  <c:v>1Q21</c:v>
                </c:pt>
                <c:pt idx="2">
                  <c:v>2Q21</c:v>
                </c:pt>
                <c:pt idx="3">
                  <c:v>3Q21</c:v>
                </c:pt>
                <c:pt idx="4">
                  <c:v>4Q21</c:v>
                </c:pt>
              </c:strCache>
            </c:strRef>
          </c:cat>
          <c:val>
            <c:numRef>
              <c:f>Analysis!$U$3119:$Y$3119</c:f>
              <c:numCache>
                <c:formatCode>0.00%</c:formatCode>
                <c:ptCount val="5"/>
                <c:pt idx="0">
                  <c:v>2.3256060090306396E-2</c:v>
                </c:pt>
                <c:pt idx="1">
                  <c:v>2.2178680623083254E-2</c:v>
                </c:pt>
                <c:pt idx="2">
                  <c:v>1.8455225833333339E-2</c:v>
                </c:pt>
                <c:pt idx="3">
                  <c:v>1.7944680851063839E-2</c:v>
                </c:pt>
                <c:pt idx="4">
                  <c:v>1.5102745545976987E-2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70-4D43-8F47-BD2E155A6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9607871"/>
        <c:axId val="1929607039"/>
      </c:lineChart>
      <c:catAx>
        <c:axId val="1929607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929607039"/>
        <c:crosses val="autoZero"/>
        <c:auto val="1"/>
        <c:lblAlgn val="ctr"/>
        <c:lblOffset val="100"/>
        <c:noMultiLvlLbl val="0"/>
      </c:catAx>
      <c:valAx>
        <c:axId val="1929607039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1929607871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800" b="0" i="0" u="none" strike="noStrike" baseline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66-4D91-84DF-4C09E78E64F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66-4D91-84DF-4C09E78E64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Analysis!$A$594:$A$597</c:f>
              <c:strCache>
                <c:ptCount val="4"/>
                <c:pt idx="0">
                  <c:v>Charter trading value</c:v>
                </c:pt>
                <c:pt idx="1">
                  <c:v>Premium for fiber</c:v>
                </c:pt>
                <c:pt idx="2">
                  <c:v>Value of synergies</c:v>
                </c:pt>
                <c:pt idx="3">
                  <c:v>Price that VZ should pay</c:v>
                </c:pt>
              </c:strCache>
            </c:strRef>
          </c:cat>
          <c:val>
            <c:numRef>
              <c:f>Analysis!$B$594:$B$597</c:f>
              <c:numCache>
                <c:formatCode>_(* #,##0_);_(* \(#,##0\);_(* "-"??_);_(@_)</c:formatCode>
                <c:ptCount val="4"/>
                <c:pt idx="0">
                  <c:v>2710.5248729103546</c:v>
                </c:pt>
                <c:pt idx="1">
                  <c:v>2710.5248729103546</c:v>
                </c:pt>
                <c:pt idx="2">
                  <c:v>3310.5248729103546</c:v>
                </c:pt>
                <c:pt idx="3">
                  <c:v>3745.766234028793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D-477A-B5AE-72C659D0C9D1}"/>
            </c:ext>
          </c:extLst>
        </c:ser>
        <c:ser>
          <c:idx val="1"/>
          <c:order val="1"/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Analysis!$A$594:$A$597</c:f>
              <c:strCache>
                <c:ptCount val="4"/>
                <c:pt idx="0">
                  <c:v>Charter trading value</c:v>
                </c:pt>
                <c:pt idx="1">
                  <c:v>Premium for fiber</c:v>
                </c:pt>
                <c:pt idx="2">
                  <c:v>Value of synergies</c:v>
                </c:pt>
                <c:pt idx="3">
                  <c:v>Price that VZ should pay</c:v>
                </c:pt>
              </c:strCache>
            </c:strRef>
          </c:cat>
          <c:val>
            <c:numRef>
              <c:f>Analysis!$C$594:$C$597</c:f>
              <c:numCache>
                <c:formatCode>_(* #,##0_);_(* \(#,##0\);_(* "-"??_);_(@_)</c:formatCode>
                <c:ptCount val="4"/>
                <c:pt idx="1">
                  <c:v>600</c:v>
                </c:pt>
                <c:pt idx="2">
                  <c:v>435.24136111843842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DD-477A-B5AE-72C659D0C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50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Analysis!$A$607:$A$609</c:f>
              <c:strCache>
                <c:ptCount val="3"/>
                <c:pt idx="0">
                  <c:v>Frontier</c:v>
                </c:pt>
                <c:pt idx="1">
                  <c:v>Metronet</c:v>
                </c:pt>
                <c:pt idx="2">
                  <c:v>Lumos</c:v>
                </c:pt>
              </c:strCache>
            </c:strRef>
          </c:cat>
          <c:val>
            <c:numRef>
              <c:f>Analysis!$B$607:$B$609</c:f>
              <c:numCache>
                <c:formatCode>_(* #,##0_);_(* \(#,##0\);_(* "-"??_);_(@_)</c:formatCode>
                <c:ptCount val="3"/>
                <c:pt idx="0">
                  <c:v>2413.8090213663941</c:v>
                </c:pt>
                <c:pt idx="1">
                  <c:v>4700</c:v>
                </c:pt>
                <c:pt idx="2">
                  <c:v>4700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D-477A-B5AE-72C659D0C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Analysis!$A$738:$A$745</c:f>
              <c:strCache>
                <c:ptCount val="8"/>
                <c:pt idx="0">
                  <c:v>Party A initial offer - Nov 2023</c:v>
                </c:pt>
                <c:pt idx="1">
                  <c:v>Party E initial offer June 2024</c:v>
                </c:pt>
                <c:pt idx="2">
                  <c:v>Party E updated offer July 2024</c:v>
                </c:pt>
                <c:pt idx="3">
                  <c:v>Verizon initial offer August 2024</c:v>
                </c:pt>
                <c:pt idx="4">
                  <c:v>Verizon updated offer August 2024</c:v>
                </c:pt>
                <c:pt idx="5">
                  <c:v>Party E updated offer August 2024</c:v>
                </c:pt>
                <c:pt idx="6">
                  <c:v>Verizon updated offer August 2024</c:v>
                </c:pt>
                <c:pt idx="7">
                  <c:v>Verizon final offer September 2024</c:v>
                </c:pt>
              </c:strCache>
            </c:strRef>
          </c:cat>
          <c:val>
            <c:numRef>
              <c:f>Analysis!$B$738:$B$745</c:f>
              <c:numCache>
                <c:formatCode>_(* #,##0.00_);_(* \(#,##0.00\);_(* "-"??_);_(@_)</c:formatCode>
                <c:ptCount val="8"/>
                <c:pt idx="0">
                  <c:v>25</c:v>
                </c:pt>
                <c:pt idx="1">
                  <c:v>34</c:v>
                </c:pt>
                <c:pt idx="2">
                  <c:v>34.25</c:v>
                </c:pt>
                <c:pt idx="3">
                  <c:v>30</c:v>
                </c:pt>
                <c:pt idx="4">
                  <c:v>36</c:v>
                </c:pt>
                <c:pt idx="5">
                  <c:v>35</c:v>
                </c:pt>
                <c:pt idx="6">
                  <c:v>38</c:v>
                </c:pt>
                <c:pt idx="7">
                  <c:v>38.5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D-477A-B5AE-72C659D0C9D1}"/>
            </c:ext>
          </c:extLst>
        </c:ser>
        <c:ser>
          <c:idx val="1"/>
          <c:order val="1"/>
          <c:spPr>
            <a:noFill/>
            <a:ln>
              <a:solidFill>
                <a:srgbClr val="F19375"/>
              </a:solidFill>
              <a:prstDash val="dash"/>
            </a:ln>
            <a:effectLst/>
          </c:spPr>
          <c:invertIfNegative val="0"/>
          <c:cat>
            <c:strRef>
              <c:f>Analysis!$A$738:$A$745</c:f>
              <c:strCache>
                <c:ptCount val="8"/>
                <c:pt idx="0">
                  <c:v>Party A initial offer - Nov 2023</c:v>
                </c:pt>
                <c:pt idx="1">
                  <c:v>Party E initial offer June 2024</c:v>
                </c:pt>
                <c:pt idx="2">
                  <c:v>Party E updated offer July 2024</c:v>
                </c:pt>
                <c:pt idx="3">
                  <c:v>Verizon initial offer August 2024</c:v>
                </c:pt>
                <c:pt idx="4">
                  <c:v>Verizon updated offer August 2024</c:v>
                </c:pt>
                <c:pt idx="5">
                  <c:v>Party E updated offer August 2024</c:v>
                </c:pt>
                <c:pt idx="6">
                  <c:v>Verizon updated offer August 2024</c:v>
                </c:pt>
                <c:pt idx="7">
                  <c:v>Verizon final offer September 2024</c:v>
                </c:pt>
              </c:strCache>
            </c:strRef>
          </c:cat>
          <c:val>
            <c:numRef>
              <c:f>Analysis!$C$738:$C$745</c:f>
              <c:numCache>
                <c:formatCode>_(* #,##0.00_);_(* \(#,##0.00\);_(* "-"??_);_(@_)</c:formatCode>
                <c:ptCount val="8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DD-477A-B5AE-72C659D0C9D1}"/>
            </c:ext>
          </c:extLst>
        </c:ser>
        <c:ser>
          <c:idx val="2"/>
          <c:order val="2"/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Analysis!$A$738:$A$745</c:f>
              <c:strCache>
                <c:ptCount val="8"/>
                <c:pt idx="0">
                  <c:v>Party A initial offer - Nov 2023</c:v>
                </c:pt>
                <c:pt idx="1">
                  <c:v>Party E initial offer June 2024</c:v>
                </c:pt>
                <c:pt idx="2">
                  <c:v>Party E updated offer July 2024</c:v>
                </c:pt>
                <c:pt idx="3">
                  <c:v>Verizon initial offer August 2024</c:v>
                </c:pt>
                <c:pt idx="4">
                  <c:v>Verizon updated offer August 2024</c:v>
                </c:pt>
                <c:pt idx="5">
                  <c:v>Party E updated offer August 2024</c:v>
                </c:pt>
                <c:pt idx="6">
                  <c:v>Verizon updated offer August 2024</c:v>
                </c:pt>
                <c:pt idx="7">
                  <c:v>Verizon final offer September 2024</c:v>
                </c:pt>
              </c:strCache>
            </c:strRef>
          </c:cat>
          <c:val>
            <c:numRef>
              <c:f>Analysis!$D$738:$D$745</c:f>
              <c:numCache>
                <c:formatCode>_(* #,##0.00_);_(* \(#,##0.00\);_(* "-"??_);_(@_)</c:formatCode>
                <c:ptCount val="8"/>
                <c:pt idx="0">
                  <c:v>25</c:v>
                </c:pt>
                <c:pt idx="1">
                  <c:v>37</c:v>
                </c:pt>
                <c:pt idx="2">
                  <c:v>34.25</c:v>
                </c:pt>
                <c:pt idx="3">
                  <c:v>33</c:v>
                </c:pt>
                <c:pt idx="4">
                  <c:v>38</c:v>
                </c:pt>
                <c:pt idx="5">
                  <c:v>35</c:v>
                </c:pt>
                <c:pt idx="6">
                  <c:v>38</c:v>
                </c:pt>
                <c:pt idx="7">
                  <c:v>38.5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DD-477A-B5AE-72C659D0C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45"/>
        </c:scaling>
        <c:delete val="1"/>
        <c:axPos val="l"/>
        <c:numFmt formatCode="_(* #,##0.00_);_(* \(#,##0.0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CF9-4102-9280-3263CCEC879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CF9-4102-9280-3263CCEC87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Analysis!$A$600:$A$602</c:f>
              <c:strCache>
                <c:ptCount val="3"/>
                <c:pt idx="0">
                  <c:v>Charter trading value</c:v>
                </c:pt>
                <c:pt idx="1">
                  <c:v>Premium for fiber</c:v>
                </c:pt>
                <c:pt idx="2">
                  <c:v>Price that VZ should pay</c:v>
                </c:pt>
              </c:strCache>
            </c:strRef>
          </c:cat>
          <c:val>
            <c:numRef>
              <c:f>Analysis!$B$600:$B$602</c:f>
              <c:numCache>
                <c:formatCode>_(* #,##0_);_(* \(#,##0\);_(* "-"??_);_(@_)</c:formatCode>
                <c:ptCount val="3"/>
                <c:pt idx="0">
                  <c:v>2710.5248729103546</c:v>
                </c:pt>
                <c:pt idx="1">
                  <c:v>2710.5248729103546</c:v>
                </c:pt>
                <c:pt idx="2">
                  <c:v>3310.5248729103546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CF9-4102-9280-3263CCEC8793}"/>
            </c:ext>
          </c:extLst>
        </c:ser>
        <c:ser>
          <c:idx val="1"/>
          <c:order val="1"/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Analysis!$A$600:$A$602</c:f>
              <c:strCache>
                <c:ptCount val="3"/>
                <c:pt idx="0">
                  <c:v>Charter trading value</c:v>
                </c:pt>
                <c:pt idx="1">
                  <c:v>Premium for fiber</c:v>
                </c:pt>
                <c:pt idx="2">
                  <c:v>Price that VZ should pay</c:v>
                </c:pt>
              </c:strCache>
            </c:strRef>
          </c:cat>
          <c:val>
            <c:numRef>
              <c:f>Analysis!$C$600:$C$602</c:f>
              <c:numCache>
                <c:formatCode>_(* #,##0_);_(* \(#,##0\);_(* "-"??_);_(@_)</c:formatCode>
                <c:ptCount val="3"/>
                <c:pt idx="1">
                  <c:v>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CF9-4102-9280-3263CCEC8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35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Analysis!$A$451</c:f>
              <c:strCache>
                <c:ptCount val="1"/>
                <c:pt idx="0">
                  <c:v>NSR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rgbClr val="4D4D4D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Analysis!$B$449:$I$450</c:f>
              <c:strCache>
                <c:ptCount val="8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</c:strCache>
            </c:strRef>
          </c:cat>
          <c:val>
            <c:numRef>
              <c:f>Analysis!$B$451:$I$451</c:f>
              <c:numCache>
                <c:formatCode>_(* #,##0_);_(* \(#,##0\);_(* "-"??_);_(@_)</c:formatCode>
                <c:ptCount val="8"/>
                <c:pt idx="0">
                  <c:v>5937</c:v>
                </c:pt>
                <c:pt idx="1">
                  <c:v>6020.8233791249304</c:v>
                </c:pt>
                <c:pt idx="2">
                  <c:v>6226.1974527353086</c:v>
                </c:pt>
                <c:pt idx="3">
                  <c:v>6504.264954012373</c:v>
                </c:pt>
                <c:pt idx="4">
                  <c:v>6801.1959800304503</c:v>
                </c:pt>
                <c:pt idx="5">
                  <c:v>7077.139317382117</c:v>
                </c:pt>
                <c:pt idx="6">
                  <c:v>7331.6741550276429</c:v>
                </c:pt>
                <c:pt idx="7">
                  <c:v>7559.8689514336202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8-4B4F-A04D-45171DF0F38C}"/>
            </c:ext>
          </c:extLst>
        </c:ser>
        <c:ser>
          <c:idx val="1"/>
          <c:order val="1"/>
          <c:tx>
            <c:strRef>
              <c:f>Analysis!$A$452</c:f>
              <c:strCache>
                <c:ptCount val="1"/>
                <c:pt idx="0">
                  <c:v>Proxy</c:v>
                </c:pt>
              </c:strCache>
            </c:strRef>
          </c:tx>
          <c:spPr>
            <a:solidFill>
              <a:srgbClr val="F1937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rgbClr val="4D4D4D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Analysis!$B$449:$I$450</c:f>
              <c:strCache>
                <c:ptCount val="8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</c:strCache>
            </c:strRef>
          </c:cat>
          <c:val>
            <c:numRef>
              <c:f>Analysis!$B$452:$I$452</c:f>
              <c:numCache>
                <c:formatCode>_(* #,##0_);_(* \(#,##0\);_(* "-"??_);_(@_)</c:formatCode>
                <c:ptCount val="8"/>
                <c:pt idx="0">
                  <c:v>5876</c:v>
                </c:pt>
                <c:pt idx="1">
                  <c:v>5967</c:v>
                </c:pt>
                <c:pt idx="2">
                  <c:v>6185</c:v>
                </c:pt>
                <c:pt idx="3">
                  <c:v>6390</c:v>
                </c:pt>
                <c:pt idx="4">
                  <c:v>6576</c:v>
                </c:pt>
                <c:pt idx="5">
                  <c:v>6774</c:v>
                </c:pt>
                <c:pt idx="6">
                  <c:v>6971</c:v>
                </c:pt>
                <c:pt idx="7">
                  <c:v>7173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E8-4B4F-A04D-45171DF0F38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Analysis!$A$456</c:f>
              <c:strCache>
                <c:ptCount val="1"/>
                <c:pt idx="0">
                  <c:v>NSR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rgbClr val="4D4D4D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Analysis!$B$449:$I$450</c:f>
              <c:strCache>
                <c:ptCount val="8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</c:strCache>
            </c:strRef>
          </c:cat>
          <c:val>
            <c:numRef>
              <c:f>Analysis!$B$456:$I$456</c:f>
              <c:numCache>
                <c:formatCode>#,##0_);\(#,##0\)</c:formatCode>
                <c:ptCount val="8"/>
                <c:pt idx="0">
                  <c:v>2251</c:v>
                </c:pt>
                <c:pt idx="1">
                  <c:v>2416.4545969116934</c:v>
                </c:pt>
                <c:pt idx="2">
                  <c:v>2677.013038976258</c:v>
                </c:pt>
                <c:pt idx="3">
                  <c:v>2993.8763244864958</c:v>
                </c:pt>
                <c:pt idx="4">
                  <c:v>3272.0038286472327</c:v>
                </c:pt>
                <c:pt idx="5">
                  <c:v>3533.6794470944569</c:v>
                </c:pt>
                <c:pt idx="6">
                  <c:v>3778.5031908761962</c:v>
                </c:pt>
                <c:pt idx="7">
                  <c:v>4001.9646887265139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72-4D34-92D3-A042918B7566}"/>
            </c:ext>
          </c:extLst>
        </c:ser>
        <c:ser>
          <c:idx val="1"/>
          <c:order val="1"/>
          <c:tx>
            <c:strRef>
              <c:f>Analysis!$A$457</c:f>
              <c:strCache>
                <c:ptCount val="1"/>
                <c:pt idx="0">
                  <c:v>Proxy</c:v>
                </c:pt>
              </c:strCache>
            </c:strRef>
          </c:tx>
          <c:spPr>
            <a:solidFill>
              <a:srgbClr val="F1937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rgbClr val="4D4D4D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Analysis!$B$449:$I$450</c:f>
              <c:strCache>
                <c:ptCount val="8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</c:strCache>
            </c:strRef>
          </c:cat>
          <c:val>
            <c:numRef>
              <c:f>Analysis!$B$457:$I$457</c:f>
              <c:numCache>
                <c:formatCode>#,##0_);\(#,##0\)</c:formatCode>
                <c:ptCount val="8"/>
                <c:pt idx="0">
                  <c:v>2250</c:v>
                </c:pt>
                <c:pt idx="1">
                  <c:v>2393</c:v>
                </c:pt>
                <c:pt idx="2">
                  <c:v>2637</c:v>
                </c:pt>
                <c:pt idx="3">
                  <c:v>2988</c:v>
                </c:pt>
                <c:pt idx="4">
                  <c:v>3283</c:v>
                </c:pt>
                <c:pt idx="5">
                  <c:v>3514</c:v>
                </c:pt>
                <c:pt idx="6">
                  <c:v>3735</c:v>
                </c:pt>
                <c:pt idx="7">
                  <c:v>3955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72-4D34-92D3-A042918B756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#,##0_);\(#,##0\)" sourceLinked="1"/>
        <c:majorTickMark val="none"/>
        <c:minorTickMark val="none"/>
        <c:tickLblPos val="nextTo"/>
        <c:crossAx val="149516060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Analysis!$A$461</c:f>
              <c:strCache>
                <c:ptCount val="1"/>
                <c:pt idx="0">
                  <c:v>NSR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rgbClr val="4D4D4D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Analysis!$B$449:$I$450</c:f>
              <c:strCache>
                <c:ptCount val="8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</c:strCache>
            </c:strRef>
          </c:cat>
          <c:val>
            <c:numRef>
              <c:f>Analysis!$B$461:$I$461</c:f>
              <c:numCache>
                <c:formatCode>#,##0_);\(#,##0\)</c:formatCode>
                <c:ptCount val="8"/>
                <c:pt idx="0">
                  <c:v>3246</c:v>
                </c:pt>
                <c:pt idx="1">
                  <c:v>3194.4479521510066</c:v>
                </c:pt>
                <c:pt idx="2">
                  <c:v>3082.4684202674325</c:v>
                </c:pt>
                <c:pt idx="3">
                  <c:v>1951.0215850968652</c:v>
                </c:pt>
                <c:pt idx="4">
                  <c:v>1611.100905365895</c:v>
                </c:pt>
                <c:pt idx="5">
                  <c:v>1671.0656290142479</c:v>
                </c:pt>
                <c:pt idx="6">
                  <c:v>1646.8753495613416</c:v>
                </c:pt>
                <c:pt idx="7">
                  <c:v>1624.2957441032881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04-4C63-AAA2-2333E8A97706}"/>
            </c:ext>
          </c:extLst>
        </c:ser>
        <c:ser>
          <c:idx val="1"/>
          <c:order val="1"/>
          <c:tx>
            <c:strRef>
              <c:f>Analysis!$A$462</c:f>
              <c:strCache>
                <c:ptCount val="1"/>
                <c:pt idx="0">
                  <c:v>Proxy</c:v>
                </c:pt>
              </c:strCache>
            </c:strRef>
          </c:tx>
          <c:spPr>
            <a:solidFill>
              <a:srgbClr val="F1937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rgbClr val="4D4D4D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Analysis!$B$449:$I$450</c:f>
              <c:strCache>
                <c:ptCount val="8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</c:strCache>
            </c:strRef>
          </c:cat>
          <c:val>
            <c:numRef>
              <c:f>Analysis!$B$462:$I$462</c:f>
              <c:numCache>
                <c:formatCode>#,##0_);\(#,##0\)</c:formatCode>
                <c:ptCount val="8"/>
                <c:pt idx="0">
                  <c:v>3190</c:v>
                </c:pt>
                <c:pt idx="1">
                  <c:v>3185</c:v>
                </c:pt>
                <c:pt idx="2">
                  <c:v>3080</c:v>
                </c:pt>
                <c:pt idx="3">
                  <c:v>1937</c:v>
                </c:pt>
                <c:pt idx="4">
                  <c:v>1612</c:v>
                </c:pt>
                <c:pt idx="5">
                  <c:v>1538</c:v>
                </c:pt>
                <c:pt idx="6">
                  <c:v>1520</c:v>
                </c:pt>
                <c:pt idx="7">
                  <c:v>1511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04-4C63-AAA2-2333E8A9770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#,##0_);\(#,##0\)" sourceLinked="1"/>
        <c:majorTickMark val="none"/>
        <c:minorTickMark val="none"/>
        <c:tickLblPos val="nextTo"/>
        <c:crossAx val="149516060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Analysis!$A$466</c:f>
              <c:strCache>
                <c:ptCount val="1"/>
                <c:pt idx="0">
                  <c:v>NSR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rgbClr val="4D4D4D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Analysis!$B$449:$I$450</c:f>
              <c:strCache>
                <c:ptCount val="8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</c:strCache>
            </c:strRef>
          </c:cat>
          <c:val>
            <c:numRef>
              <c:f>Analysis!$B$466:$I$466</c:f>
              <c:numCache>
                <c:formatCode>#,##0_);\(#,##0\)</c:formatCode>
                <c:ptCount val="8"/>
                <c:pt idx="0">
                  <c:v>-995</c:v>
                </c:pt>
                <c:pt idx="1">
                  <c:v>-777.99335523931313</c:v>
                </c:pt>
                <c:pt idx="2">
                  <c:v>-405.45538129117449</c:v>
                </c:pt>
                <c:pt idx="3">
                  <c:v>1042.8547393896306</c:v>
                </c:pt>
                <c:pt idx="4">
                  <c:v>1660.9029232813377</c:v>
                </c:pt>
                <c:pt idx="5">
                  <c:v>1862.6138180802091</c:v>
                </c:pt>
                <c:pt idx="6">
                  <c:v>2131.6278413148548</c:v>
                </c:pt>
                <c:pt idx="7">
                  <c:v>2377.6689446232258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5F-4FFC-8B6D-550430BEF14D}"/>
            </c:ext>
          </c:extLst>
        </c:ser>
        <c:ser>
          <c:idx val="1"/>
          <c:order val="1"/>
          <c:tx>
            <c:strRef>
              <c:f>Analysis!$A$467</c:f>
              <c:strCache>
                <c:ptCount val="1"/>
                <c:pt idx="0">
                  <c:v>Proxy</c:v>
                </c:pt>
              </c:strCache>
            </c:strRef>
          </c:tx>
          <c:spPr>
            <a:solidFill>
              <a:srgbClr val="F1937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rgbClr val="4D4D4D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Analysis!$B$449:$I$450</c:f>
              <c:strCache>
                <c:ptCount val="8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</c:strCache>
            </c:strRef>
          </c:cat>
          <c:val>
            <c:numRef>
              <c:f>Analysis!$B$467:$I$467</c:f>
              <c:numCache>
                <c:formatCode>#,##0_);\(#,##0\)</c:formatCode>
                <c:ptCount val="8"/>
                <c:pt idx="0">
                  <c:v>-940</c:v>
                </c:pt>
                <c:pt idx="1">
                  <c:v>-792</c:v>
                </c:pt>
                <c:pt idx="2">
                  <c:v>-443</c:v>
                </c:pt>
                <c:pt idx="3">
                  <c:v>1051</c:v>
                </c:pt>
                <c:pt idx="4">
                  <c:v>1671</c:v>
                </c:pt>
                <c:pt idx="5">
                  <c:v>1976</c:v>
                </c:pt>
                <c:pt idx="6">
                  <c:v>2215</c:v>
                </c:pt>
                <c:pt idx="7">
                  <c:v>2444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5F-4FFC-8B6D-550430BEF14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#,##0_);\(#,##0\)" sourceLinked="1"/>
        <c:majorTickMark val="none"/>
        <c:minorTickMark val="none"/>
        <c:tickLblPos val="nextTo"/>
        <c:crossAx val="149516060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Analysis!$A$682:$A$684</c:f>
              <c:strCache>
                <c:ptCount val="3"/>
                <c:pt idx="0">
                  <c:v>Current offer</c:v>
                </c:pt>
                <c:pt idx="1">
                  <c:v>Charter's trading value</c:v>
                </c:pt>
                <c:pt idx="2">
                  <c:v>Charter's trading value + fiber premium</c:v>
                </c:pt>
              </c:strCache>
            </c:strRef>
          </c:cat>
          <c:val>
            <c:numRef>
              <c:f>Analysis!$B$682:$B$684</c:f>
              <c:numCache>
                <c:formatCode>_(* #,##0_);_(* \(#,##0\);_(* "-"??_);_(@_)</c:formatCode>
                <c:ptCount val="3"/>
                <c:pt idx="0">
                  <c:v>2413.8090213663941</c:v>
                </c:pt>
                <c:pt idx="1">
                  <c:v>2710.5248729103546</c:v>
                </c:pt>
                <c:pt idx="2">
                  <c:v>3310.5248729103546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D-477A-B5AE-72C659D0C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Analysis!$A$2426:$A$2429</c:f>
              <c:strCache>
                <c:ptCount val="4"/>
                <c:pt idx="0">
                  <c:v>Copper</c:v>
                </c:pt>
                <c:pt idx="1">
                  <c:v>Blended</c:v>
                </c:pt>
                <c:pt idx="2">
                  <c:v>Fiber Today</c:v>
                </c:pt>
                <c:pt idx="3">
                  <c:v>Fiber At Terminal Penetration</c:v>
                </c:pt>
              </c:strCache>
            </c:strRef>
          </c:cat>
          <c:val>
            <c:numRef>
              <c:f>Analysis!$B$2426:$B$2429</c:f>
              <c:numCache>
                <c:formatCode>_(* #,##0.0_);_(* \(#,##0.0\);_(* "-"??_);_(@_)</c:formatCode>
                <c:ptCount val="4"/>
                <c:pt idx="0">
                  <c:v>3.0023041474654377</c:v>
                </c:pt>
                <c:pt idx="1">
                  <c:v>12.587540830611292</c:v>
                </c:pt>
                <c:pt idx="2">
                  <c:v>16.769839142091151</c:v>
                </c:pt>
                <c:pt idx="3">
                  <c:v>9.4285714285714288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5A-48F8-9679-5DB15868A4D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18"/>
        </c:scaling>
        <c:delete val="1"/>
        <c:axPos val="l"/>
        <c:numFmt formatCode="_(* #,##0.0_);_(* \(#,##0.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Analysis!$T$3117</c:f>
              <c:strCache>
                <c:ptCount val="1"/>
                <c:pt idx="0">
                  <c:v>Frontier - New Markets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Analysis!$U$3115:$Y$3115</c:f>
              <c:strCache>
                <c:ptCount val="5"/>
                <c:pt idx="0">
                  <c:v>4Q20</c:v>
                </c:pt>
                <c:pt idx="1">
                  <c:v>1Q21</c:v>
                </c:pt>
                <c:pt idx="2">
                  <c:v>2Q21</c:v>
                </c:pt>
                <c:pt idx="3">
                  <c:v>3Q21</c:v>
                </c:pt>
                <c:pt idx="4">
                  <c:v>4Q21</c:v>
                </c:pt>
              </c:strCache>
            </c:strRef>
          </c:cat>
          <c:val>
            <c:numRef>
              <c:f>Analysis!$U$3117:$Y$3117</c:f>
              <c:numCache>
                <c:formatCode>0.00%</c:formatCode>
                <c:ptCount val="5"/>
                <c:pt idx="0">
                  <c:v>6.9667651989336318E-2</c:v>
                </c:pt>
                <c:pt idx="1">
                  <c:v>7.4322552324705027E-2</c:v>
                </c:pt>
                <c:pt idx="2">
                  <c:v>6.3602419351955153E-2</c:v>
                </c:pt>
                <c:pt idx="3">
                  <c:v>4.7673227816910232E-2</c:v>
                </c:pt>
                <c:pt idx="4">
                  <c:v>5.4553700005490813E-2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5-4145-9F0C-7566AED81F1F}"/>
            </c:ext>
          </c:extLst>
        </c:ser>
        <c:ser>
          <c:idx val="1"/>
          <c:order val="1"/>
          <c:tx>
            <c:strRef>
              <c:f>Analysis!$T$3120</c:f>
              <c:strCache>
                <c:ptCount val="1"/>
                <c:pt idx="0">
                  <c:v>Lumen - New Markets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Analysis!$U$3115:$Y$3115</c:f>
              <c:strCache>
                <c:ptCount val="5"/>
                <c:pt idx="0">
                  <c:v>4Q20</c:v>
                </c:pt>
                <c:pt idx="1">
                  <c:v>1Q21</c:v>
                </c:pt>
                <c:pt idx="2">
                  <c:v>2Q21</c:v>
                </c:pt>
                <c:pt idx="3">
                  <c:v>3Q21</c:v>
                </c:pt>
                <c:pt idx="4">
                  <c:v>4Q21</c:v>
                </c:pt>
              </c:strCache>
            </c:strRef>
          </c:cat>
          <c:val>
            <c:numRef>
              <c:f>Analysis!$U$3120:$Y$3120</c:f>
              <c:numCache>
                <c:formatCode>0.00%</c:formatCode>
                <c:ptCount val="5"/>
                <c:pt idx="1">
                  <c:v>0.31999999999999973</c:v>
                </c:pt>
                <c:pt idx="2">
                  <c:v>0.13148757333333322</c:v>
                </c:pt>
                <c:pt idx="3">
                  <c:v>8.0062638297872177E-2</c:v>
                </c:pt>
                <c:pt idx="4">
                  <c:v>6.8314390147783427E-2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5-4145-9F0C-7566AED81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9607871"/>
        <c:axId val="1929607039"/>
      </c:lineChart>
      <c:catAx>
        <c:axId val="1929607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929607039"/>
        <c:crosses val="autoZero"/>
        <c:auto val="1"/>
        <c:lblAlgn val="ctr"/>
        <c:lblOffset val="100"/>
        <c:noMultiLvlLbl val="0"/>
      </c:catAx>
      <c:valAx>
        <c:axId val="1929607039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1929607871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800" b="0" i="0" u="none" strike="noStrike" baseline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Analysis!$A$2426:$A$2429</c:f>
              <c:strCache>
                <c:ptCount val="4"/>
                <c:pt idx="0">
                  <c:v>Copper</c:v>
                </c:pt>
                <c:pt idx="1">
                  <c:v>Blended</c:v>
                </c:pt>
                <c:pt idx="2">
                  <c:v>Fiber Today</c:v>
                </c:pt>
                <c:pt idx="3">
                  <c:v>Fiber At Terminal Penetration</c:v>
                </c:pt>
              </c:strCache>
            </c:strRef>
          </c:cat>
          <c:val>
            <c:numRef>
              <c:f>Analysis!$C$2426:$C$2429</c:f>
              <c:numCache>
                <c:formatCode>_(* #,##0.0_);_(* \(#,##0.0\);_(* "-"??_);_(@_)</c:formatCode>
                <c:ptCount val="4"/>
                <c:pt idx="0">
                  <c:v>3.0023041474654377</c:v>
                </c:pt>
                <c:pt idx="1">
                  <c:v>12.624778155112605</c:v>
                </c:pt>
                <c:pt idx="2">
                  <c:v>16.823324119575275</c:v>
                </c:pt>
                <c:pt idx="3">
                  <c:v>9.4586424940295863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3D-4541-AD46-FC456449CCE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.0_);_(* \(#,##0.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Analysis!$A$754:$A$755</c:f>
              <c:strCache>
                <c:ptCount val="2"/>
                <c:pt idx="0">
                  <c:v>Management estimate of synergies</c:v>
                </c:pt>
                <c:pt idx="1">
                  <c:v>NSR estimate of CTA</c:v>
                </c:pt>
              </c:strCache>
            </c:strRef>
          </c:cat>
          <c:val>
            <c:numRef>
              <c:f>Analysis!$B$754:$B$755</c:f>
              <c:numCache>
                <c:formatCode>_(* #,##0_);_(* \(#,##0\);_(* "-"??_);_(@_)</c:formatCode>
                <c:ptCount val="2"/>
                <c:pt idx="0">
                  <c:v>500</c:v>
                </c:pt>
                <c:pt idx="1">
                  <c:v>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D-477A-B5AE-72C659D0C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7000"/>
          <c:min val="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Analysis!$A$812:$A$814</c:f>
              <c:strCache>
                <c:ptCount val="3"/>
                <c:pt idx="0">
                  <c:v>VZ EV/EBITDA multiple</c:v>
                </c:pt>
                <c:pt idx="1">
                  <c:v>FYBR WACC</c:v>
                </c:pt>
                <c:pt idx="2">
                  <c:v>VZ WACC</c:v>
                </c:pt>
              </c:strCache>
            </c:strRef>
          </c:cat>
          <c:val>
            <c:numRef>
              <c:f>Analysis!$B$812:$B$814</c:f>
              <c:numCache>
                <c:formatCode>_(* #,##0_);_(* \(#,##0\);_(* "-"??_);_(@_)</c:formatCode>
                <c:ptCount val="3"/>
                <c:pt idx="0">
                  <c:v>2733.348898691831</c:v>
                </c:pt>
                <c:pt idx="1">
                  <c:v>4865.834922554538</c:v>
                </c:pt>
                <c:pt idx="2">
                  <c:v>6428.1473134970365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D-499E-9E70-63366C8A04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E3-4E9E-9D10-D41A01EB35F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E3-4E9E-9D10-D41A01EB35F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4E3-4E9E-9D10-D41A01EB35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Analysis!$A$821:$A$826</c:f>
              <c:strCache>
                <c:ptCount val="6"/>
                <c:pt idx="0">
                  <c:v>Opex synergies</c:v>
                </c:pt>
                <c:pt idx="1">
                  <c:v>Churn synergies</c:v>
                </c:pt>
                <c:pt idx="2">
                  <c:v>Revenue synergies</c:v>
                </c:pt>
                <c:pt idx="3">
                  <c:v>Synergies ex interest cost</c:v>
                </c:pt>
                <c:pt idx="4">
                  <c:v>Interest cost synergies</c:v>
                </c:pt>
                <c:pt idx="5">
                  <c:v>Total synergies</c:v>
                </c:pt>
              </c:strCache>
            </c:strRef>
          </c:cat>
          <c:val>
            <c:numRef>
              <c:f>Analysis!$B$821:$B$826</c:f>
              <c:numCache>
                <c:formatCode>_(* #,##0_);_(* \(#,##0\);_(* "-"??_);_(@_)</c:formatCode>
                <c:ptCount val="6"/>
                <c:pt idx="0">
                  <c:v>500</c:v>
                </c:pt>
                <c:pt idx="1">
                  <c:v>500</c:v>
                </c:pt>
                <c:pt idx="2">
                  <c:v>665</c:v>
                </c:pt>
                <c:pt idx="3">
                  <c:v>981</c:v>
                </c:pt>
                <c:pt idx="4">
                  <c:v>981</c:v>
                </c:pt>
                <c:pt idx="5">
                  <c:v>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D-477A-B5AE-72C659D0C9D1}"/>
            </c:ext>
          </c:extLst>
        </c:ser>
        <c:ser>
          <c:idx val="1"/>
          <c:order val="1"/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Analysis!$A$821:$A$826</c:f>
              <c:strCache>
                <c:ptCount val="6"/>
                <c:pt idx="0">
                  <c:v>Opex synergies</c:v>
                </c:pt>
                <c:pt idx="1">
                  <c:v>Churn synergies</c:v>
                </c:pt>
                <c:pt idx="2">
                  <c:v>Revenue synergies</c:v>
                </c:pt>
                <c:pt idx="3">
                  <c:v>Synergies ex interest cost</c:v>
                </c:pt>
                <c:pt idx="4">
                  <c:v>Interest cost synergies</c:v>
                </c:pt>
                <c:pt idx="5">
                  <c:v>Total synergies</c:v>
                </c:pt>
              </c:strCache>
            </c:strRef>
          </c:cat>
          <c:val>
            <c:numRef>
              <c:f>Analysis!$C$821:$C$826</c:f>
              <c:numCache>
                <c:formatCode>_(* #,##0_);_(* \(#,##0\);_(* "-"??_);_(@_)</c:formatCode>
                <c:ptCount val="6"/>
                <c:pt idx="1">
                  <c:v>165</c:v>
                </c:pt>
                <c:pt idx="2">
                  <c:v>316</c:v>
                </c:pt>
                <c:pt idx="4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DD-477A-B5AE-72C659D0C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4C-4FD5-B8AF-95BE0443CDD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4C-4FD5-B8AF-95BE0443CDD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04C-4FD5-B8AF-95BE0443CDD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04C-4FD5-B8AF-95BE0443CD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Analysis!$A$845:$A$852</c:f>
              <c:strCache>
                <c:ptCount val="8"/>
                <c:pt idx="0">
                  <c:v>Opex synergies</c:v>
                </c:pt>
                <c:pt idx="1">
                  <c:v>Churn synergies</c:v>
                </c:pt>
                <c:pt idx="2">
                  <c:v>Revenue synergies</c:v>
                </c:pt>
                <c:pt idx="3">
                  <c:v>Synergies ex interest cost</c:v>
                </c:pt>
                <c:pt idx="4">
                  <c:v>Interest cost synergies</c:v>
                </c:pt>
                <c:pt idx="5">
                  <c:v>Total synergies</c:v>
                </c:pt>
                <c:pt idx="6">
                  <c:v>CTA</c:v>
                </c:pt>
                <c:pt idx="7">
                  <c:v>Synergies less CTA</c:v>
                </c:pt>
              </c:strCache>
            </c:strRef>
          </c:cat>
          <c:val>
            <c:numRef>
              <c:f>Analysis!$B$845:$B$852</c:f>
              <c:numCache>
                <c:formatCode>_(* #,##0_);_(* \(#,##0\);_(* "-"??_);_(@_)</c:formatCode>
                <c:ptCount val="8"/>
                <c:pt idx="0">
                  <c:v>3318.348898691831</c:v>
                </c:pt>
                <c:pt idx="1">
                  <c:v>3318.348898691831</c:v>
                </c:pt>
                <c:pt idx="2">
                  <c:v>4413.4040352601351</c:v>
                </c:pt>
                <c:pt idx="3">
                  <c:v>6510.6005392333718</c:v>
                </c:pt>
                <c:pt idx="4">
                  <c:v>6510.6005392333718</c:v>
                </c:pt>
                <c:pt idx="5">
                  <c:v>9061.7805363051102</c:v>
                </c:pt>
                <c:pt idx="6">
                  <c:v>8476.7805363051102</c:v>
                </c:pt>
                <c:pt idx="7">
                  <c:v>8476.7805363051102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D-477A-B5AE-72C659D0C9D1}"/>
            </c:ext>
          </c:extLst>
        </c:ser>
        <c:ser>
          <c:idx val="1"/>
          <c:order val="1"/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Analysis!$A$845:$A$852</c:f>
              <c:strCache>
                <c:ptCount val="8"/>
                <c:pt idx="0">
                  <c:v>Opex synergies</c:v>
                </c:pt>
                <c:pt idx="1">
                  <c:v>Churn synergies</c:v>
                </c:pt>
                <c:pt idx="2">
                  <c:v>Revenue synergies</c:v>
                </c:pt>
                <c:pt idx="3">
                  <c:v>Synergies ex interest cost</c:v>
                </c:pt>
                <c:pt idx="4">
                  <c:v>Interest cost synergies</c:v>
                </c:pt>
                <c:pt idx="5">
                  <c:v>Total synergies</c:v>
                </c:pt>
                <c:pt idx="6">
                  <c:v>CTA</c:v>
                </c:pt>
                <c:pt idx="7">
                  <c:v>Synergies less CTA</c:v>
                </c:pt>
              </c:strCache>
            </c:strRef>
          </c:cat>
          <c:val>
            <c:numRef>
              <c:f>Analysis!$C$845:$C$852</c:f>
              <c:numCache>
                <c:formatCode>_(* #,##0_);_(* \(#,##0\);_(* "-"??_);_(@_)</c:formatCode>
                <c:ptCount val="8"/>
                <c:pt idx="1">
                  <c:v>1095.0551365683043</c:v>
                </c:pt>
                <c:pt idx="2">
                  <c:v>2097.1965039732372</c:v>
                </c:pt>
                <c:pt idx="4">
                  <c:v>2551.1799970717389</c:v>
                </c:pt>
                <c:pt idx="6">
                  <c:v>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DD-477A-B5AE-72C659D0C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Analysis!$A$682:$A$684</c:f>
              <c:strCache>
                <c:ptCount val="3"/>
                <c:pt idx="0">
                  <c:v>Current offer</c:v>
                </c:pt>
                <c:pt idx="1">
                  <c:v>Charter's trading value</c:v>
                </c:pt>
                <c:pt idx="2">
                  <c:v>Charter's trading value + fiber premium</c:v>
                </c:pt>
              </c:strCache>
            </c:strRef>
          </c:cat>
          <c:val>
            <c:numRef>
              <c:f>Analysis!$C$682:$C$684</c:f>
              <c:numCache>
                <c:formatCode>_(* #,##0.0_);_(* \(#,##0.0\);_(* "-"??_);_(@_)</c:formatCode>
                <c:ptCount val="3"/>
                <c:pt idx="0">
                  <c:v>20.256</c:v>
                </c:pt>
                <c:pt idx="1">
                  <c:v>21.6677</c:v>
                </c:pt>
                <c:pt idx="2">
                  <c:v>26.216900000000003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F6-410C-A47C-E3B161528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.0_);_(* \(#,##0.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9D-44BD-AB83-A46873BC16F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9D-44BD-AB83-A46873BC16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Analysis!$A$858:$A$861</c:f>
              <c:strCache>
                <c:ptCount val="4"/>
                <c:pt idx="0">
                  <c:v>Standalone value</c:v>
                </c:pt>
                <c:pt idx="1">
                  <c:v>Synergies ex interest cost</c:v>
                </c:pt>
                <c:pt idx="2">
                  <c:v>CTA</c:v>
                </c:pt>
                <c:pt idx="3">
                  <c:v>Transaction value</c:v>
                </c:pt>
              </c:strCache>
            </c:strRef>
          </c:cat>
          <c:val>
            <c:numRef>
              <c:f>Analysis!$B$858:$B$861</c:f>
              <c:numCache>
                <c:formatCode>_(* #,##0.0_);_(* \(#,##0.0\);_(* "-"??_);_(@_)</c:formatCode>
                <c:ptCount val="4"/>
                <c:pt idx="0">
                  <c:v>26.216900000000003</c:v>
                </c:pt>
                <c:pt idx="1">
                  <c:v>26.216900000000003</c:v>
                </c:pt>
                <c:pt idx="2">
                  <c:v>32.142500539233374</c:v>
                </c:pt>
                <c:pt idx="3">
                  <c:v>32.142500539233374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D-477A-B5AE-72C659D0C9D1}"/>
            </c:ext>
          </c:extLst>
        </c:ser>
        <c:ser>
          <c:idx val="1"/>
          <c:order val="1"/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1.0185067526415994E-16"/>
                  <c:y val="-5.09259259259259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Roboto" pitchFamily="2" charset="0"/>
                      <a:ea typeface="Roboto" pitchFamily="2" charset="0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9D-44BD-AB83-A46873BC1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Analysis!$A$858:$A$861</c:f>
              <c:strCache>
                <c:ptCount val="4"/>
                <c:pt idx="0">
                  <c:v>Standalone value</c:v>
                </c:pt>
                <c:pt idx="1">
                  <c:v>Synergies ex interest cost</c:v>
                </c:pt>
                <c:pt idx="2">
                  <c:v>CTA</c:v>
                </c:pt>
                <c:pt idx="3">
                  <c:v>Transaction value</c:v>
                </c:pt>
              </c:strCache>
            </c:strRef>
          </c:cat>
          <c:val>
            <c:numRef>
              <c:f>Analysis!$C$858:$C$861</c:f>
              <c:numCache>
                <c:formatCode>_(* #,##0.0_);_(* \(#,##0.0\);_(* "-"??_);_(@_)</c:formatCode>
                <c:ptCount val="4"/>
                <c:pt idx="1">
                  <c:v>6.5106005392333719</c:v>
                </c:pt>
                <c:pt idx="2">
                  <c:v>0.58499999999999996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DD-477A-B5AE-72C659D0C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in val="0"/>
        </c:scaling>
        <c:delete val="1"/>
        <c:axPos val="l"/>
        <c:numFmt formatCode="_(* #,##0.0_);_(* \(#,##0.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Analysis!$B$871</c:f>
              <c:strCache>
                <c:ptCount val="1"/>
                <c:pt idx="0">
                  <c:v>Standalone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Analysis!$A$872:$A$875</c:f>
              <c:strCache>
                <c:ptCount val="4"/>
                <c:pt idx="0">
                  <c:v>Standalone value</c:v>
                </c:pt>
                <c:pt idx="1">
                  <c:v>Standalone value + opex synergies</c:v>
                </c:pt>
                <c:pt idx="2">
                  <c:v>Standalone value + opex + revenue + churn synergies</c:v>
                </c:pt>
                <c:pt idx="3">
                  <c:v>Standalone value + opex + revenue + churn + interest cost synergies</c:v>
                </c:pt>
              </c:strCache>
            </c:strRef>
          </c:cat>
          <c:val>
            <c:numRef>
              <c:f>Analysis!$B$872:$B$875</c:f>
              <c:numCache>
                <c:formatCode>_(* #,##0.0_);_(* \(#,##0.0\);_(* "-"??_);_(@_)</c:formatCode>
                <c:ptCount val="4"/>
                <c:pt idx="0">
                  <c:v>26.216900000000003</c:v>
                </c:pt>
                <c:pt idx="1">
                  <c:v>26.216900000000003</c:v>
                </c:pt>
                <c:pt idx="2">
                  <c:v>26.216900000000003</c:v>
                </c:pt>
                <c:pt idx="3">
                  <c:v>26.216900000000003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D-477A-B5AE-72C659D0C9D1}"/>
            </c:ext>
          </c:extLst>
        </c:ser>
        <c:ser>
          <c:idx val="1"/>
          <c:order val="1"/>
          <c:tx>
            <c:strRef>
              <c:f>Analysis!$C$871</c:f>
              <c:strCache>
                <c:ptCount val="1"/>
                <c:pt idx="0">
                  <c:v>Synergies</c:v>
                </c:pt>
              </c:strCache>
            </c:strRef>
          </c:tx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Analysis!$A$872:$A$875</c:f>
              <c:strCache>
                <c:ptCount val="4"/>
                <c:pt idx="0">
                  <c:v>Standalone value</c:v>
                </c:pt>
                <c:pt idx="1">
                  <c:v>Standalone value + opex synergies</c:v>
                </c:pt>
                <c:pt idx="2">
                  <c:v>Standalone value + opex + revenue + churn synergies</c:v>
                </c:pt>
                <c:pt idx="3">
                  <c:v>Standalone value + opex + revenue + churn + interest cost synergies</c:v>
                </c:pt>
              </c:strCache>
            </c:strRef>
          </c:cat>
          <c:val>
            <c:numRef>
              <c:f>Analysis!$C$872:$C$875</c:f>
              <c:numCache>
                <c:formatCode>_(* #,##0.0_);_(* \(#,##0.0\);_(* "-"??_);_(@_)</c:formatCode>
                <c:ptCount val="4"/>
                <c:pt idx="1">
                  <c:v>2.7333488986918311</c:v>
                </c:pt>
                <c:pt idx="2">
                  <c:v>5.9256005392333728</c:v>
                </c:pt>
                <c:pt idx="3">
                  <c:v>8.4767805363051121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DD-477A-B5AE-72C659D0C9D1}"/>
            </c:ext>
          </c:extLst>
        </c:ser>
        <c:ser>
          <c:idx val="2"/>
          <c:order val="2"/>
          <c:tx>
            <c:strRef>
              <c:f>Analysis!$D$871</c:f>
              <c:strCache>
                <c:ptCount val="1"/>
                <c:pt idx="0">
                  <c:v>Total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Analysis!$A$872:$A$875</c:f>
              <c:strCache>
                <c:ptCount val="4"/>
                <c:pt idx="0">
                  <c:v>Standalone value</c:v>
                </c:pt>
                <c:pt idx="1">
                  <c:v>Standalone value + opex synergies</c:v>
                </c:pt>
                <c:pt idx="2">
                  <c:v>Standalone value + opex + revenue + churn synergies</c:v>
                </c:pt>
                <c:pt idx="3">
                  <c:v>Standalone value + opex + revenue + churn + interest cost synergies</c:v>
                </c:pt>
              </c:strCache>
            </c:strRef>
          </c:cat>
          <c:val>
            <c:numRef>
              <c:f>Analysis!$D$872:$D$875</c:f>
              <c:numCache>
                <c:formatCode>_(* #,##0.0_);_(* \(#,##0.0\);_(* "-"??_);_(@_)</c:formatCode>
                <c:ptCount val="4"/>
                <c:pt idx="0">
                  <c:v>26.216900000000003</c:v>
                </c:pt>
                <c:pt idx="1">
                  <c:v>28.950248898691832</c:v>
                </c:pt>
                <c:pt idx="2">
                  <c:v>32.142500539233374</c:v>
                </c:pt>
                <c:pt idx="3">
                  <c:v>34.693680536305116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DD-477A-B5AE-72C659D0C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40"/>
        </c:scaling>
        <c:delete val="1"/>
        <c:axPos val="l"/>
        <c:numFmt formatCode="_(* #,##0.0_);_(* \(#,##0.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Analysis!$B$871</c:f>
              <c:strCache>
                <c:ptCount val="1"/>
                <c:pt idx="0">
                  <c:v>Standalone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Analysis!$A$879:$A$882</c:f>
              <c:strCache>
                <c:ptCount val="4"/>
                <c:pt idx="0">
                  <c:v>Standalone value</c:v>
                </c:pt>
                <c:pt idx="1">
                  <c:v>Standalone value + opex synergies</c:v>
                </c:pt>
                <c:pt idx="2">
                  <c:v>Standalone value + opex + revenue + churn synergies</c:v>
                </c:pt>
                <c:pt idx="3">
                  <c:v>Standalone value + opex + revenue + churn + interest cost synergies</c:v>
                </c:pt>
              </c:strCache>
            </c:strRef>
          </c:cat>
          <c:val>
            <c:numRef>
              <c:f>Analysis!$B$879:$B$882</c:f>
              <c:numCache>
                <c:formatCode>_(* #,##0.0_);_(* \(#,##0.0\);_(* "-"??_);_(@_)</c:formatCode>
                <c:ptCount val="4"/>
                <c:pt idx="0">
                  <c:v>26.216900000000003</c:v>
                </c:pt>
                <c:pt idx="1">
                  <c:v>26.216900000000003</c:v>
                </c:pt>
                <c:pt idx="2">
                  <c:v>26.216900000000003</c:v>
                </c:pt>
                <c:pt idx="3">
                  <c:v>26.216900000000003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3-446E-AFCB-D1D2AB221F1E}"/>
            </c:ext>
          </c:extLst>
        </c:ser>
        <c:ser>
          <c:idx val="1"/>
          <c:order val="1"/>
          <c:tx>
            <c:strRef>
              <c:f>Analysis!$C$871</c:f>
              <c:strCache>
                <c:ptCount val="1"/>
                <c:pt idx="0">
                  <c:v>Synergies</c:v>
                </c:pt>
              </c:strCache>
            </c:strRef>
          </c:tx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Analysis!$A$879:$A$882</c:f>
              <c:strCache>
                <c:ptCount val="4"/>
                <c:pt idx="0">
                  <c:v>Standalone value</c:v>
                </c:pt>
                <c:pt idx="1">
                  <c:v>Standalone value + opex synergies</c:v>
                </c:pt>
                <c:pt idx="2">
                  <c:v>Standalone value + opex + revenue + churn synergies</c:v>
                </c:pt>
                <c:pt idx="3">
                  <c:v>Standalone value + opex + revenue + churn + interest cost synergies</c:v>
                </c:pt>
              </c:strCache>
            </c:strRef>
          </c:cat>
          <c:val>
            <c:numRef>
              <c:f>Analysis!$C$879:$C$882</c:f>
              <c:numCache>
                <c:formatCode>_(* #,##0.0_);_(* \(#,##0.0\);_(* "-"??_);_(@_)</c:formatCode>
                <c:ptCount val="4"/>
                <c:pt idx="1">
                  <c:v>1.0741744493459155</c:v>
                </c:pt>
                <c:pt idx="2">
                  <c:v>2.6703002696166864</c:v>
                </c:pt>
                <c:pt idx="3">
                  <c:v>3.9458902681525556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3-446E-AFCB-D1D2AB221F1E}"/>
            </c:ext>
          </c:extLst>
        </c:ser>
        <c:ser>
          <c:idx val="2"/>
          <c:order val="2"/>
          <c:tx>
            <c:strRef>
              <c:f>Analysis!$D$871</c:f>
              <c:strCache>
                <c:ptCount val="1"/>
                <c:pt idx="0">
                  <c:v>Total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Analysis!$A$879:$A$882</c:f>
              <c:strCache>
                <c:ptCount val="4"/>
                <c:pt idx="0">
                  <c:v>Standalone value</c:v>
                </c:pt>
                <c:pt idx="1">
                  <c:v>Standalone value + opex synergies</c:v>
                </c:pt>
                <c:pt idx="2">
                  <c:v>Standalone value + opex + revenue + churn synergies</c:v>
                </c:pt>
                <c:pt idx="3">
                  <c:v>Standalone value + opex + revenue + churn + interest cost synergies</c:v>
                </c:pt>
              </c:strCache>
            </c:strRef>
          </c:cat>
          <c:val>
            <c:numRef>
              <c:f>Analysis!$D$879:$D$882</c:f>
              <c:numCache>
                <c:formatCode>_(* #,##0.0_);_(* \(#,##0.0\);_(* "-"??_);_(@_)</c:formatCode>
                <c:ptCount val="4"/>
                <c:pt idx="0">
                  <c:v>26.216900000000003</c:v>
                </c:pt>
                <c:pt idx="1">
                  <c:v>27.291074449345917</c:v>
                </c:pt>
                <c:pt idx="2">
                  <c:v>28.887200269616688</c:v>
                </c:pt>
                <c:pt idx="3">
                  <c:v>30.162790268152559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3-446E-AFCB-D1D2AB221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40"/>
        </c:scaling>
        <c:delete val="1"/>
        <c:axPos val="l"/>
        <c:numFmt formatCode="_(* #,##0.0_);_(* \(#,##0.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Analysis!$A$899:$A$902</c:f>
              <c:strCache>
                <c:ptCount val="4"/>
                <c:pt idx="0">
                  <c:v>Standalone value</c:v>
                </c:pt>
                <c:pt idx="1">
                  <c:v>Standalone value + opex synergies</c:v>
                </c:pt>
                <c:pt idx="2">
                  <c:v>Standalone value + opex + revenue + churn synergies</c:v>
                </c:pt>
                <c:pt idx="3">
                  <c:v>Standalone value + opex + revenue + churn + interest cost synergies</c:v>
                </c:pt>
              </c:strCache>
            </c:strRef>
          </c:cat>
          <c:val>
            <c:numRef>
              <c:f>Analysis!$E$899:$E$902</c:f>
              <c:numCache>
                <c:formatCode>_(* #,##0_);_(* \(#,##0\);_(* "-"??_);_(@_)</c:formatCode>
                <c:ptCount val="4"/>
                <c:pt idx="0">
                  <c:v>3200.0000000000005</c:v>
                </c:pt>
                <c:pt idx="1">
                  <c:v>3341.6742877005959</c:v>
                </c:pt>
                <c:pt idx="2">
                  <c:v>3552.1894314978485</c:v>
                </c:pt>
                <c:pt idx="3">
                  <c:v>3720.4286821620367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D-499E-9E70-63366C8A04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in val="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Analysis!$T$3118</c:f>
              <c:strCache>
                <c:ptCount val="1"/>
                <c:pt idx="0">
                  <c:v>Frontier - All Markets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5.9190107488300454E-2"/>
                  <c:y val="-4.1250000000000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F6-4ACE-A960-73CEDC091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Analysis!$U$3115:$Y$3115</c:f>
              <c:strCache>
                <c:ptCount val="5"/>
                <c:pt idx="0">
                  <c:v>4Q20</c:v>
                </c:pt>
                <c:pt idx="1">
                  <c:v>1Q21</c:v>
                </c:pt>
                <c:pt idx="2">
                  <c:v>2Q21</c:v>
                </c:pt>
                <c:pt idx="3">
                  <c:v>3Q21</c:v>
                </c:pt>
                <c:pt idx="4">
                  <c:v>4Q21</c:v>
                </c:pt>
              </c:strCache>
            </c:strRef>
          </c:cat>
          <c:val>
            <c:numRef>
              <c:f>Analysis!$U$3118:$Y$3118</c:f>
              <c:numCache>
                <c:formatCode>0.00%</c:formatCode>
                <c:ptCount val="5"/>
                <c:pt idx="0">
                  <c:v>2.1900099801768838E-2</c:v>
                </c:pt>
                <c:pt idx="1">
                  <c:v>2.062615293067542E-2</c:v>
                </c:pt>
                <c:pt idx="2">
                  <c:v>2.1198510668767025E-2</c:v>
                </c:pt>
                <c:pt idx="3">
                  <c:v>2.5097174061433469E-2</c:v>
                </c:pt>
                <c:pt idx="4">
                  <c:v>2.5968112178654884E-2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F6-4ACE-A960-73CEDC09195A}"/>
            </c:ext>
          </c:extLst>
        </c:ser>
        <c:ser>
          <c:idx val="1"/>
          <c:order val="1"/>
          <c:tx>
            <c:strRef>
              <c:f>Analysis!$T$3121</c:f>
              <c:strCache>
                <c:ptCount val="1"/>
                <c:pt idx="0">
                  <c:v>Lumen - All Markets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3.9740260308528501E-2"/>
                  <c:y val="4.124999999999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F6-4ACE-A960-73CEDC091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Analysis!$U$3115:$Y$3115</c:f>
              <c:strCache>
                <c:ptCount val="5"/>
                <c:pt idx="0">
                  <c:v>4Q20</c:v>
                </c:pt>
                <c:pt idx="1">
                  <c:v>1Q21</c:v>
                </c:pt>
                <c:pt idx="2">
                  <c:v>2Q21</c:v>
                </c:pt>
                <c:pt idx="3">
                  <c:v>3Q21</c:v>
                </c:pt>
                <c:pt idx="4">
                  <c:v>4Q21</c:v>
                </c:pt>
              </c:strCache>
            </c:strRef>
          </c:cat>
          <c:val>
            <c:numRef>
              <c:f>Analysis!$U$3121:$Y$3121</c:f>
              <c:numCache>
                <c:formatCode>0.00%</c:formatCode>
                <c:ptCount val="5"/>
                <c:pt idx="0">
                  <c:v>2.3256060090306396E-2</c:v>
                </c:pt>
                <c:pt idx="1">
                  <c:v>2.8256666732816245E-2</c:v>
                </c:pt>
                <c:pt idx="2">
                  <c:v>2.5104187450980399E-2</c:v>
                </c:pt>
                <c:pt idx="3">
                  <c:v>2.3804865515857084E-2</c:v>
                </c:pt>
                <c:pt idx="4">
                  <c:v>2.1875136677115988E-2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F6-4ACE-A960-73CEDC091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9607871"/>
        <c:axId val="1929607039"/>
      </c:lineChart>
      <c:catAx>
        <c:axId val="1929607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929607039"/>
        <c:crosses val="autoZero"/>
        <c:auto val="1"/>
        <c:lblAlgn val="ctr"/>
        <c:lblOffset val="100"/>
        <c:noMultiLvlLbl val="0"/>
      </c:catAx>
      <c:valAx>
        <c:axId val="1929607039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1929607871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800" b="0" i="0" u="none" strike="noStrike" baseline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Analysis!$A$899:$A$902</c:f>
              <c:strCache>
                <c:ptCount val="4"/>
                <c:pt idx="0">
                  <c:v>Standalone value</c:v>
                </c:pt>
                <c:pt idx="1">
                  <c:v>Standalone value + opex synergies</c:v>
                </c:pt>
                <c:pt idx="2">
                  <c:v>Standalone value + opex + revenue + churn synergies</c:v>
                </c:pt>
                <c:pt idx="3">
                  <c:v>Standalone value + opex + revenue + churn + interest cost synergies</c:v>
                </c:pt>
              </c:strCache>
            </c:strRef>
          </c:cat>
          <c:val>
            <c:numRef>
              <c:f>Analysis!$F$899:$F$902</c:f>
              <c:numCache>
                <c:formatCode>_(* #,##0.0_);_(* \(#,##0.0\);_(* "-"??_);_(@_)</c:formatCode>
                <c:ptCount val="4"/>
                <c:pt idx="0">
                  <c:v>17.014305750350633</c:v>
                </c:pt>
                <c:pt idx="1">
                  <c:v>17.767583765319717</c:v>
                </c:pt>
                <c:pt idx="2">
                  <c:v>18.88688658458393</c:v>
                </c:pt>
                <c:pt idx="3">
                  <c:v>19.781409725212175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D-499E-9E70-63366C8A04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in val="0"/>
        </c:scaling>
        <c:delete val="1"/>
        <c:axPos val="l"/>
        <c:numFmt formatCode="_(* #,##0.0_);_(* \(#,##0.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76-4FCE-82D4-6DD49E0F3F6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76-4FCE-82D4-6DD49E0F3F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Analysis!$A$925:$A$929</c:f>
              <c:strCache>
                <c:ptCount val="5"/>
                <c:pt idx="0">
                  <c:v>Fiber locations</c:v>
                </c:pt>
                <c:pt idx="1">
                  <c:v>Copper locations</c:v>
                </c:pt>
                <c:pt idx="2">
                  <c:v>EV</c:v>
                </c:pt>
                <c:pt idx="3">
                  <c:v>Net debt</c:v>
                </c:pt>
                <c:pt idx="4">
                  <c:v>Equity value</c:v>
                </c:pt>
              </c:strCache>
            </c:strRef>
          </c:cat>
          <c:val>
            <c:numRef>
              <c:f>Analysis!$B$925:$B$929</c:f>
              <c:numCache>
                <c:formatCode>_(* #,##0_);_(* \(#,##0\);_(* "-"??_);_(@_)</c:formatCode>
                <c:ptCount val="5"/>
                <c:pt idx="0">
                  <c:v>21104.799999999999</c:v>
                </c:pt>
                <c:pt idx="1">
                  <c:v>21104.799999999999</c:v>
                </c:pt>
                <c:pt idx="2">
                  <c:v>23195.8</c:v>
                </c:pt>
                <c:pt idx="3">
                  <c:v>12949.8</c:v>
                </c:pt>
                <c:pt idx="4">
                  <c:v>12949.8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D-477A-B5AE-72C659D0C9D1}"/>
            </c:ext>
          </c:extLst>
        </c:ser>
        <c:ser>
          <c:idx val="1"/>
          <c:order val="1"/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Analysis!$A$925:$A$929</c:f>
              <c:strCache>
                <c:ptCount val="5"/>
                <c:pt idx="0">
                  <c:v>Fiber locations</c:v>
                </c:pt>
                <c:pt idx="1">
                  <c:v>Copper locations</c:v>
                </c:pt>
                <c:pt idx="2">
                  <c:v>EV</c:v>
                </c:pt>
                <c:pt idx="3">
                  <c:v>Net debt</c:v>
                </c:pt>
                <c:pt idx="4">
                  <c:v>Equity value</c:v>
                </c:pt>
              </c:strCache>
            </c:strRef>
          </c:cat>
          <c:val>
            <c:numRef>
              <c:f>Analysis!$C$925:$C$929</c:f>
              <c:numCache>
                <c:formatCode>_(* #,##0_);_(* \(#,##0\);_(* "-"??_);_(@_)</c:formatCode>
                <c:ptCount val="5"/>
                <c:pt idx="1">
                  <c:v>2091</c:v>
                </c:pt>
                <c:pt idx="3">
                  <c:v>10246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DD-477A-B5AE-72C659D0C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400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EE4-4CEF-84D0-07188E4810B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E4-4CEF-84D0-07188E4810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Analysis!$A$946:$A$950</c:f>
              <c:strCache>
                <c:ptCount val="5"/>
                <c:pt idx="0">
                  <c:v>Fiber locations</c:v>
                </c:pt>
                <c:pt idx="1">
                  <c:v>Copper locations</c:v>
                </c:pt>
                <c:pt idx="2">
                  <c:v>EV</c:v>
                </c:pt>
                <c:pt idx="3">
                  <c:v>Net debt</c:v>
                </c:pt>
                <c:pt idx="4">
                  <c:v>Equity value</c:v>
                </c:pt>
              </c:strCache>
            </c:strRef>
          </c:cat>
          <c:val>
            <c:numRef>
              <c:f>Analysis!$B$946:$B$950</c:f>
              <c:numCache>
                <c:formatCode>_(* #,##0_);_(* \(#,##0\);_(* "-"??_);_(@_)</c:formatCode>
                <c:ptCount val="5"/>
                <c:pt idx="0">
                  <c:v>37931.599999999999</c:v>
                </c:pt>
                <c:pt idx="1">
                  <c:v>37931.599999999999</c:v>
                </c:pt>
                <c:pt idx="2">
                  <c:v>40022.6</c:v>
                </c:pt>
                <c:pt idx="3">
                  <c:v>29776.6</c:v>
                </c:pt>
                <c:pt idx="4">
                  <c:v>29776.6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EE4-4CEF-84D0-07188E4810B4}"/>
            </c:ext>
          </c:extLst>
        </c:ser>
        <c:ser>
          <c:idx val="1"/>
          <c:order val="1"/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Analysis!$A$946:$A$950</c:f>
              <c:strCache>
                <c:ptCount val="5"/>
                <c:pt idx="0">
                  <c:v>Fiber locations</c:v>
                </c:pt>
                <c:pt idx="1">
                  <c:v>Copper locations</c:v>
                </c:pt>
                <c:pt idx="2">
                  <c:v>EV</c:v>
                </c:pt>
                <c:pt idx="3">
                  <c:v>Net debt</c:v>
                </c:pt>
                <c:pt idx="4">
                  <c:v>Equity value</c:v>
                </c:pt>
              </c:strCache>
            </c:strRef>
          </c:cat>
          <c:val>
            <c:numRef>
              <c:f>Analysis!$C$946:$C$950</c:f>
              <c:numCache>
                <c:formatCode>_(* #,##0_);_(* \(#,##0\);_(* "-"??_);_(@_)</c:formatCode>
                <c:ptCount val="5"/>
                <c:pt idx="1">
                  <c:v>2091</c:v>
                </c:pt>
                <c:pt idx="3">
                  <c:v>10246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EE4-4CEF-84D0-07188E481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400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Analysis!$B$333:$K$333</c:f>
              <c:numCache>
                <c:formatCode>General</c:formatCode>
                <c:ptCount val="1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</c:numCache>
            </c:numRef>
          </c:cat>
          <c:val>
            <c:numRef>
              <c:f>Analysis!$B$335:$K$335</c:f>
              <c:numCache>
                <c:formatCode>_(* #,##0_);_(* \(#,##0\);_(* "-"??_);_(@_)</c:formatCode>
                <c:ptCount val="10"/>
                <c:pt idx="0">
                  <c:v>5876</c:v>
                </c:pt>
                <c:pt idx="1">
                  <c:v>5967</c:v>
                </c:pt>
                <c:pt idx="2">
                  <c:v>6185</c:v>
                </c:pt>
                <c:pt idx="3">
                  <c:v>6390</c:v>
                </c:pt>
                <c:pt idx="4">
                  <c:v>6576</c:v>
                </c:pt>
                <c:pt idx="5">
                  <c:v>6774</c:v>
                </c:pt>
                <c:pt idx="6">
                  <c:v>6971</c:v>
                </c:pt>
                <c:pt idx="7">
                  <c:v>7173</c:v>
                </c:pt>
                <c:pt idx="8">
                  <c:v>7369</c:v>
                </c:pt>
                <c:pt idx="9">
                  <c:v>7585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D-499E-9E70-63366C8A04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Analysis!$B$333:$K$333</c:f>
              <c:numCache>
                <c:formatCode>General</c:formatCode>
                <c:ptCount val="1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</c:numCache>
            </c:numRef>
          </c:cat>
          <c:val>
            <c:numRef>
              <c:f>Analysis!$B$339:$K$339</c:f>
              <c:numCache>
                <c:formatCode>_(* #,##0_);_(* \(#,##0\);_(* "-"??_);_(@_)</c:formatCode>
                <c:ptCount val="10"/>
                <c:pt idx="0">
                  <c:v>2250</c:v>
                </c:pt>
                <c:pt idx="1">
                  <c:v>2393</c:v>
                </c:pt>
                <c:pt idx="2">
                  <c:v>2637</c:v>
                </c:pt>
                <c:pt idx="3">
                  <c:v>2988</c:v>
                </c:pt>
                <c:pt idx="4">
                  <c:v>3283</c:v>
                </c:pt>
                <c:pt idx="5">
                  <c:v>3514</c:v>
                </c:pt>
                <c:pt idx="6">
                  <c:v>3735</c:v>
                </c:pt>
                <c:pt idx="7">
                  <c:v>3955</c:v>
                </c:pt>
                <c:pt idx="8">
                  <c:v>4158</c:v>
                </c:pt>
                <c:pt idx="9">
                  <c:v>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F1-48A9-BC6A-3C29353394C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80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Analysis!$B$333:$K$333</c:f>
              <c:numCache>
                <c:formatCode>General</c:formatCode>
                <c:ptCount val="1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</c:numCache>
            </c:numRef>
          </c:cat>
          <c:val>
            <c:numRef>
              <c:f>Analysis!$B$348:$K$348</c:f>
              <c:numCache>
                <c:formatCode>_(* #,##0_);_(* \(#,##0\);_(* "-"??_);_(@_)</c:formatCode>
                <c:ptCount val="10"/>
                <c:pt idx="0">
                  <c:v>3190</c:v>
                </c:pt>
                <c:pt idx="1">
                  <c:v>3185</c:v>
                </c:pt>
                <c:pt idx="2">
                  <c:v>3080</c:v>
                </c:pt>
                <c:pt idx="3">
                  <c:v>1937</c:v>
                </c:pt>
                <c:pt idx="4">
                  <c:v>1612</c:v>
                </c:pt>
                <c:pt idx="5">
                  <c:v>1538</c:v>
                </c:pt>
                <c:pt idx="6">
                  <c:v>1520</c:v>
                </c:pt>
                <c:pt idx="7">
                  <c:v>1511</c:v>
                </c:pt>
                <c:pt idx="8">
                  <c:v>1510</c:v>
                </c:pt>
                <c:pt idx="9">
                  <c:v>1498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3E-4B99-9DF9-0B8654C65B8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in val="-10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Analysis!$B$333:$K$333</c:f>
              <c:numCache>
                <c:formatCode>General</c:formatCode>
                <c:ptCount val="1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</c:numCache>
            </c:numRef>
          </c:cat>
          <c:val>
            <c:numRef>
              <c:f>Analysis!$B$352:$K$352</c:f>
              <c:numCache>
                <c:formatCode>_(* #,##0_);_(* \(#,##0\);_(* "-"??_);_(@_)</c:formatCode>
                <c:ptCount val="10"/>
                <c:pt idx="0">
                  <c:v>-812</c:v>
                </c:pt>
                <c:pt idx="1">
                  <c:v>-661</c:v>
                </c:pt>
                <c:pt idx="2">
                  <c:v>-536</c:v>
                </c:pt>
                <c:pt idx="3">
                  <c:v>945</c:v>
                </c:pt>
                <c:pt idx="4">
                  <c:v>1539</c:v>
                </c:pt>
                <c:pt idx="5">
                  <c:v>1844</c:v>
                </c:pt>
                <c:pt idx="6">
                  <c:v>2051</c:v>
                </c:pt>
                <c:pt idx="7">
                  <c:v>2279</c:v>
                </c:pt>
                <c:pt idx="8">
                  <c:v>2483</c:v>
                </c:pt>
                <c:pt idx="9">
                  <c:v>2717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40-4EF9-A7FD-0F225A65C40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3500"/>
          <c:min val="-10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Analysis!$B$333:$K$333</c:f>
              <c:numCache>
                <c:formatCode>General</c:formatCode>
                <c:ptCount val="1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</c:numCache>
            </c:numRef>
          </c:cat>
          <c:val>
            <c:numRef>
              <c:f>Analysis!$B$336:$K$336</c:f>
              <c:numCache>
                <c:formatCode>_(* #,##0_);_(* \(#,##0\);_(* "-"??_);_(@_)</c:formatCode>
                <c:ptCount val="10"/>
                <c:pt idx="0">
                  <c:v>5876</c:v>
                </c:pt>
                <c:pt idx="1">
                  <c:v>5967</c:v>
                </c:pt>
                <c:pt idx="2">
                  <c:v>6218</c:v>
                </c:pt>
                <c:pt idx="3">
                  <c:v>6600</c:v>
                </c:pt>
                <c:pt idx="4">
                  <c:v>7113</c:v>
                </c:pt>
                <c:pt idx="5">
                  <c:v>7608</c:v>
                </c:pt>
                <c:pt idx="6">
                  <c:v>8042</c:v>
                </c:pt>
                <c:pt idx="7">
                  <c:v>8441</c:v>
                </c:pt>
                <c:pt idx="8">
                  <c:v>8798</c:v>
                </c:pt>
                <c:pt idx="9">
                  <c:v>9145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E9-4D7C-BFEB-DBFCBC95E97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Analysis!$B$333:$K$333</c:f>
              <c:numCache>
                <c:formatCode>General</c:formatCode>
                <c:ptCount val="1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</c:numCache>
            </c:numRef>
          </c:cat>
          <c:val>
            <c:numRef>
              <c:f>Analysis!$B$340:$K$340</c:f>
              <c:numCache>
                <c:formatCode>_(* #,##0_);_(* \(#,##0\);_(* "-"??_);_(@_)</c:formatCode>
                <c:ptCount val="10"/>
                <c:pt idx="0">
                  <c:v>2250</c:v>
                </c:pt>
                <c:pt idx="1">
                  <c:v>2378</c:v>
                </c:pt>
                <c:pt idx="2">
                  <c:v>2565</c:v>
                </c:pt>
                <c:pt idx="3">
                  <c:v>2902</c:v>
                </c:pt>
                <c:pt idx="4">
                  <c:v>3413</c:v>
                </c:pt>
                <c:pt idx="5">
                  <c:v>3925</c:v>
                </c:pt>
                <c:pt idx="6">
                  <c:v>4378</c:v>
                </c:pt>
                <c:pt idx="7">
                  <c:v>4779</c:v>
                </c:pt>
                <c:pt idx="8">
                  <c:v>5136</c:v>
                </c:pt>
                <c:pt idx="9">
                  <c:v>5486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EC-4200-8F11-ECE28764B28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100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Analysis!$B$333:$K$333</c:f>
              <c:numCache>
                <c:formatCode>General</c:formatCode>
                <c:ptCount val="1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</c:numCache>
            </c:numRef>
          </c:cat>
          <c:val>
            <c:numRef>
              <c:f>Analysis!$B$349:$K$349</c:f>
              <c:numCache>
                <c:formatCode>_(* #,##0_);_(* \(#,##0\);_(* "-"??_);_(@_)</c:formatCode>
                <c:ptCount val="10"/>
                <c:pt idx="0">
                  <c:v>3190</c:v>
                </c:pt>
                <c:pt idx="1">
                  <c:v>3185</c:v>
                </c:pt>
                <c:pt idx="2">
                  <c:v>3877</c:v>
                </c:pt>
                <c:pt idx="3">
                  <c:v>4385</c:v>
                </c:pt>
                <c:pt idx="4">
                  <c:v>3512</c:v>
                </c:pt>
                <c:pt idx="5">
                  <c:v>2157</c:v>
                </c:pt>
                <c:pt idx="6">
                  <c:v>1899</c:v>
                </c:pt>
                <c:pt idx="7">
                  <c:v>1809</c:v>
                </c:pt>
                <c:pt idx="8">
                  <c:v>1678</c:v>
                </c:pt>
                <c:pt idx="9">
                  <c:v>1627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5B-450C-A4EF-33C43A60863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in val="-20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Analysis!$A$2410:$A$2412</c:f>
              <c:strCache>
                <c:ptCount val="3"/>
                <c:pt idx="0">
                  <c:v>Copper</c:v>
                </c:pt>
                <c:pt idx="1">
                  <c:v>Fiber Today</c:v>
                </c:pt>
                <c:pt idx="2">
                  <c:v>Fiber At Terminal Penetration</c:v>
                </c:pt>
              </c:strCache>
            </c:strRef>
          </c:cat>
          <c:val>
            <c:numRef>
              <c:f>Analysis!$C$2410:$C$2412</c:f>
              <c:numCache>
                <c:formatCode>_(* #,##0.0_);_(* \(#,##0.0\);_(* "-"??_);_(@_)</c:formatCode>
                <c:ptCount val="3"/>
                <c:pt idx="0">
                  <c:v>3.0023041474654377</c:v>
                </c:pt>
                <c:pt idx="1">
                  <c:v>16.769839142091151</c:v>
                </c:pt>
                <c:pt idx="2">
                  <c:v>9.4285714285714288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D-499E-9E70-63366C8A04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.0_);_(* \(#,##0.0\);_(* &quot;-&quot;??_);_(@_)" sourceLinked="1"/>
        <c:majorTickMark val="none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Analysis!$B$333:$K$333</c:f>
              <c:numCache>
                <c:formatCode>General</c:formatCode>
                <c:ptCount val="1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</c:numCache>
            </c:numRef>
          </c:cat>
          <c:val>
            <c:numRef>
              <c:f>Analysis!$B$353:$K$353</c:f>
              <c:numCache>
                <c:formatCode>_(* #,##0_);_(* \(#,##0\);_(* "-"??_);_(@_)</c:formatCode>
                <c:ptCount val="10"/>
                <c:pt idx="0">
                  <c:v>-940</c:v>
                </c:pt>
                <c:pt idx="1">
                  <c:v>-807</c:v>
                </c:pt>
                <c:pt idx="2">
                  <c:v>-1312</c:v>
                </c:pt>
                <c:pt idx="3">
                  <c:v>-1483</c:v>
                </c:pt>
                <c:pt idx="4">
                  <c:v>-99</c:v>
                </c:pt>
                <c:pt idx="5">
                  <c:v>1768</c:v>
                </c:pt>
                <c:pt idx="6">
                  <c:v>2479</c:v>
                </c:pt>
                <c:pt idx="7">
                  <c:v>2970</c:v>
                </c:pt>
                <c:pt idx="8">
                  <c:v>3458</c:v>
                </c:pt>
                <c:pt idx="9">
                  <c:v>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33-49FE-AD99-18B39F1A563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50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Analysis!$B$397:$K$397</c:f>
              <c:numCache>
                <c:formatCode>General</c:formatCode>
                <c:ptCount val="1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</c:numCache>
            </c:numRef>
          </c:cat>
          <c:val>
            <c:numRef>
              <c:f>Analysis!$B$398:$K$398</c:f>
              <c:numCache>
                <c:formatCode>_(* #,##0_);_(* \(#,##0\);_(* "-"??_);_(@_)</c:formatCode>
                <c:ptCount val="10"/>
                <c:pt idx="0">
                  <c:v>7791</c:v>
                </c:pt>
                <c:pt idx="1">
                  <c:v>9091</c:v>
                </c:pt>
                <c:pt idx="2">
                  <c:v>10383.439984041866</c:v>
                </c:pt>
                <c:pt idx="3">
                  <c:v>10362.44811350561</c:v>
                </c:pt>
                <c:pt idx="4">
                  <c:v>10626.030295685212</c:v>
                </c:pt>
                <c:pt idx="5">
                  <c:v>10557.391560430002</c:v>
                </c:pt>
                <c:pt idx="6">
                  <c:v>10816.043594004932</c:v>
                </c:pt>
                <c:pt idx="7">
                  <c:v>10753.136986183614</c:v>
                </c:pt>
                <c:pt idx="8">
                  <c:v>10689.19689234153</c:v>
                </c:pt>
                <c:pt idx="9">
                  <c:v>10622.581107696014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D-499E-9E70-63366C8A04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Analysis!$B$397:$K$397</c:f>
              <c:numCache>
                <c:formatCode>General</c:formatCode>
                <c:ptCount val="1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</c:numCache>
            </c:numRef>
          </c:cat>
          <c:val>
            <c:numRef>
              <c:f>Analysis!$B$399:$K$399</c:f>
              <c:numCache>
                <c:formatCode>_(* #,##0_);_(* \(#,##0\);_(* "-"??_);_(@_)</c:formatCode>
                <c:ptCount val="10"/>
                <c:pt idx="0">
                  <c:v>2084.9965744183646</c:v>
                </c:pt>
                <c:pt idx="1">
                  <c:v>2868.4858133255166</c:v>
                </c:pt>
                <c:pt idx="2">
                  <c:v>3082.8363170768216</c:v>
                </c:pt>
                <c:pt idx="3">
                  <c:v>3739.2119941375549</c:v>
                </c:pt>
                <c:pt idx="4">
                  <c:v>3697.1947676552672</c:v>
                </c:pt>
                <c:pt idx="5">
                  <c:v>4216.7435148737159</c:v>
                </c:pt>
                <c:pt idx="6">
                  <c:v>4050.889537160213</c:v>
                </c:pt>
                <c:pt idx="7">
                  <c:v>4485.0523662297064</c:v>
                </c:pt>
                <c:pt idx="8">
                  <c:v>4847.4160259051032</c:v>
                </c:pt>
                <c:pt idx="9">
                  <c:v>5149.854219738434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22-4CF5-8196-C359ABD2FDD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120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Analysis!$B$397:$K$397</c:f>
              <c:numCache>
                <c:formatCode>General</c:formatCode>
                <c:ptCount val="1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</c:numCache>
            </c:numRef>
          </c:cat>
          <c:val>
            <c:numRef>
              <c:f>Analysis!$B$405:$K$405</c:f>
              <c:numCache>
                <c:formatCode>_(* #,##0_);_(* \(#,##0\);_(* "-"??_);_(@_)</c:formatCode>
                <c:ptCount val="10"/>
                <c:pt idx="0">
                  <c:v>7791</c:v>
                </c:pt>
                <c:pt idx="1">
                  <c:v>9091</c:v>
                </c:pt>
                <c:pt idx="2">
                  <c:v>10736.565733006457</c:v>
                </c:pt>
                <c:pt idx="3">
                  <c:v>11631.640300797133</c:v>
                </c:pt>
                <c:pt idx="4">
                  <c:v>12609.477037960954</c:v>
                </c:pt>
                <c:pt idx="5">
                  <c:v>12895.578387584505</c:v>
                </c:pt>
                <c:pt idx="6">
                  <c:v>13355.066934321478</c:v>
                </c:pt>
                <c:pt idx="7">
                  <c:v>13498.940330981561</c:v>
                </c:pt>
                <c:pt idx="8">
                  <c:v>13509.089385983487</c:v>
                </c:pt>
                <c:pt idx="9">
                  <c:v>13540.803863324942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C9-4BC9-9E69-A58C467F9A3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Analysis!$B$397:$K$397</c:f>
              <c:numCache>
                <c:formatCode>General</c:formatCode>
                <c:ptCount val="1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</c:numCache>
            </c:numRef>
          </c:cat>
          <c:val>
            <c:numRef>
              <c:f>Analysis!$B$406:$K$406</c:f>
              <c:numCache>
                <c:formatCode>_(* #,##0_);_(* \(#,##0\);_(* "-"??_);_(@_)</c:formatCode>
                <c:ptCount val="10"/>
                <c:pt idx="0">
                  <c:v>2084.9965744183646</c:v>
                </c:pt>
                <c:pt idx="1">
                  <c:v>2868.4858133255166</c:v>
                </c:pt>
                <c:pt idx="2">
                  <c:v>3155.6387115610364</c:v>
                </c:pt>
                <c:pt idx="3">
                  <c:v>4119.6242712508765</c:v>
                </c:pt>
                <c:pt idx="4">
                  <c:v>4446.0641726505291</c:v>
                </c:pt>
                <c:pt idx="5">
                  <c:v>5172.4727864880679</c:v>
                </c:pt>
                <c:pt idx="6">
                  <c:v>5219.1771363222651</c:v>
                </c:pt>
                <c:pt idx="7">
                  <c:v>5754.1142440638414</c:v>
                </c:pt>
                <c:pt idx="8">
                  <c:v>6240.052098412938</c:v>
                </c:pt>
                <c:pt idx="9">
                  <c:v>6572.257023409602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C6-4040-93F3-F5377D7CD2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Analysis!$A$411</c:f>
              <c:strCache>
                <c:ptCount val="1"/>
                <c:pt idx="0">
                  <c:v>Non-BEAD locations</c:v>
                </c:pt>
              </c:strCache>
            </c:strRef>
          </c:tx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Analysis!$B$404:$K$404</c:f>
              <c:numCache>
                <c:formatCode>General</c:formatCode>
                <c:ptCount val="1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</c:numCache>
            </c:numRef>
          </c:cat>
          <c:val>
            <c:numRef>
              <c:f>Analysis!$B$411:$K$411</c:f>
              <c:numCache>
                <c:formatCode>_(* #,##0_);_(* \(#,##0\);_(* "-"??_);_(@_)</c:formatCode>
                <c:ptCount val="10"/>
                <c:pt idx="0">
                  <c:v>7791</c:v>
                </c:pt>
                <c:pt idx="1">
                  <c:v>9091</c:v>
                </c:pt>
                <c:pt idx="2">
                  <c:v>10586.565733006457</c:v>
                </c:pt>
                <c:pt idx="3">
                  <c:v>10981.640300797133</c:v>
                </c:pt>
                <c:pt idx="4">
                  <c:v>11609.477037960954</c:v>
                </c:pt>
                <c:pt idx="5">
                  <c:v>11869.578387584505</c:v>
                </c:pt>
                <c:pt idx="6">
                  <c:v>12329.066934321478</c:v>
                </c:pt>
                <c:pt idx="7">
                  <c:v>12472.940330981561</c:v>
                </c:pt>
                <c:pt idx="8">
                  <c:v>12483.089385983487</c:v>
                </c:pt>
                <c:pt idx="9">
                  <c:v>12514.803863324942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DD-477A-B5AE-72C659D0C9D1}"/>
            </c:ext>
          </c:extLst>
        </c:ser>
        <c:ser>
          <c:idx val="0"/>
          <c:order val="1"/>
          <c:tx>
            <c:strRef>
              <c:f>Analysis!$A$410</c:f>
              <c:strCache>
                <c:ptCount val="1"/>
                <c:pt idx="0">
                  <c:v>BEAD locations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Analysis!$B$404:$K$404</c:f>
              <c:numCache>
                <c:formatCode>General</c:formatCode>
                <c:ptCount val="1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</c:numCache>
            </c:numRef>
          </c:cat>
          <c:val>
            <c:numRef>
              <c:f>Analysis!$B$410:$K$410</c:f>
              <c:numCache>
                <c:formatCode>_(* #,##0_);_(* \(#,##0\);_(* "-"??_);_(@_)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150</c:v>
                </c:pt>
                <c:pt idx="3">
                  <c:v>650</c:v>
                </c:pt>
                <c:pt idx="4">
                  <c:v>1000</c:v>
                </c:pt>
                <c:pt idx="5">
                  <c:v>1026</c:v>
                </c:pt>
                <c:pt idx="6">
                  <c:v>1026</c:v>
                </c:pt>
                <c:pt idx="7">
                  <c:v>1026</c:v>
                </c:pt>
                <c:pt idx="8">
                  <c:v>1026</c:v>
                </c:pt>
                <c:pt idx="9">
                  <c:v>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D-477A-B5AE-72C659D0C9D1}"/>
            </c:ext>
          </c:extLst>
        </c:ser>
        <c:ser>
          <c:idx val="2"/>
          <c:order val="2"/>
          <c:tx>
            <c:v>Series3</c:v>
          </c:tx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Analysis!$B$404:$K$404</c:f>
              <c:numCache>
                <c:formatCode>General</c:formatCode>
                <c:ptCount val="1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</c:numCache>
            </c:numRef>
          </c:cat>
          <c:val>
            <c:numRef>
              <c:f>Analysis!$B$412:$K$412</c:f>
              <c:numCache>
                <c:formatCode>_(* #,##0_);_(* \(#,##0\);_(* "-"??_);_(@_)</c:formatCode>
                <c:ptCount val="10"/>
                <c:pt idx="0">
                  <c:v>7791</c:v>
                </c:pt>
                <c:pt idx="1">
                  <c:v>9091</c:v>
                </c:pt>
                <c:pt idx="2">
                  <c:v>10736.565733006457</c:v>
                </c:pt>
                <c:pt idx="3">
                  <c:v>11631.640300797133</c:v>
                </c:pt>
                <c:pt idx="4">
                  <c:v>12609.477037960954</c:v>
                </c:pt>
                <c:pt idx="5">
                  <c:v>12895.578387584505</c:v>
                </c:pt>
                <c:pt idx="6">
                  <c:v>13355.066934321478</c:v>
                </c:pt>
                <c:pt idx="7">
                  <c:v>13498.940330981561</c:v>
                </c:pt>
                <c:pt idx="8">
                  <c:v>13509.089385983487</c:v>
                </c:pt>
                <c:pt idx="9">
                  <c:v>13540.803863324942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DD-477A-B5AE-72C659D0C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150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Analysis!$A$414</c:f>
              <c:strCache>
                <c:ptCount val="1"/>
                <c:pt idx="0">
                  <c:v>Non-BEAD customers</c:v>
                </c:pt>
              </c:strCache>
            </c:strRef>
          </c:tx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Analysis!$B$404:$K$404</c:f>
              <c:numCache>
                <c:formatCode>General</c:formatCode>
                <c:ptCount val="1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</c:numCache>
            </c:numRef>
          </c:cat>
          <c:val>
            <c:numRef>
              <c:f>Analysis!$B$414:$K$414</c:f>
              <c:numCache>
                <c:formatCode>_(* #,##0_);_(* \(#,##0\);_(* "-"??_);_(@_)</c:formatCode>
                <c:ptCount val="10"/>
                <c:pt idx="0">
                  <c:v>2084.9965744183646</c:v>
                </c:pt>
                <c:pt idx="1">
                  <c:v>2868.4858133255166</c:v>
                </c:pt>
                <c:pt idx="2">
                  <c:v>3118.1387115610364</c:v>
                </c:pt>
                <c:pt idx="3">
                  <c:v>3927.1242712508765</c:v>
                </c:pt>
                <c:pt idx="4">
                  <c:v>4051.0641726505291</c:v>
                </c:pt>
                <c:pt idx="5">
                  <c:v>4641.9727864880679</c:v>
                </c:pt>
                <c:pt idx="6">
                  <c:v>4612.4771363222653</c:v>
                </c:pt>
                <c:pt idx="7">
                  <c:v>5099.3142440638412</c:v>
                </c:pt>
                <c:pt idx="8">
                  <c:v>5551.6920984129374</c:v>
                </c:pt>
                <c:pt idx="9">
                  <c:v>5860.8570234096014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7D-492A-9C97-5272D0DFDC62}"/>
            </c:ext>
          </c:extLst>
        </c:ser>
        <c:ser>
          <c:idx val="0"/>
          <c:order val="1"/>
          <c:tx>
            <c:strRef>
              <c:f>Analysis!$A$413</c:f>
              <c:strCache>
                <c:ptCount val="1"/>
                <c:pt idx="0">
                  <c:v>BEAD customers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Analysis!$B$404:$K$404</c:f>
              <c:numCache>
                <c:formatCode>General</c:formatCode>
                <c:ptCount val="1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</c:numCache>
            </c:numRef>
          </c:cat>
          <c:val>
            <c:numRef>
              <c:f>Analysis!$B$413:$K$413</c:f>
              <c:numCache>
                <c:formatCode>_(* #,##0_);_(* \(#,##0\);_(* "-"??_);_(@_)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37.5</c:v>
                </c:pt>
                <c:pt idx="3">
                  <c:v>192.5</c:v>
                </c:pt>
                <c:pt idx="4">
                  <c:v>395</c:v>
                </c:pt>
                <c:pt idx="5">
                  <c:v>530.5</c:v>
                </c:pt>
                <c:pt idx="6">
                  <c:v>606.70000000000005</c:v>
                </c:pt>
                <c:pt idx="7">
                  <c:v>654.80000000000007</c:v>
                </c:pt>
                <c:pt idx="8">
                  <c:v>688.36000000000013</c:v>
                </c:pt>
                <c:pt idx="9">
                  <c:v>711.4000000000002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7D-492A-9C97-5272D0DFDC62}"/>
            </c:ext>
          </c:extLst>
        </c:ser>
        <c:ser>
          <c:idx val="2"/>
          <c:order val="2"/>
          <c:tx>
            <c:v>Series3</c:v>
          </c:tx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Analysis!$B$404:$K$404</c:f>
              <c:numCache>
                <c:formatCode>General</c:formatCode>
                <c:ptCount val="1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</c:numCache>
            </c:numRef>
          </c:cat>
          <c:val>
            <c:numRef>
              <c:f>Analysis!$B$415:$K$415</c:f>
              <c:numCache>
                <c:formatCode>_(* #,##0_);_(* \(#,##0\);_(* "-"??_);_(@_)</c:formatCode>
                <c:ptCount val="10"/>
                <c:pt idx="0">
                  <c:v>2084.9965744183646</c:v>
                </c:pt>
                <c:pt idx="1">
                  <c:v>2868.4858133255166</c:v>
                </c:pt>
                <c:pt idx="2">
                  <c:v>3155.6387115610364</c:v>
                </c:pt>
                <c:pt idx="3">
                  <c:v>4119.6242712508765</c:v>
                </c:pt>
                <c:pt idx="4">
                  <c:v>4446.0641726505291</c:v>
                </c:pt>
                <c:pt idx="5">
                  <c:v>5172.4727864880679</c:v>
                </c:pt>
                <c:pt idx="6">
                  <c:v>5219.1771363222651</c:v>
                </c:pt>
                <c:pt idx="7">
                  <c:v>5754.1142440638414</c:v>
                </c:pt>
                <c:pt idx="8">
                  <c:v>6240.052098412938</c:v>
                </c:pt>
                <c:pt idx="9">
                  <c:v>6572.257023409602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7D-492A-9C97-5272D0DFD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150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'mini-model-charts'!$A$5:$A$8</c:f>
              <c:strCache>
                <c:ptCount val="4"/>
                <c:pt idx="0">
                  <c:v>Fiber locations</c:v>
                </c:pt>
                <c:pt idx="1">
                  <c:v>Fiber broadband customers</c:v>
                </c:pt>
                <c:pt idx="2">
                  <c:v>EBITDA</c:v>
                </c:pt>
                <c:pt idx="3">
                  <c:v>UFCF</c:v>
                </c:pt>
              </c:strCache>
            </c:strRef>
          </c:cat>
          <c:val>
            <c:numRef>
              <c:f>'mini-model-charts'!$B$5:$B$8</c:f>
              <c:numCache>
                <c:formatCode>_(* #,##0_);_(* \(#,##0\);_(* "-"??_);_(@_)</c:formatCode>
                <c:ptCount val="4"/>
                <c:pt idx="0">
                  <c:v>6491</c:v>
                </c:pt>
                <c:pt idx="1">
                  <c:v>2007</c:v>
                </c:pt>
                <c:pt idx="2">
                  <c:v>2127</c:v>
                </c:pt>
                <c:pt idx="3">
                  <c:v>-965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D-499E-9E70-63366C8A04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120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'mini-model-charts'!$A$5:$A$8</c:f>
              <c:strCache>
                <c:ptCount val="4"/>
                <c:pt idx="0">
                  <c:v>Fiber locations</c:v>
                </c:pt>
                <c:pt idx="1">
                  <c:v>Fiber broadband customers</c:v>
                </c:pt>
                <c:pt idx="2">
                  <c:v>EBITDA</c:v>
                </c:pt>
                <c:pt idx="3">
                  <c:v>UFCF</c:v>
                </c:pt>
              </c:strCache>
            </c:strRef>
          </c:cat>
          <c:val>
            <c:numRef>
              <c:f>'mini-model-charts'!$C$5:$C$8</c:f>
              <c:numCache>
                <c:formatCode>_(* #,##0_);_(* \(#,##0\);_(* "-"??_);_(@_)</c:formatCode>
                <c:ptCount val="4"/>
                <c:pt idx="0">
                  <c:v>10000</c:v>
                </c:pt>
                <c:pt idx="1">
                  <c:v>4500</c:v>
                </c:pt>
                <c:pt idx="2">
                  <c:v>4000</c:v>
                </c:pt>
                <c:pt idx="3">
                  <c:v>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23-417F-A54D-33E3394C774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in val="-20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'mini-model-charts'!$A$32:$A$35</c:f>
              <c:strCache>
                <c:ptCount val="4"/>
                <c:pt idx="0">
                  <c:v>Fiber locations</c:v>
                </c:pt>
                <c:pt idx="1">
                  <c:v>Fiber broadband customers</c:v>
                </c:pt>
                <c:pt idx="2">
                  <c:v>EBITDA</c:v>
                </c:pt>
                <c:pt idx="3">
                  <c:v>UFCF</c:v>
                </c:pt>
              </c:strCache>
            </c:strRef>
          </c:cat>
          <c:val>
            <c:numRef>
              <c:f>'mini-model-charts'!$B$32:$B$35</c:f>
              <c:numCache>
                <c:formatCode>_(* #,##0_);_(* \(#,##0\);_(* "-"??_);_(@_)</c:formatCode>
                <c:ptCount val="4"/>
                <c:pt idx="0">
                  <c:v>621</c:v>
                </c:pt>
                <c:pt idx="1">
                  <c:v>286</c:v>
                </c:pt>
                <c:pt idx="2">
                  <c:v>290.15074399999997</c:v>
                </c:pt>
                <c:pt idx="3">
                  <c:v>180.58836261982262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13-4960-B1BE-F6044C868D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35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Analysis!$B$1919:$I$1919</c:f>
              <c:strCache>
                <c:ptCount val="8"/>
                <c:pt idx="0">
                  <c:v>1Q23</c:v>
                </c:pt>
                <c:pt idx="1">
                  <c:v>2Q23</c:v>
                </c:pt>
                <c:pt idx="2">
                  <c:v>3Q23</c:v>
                </c:pt>
                <c:pt idx="3">
                  <c:v>4Q23</c:v>
                </c:pt>
                <c:pt idx="4">
                  <c:v>1Q24</c:v>
                </c:pt>
                <c:pt idx="5">
                  <c:v>2Q24</c:v>
                </c:pt>
                <c:pt idx="6">
                  <c:v>3Q24</c:v>
                </c:pt>
                <c:pt idx="7">
                  <c:v>4Q24</c:v>
                </c:pt>
              </c:strCache>
            </c:strRef>
          </c:cat>
          <c:val>
            <c:numRef>
              <c:f>Analysis!$B$1920:$I$1920</c:f>
              <c:numCache>
                <c:formatCode>0.0%</c:formatCode>
                <c:ptCount val="8"/>
                <c:pt idx="0">
                  <c:v>1.9646365422396839E-2</c:v>
                </c:pt>
                <c:pt idx="1">
                  <c:v>-3.7383177570093906E-3</c:v>
                </c:pt>
                <c:pt idx="2">
                  <c:v>3.5433070866141669E-2</c:v>
                </c:pt>
                <c:pt idx="3">
                  <c:v>3.9772727272727293E-2</c:v>
                </c:pt>
                <c:pt idx="4">
                  <c:v>5.3949903660886367E-2</c:v>
                </c:pt>
                <c:pt idx="5">
                  <c:v>5.065666041275807E-2</c:v>
                </c:pt>
                <c:pt idx="6">
                  <c:v>4.3726235741444963E-2</c:v>
                </c:pt>
                <c:pt idx="7">
                  <c:v>8.3788706739526431E-2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D-499E-9E70-63366C8A04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'mini-model-charts'!$A$32:$A$35</c:f>
              <c:strCache>
                <c:ptCount val="4"/>
                <c:pt idx="0">
                  <c:v>Fiber locations</c:v>
                </c:pt>
                <c:pt idx="1">
                  <c:v>Fiber broadband customers</c:v>
                </c:pt>
                <c:pt idx="2">
                  <c:v>EBITDA</c:v>
                </c:pt>
                <c:pt idx="3">
                  <c:v>UFCF</c:v>
                </c:pt>
              </c:strCache>
            </c:strRef>
          </c:cat>
          <c:val>
            <c:numRef>
              <c:f>'mini-model-charts'!$C$32:$C$35</c:f>
              <c:numCache>
                <c:formatCode>_(* #,##0_);_(* \(#,##0\);_(* "-"??_);_(@_)</c:formatCode>
                <c:ptCount val="4"/>
                <c:pt idx="0">
                  <c:v>3223</c:v>
                </c:pt>
                <c:pt idx="1">
                  <c:v>1434.2350000000001</c:v>
                </c:pt>
                <c:pt idx="2">
                  <c:v>1078.4699697066869</c:v>
                </c:pt>
                <c:pt idx="3">
                  <c:v>720.09897990915056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9F-4C5B-8574-87E3A54B765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'mini-model-charts'!$A$76:$A$79</c:f>
              <c:strCache>
                <c:ptCount val="4"/>
                <c:pt idx="0">
                  <c:v>Fiber locations</c:v>
                </c:pt>
                <c:pt idx="1">
                  <c:v>Fiber broadband customers</c:v>
                </c:pt>
                <c:pt idx="2">
                  <c:v>EBITDA</c:v>
                </c:pt>
                <c:pt idx="3">
                  <c:v>UFCF</c:v>
                </c:pt>
              </c:strCache>
            </c:strRef>
          </c:cat>
          <c:val>
            <c:numRef>
              <c:f>'mini-model-charts'!$B$76:$B$79</c:f>
              <c:numCache>
                <c:formatCode>_(* #,##0_);_(* \(#,##0\);_(* "-"??_);_(@_)</c:formatCode>
                <c:ptCount val="4"/>
                <c:pt idx="0">
                  <c:v>10000</c:v>
                </c:pt>
                <c:pt idx="1">
                  <c:v>4500</c:v>
                </c:pt>
                <c:pt idx="2">
                  <c:v>3572.0115413735289</c:v>
                </c:pt>
                <c:pt idx="3">
                  <c:v>2526.5123850709138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91-47B3-BFAD-CFE9E094711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'mini-model-charts'!$A$76:$A$79</c:f>
              <c:strCache>
                <c:ptCount val="4"/>
                <c:pt idx="0">
                  <c:v>Fiber locations</c:v>
                </c:pt>
                <c:pt idx="1">
                  <c:v>Fiber broadband customers</c:v>
                </c:pt>
                <c:pt idx="2">
                  <c:v>EBITDA</c:v>
                </c:pt>
                <c:pt idx="3">
                  <c:v>UFCF</c:v>
                </c:pt>
              </c:strCache>
            </c:strRef>
          </c:cat>
          <c:val>
            <c:numRef>
              <c:f>'mini-model-charts'!$C$76:$C$79</c:f>
              <c:numCache>
                <c:formatCode>_(* #,##0_);_(* \(#,##0\);_(* "-"??_);_(@_)</c:formatCode>
                <c:ptCount val="4"/>
                <c:pt idx="0">
                  <c:v>11275.993266672434</c:v>
                </c:pt>
                <c:pt idx="1">
                  <c:v>5074.1969700025957</c:v>
                </c:pt>
                <c:pt idx="2">
                  <c:v>4006.2575890812604</c:v>
                </c:pt>
                <c:pt idx="3">
                  <c:v>2675.5115552946754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49-4D22-8E73-6B86559997F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'mini-model-charts'!$A$50:$A$53</c:f>
              <c:strCache>
                <c:ptCount val="4"/>
                <c:pt idx="0">
                  <c:v>Fiber locations</c:v>
                </c:pt>
                <c:pt idx="1">
                  <c:v>Fiber broadband customers</c:v>
                </c:pt>
                <c:pt idx="2">
                  <c:v>EBITDA</c:v>
                </c:pt>
                <c:pt idx="3">
                  <c:v>UFCF</c:v>
                </c:pt>
              </c:strCache>
            </c:strRef>
          </c:cat>
          <c:val>
            <c:numRef>
              <c:f>'mini-model-charts'!$B$50:$B$53</c:f>
              <c:numCache>
                <c:formatCode>_(* #,##0_);_(* \(#,##0\);_(* "-"??_);_(@_)</c:formatCode>
                <c:ptCount val="4"/>
                <c:pt idx="0">
                  <c:v>10000</c:v>
                </c:pt>
                <c:pt idx="1">
                  <c:v>4605.4750402576492</c:v>
                </c:pt>
                <c:pt idx="2">
                  <c:v>4895.3457099022216</c:v>
                </c:pt>
                <c:pt idx="3">
                  <c:v>3816.8630420199693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04-42F8-920C-60DC70CE415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'mini-model-charts'!$A$50:$A$53</c:f>
              <c:strCache>
                <c:ptCount val="4"/>
                <c:pt idx="0">
                  <c:v>Fiber locations</c:v>
                </c:pt>
                <c:pt idx="1">
                  <c:v>Fiber broadband customers</c:v>
                </c:pt>
                <c:pt idx="2">
                  <c:v>EBITDA</c:v>
                </c:pt>
                <c:pt idx="3">
                  <c:v>UFCF</c:v>
                </c:pt>
              </c:strCache>
            </c:strRef>
          </c:cat>
          <c:val>
            <c:numRef>
              <c:f>'mini-model-charts'!$C$50:$C$53</c:f>
              <c:numCache>
                <c:formatCode>_(* #,##0_);_(* \(#,##0\);_(* "-"??_);_(@_)</c:formatCode>
                <c:ptCount val="4"/>
                <c:pt idx="0">
                  <c:v>10000</c:v>
                </c:pt>
                <c:pt idx="1">
                  <c:v>4450.0000000000009</c:v>
                </c:pt>
                <c:pt idx="2">
                  <c:v>4188.7351344634244</c:v>
                </c:pt>
                <c:pt idx="3">
                  <c:v>3057.2001509875863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E3-478E-8647-828F98B8445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'mini-model-charts'!$B$130:$C$130</c:f>
              <c:strCache>
                <c:ptCount val="2"/>
                <c:pt idx="0">
                  <c:v>Copper</c:v>
                </c:pt>
                <c:pt idx="1">
                  <c:v>Fiber</c:v>
                </c:pt>
              </c:strCache>
            </c:strRef>
          </c:cat>
          <c:val>
            <c:numRef>
              <c:f>'mini-model-charts'!$B$131:$C$131</c:f>
              <c:numCache>
                <c:formatCode>_(* #,##0.00_);_(* \(#,##0.00\);_(* "-"??_);_(@_)</c:formatCode>
                <c:ptCount val="2"/>
                <c:pt idx="0">
                  <c:v>19.754870129870131</c:v>
                </c:pt>
                <c:pt idx="1">
                  <c:v>19.754870129870131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D-499E-9E70-63366C8A04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'mini-model-charts'!$A$136:$A$138</c:f>
              <c:strCache>
                <c:ptCount val="3"/>
                <c:pt idx="0">
                  <c:v>Variable cost per customer</c:v>
                </c:pt>
                <c:pt idx="1">
                  <c:v>Fixed cost per copper location</c:v>
                </c:pt>
                <c:pt idx="2">
                  <c:v>Fixed cost per fiber location</c:v>
                </c:pt>
              </c:strCache>
            </c:strRef>
          </c:cat>
          <c:val>
            <c:numRef>
              <c:f>'mini-model-charts'!$B$136:$B$138</c:f>
              <c:numCache>
                <c:formatCode>_(* #,##0.00_);_(* \(#,##0.00\);_(* "-"??_);_(@_)</c:formatCode>
                <c:ptCount val="3"/>
                <c:pt idx="0">
                  <c:v>15</c:v>
                </c:pt>
                <c:pt idx="1">
                  <c:v>15.266558441558441</c:v>
                </c:pt>
                <c:pt idx="2">
                  <c:v>15.266558441558441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D-499E-9E70-63366C8A04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20"/>
          <c:min val="0"/>
        </c:scaling>
        <c:delete val="1"/>
        <c:axPos val="l"/>
        <c:numFmt formatCode="_(* #,##0.00_);_(* \(#,##0.0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'mini-model-charts'!$A$198</c:f>
              <c:strCache>
                <c:ptCount val="1"/>
                <c:pt idx="0">
                  <c:v>Equity value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'mini-model-charts'!$B$197:$F$197</c:f>
              <c:strCache>
                <c:ptCount val="5"/>
                <c:pt idx="0">
                  <c:v>Conservative case</c:v>
                </c:pt>
                <c:pt idx="1">
                  <c:v>Base case</c:v>
                </c:pt>
                <c:pt idx="2">
                  <c:v>Base fiber markets</c:v>
                </c:pt>
                <c:pt idx="3">
                  <c:v>Dallas</c:v>
                </c:pt>
                <c:pt idx="4">
                  <c:v>Steady state target</c:v>
                </c:pt>
              </c:strCache>
            </c:strRef>
          </c:cat>
          <c:val>
            <c:numRef>
              <c:f>'mini-model-charts'!$B$198:$F$198</c:f>
              <c:numCache>
                <c:formatCode>_(* #,##0_);_(* \(#,##0\);_(* "-"??_);_(@_)</c:formatCode>
                <c:ptCount val="5"/>
                <c:pt idx="0">
                  <c:v>10388.089228525447</c:v>
                </c:pt>
                <c:pt idx="1">
                  <c:v>11699.97941191644</c:v>
                </c:pt>
                <c:pt idx="2">
                  <c:v>13624.383739086468</c:v>
                </c:pt>
                <c:pt idx="3">
                  <c:v>22093.801848961444</c:v>
                </c:pt>
                <c:pt idx="4">
                  <c:v>12633.984658432284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8-4F8F-B4BB-438BA61CB014}"/>
            </c:ext>
          </c:extLst>
        </c:ser>
        <c:ser>
          <c:idx val="1"/>
          <c:order val="1"/>
          <c:tx>
            <c:strRef>
              <c:f>'mini-model-charts'!$A$199</c:f>
              <c:strCache>
                <c:ptCount val="1"/>
                <c:pt idx="0">
                  <c:v>Impact of discounting</c:v>
                </c:pt>
              </c:strCache>
            </c:strRef>
          </c:tx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'mini-model-charts'!$B$197:$F$197</c:f>
              <c:strCache>
                <c:ptCount val="5"/>
                <c:pt idx="0">
                  <c:v>Conservative case</c:v>
                </c:pt>
                <c:pt idx="1">
                  <c:v>Base case</c:v>
                </c:pt>
                <c:pt idx="2">
                  <c:v>Base fiber markets</c:v>
                </c:pt>
                <c:pt idx="3">
                  <c:v>Dallas</c:v>
                </c:pt>
                <c:pt idx="4">
                  <c:v>Steady state target</c:v>
                </c:pt>
              </c:strCache>
            </c:strRef>
          </c:cat>
          <c:val>
            <c:numRef>
              <c:f>'mini-model-charts'!$B$199:$F$199</c:f>
              <c:numCache>
                <c:formatCode>_(* #,##0_);_(* \(#,##0\);_(* "-"??_);_(@_)</c:formatCode>
                <c:ptCount val="5"/>
                <c:pt idx="0">
                  <c:v>7300.647988286777</c:v>
                </c:pt>
                <c:pt idx="1">
                  <c:v>8222.6316387474035</c:v>
                </c:pt>
                <c:pt idx="2">
                  <c:v>9575.0842670156453</c:v>
                </c:pt>
                <c:pt idx="3">
                  <c:v>15527.308870172546</c:v>
                </c:pt>
                <c:pt idx="4">
                  <c:v>8879.0414340445823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88-4F8F-B4BB-438BA61CB014}"/>
            </c:ext>
          </c:extLst>
        </c:ser>
        <c:ser>
          <c:idx val="2"/>
          <c:order val="2"/>
          <c:tx>
            <c:strRef>
              <c:f>'mini-model-charts'!$A$200</c:f>
              <c:strCache>
                <c:ptCount val="1"/>
                <c:pt idx="0">
                  <c:v>Cash burn</c:v>
                </c:pt>
              </c:strCache>
            </c:strRef>
          </c:tx>
          <c:spPr>
            <a:solidFill>
              <a:srgbClr val="617D8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'mini-model-charts'!$B$197:$F$197</c:f>
              <c:strCache>
                <c:ptCount val="5"/>
                <c:pt idx="0">
                  <c:v>Conservative case</c:v>
                </c:pt>
                <c:pt idx="1">
                  <c:v>Base case</c:v>
                </c:pt>
                <c:pt idx="2">
                  <c:v>Base fiber markets</c:v>
                </c:pt>
                <c:pt idx="3">
                  <c:v>Dallas</c:v>
                </c:pt>
                <c:pt idx="4">
                  <c:v>Steady state target</c:v>
                </c:pt>
              </c:strCache>
            </c:strRef>
          </c:cat>
          <c:val>
            <c:numRef>
              <c:f>'mini-model-charts'!$B$200:$F$200</c:f>
              <c:numCache>
                <c:formatCode>#,##0_);\(#,##0\)</c:formatCode>
                <c:ptCount val="5"/>
                <c:pt idx="0">
                  <c:v>3417.955249149084</c:v>
                </c:pt>
                <c:pt idx="1">
                  <c:v>3417.955249149084</c:v>
                </c:pt>
                <c:pt idx="2">
                  <c:v>3417.955249149084</c:v>
                </c:pt>
                <c:pt idx="3">
                  <c:v>3417.955249149084</c:v>
                </c:pt>
                <c:pt idx="4">
                  <c:v>3417.955249149084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88-4F8F-B4BB-438BA61CB014}"/>
            </c:ext>
          </c:extLst>
        </c:ser>
        <c:ser>
          <c:idx val="3"/>
          <c:order val="3"/>
          <c:tx>
            <c:strRef>
              <c:f>'mini-model-charts'!$A$201</c:f>
              <c:strCache>
                <c:ptCount val="1"/>
                <c:pt idx="0">
                  <c:v>Net debt</c:v>
                </c:pt>
              </c:strCache>
            </c:strRef>
          </c:tx>
          <c:spPr>
            <a:solidFill>
              <a:srgbClr val="91A4A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'mini-model-charts'!$B$197:$F$197</c:f>
              <c:strCache>
                <c:ptCount val="5"/>
                <c:pt idx="0">
                  <c:v>Conservative case</c:v>
                </c:pt>
                <c:pt idx="1">
                  <c:v>Base case</c:v>
                </c:pt>
                <c:pt idx="2">
                  <c:v>Base fiber markets</c:v>
                </c:pt>
                <c:pt idx="3">
                  <c:v>Dallas</c:v>
                </c:pt>
                <c:pt idx="4">
                  <c:v>Steady state target</c:v>
                </c:pt>
              </c:strCache>
            </c:strRef>
          </c:cat>
          <c:val>
            <c:numRef>
              <c:f>'mini-model-charts'!$B$201:$F$201</c:f>
              <c:numCache>
                <c:formatCode>#,##0_);\(#,##0\)</c:formatCode>
                <c:ptCount val="5"/>
                <c:pt idx="0">
                  <c:v>10811</c:v>
                </c:pt>
                <c:pt idx="1">
                  <c:v>10811</c:v>
                </c:pt>
                <c:pt idx="2">
                  <c:v>10811</c:v>
                </c:pt>
                <c:pt idx="3">
                  <c:v>10811</c:v>
                </c:pt>
                <c:pt idx="4">
                  <c:v>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88-4F8F-B4BB-438BA61CB014}"/>
            </c:ext>
          </c:extLst>
        </c:ser>
        <c:ser>
          <c:idx val="4"/>
          <c:order val="4"/>
          <c:tx>
            <c:strRef>
              <c:f>'mini-model-charts'!$A$202</c:f>
              <c:strCache>
                <c:ptCount val="1"/>
                <c:pt idx="0">
                  <c:v>Enterprise value</c:v>
                </c:pt>
              </c:strCache>
            </c:strRef>
          </c:tx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4D4D4D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'mini-model-charts'!$B$197:$F$197</c:f>
              <c:strCache>
                <c:ptCount val="5"/>
                <c:pt idx="0">
                  <c:v>Conservative case</c:v>
                </c:pt>
                <c:pt idx="1">
                  <c:v>Base case</c:v>
                </c:pt>
                <c:pt idx="2">
                  <c:v>Base fiber markets</c:v>
                </c:pt>
                <c:pt idx="3">
                  <c:v>Dallas</c:v>
                </c:pt>
                <c:pt idx="4">
                  <c:v>Steady state target</c:v>
                </c:pt>
              </c:strCache>
            </c:strRef>
          </c:cat>
          <c:val>
            <c:numRef>
              <c:f>'mini-model-charts'!$B$202:$F$202</c:f>
              <c:numCache>
                <c:formatCode>_(* #,##0_);_(* \(#,##0\);_(* "-"??_);_(@_)</c:formatCode>
                <c:ptCount val="5"/>
                <c:pt idx="0">
                  <c:v>31917.692465961307</c:v>
                </c:pt>
                <c:pt idx="1">
                  <c:v>34151.566299812926</c:v>
                </c:pt>
                <c:pt idx="2">
                  <c:v>37428.423255251197</c:v>
                </c:pt>
                <c:pt idx="3">
                  <c:v>51850.065968283074</c:v>
                </c:pt>
                <c:pt idx="4">
                  <c:v>35741.981341625949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88-4F8F-B4BB-438BA61CB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350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'mini-model-charts'!$A$239:$A$241</c:f>
              <c:strCache>
                <c:ptCount val="3"/>
                <c:pt idx="0">
                  <c:v>Revenue growth</c:v>
                </c:pt>
                <c:pt idx="1">
                  <c:v>EBITDA growth</c:v>
                </c:pt>
                <c:pt idx="2">
                  <c:v>UFCF growth</c:v>
                </c:pt>
              </c:strCache>
            </c:strRef>
          </c:cat>
          <c:val>
            <c:numRef>
              <c:f>'mini-model-charts'!$B$239:$B$241</c:f>
              <c:numCache>
                <c:formatCode>0.0%</c:formatCode>
                <c:ptCount val="3"/>
                <c:pt idx="0">
                  <c:v>2.1364813701382213E-2</c:v>
                </c:pt>
                <c:pt idx="1">
                  <c:v>4.1010466649448851E-2</c:v>
                </c:pt>
                <c:pt idx="2">
                  <c:v>5.7981057624949761E-2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0-49CA-941F-096E87D2D4E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5160607"/>
        <c:axId val="1495161855"/>
        <c:extLst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itchFamily="2" charset="0"/>
                <a:ea typeface="Roboto" pitchFamily="2" charset="0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263238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263238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'mini-model-charts'!$D$256:$D$263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xVal>
          <c:yVal>
            <c:numRef>
              <c:f>'mini-model-charts'!$E$256:$E$263</c:f>
              <c:numCache>
                <c:formatCode>0.0\x</c:formatCode>
                <c:ptCount val="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36-4E02-93CC-76D839B8B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2825151"/>
        <c:axId val="1052830559"/>
      </c:scatterChart>
      <c:valAx>
        <c:axId val="1052825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Terminal EBITDA Growth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2830559"/>
        <c:crossesAt val="0"/>
        <c:crossBetween val="midCat"/>
      </c:valAx>
      <c:valAx>
        <c:axId val="105283055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Exit EV / EBITDA Multiple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2825151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Analysis!$A$1841:$A$1844</c:f>
              <c:strCache>
                <c:ptCount val="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Total</c:v>
                </c:pt>
              </c:strCache>
            </c:strRef>
          </c:cat>
          <c:val>
            <c:numRef>
              <c:f>Analysis!$B$1841:$B$1844</c:f>
              <c:numCache>
                <c:formatCode>_(* #,##0_);_(* \(#,##0\);_(* "-"??_);_(@_)</c:formatCode>
                <c:ptCount val="4"/>
                <c:pt idx="0">
                  <c:v>1651</c:v>
                </c:pt>
                <c:pt idx="1">
                  <c:v>1651</c:v>
                </c:pt>
                <c:pt idx="2">
                  <c:v>3489.206734041808</c:v>
                </c:pt>
                <c:pt idx="3">
                  <c:v>5068.955249149084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D-477A-B5AE-72C659D0C9D1}"/>
            </c:ext>
          </c:extLst>
        </c:ser>
        <c:ser>
          <c:idx val="1"/>
          <c:order val="1"/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Analysis!$A$1841:$A$1844</c:f>
              <c:strCache>
                <c:ptCount val="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Total</c:v>
                </c:pt>
              </c:strCache>
            </c:strRef>
          </c:cat>
          <c:val>
            <c:numRef>
              <c:f>Analysis!$C$1841:$C$1844</c:f>
              <c:numCache>
                <c:formatCode>_(* #,##0_);_(* \(#,##0\);_(* "-"??_);_(@_)</c:formatCode>
                <c:ptCount val="4"/>
                <c:pt idx="1">
                  <c:v>1838.2067340418082</c:v>
                </c:pt>
                <c:pt idx="2">
                  <c:v>1579.7485151072758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DD-477A-B5AE-72C659D0C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'mini-model-charts'!$A$292</c:f>
              <c:strCache>
                <c:ptCount val="1"/>
                <c:pt idx="0">
                  <c:v>Equity value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'mini-model-charts'!$B$291:$F$291</c:f>
              <c:strCache>
                <c:ptCount val="5"/>
                <c:pt idx="0">
                  <c:v>Flat B&amp;W with no cost cuts</c:v>
                </c:pt>
                <c:pt idx="1">
                  <c:v>Flat B&amp;W with cost cuts (base case)</c:v>
                </c:pt>
                <c:pt idx="2">
                  <c:v>Base fiber markets</c:v>
                </c:pt>
                <c:pt idx="3">
                  <c:v>Dallas</c:v>
                </c:pt>
                <c:pt idx="4">
                  <c:v>Steady state target</c:v>
                </c:pt>
              </c:strCache>
            </c:strRef>
          </c:cat>
          <c:val>
            <c:numRef>
              <c:f>'mini-model-charts'!$B$292:$F$292</c:f>
              <c:numCache>
                <c:formatCode>_(* #,##0_);_(* \(#,##0\);_(* "-"??_);_(@_)</c:formatCode>
                <c:ptCount val="5"/>
                <c:pt idx="0">
                  <c:v>12739.276631198793</c:v>
                </c:pt>
                <c:pt idx="1">
                  <c:v>14215.723071998271</c:v>
                </c:pt>
                <c:pt idx="2">
                  <c:v>16381.514047097358</c:v>
                </c:pt>
                <c:pt idx="3">
                  <c:v>25913.289177577688</c:v>
                </c:pt>
                <c:pt idx="4">
                  <c:v>15266.884776968023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B4-4408-8D66-37F84FDC8A81}"/>
            </c:ext>
          </c:extLst>
        </c:ser>
        <c:ser>
          <c:idx val="1"/>
          <c:order val="1"/>
          <c:tx>
            <c:strRef>
              <c:f>'mini-model-charts'!$A$293</c:f>
              <c:strCache>
                <c:ptCount val="1"/>
                <c:pt idx="0">
                  <c:v>Impact of discounting</c:v>
                </c:pt>
              </c:strCache>
            </c:strRef>
          </c:tx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'mini-model-charts'!$B$291:$F$291</c:f>
              <c:strCache>
                <c:ptCount val="5"/>
                <c:pt idx="0">
                  <c:v>Flat B&amp;W with no cost cuts</c:v>
                </c:pt>
                <c:pt idx="1">
                  <c:v>Flat B&amp;W with cost cuts (base case)</c:v>
                </c:pt>
                <c:pt idx="2">
                  <c:v>Base fiber markets</c:v>
                </c:pt>
                <c:pt idx="3">
                  <c:v>Dallas</c:v>
                </c:pt>
                <c:pt idx="4">
                  <c:v>Steady state target</c:v>
                </c:pt>
              </c:strCache>
            </c:strRef>
          </c:cat>
          <c:val>
            <c:numRef>
              <c:f>'mini-model-charts'!$B$293:$F$293</c:f>
              <c:numCache>
                <c:formatCode>_(* #,##0_);_(* \(#,##0\);_(* "-"??_);_(@_)</c:formatCode>
                <c:ptCount val="5"/>
                <c:pt idx="0">
                  <c:v>8953.0396075536937</c:v>
                </c:pt>
                <c:pt idx="1">
                  <c:v>9990.6717938692436</c:v>
                </c:pt>
                <c:pt idx="2">
                  <c:v>11512.768608554694</c:v>
                </c:pt>
                <c:pt idx="3">
                  <c:v>18211.607384415009</c:v>
                </c:pt>
                <c:pt idx="4">
                  <c:v>10729.418007723323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B4-4408-8D66-37F84FDC8A81}"/>
            </c:ext>
          </c:extLst>
        </c:ser>
        <c:ser>
          <c:idx val="2"/>
          <c:order val="2"/>
          <c:tx>
            <c:strRef>
              <c:f>'mini-model-charts'!$A$294</c:f>
              <c:strCache>
                <c:ptCount val="1"/>
                <c:pt idx="0">
                  <c:v>Cash burn</c:v>
                </c:pt>
              </c:strCache>
            </c:strRef>
          </c:tx>
          <c:spPr>
            <a:solidFill>
              <a:srgbClr val="617D8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'mini-model-charts'!$B$291:$F$291</c:f>
              <c:strCache>
                <c:ptCount val="5"/>
                <c:pt idx="0">
                  <c:v>Flat B&amp;W with no cost cuts</c:v>
                </c:pt>
                <c:pt idx="1">
                  <c:v>Flat B&amp;W with cost cuts (base case)</c:v>
                </c:pt>
                <c:pt idx="2">
                  <c:v>Base fiber markets</c:v>
                </c:pt>
                <c:pt idx="3">
                  <c:v>Dallas</c:v>
                </c:pt>
                <c:pt idx="4">
                  <c:v>Steady state target</c:v>
                </c:pt>
              </c:strCache>
            </c:strRef>
          </c:cat>
          <c:val>
            <c:numRef>
              <c:f>'mini-model-charts'!$B$294:$F$294</c:f>
              <c:numCache>
                <c:formatCode>#,##0_);\(#,##0\)</c:formatCode>
                <c:ptCount val="5"/>
                <c:pt idx="0">
                  <c:v>3417.955249149084</c:v>
                </c:pt>
                <c:pt idx="1">
                  <c:v>3417.955249149084</c:v>
                </c:pt>
                <c:pt idx="2">
                  <c:v>3417.955249149084</c:v>
                </c:pt>
                <c:pt idx="3">
                  <c:v>3417.955249149084</c:v>
                </c:pt>
                <c:pt idx="4">
                  <c:v>3417.955249149084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B4-4408-8D66-37F84FDC8A81}"/>
            </c:ext>
          </c:extLst>
        </c:ser>
        <c:ser>
          <c:idx val="3"/>
          <c:order val="3"/>
          <c:tx>
            <c:strRef>
              <c:f>'mini-model-charts'!$A$295</c:f>
              <c:strCache>
                <c:ptCount val="1"/>
                <c:pt idx="0">
                  <c:v>Net debt</c:v>
                </c:pt>
              </c:strCache>
            </c:strRef>
          </c:tx>
          <c:spPr>
            <a:solidFill>
              <a:srgbClr val="91A4A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'mini-model-charts'!$B$291:$F$291</c:f>
              <c:strCache>
                <c:ptCount val="5"/>
                <c:pt idx="0">
                  <c:v>Flat B&amp;W with no cost cuts</c:v>
                </c:pt>
                <c:pt idx="1">
                  <c:v>Flat B&amp;W with cost cuts (base case)</c:v>
                </c:pt>
                <c:pt idx="2">
                  <c:v>Base fiber markets</c:v>
                </c:pt>
                <c:pt idx="3">
                  <c:v>Dallas</c:v>
                </c:pt>
                <c:pt idx="4">
                  <c:v>Steady state target</c:v>
                </c:pt>
              </c:strCache>
            </c:strRef>
          </c:cat>
          <c:val>
            <c:numRef>
              <c:f>'mini-model-charts'!$B$295:$F$295</c:f>
              <c:numCache>
                <c:formatCode>#,##0_);\(#,##0\)</c:formatCode>
                <c:ptCount val="5"/>
                <c:pt idx="0">
                  <c:v>10811</c:v>
                </c:pt>
                <c:pt idx="1">
                  <c:v>10811</c:v>
                </c:pt>
                <c:pt idx="2">
                  <c:v>10811</c:v>
                </c:pt>
                <c:pt idx="3">
                  <c:v>10811</c:v>
                </c:pt>
                <c:pt idx="4">
                  <c:v>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B4-4408-8D66-37F84FDC8A81}"/>
            </c:ext>
          </c:extLst>
        </c:ser>
        <c:ser>
          <c:idx val="4"/>
          <c:order val="4"/>
          <c:tx>
            <c:strRef>
              <c:f>'mini-model-charts'!$A$296</c:f>
              <c:strCache>
                <c:ptCount val="1"/>
                <c:pt idx="0">
                  <c:v>Enterprise value</c:v>
                </c:pt>
              </c:strCache>
            </c:strRef>
          </c:tx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4D4D4D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'mini-model-charts'!$B$291:$F$291</c:f>
              <c:strCache>
                <c:ptCount val="5"/>
                <c:pt idx="0">
                  <c:v>Flat B&amp;W with no cost cuts</c:v>
                </c:pt>
                <c:pt idx="1">
                  <c:v>Flat B&amp;W with cost cuts (base case)</c:v>
                </c:pt>
                <c:pt idx="2">
                  <c:v>Base fiber markets</c:v>
                </c:pt>
                <c:pt idx="3">
                  <c:v>Dallas</c:v>
                </c:pt>
                <c:pt idx="4">
                  <c:v>Steady state target</c:v>
                </c:pt>
              </c:strCache>
            </c:strRef>
          </c:cat>
          <c:val>
            <c:numRef>
              <c:f>'mini-model-charts'!$B$296:$F$296</c:f>
              <c:numCache>
                <c:formatCode>_(* #,##0_);_(* \(#,##0\);_(* "-"??_);_(@_)</c:formatCode>
                <c:ptCount val="5"/>
                <c:pt idx="0">
                  <c:v>35921.271487901569</c:v>
                </c:pt>
                <c:pt idx="1">
                  <c:v>38435.350115016598</c:v>
                </c:pt>
                <c:pt idx="2">
                  <c:v>42123.237904801135</c:v>
                </c:pt>
                <c:pt idx="3">
                  <c:v>58353.85181114178</c:v>
                </c:pt>
                <c:pt idx="4">
                  <c:v>40225.25803384043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B4-4408-8D66-37F84FDC8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450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legend>
      <c:legendPos val="b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itchFamily="2" charset="0"/>
              <a:ea typeface="Roboto" pitchFamily="2" charset="0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33-4FF0-A7F8-C7C9A14B57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'mini-model-charts'!$A$160:$A$162</c:f>
              <c:strCache>
                <c:ptCount val="3"/>
                <c:pt idx="0">
                  <c:v>Enterprise value</c:v>
                </c:pt>
                <c:pt idx="1">
                  <c:v>Net debt</c:v>
                </c:pt>
                <c:pt idx="2">
                  <c:v>Equity value</c:v>
                </c:pt>
              </c:strCache>
            </c:strRef>
          </c:cat>
          <c:val>
            <c:numRef>
              <c:f>'mini-model-charts'!$B$160:$B$162</c:f>
              <c:numCache>
                <c:formatCode>#,##0_);\(#,##0\)</c:formatCode>
                <c:ptCount val="3"/>
                <c:pt idx="0">
                  <c:v>17454.397334294579</c:v>
                </c:pt>
                <c:pt idx="1">
                  <c:v>6643.3973342945792</c:v>
                </c:pt>
                <c:pt idx="2">
                  <c:v>6643.3973342945792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33-4FF0-A7F8-C7C9A14B57D4}"/>
            </c:ext>
          </c:extLst>
        </c:ser>
        <c:ser>
          <c:idx val="1"/>
          <c:order val="1"/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'mini-model-charts'!$A$160:$A$162</c:f>
              <c:strCache>
                <c:ptCount val="3"/>
                <c:pt idx="0">
                  <c:v>Enterprise value</c:v>
                </c:pt>
                <c:pt idx="1">
                  <c:v>Net debt</c:v>
                </c:pt>
                <c:pt idx="2">
                  <c:v>Equity value</c:v>
                </c:pt>
              </c:strCache>
            </c:strRef>
          </c:cat>
          <c:val>
            <c:numRef>
              <c:f>'mini-model-charts'!$C$160:$C$162</c:f>
              <c:numCache>
                <c:formatCode>#,##0_);\(#,##0\)</c:formatCode>
                <c:ptCount val="3"/>
                <c:pt idx="1">
                  <c:v>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33-4FF0-A7F8-C7C9A14B5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30000"/>
        </c:scaling>
        <c:delete val="1"/>
        <c:axPos val="l"/>
        <c:numFmt formatCode="#,##0_);\(#,##0\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C4-409B-83EB-59716AE3B0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'mini-model-charts'!$A$160:$A$162</c:f>
              <c:strCache>
                <c:ptCount val="3"/>
                <c:pt idx="0">
                  <c:v>Enterprise value</c:v>
                </c:pt>
                <c:pt idx="1">
                  <c:v>Net debt</c:v>
                </c:pt>
                <c:pt idx="2">
                  <c:v>Equity value</c:v>
                </c:pt>
              </c:strCache>
            </c:strRef>
          </c:cat>
          <c:val>
            <c:numRef>
              <c:f>'mini-model-charts'!$D$160:$D$162</c:f>
              <c:numCache>
                <c:formatCode>#,##0_);\(#,##0\)</c:formatCode>
                <c:ptCount val="3"/>
                <c:pt idx="0">
                  <c:v>18159.75235672803</c:v>
                </c:pt>
                <c:pt idx="1">
                  <c:v>9098.7523567280296</c:v>
                </c:pt>
                <c:pt idx="2">
                  <c:v>9098.7523567280296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C4-409B-83EB-59716AE3B0E5}"/>
            </c:ext>
          </c:extLst>
        </c:ser>
        <c:ser>
          <c:idx val="1"/>
          <c:order val="1"/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'mini-model-charts'!$A$160:$A$162</c:f>
              <c:strCache>
                <c:ptCount val="3"/>
                <c:pt idx="0">
                  <c:v>Enterprise value</c:v>
                </c:pt>
                <c:pt idx="1">
                  <c:v>Net debt</c:v>
                </c:pt>
                <c:pt idx="2">
                  <c:v>Equity value</c:v>
                </c:pt>
              </c:strCache>
            </c:strRef>
          </c:cat>
          <c:val>
            <c:numRef>
              <c:f>'mini-model-charts'!$E$160:$E$162</c:f>
              <c:numCache>
                <c:formatCode>#,##0_);\(#,##0\)</c:formatCode>
                <c:ptCount val="3"/>
                <c:pt idx="1">
                  <c:v>9061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C4-409B-83EB-59716AE3B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30000"/>
        </c:scaling>
        <c:delete val="1"/>
        <c:axPos val="l"/>
        <c:numFmt formatCode="#,##0_);\(#,##0\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1E-45C0-93BA-E93F25B0B2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'mini-model-charts'!$A$168:$A$170</c:f>
              <c:strCache>
                <c:ptCount val="3"/>
                <c:pt idx="0">
                  <c:v>Enterprise value</c:v>
                </c:pt>
                <c:pt idx="1">
                  <c:v>Net debt</c:v>
                </c:pt>
                <c:pt idx="2">
                  <c:v>Equity value</c:v>
                </c:pt>
              </c:strCache>
            </c:strRef>
          </c:cat>
          <c:val>
            <c:numRef>
              <c:f>'mini-model-charts'!$D$168:$D$170</c:f>
              <c:numCache>
                <c:formatCode>#,##0_);\(#,##0\)</c:formatCode>
                <c:ptCount val="3"/>
                <c:pt idx="0">
                  <c:v>25485.804427514446</c:v>
                </c:pt>
                <c:pt idx="1">
                  <c:v>16424.804427514446</c:v>
                </c:pt>
                <c:pt idx="2">
                  <c:v>16424.804427514446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1E-45C0-93BA-E93F25B0B2D6}"/>
            </c:ext>
          </c:extLst>
        </c:ser>
        <c:ser>
          <c:idx val="1"/>
          <c:order val="1"/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'mini-model-charts'!$A$168:$A$170</c:f>
              <c:strCache>
                <c:ptCount val="3"/>
                <c:pt idx="0">
                  <c:v>Enterprise value</c:v>
                </c:pt>
                <c:pt idx="1">
                  <c:v>Net debt</c:v>
                </c:pt>
                <c:pt idx="2">
                  <c:v>Equity value</c:v>
                </c:pt>
              </c:strCache>
            </c:strRef>
          </c:cat>
          <c:val>
            <c:numRef>
              <c:f>'mini-model-charts'!$E$168:$E$170</c:f>
              <c:numCache>
                <c:formatCode>#,##0_);\(#,##0\)</c:formatCode>
                <c:ptCount val="3"/>
                <c:pt idx="1">
                  <c:v>9061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1E-45C0-93BA-E93F25B0B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</c:scaling>
        <c:delete val="1"/>
        <c:axPos val="l"/>
        <c:numFmt formatCode="#,##0_);\(#,##0\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44-4801-A148-05E301F57C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'mini-model-charts'!$A$168:$A$170</c:f>
              <c:strCache>
                <c:ptCount val="3"/>
                <c:pt idx="0">
                  <c:v>Enterprise value</c:v>
                </c:pt>
                <c:pt idx="1">
                  <c:v>Net debt</c:v>
                </c:pt>
                <c:pt idx="2">
                  <c:v>Equity value</c:v>
                </c:pt>
              </c:strCache>
            </c:strRef>
          </c:cat>
          <c:val>
            <c:numRef>
              <c:f>'mini-model-charts'!$B$168:$B$170</c:f>
              <c:numCache>
                <c:formatCode>#,##0_);\(#,##0\)</c:formatCode>
                <c:ptCount val="3"/>
                <c:pt idx="0">
                  <c:v>23442.294697733796</c:v>
                </c:pt>
                <c:pt idx="1">
                  <c:v>14381.294697733796</c:v>
                </c:pt>
                <c:pt idx="2">
                  <c:v>14381.294697733796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44-4801-A148-05E301F57C2E}"/>
            </c:ext>
          </c:extLst>
        </c:ser>
        <c:ser>
          <c:idx val="1"/>
          <c:order val="1"/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'mini-model-charts'!$A$168:$A$170</c:f>
              <c:strCache>
                <c:ptCount val="3"/>
                <c:pt idx="0">
                  <c:v>Enterprise value</c:v>
                </c:pt>
                <c:pt idx="1">
                  <c:v>Net debt</c:v>
                </c:pt>
                <c:pt idx="2">
                  <c:v>Equity value</c:v>
                </c:pt>
              </c:strCache>
            </c:strRef>
          </c:cat>
          <c:val>
            <c:numRef>
              <c:f>'mini-model-charts'!$C$168:$C$170</c:f>
              <c:numCache>
                <c:formatCode>#,##0_);\(#,##0\)</c:formatCode>
                <c:ptCount val="3"/>
                <c:pt idx="1">
                  <c:v>9061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44-4801-A148-05E301F57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30000"/>
        </c:scaling>
        <c:delete val="1"/>
        <c:axPos val="l"/>
        <c:numFmt formatCode="#,##0_);\(#,##0\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263238"/>
              </a:solidFill>
              <a:round/>
            </a:ln>
            <a:effectLst/>
          </c:spPr>
          <c:marker>
            <c:symbol val="none"/>
          </c:marker>
          <c:cat>
            <c:numRef>
              <c:f>Deal_Spread!$D$4:$D$118</c:f>
              <c:numCache>
                <c:formatCode>m/d/yyyy</c:formatCode>
                <c:ptCount val="115"/>
                <c:pt idx="0">
                  <c:v>45540</c:v>
                </c:pt>
                <c:pt idx="1">
                  <c:v>45541</c:v>
                </c:pt>
                <c:pt idx="2">
                  <c:v>45544</c:v>
                </c:pt>
                <c:pt idx="3">
                  <c:v>45545</c:v>
                </c:pt>
                <c:pt idx="4">
                  <c:v>45546</c:v>
                </c:pt>
                <c:pt idx="5">
                  <c:v>45547</c:v>
                </c:pt>
                <c:pt idx="6">
                  <c:v>45548</c:v>
                </c:pt>
                <c:pt idx="7">
                  <c:v>45551</c:v>
                </c:pt>
                <c:pt idx="8">
                  <c:v>45552</c:v>
                </c:pt>
                <c:pt idx="9">
                  <c:v>45553</c:v>
                </c:pt>
                <c:pt idx="10">
                  <c:v>45554</c:v>
                </c:pt>
                <c:pt idx="11">
                  <c:v>45555</c:v>
                </c:pt>
                <c:pt idx="12">
                  <c:v>45558</c:v>
                </c:pt>
                <c:pt idx="13">
                  <c:v>45559</c:v>
                </c:pt>
                <c:pt idx="14">
                  <c:v>45560</c:v>
                </c:pt>
                <c:pt idx="15">
                  <c:v>45561</c:v>
                </c:pt>
                <c:pt idx="16">
                  <c:v>45562</c:v>
                </c:pt>
                <c:pt idx="17">
                  <c:v>45565</c:v>
                </c:pt>
                <c:pt idx="18">
                  <c:v>45566</c:v>
                </c:pt>
                <c:pt idx="19">
                  <c:v>45567</c:v>
                </c:pt>
                <c:pt idx="20">
                  <c:v>45568</c:v>
                </c:pt>
                <c:pt idx="21">
                  <c:v>45569</c:v>
                </c:pt>
                <c:pt idx="22">
                  <c:v>45572</c:v>
                </c:pt>
                <c:pt idx="23">
                  <c:v>45573</c:v>
                </c:pt>
                <c:pt idx="24">
                  <c:v>45574</c:v>
                </c:pt>
                <c:pt idx="25">
                  <c:v>45575</c:v>
                </c:pt>
                <c:pt idx="26">
                  <c:v>45576</c:v>
                </c:pt>
                <c:pt idx="27">
                  <c:v>45579</c:v>
                </c:pt>
                <c:pt idx="28">
                  <c:v>45580</c:v>
                </c:pt>
                <c:pt idx="29">
                  <c:v>45581</c:v>
                </c:pt>
                <c:pt idx="30">
                  <c:v>45582</c:v>
                </c:pt>
                <c:pt idx="31">
                  <c:v>45583</c:v>
                </c:pt>
                <c:pt idx="32">
                  <c:v>45586</c:v>
                </c:pt>
                <c:pt idx="33">
                  <c:v>45587</c:v>
                </c:pt>
                <c:pt idx="34">
                  <c:v>45588</c:v>
                </c:pt>
                <c:pt idx="35">
                  <c:v>45589</c:v>
                </c:pt>
                <c:pt idx="36">
                  <c:v>45590</c:v>
                </c:pt>
                <c:pt idx="37">
                  <c:v>45593</c:v>
                </c:pt>
                <c:pt idx="38">
                  <c:v>45594</c:v>
                </c:pt>
                <c:pt idx="39">
                  <c:v>45595</c:v>
                </c:pt>
                <c:pt idx="40">
                  <c:v>45596</c:v>
                </c:pt>
                <c:pt idx="41">
                  <c:v>45597</c:v>
                </c:pt>
                <c:pt idx="42">
                  <c:v>45600</c:v>
                </c:pt>
                <c:pt idx="43">
                  <c:v>45601</c:v>
                </c:pt>
                <c:pt idx="44">
                  <c:v>45602</c:v>
                </c:pt>
                <c:pt idx="45">
                  <c:v>45603</c:v>
                </c:pt>
                <c:pt idx="46">
                  <c:v>45604</c:v>
                </c:pt>
                <c:pt idx="47">
                  <c:v>45607</c:v>
                </c:pt>
                <c:pt idx="48">
                  <c:v>45608</c:v>
                </c:pt>
                <c:pt idx="49">
                  <c:v>45609</c:v>
                </c:pt>
                <c:pt idx="50">
                  <c:v>45610</c:v>
                </c:pt>
                <c:pt idx="51">
                  <c:v>45611</c:v>
                </c:pt>
                <c:pt idx="52">
                  <c:v>45614</c:v>
                </c:pt>
                <c:pt idx="53">
                  <c:v>45615</c:v>
                </c:pt>
                <c:pt idx="54">
                  <c:v>45616</c:v>
                </c:pt>
                <c:pt idx="55">
                  <c:v>45617</c:v>
                </c:pt>
                <c:pt idx="56">
                  <c:v>45618</c:v>
                </c:pt>
                <c:pt idx="57">
                  <c:v>45621</c:v>
                </c:pt>
                <c:pt idx="58">
                  <c:v>45622</c:v>
                </c:pt>
                <c:pt idx="59">
                  <c:v>45623</c:v>
                </c:pt>
                <c:pt idx="60">
                  <c:v>45624</c:v>
                </c:pt>
                <c:pt idx="61">
                  <c:v>45625</c:v>
                </c:pt>
                <c:pt idx="62">
                  <c:v>45628</c:v>
                </c:pt>
                <c:pt idx="63">
                  <c:v>45629</c:v>
                </c:pt>
                <c:pt idx="64">
                  <c:v>45630</c:v>
                </c:pt>
                <c:pt idx="65">
                  <c:v>45631</c:v>
                </c:pt>
                <c:pt idx="66">
                  <c:v>45632</c:v>
                </c:pt>
                <c:pt idx="67">
                  <c:v>45635</c:v>
                </c:pt>
                <c:pt idx="68">
                  <c:v>45636</c:v>
                </c:pt>
                <c:pt idx="69">
                  <c:v>45637</c:v>
                </c:pt>
                <c:pt idx="70">
                  <c:v>45638</c:v>
                </c:pt>
                <c:pt idx="71">
                  <c:v>45639</c:v>
                </c:pt>
                <c:pt idx="72">
                  <c:v>45642</c:v>
                </c:pt>
                <c:pt idx="73">
                  <c:v>45643</c:v>
                </c:pt>
                <c:pt idx="74">
                  <c:v>45644</c:v>
                </c:pt>
                <c:pt idx="75">
                  <c:v>45645</c:v>
                </c:pt>
                <c:pt idx="76">
                  <c:v>45646</c:v>
                </c:pt>
                <c:pt idx="77">
                  <c:v>45649</c:v>
                </c:pt>
                <c:pt idx="78">
                  <c:v>45650</c:v>
                </c:pt>
                <c:pt idx="79">
                  <c:v>45651</c:v>
                </c:pt>
                <c:pt idx="80">
                  <c:v>45652</c:v>
                </c:pt>
                <c:pt idx="81">
                  <c:v>45653</c:v>
                </c:pt>
                <c:pt idx="82">
                  <c:v>45656</c:v>
                </c:pt>
                <c:pt idx="83">
                  <c:v>45657</c:v>
                </c:pt>
                <c:pt idx="84">
                  <c:v>45658</c:v>
                </c:pt>
                <c:pt idx="85">
                  <c:v>45659</c:v>
                </c:pt>
                <c:pt idx="86">
                  <c:v>45660</c:v>
                </c:pt>
                <c:pt idx="87">
                  <c:v>45663</c:v>
                </c:pt>
                <c:pt idx="88">
                  <c:v>45664</c:v>
                </c:pt>
                <c:pt idx="89">
                  <c:v>45665</c:v>
                </c:pt>
                <c:pt idx="90">
                  <c:v>45666</c:v>
                </c:pt>
                <c:pt idx="91">
                  <c:v>45667</c:v>
                </c:pt>
                <c:pt idx="92">
                  <c:v>45670</c:v>
                </c:pt>
                <c:pt idx="93">
                  <c:v>45671</c:v>
                </c:pt>
                <c:pt idx="94">
                  <c:v>45672</c:v>
                </c:pt>
                <c:pt idx="95">
                  <c:v>45673</c:v>
                </c:pt>
                <c:pt idx="96">
                  <c:v>45674</c:v>
                </c:pt>
                <c:pt idx="97">
                  <c:v>45677</c:v>
                </c:pt>
                <c:pt idx="98">
                  <c:v>45678</c:v>
                </c:pt>
                <c:pt idx="99">
                  <c:v>45679</c:v>
                </c:pt>
                <c:pt idx="100">
                  <c:v>45680</c:v>
                </c:pt>
                <c:pt idx="101">
                  <c:v>45681</c:v>
                </c:pt>
                <c:pt idx="102">
                  <c:v>45684</c:v>
                </c:pt>
                <c:pt idx="103">
                  <c:v>45685</c:v>
                </c:pt>
                <c:pt idx="104">
                  <c:v>45686</c:v>
                </c:pt>
                <c:pt idx="105">
                  <c:v>45687</c:v>
                </c:pt>
                <c:pt idx="106">
                  <c:v>45688</c:v>
                </c:pt>
                <c:pt idx="107">
                  <c:v>45691</c:v>
                </c:pt>
                <c:pt idx="108">
                  <c:v>45692</c:v>
                </c:pt>
                <c:pt idx="109">
                  <c:v>45693</c:v>
                </c:pt>
                <c:pt idx="110">
                  <c:v>45694</c:v>
                </c:pt>
                <c:pt idx="111">
                  <c:v>45695</c:v>
                </c:pt>
                <c:pt idx="112">
                  <c:v>45698</c:v>
                </c:pt>
                <c:pt idx="113">
                  <c:v>45699</c:v>
                </c:pt>
                <c:pt idx="114">
                  <c:v>45709</c:v>
                </c:pt>
              </c:numCache>
            </c:numRef>
          </c:cat>
          <c:val>
            <c:numRef>
              <c:f>Deal_Spread!$C$4:$C$118</c:f>
              <c:numCache>
                <c:formatCode>0%</c:formatCode>
                <c:ptCount val="115"/>
                <c:pt idx="0">
                  <c:v>0.10000000000000009</c:v>
                </c:pt>
                <c:pt idx="1">
                  <c:v>8.35913312693497E-2</c:v>
                </c:pt>
                <c:pt idx="2">
                  <c:v>7.6320939334637794E-2</c:v>
                </c:pt>
                <c:pt idx="3">
                  <c:v>8.2372786055664893E-2</c:v>
                </c:pt>
                <c:pt idx="4">
                  <c:v>6.8553982792117552E-2</c:v>
                </c:pt>
                <c:pt idx="5">
                  <c:v>8.1916537867078754E-2</c:v>
                </c:pt>
                <c:pt idx="6">
                  <c:v>5.6531284302963947E-2</c:v>
                </c:pt>
                <c:pt idx="7">
                  <c:v>7.09318497913769E-2</c:v>
                </c:pt>
                <c:pt idx="8">
                  <c:v>7.9943899018232845E-2</c:v>
                </c:pt>
                <c:pt idx="9">
                  <c:v>8.9108910891088966E-2</c:v>
                </c:pt>
                <c:pt idx="10">
                  <c:v>8.7877931619101401E-2</c:v>
                </c:pt>
                <c:pt idx="11">
                  <c:v>7.9943899018232845E-2</c:v>
                </c:pt>
                <c:pt idx="12">
                  <c:v>7.7525888609012217E-2</c:v>
                </c:pt>
                <c:pt idx="13">
                  <c:v>8.5118376550169295E-2</c:v>
                </c:pt>
                <c:pt idx="14">
                  <c:v>8.3896396396396344E-2</c:v>
                </c:pt>
                <c:pt idx="15">
                  <c:v>7.7827547592385304E-2</c:v>
                </c:pt>
                <c:pt idx="16">
                  <c:v>7.8129375525062938E-2</c:v>
                </c:pt>
                <c:pt idx="17">
                  <c:v>8.35913312693497E-2</c:v>
                </c:pt>
                <c:pt idx="18">
                  <c:v>8.8185415488976737E-2</c:v>
                </c:pt>
                <c:pt idx="19">
                  <c:v>8.6036671368123985E-2</c:v>
                </c:pt>
                <c:pt idx="20">
                  <c:v>8.6956521739130377E-2</c:v>
                </c:pt>
                <c:pt idx="21">
                  <c:v>8.8800904977375472E-2</c:v>
                </c:pt>
                <c:pt idx="22">
                  <c:v>9.0033975084937712E-2</c:v>
                </c:pt>
                <c:pt idx="23">
                  <c:v>8.9108910891088966E-2</c:v>
                </c:pt>
                <c:pt idx="24">
                  <c:v>9.1888825865002799E-2</c:v>
                </c:pt>
                <c:pt idx="25">
                  <c:v>9.219858156028371E-2</c:v>
                </c:pt>
                <c:pt idx="26">
                  <c:v>9.219858156028371E-2</c:v>
                </c:pt>
                <c:pt idx="27">
                  <c:v>9.219858156028371E-2</c:v>
                </c:pt>
                <c:pt idx="28">
                  <c:v>7.8129375525062938E-2</c:v>
                </c:pt>
                <c:pt idx="29">
                  <c:v>7.0634037819799822E-2</c:v>
                </c:pt>
                <c:pt idx="30">
                  <c:v>7.3919107391910766E-2</c:v>
                </c:pt>
                <c:pt idx="31">
                  <c:v>7.8431372549019551E-2</c:v>
                </c:pt>
                <c:pt idx="32">
                  <c:v>7.8129375525062938E-2</c:v>
                </c:pt>
                <c:pt idx="33">
                  <c:v>8.2981715893108321E-2</c:v>
                </c:pt>
                <c:pt idx="34">
                  <c:v>7.4818537130094898E-2</c:v>
                </c:pt>
                <c:pt idx="35">
                  <c:v>6.5006915629322259E-2</c:v>
                </c:pt>
                <c:pt idx="36">
                  <c:v>6.9147459039155867E-2</c:v>
                </c:pt>
                <c:pt idx="37">
                  <c:v>7.4518559866034062E-2</c:v>
                </c:pt>
                <c:pt idx="38">
                  <c:v>7.2722206742825257E-2</c:v>
                </c:pt>
                <c:pt idx="39">
                  <c:v>7.1527971054828887E-2</c:v>
                </c:pt>
                <c:pt idx="40">
                  <c:v>7.7525888609012217E-2</c:v>
                </c:pt>
                <c:pt idx="41">
                  <c:v>6.5301604869950181E-2</c:v>
                </c:pt>
                <c:pt idx="42">
                  <c:v>8.7263484891273668E-2</c:v>
                </c:pt>
                <c:pt idx="43">
                  <c:v>0.10157367668097272</c:v>
                </c:pt>
                <c:pt idx="44">
                  <c:v>9.780439121756479E-2</c:v>
                </c:pt>
                <c:pt idx="45">
                  <c:v>0.10536893482629917</c:v>
                </c:pt>
                <c:pt idx="46">
                  <c:v>0.11594202898550732</c:v>
                </c:pt>
                <c:pt idx="47">
                  <c:v>0.11951148589706317</c:v>
                </c:pt>
                <c:pt idx="48">
                  <c:v>0.12737920937042468</c:v>
                </c:pt>
                <c:pt idx="49">
                  <c:v>0.11047014710124015</c:v>
                </c:pt>
                <c:pt idx="50">
                  <c:v>0.1079136690647482</c:v>
                </c:pt>
                <c:pt idx="51">
                  <c:v>0.10441767068273089</c:v>
                </c:pt>
                <c:pt idx="52">
                  <c:v>0.10220440881763526</c:v>
                </c:pt>
                <c:pt idx="53">
                  <c:v>0.1079136690647482</c:v>
                </c:pt>
                <c:pt idx="54">
                  <c:v>0.10951008645533133</c:v>
                </c:pt>
                <c:pt idx="55">
                  <c:v>0.10632183908045989</c:v>
                </c:pt>
                <c:pt idx="56">
                  <c:v>0.10410094637223977</c:v>
                </c:pt>
                <c:pt idx="57">
                  <c:v>0.10378440366972463</c:v>
                </c:pt>
                <c:pt idx="58">
                  <c:v>0.10505166475315719</c:v>
                </c:pt>
                <c:pt idx="59">
                  <c:v>0.10695802185163883</c:v>
                </c:pt>
                <c:pt idx="60">
                  <c:v>0.10600402183280666</c:v>
                </c:pt>
                <c:pt idx="61">
                  <c:v>0.1088709677419355</c:v>
                </c:pt>
                <c:pt idx="62">
                  <c:v>0.11691325790542506</c:v>
                </c:pt>
                <c:pt idx="63">
                  <c:v>0.11626558422731215</c:v>
                </c:pt>
                <c:pt idx="64">
                  <c:v>0.11529548088064878</c:v>
                </c:pt>
                <c:pt idx="65">
                  <c:v>0.11143187066974591</c:v>
                </c:pt>
                <c:pt idx="66">
                  <c:v>0.11303845041919613</c:v>
                </c:pt>
                <c:pt idx="67">
                  <c:v>0.11175281547790927</c:v>
                </c:pt>
                <c:pt idx="68">
                  <c:v>0.11143187066974591</c:v>
                </c:pt>
                <c:pt idx="69">
                  <c:v>0.11079053664166194</c:v>
                </c:pt>
                <c:pt idx="70">
                  <c:v>0.11111111111111116</c:v>
                </c:pt>
                <c:pt idx="71">
                  <c:v>0.10759493670886089</c:v>
                </c:pt>
                <c:pt idx="72">
                  <c:v>0.10536893482629917</c:v>
                </c:pt>
                <c:pt idx="73">
                  <c:v>0.11079053664166194</c:v>
                </c:pt>
                <c:pt idx="74">
                  <c:v>0.1079136690647482</c:v>
                </c:pt>
                <c:pt idx="75">
                  <c:v>0.11111111111111116</c:v>
                </c:pt>
                <c:pt idx="76">
                  <c:v>0.10695802185163883</c:v>
                </c:pt>
                <c:pt idx="77">
                  <c:v>0.10727638769053782</c:v>
                </c:pt>
                <c:pt idx="78">
                  <c:v>0.10473457675753228</c:v>
                </c:pt>
                <c:pt idx="79">
                  <c:v>0.11143187066974591</c:v>
                </c:pt>
                <c:pt idx="80">
                  <c:v>0.10951008645533133</c:v>
                </c:pt>
                <c:pt idx="81">
                  <c:v>0.10951008645533133</c:v>
                </c:pt>
                <c:pt idx="82">
                  <c:v>0.10536893482629917</c:v>
                </c:pt>
                <c:pt idx="83">
                  <c:v>9.8117512835139697E-2</c:v>
                </c:pt>
                <c:pt idx="84">
                  <c:v>9.6866096866096818E-2</c:v>
                </c:pt>
                <c:pt idx="85">
                  <c:v>9.4682968439010473E-2</c:v>
                </c:pt>
                <c:pt idx="86">
                  <c:v>9.0342679127725756E-2</c:v>
                </c:pt>
                <c:pt idx="87">
                  <c:v>9.6866096866096818E-2</c:v>
                </c:pt>
                <c:pt idx="88">
                  <c:v>8.9725445796773329E-2</c:v>
                </c:pt>
                <c:pt idx="89">
                  <c:v>8.35913312693497E-2</c:v>
                </c:pt>
                <c:pt idx="90">
                  <c:v>8.4201633342720461E-2</c:v>
                </c:pt>
                <c:pt idx="91">
                  <c:v>8.4507042253521236E-2</c:v>
                </c:pt>
                <c:pt idx="92">
                  <c:v>8.0246913580246826E-2</c:v>
                </c:pt>
                <c:pt idx="93">
                  <c:v>7.7224398433128005E-2</c:v>
                </c:pt>
                <c:pt idx="94">
                  <c:v>7.6923076923076872E-2</c:v>
                </c:pt>
                <c:pt idx="95">
                  <c:v>7.5719474713607182E-2</c:v>
                </c:pt>
                <c:pt idx="96">
                  <c:v>7.5418994413407825E-2</c:v>
                </c:pt>
                <c:pt idx="97">
                  <c:v>7.6621923937360226E-2</c:v>
                </c:pt>
                <c:pt idx="98">
                  <c:v>7.6621923937360226E-2</c:v>
                </c:pt>
                <c:pt idx="99">
                  <c:v>7.5418994413407825E-2</c:v>
                </c:pt>
                <c:pt idx="100">
                  <c:v>7.5418994413407825E-2</c:v>
                </c:pt>
                <c:pt idx="101">
                  <c:v>7.6621923937360226E-2</c:v>
                </c:pt>
                <c:pt idx="102">
                  <c:v>7.6621923937360226E-2</c:v>
                </c:pt>
                <c:pt idx="103">
                  <c:v>7.4518559866034062E-2</c:v>
                </c:pt>
                <c:pt idx="104">
                  <c:v>7.5719474713607182E-2</c:v>
                </c:pt>
                <c:pt idx="105">
                  <c:v>7.5418994413407825E-2</c:v>
                </c:pt>
                <c:pt idx="106">
                  <c:v>7.5719474713607182E-2</c:v>
                </c:pt>
                <c:pt idx="107">
                  <c:v>7.5118681932420994E-2</c:v>
                </c:pt>
                <c:pt idx="108">
                  <c:v>7.6320939334637794E-2</c:v>
                </c:pt>
                <c:pt idx="109">
                  <c:v>7.7827547592385304E-2</c:v>
                </c:pt>
                <c:pt idx="110">
                  <c:v>7.7224398433128005E-2</c:v>
                </c:pt>
                <c:pt idx="111">
                  <c:v>7.7525888609012217E-2</c:v>
                </c:pt>
                <c:pt idx="112">
                  <c:v>7.7224398433128005E-2</c:v>
                </c:pt>
                <c:pt idx="113">
                  <c:v>7.8431372549019551E-2</c:v>
                </c:pt>
                <c:pt idx="114">
                  <c:v>7.6020122973728288E-2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D7-45F3-A434-72DD03A92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846272"/>
        <c:axId val="341845312"/>
      </c:lineChart>
      <c:dateAx>
        <c:axId val="3418462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1845312"/>
        <c:crosses val="autoZero"/>
        <c:auto val="1"/>
        <c:lblOffset val="100"/>
        <c:baseTimeUnit val="days"/>
      </c:dateAx>
      <c:valAx>
        <c:axId val="34184531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1846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26323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28D-48C8-8D3A-E1C1C208C53F}"/>
              </c:ext>
            </c:extLst>
          </c:dPt>
          <c:dPt>
            <c:idx val="1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8D-48C8-8D3A-E1C1C208C53F}"/>
              </c:ext>
            </c:extLst>
          </c:dPt>
          <c:dPt>
            <c:idx val="2"/>
            <c:invertIfNegative val="0"/>
            <c:bubble3D val="0"/>
            <c:spPr>
              <a:solidFill>
                <a:srgbClr val="26323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328D-48C8-8D3A-E1C1C208C53F}"/>
              </c:ext>
            </c:extLst>
          </c:dPt>
          <c:dPt>
            <c:idx val="3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28D-48C8-8D3A-E1C1C208C53F}"/>
              </c:ext>
            </c:extLst>
          </c:dPt>
          <c:dPt>
            <c:idx val="4"/>
            <c:invertIfNegative val="0"/>
            <c:bubble3D val="0"/>
            <c:spPr>
              <a:solidFill>
                <a:srgbClr val="26323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8D-48C8-8D3A-E1C1C208C5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Valuation!$A$270:$A$274</c:f>
              <c:strCache>
                <c:ptCount val="5"/>
                <c:pt idx="0">
                  <c:v>Fiber locations</c:v>
                </c:pt>
                <c:pt idx="1">
                  <c:v>Copper locations</c:v>
                </c:pt>
                <c:pt idx="2">
                  <c:v>Total EV</c:v>
                </c:pt>
                <c:pt idx="3">
                  <c:v>Net debt</c:v>
                </c:pt>
                <c:pt idx="4">
                  <c:v>Equity Value</c:v>
                </c:pt>
              </c:strCache>
            </c:strRef>
          </c:cat>
          <c:val>
            <c:numRef>
              <c:f>Valuation!$B$270:$B$274</c:f>
              <c:numCache>
                <c:formatCode>_(* #,##0_);_(* \(#,##0\);_(* "-"??_);_(@_)</c:formatCode>
                <c:ptCount val="5"/>
                <c:pt idx="0">
                  <c:v>25815.9</c:v>
                </c:pt>
                <c:pt idx="1">
                  <c:v>25815.9</c:v>
                </c:pt>
                <c:pt idx="2">
                  <c:v>27735.15</c:v>
                </c:pt>
                <c:pt idx="3">
                  <c:v>16924.150000000001</c:v>
                </c:pt>
                <c:pt idx="4">
                  <c:v>16924.150000000001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28D-48C8-8D3A-E1C1C208C53F}"/>
            </c:ext>
          </c:extLst>
        </c:ser>
        <c:ser>
          <c:idx val="1"/>
          <c:order val="1"/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Valuation!$A$270:$A$274</c:f>
              <c:strCache>
                <c:ptCount val="5"/>
                <c:pt idx="0">
                  <c:v>Fiber locations</c:v>
                </c:pt>
                <c:pt idx="1">
                  <c:v>Copper locations</c:v>
                </c:pt>
                <c:pt idx="2">
                  <c:v>Total EV</c:v>
                </c:pt>
                <c:pt idx="3">
                  <c:v>Net debt</c:v>
                </c:pt>
                <c:pt idx="4">
                  <c:v>Equity Value</c:v>
                </c:pt>
              </c:strCache>
            </c:strRef>
          </c:cat>
          <c:val>
            <c:numRef>
              <c:f>Valuation!$C$270:$C$274</c:f>
              <c:numCache>
                <c:formatCode>_(* #,##0_);_(* \(#,##0\);_(* "-"??_);_(@_)</c:formatCode>
                <c:ptCount val="5"/>
                <c:pt idx="1">
                  <c:v>1919.25</c:v>
                </c:pt>
                <c:pt idx="3">
                  <c:v>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28D-48C8-8D3A-E1C1C208C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400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ysClr val="windowText" lastClr="000000">
                <a:lumMod val="85000"/>
                <a:lumOff val="15000"/>
              </a:sys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26323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86F-423D-83F4-CED523A705EF}"/>
              </c:ext>
            </c:extLst>
          </c:dPt>
          <c:dPt>
            <c:idx val="1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6F-423D-83F4-CED523A705EF}"/>
              </c:ext>
            </c:extLst>
          </c:dPt>
          <c:dPt>
            <c:idx val="2"/>
            <c:invertIfNegative val="0"/>
            <c:bubble3D val="0"/>
            <c:spPr>
              <a:solidFill>
                <a:srgbClr val="26323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86F-423D-83F4-CED523A705EF}"/>
              </c:ext>
            </c:extLst>
          </c:dPt>
          <c:dPt>
            <c:idx val="3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86F-423D-83F4-CED523A705EF}"/>
              </c:ext>
            </c:extLst>
          </c:dPt>
          <c:dPt>
            <c:idx val="4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6F-423D-83F4-CED523A705EF}"/>
              </c:ext>
            </c:extLst>
          </c:dPt>
          <c:dPt>
            <c:idx val="5"/>
            <c:invertIfNegative val="0"/>
            <c:bubble3D val="0"/>
            <c:spPr>
              <a:solidFill>
                <a:srgbClr val="26323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86F-423D-83F4-CED523A705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Valuation!$A$278:$A$283</c:f>
              <c:strCache>
                <c:ptCount val="6"/>
                <c:pt idx="0">
                  <c:v>Fiber locations</c:v>
                </c:pt>
                <c:pt idx="1">
                  <c:v>Copper locations</c:v>
                </c:pt>
                <c:pt idx="2">
                  <c:v>Total EV</c:v>
                </c:pt>
                <c:pt idx="3">
                  <c:v>Net debt</c:v>
                </c:pt>
                <c:pt idx="4">
                  <c:v>Cash burn</c:v>
                </c:pt>
                <c:pt idx="5">
                  <c:v>Equity Value</c:v>
                </c:pt>
              </c:strCache>
            </c:strRef>
          </c:cat>
          <c:val>
            <c:numRef>
              <c:f>Valuation!$B$278:$B$283</c:f>
              <c:numCache>
                <c:formatCode>_(* #,##0_);_(* \(#,##0\);_(* "-"??_);_(@_)</c:formatCode>
                <c:ptCount val="6"/>
                <c:pt idx="0">
                  <c:v>33000</c:v>
                </c:pt>
                <c:pt idx="1">
                  <c:v>33000</c:v>
                </c:pt>
                <c:pt idx="2">
                  <c:v>34375</c:v>
                </c:pt>
                <c:pt idx="3">
                  <c:v>23564</c:v>
                </c:pt>
                <c:pt idx="4">
                  <c:v>20146.044750850917</c:v>
                </c:pt>
                <c:pt idx="5">
                  <c:v>20146.044750850917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86F-423D-83F4-CED523A705EF}"/>
            </c:ext>
          </c:extLst>
        </c:ser>
        <c:ser>
          <c:idx val="1"/>
          <c:order val="1"/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Valuation!$A$278:$A$283</c:f>
              <c:strCache>
                <c:ptCount val="6"/>
                <c:pt idx="0">
                  <c:v>Fiber locations</c:v>
                </c:pt>
                <c:pt idx="1">
                  <c:v>Copper locations</c:v>
                </c:pt>
                <c:pt idx="2">
                  <c:v>Total EV</c:v>
                </c:pt>
                <c:pt idx="3">
                  <c:v>Net debt</c:v>
                </c:pt>
                <c:pt idx="4">
                  <c:v>Cash burn</c:v>
                </c:pt>
                <c:pt idx="5">
                  <c:v>Equity Value</c:v>
                </c:pt>
              </c:strCache>
            </c:strRef>
          </c:cat>
          <c:val>
            <c:numRef>
              <c:f>Valuation!$C$278:$C$283</c:f>
              <c:numCache>
                <c:formatCode>_(* #,##0_);_(* \(#,##0\);_(* "-"??_);_(@_)</c:formatCode>
                <c:ptCount val="6"/>
                <c:pt idx="1">
                  <c:v>1375</c:v>
                </c:pt>
                <c:pt idx="3">
                  <c:v>10811</c:v>
                </c:pt>
                <c:pt idx="4" formatCode="#,##0_);\(#,##0\)">
                  <c:v>3417.955249149084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86F-423D-83F4-CED523A70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400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Valuation!$A$270:$A$274</c:f>
              <c:strCache>
                <c:ptCount val="5"/>
                <c:pt idx="0">
                  <c:v>Fiber locations</c:v>
                </c:pt>
                <c:pt idx="1">
                  <c:v>Copper locations</c:v>
                </c:pt>
                <c:pt idx="2">
                  <c:v>Total EV</c:v>
                </c:pt>
                <c:pt idx="3">
                  <c:v>Net debt</c:v>
                </c:pt>
                <c:pt idx="4">
                  <c:v>Equity Value</c:v>
                </c:pt>
              </c:strCache>
            </c:strRef>
          </c:cat>
          <c:val>
            <c:numRef>
              <c:f>Valuation!$B$270:$B$274</c:f>
              <c:numCache>
                <c:formatCode>_(* #,##0_);_(* \(#,##0\);_(* "-"??_);_(@_)</c:formatCode>
                <c:ptCount val="5"/>
                <c:pt idx="0">
                  <c:v>25815.9</c:v>
                </c:pt>
                <c:pt idx="1">
                  <c:v>25815.9</c:v>
                </c:pt>
                <c:pt idx="2">
                  <c:v>27735.15</c:v>
                </c:pt>
                <c:pt idx="3">
                  <c:v>16924.150000000001</c:v>
                </c:pt>
                <c:pt idx="4">
                  <c:v>16924.150000000001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CA-49F6-957D-3B78DC943574}"/>
            </c:ext>
          </c:extLst>
        </c:ser>
        <c:ser>
          <c:idx val="1"/>
          <c:order val="1"/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'Valuation (2)'!$A$270:$A$274</c:f>
              <c:strCache>
                <c:ptCount val="5"/>
                <c:pt idx="0">
                  <c:v>Fiber locations</c:v>
                </c:pt>
                <c:pt idx="1">
                  <c:v>Copper locations</c:v>
                </c:pt>
                <c:pt idx="2">
                  <c:v>Total EV</c:v>
                </c:pt>
                <c:pt idx="3">
                  <c:v>Net debt</c:v>
                </c:pt>
                <c:pt idx="4">
                  <c:v>Equity Value</c:v>
                </c:pt>
              </c:strCache>
            </c:strRef>
          </c:cat>
          <c:val>
            <c:numRef>
              <c:f>'Valuation (2)'!$C$270:$C$274</c:f>
              <c:numCache>
                <c:formatCode>_(* #,##0_);_(* \(#,##0\);_(* "-"??_);_(@_)</c:formatCode>
                <c:ptCount val="5"/>
                <c:pt idx="1">
                  <c:v>2049.75</c:v>
                </c:pt>
                <c:pt idx="3">
                  <c:v>10052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CA-49F6-957D-3B78DC943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400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Valuation!$A$278:$A$283</c:f>
              <c:strCache>
                <c:ptCount val="6"/>
                <c:pt idx="0">
                  <c:v>Fiber locations</c:v>
                </c:pt>
                <c:pt idx="1">
                  <c:v>Copper locations</c:v>
                </c:pt>
                <c:pt idx="2">
                  <c:v>Total EV</c:v>
                </c:pt>
                <c:pt idx="3">
                  <c:v>Net debt</c:v>
                </c:pt>
                <c:pt idx="4">
                  <c:v>Cash burn</c:v>
                </c:pt>
                <c:pt idx="5">
                  <c:v>Equity Value</c:v>
                </c:pt>
              </c:strCache>
            </c:strRef>
          </c:cat>
          <c:val>
            <c:numRef>
              <c:f>Valuation!$B$278:$B$283</c:f>
              <c:numCache>
                <c:formatCode>_(* #,##0_);_(* \(#,##0\);_(* "-"??_);_(@_)</c:formatCode>
                <c:ptCount val="6"/>
                <c:pt idx="0">
                  <c:v>33000</c:v>
                </c:pt>
                <c:pt idx="1">
                  <c:v>33000</c:v>
                </c:pt>
                <c:pt idx="2">
                  <c:v>34375</c:v>
                </c:pt>
                <c:pt idx="3">
                  <c:v>23564</c:v>
                </c:pt>
                <c:pt idx="4">
                  <c:v>20146.044750850917</c:v>
                </c:pt>
                <c:pt idx="5">
                  <c:v>20146.044750850917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6A-47C4-9DC6-62688F90E7AD}"/>
            </c:ext>
          </c:extLst>
        </c:ser>
        <c:ser>
          <c:idx val="1"/>
          <c:order val="1"/>
          <c:spPr>
            <a:solidFill>
              <a:srgbClr val="465A6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Roboto" pitchFamily="2" charset="0"/>
                    <a:ea typeface="Roboto" pitchFamily="2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'Valuation (2)'!$A$278:$A$283</c:f>
              <c:strCache>
                <c:ptCount val="6"/>
                <c:pt idx="0">
                  <c:v>Fiber locations</c:v>
                </c:pt>
                <c:pt idx="1">
                  <c:v>Copper locations</c:v>
                </c:pt>
                <c:pt idx="2">
                  <c:v>Total EV</c:v>
                </c:pt>
                <c:pt idx="3">
                  <c:v>Net debt</c:v>
                </c:pt>
                <c:pt idx="4">
                  <c:v>Cash burn</c:v>
                </c:pt>
                <c:pt idx="5">
                  <c:v>Equity Value</c:v>
                </c:pt>
              </c:strCache>
            </c:strRef>
          </c:cat>
          <c:val>
            <c:numRef>
              <c:f>'Valuation (2)'!$C$278:$C$283</c:f>
              <c:numCache>
                <c:formatCode>_(* #,##0_);_(* \(#,##0\);_(* "-"??_);_(@_)</c:formatCode>
                <c:ptCount val="6"/>
                <c:pt idx="1">
                  <c:v>1350</c:v>
                </c:pt>
                <c:pt idx="3">
                  <c:v>10052</c:v>
                </c:pt>
                <c:pt idx="4" formatCode="#,##0_);\(#,##0\)">
                  <c:v>5883.161983190892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6A-47C4-9DC6-62688F90E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95160607"/>
        <c:axId val="1495161855"/>
      </c:barChart>
      <c:catAx>
        <c:axId val="149516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61855"/>
        <c:crosses val="autoZero"/>
        <c:auto val="1"/>
        <c:lblAlgn val="ctr"/>
        <c:lblOffset val="100"/>
        <c:noMultiLvlLbl val="0"/>
      </c:catAx>
      <c:valAx>
        <c:axId val="1495161855"/>
        <c:scaling>
          <c:orientation val="minMax"/>
          <c:max val="40000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95160607"/>
        <c:crosses val="autoZero"/>
        <c:crossBetween val="between"/>
      </c:valAx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2.xml"/><Relationship Id="rId21" Type="http://schemas.openxmlformats.org/officeDocument/2006/relationships/chart" Target="../charts/chart17.xml"/><Relationship Id="rId42" Type="http://schemas.openxmlformats.org/officeDocument/2006/relationships/chart" Target="../charts/chart38.xml"/><Relationship Id="rId47" Type="http://schemas.openxmlformats.org/officeDocument/2006/relationships/chart" Target="../charts/chart43.xml"/><Relationship Id="rId63" Type="http://schemas.openxmlformats.org/officeDocument/2006/relationships/chart" Target="../charts/chart59.xml"/><Relationship Id="rId68" Type="http://schemas.openxmlformats.org/officeDocument/2006/relationships/chart" Target="../charts/chart64.xml"/><Relationship Id="rId16" Type="http://schemas.openxmlformats.org/officeDocument/2006/relationships/chart" Target="../charts/chart12.xml"/><Relationship Id="rId11" Type="http://schemas.openxmlformats.org/officeDocument/2006/relationships/chart" Target="../charts/chart7.xml"/><Relationship Id="rId24" Type="http://schemas.openxmlformats.org/officeDocument/2006/relationships/chart" Target="../charts/chart20.xml"/><Relationship Id="rId32" Type="http://schemas.openxmlformats.org/officeDocument/2006/relationships/chart" Target="../charts/chart28.xml"/><Relationship Id="rId37" Type="http://schemas.openxmlformats.org/officeDocument/2006/relationships/chart" Target="../charts/chart33.xml"/><Relationship Id="rId40" Type="http://schemas.openxmlformats.org/officeDocument/2006/relationships/chart" Target="../charts/chart36.xml"/><Relationship Id="rId45" Type="http://schemas.openxmlformats.org/officeDocument/2006/relationships/chart" Target="../charts/chart41.xml"/><Relationship Id="rId53" Type="http://schemas.openxmlformats.org/officeDocument/2006/relationships/chart" Target="../charts/chart49.xml"/><Relationship Id="rId58" Type="http://schemas.openxmlformats.org/officeDocument/2006/relationships/chart" Target="../charts/chart54.xml"/><Relationship Id="rId66" Type="http://schemas.openxmlformats.org/officeDocument/2006/relationships/chart" Target="../charts/chart62.xml"/><Relationship Id="rId74" Type="http://schemas.openxmlformats.org/officeDocument/2006/relationships/chart" Target="../charts/chart70.xml"/><Relationship Id="rId79" Type="http://schemas.openxmlformats.org/officeDocument/2006/relationships/chart" Target="../charts/chart75.xml"/><Relationship Id="rId5" Type="http://schemas.openxmlformats.org/officeDocument/2006/relationships/chart" Target="../charts/chart1.xml"/><Relationship Id="rId61" Type="http://schemas.openxmlformats.org/officeDocument/2006/relationships/chart" Target="../charts/chart57.xml"/><Relationship Id="rId19" Type="http://schemas.openxmlformats.org/officeDocument/2006/relationships/chart" Target="../charts/chart15.xml"/><Relationship Id="rId14" Type="http://schemas.openxmlformats.org/officeDocument/2006/relationships/chart" Target="../charts/chart10.xml"/><Relationship Id="rId22" Type="http://schemas.openxmlformats.org/officeDocument/2006/relationships/chart" Target="../charts/chart18.xml"/><Relationship Id="rId27" Type="http://schemas.openxmlformats.org/officeDocument/2006/relationships/chart" Target="../charts/chart23.xml"/><Relationship Id="rId30" Type="http://schemas.openxmlformats.org/officeDocument/2006/relationships/chart" Target="../charts/chart26.xml"/><Relationship Id="rId35" Type="http://schemas.openxmlformats.org/officeDocument/2006/relationships/chart" Target="../charts/chart31.xml"/><Relationship Id="rId43" Type="http://schemas.openxmlformats.org/officeDocument/2006/relationships/chart" Target="../charts/chart39.xml"/><Relationship Id="rId48" Type="http://schemas.openxmlformats.org/officeDocument/2006/relationships/chart" Target="../charts/chart44.xml"/><Relationship Id="rId56" Type="http://schemas.openxmlformats.org/officeDocument/2006/relationships/chart" Target="../charts/chart52.xml"/><Relationship Id="rId64" Type="http://schemas.openxmlformats.org/officeDocument/2006/relationships/chart" Target="../charts/chart60.xml"/><Relationship Id="rId69" Type="http://schemas.openxmlformats.org/officeDocument/2006/relationships/chart" Target="../charts/chart65.xml"/><Relationship Id="rId77" Type="http://schemas.openxmlformats.org/officeDocument/2006/relationships/chart" Target="../charts/chart73.xml"/><Relationship Id="rId8" Type="http://schemas.openxmlformats.org/officeDocument/2006/relationships/chart" Target="../charts/chart4.xml"/><Relationship Id="rId51" Type="http://schemas.openxmlformats.org/officeDocument/2006/relationships/chart" Target="../charts/chart47.xml"/><Relationship Id="rId72" Type="http://schemas.openxmlformats.org/officeDocument/2006/relationships/chart" Target="../charts/chart68.xml"/><Relationship Id="rId80" Type="http://schemas.openxmlformats.org/officeDocument/2006/relationships/chart" Target="../charts/chart76.xml"/><Relationship Id="rId3" Type="http://schemas.openxmlformats.org/officeDocument/2006/relationships/image" Target="../media/image4.png"/><Relationship Id="rId12" Type="http://schemas.openxmlformats.org/officeDocument/2006/relationships/chart" Target="../charts/chart8.xml"/><Relationship Id="rId17" Type="http://schemas.openxmlformats.org/officeDocument/2006/relationships/chart" Target="../charts/chart13.xml"/><Relationship Id="rId25" Type="http://schemas.openxmlformats.org/officeDocument/2006/relationships/chart" Target="../charts/chart21.xml"/><Relationship Id="rId33" Type="http://schemas.openxmlformats.org/officeDocument/2006/relationships/chart" Target="../charts/chart29.xml"/><Relationship Id="rId38" Type="http://schemas.openxmlformats.org/officeDocument/2006/relationships/chart" Target="../charts/chart34.xml"/><Relationship Id="rId46" Type="http://schemas.openxmlformats.org/officeDocument/2006/relationships/chart" Target="../charts/chart42.xml"/><Relationship Id="rId59" Type="http://schemas.openxmlformats.org/officeDocument/2006/relationships/chart" Target="../charts/chart55.xml"/><Relationship Id="rId67" Type="http://schemas.openxmlformats.org/officeDocument/2006/relationships/chart" Target="../charts/chart63.xml"/><Relationship Id="rId20" Type="http://schemas.openxmlformats.org/officeDocument/2006/relationships/chart" Target="../charts/chart16.xml"/><Relationship Id="rId41" Type="http://schemas.openxmlformats.org/officeDocument/2006/relationships/chart" Target="../charts/chart37.xml"/><Relationship Id="rId54" Type="http://schemas.openxmlformats.org/officeDocument/2006/relationships/chart" Target="../charts/chart50.xml"/><Relationship Id="rId62" Type="http://schemas.openxmlformats.org/officeDocument/2006/relationships/chart" Target="../charts/chart58.xml"/><Relationship Id="rId70" Type="http://schemas.openxmlformats.org/officeDocument/2006/relationships/chart" Target="../charts/chart66.xml"/><Relationship Id="rId75" Type="http://schemas.openxmlformats.org/officeDocument/2006/relationships/chart" Target="../charts/chart71.xml"/><Relationship Id="rId1" Type="http://schemas.openxmlformats.org/officeDocument/2006/relationships/image" Target="../media/image2.png"/><Relationship Id="rId6" Type="http://schemas.openxmlformats.org/officeDocument/2006/relationships/chart" Target="../charts/chart2.xml"/><Relationship Id="rId15" Type="http://schemas.openxmlformats.org/officeDocument/2006/relationships/chart" Target="../charts/chart11.xml"/><Relationship Id="rId23" Type="http://schemas.openxmlformats.org/officeDocument/2006/relationships/chart" Target="../charts/chart19.xml"/><Relationship Id="rId28" Type="http://schemas.openxmlformats.org/officeDocument/2006/relationships/chart" Target="../charts/chart24.xml"/><Relationship Id="rId36" Type="http://schemas.openxmlformats.org/officeDocument/2006/relationships/chart" Target="../charts/chart32.xml"/><Relationship Id="rId49" Type="http://schemas.openxmlformats.org/officeDocument/2006/relationships/chart" Target="../charts/chart45.xml"/><Relationship Id="rId57" Type="http://schemas.openxmlformats.org/officeDocument/2006/relationships/chart" Target="../charts/chart53.xml"/><Relationship Id="rId10" Type="http://schemas.openxmlformats.org/officeDocument/2006/relationships/chart" Target="../charts/chart6.xml"/><Relationship Id="rId31" Type="http://schemas.openxmlformats.org/officeDocument/2006/relationships/chart" Target="../charts/chart27.xml"/><Relationship Id="rId44" Type="http://schemas.openxmlformats.org/officeDocument/2006/relationships/chart" Target="../charts/chart40.xml"/><Relationship Id="rId52" Type="http://schemas.openxmlformats.org/officeDocument/2006/relationships/chart" Target="../charts/chart48.xml"/><Relationship Id="rId60" Type="http://schemas.openxmlformats.org/officeDocument/2006/relationships/chart" Target="../charts/chart56.xml"/><Relationship Id="rId65" Type="http://schemas.openxmlformats.org/officeDocument/2006/relationships/chart" Target="../charts/chart61.xml"/><Relationship Id="rId73" Type="http://schemas.openxmlformats.org/officeDocument/2006/relationships/chart" Target="../charts/chart69.xml"/><Relationship Id="rId78" Type="http://schemas.openxmlformats.org/officeDocument/2006/relationships/chart" Target="../charts/chart74.xml"/><Relationship Id="rId4" Type="http://schemas.openxmlformats.org/officeDocument/2006/relationships/image" Target="../media/image5.png"/><Relationship Id="rId9" Type="http://schemas.openxmlformats.org/officeDocument/2006/relationships/chart" Target="../charts/chart5.xml"/><Relationship Id="rId13" Type="http://schemas.openxmlformats.org/officeDocument/2006/relationships/chart" Target="../charts/chart9.xml"/><Relationship Id="rId18" Type="http://schemas.openxmlformats.org/officeDocument/2006/relationships/chart" Target="../charts/chart14.xml"/><Relationship Id="rId39" Type="http://schemas.openxmlformats.org/officeDocument/2006/relationships/chart" Target="../charts/chart35.xml"/><Relationship Id="rId34" Type="http://schemas.openxmlformats.org/officeDocument/2006/relationships/chart" Target="../charts/chart30.xml"/><Relationship Id="rId50" Type="http://schemas.openxmlformats.org/officeDocument/2006/relationships/chart" Target="../charts/chart46.xml"/><Relationship Id="rId55" Type="http://schemas.openxmlformats.org/officeDocument/2006/relationships/chart" Target="../charts/chart51.xml"/><Relationship Id="rId76" Type="http://schemas.openxmlformats.org/officeDocument/2006/relationships/chart" Target="../charts/chart72.xml"/><Relationship Id="rId7" Type="http://schemas.openxmlformats.org/officeDocument/2006/relationships/chart" Target="../charts/chart3.xml"/><Relationship Id="rId71" Type="http://schemas.openxmlformats.org/officeDocument/2006/relationships/chart" Target="../charts/chart67.xml"/><Relationship Id="rId2" Type="http://schemas.openxmlformats.org/officeDocument/2006/relationships/image" Target="../media/image3.png"/><Relationship Id="rId29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10" Type="http://schemas.openxmlformats.org/officeDocument/2006/relationships/chart" Target="../charts/chart86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9.xml"/><Relationship Id="rId1" Type="http://schemas.openxmlformats.org/officeDocument/2006/relationships/chart" Target="../charts/chart9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chart" Target="../charts/chart101.xml"/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Relationship Id="rId4" Type="http://schemas.openxmlformats.org/officeDocument/2006/relationships/chart" Target="../charts/chart10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457199</xdr:colOff>
      <xdr:row>7</xdr:row>
      <xdr:rowOff>64926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A8C6DC-226A-42D3-9512-76C7DDE44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199" cy="11317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161925</xdr:colOff>
      <xdr:row>166</xdr:row>
      <xdr:rowOff>1587</xdr:rowOff>
    </xdr:from>
    <xdr:to>
      <xdr:col>15</xdr:col>
      <xdr:colOff>66675</xdr:colOff>
      <xdr:row>184</xdr:row>
      <xdr:rowOff>1587</xdr:rowOff>
    </xdr:to>
    <xdr:graphicFrame macro="">
      <xdr:nvGraphicFramePr>
        <xdr:cNvPr id="2" name="Chart 1 (3)">
          <a:extLst>
            <a:ext uri="{FF2B5EF4-FFF2-40B4-BE49-F238E27FC236}">
              <a16:creationId xmlns:a16="http://schemas.microsoft.com/office/drawing/2014/main" id="{D646F389-866E-4FCE-8A58-17AD8EE1C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523875</xdr:colOff>
      <xdr:row>166</xdr:row>
      <xdr:rowOff>38100</xdr:rowOff>
    </xdr:from>
    <xdr:to>
      <xdr:col>23</xdr:col>
      <xdr:colOff>371475</xdr:colOff>
      <xdr:row>184</xdr:row>
      <xdr:rowOff>38100</xdr:rowOff>
    </xdr:to>
    <xdr:graphicFrame macro="">
      <xdr:nvGraphicFramePr>
        <xdr:cNvPr id="3" name="Chart 2 (1) (2) (1)">
          <a:extLst>
            <a:ext uri="{FF2B5EF4-FFF2-40B4-BE49-F238E27FC236}">
              <a16:creationId xmlns:a16="http://schemas.microsoft.com/office/drawing/2014/main" id="{0AC1EC70-AFC5-449F-B985-BD66C69A0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200025</xdr:colOff>
      <xdr:row>185</xdr:row>
      <xdr:rowOff>47625</xdr:rowOff>
    </xdr:from>
    <xdr:to>
      <xdr:col>15</xdr:col>
      <xdr:colOff>104775</xdr:colOff>
      <xdr:row>203</xdr:row>
      <xdr:rowOff>47625</xdr:rowOff>
    </xdr:to>
    <xdr:graphicFrame macro="">
      <xdr:nvGraphicFramePr>
        <xdr:cNvPr id="4" name="Chart 3 (1) (2) (1)">
          <a:extLst>
            <a:ext uri="{FF2B5EF4-FFF2-40B4-BE49-F238E27FC236}">
              <a16:creationId xmlns:a16="http://schemas.microsoft.com/office/drawing/2014/main" id="{56C7D04D-D409-45F2-B8CA-4303C192A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479425</xdr:colOff>
      <xdr:row>185</xdr:row>
      <xdr:rowOff>17462</xdr:rowOff>
    </xdr:from>
    <xdr:to>
      <xdr:col>23</xdr:col>
      <xdr:colOff>327025</xdr:colOff>
      <xdr:row>203</xdr:row>
      <xdr:rowOff>17462</xdr:rowOff>
    </xdr:to>
    <xdr:graphicFrame macro="">
      <xdr:nvGraphicFramePr>
        <xdr:cNvPr id="5" name="Chart 4 (1) (2) (1)">
          <a:extLst>
            <a:ext uri="{FF2B5EF4-FFF2-40B4-BE49-F238E27FC236}">
              <a16:creationId xmlns:a16="http://schemas.microsoft.com/office/drawing/2014/main" id="{C17F2F84-D7AB-4048-9FF6-79836389F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366712</xdr:colOff>
      <xdr:row>323</xdr:row>
      <xdr:rowOff>90487</xdr:rowOff>
    </xdr:from>
    <xdr:to>
      <xdr:col>14</xdr:col>
      <xdr:colOff>328612</xdr:colOff>
      <xdr:row>341</xdr:row>
      <xdr:rowOff>90487</xdr:rowOff>
    </xdr:to>
    <xdr:graphicFrame macro="">
      <xdr:nvGraphicFramePr>
        <xdr:cNvPr id="6" name="Chart 5 (2)">
          <a:extLst>
            <a:ext uri="{FF2B5EF4-FFF2-40B4-BE49-F238E27FC236}">
              <a16:creationId xmlns:a16="http://schemas.microsoft.com/office/drawing/2014/main" id="{414EF92F-D665-4EC4-A798-6576B2A2D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9525</xdr:colOff>
      <xdr:row>301</xdr:row>
      <xdr:rowOff>128587</xdr:rowOff>
    </xdr:from>
    <xdr:to>
      <xdr:col>18</xdr:col>
      <xdr:colOff>390525</xdr:colOff>
      <xdr:row>319</xdr:row>
      <xdr:rowOff>128587</xdr:rowOff>
    </xdr:to>
    <xdr:graphicFrame macro="">
      <xdr:nvGraphicFramePr>
        <xdr:cNvPr id="7" name="Chart 6 (2) (1)">
          <a:extLst>
            <a:ext uri="{FF2B5EF4-FFF2-40B4-BE49-F238E27FC236}">
              <a16:creationId xmlns:a16="http://schemas.microsoft.com/office/drawing/2014/main" id="{36F61B54-4019-4AC5-89D0-90884B118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214312</xdr:colOff>
      <xdr:row>3</xdr:row>
      <xdr:rowOff>85725</xdr:rowOff>
    </xdr:from>
    <xdr:to>
      <xdr:col>22</xdr:col>
      <xdr:colOff>61912</xdr:colOff>
      <xdr:row>21</xdr:row>
      <xdr:rowOff>85725</xdr:rowOff>
    </xdr:to>
    <xdr:graphicFrame macro="">
      <xdr:nvGraphicFramePr>
        <xdr:cNvPr id="2" name="Chart 1 (1) (1) (1)">
          <a:extLst>
            <a:ext uri="{FF2B5EF4-FFF2-40B4-BE49-F238E27FC236}">
              <a16:creationId xmlns:a16="http://schemas.microsoft.com/office/drawing/2014/main" id="{75A38BE6-7CE5-4B1A-9FE6-1ECBD6140F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414337</xdr:colOff>
      <xdr:row>24</xdr:row>
      <xdr:rowOff>114300</xdr:rowOff>
    </xdr:from>
    <xdr:to>
      <xdr:col>22</xdr:col>
      <xdr:colOff>261937</xdr:colOff>
      <xdr:row>42</xdr:row>
      <xdr:rowOff>114300</xdr:rowOff>
    </xdr:to>
    <xdr:graphicFrame macro="">
      <xdr:nvGraphicFramePr>
        <xdr:cNvPr id="3" name="Chart 2 (2)">
          <a:extLst>
            <a:ext uri="{FF2B5EF4-FFF2-40B4-BE49-F238E27FC236}">
              <a16:creationId xmlns:a16="http://schemas.microsoft.com/office/drawing/2014/main" id="{036032C1-D16E-4DEA-A6AE-CD81364030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319087</xdr:colOff>
      <xdr:row>46</xdr:row>
      <xdr:rowOff>114300</xdr:rowOff>
    </xdr:from>
    <xdr:to>
      <xdr:col>15</xdr:col>
      <xdr:colOff>185737</xdr:colOff>
      <xdr:row>64</xdr:row>
      <xdr:rowOff>114300</xdr:rowOff>
    </xdr:to>
    <xdr:graphicFrame macro="">
      <xdr:nvGraphicFramePr>
        <xdr:cNvPr id="4" name="Chart 3 (1) (3)">
          <a:extLst>
            <a:ext uri="{FF2B5EF4-FFF2-40B4-BE49-F238E27FC236}">
              <a16:creationId xmlns:a16="http://schemas.microsoft.com/office/drawing/2014/main" id="{F8A206F7-2D7C-4CA1-ABB6-1BA3063FC8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257175</xdr:colOff>
      <xdr:row>5255</xdr:row>
      <xdr:rowOff>0</xdr:rowOff>
    </xdr:from>
    <xdr:to>
      <xdr:col>24</xdr:col>
      <xdr:colOff>90848</xdr:colOff>
      <xdr:row>5272</xdr:row>
      <xdr:rowOff>97454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D28267-8FA4-46B0-B591-65651EC9F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2175" y="333603600"/>
          <a:ext cx="9825398" cy="2688254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28576</xdr:colOff>
      <xdr:row>4838</xdr:row>
      <xdr:rowOff>149271</xdr:rowOff>
    </xdr:from>
    <xdr:to>
      <xdr:col>28</xdr:col>
      <xdr:colOff>402593</xdr:colOff>
      <xdr:row>4851</xdr:row>
      <xdr:rowOff>21283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73F384-5FC7-4626-9E1F-24551778F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77776" y="271049796"/>
          <a:ext cx="5708016" cy="1853211"/>
        </a:xfrm>
        <a:prstGeom prst="rect">
          <a:avLst/>
        </a:prstGeom>
      </xdr:spPr>
    </xdr:pic>
    <xdr:clientData/>
  </xdr:twoCellAnchor>
  <xdr:twoCellAnchor editAs="oneCell">
    <xdr:from>
      <xdr:col>17</xdr:col>
      <xdr:colOff>400052</xdr:colOff>
      <xdr:row>4852</xdr:row>
      <xdr:rowOff>63546</xdr:rowOff>
    </xdr:from>
    <xdr:to>
      <xdr:col>25</xdr:col>
      <xdr:colOff>173991</xdr:colOff>
      <xdr:row>4865</xdr:row>
      <xdr:rowOff>38851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799551D-EAE3-4577-9938-84E4735A9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5852" y="273097671"/>
          <a:ext cx="4041139" cy="1956505"/>
        </a:xfrm>
        <a:prstGeom prst="rect">
          <a:avLst/>
        </a:prstGeom>
      </xdr:spPr>
    </xdr:pic>
    <xdr:clientData/>
  </xdr:twoCellAnchor>
  <xdr:twoCellAnchor editAs="oneCell">
    <xdr:from>
      <xdr:col>17</xdr:col>
      <xdr:colOff>314325</xdr:colOff>
      <xdr:row>4865</xdr:row>
      <xdr:rowOff>0</xdr:rowOff>
    </xdr:from>
    <xdr:to>
      <xdr:col>34</xdr:col>
      <xdr:colOff>477635</xdr:colOff>
      <xdr:row>4915</xdr:row>
      <xdr:rowOff>25177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44643B4-BF0B-4A72-B653-E3785CD6B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30125" y="275015325"/>
          <a:ext cx="9231110" cy="6883177"/>
        </a:xfrm>
        <a:prstGeom prst="rect">
          <a:avLst/>
        </a:prstGeom>
      </xdr:spPr>
    </xdr:pic>
    <xdr:clientData/>
  </xdr:twoCellAnchor>
  <xdr:twoCellAnchor>
    <xdr:from>
      <xdr:col>7</xdr:col>
      <xdr:colOff>169545</xdr:colOff>
      <xdr:row>3588</xdr:row>
      <xdr:rowOff>28575</xdr:rowOff>
    </xdr:from>
    <xdr:to>
      <xdr:col>14</xdr:col>
      <xdr:colOff>417195</xdr:colOff>
      <xdr:row>3606</xdr:row>
      <xdr:rowOff>28575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8FCCB28-B632-4111-8CE2-BB08B59368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3588</xdr:row>
      <xdr:rowOff>0</xdr:rowOff>
    </xdr:from>
    <xdr:to>
      <xdr:col>24</xdr:col>
      <xdr:colOff>224790</xdr:colOff>
      <xdr:row>3606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85E7E22-BDBC-4700-A96E-FA8E4FA99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133350</xdr:colOff>
      <xdr:row>3423</xdr:row>
      <xdr:rowOff>9525</xdr:rowOff>
    </xdr:from>
    <xdr:to>
      <xdr:col>34</xdr:col>
      <xdr:colOff>285750</xdr:colOff>
      <xdr:row>3441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2C43958-F545-47DE-96D3-0963D411EA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</xdr:col>
      <xdr:colOff>38735</xdr:colOff>
      <xdr:row>3126</xdr:row>
      <xdr:rowOff>106045</xdr:rowOff>
    </xdr:from>
    <xdr:to>
      <xdr:col>28</xdr:col>
      <xdr:colOff>530860</xdr:colOff>
      <xdr:row>3144</xdr:row>
      <xdr:rowOff>106045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7379BE9-ADEF-45CD-8115-1DB9ADE0D8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114300</xdr:colOff>
      <xdr:row>3127</xdr:row>
      <xdr:rowOff>43180</xdr:rowOff>
    </xdr:from>
    <xdr:to>
      <xdr:col>34</xdr:col>
      <xdr:colOff>91440</xdr:colOff>
      <xdr:row>3145</xdr:row>
      <xdr:rowOff>43180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6E8C015-BD21-484C-9BD1-2D9FBD642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0</xdr:colOff>
      <xdr:row>3109</xdr:row>
      <xdr:rowOff>0</xdr:rowOff>
    </xdr:from>
    <xdr:to>
      <xdr:col>34</xdr:col>
      <xdr:colOff>487680</xdr:colOff>
      <xdr:row>3127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1DC14E8-4F1D-4959-90BF-64A95B649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28575</xdr:colOff>
      <xdr:row>2393</xdr:row>
      <xdr:rowOff>9525</xdr:rowOff>
    </xdr:from>
    <xdr:to>
      <xdr:col>15</xdr:col>
      <xdr:colOff>466725</xdr:colOff>
      <xdr:row>2411</xdr:row>
      <xdr:rowOff>9525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053A927-5C76-F52B-DBED-FA4D6D2824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9525</xdr:colOff>
      <xdr:row>1919</xdr:row>
      <xdr:rowOff>28575</xdr:rowOff>
    </xdr:from>
    <xdr:to>
      <xdr:col>19</xdr:col>
      <xdr:colOff>114300</xdr:colOff>
      <xdr:row>1937</xdr:row>
      <xdr:rowOff>28575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6120844-8A40-1A12-1489-CDADD0BD64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85725</xdr:colOff>
      <xdr:row>1826</xdr:row>
      <xdr:rowOff>147637</xdr:rowOff>
    </xdr:from>
    <xdr:to>
      <xdr:col>14</xdr:col>
      <xdr:colOff>457200</xdr:colOff>
      <xdr:row>1844</xdr:row>
      <xdr:rowOff>147637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977B0F23-944D-BFEC-A2AD-94E4083F3E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180975</xdr:colOff>
      <xdr:row>1846</xdr:row>
      <xdr:rowOff>128587</xdr:rowOff>
    </xdr:from>
    <xdr:to>
      <xdr:col>15</xdr:col>
      <xdr:colOff>19050</xdr:colOff>
      <xdr:row>1864</xdr:row>
      <xdr:rowOff>128587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B4C9DAF0-CAEF-ACBE-9E40-71E420A7F4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533400</xdr:colOff>
      <xdr:row>1502</xdr:row>
      <xdr:rowOff>9525</xdr:rowOff>
    </xdr:from>
    <xdr:to>
      <xdr:col>16</xdr:col>
      <xdr:colOff>523875</xdr:colOff>
      <xdr:row>1520</xdr:row>
      <xdr:rowOff>9525</xdr:rowOff>
    </xdr:to>
    <xdr:graphicFrame macro="">
      <xdr:nvGraphicFramePr>
        <xdr:cNvPr id="16" name="Chart 15 (1)">
          <a:extLst>
            <a:ext uri="{FF2B5EF4-FFF2-40B4-BE49-F238E27FC236}">
              <a16:creationId xmlns:a16="http://schemas.microsoft.com/office/drawing/2014/main" id="{9AF19CFA-DCDB-5C8F-696A-B472EBFE98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0</xdr:colOff>
      <xdr:row>1502</xdr:row>
      <xdr:rowOff>0</xdr:rowOff>
    </xdr:from>
    <xdr:to>
      <xdr:col>26</xdr:col>
      <xdr:colOff>304800</xdr:colOff>
      <xdr:row>1520</xdr:row>
      <xdr:rowOff>0</xdr:rowOff>
    </xdr:to>
    <xdr:graphicFrame macro="">
      <xdr:nvGraphicFramePr>
        <xdr:cNvPr id="17" name="Chart 16 (1)">
          <a:extLst>
            <a:ext uri="{FF2B5EF4-FFF2-40B4-BE49-F238E27FC236}">
              <a16:creationId xmlns:a16="http://schemas.microsoft.com/office/drawing/2014/main" id="{97E3589D-DBB9-49D4-84EA-E09794CD8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104775</xdr:colOff>
      <xdr:row>1520</xdr:row>
      <xdr:rowOff>123825</xdr:rowOff>
    </xdr:from>
    <xdr:to>
      <xdr:col>17</xdr:col>
      <xdr:colOff>133350</xdr:colOff>
      <xdr:row>1538</xdr:row>
      <xdr:rowOff>123825</xdr:rowOff>
    </xdr:to>
    <xdr:graphicFrame macro="">
      <xdr:nvGraphicFramePr>
        <xdr:cNvPr id="18" name="Chart 17 (1)">
          <a:extLst>
            <a:ext uri="{FF2B5EF4-FFF2-40B4-BE49-F238E27FC236}">
              <a16:creationId xmlns:a16="http://schemas.microsoft.com/office/drawing/2014/main" id="{573FBB25-FB25-45DD-F07D-3703616BDB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19</xdr:col>
      <xdr:colOff>342900</xdr:colOff>
      <xdr:row>1521</xdr:row>
      <xdr:rowOff>57150</xdr:rowOff>
    </xdr:from>
    <xdr:to>
      <xdr:col>28</xdr:col>
      <xdr:colOff>114300</xdr:colOff>
      <xdr:row>1539</xdr:row>
      <xdr:rowOff>57150</xdr:rowOff>
    </xdr:to>
    <xdr:graphicFrame macro="">
      <xdr:nvGraphicFramePr>
        <xdr:cNvPr id="19" name="Chart 18 (1)">
          <a:extLst>
            <a:ext uri="{FF2B5EF4-FFF2-40B4-BE49-F238E27FC236}">
              <a16:creationId xmlns:a16="http://schemas.microsoft.com/office/drawing/2014/main" id="{95B5CB01-6DC8-39C0-A85E-EE43205225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76200</xdr:colOff>
      <xdr:row>1550</xdr:row>
      <xdr:rowOff>38100</xdr:rowOff>
    </xdr:from>
    <xdr:to>
      <xdr:col>13</xdr:col>
      <xdr:colOff>476250</xdr:colOff>
      <xdr:row>1568</xdr:row>
      <xdr:rowOff>38100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5EF3E63-999C-73BC-72A1-585681729E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0</xdr:colOff>
      <xdr:row>1550</xdr:row>
      <xdr:rowOff>0</xdr:rowOff>
    </xdr:from>
    <xdr:to>
      <xdr:col>19</xdr:col>
      <xdr:colOff>76200</xdr:colOff>
      <xdr:row>1568</xdr:row>
      <xdr:rowOff>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6345923E-8FFF-471A-BAB6-44120DE3B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20</xdr:col>
      <xdr:colOff>0</xdr:colOff>
      <xdr:row>1550</xdr:row>
      <xdr:rowOff>0</xdr:rowOff>
    </xdr:from>
    <xdr:to>
      <xdr:col>25</xdr:col>
      <xdr:colOff>76200</xdr:colOff>
      <xdr:row>1568</xdr:row>
      <xdr:rowOff>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2216D6A-9101-4772-8403-10F8C1031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0</xdr:colOff>
      <xdr:row>1550</xdr:row>
      <xdr:rowOff>0</xdr:rowOff>
    </xdr:from>
    <xdr:to>
      <xdr:col>31</xdr:col>
      <xdr:colOff>76200</xdr:colOff>
      <xdr:row>1568</xdr:row>
      <xdr:rowOff>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A6BFBF69-DB97-4BBE-9961-862E84299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37</xdr:col>
      <xdr:colOff>28575</xdr:colOff>
      <xdr:row>1549</xdr:row>
      <xdr:rowOff>9525</xdr:rowOff>
    </xdr:from>
    <xdr:to>
      <xdr:col>42</xdr:col>
      <xdr:colOff>104775</xdr:colOff>
      <xdr:row>1567</xdr:row>
      <xdr:rowOff>9525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1C79B149-19BD-44EA-BAAD-E946FD4AB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31</xdr:col>
      <xdr:colOff>295275</xdr:colOff>
      <xdr:row>1549</xdr:row>
      <xdr:rowOff>76200</xdr:rowOff>
    </xdr:from>
    <xdr:to>
      <xdr:col>36</xdr:col>
      <xdr:colOff>371475</xdr:colOff>
      <xdr:row>1567</xdr:row>
      <xdr:rowOff>76200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F4EB3FF-1FFA-435B-91D8-E2A6BB211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13</xdr:col>
      <xdr:colOff>152400</xdr:colOff>
      <xdr:row>1591</xdr:row>
      <xdr:rowOff>95250</xdr:rowOff>
    </xdr:from>
    <xdr:to>
      <xdr:col>19</xdr:col>
      <xdr:colOff>152400</xdr:colOff>
      <xdr:row>1609</xdr:row>
      <xdr:rowOff>95250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140BC210-70A0-DC82-D92A-EC420958E1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19</xdr:col>
      <xdr:colOff>238125</xdr:colOff>
      <xdr:row>1589</xdr:row>
      <xdr:rowOff>133350</xdr:rowOff>
    </xdr:from>
    <xdr:to>
      <xdr:col>25</xdr:col>
      <xdr:colOff>304800</xdr:colOff>
      <xdr:row>1607</xdr:row>
      <xdr:rowOff>133350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96E65A0-BBAE-4D0D-9B5A-E1F9054E0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485775</xdr:colOff>
      <xdr:row>1590</xdr:row>
      <xdr:rowOff>142875</xdr:rowOff>
    </xdr:from>
    <xdr:to>
      <xdr:col>32</xdr:col>
      <xdr:colOff>19050</xdr:colOff>
      <xdr:row>1608</xdr:row>
      <xdr:rowOff>142875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8DBDC820-18F4-4A21-BF3B-48F0C94C3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23</xdr:col>
      <xdr:colOff>133350</xdr:colOff>
      <xdr:row>1332</xdr:row>
      <xdr:rowOff>6350</xdr:rowOff>
    </xdr:from>
    <xdr:to>
      <xdr:col>32</xdr:col>
      <xdr:colOff>133350</xdr:colOff>
      <xdr:row>1350</xdr:row>
      <xdr:rowOff>6350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35AFAFDD-0807-73F8-9AE7-87F4F10023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22</xdr:col>
      <xdr:colOff>419100</xdr:colOff>
      <xdr:row>1376</xdr:row>
      <xdr:rowOff>76200</xdr:rowOff>
    </xdr:from>
    <xdr:to>
      <xdr:col>31</xdr:col>
      <xdr:colOff>419100</xdr:colOff>
      <xdr:row>1394</xdr:row>
      <xdr:rowOff>76200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F6793D4-575C-4EEC-BC22-C10C3346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33</xdr:col>
      <xdr:colOff>0</xdr:colOff>
      <xdr:row>1332</xdr:row>
      <xdr:rowOff>0</xdr:rowOff>
    </xdr:from>
    <xdr:to>
      <xdr:col>42</xdr:col>
      <xdr:colOff>0</xdr:colOff>
      <xdr:row>1350</xdr:row>
      <xdr:rowOff>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E3696D0A-0040-4B6B-A4B3-B8827954B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33</xdr:col>
      <xdr:colOff>273050</xdr:colOff>
      <xdr:row>1377</xdr:row>
      <xdr:rowOff>12700</xdr:rowOff>
    </xdr:from>
    <xdr:to>
      <xdr:col>42</xdr:col>
      <xdr:colOff>273050</xdr:colOff>
      <xdr:row>1395</xdr:row>
      <xdr:rowOff>12700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9B2142BD-6D00-4F2A-9640-6B2ED6CE5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</xdr:col>
      <xdr:colOff>546100</xdr:colOff>
      <xdr:row>1416</xdr:row>
      <xdr:rowOff>76200</xdr:rowOff>
    </xdr:from>
    <xdr:to>
      <xdr:col>14</xdr:col>
      <xdr:colOff>469900</xdr:colOff>
      <xdr:row>1434</xdr:row>
      <xdr:rowOff>76200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80190F3F-905D-E145-523F-7C14501DA7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1416</xdr:row>
      <xdr:rowOff>0</xdr:rowOff>
    </xdr:from>
    <xdr:to>
      <xdr:col>26</xdr:col>
      <xdr:colOff>0</xdr:colOff>
      <xdr:row>1434</xdr:row>
      <xdr:rowOff>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980D877-5AA8-4D0F-846B-1D63AB126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27</xdr:col>
      <xdr:colOff>0</xdr:colOff>
      <xdr:row>1569</xdr:row>
      <xdr:rowOff>0</xdr:rowOff>
    </xdr:from>
    <xdr:to>
      <xdr:col>32</xdr:col>
      <xdr:colOff>76200</xdr:colOff>
      <xdr:row>1587</xdr:row>
      <xdr:rowOff>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3A2FCAC7-4296-41AE-A0AB-2C91C6B8E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43</xdr:col>
      <xdr:colOff>0</xdr:colOff>
      <xdr:row>1549</xdr:row>
      <xdr:rowOff>0</xdr:rowOff>
    </xdr:from>
    <xdr:to>
      <xdr:col>48</xdr:col>
      <xdr:colOff>76200</xdr:colOff>
      <xdr:row>1567</xdr:row>
      <xdr:rowOff>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76A5601E-CDCB-42D1-88E7-763068F1F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447675</xdr:colOff>
      <xdr:row>1085</xdr:row>
      <xdr:rowOff>104775</xdr:rowOff>
    </xdr:from>
    <xdr:to>
      <xdr:col>21</xdr:col>
      <xdr:colOff>85725</xdr:colOff>
      <xdr:row>1103</xdr:row>
      <xdr:rowOff>104775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AFFD91F4-6656-6C10-82BB-861B8C585A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21</xdr:col>
      <xdr:colOff>95250</xdr:colOff>
      <xdr:row>1085</xdr:row>
      <xdr:rowOff>114300</xdr:rowOff>
    </xdr:from>
    <xdr:to>
      <xdr:col>29</xdr:col>
      <xdr:colOff>400050</xdr:colOff>
      <xdr:row>1103</xdr:row>
      <xdr:rowOff>114300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E2231856-C782-453E-A499-CAFFBA2D2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495300</xdr:colOff>
      <xdr:row>1155</xdr:row>
      <xdr:rowOff>19050</xdr:rowOff>
    </xdr:from>
    <xdr:to>
      <xdr:col>21</xdr:col>
      <xdr:colOff>133350</xdr:colOff>
      <xdr:row>1173</xdr:row>
      <xdr:rowOff>19050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AB4DE7D5-26C8-A2D5-9DDC-F201D41176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22</xdr:col>
      <xdr:colOff>0</xdr:colOff>
      <xdr:row>1155</xdr:row>
      <xdr:rowOff>0</xdr:rowOff>
    </xdr:from>
    <xdr:to>
      <xdr:col>30</xdr:col>
      <xdr:colOff>304800</xdr:colOff>
      <xdr:row>1173</xdr:row>
      <xdr:rowOff>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8EDA4149-BC28-4534-8174-A01CD7E64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13</xdr:col>
      <xdr:colOff>104775</xdr:colOff>
      <xdr:row>642</xdr:row>
      <xdr:rowOff>142875</xdr:rowOff>
    </xdr:from>
    <xdr:to>
      <xdr:col>21</xdr:col>
      <xdr:colOff>342900</xdr:colOff>
      <xdr:row>660</xdr:row>
      <xdr:rowOff>142875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C7F63B35-329E-9884-1657-C80DD533FF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38100</xdr:colOff>
      <xdr:row>527</xdr:row>
      <xdr:rowOff>19050</xdr:rowOff>
    </xdr:from>
    <xdr:to>
      <xdr:col>17</xdr:col>
      <xdr:colOff>66675</xdr:colOff>
      <xdr:row>545</xdr:row>
      <xdr:rowOff>19050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271A2216-0C75-5E4F-E32B-FB15409D13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0</xdr:colOff>
      <xdr:row>546</xdr:row>
      <xdr:rowOff>0</xdr:rowOff>
    </xdr:from>
    <xdr:to>
      <xdr:col>17</xdr:col>
      <xdr:colOff>28575</xdr:colOff>
      <xdr:row>564</xdr:row>
      <xdr:rowOff>0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67F46527-BD3D-482F-8FC6-FA07265FC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</xdr:col>
      <xdr:colOff>552450</xdr:colOff>
      <xdr:row>567</xdr:row>
      <xdr:rowOff>47625</xdr:rowOff>
    </xdr:from>
    <xdr:to>
      <xdr:col>17</xdr:col>
      <xdr:colOff>9525</xdr:colOff>
      <xdr:row>585</xdr:row>
      <xdr:rowOff>47625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E09CCEBB-A5C7-4222-8FA9-607230CAD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8</xdr:col>
      <xdr:colOff>400050</xdr:colOff>
      <xdr:row>585</xdr:row>
      <xdr:rowOff>19050</xdr:rowOff>
    </xdr:from>
    <xdr:to>
      <xdr:col>16</xdr:col>
      <xdr:colOff>390525</xdr:colOff>
      <xdr:row>603</xdr:row>
      <xdr:rowOff>19050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F2AE079-3B9E-FF9C-D86A-A7882C5C32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17</xdr:col>
      <xdr:colOff>28575</xdr:colOff>
      <xdr:row>597</xdr:row>
      <xdr:rowOff>104775</xdr:rowOff>
    </xdr:from>
    <xdr:to>
      <xdr:col>25</xdr:col>
      <xdr:colOff>333375</xdr:colOff>
      <xdr:row>615</xdr:row>
      <xdr:rowOff>104775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61BB3A7C-344E-B3D2-9396-44C528F76F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6</xdr:col>
      <xdr:colOff>222250</xdr:colOff>
      <xdr:row>730</xdr:row>
      <xdr:rowOff>76200</xdr:rowOff>
    </xdr:from>
    <xdr:to>
      <xdr:col>14</xdr:col>
      <xdr:colOff>146050</xdr:colOff>
      <xdr:row>748</xdr:row>
      <xdr:rowOff>76200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543DD0B7-BFC5-EF0A-5A24-6A230908F1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18</xdr:col>
      <xdr:colOff>476250</xdr:colOff>
      <xdr:row>581</xdr:row>
      <xdr:rowOff>19050</xdr:rowOff>
    </xdr:from>
    <xdr:to>
      <xdr:col>27</xdr:col>
      <xdr:colOff>247650</xdr:colOff>
      <xdr:row>599</xdr:row>
      <xdr:rowOff>19050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940F1B5-EE73-4F0E-890D-A246063F1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476250</xdr:colOff>
      <xdr:row>704</xdr:row>
      <xdr:rowOff>142875</xdr:rowOff>
    </xdr:from>
    <xdr:to>
      <xdr:col>20</xdr:col>
      <xdr:colOff>47625</xdr:colOff>
      <xdr:row>722</xdr:row>
      <xdr:rowOff>142875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87AA9DD-47E7-92F6-76A3-20014F69C0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21</xdr:col>
      <xdr:colOff>0</xdr:colOff>
      <xdr:row>705</xdr:row>
      <xdr:rowOff>0</xdr:rowOff>
    </xdr:from>
    <xdr:to>
      <xdr:col>29</xdr:col>
      <xdr:colOff>304800</xdr:colOff>
      <xdr:row>723</xdr:row>
      <xdr:rowOff>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AB822435-C943-4B33-988A-C8F98B8A0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705</xdr:row>
      <xdr:rowOff>0</xdr:rowOff>
    </xdr:from>
    <xdr:to>
      <xdr:col>39</xdr:col>
      <xdr:colOff>304800</xdr:colOff>
      <xdr:row>723</xdr:row>
      <xdr:rowOff>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7F1D986-CD9F-4D29-AFEE-33453F31E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40</xdr:col>
      <xdr:colOff>0</xdr:colOff>
      <xdr:row>705</xdr:row>
      <xdr:rowOff>0</xdr:rowOff>
    </xdr:from>
    <xdr:to>
      <xdr:col>48</xdr:col>
      <xdr:colOff>304800</xdr:colOff>
      <xdr:row>723</xdr:row>
      <xdr:rowOff>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8D09EDB3-5C1F-4523-A62B-2B3D60D11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438150</xdr:colOff>
      <xdr:row>679</xdr:row>
      <xdr:rowOff>28575</xdr:rowOff>
    </xdr:from>
    <xdr:to>
      <xdr:col>17</xdr:col>
      <xdr:colOff>466725</xdr:colOff>
      <xdr:row>697</xdr:row>
      <xdr:rowOff>28575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4A559808-CF1B-D92D-017D-E6740A018E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8</xdr:col>
      <xdr:colOff>0</xdr:colOff>
      <xdr:row>2415</xdr:row>
      <xdr:rowOff>0</xdr:rowOff>
    </xdr:from>
    <xdr:to>
      <xdr:col>15</xdr:col>
      <xdr:colOff>438150</xdr:colOff>
      <xdr:row>2433</xdr:row>
      <xdr:rowOff>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79D2B586-C2D4-4727-A9D7-23C912B39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17</xdr:col>
      <xdr:colOff>0</xdr:colOff>
      <xdr:row>2415</xdr:row>
      <xdr:rowOff>0</xdr:rowOff>
    </xdr:from>
    <xdr:to>
      <xdr:col>25</xdr:col>
      <xdr:colOff>219075</xdr:colOff>
      <xdr:row>2433</xdr:row>
      <xdr:rowOff>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DD03F0D6-3DFE-457C-8B46-57503C4B8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16</xdr:col>
      <xdr:colOff>28575</xdr:colOff>
      <xdr:row>732</xdr:row>
      <xdr:rowOff>57150</xdr:rowOff>
    </xdr:from>
    <xdr:to>
      <xdr:col>24</xdr:col>
      <xdr:colOff>333375</xdr:colOff>
      <xdr:row>750</xdr:row>
      <xdr:rowOff>57150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16F42461-5027-EC26-A0E4-72B7447970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</xdr:col>
      <xdr:colOff>266700</xdr:colOff>
      <xdr:row>797</xdr:row>
      <xdr:rowOff>9525</xdr:rowOff>
    </xdr:from>
    <xdr:to>
      <xdr:col>15</xdr:col>
      <xdr:colOff>219075</xdr:colOff>
      <xdr:row>815</xdr:row>
      <xdr:rowOff>9525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57E3515D-73C7-4B79-6760-17022EBD52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7</xdr:col>
      <xdr:colOff>180975</xdr:colOff>
      <xdr:row>816</xdr:row>
      <xdr:rowOff>123825</xdr:rowOff>
    </xdr:from>
    <xdr:to>
      <xdr:col>15</xdr:col>
      <xdr:colOff>133350</xdr:colOff>
      <xdr:row>834</xdr:row>
      <xdr:rowOff>123825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32AFB0A2-6421-2B7A-1C3C-5A77C54D8F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</xdr:col>
      <xdr:colOff>361950</xdr:colOff>
      <xdr:row>834</xdr:row>
      <xdr:rowOff>57150</xdr:rowOff>
    </xdr:from>
    <xdr:to>
      <xdr:col>15</xdr:col>
      <xdr:colOff>314325</xdr:colOff>
      <xdr:row>852</xdr:row>
      <xdr:rowOff>57150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5AAC9394-B50A-38F2-2EB2-2E965341B1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19</xdr:col>
      <xdr:colOff>0</xdr:colOff>
      <xdr:row>679</xdr:row>
      <xdr:rowOff>0</xdr:rowOff>
    </xdr:from>
    <xdr:to>
      <xdr:col>27</xdr:col>
      <xdr:colOff>304800</xdr:colOff>
      <xdr:row>697</xdr:row>
      <xdr:rowOff>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BA1FA4BF-94E8-4CDE-B7A3-AA28A33CD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</xdr:col>
      <xdr:colOff>142875</xdr:colOff>
      <xdr:row>852</xdr:row>
      <xdr:rowOff>114300</xdr:rowOff>
    </xdr:from>
    <xdr:to>
      <xdr:col>15</xdr:col>
      <xdr:colOff>95250</xdr:colOff>
      <xdr:row>870</xdr:row>
      <xdr:rowOff>114300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BD2F6545-13A9-C635-0E30-5130C299C6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17</xdr:col>
      <xdr:colOff>323850</xdr:colOff>
      <xdr:row>858</xdr:row>
      <xdr:rowOff>142875</xdr:rowOff>
    </xdr:from>
    <xdr:to>
      <xdr:col>26</xdr:col>
      <xdr:colOff>95250</xdr:colOff>
      <xdr:row>876</xdr:row>
      <xdr:rowOff>142875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4BBABF45-3A6F-4D25-0FB6-BB9A00E876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18</xdr:col>
      <xdr:colOff>0</xdr:colOff>
      <xdr:row>878</xdr:row>
      <xdr:rowOff>0</xdr:rowOff>
    </xdr:from>
    <xdr:to>
      <xdr:col>26</xdr:col>
      <xdr:colOff>304800</xdr:colOff>
      <xdr:row>897</xdr:row>
      <xdr:rowOff>133350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142E1DE8-F32B-4BCE-803F-D235196AA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438150</xdr:colOff>
      <xdr:row>895</xdr:row>
      <xdr:rowOff>9525</xdr:rowOff>
    </xdr:from>
    <xdr:to>
      <xdr:col>17</xdr:col>
      <xdr:colOff>466725</xdr:colOff>
      <xdr:row>913</xdr:row>
      <xdr:rowOff>9525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2D52BD63-FD65-ADFC-4AED-0F1DB91C5C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18</xdr:col>
      <xdr:colOff>400050</xdr:colOff>
      <xdr:row>897</xdr:row>
      <xdr:rowOff>0</xdr:rowOff>
    </xdr:from>
    <xdr:to>
      <xdr:col>27</xdr:col>
      <xdr:colOff>171450</xdr:colOff>
      <xdr:row>915</xdr:row>
      <xdr:rowOff>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12B18660-F5C4-E598-A2B2-B61E91FFA6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85725</xdr:colOff>
      <xdr:row>916</xdr:row>
      <xdr:rowOff>114300</xdr:rowOff>
    </xdr:from>
    <xdr:to>
      <xdr:col>17</xdr:col>
      <xdr:colOff>114300</xdr:colOff>
      <xdr:row>934</xdr:row>
      <xdr:rowOff>114300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02C54DA3-2225-982A-59A5-D358387896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6350</xdr:colOff>
      <xdr:row>933</xdr:row>
      <xdr:rowOff>76200</xdr:rowOff>
    </xdr:from>
    <xdr:to>
      <xdr:col>17</xdr:col>
      <xdr:colOff>34925</xdr:colOff>
      <xdr:row>951</xdr:row>
      <xdr:rowOff>76200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30AE3124-0501-4B5B-84DF-FD8381334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14</xdr:col>
      <xdr:colOff>215900</xdr:colOff>
      <xdr:row>321</xdr:row>
      <xdr:rowOff>19050</xdr:rowOff>
    </xdr:from>
    <xdr:to>
      <xdr:col>23</xdr:col>
      <xdr:colOff>215900</xdr:colOff>
      <xdr:row>339</xdr:row>
      <xdr:rowOff>19050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B0672DB8-4212-1AB1-A86B-F34C1C3706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24</xdr:col>
      <xdr:colOff>0</xdr:colOff>
      <xdr:row>321</xdr:row>
      <xdr:rowOff>0</xdr:rowOff>
    </xdr:from>
    <xdr:to>
      <xdr:col>33</xdr:col>
      <xdr:colOff>0</xdr:colOff>
      <xdr:row>339</xdr:row>
      <xdr:rowOff>0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5E208A90-02E8-4701-9F9D-A6D20183E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34</xdr:col>
      <xdr:colOff>0</xdr:colOff>
      <xdr:row>321</xdr:row>
      <xdr:rowOff>0</xdr:rowOff>
    </xdr:from>
    <xdr:to>
      <xdr:col>43</xdr:col>
      <xdr:colOff>0</xdr:colOff>
      <xdr:row>339</xdr:row>
      <xdr:rowOff>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29B19BAC-03D1-4598-AD0D-2858B02D8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44</xdr:col>
      <xdr:colOff>0</xdr:colOff>
      <xdr:row>321</xdr:row>
      <xdr:rowOff>0</xdr:rowOff>
    </xdr:from>
    <xdr:to>
      <xdr:col>53</xdr:col>
      <xdr:colOff>0</xdr:colOff>
      <xdr:row>339</xdr:row>
      <xdr:rowOff>0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3272518B-F048-4A3B-B64B-B915BF4C0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14</xdr:col>
      <xdr:colOff>0</xdr:colOff>
      <xdr:row>341</xdr:row>
      <xdr:rowOff>0</xdr:rowOff>
    </xdr:from>
    <xdr:to>
      <xdr:col>23</xdr:col>
      <xdr:colOff>0</xdr:colOff>
      <xdr:row>359</xdr:row>
      <xdr:rowOff>0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AFB23FE2-0A00-46D5-88CE-987E7BCF2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24</xdr:col>
      <xdr:colOff>0</xdr:colOff>
      <xdr:row>341</xdr:row>
      <xdr:rowOff>0</xdr:rowOff>
    </xdr:from>
    <xdr:to>
      <xdr:col>33</xdr:col>
      <xdr:colOff>0</xdr:colOff>
      <xdr:row>359</xdr:row>
      <xdr:rowOff>0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3B486A5A-668F-41E6-9421-2464C69E9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34</xdr:col>
      <xdr:colOff>0</xdr:colOff>
      <xdr:row>341</xdr:row>
      <xdr:rowOff>0</xdr:rowOff>
    </xdr:from>
    <xdr:to>
      <xdr:col>43</xdr:col>
      <xdr:colOff>0</xdr:colOff>
      <xdr:row>359</xdr:row>
      <xdr:rowOff>0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56D5050B-1A15-4AE7-99F9-17F9D7BF0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44</xdr:col>
      <xdr:colOff>0</xdr:colOff>
      <xdr:row>341</xdr:row>
      <xdr:rowOff>0</xdr:rowOff>
    </xdr:from>
    <xdr:to>
      <xdr:col>53</xdr:col>
      <xdr:colOff>0</xdr:colOff>
      <xdr:row>359</xdr:row>
      <xdr:rowOff>0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8986AC52-6900-47FA-A977-99239ECBB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13</xdr:col>
      <xdr:colOff>311150</xdr:colOff>
      <xdr:row>378</xdr:row>
      <xdr:rowOff>15875</xdr:rowOff>
    </xdr:from>
    <xdr:to>
      <xdr:col>22</xdr:col>
      <xdr:colOff>222250</xdr:colOff>
      <xdr:row>396</xdr:row>
      <xdr:rowOff>15875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ACF9C96A-74C4-CEF3-6934-9996C900F8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23</xdr:col>
      <xdr:colOff>0</xdr:colOff>
      <xdr:row>378</xdr:row>
      <xdr:rowOff>0</xdr:rowOff>
    </xdr:from>
    <xdr:to>
      <xdr:col>32</xdr:col>
      <xdr:colOff>0</xdr:colOff>
      <xdr:row>396</xdr:row>
      <xdr:rowOff>0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9F4FE33-D6B0-4626-9E79-35A3BAE7C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13</xdr:col>
      <xdr:colOff>0</xdr:colOff>
      <xdr:row>398</xdr:row>
      <xdr:rowOff>0</xdr:rowOff>
    </xdr:from>
    <xdr:to>
      <xdr:col>21</xdr:col>
      <xdr:colOff>419100</xdr:colOff>
      <xdr:row>416</xdr:row>
      <xdr:rowOff>0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8AEE6F3C-B486-41BA-924E-7709BDA52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23</xdr:col>
      <xdr:colOff>0</xdr:colOff>
      <xdr:row>398</xdr:row>
      <xdr:rowOff>0</xdr:rowOff>
    </xdr:from>
    <xdr:to>
      <xdr:col>32</xdr:col>
      <xdr:colOff>0</xdr:colOff>
      <xdr:row>416</xdr:row>
      <xdr:rowOff>0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20E1653D-81A0-4285-9177-A0335FCD0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13</xdr:col>
      <xdr:colOff>406400</xdr:colOff>
      <xdr:row>417</xdr:row>
      <xdr:rowOff>142875</xdr:rowOff>
    </xdr:from>
    <xdr:to>
      <xdr:col>22</xdr:col>
      <xdr:colOff>317500</xdr:colOff>
      <xdr:row>435</xdr:row>
      <xdr:rowOff>142875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31AAC51E-F506-7E1B-0B89-315086C73B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23</xdr:col>
      <xdr:colOff>0</xdr:colOff>
      <xdr:row>418</xdr:row>
      <xdr:rowOff>0</xdr:rowOff>
    </xdr:from>
    <xdr:to>
      <xdr:col>32</xdr:col>
      <xdr:colOff>0</xdr:colOff>
      <xdr:row>436</xdr:row>
      <xdr:rowOff>0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F8495800-56AB-498B-AC3A-40AD10E5A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233362</xdr:colOff>
      <xdr:row>5</xdr:row>
      <xdr:rowOff>61912</xdr:rowOff>
    </xdr:from>
    <xdr:to>
      <xdr:col>20</xdr:col>
      <xdr:colOff>4762</xdr:colOff>
      <xdr:row>23</xdr:row>
      <xdr:rowOff>61912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808828-B18E-AA17-5ACC-DC0F446916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428625</xdr:colOff>
      <xdr:row>3</xdr:row>
      <xdr:rowOff>104775</xdr:rowOff>
    </xdr:from>
    <xdr:to>
      <xdr:col>29</xdr:col>
      <xdr:colOff>200025</xdr:colOff>
      <xdr:row>21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2787603-2FB2-4725-B54A-07FB9119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57150</xdr:colOff>
      <xdr:row>25</xdr:row>
      <xdr:rowOff>114300</xdr:rowOff>
    </xdr:from>
    <xdr:to>
      <xdr:col>19</xdr:col>
      <xdr:colOff>361950</xdr:colOff>
      <xdr:row>43</xdr:row>
      <xdr:rowOff>114300</xdr:rowOff>
    </xdr:to>
    <xdr:graphicFrame macro="">
      <xdr:nvGraphicFramePr>
        <xdr:cNvPr id="4" name="Chart 3 (1)">
          <a:extLst>
            <a:ext uri="{FF2B5EF4-FFF2-40B4-BE49-F238E27FC236}">
              <a16:creationId xmlns:a16="http://schemas.microsoft.com/office/drawing/2014/main" id="{FC0B828C-6BF9-4330-B4F2-FF133230B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371475</xdr:colOff>
      <xdr:row>25</xdr:row>
      <xdr:rowOff>133350</xdr:rowOff>
    </xdr:from>
    <xdr:to>
      <xdr:col>29</xdr:col>
      <xdr:colOff>142875</xdr:colOff>
      <xdr:row>43</xdr:row>
      <xdr:rowOff>133350</xdr:rowOff>
    </xdr:to>
    <xdr:graphicFrame macro="">
      <xdr:nvGraphicFramePr>
        <xdr:cNvPr id="5" name="Chart 4 (1)">
          <a:extLst>
            <a:ext uri="{FF2B5EF4-FFF2-40B4-BE49-F238E27FC236}">
              <a16:creationId xmlns:a16="http://schemas.microsoft.com/office/drawing/2014/main" id="{2AD51C7A-F61F-474B-B8DF-90773D043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419100</xdr:colOff>
      <xdr:row>71</xdr:row>
      <xdr:rowOff>9525</xdr:rowOff>
    </xdr:from>
    <xdr:to>
      <xdr:col>19</xdr:col>
      <xdr:colOff>190500</xdr:colOff>
      <xdr:row>89</xdr:row>
      <xdr:rowOff>9525</xdr:rowOff>
    </xdr:to>
    <xdr:graphicFrame macro="">
      <xdr:nvGraphicFramePr>
        <xdr:cNvPr id="6" name="Chart 5 (1)">
          <a:extLst>
            <a:ext uri="{FF2B5EF4-FFF2-40B4-BE49-F238E27FC236}">
              <a16:creationId xmlns:a16="http://schemas.microsoft.com/office/drawing/2014/main" id="{DBB6995E-44AD-464C-9E2B-268F01922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466725</xdr:colOff>
      <xdr:row>71</xdr:row>
      <xdr:rowOff>19050</xdr:rowOff>
    </xdr:from>
    <xdr:to>
      <xdr:col>29</xdr:col>
      <xdr:colOff>238125</xdr:colOff>
      <xdr:row>89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2DCF419-1F07-45FA-827F-D02FFC007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46</xdr:row>
      <xdr:rowOff>0</xdr:rowOff>
    </xdr:from>
    <xdr:to>
      <xdr:col>19</xdr:col>
      <xdr:colOff>304800</xdr:colOff>
      <xdr:row>64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193E8EB-35AA-4691-ADD4-D7F81084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0</xdr:colOff>
      <xdr:row>46</xdr:row>
      <xdr:rowOff>0</xdr:rowOff>
    </xdr:from>
    <xdr:to>
      <xdr:col>29</xdr:col>
      <xdr:colOff>304800</xdr:colOff>
      <xdr:row>64</xdr:row>
      <xdr:rowOff>0</xdr:rowOff>
    </xdr:to>
    <xdr:graphicFrame macro="">
      <xdr:nvGraphicFramePr>
        <xdr:cNvPr id="9" name="Chart 8 (1)">
          <a:extLst>
            <a:ext uri="{FF2B5EF4-FFF2-40B4-BE49-F238E27FC236}">
              <a16:creationId xmlns:a16="http://schemas.microsoft.com/office/drawing/2014/main" id="{C887A3AA-2E81-4440-9F08-21AC88A24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195262</xdr:colOff>
      <xdr:row>123</xdr:row>
      <xdr:rowOff>85725</xdr:rowOff>
    </xdr:from>
    <xdr:to>
      <xdr:col>15</xdr:col>
      <xdr:colOff>500062</xdr:colOff>
      <xdr:row>141</xdr:row>
      <xdr:rowOff>85725</xdr:rowOff>
    </xdr:to>
    <xdr:graphicFrame macro="">
      <xdr:nvGraphicFramePr>
        <xdr:cNvPr id="10" name="Chart 9 (1)">
          <a:extLst>
            <a:ext uri="{FF2B5EF4-FFF2-40B4-BE49-F238E27FC236}">
              <a16:creationId xmlns:a16="http://schemas.microsoft.com/office/drawing/2014/main" id="{772F2997-BB88-0917-E3BD-0139FE5383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252412</xdr:colOff>
      <xdr:row>125</xdr:row>
      <xdr:rowOff>9525</xdr:rowOff>
    </xdr:from>
    <xdr:to>
      <xdr:col>25</xdr:col>
      <xdr:colOff>23812</xdr:colOff>
      <xdr:row>143</xdr:row>
      <xdr:rowOff>9525</xdr:rowOff>
    </xdr:to>
    <xdr:graphicFrame macro="">
      <xdr:nvGraphicFramePr>
        <xdr:cNvPr id="11" name="Chart 10 (1)">
          <a:extLst>
            <a:ext uri="{FF2B5EF4-FFF2-40B4-BE49-F238E27FC236}">
              <a16:creationId xmlns:a16="http://schemas.microsoft.com/office/drawing/2014/main" id="{87E1335A-0BE5-CB1F-2A88-3F87ED953E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28575</xdr:colOff>
      <xdr:row>195</xdr:row>
      <xdr:rowOff>47625</xdr:rowOff>
    </xdr:from>
    <xdr:to>
      <xdr:col>22</xdr:col>
      <xdr:colOff>409575</xdr:colOff>
      <xdr:row>209</xdr:row>
      <xdr:rowOff>47625</xdr:rowOff>
    </xdr:to>
    <xdr:graphicFrame macro="">
      <xdr:nvGraphicFramePr>
        <xdr:cNvPr id="12" name="Chart 11 (1)">
          <a:extLst>
            <a:ext uri="{FF2B5EF4-FFF2-40B4-BE49-F238E27FC236}">
              <a16:creationId xmlns:a16="http://schemas.microsoft.com/office/drawing/2014/main" id="{E9C81917-C9D5-4314-BBCE-4F0729104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409575</xdr:colOff>
      <xdr:row>222</xdr:row>
      <xdr:rowOff>23812</xdr:rowOff>
    </xdr:from>
    <xdr:to>
      <xdr:col>19</xdr:col>
      <xdr:colOff>504825</xdr:colOff>
      <xdr:row>240</xdr:row>
      <xdr:rowOff>23812</xdr:rowOff>
    </xdr:to>
    <xdr:graphicFrame macro="">
      <xdr:nvGraphicFramePr>
        <xdr:cNvPr id="13" name="Chart 12 (1)">
          <a:extLst>
            <a:ext uri="{FF2B5EF4-FFF2-40B4-BE49-F238E27FC236}">
              <a16:creationId xmlns:a16="http://schemas.microsoft.com/office/drawing/2014/main" id="{EA287621-7721-4074-B93F-46B058AC6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</xdr:col>
      <xdr:colOff>123825</xdr:colOff>
      <xdr:row>243</xdr:row>
      <xdr:rowOff>33337</xdr:rowOff>
    </xdr:from>
    <xdr:to>
      <xdr:col>29</xdr:col>
      <xdr:colOff>428625</xdr:colOff>
      <xdr:row>261</xdr:row>
      <xdr:rowOff>33337</xdr:rowOff>
    </xdr:to>
    <xdr:graphicFrame macro="">
      <xdr:nvGraphicFramePr>
        <xdr:cNvPr id="14" name="Chart 13 (1)">
          <a:extLst>
            <a:ext uri="{FF2B5EF4-FFF2-40B4-BE49-F238E27FC236}">
              <a16:creationId xmlns:a16="http://schemas.microsoft.com/office/drawing/2014/main" id="{9B5DB55C-2C4F-434A-850D-0C5F49CA7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0</xdr:colOff>
      <xdr:row>281</xdr:row>
      <xdr:rowOff>0</xdr:rowOff>
    </xdr:from>
    <xdr:to>
      <xdr:col>18</xdr:col>
      <xdr:colOff>352425</xdr:colOff>
      <xdr:row>295</xdr:row>
      <xdr:rowOff>0</xdr:rowOff>
    </xdr:to>
    <xdr:graphicFrame macro="">
      <xdr:nvGraphicFramePr>
        <xdr:cNvPr id="15" name="Chart 14 (1)">
          <a:extLst>
            <a:ext uri="{FF2B5EF4-FFF2-40B4-BE49-F238E27FC236}">
              <a16:creationId xmlns:a16="http://schemas.microsoft.com/office/drawing/2014/main" id="{855F0402-7A06-49AD-B2CC-92A219FCC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114300</xdr:colOff>
      <xdr:row>150</xdr:row>
      <xdr:rowOff>23812</xdr:rowOff>
    </xdr:from>
    <xdr:to>
      <xdr:col>14</xdr:col>
      <xdr:colOff>352425</xdr:colOff>
      <xdr:row>166</xdr:row>
      <xdr:rowOff>100012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F32D2193-E282-4C39-823A-3A7705B94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150</xdr:row>
      <xdr:rowOff>0</xdr:rowOff>
    </xdr:from>
    <xdr:to>
      <xdr:col>24</xdr:col>
      <xdr:colOff>304800</xdr:colOff>
      <xdr:row>166</xdr:row>
      <xdr:rowOff>76200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9431AD2-06A2-45E8-B7B2-F49A47E45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0</xdr:colOff>
      <xdr:row>169</xdr:row>
      <xdr:rowOff>0</xdr:rowOff>
    </xdr:from>
    <xdr:to>
      <xdr:col>25</xdr:col>
      <xdr:colOff>304800</xdr:colOff>
      <xdr:row>185</xdr:row>
      <xdr:rowOff>76200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DB8BAD1-3E21-45DA-B001-0730DA989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0</xdr:colOff>
      <xdr:row>168</xdr:row>
      <xdr:rowOff>0</xdr:rowOff>
    </xdr:from>
    <xdr:to>
      <xdr:col>16</xdr:col>
      <xdr:colOff>238125</xdr:colOff>
      <xdr:row>184</xdr:row>
      <xdr:rowOff>76200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F71F88E2-6243-457A-A2E7-17E72820B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479425</xdr:colOff>
      <xdr:row>4</xdr:row>
      <xdr:rowOff>92075</xdr:rowOff>
    </xdr:from>
    <xdr:to>
      <xdr:col>14</xdr:col>
      <xdr:colOff>479425</xdr:colOff>
      <xdr:row>22</xdr:row>
      <xdr:rowOff>92075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949136D-8538-80F9-D713-2359576DD8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254</xdr:row>
      <xdr:rowOff>28575</xdr:rowOff>
    </xdr:from>
    <xdr:to>
      <xdr:col>15</xdr:col>
      <xdr:colOff>247650</xdr:colOff>
      <xdr:row>272</xdr:row>
      <xdr:rowOff>0</xdr:rowOff>
    </xdr:to>
    <xdr:graphicFrame macro="">
      <xdr:nvGraphicFramePr>
        <xdr:cNvPr id="2" name="Chart 1 (1)">
          <a:extLst>
            <a:ext uri="{FF2B5EF4-FFF2-40B4-BE49-F238E27FC236}">
              <a16:creationId xmlns:a16="http://schemas.microsoft.com/office/drawing/2014/main" id="{E30EEE49-84E4-1F21-E7C0-1B59950493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123825</xdr:colOff>
      <xdr:row>273</xdr:row>
      <xdr:rowOff>28575</xdr:rowOff>
    </xdr:from>
    <xdr:to>
      <xdr:col>15</xdr:col>
      <xdr:colOff>428625</xdr:colOff>
      <xdr:row>290</xdr:row>
      <xdr:rowOff>114300</xdr:rowOff>
    </xdr:to>
    <xdr:graphicFrame macro="">
      <xdr:nvGraphicFramePr>
        <xdr:cNvPr id="4" name="Chart 3 (1) (1)">
          <a:extLst>
            <a:ext uri="{FF2B5EF4-FFF2-40B4-BE49-F238E27FC236}">
              <a16:creationId xmlns:a16="http://schemas.microsoft.com/office/drawing/2014/main" id="{A6500E59-42B7-C6E3-B65E-F4B2C16FE2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254</xdr:row>
      <xdr:rowOff>28575</xdr:rowOff>
    </xdr:from>
    <xdr:to>
      <xdr:col>15</xdr:col>
      <xdr:colOff>247650</xdr:colOff>
      <xdr:row>272</xdr:row>
      <xdr:rowOff>0</xdr:rowOff>
    </xdr:to>
    <xdr:graphicFrame macro="">
      <xdr:nvGraphicFramePr>
        <xdr:cNvPr id="2" name="Chart 1 (1)">
          <a:extLst>
            <a:ext uri="{FF2B5EF4-FFF2-40B4-BE49-F238E27FC236}">
              <a16:creationId xmlns:a16="http://schemas.microsoft.com/office/drawing/2014/main" id="{7D90707E-2021-4FE1-B63A-BBF9E7AF2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123825</xdr:colOff>
      <xdr:row>273</xdr:row>
      <xdr:rowOff>28575</xdr:rowOff>
    </xdr:from>
    <xdr:to>
      <xdr:col>15</xdr:col>
      <xdr:colOff>428625</xdr:colOff>
      <xdr:row>290</xdr:row>
      <xdr:rowOff>114300</xdr:rowOff>
    </xdr:to>
    <xdr:graphicFrame macro="">
      <xdr:nvGraphicFramePr>
        <xdr:cNvPr id="3" name="Chart 3 (1) (1)">
          <a:extLst>
            <a:ext uri="{FF2B5EF4-FFF2-40B4-BE49-F238E27FC236}">
              <a16:creationId xmlns:a16="http://schemas.microsoft.com/office/drawing/2014/main" id="{58A8D5D9-F0F8-4A95-9527-05E556D0E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276225</xdr:colOff>
      <xdr:row>280</xdr:row>
      <xdr:rowOff>119062</xdr:rowOff>
    </xdr:from>
    <xdr:to>
      <xdr:col>17</xdr:col>
      <xdr:colOff>47625</xdr:colOff>
      <xdr:row>297</xdr:row>
      <xdr:rowOff>157162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D87C22-D2C8-A813-821B-430B7EF406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314325</xdr:colOff>
      <xdr:row>70</xdr:row>
      <xdr:rowOff>19050</xdr:rowOff>
    </xdr:from>
    <xdr:to>
      <xdr:col>19</xdr:col>
      <xdr:colOff>295275</xdr:colOff>
      <xdr:row>88</xdr:row>
      <xdr:rowOff>67485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3EC7C7-4F39-4B0B-9C2A-C0849E916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43800" y="1057275"/>
          <a:ext cx="5848350" cy="2791635"/>
        </a:xfrm>
        <a:prstGeom prst="rect">
          <a:avLst/>
        </a:prstGeom>
      </xdr:spPr>
    </xdr:pic>
    <xdr:clientData/>
  </xdr:twoCellAnchor>
  <xdr:twoCellAnchor>
    <xdr:from>
      <xdr:col>20</xdr:col>
      <xdr:colOff>157162</xdr:colOff>
      <xdr:row>71</xdr:row>
      <xdr:rowOff>80962</xdr:rowOff>
    </xdr:from>
    <xdr:to>
      <xdr:col>28</xdr:col>
      <xdr:colOff>461962</xdr:colOff>
      <xdr:row>89</xdr:row>
      <xdr:rowOff>80962</xdr:rowOff>
    </xdr:to>
    <xdr:graphicFrame macro="">
      <xdr:nvGraphicFramePr>
        <xdr:cNvPr id="3" name="Chart 2 (1) (1)">
          <a:extLst>
            <a:ext uri="{FF2B5EF4-FFF2-40B4-BE49-F238E27FC236}">
              <a16:creationId xmlns:a16="http://schemas.microsoft.com/office/drawing/2014/main" id="{A7DCFFEC-E4B5-4219-810E-A2E7673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457200</xdr:colOff>
      <xdr:row>89</xdr:row>
      <xdr:rowOff>125274</xdr:rowOff>
    </xdr:from>
    <xdr:to>
      <xdr:col>22</xdr:col>
      <xdr:colOff>493032</xdr:colOff>
      <xdr:row>104</xdr:row>
      <xdr:rowOff>104089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687C716-C627-448E-88D2-34930DEB6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00" y="5887899"/>
          <a:ext cx="7503432" cy="22648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1519237</xdr:colOff>
      <xdr:row>38</xdr:row>
      <xdr:rowOff>23812</xdr:rowOff>
    </xdr:from>
    <xdr:to>
      <xdr:col>8</xdr:col>
      <xdr:colOff>52387</xdr:colOff>
      <xdr:row>56</xdr:row>
      <xdr:rowOff>23812</xdr:rowOff>
    </xdr:to>
    <xdr:graphicFrame macro="">
      <xdr:nvGraphicFramePr>
        <xdr:cNvPr id="3" name="Chart 2 (1) (2)">
          <a:extLst>
            <a:ext uri="{FF2B5EF4-FFF2-40B4-BE49-F238E27FC236}">
              <a16:creationId xmlns:a16="http://schemas.microsoft.com/office/drawing/2014/main" id="{432AE819-376E-45B3-8B29-5C3333AFB3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261937</xdr:colOff>
      <xdr:row>37</xdr:row>
      <xdr:rowOff>90487</xdr:rowOff>
    </xdr:from>
    <xdr:to>
      <xdr:col>16</xdr:col>
      <xdr:colOff>309562</xdr:colOff>
      <xdr:row>55</xdr:row>
      <xdr:rowOff>90487</xdr:rowOff>
    </xdr:to>
    <xdr:graphicFrame macro="">
      <xdr:nvGraphicFramePr>
        <xdr:cNvPr id="4" name="Chart 3 (1) (2)">
          <a:extLst>
            <a:ext uri="{FF2B5EF4-FFF2-40B4-BE49-F238E27FC236}">
              <a16:creationId xmlns:a16="http://schemas.microsoft.com/office/drawing/2014/main" id="{0D863232-F15A-43CA-A26D-DDAA94BC1E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79</xdr:row>
      <xdr:rowOff>66675</xdr:rowOff>
    </xdr:from>
    <xdr:to>
      <xdr:col>8</xdr:col>
      <xdr:colOff>352425</xdr:colOff>
      <xdr:row>97</xdr:row>
      <xdr:rowOff>66675</xdr:rowOff>
    </xdr:to>
    <xdr:graphicFrame macro="">
      <xdr:nvGraphicFramePr>
        <xdr:cNvPr id="5" name="Chart 4 (1) (2)">
          <a:extLst>
            <a:ext uri="{FF2B5EF4-FFF2-40B4-BE49-F238E27FC236}">
              <a16:creationId xmlns:a16="http://schemas.microsoft.com/office/drawing/2014/main" id="{BDA2761F-B76A-4274-9284-72FAB8FC5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228600</xdr:colOff>
      <xdr:row>78</xdr:row>
      <xdr:rowOff>57150</xdr:rowOff>
    </xdr:from>
    <xdr:to>
      <xdr:col>16</xdr:col>
      <xdr:colOff>276225</xdr:colOff>
      <xdr:row>96</xdr:row>
      <xdr:rowOff>57150</xdr:rowOff>
    </xdr:to>
    <xdr:graphicFrame macro="">
      <xdr:nvGraphicFramePr>
        <xdr:cNvPr id="7" name="Chart 6 (2)">
          <a:extLst>
            <a:ext uri="{FF2B5EF4-FFF2-40B4-BE49-F238E27FC236}">
              <a16:creationId xmlns:a16="http://schemas.microsoft.com/office/drawing/2014/main" id="{2F54A65D-181C-45CA-9E75-098C1A182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able\Company%20Models\CHTR%20Model%20New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07%20External\Models\Company%20Models\Fixed\CHTR%20Model%20-%20External.xlsx" TargetMode="External"/><Relationship Id="rId1" Type="http://schemas.openxmlformats.org/officeDocument/2006/relationships/externalLinkPath" Target="CHTR%20Model%20-%20External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kash.Harlalka.NSR\Desktop\ATUS%20Model%20New%20-%20Copy.xlsx" TargetMode="External"/><Relationship Id="rId1" Type="http://schemas.openxmlformats.org/officeDocument/2006/relationships/externalLinkPath" Target="file:///C:\Users\Vikash.Harlalka.NSR\Desktop\ATUS%20Model%20New%20-%20Copy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ewstreet1385-my.sharepoint.com/personal/jose_anguis_newstreetresearch_com/Documents/NSR%20-%20BEAD%20Allocation%20Analysis%20v3.xlsx" TargetMode="External"/><Relationship Id="rId1" Type="http://schemas.openxmlformats.org/officeDocument/2006/relationships/externalLinkPath" Target="https://newstreet1385-my.sharepoint.com/personal/jose_anguis_newstreetresearch_com/Documents/NSR%20-%20BEAD%20Allocation%20Analysis%20v3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02%20Fixed\Company%20Models\CHTR%20Model%20New.xlsx" TargetMode="External"/><Relationship Id="rId1" Type="http://schemas.openxmlformats.org/officeDocument/2006/relationships/externalLinkPath" Target="file:///Z:\Shared\Telecom_Services\02%20Fixed\Company%20Models\CHTR%20Model%20New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02%20Fixed\Company%20Models\CMCSA%20Model%20New.xlsx" TargetMode="External"/><Relationship Id="rId1" Type="http://schemas.openxmlformats.org/officeDocument/2006/relationships/externalLinkPath" Target="file:///Z:\Shared\Telecom_Services\02%20Fixed\Company%20Models\CMCSA%20Model%20New.xlsx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01%20Wireless\Company%20Models\T%20Model%20New.xlsx" TargetMode="External"/><Relationship Id="rId1" Type="http://schemas.openxmlformats.org/officeDocument/2006/relationships/externalLinkPath" Target="/01%20Wireless/Company%20Models/T%20Model%20New.xlsx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01%20Wireless\Company%20Models\TMUS%20Model%20New.xlsx" TargetMode="External"/><Relationship Id="rId1" Type="http://schemas.openxmlformats.org/officeDocument/2006/relationships/externalLinkPath" Target="/01%20Wireless/Company%20Models/TMUS%20Model%20N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yc19p20005a\uswireline$\Company%20Folders\CLWR\Misc.%20CLWR%20Calc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WSTREET\Telecom_Services\windows\TEMP\Other\EBCNDataSourc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WSTREET\Telecom_Services\Cable\Company%20Models\CHTR%20Model%20New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02%20Fixed\Company%20Models\CHTR%20Model%20New.xlsx" TargetMode="External"/><Relationship Id="rId1" Type="http://schemas.openxmlformats.org/officeDocument/2006/relationships/externalLinkPath" Target="/02%20Fixed/Company%20Models/CHTR%20Model%20New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01%20Wireless\Company%20Models\VZ%20Model%20New.xlsx" TargetMode="External"/><Relationship Id="rId1" Type="http://schemas.openxmlformats.org/officeDocument/2006/relationships/externalLinkPath" Target="/01%20Wireless/Company%20Models/VZ%20Model%20New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02%20Fixed\Company%20Models\Copy%20of%20FYBR%20Model%20New.xlsx" TargetMode="External"/><Relationship Id="rId1" Type="http://schemas.openxmlformats.org/officeDocument/2006/relationships/externalLinkPath" Target="/02%20Fixed/Company%20Models/Copy%20of%20FYBR%20Model%20New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02%20Fixed\Industry%20Models\NSR%20-%20Broadband%20Infrastructure.xlsx" TargetMode="External"/><Relationship Id="rId1" Type="http://schemas.openxmlformats.org/officeDocument/2006/relationships/externalLinkPath" Target="/02%20Fixed/Industry%20Models/NSR%20-%20Broadband%20Infrastructure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02%20Fixed\Industry%20Analysis\2Q24_Autumn_for_Broadband.xlsx" TargetMode="External"/><Relationship Id="rId1" Type="http://schemas.openxmlformats.org/officeDocument/2006/relationships/externalLinkPath" Target="/02%20Fixed/Industry%20Analysis/2Q24_Autumn_for_Broad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over Sheet"/>
      <sheetName val="Model Main"/>
      <sheetName val="Cable"/>
      <sheetName val="Analysis"/>
      <sheetName val="Wireless"/>
      <sheetName val="Share Repurchases"/>
      <sheetName val="FTTH Model"/>
      <sheetName val="Synergy Analysis"/>
      <sheetName val="Subscriber Mix Analysis"/>
      <sheetName val="Revenue Drivers"/>
      <sheetName val="Debt Schedule"/>
      <sheetName val="Valuation"/>
      <sheetName val="Inputs"/>
      <sheetName val="Earnings - Variances"/>
      <sheetName val="Slides"/>
      <sheetName val="Earnings - Trends"/>
      <sheetName val="Historical Comps"/>
      <sheetName val="S-CHTR"/>
      <sheetName val="Model Appendix"/>
      <sheetName val="Output"/>
      <sheetName val="CHTR-TWC-BHN Deal"/>
      <sheetName val="CHTR-BHN Original Deal Analysis"/>
      <sheetName val="CHTR-TWC-BHN-CVC Deal"/>
      <sheetName val="Seasonality"/>
      <sheetName val="Legacy CHTR Model Main"/>
      <sheetName val="Legacy CHTR Valuation"/>
      <sheetName val="Legacy CHTR Cable"/>
      <sheetName val="Legacy CHTR Output"/>
      <sheetName val="FKLink"/>
      <sheetName val="Old Model Drivers"/>
      <sheetName val="__APW_ACTIVE_FIELD_RESTORE__"/>
      <sheetName val="CHTR Model New"/>
      <sheetName val="Slides_New"/>
      <sheetName val="CMCSA-TWC Divestitures Analysis"/>
      <sheetName val="Mildred Annual"/>
      <sheetName val="Old Model Main"/>
      <sheetName val="Old Cable"/>
      <sheetName val="Old Valuation"/>
      <sheetName val="Old Output"/>
      <sheetName val="Old Inputs"/>
      <sheetName val="Output (2)"/>
      <sheetName val="Output New"/>
      <sheetName val="Ops Leverage"/>
      <sheetName val="Cost Model"/>
      <sheetName val="Model Drivers"/>
      <sheetName val="Notes"/>
      <sheetName val="PF Output"/>
      <sheetName val="Old Model --&gt;"/>
      <sheetName val="Old Earnings - Variances"/>
      <sheetName val="Sheet2"/>
      <sheetName val="Valuation Scenarios"/>
      <sheetName val="CHTR TWC BHN 3-Way Deal"/>
      <sheetName val="CHTR Buys TWC Then BHN"/>
      <sheetName val="CHTR Buys BHN then TWC"/>
      <sheetName val="CHTR Buy TWC; BHN Standalone"/>
      <sheetName val="CHTR Buys BHN only; TWC SA"/>
      <sheetName val="TWC Buys BHN; CHTR Standalone"/>
      <sheetName val="CHTR Buys TWC + BHN"/>
      <sheetName val="CHTR Buys BHN"/>
      <sheetName val="CHTR Buys TWC"/>
      <sheetName val="TWC Buys BHN"/>
      <sheetName val="BHN Standalone"/>
      <sheetName val="Legacy CHTR"/>
      <sheetName val="TWC Systems"/>
      <sheetName val="PF Drivers"/>
      <sheetName val="PF Model Main"/>
      <sheetName val="New Charter Valuation"/>
      <sheetName val="TWC Churn Reduction"/>
      <sheetName val="CHTR-CVC Analysis"/>
      <sheetName val="CHTR TWC+BHN Acquisition"/>
      <sheetName val="CHTR TWC Acquisition"/>
      <sheetName val="CHTR BHN Acquisition"/>
      <sheetName val="TWC BHN Acquisition"/>
      <sheetName val="CHTR-TWC Merger Analysis"/>
      <sheetName val="outputs"/>
      <sheetName val="CHTR-TWC-BHNScenariosOverview"/>
      <sheetName val="1) 3-Way Deal"/>
      <sheetName val="9) 4-Way Deal"/>
      <sheetName val="4) CHTR Buys TWC Only"/>
      <sheetName val="12) CHTR Buys CVC"/>
      <sheetName val="10) TWC Buys CVC"/>
      <sheetName val="6)TWC Buys BHN Only"/>
      <sheetName val="11) TWC Buys CVC, BHN"/>
      <sheetName val="7) CHTR Buys TWC + BHN"/>
      <sheetName val="2) CHTR Buys TWC Then BHN"/>
      <sheetName val="3) CHTR Buys BHN then TWC"/>
      <sheetName val="5) CHTR Buys BHN only; TWC SA"/>
      <sheetName val="Sheet1"/>
      <sheetName val="Model Main "/>
      <sheetName val="TWC-CHTR Merger Analysis"/>
      <sheetName val="4) CHTR Buy TWC; BHN Standalone"/>
      <sheetName val="6)TWC Buys BHN; CHTR Standalone"/>
      <sheetName val="TWC 1.4M"/>
      <sheetName val="TWC 1.6M"/>
      <sheetName val="PF Cable"/>
      <sheetName val="PF Model Drivers"/>
      <sheetName val="PF Valuation"/>
      <sheetName val="PF Inputs"/>
      <sheetName val="Old Analysis"/>
      <sheetName val="PF Earnings - Variances"/>
      <sheetName val="Old Old Output"/>
      <sheetName val="Slides_New (2)"/>
    </sheetNames>
    <sheetDataSet>
      <sheetData sheetId="0" refreshError="1"/>
      <sheetData sheetId="1">
        <row r="16">
          <cell r="B16">
            <v>42215</v>
          </cell>
        </row>
      </sheetData>
      <sheetData sheetId="2" refreshError="1"/>
      <sheetData sheetId="3" refreshError="1"/>
      <sheetData sheetId="4">
        <row r="6">
          <cell r="B6">
            <v>47.400000000000006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6">
          <cell r="B6">
            <v>610.89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__FDSCACHE__"/>
      <sheetName val="Cover Sheet"/>
      <sheetName val="Model Main"/>
      <sheetName val="Cable"/>
      <sheetName val="Analysis"/>
      <sheetName val="Rural_Annual"/>
      <sheetName val="Debt"/>
      <sheetName val="Share Repurchases"/>
      <sheetName val="Guidance"/>
      <sheetName val="Valuation"/>
      <sheetName val="Inputs"/>
      <sheetName val="ATUS Acquisition"/>
      <sheetName val="Rural"/>
      <sheetName val="Price_Increases"/>
      <sheetName val="Output"/>
      <sheetName val="Wireless - old"/>
      <sheetName val="Model Main - old"/>
      <sheetName val="Cable - old"/>
      <sheetName val="Subscribers"/>
      <sheetName val="FTTH Model"/>
      <sheetName val="FTTH Model - Old"/>
      <sheetName val="Debt Schedule"/>
      <sheetName val="Earnings - Trends - old"/>
      <sheetName val="Slides_old"/>
      <sheetName val="Slides"/>
      <sheetName val="Synergy Analysis"/>
      <sheetName val="Subscriber Mix Analysis"/>
      <sheetName val="Revenue Drivers"/>
      <sheetName val="Historical Comps"/>
      <sheetName val="Model Appendix"/>
      <sheetName val="CHTR-TWC-BHN Deal"/>
      <sheetName val="CHTR-BHN Original Deal Analysis"/>
      <sheetName val="CHTR-TWC-BHN-CVC Deal"/>
      <sheetName val="CHTR-TWC-BHN-CVC Deal (2)"/>
      <sheetName val="Seasonality"/>
      <sheetName val="Legacy CHTR Model Main"/>
      <sheetName val="Legacy CHTR Valuation"/>
      <sheetName val="Legacy CHTR Cable"/>
      <sheetName val="Legacy CHTR Output"/>
      <sheetName val="FKLink"/>
      <sheetName val="Old Model Drivers"/>
      <sheetName val="__APW_ACTIVE_FIELD_RESTORE__"/>
      <sheetName val="Slides_New"/>
      <sheetName val="Earnings - Variances"/>
      <sheetName val="Earnings - Trends"/>
      <sheetName val="Slides_New (2)"/>
      <sheetName val="Wireless"/>
      <sheetName val="CHTR Model - External"/>
      <sheetName val="Analysis-New"/>
    </sheetNames>
    <sheetDataSet>
      <sheetData sheetId="0"/>
      <sheetData sheetId="1">
        <row r="16">
          <cell r="B16">
            <v>45127</v>
          </cell>
        </row>
      </sheetData>
      <sheetData sheetId="2">
        <row r="11">
          <cell r="DR11">
            <v>8653</v>
          </cell>
        </row>
      </sheetData>
      <sheetData sheetId="3">
        <row r="5">
          <cell r="DK5" t="str">
            <v>1Q17</v>
          </cell>
        </row>
      </sheetData>
      <sheetData sheetId="4">
        <row r="27">
          <cell r="F27">
            <v>17</v>
          </cell>
        </row>
      </sheetData>
      <sheetData sheetId="5"/>
      <sheetData sheetId="6"/>
      <sheetData sheetId="7">
        <row r="6">
          <cell r="B6" t="str">
            <v>Share repurchases</v>
          </cell>
        </row>
      </sheetData>
      <sheetData sheetId="8">
        <row r="6">
          <cell r="B6">
            <v>6386</v>
          </cell>
        </row>
      </sheetData>
      <sheetData sheetId="9">
        <row r="6">
          <cell r="B6">
            <v>378.43</v>
          </cell>
        </row>
        <row r="15">
          <cell r="D15">
            <v>2593.6035541338238</v>
          </cell>
        </row>
      </sheetData>
      <sheetData sheetId="10">
        <row r="366">
          <cell r="CZ366">
            <v>-82</v>
          </cell>
        </row>
      </sheetData>
      <sheetData sheetId="11"/>
      <sheetData sheetId="12"/>
      <sheetData sheetId="13"/>
      <sheetData sheetId="14">
        <row r="5">
          <cell r="BB5">
            <v>2004</v>
          </cell>
        </row>
      </sheetData>
      <sheetData sheetId="15"/>
      <sheetData sheetId="16"/>
      <sheetData sheetId="17"/>
      <sheetData sheetId="18"/>
      <sheetData sheetId="19">
        <row r="6">
          <cell r="B6">
            <v>5907.8959999999997</v>
          </cell>
        </row>
      </sheetData>
      <sheetData sheetId="20">
        <row r="6">
          <cell r="B6">
            <v>5907.8959999999997</v>
          </cell>
        </row>
      </sheetData>
      <sheetData sheetId="21"/>
      <sheetData sheetId="22"/>
      <sheetData sheetId="23"/>
      <sheetData sheetId="24">
        <row r="6">
          <cell r="B6" t="str">
            <v>1Q19</v>
          </cell>
        </row>
      </sheetData>
      <sheetData sheetId="25">
        <row r="6">
          <cell r="B6" t="str">
            <v>1Q14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6">
          <cell r="B6">
            <v>340</v>
          </cell>
        </row>
      </sheetData>
      <sheetData sheetId="37"/>
      <sheetData sheetId="38"/>
      <sheetData sheetId="39">
        <row r="6">
          <cell r="B6">
            <v>16701</v>
          </cell>
        </row>
      </sheetData>
      <sheetData sheetId="40"/>
      <sheetData sheetId="41"/>
      <sheetData sheetId="42">
        <row r="6">
          <cell r="B6" t="str">
            <v>1Q21A</v>
          </cell>
        </row>
      </sheetData>
      <sheetData sheetId="43"/>
      <sheetData sheetId="44"/>
      <sheetData sheetId="45">
        <row r="6">
          <cell r="B6" t="str">
            <v>1Q22A</v>
          </cell>
        </row>
      </sheetData>
      <sheetData sheetId="46">
        <row r="8">
          <cell r="DS8">
            <v>8</v>
          </cell>
        </row>
      </sheetData>
      <sheetData sheetId="47" refreshError="1"/>
      <sheetData sheetId="4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__FDSCACHE__"/>
      <sheetName val="Cover Sheet"/>
      <sheetName val="Model Main"/>
      <sheetName val="Cable"/>
      <sheetName val="Fiber"/>
      <sheetName val="Fiber_in_Mature_Fiber_Market"/>
      <sheetName val="Cable_in_Mature_Fiber_Market"/>
      <sheetName val="Mature_Fiber_Market"/>
      <sheetName val="Analysis"/>
      <sheetName val="ABS_Worksheet"/>
      <sheetName val="Fiber_ARPU"/>
      <sheetName val="Fiber_Markets"/>
      <sheetName val="Cable_in_Fiber_Markets"/>
      <sheetName val="Fiber_Markets (2)"/>
      <sheetName val="Fiber - old"/>
      <sheetName val="Debt_by_Entity"/>
      <sheetName val="Debt Schedule"/>
      <sheetName val="HY_Data"/>
      <sheetName val="Cohort"/>
      <sheetName val="Fiber_2021"/>
      <sheetName val="Fiber_2022"/>
      <sheetName val="Inputs"/>
      <sheetName val="Bond_Prices"/>
      <sheetName val="Bonds"/>
      <sheetName val="Guidance"/>
      <sheetName val="Wireless"/>
      <sheetName val="Valuation"/>
      <sheetName val="ATUS-CHTR"/>
      <sheetName val="Synergies"/>
      <sheetName val="Slides_New"/>
      <sheetName val="Earnings - Variances"/>
      <sheetName val="Earnings Trends"/>
      <sheetName val="Slides"/>
      <sheetName val="Link to ATC NV"/>
      <sheetName val="SDL_Cable_New"/>
      <sheetName val="SDL_Analysis"/>
      <sheetName val="Sheet1"/>
      <sheetName val="CVC Cable"/>
      <sheetName val="SDL Cable"/>
      <sheetName val="Output"/>
      <sheetName val="Seasonality"/>
      <sheetName val="Mildred Annual"/>
    </sheetNames>
    <sheetDataSet>
      <sheetData sheetId="0" refreshError="1"/>
      <sheetData sheetId="1" refreshError="1"/>
      <sheetData sheetId="2" refreshError="1"/>
      <sheetData sheetId="3">
        <row r="372">
          <cell r="ES372">
            <v>1652.6700878532386</v>
          </cell>
        </row>
      </sheetData>
      <sheetData sheetId="4" refreshError="1"/>
      <sheetData sheetId="5" refreshError="1"/>
      <sheetData sheetId="6" refreshError="1"/>
      <sheetData sheetId="7">
        <row r="45">
          <cell r="EQ45">
            <v>715.70922235631997</v>
          </cell>
        </row>
        <row r="138">
          <cell r="EQ138">
            <v>348.44018995208262</v>
          </cell>
        </row>
        <row r="209">
          <cell r="EQ209">
            <v>28.449855730256296</v>
          </cell>
        </row>
      </sheetData>
      <sheetData sheetId="8">
        <row r="403">
          <cell r="B403">
            <v>724.2048091995814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s"/>
      <sheetName val="Report Tables"/>
      <sheetName val="BEAD Analysis (Detailed)"/>
      <sheetName val="BEAD Eligible by Provider Type"/>
      <sheetName val="Raw Data&gt;&gt;&gt;"/>
      <sheetName val="BEAD allocation"/>
      <sheetName val="total_locations_by_state v2"/>
      <sheetName val="total_counts_by_service_categor"/>
      <sheetName val="total_counts_by_service_cat (2)"/>
      <sheetName val="non_selected_technologies_locat"/>
      <sheetName val="unserved_fair_share_by_provider"/>
      <sheetName val="not_served_by_selected_tech_sha"/>
      <sheetName val="mike_conlow"/>
      <sheetName val="First report"/>
      <sheetName val="Total Locations"/>
      <sheetName val="Locations by Provider"/>
      <sheetName val="BEAD Analysis"/>
      <sheetName val="BEAD Analysis by State"/>
      <sheetName val="Assumptions"/>
      <sheetName val="Mapping"/>
      <sheetName val="total_us"/>
      <sheetName val="tech_scenario_counts_total_us"/>
      <sheetName val="tech_scenario_counts_by_provide"/>
      <sheetName val="total_locations_by_state"/>
      <sheetName val="total_counts_by_speed_category"/>
      <sheetName val="total_counts_by_speed_provider"/>
      <sheetName val="total_counts_by_speed_state"/>
      <sheetName val="non_wired_counts_by_state"/>
      <sheetName val="total_counts_by_speed_prov_sta"/>
      <sheetName val="Sheet1"/>
    </sheetNames>
    <sheetDataSet>
      <sheetData sheetId="0"/>
      <sheetData sheetId="1">
        <row r="25">
          <cell r="G25">
            <v>14.330694709737479</v>
          </cell>
        </row>
        <row r="138">
          <cell r="G138">
            <v>0.61198414046951011</v>
          </cell>
        </row>
      </sheetData>
      <sheetData sheetId="2">
        <row r="48">
          <cell r="D48" t="str">
            <v>Alabama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F4">
            <v>18.57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__FDSCACHE__"/>
      <sheetName val="Cover Sheet"/>
      <sheetName val="Model Main"/>
      <sheetName val="ATUS Acquisition"/>
      <sheetName val="Cable"/>
      <sheetName val="Guidance"/>
      <sheetName val="Analysis"/>
      <sheetName val="Rural"/>
      <sheetName val="Rural_Annual"/>
      <sheetName val="Debt"/>
      <sheetName val="Share Repurchases"/>
      <sheetName val="Inputs"/>
      <sheetName val="Valuation"/>
      <sheetName val="Slides_New"/>
      <sheetName val="Slides_New (2)"/>
      <sheetName val="Earnings - Variances"/>
      <sheetName val="Earnings - Trends"/>
      <sheetName val="Price_Increases"/>
      <sheetName val="Output"/>
      <sheetName val="Wireless - old"/>
      <sheetName val="Model Main - old"/>
      <sheetName val="Cable - old"/>
      <sheetName val="Subscribers"/>
      <sheetName val="FTTH Model"/>
      <sheetName val="FTTH Model - Old"/>
      <sheetName val="Debt Schedule"/>
      <sheetName val="Earnings - Trends - old"/>
      <sheetName val="Slides_old"/>
      <sheetName val="Slides"/>
      <sheetName val="Synergy Analysis"/>
      <sheetName val="Subscriber Mix Analysis"/>
      <sheetName val="Revenue Drivers"/>
      <sheetName val="Historical Comps"/>
      <sheetName val="Model Appendix"/>
      <sheetName val="CHTR-TWC-BHN Deal"/>
      <sheetName val="CHTR-BHN Original Deal Analysis"/>
      <sheetName val="CHTR-TWC-BHN-CVC Deal"/>
      <sheetName val="CHTR-TWC-BHN-CVC Deal (2)"/>
      <sheetName val="Seasonality"/>
      <sheetName val="Legacy CHTR Model Main"/>
      <sheetName val="Legacy CHTR Valuation"/>
      <sheetName val="Legacy CHTR Cable"/>
      <sheetName val="Legacy CHTR Output"/>
      <sheetName val="FKLink"/>
      <sheetName val="Old Model Drivers"/>
      <sheetName val="__APW_ACTIVE_FIELD_RESTORE__"/>
      <sheetName val="Cable (2)"/>
      <sheetName val="Wireless"/>
      <sheetName val="S-CHTR"/>
      <sheetName val="CHTR Model New"/>
      <sheetName val="CMCSA-TWC Divestitures Analysis"/>
      <sheetName val="Mildred Annual"/>
      <sheetName val="Old Model Main"/>
      <sheetName val="Old Cable"/>
      <sheetName val="Old Valuation"/>
      <sheetName val="Old Output"/>
      <sheetName val="Old Inputs"/>
      <sheetName val="Output (2)"/>
      <sheetName val="Output New"/>
      <sheetName val="Ops Leverage"/>
      <sheetName val="Cost Model"/>
      <sheetName val="Model Drivers"/>
      <sheetName val="Notes"/>
      <sheetName val="PF Output"/>
      <sheetName val="Old Model --&gt;"/>
      <sheetName val="Old Earnings - Variances"/>
      <sheetName val="Sheet2"/>
      <sheetName val="Valuation Scenarios"/>
      <sheetName val="CHTR TWC BHN 3-Way Deal"/>
      <sheetName val="CHTR Buys TWC Then BHN"/>
      <sheetName val="CHTR Buys BHN then TWC"/>
      <sheetName val="CHTR Buy TWC; BHN Standalone"/>
      <sheetName val="CHTR Buys BHN only; TWC SA"/>
      <sheetName val="TWC Buys BHN; CHTR Standalone"/>
      <sheetName val="CHTR Buys TWC + BHN"/>
      <sheetName val="CHTR Buys BHN"/>
      <sheetName val="CHTR Buys TWC"/>
      <sheetName val="TWC Buys BHN"/>
      <sheetName val="BHN Standalone"/>
      <sheetName val="Legacy CHTR"/>
      <sheetName val="TWC Systems"/>
      <sheetName val="PF Drivers"/>
      <sheetName val="PF Model Main"/>
      <sheetName val="New Charter Valuation"/>
      <sheetName val="TWC Churn Reduction"/>
      <sheetName val="CHTR-CVC Analysis"/>
      <sheetName val="CHTR TWC+BHN Acquisition"/>
      <sheetName val="CHTR TWC Acquisition"/>
      <sheetName val="CHTR BHN Acquisition"/>
      <sheetName val="TWC BHN Acquisition"/>
      <sheetName val="CHTR-TWC Merger Analysis"/>
      <sheetName val="outputs"/>
      <sheetName val="CHTR-TWC-BHNScenariosOverview"/>
      <sheetName val="1) 3-Way Deal"/>
      <sheetName val="9) 4-Way Deal"/>
      <sheetName val="4) CHTR Buys TWC Only"/>
      <sheetName val="12) CHTR Buys CVC"/>
      <sheetName val="10) TWC Buys CVC"/>
      <sheetName val="6)TWC Buys BHN Only"/>
      <sheetName val="11) TWC Buys CVC, BHN"/>
      <sheetName val="7) CHTR Buys TWC + BHN"/>
      <sheetName val="2) CHTR Buys TWC Then BHN"/>
      <sheetName val="3) CHTR Buys BHN then TWC"/>
      <sheetName val="5) CHTR Buys BHN only; TWC SA"/>
      <sheetName val="Sheet1"/>
      <sheetName val="Model Main "/>
      <sheetName val="TWC-CHTR Merger Analysis"/>
      <sheetName val="4) CHTR Buy TWC; BHN Standalone"/>
      <sheetName val="6)TWC Buys BHN; CHTR Standalone"/>
      <sheetName val="TWC 1.4M"/>
      <sheetName val="TWC 1.6M"/>
      <sheetName val="PF Cable"/>
      <sheetName val="PF Model Drivers"/>
      <sheetName val="PF Valuation"/>
      <sheetName val="PF Inputs"/>
      <sheetName val="Old Analysis"/>
      <sheetName val="PF Earnings - Variances"/>
      <sheetName val="Old Old Output"/>
    </sheetNames>
    <sheetDataSet>
      <sheetData sheetId="0" refreshError="1"/>
      <sheetData sheetId="1" refreshError="1"/>
      <sheetData sheetId="2" refreshError="1"/>
      <sheetData sheetId="3"/>
      <sheetData sheetId="4" refreshError="1">
        <row r="5">
          <cell r="CV5" t="str">
            <v>1Q14</v>
          </cell>
        </row>
        <row r="31">
          <cell r="ES31">
            <v>21894</v>
          </cell>
          <cell r="EZ31">
            <v>24059.136681157863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77">
          <cell r="C77">
            <v>7.2139741592869004</v>
          </cell>
        </row>
      </sheetData>
      <sheetData sheetId="13" refreshError="1"/>
      <sheetData sheetId="14">
        <row r="6">
          <cell r="B6" t="str">
            <v>1Q22A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8">
          <cell r="A8" t="str">
            <v>Service Revenues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__FDSCACHE__"/>
      <sheetName val="Cover"/>
      <sheetName val="Model Main"/>
      <sheetName val="Analysis"/>
      <sheetName val="Connectivity &amp; Platforms"/>
      <sheetName val="Content &amp; Experiences"/>
      <sheetName val="Peacock"/>
      <sheetName val="Valuation"/>
      <sheetName val="Debt"/>
      <sheetName val="Guidance"/>
      <sheetName val="Output"/>
      <sheetName val="Inputs"/>
      <sheetName val="Slides_New"/>
      <sheetName val="Earnings - Variances"/>
      <sheetName val="Earnings - Exhibits"/>
      <sheetName val="Slides_New (2)"/>
      <sheetName val="Wireless - old"/>
      <sheetName val="Model Main - old"/>
      <sheetName val="Cable - old"/>
      <sheetName val="NBCUniversal - old"/>
      <sheetName val="Sky - old"/>
      <sheetName val="Subscriber Mix Analysis (2)"/>
      <sheetName val="Subscriber Mix Analysis"/>
      <sheetName val="Slides_old"/>
      <sheetName val="Earnings - Variances - old"/>
      <sheetName val="Earnings - Exhibits - old"/>
      <sheetName val="Slides"/>
      <sheetName val="Model - Appendix"/>
      <sheetName val="Sheet1"/>
      <sheetName val="Debt Schedule"/>
      <sheetName val="Consensus Template"/>
      <sheetName val="Cable"/>
      <sheetName val="NBCUniversal"/>
      <sheetName val="Sky"/>
      <sheetName val="Wireless"/>
      <sheetName val="Sky Inputs"/>
      <sheetName val="Model Main pre Sky"/>
      <sheetName val="Cover Sheet"/>
      <sheetName val="Earnings Trends"/>
      <sheetName val="Model Appendix"/>
      <sheetName val="CMCSA-SKY"/>
      <sheetName val="DIS Model"/>
      <sheetName val="Cable-NBCU Split"/>
      <sheetName val="Mildred Annual"/>
      <sheetName val="CMCSA Fox Exhibits"/>
      <sheetName val="CMCSA-TMUS"/>
      <sheetName val="FKLink"/>
      <sheetName val="Seasonality"/>
      <sheetName val="Output (2)"/>
      <sheetName val="CMCSA-FOX-Sky Dom-Int Split"/>
      <sheetName val="CMCSA-FOX"/>
      <sheetName val="CMCSA-FOX-Sky"/>
      <sheetName val="TWC Churn Reduction"/>
      <sheetName val="CMCSA-TWC Merger Analysis"/>
      <sheetName val="CMCSA Model New"/>
      <sheetName val="Legacy CMCSA"/>
      <sheetName val="TWC Acquisition"/>
      <sheetName val="CHTR Subs"/>
      <sheetName val="PF Drivers"/>
      <sheetName val="PF Model Main"/>
      <sheetName val="PF Output"/>
      <sheetName val="CMCSA-CHTR"/>
    </sheetNames>
    <sheetDataSet>
      <sheetData sheetId="0"/>
      <sheetData sheetId="1"/>
      <sheetData sheetId="2">
        <row r="8">
          <cell r="EM8">
            <v>16596.002152515055</v>
          </cell>
        </row>
        <row r="23">
          <cell r="ES23">
            <v>37633.298999999999</v>
          </cell>
          <cell r="EZ23">
            <v>42548.951280584828</v>
          </cell>
        </row>
      </sheetData>
      <sheetData sheetId="3">
        <row r="11">
          <cell r="B11">
            <v>4695</v>
          </cell>
        </row>
      </sheetData>
      <sheetData sheetId="4">
        <row r="46">
          <cell r="EU46">
            <v>29583</v>
          </cell>
        </row>
      </sheetData>
      <sheetData sheetId="5"/>
      <sheetData sheetId="6"/>
      <sheetData sheetId="7">
        <row r="6">
          <cell r="B6">
            <v>40.4</v>
          </cell>
        </row>
        <row r="47">
          <cell r="C47">
            <v>6.7368894095691774</v>
          </cell>
        </row>
      </sheetData>
      <sheetData sheetId="8"/>
      <sheetData sheetId="9"/>
      <sheetData sheetId="10">
        <row r="5">
          <cell r="BH5" t="str">
            <v>1Q06</v>
          </cell>
        </row>
      </sheetData>
      <sheetData sheetId="11">
        <row r="5">
          <cell r="CB5" t="str">
            <v>1Q10</v>
          </cell>
        </row>
      </sheetData>
      <sheetData sheetId="12"/>
      <sheetData sheetId="13"/>
      <sheetData sheetId="14"/>
      <sheetData sheetId="15" refreshError="1"/>
      <sheetData sheetId="16">
        <row r="10">
          <cell r="DU10">
            <v>225</v>
          </cell>
        </row>
      </sheetData>
      <sheetData sheetId="17">
        <row r="24">
          <cell r="DO24">
            <v>-840</v>
          </cell>
        </row>
      </sheetData>
      <sheetData sheetId="18">
        <row r="8">
          <cell r="DJ8">
            <v>22204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__FDSCACHE__"/>
      <sheetName val="Cover Sheet"/>
      <sheetName val="Consolidated - Full PF"/>
      <sheetName val="Consolidated pre-TWX (keep)"/>
      <sheetName val="Consolidated - RemainCo"/>
      <sheetName val="Consolidated - New (ex DTV)"/>
      <sheetName val="Historical Segment view"/>
      <sheetName val="Internet Air"/>
      <sheetName val="Prime"/>
      <sheetName val="Wireless"/>
      <sheetName val="Consumer Wireline"/>
      <sheetName val="Business Wireline"/>
      <sheetName val="Sheet2"/>
      <sheetName val="Entertainment-Old"/>
      <sheetName val="Mexico Wireless"/>
      <sheetName val="Corporate &amp; Other"/>
      <sheetName val="Corporate, Other &amp; Eliminations"/>
      <sheetName val="WarnerMedia"/>
      <sheetName val="New Broadband Model"/>
      <sheetName val="VZ vs. T"/>
      <sheetName val="Frontier Acq. Analysis"/>
      <sheetName val="Valuation"/>
      <sheetName val="Inputs"/>
      <sheetName val="Earnings Trends"/>
      <sheetName val="Earnings - Variances"/>
      <sheetName val="New Analysis"/>
      <sheetName val="Informal Guide"/>
      <sheetName val="Output"/>
      <sheetName val="Standalone"/>
      <sheetName val="New vs. Old Live"/>
      <sheetName val="New vs. Consensus Live"/>
      <sheetName val="Internet Air - on Total"/>
      <sheetName val="Video"/>
      <sheetName val="FCF"/>
      <sheetName val="Valuation -Defunct"/>
      <sheetName val="New vs. Consensus"/>
      <sheetName val="New vs. Old"/>
      <sheetName val="Guidance New"/>
      <sheetName val="Firstnet"/>
      <sheetName val="Consolidated - Pre Divestitures"/>
      <sheetName val="Entertainment"/>
      <sheetName val="DirecTV US"/>
      <sheetName val="Debt Schedule"/>
      <sheetName val="Consumer Mobility (pre-TWX)"/>
      <sheetName val="Slides New"/>
      <sheetName val="PF for Video"/>
      <sheetName val="Slides"/>
      <sheetName val="ASC 606 Impact"/>
      <sheetName val="Historic Wireline"/>
      <sheetName val="DISH-DTV Analysis"/>
      <sheetName val="Sheet1"/>
      <sheetName val="Seasonality"/>
      <sheetName val="T-TWX Model"/>
      <sheetName val="Guidance"/>
      <sheetName val="Earnings - Variances (2)"/>
      <sheetName val="Advertising"/>
      <sheetName val="Mildred Annual"/>
      <sheetName val="DTV Model Main OLD"/>
      <sheetName val="XLinkMeta"/>
      <sheetName val="T Model New"/>
      <sheetName val="Sheet3"/>
      <sheetName val="New vs. Old22"/>
      <sheetName val="New vs. Consensus22"/>
      <sheetName val="Economics of Fiber"/>
      <sheetName val="Internet Air (2)"/>
      <sheetName val="Analysis"/>
      <sheetName val="International (ex Vrio)"/>
    </sheetNames>
    <sheetDataSet>
      <sheetData sheetId="0"/>
      <sheetData sheetId="1"/>
      <sheetData sheetId="2">
        <row r="10">
          <cell r="ES10">
            <v>20883</v>
          </cell>
        </row>
        <row r="28">
          <cell r="ES28">
            <v>43400</v>
          </cell>
          <cell r="FD28">
            <v>45996.664328198509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5">
          <cell r="BC5" t="str">
            <v>1Q05</v>
          </cell>
        </row>
      </sheetData>
      <sheetData sheetId="10">
        <row r="5">
          <cell r="EJ5" t="str">
            <v>1Q22</v>
          </cell>
        </row>
      </sheetData>
      <sheetData sheetId="11">
        <row r="8">
          <cell r="ES8">
            <v>20274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B6">
            <v>23.73</v>
          </cell>
        </row>
        <row r="409">
          <cell r="D409">
            <v>5.9121049258175953</v>
          </cell>
        </row>
      </sheetData>
      <sheetData sheetId="22">
        <row r="1">
          <cell r="A1" t="str">
            <v>AT&amp;T</v>
          </cell>
        </row>
      </sheetData>
      <sheetData sheetId="23"/>
      <sheetData sheetId="24"/>
      <sheetData sheetId="25"/>
      <sheetData sheetId="26">
        <row r="6">
          <cell r="B6" t="str">
            <v>"Higher end of previous range"</v>
          </cell>
        </row>
      </sheetData>
      <sheetData sheetId="27">
        <row r="102">
          <cell r="DF102">
            <v>47129.833061091143</v>
          </cell>
        </row>
      </sheetData>
      <sheetData sheetId="28"/>
      <sheetData sheetId="29">
        <row r="6">
          <cell r="B6">
            <v>40</v>
          </cell>
        </row>
      </sheetData>
      <sheetData sheetId="30">
        <row r="1">
          <cell r="A1"/>
        </row>
      </sheetData>
      <sheetData sheetId="31"/>
      <sheetData sheetId="32"/>
      <sheetData sheetId="33"/>
      <sheetData sheetId="34"/>
      <sheetData sheetId="35"/>
      <sheetData sheetId="36">
        <row r="1">
          <cell r="A1"/>
        </row>
      </sheetData>
      <sheetData sheetId="37">
        <row r="1">
          <cell r="A1" t="str">
            <v>2023 Guidance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6">
          <cell r="B6" t="str">
            <v>1Q15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>
        <row r="1">
          <cell r="A1"/>
        </row>
      </sheetData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__FDSCACHE__"/>
      <sheetName val="Cover Sheet"/>
      <sheetName val="Pro Forma Model Main"/>
      <sheetName val="Pro Forma Wireless"/>
      <sheetName val="PF Valuation"/>
      <sheetName val="CHTR-TMUS"/>
      <sheetName val="Earnings Variances Full"/>
      <sheetName val="Earnings Variances Live"/>
      <sheetName val="Output"/>
      <sheetName val="Model vs. Prior"/>
      <sheetName val="Model Cons."/>
      <sheetName val="Model Cons. Live"/>
      <sheetName val="Model vs. Consensus"/>
      <sheetName val="New Charts"/>
      <sheetName val="NSR vs. Mgmt."/>
      <sheetName val="NSR vs. Consensus Earnings"/>
      <sheetName val="Consensus"/>
      <sheetName val="Analysis"/>
      <sheetName val="Earnings Variances"/>
      <sheetName val="Inputs"/>
      <sheetName val="Earnings Trends"/>
      <sheetName val="New Guidance Tab"/>
      <sheetName val="Industry New"/>
      <sheetName val="Model Main"/>
      <sheetName val="Wireless"/>
      <sheetName val="PF Debt Schedule"/>
      <sheetName val="Mildred Annual"/>
      <sheetName val="Newco Model Main"/>
      <sheetName val="TMO - Subscriber Analysis"/>
      <sheetName val="TMO - Model Main"/>
      <sheetName val="TMO - Wireless"/>
      <sheetName val="TMO - Seasonality"/>
      <sheetName val="TMO - Output"/>
      <sheetName val="PCS SA - Model Main"/>
      <sheetName val="PCS SA - Wireless"/>
      <sheetName val="PCS Sub Transition"/>
      <sheetName val="PCS SA - Seasonality"/>
      <sheetName val="PCS - Output"/>
      <sheetName val="Model vs Prior"/>
      <sheetName val="Industry Numbers"/>
      <sheetName val="Earnings charts"/>
      <sheetName val="Synergy Detail"/>
      <sheetName val="Spectrum Amort"/>
      <sheetName val="NSR vs Consensus"/>
      <sheetName val="Misc"/>
      <sheetName val="FWB"/>
      <sheetName val="Backing into Mgmt."/>
      <sheetName val="Exhibits - PF TMUS"/>
      <sheetName val="Normalizations"/>
      <sheetName val="Sheet4"/>
      <sheetName val="Variances"/>
      <sheetName val="Model Main-Covid"/>
      <sheetName val="Wireless-Covid"/>
      <sheetName val="Sheet1"/>
      <sheetName val="Valuation"/>
      <sheetName val="Sheet2"/>
      <sheetName val="Installment Plans"/>
      <sheetName val="Sub Mix and Tablets"/>
      <sheetName val="Accounting Impact"/>
      <sheetName val="Debt Schedule"/>
      <sheetName val="Potential Bidders"/>
      <sheetName val="Exhibits - Trends 16-06-16"/>
      <sheetName val="ARPU Decomp (VS)"/>
      <sheetName val="Main Sub Decomp Pre-UC 11"/>
      <sheetName val="Slides"/>
      <sheetName val="Guidance"/>
      <sheetName val="Sheet3"/>
      <sheetName val="DISH-TMUS"/>
      <sheetName val="CMCSA-TMUS"/>
      <sheetName val="CableCo-TMUS"/>
      <sheetName val="Earnings Analysis"/>
      <sheetName val="Earnings Industry Analysis"/>
      <sheetName val="Seasonality"/>
      <sheetName val="Changes"/>
      <sheetName val="Model vs Prior (2)"/>
      <sheetName val="Model Cons. (2)"/>
      <sheetName val="Analysis (2)"/>
      <sheetName val="Joint Ventures"/>
    </sheetNames>
    <sheetDataSet>
      <sheetData sheetId="0"/>
      <sheetData sheetId="1"/>
      <sheetData sheetId="2">
        <row r="11">
          <cell r="EL11">
            <v>261</v>
          </cell>
        </row>
        <row r="26">
          <cell r="ES26">
            <v>29091</v>
          </cell>
          <cell r="FD26">
            <v>36355.529356728744</v>
          </cell>
        </row>
      </sheetData>
      <sheetData sheetId="3">
        <row r="5">
          <cell r="EP5" t="str">
            <v>2Q23</v>
          </cell>
        </row>
      </sheetData>
      <sheetData sheetId="4">
        <row r="9">
          <cell r="B9">
            <v>164.39</v>
          </cell>
        </row>
      </sheetData>
      <sheetData sheetId="5"/>
      <sheetData sheetId="6"/>
      <sheetData sheetId="7"/>
      <sheetData sheetId="8">
        <row r="102">
          <cell r="DF102">
            <v>16199.384544618215</v>
          </cell>
        </row>
      </sheetData>
      <sheetData sheetId="9"/>
      <sheetData sheetId="10"/>
      <sheetData sheetId="11"/>
      <sheetData sheetId="12"/>
      <sheetData sheetId="13">
        <row r="491">
          <cell r="J491" t="str">
            <v>1Q19</v>
          </cell>
        </row>
      </sheetData>
      <sheetData sheetId="14"/>
      <sheetData sheetId="15"/>
      <sheetData sheetId="16"/>
      <sheetData sheetId="17"/>
      <sheetData sheetId="18"/>
      <sheetData sheetId="19">
        <row r="188">
          <cell r="CB188">
            <v>758.80100000000004</v>
          </cell>
        </row>
      </sheetData>
      <sheetData sheetId="20">
        <row r="33">
          <cell r="B33" t="e">
            <v>#REF!</v>
          </cell>
        </row>
      </sheetData>
      <sheetData sheetId="21"/>
      <sheetData sheetId="22"/>
      <sheetData sheetId="23"/>
      <sheetData sheetId="24">
        <row r="13">
          <cell r="DM13">
            <v>7660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work Costs"/>
      <sheetName val="Capex"/>
      <sheetName val="Opex"/>
      <sheetName val="Total Cost"/>
      <sheetName val="NYC Supply vs Demand_3"/>
      <sheetName val="NY Density Data"/>
      <sheetName val="Capacity_OLD"/>
      <sheetName val="Carriers Capacity"/>
      <sheetName val="Saw Capacity Calc"/>
      <sheetName val="NYC Supply vs Demand"/>
      <sheetName val="NYC Supply vs Demand_2"/>
      <sheetName val="Utilization"/>
      <sheetName val="Pricing-Value"/>
      <sheetName val="ROIC"/>
      <sheetName val="Asset Value"/>
      <sheetName val="Total Network Cost"/>
      <sheetName val="POPs"/>
      <sheetName val="Prev. Analysis"/>
      <sheetName val="Wholesale v. Retail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Peak-to-Average Case + other revisions</v>
          </cell>
        </row>
        <row r="3">
          <cell r="A3" t="str">
            <v>Total Capacity</v>
          </cell>
        </row>
        <row r="4">
          <cell r="A4" t="str">
            <v>Avg. spectrum available (MHz)</v>
          </cell>
          <cell r="B4">
            <v>142</v>
          </cell>
        </row>
        <row r="5">
          <cell r="A5" t="str">
            <v>/ Channel bandwidth (MHz)</v>
          </cell>
          <cell r="B5">
            <v>10</v>
          </cell>
          <cell r="G5">
            <v>1</v>
          </cell>
          <cell r="H5">
            <v>0.9</v>
          </cell>
          <cell r="I5">
            <v>0.8</v>
          </cell>
          <cell r="J5">
            <v>0.7</v>
          </cell>
          <cell r="K5">
            <v>0.6</v>
          </cell>
          <cell r="L5">
            <v>0.5</v>
          </cell>
          <cell r="M5">
            <v>0.4</v>
          </cell>
          <cell r="N5">
            <v>0.3</v>
          </cell>
          <cell r="O5">
            <v>0.2</v>
          </cell>
          <cell r="P5">
            <v>0.1</v>
          </cell>
        </row>
        <row r="6">
          <cell r="A6" t="str">
            <v>/ Frequency reuse factor</v>
          </cell>
          <cell r="B6">
            <v>3</v>
          </cell>
          <cell r="F6">
            <v>327383029.07698756</v>
          </cell>
          <cell r="G6">
            <v>2182553527.1799173</v>
          </cell>
          <cell r="H6">
            <v>1964298174.4619255</v>
          </cell>
          <cell r="I6">
            <v>1746042821.7439337</v>
          </cell>
          <cell r="J6">
            <v>1527787469.0259418</v>
          </cell>
          <cell r="K6">
            <v>1309532116.3079503</v>
          </cell>
          <cell r="L6">
            <v>1091276763.5899587</v>
          </cell>
          <cell r="M6">
            <v>873021410.87196684</v>
          </cell>
          <cell r="N6">
            <v>654766058.15397513</v>
          </cell>
          <cell r="O6">
            <v>436510705.43598342</v>
          </cell>
          <cell r="P6">
            <v>218255352.71799171</v>
          </cell>
        </row>
        <row r="7">
          <cell r="A7" t="str">
            <v>= Channels per sector</v>
          </cell>
          <cell r="B7">
            <v>4.7333333333333334</v>
          </cell>
          <cell r="F7" t="str">
            <v>% of 2015 demand</v>
          </cell>
          <cell r="G7">
            <v>2.4332701916975368</v>
          </cell>
          <cell r="H7">
            <v>2.1899431725277827</v>
          </cell>
          <cell r="I7">
            <v>1.9466161533580291</v>
          </cell>
          <cell r="J7">
            <v>1.7032891341882754</v>
          </cell>
          <cell r="K7">
            <v>1.4599621150185218</v>
          </cell>
          <cell r="L7">
            <v>1.2166350958487684</v>
          </cell>
          <cell r="M7">
            <v>0.97330807667901453</v>
          </cell>
          <cell r="N7">
            <v>0.7299810575092609</v>
          </cell>
          <cell r="O7">
            <v>0.48665403833950727</v>
          </cell>
          <cell r="P7">
            <v>0.24332701916975363</v>
          </cell>
        </row>
        <row r="8">
          <cell r="A8" t="str">
            <v>x Avg. throughput per channel (Mbps)</v>
          </cell>
          <cell r="B8">
            <v>13.3</v>
          </cell>
          <cell r="C8" t="str">
            <v>Busy hour, 100% loaded</v>
          </cell>
        </row>
        <row r="9">
          <cell r="A9" t="str">
            <v>= Throughput per sector (Mbps)</v>
          </cell>
          <cell r="B9">
            <v>62.95333333333334</v>
          </cell>
          <cell r="C9" t="str">
            <v>Busy hour, 100% loaded</v>
          </cell>
        </row>
        <row r="10">
          <cell r="A10" t="str">
            <v>x Sectors per site</v>
          </cell>
          <cell r="B10">
            <v>3</v>
          </cell>
        </row>
        <row r="11">
          <cell r="A11" t="str">
            <v>= Throughput per site (Mbps)</v>
          </cell>
          <cell r="B11">
            <v>188.86</v>
          </cell>
          <cell r="C11" t="str">
            <v>Busy hour, 100% loaded</v>
          </cell>
        </row>
        <row r="12">
          <cell r="A12" t="str">
            <v>x Cell sites</v>
          </cell>
          <cell r="B12">
            <v>36000</v>
          </cell>
        </row>
        <row r="13">
          <cell r="A13" t="str">
            <v>= Network peak throughput (Mbps)</v>
          </cell>
          <cell r="B13">
            <v>6798960.0000000009</v>
          </cell>
          <cell r="C13" t="str">
            <v>Busy hour, 100% loaded</v>
          </cell>
        </row>
        <row r="14">
          <cell r="A14" t="str">
            <v>/ Peak to average throughput ratio</v>
          </cell>
          <cell r="B14">
            <v>0.15</v>
          </cell>
          <cell r="C14" t="str">
            <v>Avg. site utilization over a day, busy hour, 100% loaded</v>
          </cell>
        </row>
        <row r="15">
          <cell r="A15" t="str">
            <v>= Network throughput (Mbps)</v>
          </cell>
          <cell r="B15">
            <v>1019844.0000000001</v>
          </cell>
          <cell r="C15" t="str">
            <v>Avg. over a day</v>
          </cell>
        </row>
        <row r="16">
          <cell r="A16" t="str">
            <v>x seconds / 1 month</v>
          </cell>
          <cell r="B16">
            <v>2629744</v>
          </cell>
        </row>
        <row r="17">
          <cell r="A17" t="str">
            <v>x GB / 1 Mb</v>
          </cell>
          <cell r="B17">
            <v>1.2207E-4</v>
          </cell>
        </row>
        <row r="18">
          <cell r="A18" t="str">
            <v>= Total data capacity (GB) / month</v>
          </cell>
          <cell r="B18">
            <v>327383029.07698756</v>
          </cell>
        </row>
        <row r="20">
          <cell r="A20" t="str">
            <v>Current Capacity Utilization</v>
          </cell>
        </row>
        <row r="21">
          <cell r="A21" t="str">
            <v>Avg. spectrum available (MHz)</v>
          </cell>
          <cell r="B21">
            <v>30</v>
          </cell>
        </row>
        <row r="22">
          <cell r="A22" t="str">
            <v>/ Channel bandwidth (MHz)</v>
          </cell>
          <cell r="B22">
            <v>10</v>
          </cell>
        </row>
        <row r="23">
          <cell r="A23" t="str">
            <v>/ Frequency reuse factor</v>
          </cell>
          <cell r="B23">
            <v>3</v>
          </cell>
        </row>
        <row r="24">
          <cell r="A24" t="str">
            <v>= Channels per sector</v>
          </cell>
          <cell r="B24">
            <v>1</v>
          </cell>
        </row>
        <row r="25">
          <cell r="A25" t="str">
            <v>x Avg. throughput per channel (Mbps)</v>
          </cell>
          <cell r="B25">
            <v>13.3</v>
          </cell>
        </row>
        <row r="26">
          <cell r="A26" t="str">
            <v>= Throughput per sector (Mbps)</v>
          </cell>
          <cell r="B26">
            <v>13.3</v>
          </cell>
        </row>
        <row r="27">
          <cell r="A27" t="str">
            <v>x Sectors per site</v>
          </cell>
          <cell r="B27">
            <v>3</v>
          </cell>
        </row>
        <row r="28">
          <cell r="A28" t="str">
            <v>= Throughput per site (Mbps)</v>
          </cell>
          <cell r="B28">
            <v>39.900000000000006</v>
          </cell>
        </row>
        <row r="29">
          <cell r="A29" t="str">
            <v>x Cell sites</v>
          </cell>
          <cell r="B29">
            <v>15000</v>
          </cell>
        </row>
        <row r="30">
          <cell r="A30" t="str">
            <v>= Network peak throughput (Mbps)</v>
          </cell>
          <cell r="B30">
            <v>598500.00000000012</v>
          </cell>
        </row>
        <row r="31">
          <cell r="A31" t="str">
            <v>x Peak to average throughput ratio</v>
          </cell>
          <cell r="B31">
            <v>0.15</v>
          </cell>
        </row>
        <row r="32">
          <cell r="A32" t="str">
            <v>= Network throughput (Mbps)</v>
          </cell>
          <cell r="B32">
            <v>89775.000000000015</v>
          </cell>
        </row>
        <row r="33">
          <cell r="A33" t="str">
            <v>x seconds / 1 month</v>
          </cell>
          <cell r="B33">
            <v>2629744</v>
          </cell>
        </row>
        <row r="34">
          <cell r="A34" t="str">
            <v>x GB / 1 Mb</v>
          </cell>
          <cell r="B34">
            <v>1.2207E-4</v>
          </cell>
        </row>
        <row r="35">
          <cell r="A35" t="str">
            <v>= Total data capacity (GB) / month</v>
          </cell>
          <cell r="B35">
            <v>28818928.615932003</v>
          </cell>
        </row>
        <row r="37">
          <cell r="A37" t="str">
            <v>CLWR Markets as % of Total Data Demand</v>
          </cell>
        </row>
        <row r="38">
          <cell r="A38" t="str">
            <v>Avg. spectrum available (MHz)</v>
          </cell>
          <cell r="B38">
            <v>142</v>
          </cell>
        </row>
        <row r="39">
          <cell r="A39" t="str">
            <v>/ Channel bandwidth (MHz)</v>
          </cell>
          <cell r="B39">
            <v>10</v>
          </cell>
        </row>
        <row r="40">
          <cell r="A40" t="str">
            <v>/ Frequency reuse factor</v>
          </cell>
          <cell r="B40">
            <v>3</v>
          </cell>
        </row>
        <row r="41">
          <cell r="A41" t="str">
            <v>= Channels per sector</v>
          </cell>
          <cell r="B41">
            <v>4.7333333333333334</v>
          </cell>
        </row>
        <row r="42">
          <cell r="A42" t="str">
            <v>x Avg. throughput per channel (Mbps)</v>
          </cell>
          <cell r="B42">
            <v>13.3</v>
          </cell>
        </row>
        <row r="43">
          <cell r="A43" t="str">
            <v>= Throughput per sector (Mbps)</v>
          </cell>
          <cell r="B43">
            <v>62.95333333333334</v>
          </cell>
        </row>
        <row r="44">
          <cell r="A44" t="str">
            <v>x Sectors per site</v>
          </cell>
          <cell r="B44">
            <v>3</v>
          </cell>
        </row>
        <row r="45">
          <cell r="A45" t="str">
            <v>= Gross throughput per site (Mbps)</v>
          </cell>
          <cell r="B45">
            <v>188.86</v>
          </cell>
        </row>
        <row r="46">
          <cell r="A46" t="str">
            <v>x Peak to average throughput ratio</v>
          </cell>
          <cell r="B46">
            <v>0.15</v>
          </cell>
        </row>
        <row r="47">
          <cell r="A47" t="str">
            <v>= Effective throughput per site (Mbps)</v>
          </cell>
          <cell r="B47">
            <v>28.329000000000001</v>
          </cell>
        </row>
        <row r="48">
          <cell r="A48" t="str">
            <v>x Cell sites</v>
          </cell>
          <cell r="B48">
            <v>36000</v>
          </cell>
        </row>
        <row r="49">
          <cell r="A49" t="str">
            <v>= Network throughput (Mbps)</v>
          </cell>
          <cell r="B49">
            <v>1019844</v>
          </cell>
        </row>
        <row r="50">
          <cell r="A50" t="str">
            <v>x seconds / 1 month</v>
          </cell>
          <cell r="B50">
            <v>2629744</v>
          </cell>
        </row>
        <row r="51">
          <cell r="A51" t="str">
            <v>x GB / 1 Mb</v>
          </cell>
          <cell r="B51">
            <v>1.2207E-4</v>
          </cell>
        </row>
        <row r="52">
          <cell r="A52" t="str">
            <v>= CLWR data capacity (GB) / month</v>
          </cell>
          <cell r="B52">
            <v>327383029.0769875</v>
          </cell>
        </row>
        <row r="53">
          <cell r="A53" t="str">
            <v>/ Total data demand 2015 (GB / month)</v>
          </cell>
          <cell r="B53">
            <v>896963080.64222395</v>
          </cell>
        </row>
        <row r="54">
          <cell r="A54" t="str">
            <v>memo: % of data demand / month in 2015</v>
          </cell>
          <cell r="B54">
            <v>0.36499052875463039</v>
          </cell>
        </row>
        <row r="59">
          <cell r="A59" t="str">
            <v>Busy Hour Only (Pessimistic Case)</v>
          </cell>
        </row>
        <row r="61">
          <cell r="A61" t="str">
            <v>Total Capacity</v>
          </cell>
        </row>
        <row r="62">
          <cell r="A62" t="str">
            <v>Avg. spectrum depth (MHz)</v>
          </cell>
          <cell r="B62">
            <v>142</v>
          </cell>
        </row>
        <row r="63">
          <cell r="A63" t="str">
            <v>/ Spectrum per channel (MHz)</v>
          </cell>
          <cell r="B63">
            <v>10</v>
          </cell>
        </row>
        <row r="64">
          <cell r="A64" t="str">
            <v>= Maximum channels / site</v>
          </cell>
          <cell r="B64">
            <v>14.2</v>
          </cell>
        </row>
        <row r="65">
          <cell r="A65" t="str">
            <v>x Avg. throughput / channel (Mbps)</v>
          </cell>
          <cell r="B65">
            <v>13.3</v>
          </cell>
        </row>
        <row r="66">
          <cell r="A66" t="str">
            <v>= Total throughput / site</v>
          </cell>
          <cell r="B66">
            <v>188.86</v>
          </cell>
        </row>
        <row r="67">
          <cell r="A67" t="str">
            <v>x Cell sites</v>
          </cell>
          <cell r="B67">
            <v>36000</v>
          </cell>
        </row>
        <row r="68">
          <cell r="A68" t="str">
            <v>= Total throughput (Mbps)</v>
          </cell>
          <cell r="B68">
            <v>6798960.0000000009</v>
          </cell>
        </row>
        <row r="69">
          <cell r="A69" t="str">
            <v>/ Contention ratio</v>
          </cell>
          <cell r="B69">
            <v>15</v>
          </cell>
        </row>
        <row r="70">
          <cell r="A70" t="str">
            <v>= Effective throughput (Mbps)</v>
          </cell>
          <cell r="B70">
            <v>453264.00000000006</v>
          </cell>
        </row>
        <row r="71">
          <cell r="A71" t="str">
            <v>x seconds / 1 month</v>
          </cell>
          <cell r="B71">
            <v>2629744</v>
          </cell>
        </row>
        <row r="72">
          <cell r="A72" t="str">
            <v>x GB / 1 Mb</v>
          </cell>
          <cell r="B72">
            <v>1.2207E-4</v>
          </cell>
        </row>
        <row r="73">
          <cell r="A73" t="str">
            <v>= Total data capacity (GB) / month</v>
          </cell>
          <cell r="B73">
            <v>145503568.47866115</v>
          </cell>
        </row>
        <row r="75">
          <cell r="A75" t="str">
            <v>Current Capacity Utilization</v>
          </cell>
        </row>
        <row r="76">
          <cell r="A76" t="str">
            <v>Avg. spectrum depth (MHz)</v>
          </cell>
          <cell r="B76">
            <v>30</v>
          </cell>
          <cell r="C76" t="str">
            <v>Starting pt. for new site</v>
          </cell>
        </row>
        <row r="77">
          <cell r="A77" t="str">
            <v>/ Spectrum per channel (MHz)</v>
          </cell>
          <cell r="B77">
            <v>10</v>
          </cell>
        </row>
        <row r="78">
          <cell r="A78" t="str">
            <v>= Channels / site</v>
          </cell>
          <cell r="B78">
            <v>3</v>
          </cell>
        </row>
        <row r="79">
          <cell r="A79" t="str">
            <v>x Avg. throughput / channel (Mbps)</v>
          </cell>
          <cell r="B79">
            <v>13.3</v>
          </cell>
        </row>
        <row r="80">
          <cell r="A80" t="str">
            <v>= Total throughput / site</v>
          </cell>
          <cell r="B80">
            <v>39.900000000000006</v>
          </cell>
        </row>
        <row r="81">
          <cell r="A81" t="str">
            <v>x Cell sites</v>
          </cell>
          <cell r="B81">
            <v>15000</v>
          </cell>
        </row>
        <row r="82">
          <cell r="A82" t="str">
            <v>= Total throughput (Mbps)</v>
          </cell>
          <cell r="B82">
            <v>598500.00000000012</v>
          </cell>
        </row>
        <row r="83">
          <cell r="A83" t="str">
            <v>/ Contention ratio</v>
          </cell>
          <cell r="B83">
            <v>15</v>
          </cell>
        </row>
        <row r="84">
          <cell r="A84" t="str">
            <v>= Effective throughput (Mbps)</v>
          </cell>
          <cell r="B84">
            <v>39900.000000000007</v>
          </cell>
        </row>
        <row r="85">
          <cell r="A85" t="str">
            <v>x seconds / 1 month</v>
          </cell>
          <cell r="B85">
            <v>2629744</v>
          </cell>
        </row>
        <row r="86">
          <cell r="A86" t="str">
            <v>x GB / 1 Mb</v>
          </cell>
          <cell r="B86">
            <v>1.2207E-4</v>
          </cell>
        </row>
        <row r="87">
          <cell r="A87" t="str">
            <v>= Total data capacity (GB) / month</v>
          </cell>
          <cell r="B87">
            <v>12808412.718192002</v>
          </cell>
          <cell r="C87">
            <v>8.8028169014084501E-2</v>
          </cell>
        </row>
        <row r="89">
          <cell r="A89" t="str">
            <v>CLWR Markets - % of Demand</v>
          </cell>
        </row>
        <row r="90">
          <cell r="A90" t="str">
            <v>Avg. spectrum depth (MHz)</v>
          </cell>
          <cell r="B90">
            <v>142</v>
          </cell>
        </row>
        <row r="91">
          <cell r="A91" t="str">
            <v>/ Spectrum per channel (MHz)</v>
          </cell>
          <cell r="B91">
            <v>10</v>
          </cell>
        </row>
        <row r="92">
          <cell r="A92" t="str">
            <v>= Maximum channels / site</v>
          </cell>
          <cell r="B92">
            <v>14.2</v>
          </cell>
        </row>
        <row r="93">
          <cell r="A93" t="str">
            <v>x Avg. throughput / channel (Mbps)</v>
          </cell>
          <cell r="B93">
            <v>13.3</v>
          </cell>
        </row>
        <row r="94">
          <cell r="A94" t="str">
            <v>= Total throughput / site</v>
          </cell>
          <cell r="B94">
            <v>188.86</v>
          </cell>
        </row>
        <row r="95">
          <cell r="A95" t="str">
            <v>x Cell sites</v>
          </cell>
          <cell r="B95">
            <v>36000</v>
          </cell>
        </row>
        <row r="96">
          <cell r="A96" t="str">
            <v>= Total throughput (Mbps)</v>
          </cell>
          <cell r="B96">
            <v>6798960.0000000009</v>
          </cell>
        </row>
        <row r="97">
          <cell r="A97" t="str">
            <v>/ Contention ratio</v>
          </cell>
          <cell r="B97">
            <v>15</v>
          </cell>
        </row>
        <row r="98">
          <cell r="A98" t="str">
            <v>= Effective throughput (Mbps)</v>
          </cell>
          <cell r="B98">
            <v>453264.00000000006</v>
          </cell>
        </row>
        <row r="99">
          <cell r="A99" t="str">
            <v>x seconds / 1 month</v>
          </cell>
          <cell r="B99">
            <v>2629744</v>
          </cell>
        </row>
        <row r="100">
          <cell r="A100" t="str">
            <v>x GB / 1 Mb</v>
          </cell>
          <cell r="B100">
            <v>1.2207E-4</v>
          </cell>
        </row>
        <row r="101">
          <cell r="A101" t="str">
            <v>= CLWR data capacity (GB / month)</v>
          </cell>
          <cell r="B101">
            <v>145503568.47866115</v>
          </cell>
        </row>
        <row r="102">
          <cell r="A102" t="str">
            <v>/ Total data demand 2015 (GB / month)</v>
          </cell>
          <cell r="B102">
            <v>896963080.64222395</v>
          </cell>
        </row>
        <row r="103">
          <cell r="A103" t="str">
            <v>memo: % of data demand / month in 2015</v>
          </cell>
          <cell r="B103">
            <v>0.16221801277983577</v>
          </cell>
        </row>
        <row r="110">
          <cell r="A110" t="str">
            <v>New York Supply vs. Capacity</v>
          </cell>
        </row>
        <row r="111">
          <cell r="A111" t="str">
            <v>Avg. spectrum available (MHz)</v>
          </cell>
          <cell r="B111">
            <v>142</v>
          </cell>
          <cell r="C111">
            <v>4.7333333333333334</v>
          </cell>
        </row>
        <row r="112">
          <cell r="A112" t="str">
            <v>/ Channel bandwidth (MHz)</v>
          </cell>
          <cell r="B112">
            <v>10</v>
          </cell>
          <cell r="C112">
            <v>62.95333333333334</v>
          </cell>
        </row>
        <row r="113">
          <cell r="A113" t="str">
            <v>/ Frequency reuse factor</v>
          </cell>
          <cell r="B113">
            <v>3</v>
          </cell>
          <cell r="C113">
            <v>188.86</v>
          </cell>
        </row>
        <row r="114">
          <cell r="A114" t="str">
            <v>= Channels per sector</v>
          </cell>
          <cell r="B114">
            <v>4.7333333333333334</v>
          </cell>
        </row>
        <row r="115">
          <cell r="A115" t="str">
            <v>x Avg. throughput per channel (Mbps)</v>
          </cell>
          <cell r="B115">
            <v>13.3</v>
          </cell>
        </row>
        <row r="116">
          <cell r="A116" t="str">
            <v>= Throughput per sector (Mbps)</v>
          </cell>
          <cell r="B116">
            <v>62.95333333333334</v>
          </cell>
        </row>
        <row r="117">
          <cell r="A117" t="str">
            <v>x Sectors per site</v>
          </cell>
          <cell r="B117">
            <v>3</v>
          </cell>
        </row>
        <row r="118">
          <cell r="A118" t="str">
            <v>= Throughput per site (Mbps)</v>
          </cell>
          <cell r="B118">
            <v>81.960832009193439</v>
          </cell>
        </row>
        <row r="119">
          <cell r="A119" t="str">
            <v>x Cell sites</v>
          </cell>
          <cell r="B119">
            <v>1333</v>
          </cell>
        </row>
        <row r="120">
          <cell r="A120" t="str">
            <v>= Network peak throughput (Mbps)</v>
          </cell>
          <cell r="B120">
            <v>109253.78906825486</v>
          </cell>
        </row>
        <row r="121">
          <cell r="A121" t="str">
            <v>x Peak to average throughput ratio</v>
          </cell>
          <cell r="B121">
            <v>0.66</v>
          </cell>
        </row>
        <row r="122">
          <cell r="A122" t="str">
            <v>= Network throughput (Mbps)</v>
          </cell>
          <cell r="B122">
            <v>72107.500785048207</v>
          </cell>
        </row>
        <row r="123">
          <cell r="A123" t="str">
            <v>x seconds / 1 month</v>
          </cell>
          <cell r="B123">
            <v>2629744</v>
          </cell>
          <cell r="I123" t="str">
            <v>Population of NYC</v>
          </cell>
          <cell r="J123">
            <v>8378714.5200000005</v>
          </cell>
        </row>
        <row r="124">
          <cell r="A124" t="str">
            <v>x GB / 1 Mb</v>
          </cell>
          <cell r="B124">
            <v>1.2207E-4</v>
          </cell>
        </row>
        <row r="125">
          <cell r="A125" t="str">
            <v>= Total data capacity (GB) / month</v>
          </cell>
          <cell r="B125">
            <v>23147434.339154165</v>
          </cell>
        </row>
        <row r="127">
          <cell r="J127" t="str">
            <v>% of NYC POP Covered (proportionate to spectrum holding)</v>
          </cell>
        </row>
        <row r="128">
          <cell r="A128" t="str">
            <v>Supply</v>
          </cell>
          <cell r="E128" t="str">
            <v>Spectrum - Amount</v>
          </cell>
          <cell r="F128" t="str">
            <v>Spectrum - Type</v>
          </cell>
          <cell r="I128" t="str">
            <v>Cell Sites Required - 300 MM</v>
          </cell>
          <cell r="K128" t="str">
            <v>Cell Sites Required - NYC POP</v>
          </cell>
        </row>
        <row r="129">
          <cell r="A129" t="str">
            <v>Avg. spectrum available (MHz)</v>
          </cell>
          <cell r="B129">
            <v>142</v>
          </cell>
          <cell r="E129" t="str">
            <v>700 MHz</v>
          </cell>
          <cell r="I129">
            <v>25000</v>
          </cell>
          <cell r="J129">
            <v>3094650.8403015076</v>
          </cell>
          <cell r="K129">
            <v>257.88757002512563</v>
          </cell>
        </row>
        <row r="130">
          <cell r="A130" t="str">
            <v>/ Channel bandwidth (MHz)</v>
          </cell>
          <cell r="B130">
            <v>10</v>
          </cell>
          <cell r="E130">
            <v>70</v>
          </cell>
          <cell r="F130" t="str">
            <v>700 MHz</v>
          </cell>
          <cell r="G130">
            <v>700</v>
          </cell>
        </row>
        <row r="131">
          <cell r="A131" t="str">
            <v>/ Frequency reuse factor</v>
          </cell>
          <cell r="B131">
            <v>3</v>
          </cell>
          <cell r="E131">
            <v>24</v>
          </cell>
          <cell r="F131" t="str">
            <v>SMR</v>
          </cell>
          <cell r="G131">
            <v>800</v>
          </cell>
        </row>
        <row r="132">
          <cell r="A132" t="str">
            <v>= Channels per sector</v>
          </cell>
          <cell r="B132">
            <v>4.7333333333333334</v>
          </cell>
          <cell r="E132">
            <v>50</v>
          </cell>
          <cell r="F132" t="str">
            <v>Cellular</v>
          </cell>
          <cell r="G132" t="str">
            <v>809-894</v>
          </cell>
        </row>
        <row r="133">
          <cell r="A133" t="str">
            <v>x Avg. throughput per sector (Mbps)</v>
          </cell>
          <cell r="B133">
            <v>13.3</v>
          </cell>
          <cell r="E133">
            <v>120</v>
          </cell>
          <cell r="F133" t="str">
            <v>Broadcast</v>
          </cell>
          <cell r="G133">
            <v>512</v>
          </cell>
        </row>
        <row r="134">
          <cell r="A134" t="str">
            <v>= Throughput per sector (Mbps)</v>
          </cell>
          <cell r="B134">
            <v>62.95333333333334</v>
          </cell>
          <cell r="E134">
            <v>10</v>
          </cell>
          <cell r="F134" t="str">
            <v>700 MHz</v>
          </cell>
          <cell r="G134">
            <v>700</v>
          </cell>
        </row>
        <row r="135">
          <cell r="A135" t="str">
            <v>x Sectors per site</v>
          </cell>
          <cell r="B135">
            <v>3</v>
          </cell>
          <cell r="E135">
            <v>20</v>
          </cell>
          <cell r="F135" t="str">
            <v>Gov't</v>
          </cell>
          <cell r="G135" t="str">
            <v>960-1435</v>
          </cell>
        </row>
        <row r="136">
          <cell r="A136" t="str">
            <v>= Throughput per site (Mbps)</v>
          </cell>
          <cell r="B136">
            <v>188.86</v>
          </cell>
          <cell r="H136" t="str">
            <v>% of total:</v>
          </cell>
          <cell r="I136">
            <v>0.3693467336683417</v>
          </cell>
        </row>
        <row r="137">
          <cell r="A137" t="str">
            <v>x Oversubscription rate</v>
          </cell>
          <cell r="B137">
            <v>25</v>
          </cell>
          <cell r="E137" t="str">
            <v>2000 MHz</v>
          </cell>
        </row>
        <row r="138">
          <cell r="A138" t="str">
            <v>= Number of subs per site</v>
          </cell>
          <cell r="B138">
            <v>4721.5</v>
          </cell>
          <cell r="E138">
            <v>90</v>
          </cell>
          <cell r="F138" t="str">
            <v>AWS - 1</v>
          </cell>
          <cell r="G138" t="str">
            <v>1710-1755</v>
          </cell>
          <cell r="I138">
            <v>36000</v>
          </cell>
          <cell r="J138">
            <v>3578847.9105527643</v>
          </cell>
          <cell r="K138">
            <v>429.46174926633171</v>
          </cell>
        </row>
        <row r="139">
          <cell r="A139" t="str">
            <v>/ Avg. usage / sub (Mbps)</v>
          </cell>
          <cell r="B139">
            <v>1</v>
          </cell>
          <cell r="E139">
            <v>120</v>
          </cell>
          <cell r="F139" t="str">
            <v>PCS</v>
          </cell>
          <cell r="G139" t="str">
            <v>1850-1940</v>
          </cell>
        </row>
        <row r="140">
          <cell r="A140" t="str">
            <v>= Effective throughput per site (Mbps)</v>
          </cell>
          <cell r="B140">
            <v>4721.5</v>
          </cell>
          <cell r="E140">
            <v>90</v>
          </cell>
          <cell r="F140" t="str">
            <v>MSS</v>
          </cell>
          <cell r="G140" t="str">
            <v>2000-2200</v>
          </cell>
        </row>
        <row r="141">
          <cell r="A141" t="str">
            <v>x Cell sites required</v>
          </cell>
          <cell r="B141">
            <v>982.92005261005033</v>
          </cell>
          <cell r="E141">
            <v>40</v>
          </cell>
          <cell r="F141" t="str">
            <v>AWS - 2 / 3</v>
          </cell>
          <cell r="G141" t="str">
            <v>2120-2180</v>
          </cell>
        </row>
        <row r="142">
          <cell r="A142" t="str">
            <v>= Total throughput</v>
          </cell>
          <cell r="B142">
            <v>4640857.0283983527</v>
          </cell>
          <cell r="H142" t="str">
            <v>% of total:</v>
          </cell>
          <cell r="I142">
            <v>0.42713567839195982</v>
          </cell>
        </row>
        <row r="143">
          <cell r="E143" t="str">
            <v>2500 MHz</v>
          </cell>
        </row>
        <row r="144">
          <cell r="A144" t="str">
            <v>Demand</v>
          </cell>
          <cell r="E144">
            <v>142</v>
          </cell>
          <cell r="F144" t="str">
            <v>ERS / BRS</v>
          </cell>
          <cell r="G144" t="str">
            <v>2500-2690</v>
          </cell>
          <cell r="I144">
            <v>52000</v>
          </cell>
          <cell r="J144">
            <v>1705215.7691457288</v>
          </cell>
          <cell r="K144">
            <v>295.570733318593</v>
          </cell>
        </row>
        <row r="145">
          <cell r="A145" t="str">
            <v>Usage / sub (Mbps)</v>
          </cell>
          <cell r="B145">
            <v>1</v>
          </cell>
          <cell r="E145">
            <v>20</v>
          </cell>
          <cell r="F145" t="str">
            <v>WCS</v>
          </cell>
          <cell r="G145" t="str">
            <v>2345-2360</v>
          </cell>
        </row>
        <row r="146">
          <cell r="A146" t="str">
            <v>x POP</v>
          </cell>
          <cell r="B146">
            <v>8378714.5200000005</v>
          </cell>
          <cell r="H146" t="str">
            <v>% of total:</v>
          </cell>
          <cell r="I146">
            <v>0.20351758793969849</v>
          </cell>
        </row>
        <row r="147">
          <cell r="A147" t="str">
            <v>= Total usage</v>
          </cell>
          <cell r="B147">
            <v>8378714.5200000005</v>
          </cell>
          <cell r="E147" t="str">
            <v>Total:</v>
          </cell>
          <cell r="F147">
            <v>796</v>
          </cell>
          <cell r="I147">
            <v>1</v>
          </cell>
          <cell r="J147">
            <v>8378714.5200000014</v>
          </cell>
          <cell r="K147">
            <v>982.92005261005033</v>
          </cell>
        </row>
        <row r="150">
          <cell r="E150" t="str">
            <v>Spectrum depth</v>
          </cell>
          <cell r="F150" t="str">
            <v>VZ</v>
          </cell>
          <cell r="G150" t="str">
            <v>T</v>
          </cell>
          <cell r="H150" t="str">
            <v>S</v>
          </cell>
          <cell r="I150" t="str">
            <v>T-Mo</v>
          </cell>
          <cell r="J150" t="str">
            <v>CLWR</v>
          </cell>
        </row>
        <row r="151">
          <cell r="F151">
            <v>88</v>
          </cell>
          <cell r="G151">
            <v>79</v>
          </cell>
          <cell r="H151">
            <v>53</v>
          </cell>
          <cell r="I151">
            <v>51</v>
          </cell>
          <cell r="J151">
            <v>142</v>
          </cell>
        </row>
        <row r="152">
          <cell r="I152" t="str">
            <v>Average:</v>
          </cell>
          <cell r="J152">
            <v>82.6</v>
          </cell>
        </row>
      </sheetData>
      <sheetData sheetId="7"/>
      <sheetData sheetId="8"/>
      <sheetData sheetId="9">
        <row r="1">
          <cell r="H1" t="str">
            <v>Population of NYC</v>
          </cell>
          <cell r="I1">
            <v>8378714.5200000005</v>
          </cell>
        </row>
        <row r="3">
          <cell r="M3" t="str">
            <v>Sensitivity</v>
          </cell>
        </row>
        <row r="4">
          <cell r="I4" t="str">
            <v>% of NYC POP Covered (proportionate to spectrum holding)</v>
          </cell>
        </row>
        <row r="5">
          <cell r="A5" t="str">
            <v>NYC Supply (Assuming all LTE)</v>
          </cell>
          <cell r="D5" t="str">
            <v>Spectrum - Amount</v>
          </cell>
          <cell r="E5" t="str">
            <v>Spectrum - Type</v>
          </cell>
          <cell r="H5" t="str">
            <v>Cell Sites Required - 300 MM</v>
          </cell>
          <cell r="J5" t="str">
            <v>Cell Sites Required - NYC POP</v>
          </cell>
          <cell r="M5" t="str">
            <v>Demand</v>
          </cell>
        </row>
        <row r="6">
          <cell r="A6" t="str">
            <v>Avg. spectrum available (MHz)</v>
          </cell>
          <cell r="B6">
            <v>796</v>
          </cell>
          <cell r="D6" t="str">
            <v>700 MHz</v>
          </cell>
          <cell r="H6">
            <v>25000</v>
          </cell>
          <cell r="I6">
            <v>3094650.8403015076</v>
          </cell>
          <cell r="J6">
            <v>257.88757002512563</v>
          </cell>
          <cell r="M6">
            <v>1</v>
          </cell>
          <cell r="N6">
            <v>1.5</v>
          </cell>
          <cell r="O6">
            <v>2</v>
          </cell>
          <cell r="P6">
            <v>3</v>
          </cell>
          <cell r="Q6">
            <v>3.5</v>
          </cell>
          <cell r="R6">
            <v>4</v>
          </cell>
        </row>
        <row r="7">
          <cell r="A7" t="str">
            <v>/ Channel bandwidth (MHz)</v>
          </cell>
          <cell r="B7">
            <v>20</v>
          </cell>
          <cell r="D7">
            <v>70</v>
          </cell>
          <cell r="E7" t="str">
            <v>700 MHz</v>
          </cell>
          <cell r="F7">
            <v>700</v>
          </cell>
          <cell r="L7">
            <v>8378714.5200000005</v>
          </cell>
          <cell r="M7">
            <v>8378714.5200000005</v>
          </cell>
          <cell r="N7">
            <v>12568071.780000001</v>
          </cell>
          <cell r="O7">
            <v>16757429.040000001</v>
          </cell>
          <cell r="P7">
            <v>25136143.560000002</v>
          </cell>
          <cell r="Q7">
            <v>29325500.82</v>
          </cell>
          <cell r="R7">
            <v>33514858.080000002</v>
          </cell>
        </row>
        <row r="8">
          <cell r="A8" t="str">
            <v>/ Frequency reuse factor</v>
          </cell>
          <cell r="B8">
            <v>1</v>
          </cell>
          <cell r="D8">
            <v>24</v>
          </cell>
          <cell r="E8" t="str">
            <v>SMR</v>
          </cell>
          <cell r="F8">
            <v>800</v>
          </cell>
        </row>
        <row r="9">
          <cell r="A9" t="str">
            <v>= Channels per sector</v>
          </cell>
          <cell r="B9">
            <v>39.799999999999997</v>
          </cell>
          <cell r="D9">
            <v>50</v>
          </cell>
          <cell r="E9" t="str">
            <v>Cellular</v>
          </cell>
          <cell r="F9" t="str">
            <v>809-894</v>
          </cell>
          <cell r="M9" t="str">
            <v>Supply</v>
          </cell>
        </row>
        <row r="10">
          <cell r="A10" t="str">
            <v>x Avg. throughput per sector (Mbps)</v>
          </cell>
          <cell r="B10">
            <v>100</v>
          </cell>
          <cell r="D10">
            <v>120</v>
          </cell>
          <cell r="E10" t="str">
            <v>Broadcast</v>
          </cell>
          <cell r="F10">
            <v>512</v>
          </cell>
          <cell r="M10">
            <v>1</v>
          </cell>
          <cell r="N10">
            <v>1.5</v>
          </cell>
          <cell r="O10">
            <v>2</v>
          </cell>
          <cell r="P10">
            <v>3</v>
          </cell>
          <cell r="Q10">
            <v>3.5</v>
          </cell>
          <cell r="R10">
            <v>4</v>
          </cell>
        </row>
        <row r="11">
          <cell r="A11" t="str">
            <v>= Throughput per sector (Mbps)</v>
          </cell>
          <cell r="B11">
            <v>3979.9999999999995</v>
          </cell>
          <cell r="D11">
            <v>10</v>
          </cell>
          <cell r="E11" t="str">
            <v>700 MHz</v>
          </cell>
          <cell r="F11">
            <v>700</v>
          </cell>
          <cell r="L11" t="e">
            <v>#REF!</v>
          </cell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  <cell r="Q11" t="e">
            <v>#REF!</v>
          </cell>
          <cell r="R11" t="e">
            <v>#REF!</v>
          </cell>
        </row>
        <row r="12">
          <cell r="A12" t="str">
            <v>x Sectors per site</v>
          </cell>
          <cell r="B12">
            <v>3</v>
          </cell>
          <cell r="D12">
            <v>20</v>
          </cell>
          <cell r="E12" t="str">
            <v>Gov't</v>
          </cell>
          <cell r="F12" t="str">
            <v>960-1435</v>
          </cell>
        </row>
        <row r="13">
          <cell r="A13" t="str">
            <v>= Throughput per site (Mbps)</v>
          </cell>
          <cell r="B13">
            <v>11939.999999999998</v>
          </cell>
          <cell r="D13">
            <v>0</v>
          </cell>
          <cell r="G13" t="str">
            <v>% of total:</v>
          </cell>
          <cell r="H13">
            <v>0.3693467336683417</v>
          </cell>
        </row>
        <row r="14">
          <cell r="A14" t="str">
            <v>x Oversubscription rate</v>
          </cell>
          <cell r="B14">
            <v>25</v>
          </cell>
          <cell r="D14" t="str">
            <v>2000 MHz</v>
          </cell>
          <cell r="L14" t="str">
            <v>Usage / sub (Mbps)</v>
          </cell>
          <cell r="M14">
            <v>1</v>
          </cell>
          <cell r="N14">
            <v>1.5</v>
          </cell>
          <cell r="O14">
            <v>2</v>
          </cell>
          <cell r="P14">
            <v>3</v>
          </cell>
          <cell r="Q14">
            <v>3.5</v>
          </cell>
          <cell r="R14">
            <v>4</v>
          </cell>
        </row>
        <row r="15">
          <cell r="A15" t="str">
            <v>= Number of subs per site</v>
          </cell>
          <cell r="B15">
            <v>298499.99999999994</v>
          </cell>
          <cell r="D15">
            <v>90</v>
          </cell>
          <cell r="E15" t="str">
            <v>AWS - 1</v>
          </cell>
          <cell r="F15" t="str">
            <v>1710-1755</v>
          </cell>
          <cell r="H15">
            <v>36000</v>
          </cell>
          <cell r="I15">
            <v>3578847.9105527643</v>
          </cell>
          <cell r="J15">
            <v>429.46174926633171</v>
          </cell>
          <cell r="L15" t="str">
            <v>Demand</v>
          </cell>
          <cell r="M15">
            <v>8378714.5200000005</v>
          </cell>
          <cell r="N15">
            <v>12568071.780000001</v>
          </cell>
          <cell r="O15">
            <v>16757429.040000001</v>
          </cell>
          <cell r="P15">
            <v>25136143.560000002</v>
          </cell>
          <cell r="Q15">
            <v>29325500.82</v>
          </cell>
          <cell r="R15">
            <v>33514858.080000002</v>
          </cell>
        </row>
        <row r="16">
          <cell r="A16" t="str">
            <v>/ Avg. usage / sub (Mbps)</v>
          </cell>
          <cell r="B16">
            <v>1</v>
          </cell>
          <cell r="D16">
            <v>120</v>
          </cell>
          <cell r="E16" t="str">
            <v>PCS</v>
          </cell>
          <cell r="F16" t="str">
            <v>1850-1940</v>
          </cell>
          <cell r="L16" t="str">
            <v>Supply</v>
          </cell>
          <cell r="M16" t="e">
            <v>#REF!</v>
          </cell>
          <cell r="N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  <cell r="R16" t="e">
            <v>#REF!</v>
          </cell>
        </row>
        <row r="17">
          <cell r="A17" t="str">
            <v>= Effective throughput per site (Mbps)</v>
          </cell>
          <cell r="B17">
            <v>298499.99999999994</v>
          </cell>
          <cell r="D17">
            <v>90</v>
          </cell>
          <cell r="E17" t="str">
            <v>MSS</v>
          </cell>
          <cell r="F17" t="str">
            <v>2000-2200</v>
          </cell>
          <cell r="L17" t="str">
            <v>% Unmet Demand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</row>
        <row r="18">
          <cell r="A18" t="str">
            <v>x Land area of NYC (sq. miles)</v>
          </cell>
          <cell r="B18">
            <v>303</v>
          </cell>
          <cell r="D18">
            <v>40</v>
          </cell>
          <cell r="E18" t="str">
            <v>AWS - 2 / 3</v>
          </cell>
          <cell r="F18" t="str">
            <v>2120-2180</v>
          </cell>
        </row>
        <row r="19">
          <cell r="A19" t="str">
            <v>/ Minimum radius of cell site (sq. miles)</v>
          </cell>
          <cell r="B19">
            <v>0.19625000000000001</v>
          </cell>
          <cell r="G19" t="str">
            <v>% of total:</v>
          </cell>
          <cell r="H19">
            <v>0.42713567839195982</v>
          </cell>
        </row>
        <row r="20">
          <cell r="A20" t="str">
            <v>= Total throughput for NYC (Mbps)</v>
          </cell>
          <cell r="B20">
            <v>460868789.80891711</v>
          </cell>
          <cell r="D20" t="str">
            <v>2500 MHz</v>
          </cell>
        </row>
        <row r="21">
          <cell r="D21">
            <v>142</v>
          </cell>
          <cell r="E21" t="str">
            <v>ERS / BRS</v>
          </cell>
          <cell r="F21" t="str">
            <v>2500-2690</v>
          </cell>
          <cell r="H21">
            <v>52000</v>
          </cell>
          <cell r="I21">
            <v>1705215.7691457288</v>
          </cell>
          <cell r="J21">
            <v>295.570733318593</v>
          </cell>
        </row>
        <row r="22">
          <cell r="A22" t="str">
            <v>NYC Demand</v>
          </cell>
          <cell r="D22">
            <v>20</v>
          </cell>
          <cell r="E22" t="str">
            <v>WCS</v>
          </cell>
          <cell r="F22" t="str">
            <v>2345-2360</v>
          </cell>
        </row>
        <row r="23">
          <cell r="A23" t="str">
            <v>Usage / sub (Mbps)</v>
          </cell>
          <cell r="B23">
            <v>1</v>
          </cell>
          <cell r="G23" t="str">
            <v>% of total:</v>
          </cell>
          <cell r="H23">
            <v>0.20351758793969849</v>
          </cell>
        </row>
        <row r="24">
          <cell r="A24" t="str">
            <v>x POP NYC</v>
          </cell>
          <cell r="B24">
            <v>8378714.5200000005</v>
          </cell>
          <cell r="D24" t="str">
            <v>Total:</v>
          </cell>
          <cell r="E24">
            <v>796</v>
          </cell>
          <cell r="H24">
            <v>1</v>
          </cell>
          <cell r="I24">
            <v>8378714.5200000014</v>
          </cell>
          <cell r="J24">
            <v>982.92005261005033</v>
          </cell>
        </row>
        <row r="25">
          <cell r="A25" t="str">
            <v>= Total usage</v>
          </cell>
          <cell r="B25">
            <v>8378714.5200000005</v>
          </cell>
        </row>
        <row r="27">
          <cell r="D27" t="str">
            <v>Spectrum depth</v>
          </cell>
          <cell r="E27" t="str">
            <v>VZ</v>
          </cell>
          <cell r="F27" t="str">
            <v>T</v>
          </cell>
          <cell r="G27" t="str">
            <v>S</v>
          </cell>
          <cell r="H27" t="str">
            <v>T-Mo</v>
          </cell>
          <cell r="I27" t="str">
            <v>CLWR</v>
          </cell>
        </row>
        <row r="28">
          <cell r="E28">
            <v>88</v>
          </cell>
          <cell r="F28">
            <v>79</v>
          </cell>
          <cell r="G28">
            <v>53</v>
          </cell>
          <cell r="H28">
            <v>51</v>
          </cell>
          <cell r="I28">
            <v>142</v>
          </cell>
        </row>
        <row r="29">
          <cell r="H29" t="str">
            <v>Average:</v>
          </cell>
          <cell r="I29">
            <v>82.6</v>
          </cell>
        </row>
        <row r="30">
          <cell r="A30" t="str">
            <v>Avg. Usage / Sub</v>
          </cell>
        </row>
        <row r="31">
          <cell r="A31" t="str">
            <v>Total data usage - 2015 (GB / month)</v>
          </cell>
          <cell r="B31">
            <v>896963080.64222395</v>
          </cell>
        </row>
        <row r="32">
          <cell r="A32" t="str">
            <v>/ Total subs</v>
          </cell>
          <cell r="B32">
            <v>310000000</v>
          </cell>
        </row>
        <row r="33">
          <cell r="A33" t="str">
            <v>= Usage / sub (GB / month)</v>
          </cell>
          <cell r="B33">
            <v>7</v>
          </cell>
        </row>
        <row r="34">
          <cell r="A34" t="str">
            <v>x Mb / 1 GB</v>
          </cell>
          <cell r="B34">
            <v>8192</v>
          </cell>
        </row>
        <row r="35">
          <cell r="A35" t="str">
            <v>x month / 1 second</v>
          </cell>
          <cell r="B35">
            <v>3.8026515128468776E-7</v>
          </cell>
        </row>
        <row r="36">
          <cell r="A36" t="str">
            <v>= Total throughput (Mbps)</v>
          </cell>
          <cell r="B36">
            <v>2.1805924835269136E-2</v>
          </cell>
        </row>
      </sheetData>
      <sheetData sheetId="10"/>
      <sheetData sheetId="11"/>
      <sheetData sheetId="12">
        <row r="1">
          <cell r="A1" t="str">
            <v>Price per GB</v>
          </cell>
          <cell r="B1" t="str">
            <v>Cost per GB</v>
          </cell>
          <cell r="C1" t="str">
            <v>Earnings / GB</v>
          </cell>
          <cell r="D1" t="str">
            <v>Maximum Capacity (GB in MM)</v>
          </cell>
          <cell r="E1" t="str">
            <v>Capacity Utilization</v>
          </cell>
          <cell r="F1" t="str">
            <v>Gross Annual Earnings (MM)</v>
          </cell>
          <cell r="G1" t="str">
            <v>Gross Enterprise Value</v>
          </cell>
          <cell r="H1" t="str">
            <v>Total Value</v>
          </cell>
          <cell r="I1" t="str">
            <v>Equity Value</v>
          </cell>
          <cell r="J1" t="str">
            <v>Today's Value</v>
          </cell>
          <cell r="L1" t="str">
            <v>Equity Value Sensitivity</v>
          </cell>
        </row>
        <row r="2">
          <cell r="A2">
            <v>0.5</v>
          </cell>
          <cell r="B2">
            <v>0.70681529823257072</v>
          </cell>
          <cell r="C2">
            <v>-0.20681529823257072</v>
          </cell>
          <cell r="D2">
            <v>3928.5963489238507</v>
          </cell>
          <cell r="E2">
            <v>1</v>
          </cell>
          <cell r="F2">
            <v>-812.49382553807459</v>
          </cell>
          <cell r="G2">
            <v>-8124.9382553807454</v>
          </cell>
          <cell r="H2">
            <v>-14962.938255380745</v>
          </cell>
          <cell r="I2">
            <v>-15.825591233519916</v>
          </cell>
          <cell r="J2">
            <v>6552.2456999999995</v>
          </cell>
        </row>
        <row r="3">
          <cell r="A3">
            <v>1</v>
          </cell>
          <cell r="B3">
            <v>0.70681529823257072</v>
          </cell>
          <cell r="C3">
            <v>0.29318470176742928</v>
          </cell>
          <cell r="D3">
            <v>3928.5963489238507</v>
          </cell>
          <cell r="E3">
            <v>1</v>
          </cell>
          <cell r="F3">
            <v>1151.8043489238507</v>
          </cell>
          <cell r="G3">
            <v>11518.043489238507</v>
          </cell>
          <cell r="H3">
            <v>4680.0434892385074</v>
          </cell>
          <cell r="I3">
            <v>4.949860378468844</v>
          </cell>
          <cell r="J3">
            <v>6552.2456999999995</v>
          </cell>
          <cell r="L3" t="str">
            <v xml:space="preserve">Utilization    </v>
          </cell>
        </row>
        <row r="4">
          <cell r="A4">
            <v>1.5</v>
          </cell>
          <cell r="B4">
            <v>0.70681529823257072</v>
          </cell>
          <cell r="C4">
            <v>0.79318470176742928</v>
          </cell>
          <cell r="D4">
            <v>3928.5963489238507</v>
          </cell>
          <cell r="E4">
            <v>1</v>
          </cell>
          <cell r="F4">
            <v>3116.1025233857758</v>
          </cell>
          <cell r="G4">
            <v>31161.025233857756</v>
          </cell>
          <cell r="H4">
            <v>24323.025233857756</v>
          </cell>
          <cell r="I4">
            <v>25.725311990457598</v>
          </cell>
          <cell r="J4">
            <v>6552.2456999999995</v>
          </cell>
          <cell r="L4">
            <v>-15.825591233519916</v>
          </cell>
          <cell r="M4">
            <v>0.5</v>
          </cell>
          <cell r="N4">
            <v>1</v>
          </cell>
          <cell r="O4">
            <v>1.5</v>
          </cell>
          <cell r="P4">
            <v>2</v>
          </cell>
          <cell r="Q4">
            <v>2.5</v>
          </cell>
          <cell r="R4">
            <v>3</v>
          </cell>
          <cell r="S4">
            <v>3.5</v>
          </cell>
          <cell r="T4">
            <v>4</v>
          </cell>
          <cell r="U4">
            <v>4.5</v>
          </cell>
          <cell r="V4">
            <v>5</v>
          </cell>
        </row>
        <row r="5">
          <cell r="A5">
            <v>2</v>
          </cell>
          <cell r="B5">
            <v>0.70681529823257072</v>
          </cell>
          <cell r="C5">
            <v>1.2931847017674292</v>
          </cell>
          <cell r="D5">
            <v>3928.5963489238507</v>
          </cell>
          <cell r="E5">
            <v>1</v>
          </cell>
          <cell r="F5">
            <v>5080.4006978477009</v>
          </cell>
          <cell r="G5">
            <v>50804.006978477009</v>
          </cell>
          <cell r="H5">
            <v>43966.006978477009</v>
          </cell>
          <cell r="I5">
            <v>46.500763602446362</v>
          </cell>
          <cell r="J5">
            <v>6552.2456999999995</v>
          </cell>
          <cell r="L5">
            <v>1</v>
          </cell>
          <cell r="M5">
            <v>-15.825591233519916</v>
          </cell>
          <cell r="N5">
            <v>4.949860378468844</v>
          </cell>
          <cell r="O5">
            <v>25.725311990457598</v>
          </cell>
          <cell r="P5">
            <v>46.500763602446362</v>
          </cell>
          <cell r="Q5">
            <v>67.276215214435126</v>
          </cell>
          <cell r="R5">
            <v>88.051666826423869</v>
          </cell>
          <cell r="S5">
            <v>108.82711843841263</v>
          </cell>
          <cell r="T5">
            <v>129.60257005040137</v>
          </cell>
          <cell r="U5">
            <v>150.37802166239015</v>
          </cell>
          <cell r="V5">
            <v>171.15347327437891</v>
          </cell>
        </row>
        <row r="6">
          <cell r="A6">
            <v>2.5</v>
          </cell>
          <cell r="B6">
            <v>0.70681529823257072</v>
          </cell>
          <cell r="C6">
            <v>1.7931847017674292</v>
          </cell>
          <cell r="D6">
            <v>3928.5963489238507</v>
          </cell>
          <cell r="E6">
            <v>1</v>
          </cell>
          <cell r="F6">
            <v>7044.6988723096265</v>
          </cell>
          <cell r="G6">
            <v>70446.988723096263</v>
          </cell>
          <cell r="H6">
            <v>63608.988723096263</v>
          </cell>
          <cell r="I6">
            <v>67.276215214435126</v>
          </cell>
          <cell r="J6">
            <v>6552.2456999999995</v>
          </cell>
          <cell r="L6">
            <v>0.9</v>
          </cell>
          <cell r="M6">
            <v>-14.966254989309958</v>
          </cell>
          <cell r="N6">
            <v>3.7316514614799283</v>
          </cell>
          <cell r="O6">
            <v>22.429557912269811</v>
          </cell>
          <cell r="P6">
            <v>41.127464363059687</v>
          </cell>
          <cell r="Q6">
            <v>59.825370813849574</v>
          </cell>
          <cell r="R6">
            <v>78.523277264639461</v>
          </cell>
          <cell r="S6">
            <v>97.221183715429348</v>
          </cell>
          <cell r="T6">
            <v>115.91909016621922</v>
          </cell>
          <cell r="U6">
            <v>134.61699661700911</v>
          </cell>
          <cell r="V6">
            <v>153.31490306779898</v>
          </cell>
        </row>
        <row r="7">
          <cell r="A7">
            <v>3</v>
          </cell>
          <cell r="B7">
            <v>0.70681529823257072</v>
          </cell>
          <cell r="C7">
            <v>2.2931847017674292</v>
          </cell>
          <cell r="D7">
            <v>3928.5963489238507</v>
          </cell>
          <cell r="E7">
            <v>1</v>
          </cell>
          <cell r="F7">
            <v>9008.997046771552</v>
          </cell>
          <cell r="G7">
            <v>90089.97046771551</v>
          </cell>
          <cell r="H7">
            <v>83251.97046771551</v>
          </cell>
          <cell r="I7">
            <v>88.051666826423869</v>
          </cell>
          <cell r="J7">
            <v>6552.2456999999995</v>
          </cell>
          <cell r="L7">
            <v>0.8</v>
          </cell>
          <cell r="M7">
            <v>-14.106918745099998</v>
          </cell>
          <cell r="N7">
            <v>2.5134425444910109</v>
          </cell>
          <cell r="O7">
            <v>19.133803834082016</v>
          </cell>
          <cell r="P7">
            <v>35.754165123673026</v>
          </cell>
          <cell r="Q7">
            <v>52.374526413264043</v>
          </cell>
          <cell r="R7">
            <v>68.994887702855038</v>
          </cell>
          <cell r="S7">
            <v>85.615248992446041</v>
          </cell>
          <cell r="T7">
            <v>102.23561028203706</v>
          </cell>
          <cell r="U7">
            <v>118.85597157162806</v>
          </cell>
          <cell r="V7">
            <v>135.47633286121908</v>
          </cell>
        </row>
        <row r="8">
          <cell r="A8">
            <v>3.5</v>
          </cell>
          <cell r="B8">
            <v>0.70681529823257072</v>
          </cell>
          <cell r="C8">
            <v>2.7931847017674292</v>
          </cell>
          <cell r="D8">
            <v>3928.5963489238507</v>
          </cell>
          <cell r="E8">
            <v>1</v>
          </cell>
          <cell r="F8">
            <v>10973.295221233477</v>
          </cell>
          <cell r="G8">
            <v>109732.95221233476</v>
          </cell>
          <cell r="H8">
            <v>102894.95221233476</v>
          </cell>
          <cell r="I8">
            <v>108.82711843841263</v>
          </cell>
          <cell r="J8">
            <v>6552.2456999999995</v>
          </cell>
          <cell r="L8">
            <v>0.7</v>
          </cell>
          <cell r="M8">
            <v>-13.247582500890038</v>
          </cell>
          <cell r="N8">
            <v>1.2952336275020933</v>
          </cell>
          <cell r="O8">
            <v>15.83804975589422</v>
          </cell>
          <cell r="P8">
            <v>30.380865884286351</v>
          </cell>
          <cell r="Q8">
            <v>44.923682012678483</v>
          </cell>
          <cell r="R8">
            <v>59.466498141070623</v>
          </cell>
          <cell r="S8">
            <v>74.009314269462749</v>
          </cell>
          <cell r="T8">
            <v>88.552130397854867</v>
          </cell>
          <cell r="U8">
            <v>103.094946526247</v>
          </cell>
          <cell r="V8">
            <v>117.63776265463913</v>
          </cell>
        </row>
        <row r="9">
          <cell r="A9" t="str">
            <v>Breakeven:</v>
          </cell>
          <cell r="B9">
            <v>0.88087237594362433</v>
          </cell>
          <cell r="L9">
            <v>0.6</v>
          </cell>
          <cell r="M9">
            <v>-12.388246256680079</v>
          </cell>
          <cell r="N9">
            <v>7.7024710513176789E-2</v>
          </cell>
          <cell r="O9">
            <v>12.542295677706431</v>
          </cell>
          <cell r="P9">
            <v>25.007566644899683</v>
          </cell>
          <cell r="Q9">
            <v>37.472837612092938</v>
          </cell>
          <cell r="R9">
            <v>49.938108579286194</v>
          </cell>
          <cell r="S9">
            <v>62.403379546479449</v>
          </cell>
          <cell r="T9">
            <v>74.868650513672691</v>
          </cell>
          <cell r="U9">
            <v>87.333921480865968</v>
          </cell>
          <cell r="V9">
            <v>99.799192448059202</v>
          </cell>
        </row>
        <row r="10">
          <cell r="L10">
            <v>0.5</v>
          </cell>
          <cell r="M10">
            <v>-11.528910012470119</v>
          </cell>
          <cell r="N10">
            <v>-1.1411842064757389</v>
          </cell>
          <cell r="O10">
            <v>9.246541599518638</v>
          </cell>
          <cell r="P10">
            <v>19.634267405513018</v>
          </cell>
          <cell r="Q10">
            <v>30.0219932115074</v>
          </cell>
          <cell r="R10">
            <v>40.409719017501779</v>
          </cell>
          <cell r="S10">
            <v>50.79744482349615</v>
          </cell>
          <cell r="T10">
            <v>61.185170629490528</v>
          </cell>
          <cell r="U10">
            <v>71.572896435484921</v>
          </cell>
          <cell r="V10">
            <v>81.960622241479285</v>
          </cell>
        </row>
        <row r="11">
          <cell r="A11" t="str">
            <v>Equity Value Calculation</v>
          </cell>
          <cell r="L11">
            <v>0.4</v>
          </cell>
          <cell r="M11">
            <v>-10.669573768260161</v>
          </cell>
          <cell r="N11">
            <v>-2.3593931234646552</v>
          </cell>
          <cell r="O11">
            <v>5.9507875213308479</v>
          </cell>
          <cell r="P11">
            <v>14.260968166126352</v>
          </cell>
          <cell r="Q11">
            <v>22.571148810921859</v>
          </cell>
          <cell r="R11">
            <v>30.88132945571736</v>
          </cell>
          <cell r="S11">
            <v>39.191510100512865</v>
          </cell>
          <cell r="T11">
            <v>47.501690745308373</v>
          </cell>
          <cell r="U11">
            <v>55.811871390103875</v>
          </cell>
          <cell r="V11">
            <v>64.122052034899369</v>
          </cell>
        </row>
        <row r="12">
          <cell r="A12" t="str">
            <v>Price / GB</v>
          </cell>
          <cell r="B12">
            <v>0.5</v>
          </cell>
          <cell r="L12">
            <v>0.3</v>
          </cell>
          <cell r="M12">
            <v>-9.8102375240501996</v>
          </cell>
          <cell r="N12">
            <v>-3.5776020404535722</v>
          </cell>
          <cell r="O12">
            <v>2.6550334431430551</v>
          </cell>
          <cell r="P12">
            <v>8.8876689267396802</v>
          </cell>
          <cell r="Q12">
            <v>15.120304410336308</v>
          </cell>
          <cell r="R12">
            <v>21.352939893932934</v>
          </cell>
          <cell r="S12">
            <v>27.585575377529565</v>
          </cell>
          <cell r="T12">
            <v>33.818210861126182</v>
          </cell>
          <cell r="U12">
            <v>40.050846344722821</v>
          </cell>
          <cell r="V12">
            <v>46.283481828319445</v>
          </cell>
        </row>
        <row r="13">
          <cell r="A13" t="str">
            <v>-  Cost / GB</v>
          </cell>
          <cell r="B13">
            <v>0.70681529823257072</v>
          </cell>
          <cell r="L13">
            <v>0.2</v>
          </cell>
          <cell r="M13">
            <v>-8.9509012798402416</v>
          </cell>
          <cell r="N13">
            <v>-4.7958109574424883</v>
          </cell>
          <cell r="O13">
            <v>-0.64072063504473697</v>
          </cell>
          <cell r="P13">
            <v>3.5143696873530148</v>
          </cell>
          <cell r="Q13">
            <v>7.669460009750769</v>
          </cell>
          <cell r="R13">
            <v>11.824550332148521</v>
          </cell>
          <cell r="S13">
            <v>15.979640654546271</v>
          </cell>
          <cell r="T13">
            <v>20.134730976944024</v>
          </cell>
          <cell r="U13">
            <v>24.289821299341774</v>
          </cell>
          <cell r="V13">
            <v>28.444911621739525</v>
          </cell>
        </row>
        <row r="14">
          <cell r="A14" t="str">
            <v>= Earnings / GB</v>
          </cell>
          <cell r="B14">
            <v>-0.20681529823257072</v>
          </cell>
          <cell r="L14">
            <v>0.1</v>
          </cell>
          <cell r="M14">
            <v>-8.091565035630282</v>
          </cell>
          <cell r="N14">
            <v>-6.0140198744314048</v>
          </cell>
          <cell r="O14">
            <v>-3.9364747132325295</v>
          </cell>
          <cell r="P14">
            <v>-1.8589295520336535</v>
          </cell>
          <cell r="Q14">
            <v>0.21861560916522374</v>
          </cell>
          <cell r="R14">
            <v>2.2961607703640992</v>
          </cell>
          <cell r="S14">
            <v>4.3737059315629745</v>
          </cell>
          <cell r="T14">
            <v>6.4512510927618516</v>
          </cell>
          <cell r="U14">
            <v>8.5287962539607278</v>
          </cell>
          <cell r="V14">
            <v>10.606341415159603</v>
          </cell>
        </row>
        <row r="15">
          <cell r="A15" t="str">
            <v>x Maximum capacity / year</v>
          </cell>
          <cell r="B15">
            <v>3928.5963489238507</v>
          </cell>
        </row>
        <row r="16">
          <cell r="A16" t="str">
            <v>x Capacity utilization</v>
          </cell>
          <cell r="B16">
            <v>1</v>
          </cell>
        </row>
        <row r="17">
          <cell r="A17" t="str">
            <v>= Gross annual earnings</v>
          </cell>
          <cell r="B17">
            <v>-812.49382553807459</v>
          </cell>
        </row>
        <row r="18">
          <cell r="A18" t="str">
            <v>/ WACC</v>
          </cell>
          <cell r="B18">
            <v>0.1</v>
          </cell>
        </row>
        <row r="19">
          <cell r="A19" t="str">
            <v>= Gross enterprise value</v>
          </cell>
          <cell r="B19">
            <v>-8124.9382553807454</v>
          </cell>
        </row>
        <row r="20">
          <cell r="A20" t="str">
            <v>- Debt</v>
          </cell>
          <cell r="B20">
            <v>2716</v>
          </cell>
        </row>
        <row r="21">
          <cell r="A21" t="str">
            <v>- Additional funding required</v>
          </cell>
          <cell r="B21">
            <v>4122</v>
          </cell>
        </row>
        <row r="22">
          <cell r="A22" t="str">
            <v>= Total value</v>
          </cell>
          <cell r="B22">
            <v>-14962.938255380745</v>
          </cell>
        </row>
        <row r="23">
          <cell r="A23" t="str">
            <v>/ Shares outstanding</v>
          </cell>
          <cell r="B23">
            <v>945.49</v>
          </cell>
        </row>
        <row r="24">
          <cell r="A24" t="str">
            <v>= Equity value</v>
          </cell>
          <cell r="B24">
            <v>-15.825591233519916</v>
          </cell>
        </row>
        <row r="28">
          <cell r="A28" t="str">
            <v>Price Calculation Based on Full Capacity and Today's Equity Value</v>
          </cell>
        </row>
        <row r="29">
          <cell r="A29" t="str">
            <v>Price / GB</v>
          </cell>
          <cell r="B29">
            <v>1.0476557539762092</v>
          </cell>
        </row>
        <row r="30">
          <cell r="A30" t="str">
            <v>-  Cost / GB</v>
          </cell>
          <cell r="B30">
            <v>0.70681529823257072</v>
          </cell>
        </row>
        <row r="31">
          <cell r="A31" t="str">
            <v>= Earnings / GB</v>
          </cell>
          <cell r="B31">
            <v>0.34084045574363864</v>
          </cell>
        </row>
        <row r="32">
          <cell r="A32" t="str">
            <v>x Maximum capacity / year</v>
          </cell>
          <cell r="B32">
            <v>3928.5963489238507</v>
          </cell>
        </row>
        <row r="33">
          <cell r="A33" t="str">
            <v>x Capacity utilization</v>
          </cell>
          <cell r="B33">
            <v>1</v>
          </cell>
        </row>
        <row r="34">
          <cell r="A34" t="str">
            <v>= Gross annual earnings</v>
          </cell>
          <cell r="B34">
            <v>1339.02457</v>
          </cell>
        </row>
        <row r="35">
          <cell r="A35" t="str">
            <v>/ WACC</v>
          </cell>
          <cell r="B35">
            <v>0.1</v>
          </cell>
        </row>
        <row r="36">
          <cell r="A36" t="str">
            <v>= Gross enterprise value</v>
          </cell>
          <cell r="B36">
            <v>13390.245699999999</v>
          </cell>
        </row>
        <row r="37">
          <cell r="A37" t="str">
            <v>- Debt</v>
          </cell>
          <cell r="B37">
            <v>2716</v>
          </cell>
        </row>
        <row r="38">
          <cell r="A38" t="str">
            <v>- Additional funding required</v>
          </cell>
          <cell r="B38">
            <v>4122</v>
          </cell>
        </row>
        <row r="39">
          <cell r="A39" t="str">
            <v>= Total value</v>
          </cell>
          <cell r="B39">
            <v>6552.2456999999995</v>
          </cell>
        </row>
        <row r="40">
          <cell r="A40" t="str">
            <v>/ Shares outstanding</v>
          </cell>
          <cell r="B40">
            <v>945.49</v>
          </cell>
        </row>
        <row r="41">
          <cell r="A41" t="str">
            <v>= Equity value</v>
          </cell>
          <cell r="B41">
            <v>6.93</v>
          </cell>
        </row>
        <row r="45">
          <cell r="A45" t="str">
            <v>Based on Today's Capacity Utilization, Cost / GB and Equity Value</v>
          </cell>
        </row>
        <row r="46">
          <cell r="A46" t="str">
            <v>Price / GB</v>
          </cell>
          <cell r="B46">
            <v>21.93814660007224</v>
          </cell>
        </row>
        <row r="47">
          <cell r="A47" t="str">
            <v>-  Cost / GB</v>
          </cell>
          <cell r="B47">
            <v>18.066199022824506</v>
          </cell>
        </row>
        <row r="48">
          <cell r="A48" t="str">
            <v>= Earnings / GB</v>
          </cell>
          <cell r="B48">
            <v>3.8719475772477354</v>
          </cell>
        </row>
        <row r="49">
          <cell r="A49" t="str">
            <v>x Maximum capacity / year</v>
          </cell>
          <cell r="B49">
            <v>3928.5963489238507</v>
          </cell>
        </row>
        <row r="50">
          <cell r="A50" t="str">
            <v>x Capacity utilization</v>
          </cell>
          <cell r="B50">
            <v>8.8028169014084501E-2</v>
          </cell>
        </row>
        <row r="51">
          <cell r="A51" t="str">
            <v>= Gross annual earnings</v>
          </cell>
          <cell r="B51">
            <v>1339.02457</v>
          </cell>
        </row>
        <row r="52">
          <cell r="A52" t="str">
            <v>/ WACC</v>
          </cell>
          <cell r="B52">
            <v>0.1</v>
          </cell>
        </row>
        <row r="53">
          <cell r="A53" t="str">
            <v>= Gross enterprise value</v>
          </cell>
          <cell r="B53">
            <v>13390.245699999999</v>
          </cell>
        </row>
        <row r="54">
          <cell r="A54" t="str">
            <v>- Debt</v>
          </cell>
          <cell r="B54">
            <v>2716</v>
          </cell>
        </row>
        <row r="55">
          <cell r="A55" t="str">
            <v>- Additional funding required</v>
          </cell>
          <cell r="B55">
            <v>4122</v>
          </cell>
        </row>
        <row r="56">
          <cell r="A56" t="str">
            <v>= Total value</v>
          </cell>
          <cell r="B56">
            <v>6552.2456999999995</v>
          </cell>
        </row>
        <row r="57">
          <cell r="A57" t="str">
            <v>/ Shares outstanding</v>
          </cell>
          <cell r="B57">
            <v>945.49</v>
          </cell>
        </row>
        <row r="58">
          <cell r="A58" t="str">
            <v>= Equity value</v>
          </cell>
          <cell r="B58">
            <v>6.93</v>
          </cell>
        </row>
      </sheetData>
      <sheetData sheetId="13"/>
      <sheetData sheetId="14">
        <row r="2">
          <cell r="A2" t="str">
            <v>Current Enterprise Value / MHz-POP</v>
          </cell>
        </row>
        <row r="3">
          <cell r="A3" t="str">
            <v>Share price</v>
          </cell>
          <cell r="B3">
            <v>6.93</v>
          </cell>
        </row>
        <row r="4">
          <cell r="A4" t="str">
            <v>x Shares outstanding</v>
          </cell>
          <cell r="B4">
            <v>945.49</v>
          </cell>
        </row>
        <row r="5">
          <cell r="A5" t="str">
            <v>= Market cap</v>
          </cell>
          <cell r="B5">
            <v>6552.2456999999995</v>
          </cell>
        </row>
        <row r="6">
          <cell r="A6" t="str">
            <v>+ Debt</v>
          </cell>
          <cell r="B6">
            <v>2716</v>
          </cell>
        </row>
        <row r="7">
          <cell r="A7" t="str">
            <v>+ Additional funding required</v>
          </cell>
          <cell r="B7">
            <v>4122</v>
          </cell>
        </row>
        <row r="8">
          <cell r="A8" t="str">
            <v>= Enterprise value</v>
          </cell>
          <cell r="B8">
            <v>13390.245699999999</v>
          </cell>
        </row>
        <row r="9">
          <cell r="A9" t="str">
            <v>/ MHz-POPs</v>
          </cell>
          <cell r="B9">
            <v>44020</v>
          </cell>
        </row>
        <row r="10">
          <cell r="A10" t="str">
            <v>= Value per MHz-POP</v>
          </cell>
          <cell r="B10">
            <v>0.30418549977283055</v>
          </cell>
        </row>
        <row r="13">
          <cell r="A13" t="str">
            <v>Equity Value Calculation at Adjusted AWS Value</v>
          </cell>
        </row>
        <row r="14">
          <cell r="A14" t="str">
            <v>Spectrum comps</v>
          </cell>
          <cell r="B14">
            <v>0.2</v>
          </cell>
          <cell r="C14">
            <v>0.3</v>
          </cell>
          <cell r="D14">
            <v>0.4</v>
          </cell>
          <cell r="E14">
            <v>0.5</v>
          </cell>
          <cell r="F14">
            <v>0.6</v>
          </cell>
          <cell r="G14">
            <v>0.43</v>
          </cell>
          <cell r="I14" t="str">
            <v>8% discount for leased spectrum; 13% discount for 110MM POPs not covered</v>
          </cell>
        </row>
        <row r="15">
          <cell r="A15" t="str">
            <v>x MHz-POPs</v>
          </cell>
          <cell r="B15">
            <v>44020</v>
          </cell>
          <cell r="C15">
            <v>44020</v>
          </cell>
          <cell r="D15">
            <v>44020</v>
          </cell>
          <cell r="E15">
            <v>44020</v>
          </cell>
          <cell r="F15">
            <v>44020</v>
          </cell>
          <cell r="G15">
            <v>44020</v>
          </cell>
        </row>
        <row r="16">
          <cell r="A16" t="str">
            <v>= Projected value</v>
          </cell>
          <cell r="B16">
            <v>8804</v>
          </cell>
          <cell r="C16">
            <v>13206</v>
          </cell>
          <cell r="D16">
            <v>17608</v>
          </cell>
          <cell r="E16">
            <v>22010</v>
          </cell>
          <cell r="F16">
            <v>26412</v>
          </cell>
          <cell r="G16">
            <v>18928.599999999999</v>
          </cell>
        </row>
        <row r="17">
          <cell r="A17" t="str">
            <v>- Debt</v>
          </cell>
          <cell r="B17">
            <v>2716</v>
          </cell>
          <cell r="C17">
            <v>2716</v>
          </cell>
          <cell r="D17">
            <v>2716</v>
          </cell>
          <cell r="E17">
            <v>2716</v>
          </cell>
          <cell r="F17">
            <v>2716</v>
          </cell>
          <cell r="G17">
            <v>2716</v>
          </cell>
        </row>
        <row r="18">
          <cell r="A18" t="str">
            <v>- Additional funding required</v>
          </cell>
          <cell r="B18">
            <v>4122</v>
          </cell>
          <cell r="C18">
            <v>4122</v>
          </cell>
          <cell r="D18">
            <v>4122</v>
          </cell>
          <cell r="E18">
            <v>4122</v>
          </cell>
          <cell r="F18">
            <v>4122</v>
          </cell>
          <cell r="G18">
            <v>4122</v>
          </cell>
        </row>
        <row r="19">
          <cell r="A19" t="str">
            <v>= Total value</v>
          </cell>
          <cell r="B19">
            <v>1966</v>
          </cell>
          <cell r="C19">
            <v>6368</v>
          </cell>
          <cell r="D19">
            <v>10770</v>
          </cell>
          <cell r="E19">
            <v>15172</v>
          </cell>
          <cell r="F19">
            <v>19574</v>
          </cell>
          <cell r="G19">
            <v>12090.599999999999</v>
          </cell>
        </row>
        <row r="20">
          <cell r="A20" t="str">
            <v>/ Shares outstanding</v>
          </cell>
          <cell r="B20">
            <v>945.49</v>
          </cell>
          <cell r="C20">
            <v>945.49</v>
          </cell>
          <cell r="D20">
            <v>945.49</v>
          </cell>
          <cell r="E20">
            <v>945.49</v>
          </cell>
          <cell r="F20">
            <v>945.49</v>
          </cell>
          <cell r="G20">
            <v>945.49</v>
          </cell>
        </row>
        <row r="21">
          <cell r="A21" t="str">
            <v>= Equity value</v>
          </cell>
          <cell r="B21">
            <v>2.0793451014817714</v>
          </cell>
          <cell r="C21">
            <v>6.7351320479328178</v>
          </cell>
          <cell r="D21">
            <v>11.390918994383865</v>
          </cell>
          <cell r="E21">
            <v>16.046705940834912</v>
          </cell>
          <cell r="F21">
            <v>20.702492887285956</v>
          </cell>
          <cell r="G21">
            <v>12.787655078319176</v>
          </cell>
        </row>
        <row r="22">
          <cell r="A22" t="str">
            <v>Upside from current price</v>
          </cell>
          <cell r="B22">
            <v>-0.69995020180638212</v>
          </cell>
          <cell r="C22">
            <v>-2.8119473602767949E-2</v>
          </cell>
          <cell r="D22">
            <v>0.64371125460084644</v>
          </cell>
          <cell r="E22">
            <v>1.3155419828044606</v>
          </cell>
          <cell r="F22">
            <v>1.9873727110080746</v>
          </cell>
          <cell r="G22">
            <v>0.8452604730619302</v>
          </cell>
        </row>
        <row r="25">
          <cell r="A25" t="str">
            <v>Assets</v>
          </cell>
        </row>
        <row r="26">
          <cell r="B26" t="str">
            <v>Value</v>
          </cell>
          <cell r="C26" t="str">
            <v>Avg. useful life</v>
          </cell>
        </row>
        <row r="27">
          <cell r="A27" t="str">
            <v>Spectrum</v>
          </cell>
          <cell r="B27">
            <v>4559.8739999999998</v>
          </cell>
        </row>
        <row r="28">
          <cell r="A28" t="str">
            <v>Owned - indefinite-lived</v>
          </cell>
          <cell r="B28">
            <v>3094.8009999999999</v>
          </cell>
        </row>
        <row r="29">
          <cell r="A29" t="str">
            <v>Owned - definite-lived</v>
          </cell>
          <cell r="B29">
            <v>107.166</v>
          </cell>
        </row>
        <row r="30">
          <cell r="A30" t="str">
            <v>Leased</v>
          </cell>
          <cell r="B30">
            <v>1319.883</v>
          </cell>
        </row>
        <row r="31">
          <cell r="A31" t="str">
            <v>Pending</v>
          </cell>
          <cell r="B31">
            <v>38.024000000000001</v>
          </cell>
          <cell r="C31" t="str">
            <v>na</v>
          </cell>
        </row>
        <row r="32">
          <cell r="A32" t="str">
            <v>PP&amp;E</v>
          </cell>
          <cell r="B32">
            <v>3206.4569999999999</v>
          </cell>
        </row>
        <row r="34">
          <cell r="B34" t="str">
            <v>Value</v>
          </cell>
          <cell r="C34" t="str">
            <v>% of total</v>
          </cell>
        </row>
        <row r="35">
          <cell r="A35" t="str">
            <v>Spectrum</v>
          </cell>
          <cell r="B35">
            <v>26412</v>
          </cell>
          <cell r="C35">
            <v>0.97054363148400991</v>
          </cell>
        </row>
        <row r="36">
          <cell r="A36" t="str">
            <v>PP&amp;E recovery</v>
          </cell>
          <cell r="B36">
            <v>801.61424999999997</v>
          </cell>
          <cell r="C36">
            <v>2.9456368515990119E-2</v>
          </cell>
        </row>
      </sheetData>
      <sheetData sheetId="15"/>
      <sheetData sheetId="16"/>
      <sheetData sheetId="17"/>
      <sheetData sheetId="18">
        <row r="1">
          <cell r="B1" t="str">
            <v>Q1 2010</v>
          </cell>
        </row>
        <row r="2">
          <cell r="C2" t="str">
            <v>Wholesale</v>
          </cell>
          <cell r="D2" t="str">
            <v>Retail</v>
          </cell>
        </row>
        <row r="3">
          <cell r="B3" t="str">
            <v>Subs</v>
          </cell>
          <cell r="C3">
            <v>157</v>
          </cell>
          <cell r="D3">
            <v>814</v>
          </cell>
        </row>
        <row r="4">
          <cell r="B4" t="str">
            <v>x ARPU</v>
          </cell>
          <cell r="C4">
            <v>8.7993789302398553E-2</v>
          </cell>
          <cell r="D4">
            <v>42.77</v>
          </cell>
        </row>
        <row r="5">
          <cell r="B5" t="str">
            <v>= Revenue</v>
          </cell>
          <cell r="C5">
            <v>13.815024920476572</v>
          </cell>
          <cell r="D5">
            <v>104.44434</v>
          </cell>
        </row>
        <row r="6">
          <cell r="B6" t="str">
            <v>- Network Costs</v>
          </cell>
          <cell r="C6">
            <v>34.163264675592167</v>
          </cell>
          <cell r="D6">
            <v>177.12673532440783</v>
          </cell>
        </row>
        <row r="7">
          <cell r="B7" t="str">
            <v>- G&amp;A</v>
          </cell>
          <cell r="C7">
            <v>19.40267765190525</v>
          </cell>
          <cell r="D7">
            <v>100.59732234809475</v>
          </cell>
        </row>
        <row r="8">
          <cell r="B8" t="str">
            <v>- CPGA</v>
          </cell>
          <cell r="C8">
            <v>0</v>
          </cell>
          <cell r="D8">
            <v>104.482</v>
          </cell>
        </row>
        <row r="9">
          <cell r="B9" t="str">
            <v>= EBITDA</v>
          </cell>
          <cell r="C9">
            <v>-36.74</v>
          </cell>
          <cell r="D9">
            <v>-277.76171767250253</v>
          </cell>
        </row>
        <row r="10">
          <cell r="B10" t="str">
            <v>Margin</v>
          </cell>
          <cell r="C10">
            <v>-2.6594233605430655</v>
          </cell>
          <cell r="D10">
            <v>-2.6594233605430655</v>
          </cell>
        </row>
        <row r="13">
          <cell r="B13" t="str">
            <v>Sub base (MM)</v>
          </cell>
          <cell r="C13">
            <v>2.5</v>
          </cell>
          <cell r="D13">
            <v>20</v>
          </cell>
          <cell r="E13">
            <v>40</v>
          </cell>
          <cell r="F13">
            <v>60</v>
          </cell>
          <cell r="G13">
            <v>80</v>
          </cell>
          <cell r="H13">
            <v>100</v>
          </cell>
        </row>
        <row r="15">
          <cell r="B15" t="str">
            <v>Fixed cost per sub</v>
          </cell>
          <cell r="C15">
            <v>90.733333333333334</v>
          </cell>
          <cell r="D15">
            <v>11.341666666666667</v>
          </cell>
          <cell r="E15">
            <v>5.6708333333333334</v>
          </cell>
          <cell r="F15">
            <v>3.7805555555555559</v>
          </cell>
          <cell r="G15">
            <v>2.8354166666666667</v>
          </cell>
          <cell r="H15">
            <v>2.2683333333333335</v>
          </cell>
        </row>
        <row r="17">
          <cell r="B17" t="str">
            <v>POPs covered</v>
          </cell>
          <cell r="C17">
            <v>120</v>
          </cell>
          <cell r="D17">
            <v>200</v>
          </cell>
          <cell r="E17">
            <v>210</v>
          </cell>
          <cell r="F17">
            <v>230</v>
          </cell>
          <cell r="G17">
            <v>240</v>
          </cell>
          <cell r="H17">
            <v>250</v>
          </cell>
        </row>
        <row r="18">
          <cell r="B18" t="str">
            <v>* Required take rate</v>
          </cell>
          <cell r="D18">
            <v>8.7499999999999994E-2</v>
          </cell>
          <cell r="E18">
            <v>9.5238095238095233E-2</v>
          </cell>
          <cell r="F18">
            <v>8.6956521739130432E-2</v>
          </cell>
          <cell r="G18">
            <v>8.3333333333333329E-2</v>
          </cell>
          <cell r="H18">
            <v>0.08</v>
          </cell>
        </row>
        <row r="19">
          <cell r="B19" t="str">
            <v>= Gross adds</v>
          </cell>
          <cell r="D19">
            <v>17.5</v>
          </cell>
          <cell r="E19">
            <v>20</v>
          </cell>
          <cell r="F19">
            <v>20</v>
          </cell>
          <cell r="G19">
            <v>20</v>
          </cell>
          <cell r="H19">
            <v>20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ub Counts"/>
      <sheetName val="97"/>
      <sheetName val="98"/>
      <sheetName val="99"/>
      <sheetName val="00"/>
      <sheetName val="TV HH"/>
      <sheetName val="HH"/>
      <sheetName val="PT ratings"/>
      <sheetName val="primetimeHH"/>
      <sheetName val="TD ratin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over Sheet"/>
      <sheetName val="Model Main"/>
      <sheetName val="Cable"/>
      <sheetName val="Analysis"/>
      <sheetName val="Wireless"/>
      <sheetName val="Synergy Analysis"/>
      <sheetName val="Valuation"/>
      <sheetName val="Subscriber Mix Analysis"/>
      <sheetName val="Revenue Drivers"/>
      <sheetName val="Debt Schedule"/>
      <sheetName val="Inputs"/>
      <sheetName val="Slides"/>
      <sheetName val="Earnings - Variances"/>
      <sheetName val="Earnings - Trends"/>
      <sheetName val="Historical Comps"/>
      <sheetName val="S-CHTR"/>
      <sheetName val="Model Appendix"/>
      <sheetName val="Output"/>
      <sheetName val="CHTR-TWC-BHN Deal"/>
      <sheetName val="CHTR-BHN Original Deal Analysis"/>
      <sheetName val="CHTR-TWC-BHN-CVC Deal"/>
      <sheetName val="Seasonality"/>
      <sheetName val="Legacy CHTR Model Main"/>
      <sheetName val="Legacy CHTR Valuation"/>
      <sheetName val="Legacy CHTR Cable"/>
      <sheetName val="Legacy CHTR Output"/>
      <sheetName val="FKLink"/>
      <sheetName val="Old Model Drivers"/>
      <sheetName val="__APW_ACTIVE_FIELD_RESTORE__"/>
      <sheetName val="CHTR Model New"/>
      <sheetName val="CMCSA-TWC Divestitures Analysis"/>
      <sheetName val="Mildred Annual"/>
      <sheetName val="Old Model Main"/>
      <sheetName val="Old Cable"/>
      <sheetName val="Old Valuation"/>
      <sheetName val="Old Output"/>
      <sheetName val="Old Inputs"/>
      <sheetName val="Output (2)"/>
      <sheetName val="Output New"/>
      <sheetName val="Ops Leverage"/>
      <sheetName val="Cost Model"/>
      <sheetName val="Model Drivers"/>
      <sheetName val="Notes"/>
      <sheetName val="PF Output"/>
      <sheetName val="Old Model --&gt;"/>
      <sheetName val="Old Earnings - Variances"/>
      <sheetName val="Sheet2"/>
      <sheetName val="Valuation Scenarios"/>
      <sheetName val="CHTR TWC BHN 3-Way Deal"/>
      <sheetName val="CHTR Buys TWC Then BHN"/>
      <sheetName val="CHTR Buys BHN then TWC"/>
      <sheetName val="CHTR Buy TWC; BHN Standalone"/>
      <sheetName val="CHTR Buys BHN only; TWC SA"/>
      <sheetName val="TWC Buys BHN; CHTR Standalone"/>
      <sheetName val="CHTR Buys TWC + BHN"/>
      <sheetName val="CHTR Buys BHN"/>
      <sheetName val="CHTR Buys TWC"/>
      <sheetName val="TWC Buys BHN"/>
      <sheetName val="BHN Standalone"/>
      <sheetName val="Legacy CHTR"/>
      <sheetName val="TWC Systems"/>
      <sheetName val="PF Drivers"/>
      <sheetName val="PF Model Main"/>
      <sheetName val="New Charter Valuation"/>
      <sheetName val="TWC Churn Reduction"/>
      <sheetName val="CHTR-CVC Analysis"/>
      <sheetName val="CHTR TWC+BHN Acquisition"/>
      <sheetName val="CHTR TWC Acquisition"/>
      <sheetName val="CHTR BHN Acquisition"/>
      <sheetName val="TWC BHN Acquisition"/>
      <sheetName val="CHTR-TWC Merger Analysis"/>
      <sheetName val="outputs"/>
      <sheetName val="CHTR-TWC-BHNScenariosOverview"/>
      <sheetName val="1) 3-Way Deal"/>
      <sheetName val="9) 4-Way Deal"/>
      <sheetName val="4) CHTR Buys TWC Only"/>
      <sheetName val="12) CHTR Buys CVC"/>
      <sheetName val="10) TWC Buys CVC"/>
      <sheetName val="6)TWC Buys BHN Only"/>
      <sheetName val="11) TWC Buys CVC, BHN"/>
      <sheetName val="7) CHTR Buys TWC + BHN"/>
      <sheetName val="2) CHTR Buys TWC Then BHN"/>
      <sheetName val="3) CHTR Buys BHN then TWC"/>
      <sheetName val="5) CHTR Buys BHN only; TWC SA"/>
      <sheetName val="Sheet1"/>
      <sheetName val="Model Main "/>
      <sheetName val="TWC-CHTR Merger Analysis"/>
      <sheetName val="4) CHTR Buy TWC; BHN Standalone"/>
      <sheetName val="6)TWC Buys BHN; CHTR Standalone"/>
      <sheetName val="TWC 1.4M"/>
      <sheetName val="TWC 1.6M"/>
      <sheetName val="PF Cable"/>
      <sheetName val="PF Model Drivers"/>
      <sheetName val="PF Valuation"/>
      <sheetName val="PF Inputs"/>
      <sheetName val="Old Analysis"/>
      <sheetName val="PF Earnings - Variances"/>
      <sheetName val="Old Old Output"/>
      <sheetName val="Share Repurchases"/>
      <sheetName val="FTTH Model"/>
      <sheetName val="Slides_New"/>
    </sheetNames>
    <sheetDataSet>
      <sheetData sheetId="0"/>
      <sheetData sheetId="1">
        <row r="16">
          <cell r="B16">
            <v>42215</v>
          </cell>
        </row>
        <row r="26">
          <cell r="C26" t="str">
            <v>Buy</v>
          </cell>
        </row>
      </sheetData>
      <sheetData sheetId="2">
        <row r="8">
          <cell r="CZ8">
            <v>4443</v>
          </cell>
        </row>
      </sheetData>
      <sheetData sheetId="3">
        <row r="5">
          <cell r="CV5" t="str">
            <v>1Q14</v>
          </cell>
        </row>
      </sheetData>
      <sheetData sheetId="4">
        <row r="6">
          <cell r="B6">
            <v>47.400000000000006</v>
          </cell>
        </row>
      </sheetData>
      <sheetData sheetId="5">
        <row r="8">
          <cell r="A8" t="str">
            <v>Service Revenues</v>
          </cell>
        </row>
      </sheetData>
      <sheetData sheetId="6">
        <row r="6">
          <cell r="B6" t="str">
            <v>1Q14</v>
          </cell>
        </row>
      </sheetData>
      <sheetData sheetId="7">
        <row r="6">
          <cell r="B6">
            <v>602.86</v>
          </cell>
        </row>
        <row r="16">
          <cell r="B16">
            <v>820</v>
          </cell>
        </row>
      </sheetData>
      <sheetData sheetId="8">
        <row r="7">
          <cell r="CM7">
            <v>0</v>
          </cell>
        </row>
      </sheetData>
      <sheetData sheetId="9">
        <row r="5">
          <cell r="B5" t="str">
            <v>1Q14</v>
          </cell>
        </row>
      </sheetData>
      <sheetData sheetId="10">
        <row r="3">
          <cell r="F3">
            <v>0</v>
          </cell>
        </row>
      </sheetData>
      <sheetData sheetId="11">
        <row r="5">
          <cell r="CV5" t="str">
            <v>1Q14</v>
          </cell>
        </row>
      </sheetData>
      <sheetData sheetId="12">
        <row r="5">
          <cell r="B5">
            <v>2019</v>
          </cell>
        </row>
      </sheetData>
      <sheetData sheetId="13">
        <row r="6">
          <cell r="B6">
            <v>2362</v>
          </cell>
        </row>
      </sheetData>
      <sheetData sheetId="14"/>
      <sheetData sheetId="15"/>
      <sheetData sheetId="16">
        <row r="16">
          <cell r="B16">
            <v>159219.90109183162</v>
          </cell>
        </row>
      </sheetData>
      <sheetData sheetId="17">
        <row r="16">
          <cell r="B16">
            <v>2091</v>
          </cell>
        </row>
      </sheetData>
      <sheetData sheetId="18">
        <row r="5">
          <cell r="E5" t="str">
            <v>1Q95</v>
          </cell>
        </row>
      </sheetData>
      <sheetData sheetId="19">
        <row r="16">
          <cell r="B16">
            <v>56677.616000000009</v>
          </cell>
        </row>
      </sheetData>
      <sheetData sheetId="20">
        <row r="16">
          <cell r="B16">
            <v>8428.4570000000003</v>
          </cell>
        </row>
      </sheetData>
      <sheetData sheetId="21">
        <row r="16">
          <cell r="B16">
            <v>9259.5073200817496</v>
          </cell>
        </row>
      </sheetData>
      <sheetData sheetId="22"/>
      <sheetData sheetId="23">
        <row r="29">
          <cell r="CK29">
            <v>2793</v>
          </cell>
        </row>
      </sheetData>
      <sheetData sheetId="24">
        <row r="6">
          <cell r="B6">
            <v>340</v>
          </cell>
        </row>
      </sheetData>
      <sheetData sheetId="25">
        <row r="8">
          <cell r="A8" t="str">
            <v>Video</v>
          </cell>
        </row>
      </sheetData>
      <sheetData sheetId="26">
        <row r="173">
          <cell r="CF173">
            <v>3263</v>
          </cell>
        </row>
      </sheetData>
      <sheetData sheetId="27">
        <row r="6">
          <cell r="B6">
            <v>16701</v>
          </cell>
        </row>
      </sheetData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>
        <row r="6">
          <cell r="B6" t="str">
            <v>Share repurchases</v>
          </cell>
        </row>
      </sheetData>
      <sheetData sheetId="100">
        <row r="6">
          <cell r="B6">
            <v>5907.8959999999997</v>
          </cell>
        </row>
      </sheetData>
      <sheetData sheetId="10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__FDSCACHE__"/>
      <sheetName val="Cover Sheet"/>
      <sheetName val="Model Main"/>
      <sheetName val="Cable"/>
      <sheetName val="Analysis-New"/>
      <sheetName val="Analysis"/>
      <sheetName val="Rural_Annual"/>
      <sheetName val="Debt"/>
      <sheetName val="Share Repurchases"/>
      <sheetName val="Guidance"/>
      <sheetName val="Valuation"/>
      <sheetName val="Inputs"/>
      <sheetName val="Slides_New (2)"/>
      <sheetName val="Earnings - Variances"/>
      <sheetName val="Earnings - Trends"/>
      <sheetName val="ATUS Acquisition"/>
      <sheetName val="Slides_New"/>
      <sheetName val="Rural"/>
      <sheetName val="Price_Increases"/>
      <sheetName val="Output"/>
      <sheetName val="Wireless - old"/>
      <sheetName val="Model Main - old"/>
      <sheetName val="Cable - old"/>
      <sheetName val="Subscribers"/>
      <sheetName val="FTTH Model"/>
      <sheetName val="FTTH Model - Old"/>
      <sheetName val="Debt Schedule"/>
      <sheetName val="Earnings - Trends - old"/>
      <sheetName val="Slides_old"/>
      <sheetName val="Slides"/>
      <sheetName val="Synergy Analysis"/>
      <sheetName val="Subscriber Mix Analysis"/>
      <sheetName val="Revenue Drivers"/>
      <sheetName val="Historical Comps"/>
      <sheetName val="Model Appendix"/>
      <sheetName val="CHTR-TWC-BHN Deal"/>
      <sheetName val="CHTR-BHN Original Deal Analysis"/>
      <sheetName val="CHTR-TWC-BHN-CVC Deal"/>
      <sheetName val="CHTR-TWC-BHN-CVC Deal (2)"/>
      <sheetName val="Seasonality"/>
      <sheetName val="Legacy CHTR Model Main"/>
      <sheetName val="Legacy CHTR Valuation"/>
      <sheetName val="Legacy CHTR Cable"/>
      <sheetName val="Legacy CHTR Output"/>
      <sheetName val="FKLink"/>
      <sheetName val="Old Model Drivers"/>
      <sheetName val="__APW_ACTIVE_FIELD_RESTORE__"/>
      <sheetName val="CHTR Model New"/>
    </sheetNames>
    <definedNames>
      <definedName name="CHTRCurrentPrice" refersTo="='Valuation'!$B$6"/>
    </definedNames>
    <sheetDataSet>
      <sheetData sheetId="0" refreshError="1"/>
      <sheetData sheetId="1" refreshError="1"/>
      <sheetData sheetId="2" refreshError="1"/>
      <sheetData sheetId="3">
        <row r="70">
          <cell r="EU70">
            <v>56110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B6">
            <v>363</v>
          </cell>
        </row>
        <row r="7">
          <cell r="B7">
            <v>161.599313</v>
          </cell>
        </row>
        <row r="9">
          <cell r="B9">
            <v>93933</v>
          </cell>
        </row>
        <row r="10">
          <cell r="B10">
            <v>459</v>
          </cell>
        </row>
        <row r="11">
          <cell r="B11">
            <v>47</v>
          </cell>
        </row>
        <row r="15">
          <cell r="D15">
            <v>2689.8155463018638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__FDSCACHE__"/>
      <sheetName val="Frontier Acq. Analysis"/>
      <sheetName val="Cover Sheet"/>
      <sheetName val="Consolidated - New"/>
      <sheetName val="Consolidated - Old"/>
      <sheetName val="Business"/>
      <sheetName val="Consumer"/>
      <sheetName val="Analysis (3)"/>
      <sheetName val="Other"/>
      <sheetName val="Wireless"/>
      <sheetName val="Valuation"/>
      <sheetName val="Output"/>
      <sheetName val="Inputs"/>
      <sheetName val="Earnings - Variances"/>
      <sheetName val="Analysis (2)"/>
      <sheetName val="Earnings Trends"/>
      <sheetName val="Earnings - Guidance"/>
      <sheetName val="Changes to Guidance"/>
      <sheetName val="Earnings"/>
      <sheetName val="Est. vs Consensus"/>
      <sheetName val="FCF Bridge"/>
      <sheetName val="Changes to Estimates"/>
      <sheetName val="Consolidated Subs - New"/>
      <sheetName val="Scratcj"/>
      <sheetName val="Sheet1"/>
      <sheetName val="New vs. Consensus"/>
      <sheetName val="2.0 to 1.0"/>
      <sheetName val="Wireline - Old"/>
      <sheetName val="Cable MVNO"/>
      <sheetName val="Cable MVNO (2)"/>
      <sheetName val="Installment Plans - Consumer"/>
      <sheetName val="Analysis - New"/>
      <sheetName val="Earnings - Trends New"/>
      <sheetName val="Tracfone Net Impact"/>
      <sheetName val="Earnings - Variances (2)"/>
      <sheetName val="Other and Corporate"/>
      <sheetName val="Decomp"/>
      <sheetName val="Earnings - Exhibits"/>
      <sheetName val="Installment Plans"/>
      <sheetName val="ASC 606-842 Impact"/>
      <sheetName val="Debt Schedule"/>
      <sheetName val="Seasonality"/>
      <sheetName val="Guidance"/>
      <sheetName val="VZ - CHTR Merger Analysis"/>
      <sheetName val="Mildred Annual"/>
      <sheetName val="VZ Model New"/>
      <sheetName val="Wireless - Old"/>
      <sheetName val="Key Trends"/>
      <sheetName val="Analysis"/>
      <sheetName val="Consumer - New"/>
      <sheetName val="Business - New"/>
      <sheetName val="Earnings (2)"/>
      <sheetName val="Analysis New"/>
      <sheetName val="Fiber SOGA"/>
      <sheetName val="Sec II - Retail Trends"/>
      <sheetName val="Current build plan"/>
      <sheetName val="Faster build plan"/>
      <sheetName val="Frontier Acq. Analysis (2)"/>
    </sheetNames>
    <sheetDataSet>
      <sheetData sheetId="0"/>
      <sheetData sheetId="1" refreshError="1">
        <row r="8">
          <cell r="B8">
            <v>22441.239516181162</v>
          </cell>
        </row>
        <row r="146">
          <cell r="D146">
            <v>500.30399999999997</v>
          </cell>
        </row>
        <row r="147">
          <cell r="D147">
            <v>0.1</v>
          </cell>
          <cell r="E147">
            <v>0.6</v>
          </cell>
          <cell r="F147">
            <v>1</v>
          </cell>
        </row>
        <row r="154">
          <cell r="D154">
            <v>585</v>
          </cell>
          <cell r="E154">
            <v>585</v>
          </cell>
          <cell r="F154">
            <v>585</v>
          </cell>
        </row>
        <row r="155">
          <cell r="D155">
            <v>0.6</v>
          </cell>
          <cell r="E155">
            <v>0.4</v>
          </cell>
          <cell r="F155">
            <v>0</v>
          </cell>
        </row>
      </sheetData>
      <sheetData sheetId="2"/>
      <sheetData sheetId="3">
        <row r="10">
          <cell r="ES10">
            <v>2226</v>
          </cell>
        </row>
        <row r="30">
          <cell r="ES30">
            <v>47789</v>
          </cell>
          <cell r="FD30">
            <v>49663.873976115967</v>
          </cell>
        </row>
      </sheetData>
      <sheetData sheetId="4">
        <row r="23">
          <cell r="DK23">
            <v>10895</v>
          </cell>
        </row>
      </sheetData>
      <sheetData sheetId="5">
        <row r="11">
          <cell r="ES11">
            <v>12114</v>
          </cell>
        </row>
      </sheetData>
      <sheetData sheetId="6">
        <row r="5">
          <cell r="EE5" t="str">
            <v>1Q21</v>
          </cell>
        </row>
      </sheetData>
      <sheetData sheetId="7" refreshError="1"/>
      <sheetData sheetId="8" refreshError="1"/>
      <sheetData sheetId="9">
        <row r="106">
          <cell r="ER106">
            <v>9.2999999999999992E-3</v>
          </cell>
        </row>
      </sheetData>
      <sheetData sheetId="10">
        <row r="8">
          <cell r="B8">
            <v>40.99</v>
          </cell>
        </row>
        <row r="48">
          <cell r="C48">
            <v>6.6366977973836621</v>
          </cell>
        </row>
        <row r="53">
          <cell r="C53">
            <v>9.7466284510859165</v>
          </cell>
        </row>
        <row r="220">
          <cell r="B220">
            <v>5.3470999999999998E-2</v>
          </cell>
        </row>
      </sheetData>
      <sheetData sheetId="11">
        <row r="102">
          <cell r="DF102">
            <v>30891</v>
          </cell>
        </row>
      </sheetData>
      <sheetData sheetId="12">
        <row r="5">
          <cell r="EI5">
            <v>2021</v>
          </cell>
        </row>
      </sheetData>
      <sheetData sheetId="13">
        <row r="8">
          <cell r="B8">
            <v>1.2025647114699596</v>
          </cell>
        </row>
      </sheetData>
      <sheetData sheetId="14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>
        <row r="75">
          <cell r="EI75">
            <v>91620</v>
          </cell>
        </row>
      </sheetData>
      <sheetData sheetId="23" refreshError="1"/>
      <sheetData sheetId="24" refreshError="1"/>
      <sheetData sheetId="25">
        <row r="8">
          <cell r="B8">
            <v>9.0043110758245958E-3</v>
          </cell>
        </row>
      </sheetData>
      <sheetData sheetId="26"/>
      <sheetData sheetId="27">
        <row r="24">
          <cell r="DP24" t="e">
            <v>#REF!</v>
          </cell>
        </row>
      </sheetData>
      <sheetData sheetId="28"/>
      <sheetData sheetId="29" refreshError="1"/>
      <sheetData sheetId="30"/>
      <sheetData sheetId="31">
        <row r="8">
          <cell r="B8">
            <v>19253</v>
          </cell>
        </row>
      </sheetData>
      <sheetData sheetId="32">
        <row r="8">
          <cell r="B8">
            <v>26050</v>
          </cell>
        </row>
      </sheetData>
      <sheetData sheetId="33"/>
      <sheetData sheetId="34">
        <row r="8">
          <cell r="B8">
            <v>11542</v>
          </cell>
        </row>
      </sheetData>
      <sheetData sheetId="35"/>
      <sheetData sheetId="36">
        <row r="8">
          <cell r="B8">
            <v>0</v>
          </cell>
        </row>
      </sheetData>
      <sheetData sheetId="37">
        <row r="8">
          <cell r="B8" t="e">
            <v>#REF!</v>
          </cell>
        </row>
      </sheetData>
      <sheetData sheetId="38">
        <row r="86">
          <cell r="DK86">
            <v>0.48</v>
          </cell>
        </row>
      </sheetData>
      <sheetData sheetId="39">
        <row r="8">
          <cell r="B8">
            <v>11778</v>
          </cell>
        </row>
      </sheetData>
      <sheetData sheetId="40"/>
      <sheetData sheetId="41"/>
      <sheetData sheetId="42"/>
      <sheetData sheetId="43"/>
      <sheetData sheetId="44">
        <row r="8">
          <cell r="B8" t="str">
            <v>Other financial liabilities</v>
          </cell>
        </row>
      </sheetData>
      <sheetData sheetId="45" refreshError="1"/>
      <sheetData sheetId="46">
        <row r="5">
          <cell r="BM5" t="str">
            <v>1Q07</v>
          </cell>
        </row>
      </sheetData>
      <sheetData sheetId="47" refreshError="1"/>
      <sheetData sheetId="48">
        <row r="8">
          <cell r="B8">
            <v>62817</v>
          </cell>
        </row>
      </sheetData>
      <sheetData sheetId="49">
        <row r="27">
          <cell r="DK27" t="str">
            <v/>
          </cell>
        </row>
      </sheetData>
      <sheetData sheetId="50">
        <row r="5">
          <cell r="DK5" t="str">
            <v>1Q17</v>
          </cell>
        </row>
      </sheetData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__FDSCACHE__"/>
      <sheetName val="Cover"/>
      <sheetName val="Model Main"/>
      <sheetName val="FTTH Model"/>
      <sheetName val="Drivers"/>
      <sheetName val="Mini-model"/>
      <sheetName val="mini-model-charts"/>
      <sheetName val="Steady-state"/>
      <sheetName val="ABS"/>
      <sheetName val="Debt"/>
      <sheetName val="Valuation"/>
      <sheetName val="Guidance"/>
      <sheetName val="Inputs"/>
      <sheetName val="Model Main (2)"/>
      <sheetName val="Drivers (2)"/>
      <sheetName val="Consensus_Comp"/>
      <sheetName val="Analysis"/>
      <sheetName val="Earnings - Variances"/>
      <sheetName val="Slides_New"/>
      <sheetName val="Earnings Trends"/>
      <sheetName val="Charts"/>
      <sheetName val="Output"/>
      <sheetName val="HY_data"/>
      <sheetName val="Penetration"/>
      <sheetName val="Debt-old"/>
      <sheetName val="Segment Model"/>
      <sheetName val="New_Build_Summary"/>
      <sheetName val="New_Build_Base_Case"/>
      <sheetName val="New_Build_Optimistic_Case"/>
      <sheetName val="New_Build_Conservative_Case"/>
      <sheetName val="Exhibits for Analyst Day BF"/>
      <sheetName val="NS Exhibits for Analyst Day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0">
          <cell r="EO90">
            <v>5510</v>
          </cell>
          <cell r="EP90">
            <v>5826</v>
          </cell>
          <cell r="EQ90">
            <v>6158</v>
          </cell>
          <cell r="ER90">
            <v>6491</v>
          </cell>
          <cell r="ET90">
            <v>6813</v>
          </cell>
          <cell r="EU90">
            <v>7201</v>
          </cell>
        </row>
        <row r="112">
          <cell r="EO112">
            <v>1575</v>
          </cell>
          <cell r="EP112">
            <v>1659</v>
          </cell>
          <cell r="EQ112">
            <v>1722</v>
          </cell>
          <cell r="ER112">
            <v>1797</v>
          </cell>
          <cell r="ET112">
            <v>1878</v>
          </cell>
          <cell r="EU112">
            <v>1963</v>
          </cell>
        </row>
        <row r="117">
          <cell r="EO117">
            <v>84</v>
          </cell>
          <cell r="EP117">
            <v>63</v>
          </cell>
          <cell r="EQ117">
            <v>75</v>
          </cell>
          <cell r="ER117">
            <v>81</v>
          </cell>
          <cell r="ET117">
            <v>85</v>
          </cell>
          <cell r="EU117">
            <v>90</v>
          </cell>
        </row>
        <row r="119">
          <cell r="EO119">
            <v>1.2E-2</v>
          </cell>
          <cell r="EP119">
            <v>1.41E-2</v>
          </cell>
          <cell r="EQ119">
            <v>1.47E-2</v>
          </cell>
          <cell r="ER119">
            <v>1.2E-2</v>
          </cell>
          <cell r="ET119">
            <v>1.24E-2</v>
          </cell>
          <cell r="EU119">
            <v>1.4E-2</v>
          </cell>
        </row>
        <row r="120">
          <cell r="EO120">
            <v>0.30108892921960073</v>
          </cell>
          <cell r="EP120">
            <v>0.29557157569515963</v>
          </cell>
          <cell r="EQ120">
            <v>0.29181552452094833</v>
          </cell>
          <cell r="ER120">
            <v>0.28932367894007088</v>
          </cell>
          <cell r="ET120">
            <v>0.28812564215470426</v>
          </cell>
          <cell r="EU120">
            <v>0.28509929176503263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6">
          <cell r="H56">
            <v>43.111499999999999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__FDSCACHE__"/>
      <sheetName val="Cover"/>
      <sheetName val="Top Down Subscriber Model"/>
      <sheetName val="Inputs"/>
      <sheetName val="Residential Slides"/>
      <sheetName val="Trends Slides"/>
      <sheetName val="Slides"/>
      <sheetName val="Sheet1"/>
      <sheetName val="Output"/>
      <sheetName val="Adj_Kagan_data"/>
      <sheetName val="Growth Components"/>
      <sheetName val="Forecast By Footprint"/>
      <sheetName val="Analysis"/>
      <sheetName val="Wireless Subsitution"/>
      <sheetName val="Overlap"/>
      <sheetName val="Penetration"/>
      <sheetName val="Terminal Penetration"/>
      <sheetName val="Consumption Distribution"/>
      <sheetName val="FTTH_Model_Inputs"/>
      <sheetName val="Tech Input"/>
      <sheetName val="Household Data Monthly"/>
      <sheetName val="1Q19"/>
    </sheetNames>
    <sheetDataSet>
      <sheetData sheetId="0" refreshError="1"/>
      <sheetData sheetId="1" refreshError="1"/>
      <sheetData sheetId="2" refreshError="1">
        <row r="9">
          <cell r="CE9">
            <v>113442</v>
          </cell>
        </row>
        <row r="12">
          <cell r="DX12">
            <v>134816.80414348745</v>
          </cell>
          <cell r="DY12">
            <v>134721.6749004442</v>
          </cell>
          <cell r="DZ12">
            <v>134935.64822058674</v>
          </cell>
          <cell r="EA12">
            <v>135961.10273851352</v>
          </cell>
          <cell r="EB12">
            <v>135742.09006136796</v>
          </cell>
          <cell r="EC12">
            <v>136062.50939581584</v>
          </cell>
          <cell r="ED12">
            <v>136244.4258904469</v>
          </cell>
          <cell r="EE12">
            <v>137040.90324036131</v>
          </cell>
          <cell r="EF12">
            <v>136977.44193663434</v>
          </cell>
          <cell r="EG12">
            <v>137073.73021454737</v>
          </cell>
        </row>
        <row r="123">
          <cell r="EF123">
            <v>136977.44193663434</v>
          </cell>
          <cell r="EG123">
            <v>137073.73021454737</v>
          </cell>
        </row>
        <row r="145">
          <cell r="DX145">
            <v>0.8419416157093359</v>
          </cell>
          <cell r="DY145">
            <v>0.84702417381185169</v>
          </cell>
          <cell r="DZ145">
            <v>0.85064239584272594</v>
          </cell>
          <cell r="EA145">
            <v>0.8506554294038553</v>
          </cell>
          <cell r="EB145">
            <v>0.85886634552197028</v>
          </cell>
          <cell r="EC145">
            <v>0.86175942800042904</v>
          </cell>
          <cell r="ED145">
            <v>0.86720853382613261</v>
          </cell>
          <cell r="EE145">
            <v>0.86576954859797239</v>
          </cell>
          <cell r="EF145">
            <v>0.87015227569571907</v>
          </cell>
          <cell r="EG145">
            <v>0.87173322273218656</v>
          </cell>
        </row>
      </sheetData>
      <sheetData sheetId="3">
        <row r="4">
          <cell r="AM4"/>
        </row>
        <row r="157">
          <cell r="ET157">
            <v>29693</v>
          </cell>
        </row>
        <row r="158">
          <cell r="ET158">
            <v>28472</v>
          </cell>
        </row>
        <row r="159">
          <cell r="ET159">
            <v>4139.7</v>
          </cell>
        </row>
        <row r="160">
          <cell r="ET160">
            <v>967.4</v>
          </cell>
        </row>
        <row r="166">
          <cell r="EI166">
            <v>76448.842907094382</v>
          </cell>
          <cell r="EJ166">
            <v>76911.346907094383</v>
          </cell>
          <cell r="EK166">
            <v>76837.919605620089</v>
          </cell>
          <cell r="EL166">
            <v>76840.418703415504</v>
          </cell>
          <cell r="EM166">
            <v>76839.832597945933</v>
          </cell>
          <cell r="EN166">
            <v>76839.832597945933</v>
          </cell>
          <cell r="EO166">
            <v>76912.339233086503</v>
          </cell>
          <cell r="EP166">
            <v>76939.083346918589</v>
          </cell>
          <cell r="EQ166">
            <v>76998.519</v>
          </cell>
          <cell r="ER166">
            <v>76773.814550047682</v>
          </cell>
          <cell r="ES166">
            <v>76773.814550047682</v>
          </cell>
          <cell r="ET166">
            <v>76575.60206673271</v>
          </cell>
          <cell r="EU166">
            <v>76169.357000000018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4Q21"/>
      <sheetName val="1Q22"/>
      <sheetName val="1Q22_Consumer"/>
      <sheetName val="2Q22"/>
      <sheetName val="Consumer"/>
      <sheetName val="Resi_Changes"/>
      <sheetName val="Tally_2Q24 (2)"/>
      <sheetName val="ACP"/>
      <sheetName val="Tally_2Q24"/>
      <sheetName val="Sheet1 (2)"/>
      <sheetName val="Charts"/>
      <sheetName val="Seasonality"/>
      <sheetName val="Index"/>
      <sheetName val="Changes"/>
      <sheetName val="Sheet5"/>
      <sheetName val="ACP-old"/>
      <sheetName val="Sheet6"/>
      <sheetName val="Housing"/>
      <sheetName val="HT"/>
      <sheetName val="FWA"/>
      <sheetName val="Illustration"/>
      <sheetName val="In_Footprint_SOGA"/>
      <sheetName val="FWB_Adds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123.83132530120481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Jose Javier Anguis Horno" id="{A1556396-023C-4ADE-9DE4-C3487E412962}" userId="S::jose.anguis@newstreetresearch.com::8684ee4d-46e1-4bef-8d19-8dd5bf8624c9" providerId="AD"/>
</personList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NSR Accent">
    <a:dk1>
      <a:sysClr val="windowText" lastClr="000000"/>
    </a:dk1>
    <a:lt1>
      <a:srgbClr val="FFFFFF"/>
    </a:lt1>
    <a:dk2>
      <a:srgbClr val="263238"/>
    </a:dk2>
    <a:lt2>
      <a:srgbClr val="ECEFF1"/>
    </a:lt2>
    <a:accent1>
      <a:srgbClr val="C7FE02"/>
    </a:accent1>
    <a:accent2>
      <a:srgbClr val="E3F982"/>
    </a:accent2>
    <a:accent3>
      <a:srgbClr val="F9663E"/>
    </a:accent3>
    <a:accent4>
      <a:srgbClr val="F19375"/>
    </a:accent4>
    <a:accent5>
      <a:srgbClr val="00CA94"/>
    </a:accent5>
    <a:accent6>
      <a:srgbClr val="80D4C1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O50" dT="2023-05-05T12:14:33.00" personId="{A1556396-023C-4ADE-9DE4-C3487E412962}" id="{BDF63D52-F902-4F7E-BE62-E3D90C155C01}">
    <text>Assumed same as previous quarter as they only give the sum now</text>
  </threadedComment>
  <threadedComment ref="EO141" dT="2023-05-05T12:14:43.72" personId="{A1556396-023C-4ADE-9DE4-C3487E412962}" id="{826374FC-3CE7-481D-B6EE-1A3FE2F88F52}">
    <text>Assumed same as previous quarter as they only give the sum now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Relationship Id="rId4" Type="http://schemas.microsoft.com/office/2017/10/relationships/threadedComment" Target="../threadedComments/threadedComment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stopthecap.com/2020/03/31/frontiers-inner-secrets-revealed-we-underinvested-for-years/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3D682-0AC6-429C-B67F-5985ECF89B62}">
  <sheetPr codeName="Sheet1"/>
  <dimension ref="A1:B1"/>
  <sheetViews>
    <sheetView workbookViewId="0"/>
  </sheetViews>
  <sheetFormatPr defaultRowHeight="12" x14ac:dyDescent="0.3"/>
  <sheetData>
    <row r="1" spans="1:2" x14ac:dyDescent="0.3">
      <c r="B1" t="s">
        <v>0</v>
      </c>
    </row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43F0-5165-4FAF-B78B-63E7EF801E2C}">
  <dimension ref="A3:P171"/>
  <sheetViews>
    <sheetView workbookViewId="0">
      <selection activeCell="G32" sqref="G32"/>
    </sheetView>
  </sheetViews>
  <sheetFormatPr defaultColWidth="9.33203125" defaultRowHeight="12" x14ac:dyDescent="0.3"/>
  <cols>
    <col min="1" max="1" width="36" style="1306" bestFit="1" customWidth="1"/>
    <col min="2" max="3" width="11.6640625" style="1306" bestFit="1" customWidth="1"/>
    <col min="4" max="4" width="11.77734375" style="1306" bestFit="1" customWidth="1"/>
    <col min="5" max="5" width="17.77734375" style="1306" bestFit="1" customWidth="1"/>
    <col min="6" max="16384" width="9.33203125" style="1306"/>
  </cols>
  <sheetData>
    <row r="3" spans="1:5" x14ac:dyDescent="0.3">
      <c r="A3" s="1712"/>
      <c r="B3" s="1721" t="s">
        <v>2878</v>
      </c>
      <c r="C3" s="1721" t="s">
        <v>3030</v>
      </c>
      <c r="D3" s="1721" t="s">
        <v>3031</v>
      </c>
      <c r="E3" s="1721" t="s">
        <v>3032</v>
      </c>
    </row>
    <row r="4" spans="1:5" x14ac:dyDescent="0.3">
      <c r="A4" s="1306" t="s">
        <v>694</v>
      </c>
      <c r="B4" s="1538">
        <v>621</v>
      </c>
      <c r="C4" s="1494">
        <f>E4-D4</f>
        <v>629.22599999999989</v>
      </c>
      <c r="D4" s="1543">
        <f>B131/1000</f>
        <v>98.786000000000001</v>
      </c>
      <c r="E4" s="1538">
        <v>728.01199999999994</v>
      </c>
    </row>
    <row r="5" spans="1:5" x14ac:dyDescent="0.3">
      <c r="A5" s="1306" t="s">
        <v>869</v>
      </c>
      <c r="B5" s="1715">
        <v>175</v>
      </c>
      <c r="C5" s="1314">
        <f>E5-D5</f>
        <v>180.673</v>
      </c>
      <c r="D5" s="1715">
        <f>B132/1000</f>
        <v>34.386000000000003</v>
      </c>
      <c r="E5" s="1715">
        <v>215.059</v>
      </c>
    </row>
    <row r="6" spans="1:5" x14ac:dyDescent="0.3">
      <c r="A6" s="1315" t="s">
        <v>668</v>
      </c>
      <c r="B6" s="1507">
        <f>SUM(B4:B5)</f>
        <v>796</v>
      </c>
      <c r="C6" s="1507">
        <f>SUM(C4:C5)</f>
        <v>809.89899999999989</v>
      </c>
      <c r="D6" s="1507">
        <f>SUM(D4:D5)</f>
        <v>133.172</v>
      </c>
      <c r="E6" s="1507">
        <f>SUM(E4:E5)</f>
        <v>943.07099999999991</v>
      </c>
    </row>
    <row r="8" spans="1:5" x14ac:dyDescent="0.3">
      <c r="A8" s="1306" t="s">
        <v>3033</v>
      </c>
      <c r="B8" s="1538">
        <v>286</v>
      </c>
      <c r="C8" s="1494">
        <f>E8-D8</f>
        <v>294.51097300000004</v>
      </c>
      <c r="D8" s="1494">
        <f>B154/1000</f>
        <v>34.846026999999999</v>
      </c>
      <c r="E8" s="1538">
        <v>329.35700000000003</v>
      </c>
    </row>
    <row r="9" spans="1:5" x14ac:dyDescent="0.3">
      <c r="A9" s="1306" t="s">
        <v>3034</v>
      </c>
      <c r="B9" s="1715">
        <v>2</v>
      </c>
      <c r="C9" s="1314">
        <f>E9-D9</f>
        <v>3.2489319999999999</v>
      </c>
      <c r="D9" s="1557">
        <f>B155/1000</f>
        <v>3.7510680000000001</v>
      </c>
      <c r="E9" s="1715">
        <v>7</v>
      </c>
    </row>
    <row r="10" spans="1:5" x14ac:dyDescent="0.3">
      <c r="A10" s="1315" t="s">
        <v>3035</v>
      </c>
      <c r="B10" s="1507">
        <f>SUM(B8:B9)</f>
        <v>288</v>
      </c>
      <c r="C10" s="1507">
        <f>SUM(C8:C9)</f>
        <v>297.75990500000006</v>
      </c>
      <c r="D10" s="1507">
        <f>SUM(D8:D9)</f>
        <v>38.597094999999996</v>
      </c>
      <c r="E10" s="1507">
        <f>SUM(E8:E9)</f>
        <v>336.35700000000003</v>
      </c>
    </row>
    <row r="12" spans="1:5" x14ac:dyDescent="0.3">
      <c r="A12" s="1306" t="s">
        <v>3036</v>
      </c>
      <c r="B12" s="1496">
        <f>B8/B4</f>
        <v>0.46054750402576489</v>
      </c>
      <c r="C12" s="1496">
        <f>C8/C4</f>
        <v>0.46805277118237343</v>
      </c>
      <c r="D12" s="1496">
        <f t="shared" ref="D12:E14" si="0">D8/D4</f>
        <v>0.35274256473589372</v>
      </c>
      <c r="E12" s="1496">
        <f>E8/E4</f>
        <v>0.45240600429663252</v>
      </c>
    </row>
    <row r="13" spans="1:5" x14ac:dyDescent="0.3">
      <c r="A13" s="1306" t="s">
        <v>3037</v>
      </c>
      <c r="B13" s="1496">
        <f t="shared" ref="B13:C14" si="1">B9/B5</f>
        <v>1.1428571428571429E-2</v>
      </c>
      <c r="C13" s="1496">
        <f t="shared" si="1"/>
        <v>1.7982388071266873E-2</v>
      </c>
      <c r="D13" s="1496">
        <f t="shared" si="0"/>
        <v>0.109087070319316</v>
      </c>
      <c r="E13" s="1496">
        <f t="shared" si="0"/>
        <v>3.2549207426799155E-2</v>
      </c>
    </row>
    <row r="14" spans="1:5" x14ac:dyDescent="0.3">
      <c r="A14" s="1315" t="s">
        <v>702</v>
      </c>
      <c r="B14" s="1713">
        <f t="shared" si="1"/>
        <v>0.36180904522613067</v>
      </c>
      <c r="C14" s="1713">
        <f t="shared" si="1"/>
        <v>0.36765066384820838</v>
      </c>
      <c r="D14" s="1713">
        <f t="shared" si="0"/>
        <v>0.28982890547562551</v>
      </c>
      <c r="E14" s="1713">
        <f t="shared" si="0"/>
        <v>0.35666137544257015</v>
      </c>
    </row>
    <row r="16" spans="1:5" x14ac:dyDescent="0.3">
      <c r="A16" s="1306" t="s">
        <v>3038</v>
      </c>
      <c r="E16" s="1528">
        <v>1.3100000000000001E-2</v>
      </c>
    </row>
    <row r="18" spans="1:5" x14ac:dyDescent="0.3">
      <c r="A18" s="1306" t="s">
        <v>2993</v>
      </c>
      <c r="B18" s="1533">
        <v>61.713000000000001</v>
      </c>
    </row>
    <row r="20" spans="1:5" x14ac:dyDescent="0.3">
      <c r="A20" s="1306" t="s">
        <v>1299</v>
      </c>
      <c r="B20" s="1714"/>
      <c r="C20" s="1714"/>
      <c r="D20" s="1714"/>
      <c r="E20" s="1716">
        <v>68.510000000000005</v>
      </c>
    </row>
    <row r="22" spans="1:5" x14ac:dyDescent="0.3">
      <c r="A22" s="1306" t="s">
        <v>3039</v>
      </c>
      <c r="E22" s="1494">
        <f>E20*E8*12/1000</f>
        <v>270.77097684000006</v>
      </c>
    </row>
    <row r="23" spans="1:5" x14ac:dyDescent="0.3">
      <c r="A23" s="1306" t="s">
        <v>3040</v>
      </c>
    </row>
    <row r="24" spans="1:5" x14ac:dyDescent="0.3">
      <c r="A24" s="1306" t="s">
        <v>3041</v>
      </c>
    </row>
    <row r="25" spans="1:5" x14ac:dyDescent="0.3">
      <c r="A25" s="1306" t="s">
        <v>3042</v>
      </c>
      <c r="B25" s="1711"/>
      <c r="C25" s="1711"/>
      <c r="D25" s="1711"/>
      <c r="E25" s="1711"/>
    </row>
    <row r="26" spans="1:5" x14ac:dyDescent="0.3">
      <c r="A26" s="1306" t="s">
        <v>1788</v>
      </c>
      <c r="B26" s="1495">
        <f>B28</f>
        <v>331</v>
      </c>
      <c r="E26" s="1495">
        <f>G86</f>
        <v>360</v>
      </c>
    </row>
    <row r="28" spans="1:5" x14ac:dyDescent="0.3">
      <c r="A28" s="1306" t="s">
        <v>2350</v>
      </c>
      <c r="B28" s="1495">
        <f>B30-B29</f>
        <v>331</v>
      </c>
      <c r="E28" s="1495">
        <f>E26</f>
        <v>360</v>
      </c>
    </row>
    <row r="29" spans="1:5" x14ac:dyDescent="0.3">
      <c r="A29" s="1306" t="s">
        <v>1436</v>
      </c>
      <c r="B29" s="1717">
        <v>138</v>
      </c>
      <c r="C29" s="1711"/>
      <c r="D29" s="1711"/>
      <c r="E29" s="1519">
        <f>E30-E28</f>
        <v>151.40287799999999</v>
      </c>
    </row>
    <row r="30" spans="1:5" x14ac:dyDescent="0.3">
      <c r="A30" s="1315" t="s">
        <v>19</v>
      </c>
      <c r="B30" s="1718">
        <v>469</v>
      </c>
      <c r="C30" s="1507"/>
      <c r="D30" s="1507"/>
      <c r="E30" s="1718">
        <v>511.40287799999999</v>
      </c>
    </row>
    <row r="31" spans="1:5" x14ac:dyDescent="0.3">
      <c r="B31" s="1494"/>
      <c r="C31" s="1494"/>
      <c r="D31" s="1494"/>
      <c r="E31" s="1494"/>
    </row>
    <row r="32" spans="1:5" x14ac:dyDescent="0.3">
      <c r="A32" s="1306" t="s">
        <v>3043</v>
      </c>
      <c r="B32" s="1538">
        <v>65.760999999999996</v>
      </c>
      <c r="C32" s="1494"/>
      <c r="D32" s="1494"/>
      <c r="E32" s="1538">
        <v>43.103999999999999</v>
      </c>
    </row>
    <row r="33" spans="1:6" x14ac:dyDescent="0.3">
      <c r="A33" s="1306" t="s">
        <v>3044</v>
      </c>
      <c r="B33" s="1538">
        <v>85.832999999999998</v>
      </c>
      <c r="C33" s="1494"/>
      <c r="D33" s="1494"/>
      <c r="E33" s="1538">
        <v>99.316000000000003</v>
      </c>
    </row>
    <row r="34" spans="1:6" x14ac:dyDescent="0.3">
      <c r="A34" s="1306" t="s">
        <v>3045</v>
      </c>
      <c r="B34" s="1715">
        <v>27.529</v>
      </c>
      <c r="C34" s="1494"/>
      <c r="D34" s="1494"/>
      <c r="E34" s="1715">
        <v>35.939</v>
      </c>
    </row>
    <row r="35" spans="1:6" x14ac:dyDescent="0.3">
      <c r="A35" s="1315" t="s">
        <v>1452</v>
      </c>
      <c r="B35" s="1507">
        <f>SUM(B32:B34)</f>
        <v>179.12299999999999</v>
      </c>
      <c r="C35" s="1507"/>
      <c r="D35" s="1507"/>
      <c r="E35" s="1577">
        <f>SUM(E32:E34)</f>
        <v>178.35900000000001</v>
      </c>
    </row>
    <row r="36" spans="1:6" x14ac:dyDescent="0.3">
      <c r="A36" s="1315"/>
      <c r="B36" s="1507"/>
      <c r="C36" s="1507"/>
      <c r="D36" s="1507"/>
      <c r="E36" s="1507"/>
    </row>
    <row r="37" spans="1:6" x14ac:dyDescent="0.3">
      <c r="A37" s="1315" t="s">
        <v>301</v>
      </c>
      <c r="B37" s="1718">
        <v>290</v>
      </c>
      <c r="C37" s="1507"/>
      <c r="D37" s="1507"/>
      <c r="E37" s="1577">
        <f>E30-E35</f>
        <v>333.04387799999995</v>
      </c>
      <c r="F37" s="1560"/>
    </row>
    <row r="38" spans="1:6" x14ac:dyDescent="0.3">
      <c r="A38" s="1315"/>
      <c r="B38" s="1507"/>
      <c r="C38" s="1507"/>
      <c r="D38" s="1507"/>
      <c r="E38" s="1507"/>
    </row>
    <row r="39" spans="1:6" x14ac:dyDescent="0.3">
      <c r="A39" s="1306" t="s">
        <v>1423</v>
      </c>
      <c r="B39" s="1722">
        <v>24.571000000000002</v>
      </c>
      <c r="C39" s="1507"/>
      <c r="D39" s="1507"/>
      <c r="E39" s="1722">
        <v>32.661999999999999</v>
      </c>
    </row>
    <row r="40" spans="1:6" x14ac:dyDescent="0.3">
      <c r="A40" s="1306" t="s">
        <v>1424</v>
      </c>
      <c r="B40" s="1722">
        <v>12.887</v>
      </c>
      <c r="C40" s="1507"/>
      <c r="D40" s="1507"/>
      <c r="E40" s="1722">
        <v>12.632</v>
      </c>
    </row>
    <row r="41" spans="1:6" x14ac:dyDescent="0.3">
      <c r="A41" s="1306" t="s">
        <v>3046</v>
      </c>
      <c r="B41" s="1723">
        <v>4.0110000000000001</v>
      </c>
      <c r="C41" s="1507"/>
      <c r="D41" s="1507"/>
      <c r="E41" s="1723">
        <v>4.742</v>
      </c>
    </row>
    <row r="42" spans="1:6" x14ac:dyDescent="0.3">
      <c r="A42" s="1315" t="s">
        <v>198</v>
      </c>
      <c r="B42" s="1507">
        <f>SUM(B39:B41)</f>
        <v>41.469000000000001</v>
      </c>
      <c r="C42" s="1507"/>
      <c r="D42" s="1507"/>
      <c r="E42" s="1507">
        <f>SUM(E39:E41)</f>
        <v>50.035999999999994</v>
      </c>
    </row>
    <row r="43" spans="1:6" x14ac:dyDescent="0.3">
      <c r="B43" s="1494"/>
      <c r="C43" s="1494"/>
      <c r="D43" s="1494"/>
      <c r="E43" s="1494"/>
    </row>
    <row r="44" spans="1:6" x14ac:dyDescent="0.3">
      <c r="A44" s="1315" t="s">
        <v>1427</v>
      </c>
      <c r="B44" s="1718">
        <v>249</v>
      </c>
      <c r="C44" s="1507"/>
      <c r="D44" s="1507"/>
      <c r="E44" s="1718">
        <v>283</v>
      </c>
    </row>
    <row r="45" spans="1:6" x14ac:dyDescent="0.3">
      <c r="A45" s="1315"/>
      <c r="B45" s="1718"/>
      <c r="C45" s="1507"/>
      <c r="D45" s="1507"/>
      <c r="E45" s="1718"/>
    </row>
    <row r="46" spans="1:6" x14ac:dyDescent="0.3">
      <c r="A46" s="1315" t="s">
        <v>3047</v>
      </c>
      <c r="B46" s="1718">
        <v>213.3</v>
      </c>
      <c r="C46" s="1507"/>
      <c r="D46" s="1507"/>
      <c r="E46" s="1718">
        <v>247</v>
      </c>
    </row>
    <row r="47" spans="1:6" x14ac:dyDescent="0.3">
      <c r="A47" s="1315"/>
      <c r="B47" s="1718"/>
      <c r="C47" s="1507"/>
      <c r="D47" s="1507"/>
      <c r="E47" s="1718"/>
    </row>
    <row r="48" spans="1:6" x14ac:dyDescent="0.3">
      <c r="A48" s="1315" t="s">
        <v>201</v>
      </c>
      <c r="B48" s="1719">
        <v>8.4</v>
      </c>
      <c r="C48" s="1720"/>
      <c r="D48" s="1720"/>
      <c r="E48" s="1719">
        <v>8.25</v>
      </c>
    </row>
    <row r="49" spans="1:7" x14ac:dyDescent="0.3">
      <c r="A49" s="1711"/>
      <c r="B49" s="1711"/>
      <c r="C49" s="1711"/>
      <c r="D49" s="1711"/>
      <c r="E49" s="1711"/>
    </row>
    <row r="58" spans="1:7" x14ac:dyDescent="0.3">
      <c r="A58" s="1315" t="s">
        <v>3031</v>
      </c>
    </row>
    <row r="59" spans="1:7" x14ac:dyDescent="0.3">
      <c r="B59" s="1492">
        <v>2018</v>
      </c>
      <c r="C59" s="1492">
        <v>2019</v>
      </c>
      <c r="D59" s="1492">
        <v>2020</v>
      </c>
      <c r="E59" s="1492">
        <v>2021</v>
      </c>
      <c r="F59" s="1492">
        <v>2022</v>
      </c>
      <c r="G59" s="1492">
        <v>2023</v>
      </c>
    </row>
    <row r="60" spans="1:7" x14ac:dyDescent="0.3">
      <c r="A60" s="1306" t="s">
        <v>271</v>
      </c>
      <c r="B60" s="1538">
        <v>607</v>
      </c>
      <c r="C60" s="1538">
        <v>607</v>
      </c>
      <c r="D60" s="1538">
        <v>615</v>
      </c>
      <c r="E60" s="1538">
        <v>639</v>
      </c>
      <c r="F60" s="1538">
        <v>692</v>
      </c>
      <c r="G60" s="1538">
        <v>723</v>
      </c>
    </row>
    <row r="61" spans="1:7" x14ac:dyDescent="0.3">
      <c r="A61" s="1306" t="s">
        <v>329</v>
      </c>
      <c r="B61" s="1715">
        <v>295</v>
      </c>
      <c r="C61" s="1715">
        <v>295</v>
      </c>
      <c r="D61" s="1715">
        <v>291</v>
      </c>
      <c r="E61" s="1715">
        <v>271</v>
      </c>
      <c r="F61" s="1715">
        <v>222</v>
      </c>
      <c r="G61" s="1715">
        <v>215</v>
      </c>
    </row>
    <row r="62" spans="1:7" x14ac:dyDescent="0.3">
      <c r="A62" s="1306" t="s">
        <v>3048</v>
      </c>
      <c r="B62" s="1543">
        <f t="shared" ref="B62:G62" si="2">SUM(B60:B61)</f>
        <v>902</v>
      </c>
      <c r="C62" s="1543">
        <f t="shared" si="2"/>
        <v>902</v>
      </c>
      <c r="D62" s="1543">
        <f t="shared" si="2"/>
        <v>906</v>
      </c>
      <c r="E62" s="1543">
        <f t="shared" si="2"/>
        <v>910</v>
      </c>
      <c r="F62" s="1543">
        <f t="shared" si="2"/>
        <v>914</v>
      </c>
      <c r="G62" s="1543">
        <f t="shared" si="2"/>
        <v>938</v>
      </c>
    </row>
    <row r="64" spans="1:7" x14ac:dyDescent="0.3">
      <c r="A64" s="705" t="s">
        <v>3049</v>
      </c>
      <c r="B64" s="1292">
        <v>273</v>
      </c>
      <c r="C64" s="1292">
        <v>265</v>
      </c>
      <c r="D64" s="1292">
        <v>266</v>
      </c>
      <c r="E64" s="1292">
        <v>276</v>
      </c>
      <c r="F64" s="1292">
        <v>295</v>
      </c>
      <c r="G64" s="1292">
        <v>314</v>
      </c>
    </row>
    <row r="65" spans="1:7" x14ac:dyDescent="0.3">
      <c r="A65" s="705" t="s">
        <v>3050</v>
      </c>
      <c r="B65" s="1729">
        <v>14</v>
      </c>
      <c r="C65" s="1729">
        <v>13</v>
      </c>
      <c r="D65" s="1729">
        <v>13</v>
      </c>
      <c r="E65" s="1729">
        <v>12</v>
      </c>
      <c r="F65" s="1729">
        <v>10</v>
      </c>
      <c r="G65" s="1729">
        <v>7</v>
      </c>
    </row>
    <row r="66" spans="1:7" x14ac:dyDescent="0.3">
      <c r="A66" s="705" t="s">
        <v>3051</v>
      </c>
      <c r="B66" s="1730">
        <f t="shared" ref="B66:G66" si="3">SUM(B64:B65)</f>
        <v>287</v>
      </c>
      <c r="C66" s="1730">
        <f t="shared" si="3"/>
        <v>278</v>
      </c>
      <c r="D66" s="1730">
        <f t="shared" si="3"/>
        <v>279</v>
      </c>
      <c r="E66" s="1730">
        <f t="shared" si="3"/>
        <v>288</v>
      </c>
      <c r="F66" s="1730">
        <f t="shared" si="3"/>
        <v>305</v>
      </c>
      <c r="G66" s="1730">
        <f t="shared" si="3"/>
        <v>321</v>
      </c>
    </row>
    <row r="68" spans="1:7" x14ac:dyDescent="0.3">
      <c r="A68" s="1306" t="s">
        <v>3052</v>
      </c>
      <c r="B68" s="1496">
        <f>B64/B60</f>
        <v>0.44975288303130151</v>
      </c>
      <c r="C68" s="1496">
        <f t="shared" ref="C68:G68" si="4">C64/C60</f>
        <v>0.43657331136738053</v>
      </c>
      <c r="D68" s="1496">
        <f t="shared" si="4"/>
        <v>0.43252032520325201</v>
      </c>
      <c r="E68" s="1496">
        <f t="shared" si="4"/>
        <v>0.431924882629108</v>
      </c>
      <c r="F68" s="1496">
        <f t="shared" si="4"/>
        <v>0.42630057803468208</v>
      </c>
      <c r="G68" s="1496">
        <f t="shared" si="4"/>
        <v>0.43430152143845091</v>
      </c>
    </row>
    <row r="69" spans="1:7" x14ac:dyDescent="0.3">
      <c r="A69" s="1306" t="s">
        <v>3053</v>
      </c>
      <c r="B69" s="1496">
        <f t="shared" ref="B69:G70" si="5">B65/B61</f>
        <v>4.7457627118644069E-2</v>
      </c>
      <c r="C69" s="1496">
        <f t="shared" si="5"/>
        <v>4.4067796610169491E-2</v>
      </c>
      <c r="D69" s="1496">
        <f t="shared" si="5"/>
        <v>4.4673539518900345E-2</v>
      </c>
      <c r="E69" s="1496">
        <f t="shared" si="5"/>
        <v>4.4280442804428041E-2</v>
      </c>
      <c r="F69" s="1496">
        <f t="shared" si="5"/>
        <v>4.5045045045045043E-2</v>
      </c>
      <c r="G69" s="1496">
        <f t="shared" si="5"/>
        <v>3.255813953488372E-2</v>
      </c>
    </row>
    <row r="70" spans="1:7" x14ac:dyDescent="0.3">
      <c r="A70" s="1306" t="s">
        <v>3054</v>
      </c>
      <c r="B70" s="1496">
        <f t="shared" si="5"/>
        <v>0.31818181818181818</v>
      </c>
      <c r="C70" s="1496">
        <f t="shared" si="5"/>
        <v>0.30820399113082042</v>
      </c>
      <c r="D70" s="1496">
        <f t="shared" si="5"/>
        <v>0.30794701986754969</v>
      </c>
      <c r="E70" s="1496">
        <f t="shared" si="5"/>
        <v>0.31648351648351647</v>
      </c>
      <c r="F70" s="1496">
        <f t="shared" si="5"/>
        <v>0.33369803063457332</v>
      </c>
      <c r="G70" s="1496">
        <f t="shared" si="5"/>
        <v>0.34221748400852881</v>
      </c>
    </row>
    <row r="72" spans="1:7" x14ac:dyDescent="0.3">
      <c r="A72" s="1306" t="s">
        <v>3055</v>
      </c>
      <c r="B72" s="1511">
        <v>2.1000000000000001E-2</v>
      </c>
      <c r="C72" s="1511">
        <v>2.1999999999999999E-2</v>
      </c>
      <c r="D72" s="1511">
        <v>1.4999999999999999E-2</v>
      </c>
      <c r="E72" s="1511">
        <v>1.2999999999999999E-2</v>
      </c>
      <c r="F72" s="1511">
        <v>1.4E-2</v>
      </c>
      <c r="G72" s="1511">
        <v>1.2999999999999999E-2</v>
      </c>
    </row>
    <row r="73" spans="1:7" x14ac:dyDescent="0.3">
      <c r="A73" s="1306" t="s">
        <v>3056</v>
      </c>
      <c r="B73" s="1511">
        <v>2.1000000000000001E-2</v>
      </c>
      <c r="C73" s="1511">
        <v>2.1999999999999999E-2</v>
      </c>
      <c r="D73" s="1511">
        <v>1.9E-2</v>
      </c>
      <c r="E73" s="1511">
        <v>1.2E-2</v>
      </c>
      <c r="F73" s="1511">
        <v>1.4E-2</v>
      </c>
      <c r="G73" s="1511">
        <v>1.2999999999999999E-2</v>
      </c>
    </row>
    <row r="75" spans="1:7" x14ac:dyDescent="0.3">
      <c r="A75" s="1306" t="s">
        <v>3057</v>
      </c>
      <c r="B75" s="1724">
        <v>59.86</v>
      </c>
      <c r="C75" s="1724">
        <v>65.83</v>
      </c>
      <c r="D75" s="1724">
        <v>67.12</v>
      </c>
      <c r="E75" s="1724">
        <v>66.680000000000007</v>
      </c>
      <c r="F75" s="1724">
        <v>65.959999999999994</v>
      </c>
      <c r="G75" s="1724">
        <v>68.510000000000005</v>
      </c>
    </row>
    <row r="78" spans="1:7" x14ac:dyDescent="0.3">
      <c r="A78" s="1315" t="s">
        <v>3058</v>
      </c>
      <c r="B78" s="1492">
        <v>2018</v>
      </c>
      <c r="C78" s="1492">
        <v>2019</v>
      </c>
      <c r="D78" s="1492">
        <v>2020</v>
      </c>
      <c r="E78" s="1492">
        <v>2021</v>
      </c>
      <c r="F78" s="1492">
        <v>2022</v>
      </c>
      <c r="G78" s="1492">
        <v>2023</v>
      </c>
    </row>
    <row r="79" spans="1:7" x14ac:dyDescent="0.3">
      <c r="A79" s="1306" t="s">
        <v>3059</v>
      </c>
      <c r="B79" s="1538">
        <v>305</v>
      </c>
      <c r="C79" s="1538">
        <v>311</v>
      </c>
      <c r="D79" s="1538">
        <v>316</v>
      </c>
      <c r="E79" s="1538">
        <v>307</v>
      </c>
      <c r="F79" s="1538">
        <v>313</v>
      </c>
      <c r="G79" s="1538">
        <v>339</v>
      </c>
    </row>
    <row r="80" spans="1:7" x14ac:dyDescent="0.3">
      <c r="A80" s="1306" t="s">
        <v>461</v>
      </c>
      <c r="B80" s="1538">
        <v>200</v>
      </c>
      <c r="C80" s="1538">
        <v>183</v>
      </c>
      <c r="D80" s="1538">
        <v>152</v>
      </c>
      <c r="E80" s="1538">
        <v>119</v>
      </c>
      <c r="F80" s="1538">
        <v>100</v>
      </c>
      <c r="G80" s="1538">
        <v>83</v>
      </c>
    </row>
    <row r="81" spans="1:16" x14ac:dyDescent="0.3">
      <c r="A81" s="1306" t="s">
        <v>542</v>
      </c>
      <c r="B81" s="1538">
        <v>124</v>
      </c>
      <c r="C81" s="1538">
        <v>102</v>
      </c>
      <c r="D81" s="1538">
        <v>83</v>
      </c>
      <c r="E81" s="1538">
        <v>67</v>
      </c>
      <c r="F81" s="1538">
        <v>58</v>
      </c>
      <c r="G81" s="1538">
        <v>52</v>
      </c>
    </row>
    <row r="82" spans="1:16" x14ac:dyDescent="0.3">
      <c r="A82" s="1306" t="s">
        <v>34</v>
      </c>
      <c r="B82" s="1715">
        <v>39</v>
      </c>
      <c r="C82" s="1715">
        <v>35</v>
      </c>
      <c r="D82" s="1715">
        <v>37</v>
      </c>
      <c r="E82" s="1715">
        <v>33</v>
      </c>
      <c r="F82" s="1715">
        <v>30</v>
      </c>
      <c r="G82" s="1715">
        <v>29</v>
      </c>
    </row>
    <row r="83" spans="1:16" x14ac:dyDescent="0.3">
      <c r="A83" s="1315" t="s">
        <v>266</v>
      </c>
      <c r="B83" s="1507">
        <f t="shared" ref="B83:G83" si="6">SUM(B79:B82)</f>
        <v>668</v>
      </c>
      <c r="C83" s="1507">
        <f t="shared" si="6"/>
        <v>631</v>
      </c>
      <c r="D83" s="1507">
        <f t="shared" si="6"/>
        <v>588</v>
      </c>
      <c r="E83" s="1507">
        <f t="shared" si="6"/>
        <v>526</v>
      </c>
      <c r="F83" s="1507">
        <f t="shared" si="6"/>
        <v>501</v>
      </c>
      <c r="G83" s="1507">
        <f t="shared" si="6"/>
        <v>503</v>
      </c>
    </row>
    <row r="85" spans="1:16" x14ac:dyDescent="0.3">
      <c r="A85" s="1315" t="s">
        <v>3060</v>
      </c>
    </row>
    <row r="86" spans="1:16" x14ac:dyDescent="0.3">
      <c r="A86" s="1306" t="s">
        <v>38</v>
      </c>
      <c r="B86" s="1538">
        <v>457</v>
      </c>
      <c r="C86" s="1538">
        <v>436</v>
      </c>
      <c r="D86" s="1538">
        <v>401</v>
      </c>
      <c r="E86" s="1538">
        <v>369</v>
      </c>
      <c r="F86" s="1538">
        <v>354</v>
      </c>
      <c r="G86" s="1538">
        <v>360</v>
      </c>
    </row>
    <row r="87" spans="1:16" x14ac:dyDescent="0.3">
      <c r="A87" s="1306" t="s">
        <v>2543</v>
      </c>
      <c r="B87" s="1538">
        <v>44</v>
      </c>
      <c r="C87" s="1538">
        <v>42</v>
      </c>
      <c r="D87" s="1538">
        <v>35</v>
      </c>
      <c r="E87" s="1538">
        <v>33</v>
      </c>
      <c r="F87" s="1538">
        <v>35</v>
      </c>
      <c r="G87" s="1538">
        <v>32</v>
      </c>
    </row>
    <row r="88" spans="1:16" x14ac:dyDescent="0.3">
      <c r="A88" s="1306" t="s">
        <v>2447</v>
      </c>
      <c r="B88" s="1538">
        <v>37</v>
      </c>
      <c r="C88" s="1538">
        <v>31</v>
      </c>
      <c r="D88" s="1538">
        <v>31</v>
      </c>
      <c r="E88" s="1538">
        <v>31</v>
      </c>
      <c r="F88" s="1538">
        <v>29</v>
      </c>
      <c r="G88" s="1538">
        <v>28</v>
      </c>
    </row>
    <row r="89" spans="1:16" x14ac:dyDescent="0.3">
      <c r="A89" s="1306" t="s">
        <v>2019</v>
      </c>
      <c r="B89" s="1715">
        <v>131</v>
      </c>
      <c r="C89" s="1715">
        <v>121</v>
      </c>
      <c r="D89" s="1715">
        <v>120</v>
      </c>
      <c r="E89" s="1715">
        <v>93</v>
      </c>
      <c r="F89" s="1715">
        <v>83</v>
      </c>
      <c r="G89" s="1715">
        <v>83</v>
      </c>
    </row>
    <row r="90" spans="1:16" x14ac:dyDescent="0.3">
      <c r="A90" s="1315" t="s">
        <v>266</v>
      </c>
      <c r="B90" s="1507">
        <f t="shared" ref="B90:G90" si="7">SUM(B86:B89)</f>
        <v>669</v>
      </c>
      <c r="C90" s="1507">
        <f t="shared" si="7"/>
        <v>630</v>
      </c>
      <c r="D90" s="1507">
        <f t="shared" si="7"/>
        <v>587</v>
      </c>
      <c r="E90" s="1507">
        <f t="shared" si="7"/>
        <v>526</v>
      </c>
      <c r="F90" s="1507">
        <f t="shared" si="7"/>
        <v>501</v>
      </c>
      <c r="G90" s="1507">
        <f t="shared" si="7"/>
        <v>503</v>
      </c>
    </row>
    <row r="92" spans="1:16" x14ac:dyDescent="0.3">
      <c r="A92" s="1306" t="s">
        <v>1427</v>
      </c>
      <c r="B92" s="1538">
        <v>269</v>
      </c>
      <c r="C92" s="1538">
        <v>273</v>
      </c>
      <c r="D92" s="1538">
        <v>275</v>
      </c>
      <c r="E92" s="1538">
        <v>282</v>
      </c>
      <c r="F92" s="1538">
        <v>286</v>
      </c>
      <c r="G92" s="1538">
        <v>291</v>
      </c>
    </row>
    <row r="95" spans="1:16" x14ac:dyDescent="0.3">
      <c r="B95" s="1492">
        <v>2018</v>
      </c>
      <c r="C95" s="1492">
        <v>2019</v>
      </c>
      <c r="D95" s="1492">
        <v>2020</v>
      </c>
      <c r="E95" s="1492">
        <v>2021</v>
      </c>
      <c r="F95" s="1492">
        <v>2022</v>
      </c>
      <c r="G95" s="1492">
        <v>2023</v>
      </c>
      <c r="H95" s="1492">
        <v>2024</v>
      </c>
      <c r="I95" s="1492">
        <v>2025</v>
      </c>
      <c r="J95" s="1492">
        <v>2026</v>
      </c>
      <c r="K95" s="1492">
        <v>2027</v>
      </c>
      <c r="L95" s="1492">
        <v>2028</v>
      </c>
      <c r="M95" s="1492">
        <v>2029</v>
      </c>
      <c r="N95" s="1492">
        <v>2030</v>
      </c>
      <c r="O95" s="1492">
        <v>2031</v>
      </c>
      <c r="P95" s="1492">
        <v>2032</v>
      </c>
    </row>
    <row r="96" spans="1:16" x14ac:dyDescent="0.3">
      <c r="A96" s="1306" t="s">
        <v>1574</v>
      </c>
      <c r="B96" s="1538">
        <v>270</v>
      </c>
      <c r="C96" s="1538">
        <v>262</v>
      </c>
      <c r="D96" s="1538">
        <v>272</v>
      </c>
      <c r="E96" s="1538">
        <v>284</v>
      </c>
      <c r="F96" s="1538">
        <v>305</v>
      </c>
      <c r="G96" s="1538">
        <v>325</v>
      </c>
      <c r="H96" s="1538">
        <v>342</v>
      </c>
      <c r="I96" s="1538">
        <v>352</v>
      </c>
      <c r="J96" s="1538">
        <v>356</v>
      </c>
      <c r="K96" s="1538">
        <v>358</v>
      </c>
      <c r="L96" s="1538">
        <v>359</v>
      </c>
      <c r="M96" s="1538">
        <v>360</v>
      </c>
      <c r="N96" s="1538">
        <v>361</v>
      </c>
      <c r="O96" s="1538">
        <v>361</v>
      </c>
      <c r="P96" s="1538">
        <v>362</v>
      </c>
    </row>
    <row r="97" spans="1:16" x14ac:dyDescent="0.3">
      <c r="A97" s="1306" t="s">
        <v>3061</v>
      </c>
      <c r="B97" s="1538">
        <v>607</v>
      </c>
      <c r="C97" s="1538">
        <v>607</v>
      </c>
      <c r="D97" s="1538">
        <v>615</v>
      </c>
      <c r="E97" s="1538">
        <v>639</v>
      </c>
      <c r="F97" s="1538">
        <v>692</v>
      </c>
      <c r="G97" s="1538">
        <v>723</v>
      </c>
      <c r="H97" s="1538">
        <v>728</v>
      </c>
      <c r="I97" s="1538">
        <v>728</v>
      </c>
      <c r="J97" s="1538">
        <v>728</v>
      </c>
      <c r="K97" s="1538">
        <v>728</v>
      </c>
      <c r="L97" s="1538">
        <v>728</v>
      </c>
      <c r="M97" s="1538">
        <v>728</v>
      </c>
      <c r="N97" s="1538">
        <v>728</v>
      </c>
      <c r="O97" s="1538">
        <v>728</v>
      </c>
      <c r="P97" s="1538">
        <v>728</v>
      </c>
    </row>
    <row r="98" spans="1:16" x14ac:dyDescent="0.3">
      <c r="A98" s="1320" t="s">
        <v>3062</v>
      </c>
      <c r="B98" s="1498">
        <f>B96/B97</f>
        <v>0.44481054365733114</v>
      </c>
      <c r="C98" s="1498">
        <f t="shared" ref="C98:P98" si="8">C96/C97</f>
        <v>0.43163097199341022</v>
      </c>
      <c r="D98" s="1498">
        <f t="shared" si="8"/>
        <v>0.44227642276422763</v>
      </c>
      <c r="E98" s="1498">
        <f t="shared" si="8"/>
        <v>0.44444444444444442</v>
      </c>
      <c r="F98" s="1498">
        <f t="shared" si="8"/>
        <v>0.44075144508670522</v>
      </c>
      <c r="G98" s="1498">
        <f t="shared" si="8"/>
        <v>0.44951590594744123</v>
      </c>
      <c r="H98" s="1498">
        <f t="shared" si="8"/>
        <v>0.46978021978021978</v>
      </c>
      <c r="I98" s="1498">
        <f t="shared" si="8"/>
        <v>0.48351648351648352</v>
      </c>
      <c r="J98" s="1498">
        <f t="shared" si="8"/>
        <v>0.48901098901098899</v>
      </c>
      <c r="K98" s="1498">
        <f t="shared" si="8"/>
        <v>0.49175824175824173</v>
      </c>
      <c r="L98" s="1498">
        <f t="shared" si="8"/>
        <v>0.49313186813186816</v>
      </c>
      <c r="M98" s="1498">
        <f t="shared" si="8"/>
        <v>0.49450549450549453</v>
      </c>
      <c r="N98" s="1498">
        <f t="shared" si="8"/>
        <v>0.49587912087912089</v>
      </c>
      <c r="O98" s="1498">
        <f t="shared" si="8"/>
        <v>0.49587912087912089</v>
      </c>
      <c r="P98" s="1498">
        <f t="shared" si="8"/>
        <v>0.49725274725274726</v>
      </c>
    </row>
    <row r="100" spans="1:16" x14ac:dyDescent="0.3">
      <c r="A100" s="1306" t="s">
        <v>1575</v>
      </c>
      <c r="B100" s="1538">
        <v>13</v>
      </c>
      <c r="C100" s="1538">
        <v>13</v>
      </c>
      <c r="D100" s="1538">
        <v>13</v>
      </c>
      <c r="E100" s="1538">
        <v>11</v>
      </c>
      <c r="F100" s="1538">
        <v>8</v>
      </c>
      <c r="G100" s="1538">
        <v>6</v>
      </c>
      <c r="H100" s="1538">
        <v>4</v>
      </c>
      <c r="I100" s="1538">
        <v>2</v>
      </c>
      <c r="J100" s="1538">
        <v>1</v>
      </c>
      <c r="K100" s="1538">
        <v>1</v>
      </c>
      <c r="L100" s="1538">
        <v>1</v>
      </c>
      <c r="M100" s="1538">
        <v>1</v>
      </c>
      <c r="N100" s="1538">
        <v>1</v>
      </c>
      <c r="O100" s="1538">
        <v>0</v>
      </c>
      <c r="P100" s="1538">
        <v>0</v>
      </c>
    </row>
    <row r="101" spans="1:16" x14ac:dyDescent="0.3">
      <c r="A101" s="1306" t="s">
        <v>3063</v>
      </c>
      <c r="B101" s="1538">
        <v>295</v>
      </c>
      <c r="C101" s="1538">
        <v>295</v>
      </c>
      <c r="D101" s="1538">
        <v>291</v>
      </c>
      <c r="E101" s="1538">
        <v>271</v>
      </c>
      <c r="F101" s="1538">
        <v>222</v>
      </c>
      <c r="G101" s="1538">
        <v>215</v>
      </c>
      <c r="H101" s="1538">
        <v>215</v>
      </c>
      <c r="I101" s="1538">
        <v>215</v>
      </c>
      <c r="J101" s="1538">
        <v>215</v>
      </c>
      <c r="K101" s="1538">
        <v>215</v>
      </c>
      <c r="L101" s="1538">
        <v>215</v>
      </c>
      <c r="M101" s="1538">
        <v>215</v>
      </c>
      <c r="N101" s="1538">
        <v>215</v>
      </c>
      <c r="O101" s="1538">
        <v>215</v>
      </c>
      <c r="P101" s="1538">
        <v>215</v>
      </c>
    </row>
    <row r="102" spans="1:16" x14ac:dyDescent="0.3">
      <c r="A102" s="1320" t="s">
        <v>3062</v>
      </c>
      <c r="B102" s="1498">
        <f>B100/B101</f>
        <v>4.4067796610169491E-2</v>
      </c>
      <c r="C102" s="1498">
        <f t="shared" ref="C102" si="9">C100/C101</f>
        <v>4.4067796610169491E-2</v>
      </c>
      <c r="D102" s="1498">
        <f t="shared" ref="D102" si="10">D100/D101</f>
        <v>4.4673539518900345E-2</v>
      </c>
      <c r="E102" s="1498">
        <f t="shared" ref="E102" si="11">E100/E101</f>
        <v>4.0590405904059039E-2</v>
      </c>
      <c r="F102" s="1498">
        <f t="shared" ref="F102" si="12">F100/F101</f>
        <v>3.6036036036036036E-2</v>
      </c>
      <c r="G102" s="1498">
        <f t="shared" ref="G102" si="13">G100/G101</f>
        <v>2.7906976744186046E-2</v>
      </c>
      <c r="H102" s="1498">
        <f t="shared" ref="H102" si="14">H100/H101</f>
        <v>1.8604651162790697E-2</v>
      </c>
      <c r="I102" s="1498">
        <f t="shared" ref="I102" si="15">I100/I101</f>
        <v>9.3023255813953487E-3</v>
      </c>
      <c r="J102" s="1498">
        <f t="shared" ref="J102" si="16">J100/J101</f>
        <v>4.6511627906976744E-3</v>
      </c>
      <c r="K102" s="1498">
        <f t="shared" ref="K102" si="17">K100/K101</f>
        <v>4.6511627906976744E-3</v>
      </c>
      <c r="L102" s="1498">
        <f t="shared" ref="L102" si="18">L100/L101</f>
        <v>4.6511627906976744E-3</v>
      </c>
      <c r="M102" s="1498">
        <f t="shared" ref="M102" si="19">M100/M101</f>
        <v>4.6511627906976744E-3</v>
      </c>
      <c r="N102" s="1498">
        <f t="shared" ref="N102" si="20">N100/N101</f>
        <v>4.6511627906976744E-3</v>
      </c>
      <c r="O102" s="1498">
        <f t="shared" ref="O102" si="21">O100/O101</f>
        <v>0</v>
      </c>
      <c r="P102" s="1498">
        <f t="shared" ref="P102" si="22">P100/P101</f>
        <v>0</v>
      </c>
    </row>
    <row r="104" spans="1:16" x14ac:dyDescent="0.3">
      <c r="A104" s="1306" t="s">
        <v>3064</v>
      </c>
      <c r="B104" s="1495">
        <f>B96+B100</f>
        <v>283</v>
      </c>
      <c r="C104" s="1495">
        <f t="shared" ref="C104:P104" si="23">C96+C100</f>
        <v>275</v>
      </c>
      <c r="D104" s="1495">
        <f t="shared" si="23"/>
        <v>285</v>
      </c>
      <c r="E104" s="1495">
        <f t="shared" si="23"/>
        <v>295</v>
      </c>
      <c r="F104" s="1495">
        <f t="shared" si="23"/>
        <v>313</v>
      </c>
      <c r="G104" s="1495">
        <f t="shared" si="23"/>
        <v>331</v>
      </c>
      <c r="H104" s="1495">
        <f t="shared" si="23"/>
        <v>346</v>
      </c>
      <c r="I104" s="1495">
        <f t="shared" si="23"/>
        <v>354</v>
      </c>
      <c r="J104" s="1495">
        <f t="shared" si="23"/>
        <v>357</v>
      </c>
      <c r="K104" s="1495">
        <f t="shared" si="23"/>
        <v>359</v>
      </c>
      <c r="L104" s="1495">
        <f t="shared" si="23"/>
        <v>360</v>
      </c>
      <c r="M104" s="1495">
        <f t="shared" si="23"/>
        <v>361</v>
      </c>
      <c r="N104" s="1495">
        <f t="shared" si="23"/>
        <v>362</v>
      </c>
      <c r="O104" s="1495">
        <f t="shared" si="23"/>
        <v>361</v>
      </c>
      <c r="P104" s="1495">
        <f t="shared" si="23"/>
        <v>362</v>
      </c>
    </row>
    <row r="105" spans="1:16" x14ac:dyDescent="0.3">
      <c r="A105" s="1306" t="s">
        <v>3065</v>
      </c>
      <c r="B105" s="1495">
        <f>B97+B101</f>
        <v>902</v>
      </c>
      <c r="C105" s="1495">
        <f t="shared" ref="C105:P105" si="24">C97+C101</f>
        <v>902</v>
      </c>
      <c r="D105" s="1495">
        <f t="shared" si="24"/>
        <v>906</v>
      </c>
      <c r="E105" s="1495">
        <f t="shared" si="24"/>
        <v>910</v>
      </c>
      <c r="F105" s="1495">
        <f t="shared" si="24"/>
        <v>914</v>
      </c>
      <c r="G105" s="1495">
        <f t="shared" si="24"/>
        <v>938</v>
      </c>
      <c r="H105" s="1495">
        <f t="shared" si="24"/>
        <v>943</v>
      </c>
      <c r="I105" s="1495">
        <f t="shared" si="24"/>
        <v>943</v>
      </c>
      <c r="J105" s="1495">
        <f t="shared" si="24"/>
        <v>943</v>
      </c>
      <c r="K105" s="1495">
        <f t="shared" si="24"/>
        <v>943</v>
      </c>
      <c r="L105" s="1495">
        <f t="shared" si="24"/>
        <v>943</v>
      </c>
      <c r="M105" s="1495">
        <f t="shared" si="24"/>
        <v>943</v>
      </c>
      <c r="N105" s="1495">
        <f t="shared" si="24"/>
        <v>943</v>
      </c>
      <c r="O105" s="1495">
        <f t="shared" si="24"/>
        <v>943</v>
      </c>
      <c r="P105" s="1495">
        <f t="shared" si="24"/>
        <v>943</v>
      </c>
    </row>
    <row r="106" spans="1:16" x14ac:dyDescent="0.3">
      <c r="A106" s="1320" t="s">
        <v>3062</v>
      </c>
      <c r="B106" s="1498">
        <f>B104/B105</f>
        <v>0.3137472283813747</v>
      </c>
      <c r="C106" s="1498">
        <f t="shared" ref="C106" si="25">C104/C105</f>
        <v>0.3048780487804878</v>
      </c>
      <c r="D106" s="1498">
        <f t="shared" ref="D106" si="26">D104/D105</f>
        <v>0.31456953642384106</v>
      </c>
      <c r="E106" s="1498">
        <f t="shared" ref="E106" si="27">E104/E105</f>
        <v>0.32417582417582419</v>
      </c>
      <c r="F106" s="1498">
        <f t="shared" ref="F106" si="28">F104/F105</f>
        <v>0.3424507658643326</v>
      </c>
      <c r="G106" s="1498">
        <f t="shared" ref="G106" si="29">G104/G105</f>
        <v>0.35287846481876334</v>
      </c>
      <c r="H106" s="1498">
        <f t="shared" ref="H106" si="30">H104/H105</f>
        <v>0.36691410392364793</v>
      </c>
      <c r="I106" s="1498">
        <f t="shared" ref="I106" si="31">I104/I105</f>
        <v>0.37539766702014848</v>
      </c>
      <c r="J106" s="1498">
        <f t="shared" ref="J106" si="32">J104/J105</f>
        <v>0.37857900318133614</v>
      </c>
      <c r="K106" s="1498">
        <f t="shared" ref="K106" si="33">K104/K105</f>
        <v>0.38069989395546128</v>
      </c>
      <c r="L106" s="1498">
        <f t="shared" ref="L106" si="34">L104/L105</f>
        <v>0.38176033934252385</v>
      </c>
      <c r="M106" s="1498">
        <f t="shared" ref="M106" si="35">M104/M105</f>
        <v>0.38282078472958642</v>
      </c>
      <c r="N106" s="1498">
        <f t="shared" ref="N106" si="36">N104/N105</f>
        <v>0.38388123011664899</v>
      </c>
      <c r="O106" s="1498">
        <f t="shared" ref="O106" si="37">O104/O105</f>
        <v>0.38282078472958642</v>
      </c>
      <c r="P106" s="1498">
        <f t="shared" ref="P106" si="38">P104/P105</f>
        <v>0.38388123011664899</v>
      </c>
    </row>
    <row r="108" spans="1:16" x14ac:dyDescent="0.3">
      <c r="A108" s="1306" t="s">
        <v>3057</v>
      </c>
      <c r="B108" s="1724">
        <v>59.86</v>
      </c>
      <c r="C108" s="1724">
        <v>65.83</v>
      </c>
      <c r="D108" s="1724">
        <v>67.12</v>
      </c>
      <c r="E108" s="1724">
        <v>66.680000000000007</v>
      </c>
      <c r="F108" s="1724">
        <v>65.959999999999994</v>
      </c>
      <c r="G108" s="1724">
        <v>68.510000000000005</v>
      </c>
      <c r="H108" s="1724">
        <v>69.47</v>
      </c>
      <c r="I108" s="1724">
        <v>71.62</v>
      </c>
      <c r="J108" s="1724">
        <v>73.53</v>
      </c>
      <c r="K108" s="1724">
        <v>75.22</v>
      </c>
      <c r="L108" s="1724">
        <v>76.84</v>
      </c>
      <c r="M108" s="1724">
        <v>78.47</v>
      </c>
      <c r="N108" s="1724">
        <v>80.209999999999994</v>
      </c>
      <c r="O108" s="1724">
        <v>81.86</v>
      </c>
      <c r="P108" s="1724">
        <v>83.7</v>
      </c>
    </row>
    <row r="109" spans="1:16" x14ac:dyDescent="0.3">
      <c r="A109" s="1320" t="s">
        <v>3066</v>
      </c>
      <c r="B109" s="1320"/>
      <c r="C109" s="1498">
        <f>C108/B108-1</f>
        <v>9.9732709655863561E-2</v>
      </c>
      <c r="D109" s="1498">
        <f t="shared" ref="D109:P109" si="39">D108/C108-1</f>
        <v>1.9595928907792937E-2</v>
      </c>
      <c r="E109" s="1498">
        <f t="shared" si="39"/>
        <v>-6.5554231227651361E-3</v>
      </c>
      <c r="F109" s="1498">
        <f t="shared" si="39"/>
        <v>-1.0797840431913786E-2</v>
      </c>
      <c r="G109" s="1498">
        <f t="shared" si="39"/>
        <v>3.8659793814433074E-2</v>
      </c>
      <c r="H109" s="1498">
        <f t="shared" si="39"/>
        <v>1.4012552911983667E-2</v>
      </c>
      <c r="I109" s="1498">
        <f t="shared" si="39"/>
        <v>3.0948610911184726E-2</v>
      </c>
      <c r="J109" s="1498">
        <f t="shared" si="39"/>
        <v>2.6668528344037989E-2</v>
      </c>
      <c r="K109" s="1498">
        <f t="shared" si="39"/>
        <v>2.2983816129470869E-2</v>
      </c>
      <c r="L109" s="1498">
        <f t="shared" si="39"/>
        <v>2.1536825312417074E-2</v>
      </c>
      <c r="M109" s="1498">
        <f t="shared" si="39"/>
        <v>2.1212909942738056E-2</v>
      </c>
      <c r="N109" s="1498">
        <f t="shared" si="39"/>
        <v>2.2174079265961488E-2</v>
      </c>
      <c r="O109" s="1498">
        <f t="shared" si="39"/>
        <v>2.0571001122054788E-2</v>
      </c>
      <c r="P109" s="1498">
        <f t="shared" si="39"/>
        <v>2.2477400439775197E-2</v>
      </c>
    </row>
    <row r="111" spans="1:16" x14ac:dyDescent="0.3">
      <c r="A111" s="1315" t="s">
        <v>3060</v>
      </c>
    </row>
    <row r="112" spans="1:16" x14ac:dyDescent="0.3">
      <c r="A112" s="1306" t="s">
        <v>38</v>
      </c>
      <c r="B112" s="1538">
        <v>457</v>
      </c>
      <c r="C112" s="1538">
        <v>436</v>
      </c>
      <c r="D112" s="1538">
        <v>401</v>
      </c>
      <c r="E112" s="1538">
        <v>369</v>
      </c>
      <c r="F112" s="1538">
        <v>354</v>
      </c>
      <c r="G112" s="1538">
        <v>360</v>
      </c>
      <c r="H112" s="1538">
        <v>353</v>
      </c>
      <c r="I112" s="1538">
        <v>354</v>
      </c>
      <c r="J112" s="1538">
        <v>357</v>
      </c>
      <c r="K112" s="1538">
        <v>358</v>
      </c>
      <c r="L112" s="1538">
        <v>361</v>
      </c>
      <c r="M112" s="1538">
        <v>365</v>
      </c>
      <c r="N112" s="1538">
        <v>371</v>
      </c>
      <c r="O112" s="1538">
        <v>377</v>
      </c>
      <c r="P112" s="1538">
        <v>385</v>
      </c>
    </row>
    <row r="113" spans="1:16" x14ac:dyDescent="0.3">
      <c r="A113" s="1306" t="s">
        <v>2543</v>
      </c>
      <c r="B113" s="1538">
        <v>44</v>
      </c>
      <c r="C113" s="1538">
        <v>42</v>
      </c>
      <c r="D113" s="1538">
        <v>35</v>
      </c>
      <c r="E113" s="1538">
        <v>33</v>
      </c>
      <c r="F113" s="1538">
        <v>35</v>
      </c>
      <c r="G113" s="1538">
        <v>32</v>
      </c>
      <c r="H113" s="1538">
        <v>31</v>
      </c>
      <c r="I113" s="1538">
        <v>30</v>
      </c>
      <c r="J113" s="1538">
        <v>30</v>
      </c>
      <c r="K113" s="1538">
        <v>31</v>
      </c>
      <c r="L113" s="1538">
        <v>32</v>
      </c>
      <c r="M113" s="1538">
        <v>33</v>
      </c>
      <c r="N113" s="1538">
        <v>35</v>
      </c>
      <c r="O113" s="1538">
        <v>37</v>
      </c>
      <c r="P113" s="1538">
        <v>39</v>
      </c>
    </row>
    <row r="114" spans="1:16" x14ac:dyDescent="0.3">
      <c r="A114" s="1306" t="s">
        <v>2447</v>
      </c>
      <c r="B114" s="1538">
        <v>37</v>
      </c>
      <c r="C114" s="1538">
        <v>31</v>
      </c>
      <c r="D114" s="1538">
        <v>31</v>
      </c>
      <c r="E114" s="1538">
        <v>31</v>
      </c>
      <c r="F114" s="1538">
        <v>29</v>
      </c>
      <c r="G114" s="1538">
        <v>28</v>
      </c>
      <c r="H114" s="1538">
        <v>27</v>
      </c>
      <c r="I114" s="1538">
        <v>27</v>
      </c>
      <c r="J114" s="1538">
        <v>26</v>
      </c>
      <c r="K114" s="1538">
        <v>26</v>
      </c>
      <c r="L114" s="1538">
        <v>25</v>
      </c>
      <c r="M114" s="1538">
        <v>25</v>
      </c>
      <c r="N114" s="1538">
        <v>25</v>
      </c>
      <c r="O114" s="1538">
        <v>24</v>
      </c>
      <c r="P114" s="1538">
        <v>24</v>
      </c>
    </row>
    <row r="115" spans="1:16" x14ac:dyDescent="0.3">
      <c r="A115" s="1306" t="s">
        <v>2019</v>
      </c>
      <c r="B115" s="1715">
        <v>131</v>
      </c>
      <c r="C115" s="1715">
        <v>121</v>
      </c>
      <c r="D115" s="1715">
        <v>120</v>
      </c>
      <c r="E115" s="1715">
        <v>93</v>
      </c>
      <c r="F115" s="1715">
        <v>83</v>
      </c>
      <c r="G115" s="1715">
        <v>83</v>
      </c>
      <c r="H115" s="1715">
        <v>86</v>
      </c>
      <c r="I115" s="1715">
        <v>77</v>
      </c>
      <c r="J115" s="1715">
        <v>73</v>
      </c>
      <c r="K115" s="1715">
        <v>72</v>
      </c>
      <c r="L115" s="1715">
        <v>71</v>
      </c>
      <c r="M115" s="1715">
        <v>71</v>
      </c>
      <c r="N115" s="1715">
        <v>70</v>
      </c>
      <c r="O115" s="1715">
        <v>69</v>
      </c>
      <c r="P115" s="1715">
        <v>69</v>
      </c>
    </row>
    <row r="116" spans="1:16" x14ac:dyDescent="0.3">
      <c r="A116" s="1315" t="s">
        <v>266</v>
      </c>
      <c r="B116" s="1507">
        <f t="shared" ref="B116:G116" si="40">SUM(B112:B115)</f>
        <v>669</v>
      </c>
      <c r="C116" s="1507">
        <f t="shared" si="40"/>
        <v>630</v>
      </c>
      <c r="D116" s="1507">
        <f t="shared" si="40"/>
        <v>587</v>
      </c>
      <c r="E116" s="1507">
        <f t="shared" si="40"/>
        <v>526</v>
      </c>
      <c r="F116" s="1507">
        <f t="shared" si="40"/>
        <v>501</v>
      </c>
      <c r="G116" s="1507">
        <f t="shared" si="40"/>
        <v>503</v>
      </c>
      <c r="H116" s="1507">
        <f t="shared" ref="H116:P116" si="41">SUM(H112:H115)</f>
        <v>497</v>
      </c>
      <c r="I116" s="1507">
        <f t="shared" si="41"/>
        <v>488</v>
      </c>
      <c r="J116" s="1507">
        <f t="shared" si="41"/>
        <v>486</v>
      </c>
      <c r="K116" s="1507">
        <f t="shared" si="41"/>
        <v>487</v>
      </c>
      <c r="L116" s="1507">
        <f t="shared" si="41"/>
        <v>489</v>
      </c>
      <c r="M116" s="1507">
        <f t="shared" si="41"/>
        <v>494</v>
      </c>
      <c r="N116" s="1507">
        <f t="shared" si="41"/>
        <v>501</v>
      </c>
      <c r="O116" s="1507">
        <f t="shared" si="41"/>
        <v>507</v>
      </c>
      <c r="P116" s="1507">
        <f t="shared" si="41"/>
        <v>517</v>
      </c>
    </row>
    <row r="117" spans="1:16" x14ac:dyDescent="0.3">
      <c r="A117" s="1320" t="s">
        <v>3066</v>
      </c>
      <c r="B117" s="1320"/>
      <c r="C117" s="1498">
        <f>C116/B116-1</f>
        <v>-5.8295964125560484E-2</v>
      </c>
      <c r="D117" s="1498">
        <f t="shared" ref="D117" si="42">D116/C116-1</f>
        <v>-6.8253968253968234E-2</v>
      </c>
      <c r="E117" s="1498">
        <f t="shared" ref="E117" si="43">E116/D116-1</f>
        <v>-0.10391822827938668</v>
      </c>
      <c r="F117" s="1498">
        <f t="shared" ref="F117" si="44">F116/E116-1</f>
        <v>-4.7528517110266177E-2</v>
      </c>
      <c r="G117" s="1498">
        <f t="shared" ref="G117" si="45">G116/F116-1</f>
        <v>3.9920159680639777E-3</v>
      </c>
      <c r="H117" s="1498">
        <f t="shared" ref="H117" si="46">H116/G116-1</f>
        <v>-1.1928429423459286E-2</v>
      </c>
      <c r="I117" s="1498">
        <f t="shared" ref="I117" si="47">I116/H116-1</f>
        <v>-1.810865191146882E-2</v>
      </c>
      <c r="J117" s="1498">
        <f t="shared" ref="J117" si="48">J116/I116-1</f>
        <v>-4.098360655737654E-3</v>
      </c>
      <c r="K117" s="1498">
        <f t="shared" ref="K117" si="49">K116/J116-1</f>
        <v>2.057613168724215E-3</v>
      </c>
      <c r="L117" s="1498">
        <f t="shared" ref="L117" si="50">L116/K116-1</f>
        <v>4.1067761806981018E-3</v>
      </c>
      <c r="M117" s="1498">
        <f t="shared" ref="M117" si="51">M116/L116-1</f>
        <v>1.0224948875255713E-2</v>
      </c>
      <c r="N117" s="1498">
        <f t="shared" ref="N117" si="52">N116/M116-1</f>
        <v>1.4170040485830038E-2</v>
      </c>
      <c r="O117" s="1498">
        <f t="shared" ref="O117" si="53">O116/N116-1</f>
        <v>1.1976047904191711E-2</v>
      </c>
      <c r="P117" s="1498">
        <f t="shared" ref="P117" si="54">P116/O116-1</f>
        <v>1.9723865877712132E-2</v>
      </c>
    </row>
    <row r="119" spans="1:16" x14ac:dyDescent="0.3">
      <c r="A119" s="1315" t="s">
        <v>3067</v>
      </c>
    </row>
    <row r="120" spans="1:16" x14ac:dyDescent="0.3">
      <c r="A120" s="1306" t="s">
        <v>3068</v>
      </c>
    </row>
    <row r="121" spans="1:16" x14ac:dyDescent="0.3">
      <c r="A121" s="1305" t="s">
        <v>3069</v>
      </c>
      <c r="B121" s="1538">
        <v>2179</v>
      </c>
    </row>
    <row r="122" spans="1:16" x14ac:dyDescent="0.3">
      <c r="A122" s="1305" t="s">
        <v>3070</v>
      </c>
      <c r="B122" s="1715">
        <v>10576</v>
      </c>
    </row>
    <row r="123" spans="1:16" x14ac:dyDescent="0.3">
      <c r="A123" s="1315" t="s">
        <v>266</v>
      </c>
      <c r="B123" s="1507">
        <f>SUM(B121:B122)</f>
        <v>12755</v>
      </c>
    </row>
    <row r="125" spans="1:16" x14ac:dyDescent="0.3">
      <c r="A125" s="1306" t="s">
        <v>3071</v>
      </c>
    </row>
    <row r="126" spans="1:16" x14ac:dyDescent="0.3">
      <c r="A126" s="1305" t="s">
        <v>3069</v>
      </c>
      <c r="B126" s="1538">
        <v>96607</v>
      </c>
    </row>
    <row r="127" spans="1:16" x14ac:dyDescent="0.3">
      <c r="A127" s="1305" t="s">
        <v>3070</v>
      </c>
      <c r="B127" s="1715">
        <v>23810</v>
      </c>
    </row>
    <row r="128" spans="1:16" x14ac:dyDescent="0.3">
      <c r="A128" s="1315" t="s">
        <v>266</v>
      </c>
      <c r="B128" s="1507">
        <f>SUM(B126:B127)</f>
        <v>120417</v>
      </c>
    </row>
    <row r="130" spans="1:2" x14ac:dyDescent="0.3">
      <c r="A130" s="1306" t="s">
        <v>331</v>
      </c>
    </row>
    <row r="131" spans="1:2" x14ac:dyDescent="0.3">
      <c r="A131" s="1305" t="s">
        <v>3069</v>
      </c>
      <c r="B131" s="1543">
        <f>B121+B126</f>
        <v>98786</v>
      </c>
    </row>
    <row r="132" spans="1:2" x14ac:dyDescent="0.3">
      <c r="A132" s="1305" t="s">
        <v>3070</v>
      </c>
      <c r="B132" s="1557">
        <f>B122+B127</f>
        <v>34386</v>
      </c>
    </row>
    <row r="133" spans="1:2" x14ac:dyDescent="0.3">
      <c r="A133" s="1315" t="s">
        <v>266</v>
      </c>
      <c r="B133" s="1507">
        <f>SUM(B131:B132)</f>
        <v>133172</v>
      </c>
    </row>
    <row r="135" spans="1:2" x14ac:dyDescent="0.3">
      <c r="A135" s="1306" t="s">
        <v>3072</v>
      </c>
    </row>
    <row r="136" spans="1:2" x14ac:dyDescent="0.3">
      <c r="A136" s="1305" t="s">
        <v>3069</v>
      </c>
      <c r="B136" s="1511">
        <v>0.43</v>
      </c>
    </row>
    <row r="137" spans="1:2" x14ac:dyDescent="0.3">
      <c r="A137" s="1305" t="s">
        <v>3070</v>
      </c>
      <c r="B137" s="1511">
        <v>5.2999999999999999E-2</v>
      </c>
    </row>
    <row r="139" spans="1:2" x14ac:dyDescent="0.3">
      <c r="A139" s="1306" t="s">
        <v>3073</v>
      </c>
    </row>
    <row r="140" spans="1:2" x14ac:dyDescent="0.3">
      <c r="A140" s="1305" t="s">
        <v>3069</v>
      </c>
      <c r="B140" s="1494">
        <f>B136*B121</f>
        <v>936.97</v>
      </c>
    </row>
    <row r="141" spans="1:2" x14ac:dyDescent="0.3">
      <c r="A141" s="1305" t="s">
        <v>3070</v>
      </c>
      <c r="B141" s="1314">
        <f>B137*B122</f>
        <v>560.52800000000002</v>
      </c>
    </row>
    <row r="142" spans="1:2" x14ac:dyDescent="0.3">
      <c r="A142" s="1315" t="s">
        <v>3074</v>
      </c>
      <c r="B142" s="1509">
        <f>SUM(B140:B141)</f>
        <v>1497.498</v>
      </c>
    </row>
    <row r="144" spans="1:2" x14ac:dyDescent="0.3">
      <c r="A144" s="1306" t="s">
        <v>3075</v>
      </c>
    </row>
    <row r="145" spans="1:2" x14ac:dyDescent="0.3">
      <c r="A145" s="1305" t="s">
        <v>3069</v>
      </c>
      <c r="B145" s="1511">
        <v>0.35099999999999998</v>
      </c>
    </row>
    <row r="146" spans="1:2" x14ac:dyDescent="0.3">
      <c r="A146" s="1305" t="s">
        <v>3070</v>
      </c>
      <c r="B146" s="1511">
        <v>0.13400000000000001</v>
      </c>
    </row>
    <row r="148" spans="1:2" x14ac:dyDescent="0.3">
      <c r="A148" s="1306" t="s">
        <v>3076</v>
      </c>
    </row>
    <row r="149" spans="1:2" x14ac:dyDescent="0.3">
      <c r="A149" s="1305" t="s">
        <v>3069</v>
      </c>
      <c r="B149" s="1494">
        <f>B145*B126</f>
        <v>33909.057000000001</v>
      </c>
    </row>
    <row r="150" spans="1:2" x14ac:dyDescent="0.3">
      <c r="A150" s="1305" t="s">
        <v>3070</v>
      </c>
      <c r="B150" s="1314">
        <f>B146*B127</f>
        <v>3190.54</v>
      </c>
    </row>
    <row r="151" spans="1:2" x14ac:dyDescent="0.3">
      <c r="A151" s="1315" t="s">
        <v>3077</v>
      </c>
      <c r="B151" s="1509">
        <f>SUM(B149:B150)</f>
        <v>37099.597000000002</v>
      </c>
    </row>
    <row r="153" spans="1:2" x14ac:dyDescent="0.3">
      <c r="A153" s="1306" t="s">
        <v>3078</v>
      </c>
    </row>
    <row r="154" spans="1:2" x14ac:dyDescent="0.3">
      <c r="A154" s="1305" t="s">
        <v>3069</v>
      </c>
      <c r="B154" s="1543">
        <f>B140+B149</f>
        <v>34846.027000000002</v>
      </c>
    </row>
    <row r="155" spans="1:2" x14ac:dyDescent="0.3">
      <c r="A155" s="1305" t="s">
        <v>3070</v>
      </c>
      <c r="B155" s="1557">
        <f>B141+B150</f>
        <v>3751.0680000000002</v>
      </c>
    </row>
    <row r="156" spans="1:2" x14ac:dyDescent="0.3">
      <c r="A156" s="1315" t="s">
        <v>266</v>
      </c>
      <c r="B156" s="1507">
        <f>SUM(B154:B155)</f>
        <v>38597.095000000001</v>
      </c>
    </row>
    <row r="162" spans="1:4" x14ac:dyDescent="0.3">
      <c r="A162" s="1492" t="s">
        <v>3079</v>
      </c>
      <c r="B162" s="1537" t="s">
        <v>1498</v>
      </c>
      <c r="C162" s="1537" t="s">
        <v>3031</v>
      </c>
      <c r="D162" s="1537" t="s">
        <v>266</v>
      </c>
    </row>
    <row r="163" spans="1:4" x14ac:dyDescent="0.3">
      <c r="A163" s="1306" t="s">
        <v>3080</v>
      </c>
      <c r="B163" s="1724">
        <v>447.29</v>
      </c>
      <c r="C163" s="1724">
        <v>51.018999999999998</v>
      </c>
      <c r="D163" s="1560">
        <f t="shared" ref="D163:D169" si="55">SUM(B163:C163)</f>
        <v>498.30900000000003</v>
      </c>
    </row>
    <row r="164" spans="1:4" x14ac:dyDescent="0.3">
      <c r="A164" s="1306" t="s">
        <v>3043</v>
      </c>
      <c r="B164" s="1724">
        <v>44.895000000000003</v>
      </c>
      <c r="C164" s="1724">
        <v>0</v>
      </c>
      <c r="D164" s="1560">
        <f t="shared" si="55"/>
        <v>44.895000000000003</v>
      </c>
    </row>
    <row r="165" spans="1:4" x14ac:dyDescent="0.3">
      <c r="A165" s="1306" t="s">
        <v>3044</v>
      </c>
      <c r="B165" s="1724">
        <v>88.241</v>
      </c>
      <c r="C165" s="1724">
        <v>11.074999999999999</v>
      </c>
      <c r="D165" s="1560">
        <f t="shared" si="55"/>
        <v>99.316000000000003</v>
      </c>
    </row>
    <row r="166" spans="1:4" x14ac:dyDescent="0.3">
      <c r="A166" s="1306" t="s">
        <v>3045</v>
      </c>
      <c r="B166" s="1724">
        <v>26.962</v>
      </c>
      <c r="C166" s="1724">
        <v>8.9760000000000009</v>
      </c>
      <c r="D166" s="1560">
        <f t="shared" si="55"/>
        <v>35.938000000000002</v>
      </c>
    </row>
    <row r="167" spans="1:4" x14ac:dyDescent="0.3">
      <c r="A167" s="1306" t="s">
        <v>1423</v>
      </c>
      <c r="B167" s="1724">
        <v>24.33</v>
      </c>
      <c r="C167" s="1724">
        <v>8.3320000000000007</v>
      </c>
      <c r="D167" s="1560">
        <f t="shared" si="55"/>
        <v>32.661999999999999</v>
      </c>
    </row>
    <row r="168" spans="1:4" x14ac:dyDescent="0.3">
      <c r="A168" s="1306" t="s">
        <v>1424</v>
      </c>
      <c r="B168" s="1724">
        <v>10.726000000000001</v>
      </c>
      <c r="C168" s="1724">
        <v>1.905</v>
      </c>
      <c r="D168" s="1560">
        <f t="shared" si="55"/>
        <v>12.631</v>
      </c>
    </row>
    <row r="169" spans="1:4" x14ac:dyDescent="0.3">
      <c r="A169" s="1306" t="s">
        <v>3046</v>
      </c>
      <c r="B169" s="1725">
        <v>4.0789999999999997</v>
      </c>
      <c r="C169" s="1725">
        <v>0.66400000000000003</v>
      </c>
      <c r="D169" s="1726">
        <f t="shared" si="55"/>
        <v>4.7429999999999994</v>
      </c>
    </row>
    <row r="170" spans="1:4" x14ac:dyDescent="0.3">
      <c r="A170" s="1306" t="s">
        <v>3081</v>
      </c>
      <c r="B170" s="1727">
        <f>SUM(B164:B169)</f>
        <v>199.233</v>
      </c>
      <c r="C170" s="1727">
        <f>SUM(C164:C169)</f>
        <v>30.952000000000005</v>
      </c>
      <c r="D170" s="1727">
        <f>SUM(D164:D169)</f>
        <v>230.185</v>
      </c>
    </row>
    <row r="171" spans="1:4" x14ac:dyDescent="0.3">
      <c r="A171" s="1315" t="s">
        <v>1427</v>
      </c>
      <c r="B171" s="1728">
        <f>B163-B170</f>
        <v>248.05700000000002</v>
      </c>
      <c r="C171" s="1728">
        <f>C163-C170</f>
        <v>20.066999999999993</v>
      </c>
      <c r="D171" s="1728">
        <f>D163-D170</f>
        <v>268.12400000000002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0715E-1978-46B0-90DC-EFBEF4ADDF27}">
  <sheetPr>
    <outlinePr summaryBelow="0" summaryRight="0"/>
  </sheetPr>
  <dimension ref="A1:Q55"/>
  <sheetViews>
    <sheetView topLeftCell="A28" workbookViewId="0">
      <selection activeCell="F55" sqref="F55"/>
    </sheetView>
  </sheetViews>
  <sheetFormatPr defaultColWidth="10.6640625" defaultRowHeight="15" customHeight="1" outlineLevelRow="1" x14ac:dyDescent="0.25"/>
  <cols>
    <col min="1" max="1" width="23.33203125" style="1346" customWidth="1"/>
    <col min="2" max="2" width="56.44140625" style="1346" bestFit="1" customWidth="1"/>
    <col min="3" max="3" width="31.33203125" style="1346" bestFit="1" customWidth="1"/>
    <col min="4" max="4" width="23.77734375" style="1346" bestFit="1" customWidth="1"/>
    <col min="5" max="5" width="13.6640625" style="1346" bestFit="1" customWidth="1"/>
    <col min="6" max="6" width="14" style="1346" bestFit="1" customWidth="1"/>
    <col min="7" max="7" width="11.6640625" style="1346" bestFit="1" customWidth="1"/>
    <col min="8" max="8" width="14.33203125" style="1346" bestFit="1" customWidth="1"/>
    <col min="9" max="9" width="11.109375" style="1346" bestFit="1" customWidth="1"/>
    <col min="10" max="10" width="12.6640625" style="1346" bestFit="1" customWidth="1"/>
    <col min="11" max="12" width="10.77734375" style="1346" bestFit="1" customWidth="1"/>
    <col min="13" max="13" width="14.109375" style="1346" bestFit="1" customWidth="1"/>
    <col min="14" max="16384" width="10.6640625" style="1346"/>
  </cols>
  <sheetData>
    <row r="1" spans="1:17" ht="15" customHeight="1" x14ac:dyDescent="0.25">
      <c r="A1" s="1346" t="s">
        <v>3082</v>
      </c>
    </row>
    <row r="2" spans="1:17" ht="15" customHeight="1" x14ac:dyDescent="0.25">
      <c r="A2" s="1346" t="s">
        <v>3083</v>
      </c>
    </row>
    <row r="4" spans="1:17" ht="15" customHeight="1" x14ac:dyDescent="0.3">
      <c r="A4" s="1347"/>
    </row>
    <row r="5" spans="1:17" ht="15" customHeight="1" x14ac:dyDescent="0.25">
      <c r="A5" s="1348" t="s">
        <v>3084</v>
      </c>
      <c r="B5" s="1348" t="s">
        <v>3085</v>
      </c>
      <c r="C5" s="1348" t="s">
        <v>3086</v>
      </c>
      <c r="D5" s="1348" t="s">
        <v>3087</v>
      </c>
      <c r="E5" s="1348" t="s">
        <v>3088</v>
      </c>
      <c r="F5" s="1348" t="s">
        <v>3089</v>
      </c>
      <c r="G5" s="1348" t="s">
        <v>3090</v>
      </c>
      <c r="H5" s="1348" t="s">
        <v>3091</v>
      </c>
      <c r="I5" s="1348" t="s">
        <v>3092</v>
      </c>
      <c r="J5" s="1348" t="s">
        <v>3093</v>
      </c>
      <c r="K5" s="1348" t="s">
        <v>2712</v>
      </c>
      <c r="L5" s="1348" t="s">
        <v>3094</v>
      </c>
      <c r="M5" s="1348" t="s">
        <v>3095</v>
      </c>
      <c r="N5" s="1349"/>
      <c r="O5" s="1346" t="s">
        <v>1255</v>
      </c>
    </row>
    <row r="6" spans="1:17" ht="15" customHeight="1" x14ac:dyDescent="0.3">
      <c r="A6" s="1350" t="s">
        <v>3096</v>
      </c>
      <c r="B6" s="1351"/>
      <c r="C6" s="1352">
        <v>15</v>
      </c>
      <c r="D6" s="1352">
        <v>15</v>
      </c>
      <c r="E6" s="1351"/>
      <c r="F6" s="1351"/>
      <c r="G6" s="1351"/>
      <c r="H6" s="1351"/>
      <c r="I6" s="1351"/>
      <c r="J6" s="1351"/>
      <c r="K6" s="1351"/>
      <c r="L6" s="1351"/>
      <c r="M6" s="1351"/>
      <c r="N6" s="1351"/>
      <c r="O6" s="1351"/>
      <c r="P6" s="1351"/>
    </row>
    <row r="7" spans="1:17" ht="15" customHeight="1" outlineLevel="1" x14ac:dyDescent="0.25">
      <c r="A7" s="1353" t="s">
        <v>3097</v>
      </c>
      <c r="B7" s="1348" t="s">
        <v>3098</v>
      </c>
      <c r="C7" s="1354">
        <v>15</v>
      </c>
      <c r="D7" s="1354">
        <v>15</v>
      </c>
      <c r="E7" s="1348" t="s">
        <v>3097</v>
      </c>
      <c r="F7" s="1348" t="s">
        <v>3097</v>
      </c>
      <c r="G7" s="1348" t="s">
        <v>3097</v>
      </c>
      <c r="H7" s="1348" t="s">
        <v>3097</v>
      </c>
      <c r="I7" s="1348" t="s">
        <v>3099</v>
      </c>
      <c r="J7" s="1348" t="s">
        <v>34</v>
      </c>
      <c r="K7" s="1348" t="s">
        <v>3097</v>
      </c>
      <c r="L7" s="1348" t="s">
        <v>3097</v>
      </c>
      <c r="M7" s="1348" t="s">
        <v>3097</v>
      </c>
      <c r="N7" s="1349"/>
    </row>
    <row r="8" spans="1:17" ht="15" customHeight="1" x14ac:dyDescent="0.3">
      <c r="A8" s="1350" t="s">
        <v>3100</v>
      </c>
      <c r="B8" s="1351"/>
      <c r="C8" s="1355">
        <v>0</v>
      </c>
      <c r="D8" s="1355">
        <v>0</v>
      </c>
      <c r="E8" s="1351"/>
      <c r="F8" s="1351"/>
      <c r="G8" s="1351"/>
      <c r="H8" s="1351"/>
      <c r="I8" s="1351"/>
      <c r="J8" s="1351"/>
      <c r="K8" s="1351"/>
      <c r="L8" s="1351"/>
      <c r="M8" s="1351"/>
      <c r="N8" s="1351"/>
      <c r="O8" s="1351"/>
      <c r="P8" s="1351"/>
    </row>
    <row r="9" spans="1:17" ht="15" customHeight="1" outlineLevel="1" x14ac:dyDescent="0.25">
      <c r="A9" s="1353" t="s">
        <v>3101</v>
      </c>
      <c r="B9" s="1348" t="s">
        <v>3102</v>
      </c>
      <c r="C9" s="1356">
        <v>0</v>
      </c>
      <c r="D9" s="1356">
        <v>0</v>
      </c>
      <c r="E9" s="1348" t="s">
        <v>3097</v>
      </c>
      <c r="F9" s="1348" t="s">
        <v>1451</v>
      </c>
      <c r="G9" s="1348" t="s">
        <v>3103</v>
      </c>
      <c r="H9" s="1348" t="s">
        <v>3104</v>
      </c>
      <c r="I9" s="1348" t="s">
        <v>3099</v>
      </c>
      <c r="J9" s="1348" t="s">
        <v>3105</v>
      </c>
      <c r="K9" s="1348" t="s">
        <v>3097</v>
      </c>
      <c r="L9" s="1348" t="s">
        <v>3097</v>
      </c>
      <c r="M9" s="1348" t="s">
        <v>3097</v>
      </c>
      <c r="N9" s="1348" t="s">
        <v>3106</v>
      </c>
      <c r="O9" s="1346">
        <v>2028</v>
      </c>
      <c r="Q9" s="1346">
        <f>400*E11/2</f>
        <v>18.39</v>
      </c>
    </row>
    <row r="10" spans="1:17" ht="15" customHeight="1" x14ac:dyDescent="0.3">
      <c r="A10" s="1350" t="s">
        <v>3107</v>
      </c>
      <c r="B10" s="1351"/>
      <c r="C10" s="1357">
        <v>1431</v>
      </c>
      <c r="D10" s="1357">
        <v>1431</v>
      </c>
      <c r="E10" s="1351"/>
      <c r="F10" s="1351"/>
      <c r="G10" s="1351"/>
      <c r="H10" s="1351"/>
      <c r="I10" s="1351"/>
      <c r="J10" s="1351"/>
      <c r="K10" s="1351"/>
      <c r="L10" s="1351"/>
      <c r="M10" s="1351"/>
      <c r="N10" s="1351"/>
      <c r="O10" s="1351"/>
      <c r="P10" s="1351"/>
      <c r="Q10" s="1346">
        <f>750*0.074/2</f>
        <v>27.75</v>
      </c>
    </row>
    <row r="11" spans="1:17" ht="15" customHeight="1" outlineLevel="1" x14ac:dyDescent="0.25">
      <c r="A11" s="1353" t="s">
        <v>3108</v>
      </c>
      <c r="B11" s="1348" t="s">
        <v>3109</v>
      </c>
      <c r="C11" s="1358">
        <v>1431</v>
      </c>
      <c r="D11" s="1358">
        <v>1431</v>
      </c>
      <c r="E11" s="1359">
        <v>9.1950000000000004E-2</v>
      </c>
      <c r="F11" s="1348" t="s">
        <v>1451</v>
      </c>
      <c r="G11" s="1348" t="s">
        <v>3110</v>
      </c>
      <c r="H11" s="1348" t="s">
        <v>3111</v>
      </c>
      <c r="I11" s="1348" t="s">
        <v>3099</v>
      </c>
      <c r="J11" s="1348" t="s">
        <v>3105</v>
      </c>
      <c r="K11" s="1360">
        <v>100.16</v>
      </c>
      <c r="L11" s="1348">
        <v>8.3800000000000008</v>
      </c>
      <c r="M11" s="1398">
        <v>396.68</v>
      </c>
      <c r="N11" s="1348" t="s">
        <v>3106</v>
      </c>
      <c r="O11" s="1346">
        <v>2027</v>
      </c>
      <c r="Q11" s="1346">
        <f>350*0.04/2</f>
        <v>7</v>
      </c>
    </row>
    <row r="12" spans="1:17" ht="15" customHeight="1" x14ac:dyDescent="0.3">
      <c r="A12" s="1350" t="s">
        <v>3112</v>
      </c>
      <c r="B12" s="1351"/>
      <c r="C12" s="1357">
        <v>9796</v>
      </c>
      <c r="D12" s="1357">
        <v>9796</v>
      </c>
      <c r="E12" s="1351"/>
      <c r="F12" s="1351"/>
      <c r="G12" s="1351"/>
      <c r="H12" s="1351"/>
      <c r="I12" s="1351"/>
      <c r="J12" s="1351"/>
      <c r="K12" s="1351"/>
      <c r="L12" s="1351"/>
      <c r="M12" s="1351"/>
      <c r="N12" s="1351"/>
      <c r="O12" s="1351"/>
      <c r="P12" s="1351"/>
    </row>
    <row r="13" spans="1:17" ht="15" customHeight="1" outlineLevel="1" x14ac:dyDescent="0.25">
      <c r="A13" s="1353" t="s">
        <v>3113</v>
      </c>
      <c r="B13" s="1705" t="s">
        <v>3114</v>
      </c>
      <c r="C13" s="1361">
        <v>47</v>
      </c>
      <c r="D13" s="1361">
        <v>47</v>
      </c>
      <c r="E13" s="1362">
        <v>8.5000000000000006E-2</v>
      </c>
      <c r="F13" s="1348" t="s">
        <v>1450</v>
      </c>
      <c r="G13" s="1348" t="s">
        <v>3115</v>
      </c>
      <c r="H13" s="1348" t="s">
        <v>3116</v>
      </c>
      <c r="I13" s="1348" t="s">
        <v>3099</v>
      </c>
      <c r="J13" s="1348" t="s">
        <v>3105</v>
      </c>
      <c r="K13" s="1363">
        <v>107</v>
      </c>
      <c r="L13" s="1364">
        <v>7.27</v>
      </c>
      <c r="M13" s="1365">
        <v>314.41000000000003</v>
      </c>
      <c r="N13" s="1349"/>
      <c r="O13" s="1346">
        <v>2031</v>
      </c>
    </row>
    <row r="14" spans="1:17" ht="15" customHeight="1" outlineLevel="1" x14ac:dyDescent="0.25">
      <c r="A14" s="1366" t="s">
        <v>3117</v>
      </c>
      <c r="B14" s="1367" t="s">
        <v>3118</v>
      </c>
      <c r="C14" s="1368">
        <v>13</v>
      </c>
      <c r="D14" s="1368">
        <v>13</v>
      </c>
      <c r="E14" s="1369">
        <v>6.2E-2</v>
      </c>
      <c r="F14" s="1367" t="s">
        <v>1450</v>
      </c>
      <c r="G14" s="1367" t="s">
        <v>3097</v>
      </c>
      <c r="H14" s="1367" t="s">
        <v>3119</v>
      </c>
      <c r="I14" s="1367" t="s">
        <v>3099</v>
      </c>
      <c r="J14" s="1367" t="s">
        <v>3105</v>
      </c>
      <c r="K14" s="1367" t="s">
        <v>3097</v>
      </c>
      <c r="L14" s="1367" t="s">
        <v>3097</v>
      </c>
      <c r="M14" s="1367" t="s">
        <v>3097</v>
      </c>
      <c r="N14" s="1370"/>
      <c r="O14" s="1346">
        <v>2030</v>
      </c>
    </row>
    <row r="15" spans="1:17" ht="15" customHeight="1" outlineLevel="1" x14ac:dyDescent="0.25">
      <c r="A15" s="1353" t="s">
        <v>3120</v>
      </c>
      <c r="B15" s="1348" t="s">
        <v>3121</v>
      </c>
      <c r="C15" s="1371">
        <v>1150</v>
      </c>
      <c r="D15" s="1371">
        <v>1150</v>
      </c>
      <c r="E15" s="1359">
        <v>5.8749999999999997E-2</v>
      </c>
      <c r="F15" s="1348" t="s">
        <v>1450</v>
      </c>
      <c r="G15" s="1348" t="s">
        <v>3122</v>
      </c>
      <c r="H15" s="1348" t="s">
        <v>3111</v>
      </c>
      <c r="I15" s="1348" t="s">
        <v>3099</v>
      </c>
      <c r="J15" s="1348" t="s">
        <v>3105</v>
      </c>
      <c r="K15" s="1372">
        <v>97.78</v>
      </c>
      <c r="L15" s="1364">
        <v>6.62</v>
      </c>
      <c r="M15" s="1373">
        <v>196.72</v>
      </c>
      <c r="N15" s="1348" t="s">
        <v>3106</v>
      </c>
      <c r="O15" s="1346">
        <v>2027</v>
      </c>
    </row>
    <row r="16" spans="1:17" ht="15" customHeight="1" outlineLevel="1" x14ac:dyDescent="0.25">
      <c r="A16" s="1366" t="s">
        <v>3123</v>
      </c>
      <c r="B16" s="1367" t="s">
        <v>3121</v>
      </c>
      <c r="C16" s="1374">
        <v>1550</v>
      </c>
      <c r="D16" s="1374">
        <v>1550</v>
      </c>
      <c r="E16" s="1375">
        <v>0.05</v>
      </c>
      <c r="F16" s="1367" t="s">
        <v>1450</v>
      </c>
      <c r="G16" s="1367" t="s">
        <v>3124</v>
      </c>
      <c r="H16" s="1367" t="s">
        <v>3125</v>
      </c>
      <c r="I16" s="1367" t="s">
        <v>3099</v>
      </c>
      <c r="J16" s="1367" t="s">
        <v>3105</v>
      </c>
      <c r="K16" s="1376">
        <v>93.76</v>
      </c>
      <c r="L16" s="1377">
        <v>6.84</v>
      </c>
      <c r="M16" s="1378">
        <v>245.44</v>
      </c>
      <c r="N16" s="1367" t="s">
        <v>3106</v>
      </c>
      <c r="O16" s="1346">
        <v>2028</v>
      </c>
    </row>
    <row r="17" spans="1:16" ht="15" customHeight="1" outlineLevel="1" x14ac:dyDescent="0.25">
      <c r="A17" s="1353" t="s">
        <v>3126</v>
      </c>
      <c r="B17" s="1348" t="s">
        <v>3127</v>
      </c>
      <c r="C17" s="1379">
        <v>1200</v>
      </c>
      <c r="D17" s="1379">
        <v>1200</v>
      </c>
      <c r="E17" s="1380">
        <v>8.7499999999999994E-2</v>
      </c>
      <c r="F17" s="1348" t="s">
        <v>1450</v>
      </c>
      <c r="G17" s="1348" t="s">
        <v>3128</v>
      </c>
      <c r="H17" s="1348" t="s">
        <v>3119</v>
      </c>
      <c r="I17" s="1348" t="s">
        <v>3099</v>
      </c>
      <c r="J17" s="1348" t="s">
        <v>3105</v>
      </c>
      <c r="K17" s="1360">
        <v>103.74</v>
      </c>
      <c r="L17" s="1364">
        <v>7.3</v>
      </c>
      <c r="M17" s="1373">
        <v>263.02999999999997</v>
      </c>
      <c r="N17" s="1348" t="s">
        <v>3106</v>
      </c>
      <c r="O17" s="1346">
        <v>2030</v>
      </c>
    </row>
    <row r="18" spans="1:16" ht="15" customHeight="1" outlineLevel="1" x14ac:dyDescent="0.25">
      <c r="A18" s="1366" t="s">
        <v>3129</v>
      </c>
      <c r="B18" s="1367" t="s">
        <v>3127</v>
      </c>
      <c r="C18" s="1381">
        <v>750</v>
      </c>
      <c r="D18" s="1381">
        <v>750</v>
      </c>
      <c r="E18" s="1382">
        <v>8.6249999999999993E-2</v>
      </c>
      <c r="F18" s="1367" t="s">
        <v>1450</v>
      </c>
      <c r="G18" s="1367" t="s">
        <v>3103</v>
      </c>
      <c r="H18" s="1367" t="s">
        <v>3130</v>
      </c>
      <c r="I18" s="1367" t="s">
        <v>3099</v>
      </c>
      <c r="J18" s="1367" t="s">
        <v>3105</v>
      </c>
      <c r="K18" s="1376">
        <v>102.75</v>
      </c>
      <c r="L18" s="1377">
        <v>7.77</v>
      </c>
      <c r="M18" s="1383">
        <v>318.36</v>
      </c>
      <c r="N18" s="1367" t="s">
        <v>3106</v>
      </c>
      <c r="O18" s="1346">
        <v>2031</v>
      </c>
    </row>
    <row r="19" spans="1:16" ht="15" customHeight="1" outlineLevel="1" x14ac:dyDescent="0.25">
      <c r="A19" s="1353" t="s">
        <v>3131</v>
      </c>
      <c r="B19" s="1348" t="s">
        <v>3127</v>
      </c>
      <c r="C19" s="1384">
        <v>750</v>
      </c>
      <c r="D19" s="1384">
        <v>750</v>
      </c>
      <c r="E19" s="1359">
        <v>5.8749999999999997E-2</v>
      </c>
      <c r="F19" s="1348" t="s">
        <v>1450</v>
      </c>
      <c r="G19" s="1348" t="s">
        <v>3110</v>
      </c>
      <c r="H19" s="1348" t="s">
        <v>3132</v>
      </c>
      <c r="I19" s="1348" t="s">
        <v>3099</v>
      </c>
      <c r="J19" s="1348" t="s">
        <v>3105</v>
      </c>
      <c r="K19" s="1360">
        <v>86.65</v>
      </c>
      <c r="L19" s="1360">
        <v>9.0500000000000007</v>
      </c>
      <c r="M19" s="1365">
        <v>483.7</v>
      </c>
      <c r="N19" s="1348" t="s">
        <v>3106</v>
      </c>
      <c r="O19" s="1346">
        <v>2029</v>
      </c>
    </row>
    <row r="20" spans="1:16" ht="15" customHeight="1" outlineLevel="1" x14ac:dyDescent="0.25">
      <c r="A20" s="1366" t="s">
        <v>3133</v>
      </c>
      <c r="B20" s="1367" t="s">
        <v>3121</v>
      </c>
      <c r="C20" s="1385">
        <v>1000</v>
      </c>
      <c r="D20" s="1385">
        <v>1000</v>
      </c>
      <c r="E20" s="1386">
        <v>6.7500000000000004E-2</v>
      </c>
      <c r="F20" s="1367" t="s">
        <v>1450</v>
      </c>
      <c r="G20" s="1367" t="s">
        <v>3124</v>
      </c>
      <c r="H20" s="1367" t="s">
        <v>3134</v>
      </c>
      <c r="I20" s="1367" t="s">
        <v>3099</v>
      </c>
      <c r="J20" s="1367" t="s">
        <v>3105</v>
      </c>
      <c r="K20" s="1376">
        <v>91.46</v>
      </c>
      <c r="L20" s="1376">
        <v>8.93</v>
      </c>
      <c r="M20" s="1387">
        <v>464.31</v>
      </c>
      <c r="N20" s="1367" t="s">
        <v>3106</v>
      </c>
      <c r="O20" s="1346">
        <v>2029</v>
      </c>
    </row>
    <row r="21" spans="1:16" ht="15" customHeight="1" outlineLevel="1" x14ac:dyDescent="0.25">
      <c r="A21" s="1353" t="s">
        <v>3135</v>
      </c>
      <c r="B21" s="1348" t="s">
        <v>3136</v>
      </c>
      <c r="C21" s="1388">
        <v>1000</v>
      </c>
      <c r="D21" s="1388">
        <v>1000</v>
      </c>
      <c r="E21" s="1389">
        <v>0.06</v>
      </c>
      <c r="F21" s="1348" t="s">
        <v>1450</v>
      </c>
      <c r="G21" s="1348" t="s">
        <v>3137</v>
      </c>
      <c r="H21" s="1348" t="s">
        <v>3138</v>
      </c>
      <c r="I21" s="1348" t="s">
        <v>3099</v>
      </c>
      <c r="J21" s="1348" t="s">
        <v>3105</v>
      </c>
      <c r="K21" s="1390">
        <v>86.71</v>
      </c>
      <c r="L21" s="1360">
        <v>9.07</v>
      </c>
      <c r="M21" s="1373">
        <v>486.37</v>
      </c>
      <c r="N21" s="1348" t="s">
        <v>3106</v>
      </c>
      <c r="O21" s="1346">
        <v>2030</v>
      </c>
    </row>
    <row r="22" spans="1:16" ht="15" customHeight="1" outlineLevel="1" x14ac:dyDescent="0.25">
      <c r="A22" s="1366" t="s">
        <v>3139</v>
      </c>
      <c r="B22" s="1367" t="s">
        <v>3140</v>
      </c>
      <c r="C22" s="1391">
        <v>94.2</v>
      </c>
      <c r="D22" s="1391">
        <v>94.2</v>
      </c>
      <c r="E22" s="1386">
        <v>6.7500000000000004E-2</v>
      </c>
      <c r="F22" s="1367" t="s">
        <v>1450</v>
      </c>
      <c r="G22" s="1367" t="s">
        <v>3141</v>
      </c>
      <c r="H22" s="1367" t="s">
        <v>3142</v>
      </c>
      <c r="I22" s="1367" t="s">
        <v>3099</v>
      </c>
      <c r="J22" s="1367" t="s">
        <v>3143</v>
      </c>
      <c r="K22" s="1392">
        <v>100.33</v>
      </c>
      <c r="L22" s="1377">
        <v>6.62</v>
      </c>
      <c r="M22" s="1378">
        <v>213.64</v>
      </c>
      <c r="N22" s="1367" t="s">
        <v>3106</v>
      </c>
      <c r="O22" s="1346">
        <v>2027</v>
      </c>
    </row>
    <row r="23" spans="1:16" ht="15" customHeight="1" outlineLevel="1" x14ac:dyDescent="0.25">
      <c r="A23" s="1366" t="s">
        <v>3144</v>
      </c>
      <c r="B23" s="1367" t="s">
        <v>3140</v>
      </c>
      <c r="C23" s="1391">
        <v>105.9</v>
      </c>
      <c r="D23" s="1391">
        <v>105.9</v>
      </c>
      <c r="E23" s="1386">
        <v>6.7500000000000004E-2</v>
      </c>
      <c r="F23" s="1367" t="s">
        <v>1450</v>
      </c>
      <c r="G23" s="1367" t="s">
        <v>3141</v>
      </c>
      <c r="H23" s="1367" t="s">
        <v>3142</v>
      </c>
      <c r="I23" s="1367" t="s">
        <v>3099</v>
      </c>
      <c r="J23" s="1367" t="s">
        <v>3143</v>
      </c>
      <c r="K23" s="1392">
        <v>97</v>
      </c>
      <c r="L23" s="1377">
        <v>7.91</v>
      </c>
      <c r="M23" s="1378">
        <v>341.98</v>
      </c>
      <c r="N23" s="1367"/>
      <c r="O23" s="1346">
        <v>2027</v>
      </c>
    </row>
    <row r="24" spans="1:16" ht="15" customHeight="1" outlineLevel="1" x14ac:dyDescent="0.25">
      <c r="A24" s="1353" t="s">
        <v>3145</v>
      </c>
      <c r="B24" s="1348" t="s">
        <v>3146</v>
      </c>
      <c r="C24" s="1361">
        <v>200</v>
      </c>
      <c r="D24" s="1361">
        <v>200</v>
      </c>
      <c r="E24" s="1380">
        <v>6.7299999999999999E-2</v>
      </c>
      <c r="F24" s="1348" t="s">
        <v>1450</v>
      </c>
      <c r="G24" s="1348" t="s">
        <v>3147</v>
      </c>
      <c r="H24" s="1348" t="s">
        <v>3148</v>
      </c>
      <c r="I24" s="1348" t="s">
        <v>3099</v>
      </c>
      <c r="J24" s="1348" t="s">
        <v>3143</v>
      </c>
      <c r="K24" s="1393">
        <v>95.36</v>
      </c>
      <c r="L24" s="1364">
        <v>8.1999999999999993</v>
      </c>
      <c r="M24" s="1394">
        <v>384.27</v>
      </c>
      <c r="N24" s="1348" t="s">
        <v>3106</v>
      </c>
      <c r="O24" s="1346">
        <v>2028</v>
      </c>
    </row>
    <row r="25" spans="1:16" ht="15" customHeight="1" outlineLevel="1" x14ac:dyDescent="0.25">
      <c r="A25" s="1366" t="s">
        <v>3149</v>
      </c>
      <c r="B25" s="1367" t="s">
        <v>3150</v>
      </c>
      <c r="C25" s="1395">
        <v>50</v>
      </c>
      <c r="D25" s="1395">
        <v>50</v>
      </c>
      <c r="E25" s="1369">
        <v>8.4000000000000005E-2</v>
      </c>
      <c r="F25" s="1367" t="s">
        <v>1450</v>
      </c>
      <c r="G25" s="1367" t="s">
        <v>3151</v>
      </c>
      <c r="H25" s="1367" t="s">
        <v>3152</v>
      </c>
      <c r="I25" s="1367" t="s">
        <v>3099</v>
      </c>
      <c r="J25" s="1367" t="s">
        <v>3143</v>
      </c>
      <c r="K25" s="1396">
        <v>92.75</v>
      </c>
      <c r="L25" s="1376">
        <v>10.18</v>
      </c>
      <c r="M25" s="1378">
        <v>597.34</v>
      </c>
      <c r="N25" s="1370"/>
      <c r="O25" s="1346">
        <v>2029</v>
      </c>
    </row>
    <row r="26" spans="1:16" ht="15" customHeight="1" outlineLevel="1" x14ac:dyDescent="0.25">
      <c r="A26" s="1353" t="s">
        <v>3153</v>
      </c>
      <c r="B26" s="1348" t="s">
        <v>3154</v>
      </c>
      <c r="C26" s="1361">
        <v>300</v>
      </c>
      <c r="D26" s="1361">
        <v>300</v>
      </c>
      <c r="E26" s="1380">
        <v>6.8599999999999994E-2</v>
      </c>
      <c r="F26" s="1348" t="s">
        <v>1450</v>
      </c>
      <c r="G26" s="1348" t="s">
        <v>3147</v>
      </c>
      <c r="H26" s="1348" t="s">
        <v>3148</v>
      </c>
      <c r="I26" s="1348" t="s">
        <v>3099</v>
      </c>
      <c r="J26" s="1348" t="s">
        <v>3155</v>
      </c>
      <c r="K26" s="1360">
        <v>99.25</v>
      </c>
      <c r="L26" s="1364">
        <v>7.09</v>
      </c>
      <c r="M26" s="1373">
        <v>272.57</v>
      </c>
      <c r="N26" s="1348" t="s">
        <v>3106</v>
      </c>
      <c r="O26" s="1346">
        <v>2028</v>
      </c>
    </row>
    <row r="27" spans="1:16" ht="15" customHeight="1" outlineLevel="1" x14ac:dyDescent="0.25">
      <c r="A27" s="1353" t="s">
        <v>3156</v>
      </c>
      <c r="B27" s="1348" t="s">
        <v>3157</v>
      </c>
      <c r="C27" s="1361">
        <v>155</v>
      </c>
      <c r="D27" s="1361">
        <v>155</v>
      </c>
      <c r="E27" s="1380">
        <v>8.3000000000000004E-2</v>
      </c>
      <c r="F27" s="1348" t="s">
        <v>1450</v>
      </c>
      <c r="G27" s="1348" t="s">
        <v>3158</v>
      </c>
      <c r="H27" s="1348" t="s">
        <v>3159</v>
      </c>
      <c r="I27" s="1348" t="s">
        <v>3099</v>
      </c>
      <c r="J27" s="1348" t="s">
        <v>3160</v>
      </c>
      <c r="K27" s="1360" t="s">
        <v>3097</v>
      </c>
      <c r="L27" s="1364" t="s">
        <v>3097</v>
      </c>
      <c r="M27" s="1373" t="s">
        <v>3097</v>
      </c>
      <c r="N27" s="1348"/>
    </row>
    <row r="28" spans="1:16" ht="15" customHeight="1" outlineLevel="1" x14ac:dyDescent="0.25">
      <c r="A28" s="1353" t="s">
        <v>3161</v>
      </c>
      <c r="B28" s="1348" t="s">
        <v>3162</v>
      </c>
      <c r="C28" s="1361">
        <v>312</v>
      </c>
      <c r="D28" s="1361">
        <v>312</v>
      </c>
      <c r="E28" s="1380">
        <v>0.115</v>
      </c>
      <c r="F28" s="1348" t="s">
        <v>1450</v>
      </c>
      <c r="G28" s="1348" t="s">
        <v>3158</v>
      </c>
      <c r="H28" s="1348" t="s">
        <v>3159</v>
      </c>
      <c r="I28" s="1348" t="s">
        <v>3099</v>
      </c>
      <c r="J28" s="1348" t="s">
        <v>3160</v>
      </c>
      <c r="K28" s="1360" t="s">
        <v>3097</v>
      </c>
      <c r="L28" s="1364" t="s">
        <v>3097</v>
      </c>
      <c r="M28" s="1373" t="s">
        <v>3097</v>
      </c>
      <c r="N28" s="1348"/>
    </row>
    <row r="29" spans="1:16" ht="15" customHeight="1" outlineLevel="1" x14ac:dyDescent="0.25">
      <c r="A29" s="1353" t="s">
        <v>3163</v>
      </c>
      <c r="B29" s="1348" t="s">
        <v>3164</v>
      </c>
      <c r="C29" s="1361">
        <v>1119</v>
      </c>
      <c r="D29" s="1361">
        <v>1119</v>
      </c>
      <c r="E29" s="1380">
        <v>6.6000000000000003E-2</v>
      </c>
      <c r="F29" s="1348" t="s">
        <v>1450</v>
      </c>
      <c r="G29" s="1348" t="s">
        <v>3158</v>
      </c>
      <c r="H29" s="1348" t="s">
        <v>3159</v>
      </c>
      <c r="I29" s="1348" t="s">
        <v>3099</v>
      </c>
      <c r="J29" s="1348" t="s">
        <v>3160</v>
      </c>
      <c r="K29" s="1360" t="s">
        <v>3097</v>
      </c>
      <c r="L29" s="1364" t="s">
        <v>3097</v>
      </c>
      <c r="M29" s="1373" t="s">
        <v>3097</v>
      </c>
      <c r="N29" s="1348"/>
    </row>
    <row r="30" spans="1:16" ht="15" customHeight="1" x14ac:dyDescent="0.3">
      <c r="A30" s="1350" t="s">
        <v>34</v>
      </c>
      <c r="B30" s="1351"/>
      <c r="C30" s="1697">
        <v>28</v>
      </c>
      <c r="D30" s="1697">
        <v>28</v>
      </c>
      <c r="E30" s="1698"/>
      <c r="F30" s="1698"/>
      <c r="G30" s="1698"/>
      <c r="H30" s="1698"/>
      <c r="I30" s="1698"/>
      <c r="J30" s="1698"/>
      <c r="K30" s="1351"/>
      <c r="L30" s="1351"/>
      <c r="M30" s="1351"/>
      <c r="N30" s="1351"/>
      <c r="O30" s="1351"/>
      <c r="P30" s="1351"/>
    </row>
    <row r="31" spans="1:16" ht="15" customHeight="1" outlineLevel="1" x14ac:dyDescent="0.3">
      <c r="A31" s="1353" t="s">
        <v>3097</v>
      </c>
      <c r="B31" s="1348" t="s">
        <v>3165</v>
      </c>
      <c r="C31" s="1704">
        <v>-68</v>
      </c>
      <c r="D31" s="1704">
        <v>-68</v>
      </c>
      <c r="E31" s="368" t="s">
        <v>3097</v>
      </c>
      <c r="F31" s="368" t="s">
        <v>3097</v>
      </c>
      <c r="G31" s="368" t="s">
        <v>3097</v>
      </c>
      <c r="H31" s="368" t="s">
        <v>3097</v>
      </c>
      <c r="I31" s="368" t="s">
        <v>3099</v>
      </c>
      <c r="J31" s="368" t="s">
        <v>34</v>
      </c>
      <c r="K31" s="1348" t="s">
        <v>3097</v>
      </c>
      <c r="L31" s="1348" t="s">
        <v>3097</v>
      </c>
      <c r="M31" s="1348" t="s">
        <v>3097</v>
      </c>
      <c r="N31" s="1349"/>
    </row>
    <row r="32" spans="1:16" s="1703" customFormat="1" ht="15" customHeight="1" outlineLevel="1" x14ac:dyDescent="0.25">
      <c r="A32" s="1700" t="s">
        <v>3097</v>
      </c>
      <c r="B32" s="1701" t="s">
        <v>3166</v>
      </c>
      <c r="C32" s="1699">
        <v>-52</v>
      </c>
      <c r="D32" s="1699">
        <v>-52</v>
      </c>
      <c r="E32" s="1701" t="s">
        <v>3097</v>
      </c>
      <c r="F32" s="1701" t="s">
        <v>3097</v>
      </c>
      <c r="G32" s="1701" t="s">
        <v>3097</v>
      </c>
      <c r="H32" s="1701" t="s">
        <v>3097</v>
      </c>
      <c r="I32" s="1701" t="s">
        <v>3099</v>
      </c>
      <c r="J32" s="1701" t="s">
        <v>34</v>
      </c>
      <c r="K32" s="1701" t="s">
        <v>3097</v>
      </c>
      <c r="L32" s="1701" t="s">
        <v>3097</v>
      </c>
      <c r="M32" s="1701" t="s">
        <v>3097</v>
      </c>
      <c r="N32" s="1702"/>
    </row>
    <row r="33" spans="1:14" ht="15" customHeight="1" outlineLevel="1" x14ac:dyDescent="0.25">
      <c r="A33" s="1366" t="s">
        <v>3097</v>
      </c>
      <c r="B33" s="1367" t="s">
        <v>3167</v>
      </c>
      <c r="C33" s="1397">
        <v>148</v>
      </c>
      <c r="D33" s="1397">
        <v>148</v>
      </c>
      <c r="E33" s="1367" t="s">
        <v>3097</v>
      </c>
      <c r="F33" s="1367" t="s">
        <v>3097</v>
      </c>
      <c r="G33" s="1367" t="s">
        <v>3097</v>
      </c>
      <c r="H33" s="1367" t="s">
        <v>3097</v>
      </c>
      <c r="I33" s="1367" t="s">
        <v>3099</v>
      </c>
      <c r="J33" s="1367" t="s">
        <v>34</v>
      </c>
      <c r="K33" s="1367" t="s">
        <v>3097</v>
      </c>
      <c r="L33" s="1367" t="s">
        <v>3097</v>
      </c>
      <c r="M33" s="1367" t="s">
        <v>3097</v>
      </c>
      <c r="N33" s="1370"/>
    </row>
    <row r="34" spans="1:14" ht="15" customHeight="1" x14ac:dyDescent="0.25">
      <c r="A34" s="1398"/>
      <c r="B34" s="1348" t="s">
        <v>3168</v>
      </c>
      <c r="C34" s="1358">
        <v>11255</v>
      </c>
      <c r="D34" s="1398"/>
      <c r="E34" s="1398"/>
    </row>
    <row r="35" spans="1:14" ht="15" customHeight="1" x14ac:dyDescent="0.25">
      <c r="A35" s="1399"/>
      <c r="B35" s="1367" t="s">
        <v>3169</v>
      </c>
      <c r="C35" s="1400">
        <v>-15</v>
      </c>
      <c r="D35" s="1399"/>
      <c r="E35" s="1399"/>
    </row>
    <row r="36" spans="1:14" ht="15" customHeight="1" x14ac:dyDescent="0.25">
      <c r="A36" s="1398"/>
      <c r="B36" s="1348" t="s">
        <v>3170</v>
      </c>
      <c r="C36" s="1358">
        <v>11240</v>
      </c>
      <c r="D36" s="1398"/>
      <c r="E36" s="1398"/>
    </row>
    <row r="37" spans="1:14" ht="15" customHeight="1" x14ac:dyDescent="0.25">
      <c r="A37" s="1399"/>
      <c r="B37" s="1367" t="s">
        <v>3171</v>
      </c>
      <c r="C37" s="1368">
        <v>15</v>
      </c>
      <c r="D37" s="1399"/>
      <c r="E37" s="1399"/>
    </row>
    <row r="38" spans="1:14" ht="15" customHeight="1" x14ac:dyDescent="0.25">
      <c r="A38" s="1398"/>
      <c r="B38" s="1348" t="s">
        <v>2568</v>
      </c>
      <c r="C38" s="1358">
        <v>11255</v>
      </c>
      <c r="D38" s="1358">
        <v>11255</v>
      </c>
      <c r="E38" s="1398"/>
    </row>
    <row r="39" spans="1:14" ht="15" customHeight="1" x14ac:dyDescent="0.25">
      <c r="A39" s="1346" t="s">
        <v>3172</v>
      </c>
      <c r="B39" s="1346" t="s">
        <v>3173</v>
      </c>
    </row>
    <row r="40" spans="1:14" ht="15" customHeight="1" x14ac:dyDescent="0.25">
      <c r="A40" s="1401" t="s">
        <v>3174</v>
      </c>
    </row>
    <row r="41" spans="1:14" ht="15" customHeight="1" x14ac:dyDescent="0.25">
      <c r="A41" s="1401" t="s">
        <v>3175</v>
      </c>
    </row>
    <row r="44" spans="1:14" ht="15" customHeight="1" x14ac:dyDescent="0.3">
      <c r="A44" s="1347" t="s">
        <v>3176</v>
      </c>
      <c r="D44" s="1347">
        <v>2023</v>
      </c>
      <c r="E44" s="1347">
        <v>2024</v>
      </c>
      <c r="F44" s="1347">
        <v>2025</v>
      </c>
      <c r="G44" s="1347">
        <v>2026</v>
      </c>
      <c r="H44" s="1347">
        <v>2027</v>
      </c>
      <c r="I44" s="1347">
        <v>2028</v>
      </c>
      <c r="J44" s="1347">
        <v>2029</v>
      </c>
      <c r="K44" s="1347">
        <v>2030</v>
      </c>
      <c r="L44" s="1347">
        <v>2031</v>
      </c>
      <c r="M44" s="1347">
        <v>2032</v>
      </c>
    </row>
    <row r="45" spans="1:14" ht="15" customHeight="1" x14ac:dyDescent="0.25">
      <c r="D45" s="1346">
        <f>SUMIF($O$9:$O$26,D44,$C$9:$C$26)</f>
        <v>0</v>
      </c>
      <c r="E45" s="1346">
        <f t="shared" ref="E45:M45" si="0">SUMIF($O$9:$O$26,E44,$C$9:$C$26)</f>
        <v>0</v>
      </c>
      <c r="F45" s="1346">
        <f t="shared" si="0"/>
        <v>0</v>
      </c>
      <c r="G45" s="1346">
        <f t="shared" si="0"/>
        <v>0</v>
      </c>
      <c r="H45" s="1346">
        <f t="shared" si="0"/>
        <v>2781.1</v>
      </c>
      <c r="I45" s="1346">
        <f t="shared" si="0"/>
        <v>2050</v>
      </c>
      <c r="J45" s="1346">
        <f t="shared" si="0"/>
        <v>1800</v>
      </c>
      <c r="K45" s="1346">
        <f t="shared" si="0"/>
        <v>2213</v>
      </c>
      <c r="L45" s="1346">
        <f t="shared" si="0"/>
        <v>797</v>
      </c>
      <c r="M45" s="1346">
        <f t="shared" si="0"/>
        <v>0</v>
      </c>
    </row>
    <row r="46" spans="1:14" ht="15" customHeight="1" x14ac:dyDescent="0.25">
      <c r="H46" s="1706">
        <f>D11*E11*6/12+D15*E15*6/12+D22*E22*6/12+D23*E23*6/12</f>
        <v>106.32485</v>
      </c>
      <c r="I46" s="1706">
        <f>D16*E16*6/12+D24*E24*6/12</f>
        <v>45.48</v>
      </c>
      <c r="J46" s="1706">
        <f>D19*E19*6/12+D20*E20*6/12+D25*E25*6/12</f>
        <v>57.881250000000001</v>
      </c>
      <c r="K46" s="1706">
        <f>D14*E14*6/12+D17*E17*6/12+D21*E21*6/12</f>
        <v>82.902999999999992</v>
      </c>
      <c r="L46" s="1706">
        <f>D13*E13/2+D18*E18/2</f>
        <v>34.341250000000002</v>
      </c>
    </row>
    <row r="49" spans="1:13" ht="15" customHeight="1" x14ac:dyDescent="0.3">
      <c r="A49" s="1347" t="s">
        <v>3177</v>
      </c>
      <c r="E49" s="1347">
        <v>2024</v>
      </c>
      <c r="F49" s="1347">
        <v>2025</v>
      </c>
      <c r="G49" s="1347">
        <v>2026</v>
      </c>
      <c r="H49" s="1347">
        <v>2027</v>
      </c>
      <c r="I49" s="1347">
        <v>2028</v>
      </c>
      <c r="J49" s="1347">
        <v>2029</v>
      </c>
      <c r="K49" s="1347">
        <v>2030</v>
      </c>
      <c r="L49" s="1347">
        <v>2031</v>
      </c>
      <c r="M49" s="1347">
        <v>2032</v>
      </c>
    </row>
    <row r="50" spans="1:13" ht="15" customHeight="1" x14ac:dyDescent="0.25">
      <c r="A50" s="1346" t="s">
        <v>3178</v>
      </c>
      <c r="F50" s="1706">
        <f>'Model Main'!EX204</f>
        <v>853</v>
      </c>
      <c r="G50" s="1706">
        <f>'Model Main'!FC204</f>
        <v>922.83749999999998</v>
      </c>
      <c r="H50" s="1706">
        <f>'Model Main'!FD204</f>
        <v>1022.7375</v>
      </c>
      <c r="I50" s="1706">
        <f>'Model Main'!FE204</f>
        <v>1082.91265</v>
      </c>
      <c r="J50" s="1706">
        <f>'Model Main'!FF204</f>
        <v>1108.7077999999999</v>
      </c>
      <c r="K50" s="1706">
        <f>'Model Main'!FG204</f>
        <v>1108.9465499999999</v>
      </c>
      <c r="L50" s="1706">
        <f>'Model Main'!FH204</f>
        <v>1073.3536189670058</v>
      </c>
    </row>
    <row r="51" spans="1:13" ht="15" customHeight="1" x14ac:dyDescent="0.25">
      <c r="A51" s="1707" t="s">
        <v>3179</v>
      </c>
      <c r="F51" s="1706">
        <v>0</v>
      </c>
      <c r="G51" s="1706">
        <v>0</v>
      </c>
      <c r="H51" s="1706">
        <v>0</v>
      </c>
      <c r="I51" s="1706">
        <f t="shared" ref="I51:L52" si="1">H53</f>
        <v>106.32485</v>
      </c>
      <c r="J51" s="1706">
        <f t="shared" si="1"/>
        <v>45.48</v>
      </c>
      <c r="K51" s="1706">
        <f t="shared" si="1"/>
        <v>57.881250000000001</v>
      </c>
      <c r="L51" s="1706">
        <f t="shared" si="1"/>
        <v>82.902999999999992</v>
      </c>
    </row>
    <row r="52" spans="1:13" ht="15" customHeight="1" x14ac:dyDescent="0.25">
      <c r="A52" s="1707" t="s">
        <v>3180</v>
      </c>
      <c r="F52" s="1706">
        <f>'Model Main'!EX113*0.074*5.5/12</f>
        <v>25.4375</v>
      </c>
      <c r="G52" s="1706">
        <f>F54</f>
        <v>44.4</v>
      </c>
      <c r="H52" s="1706">
        <f>G54</f>
        <v>55.5</v>
      </c>
      <c r="I52" s="1706">
        <f t="shared" si="1"/>
        <v>111</v>
      </c>
      <c r="J52" s="1706">
        <f t="shared" si="1"/>
        <v>66.599999999999994</v>
      </c>
      <c r="K52" s="1706">
        <f t="shared" si="1"/>
        <v>37</v>
      </c>
      <c r="L52" s="1706">
        <f t="shared" si="1"/>
        <v>68.191318967005927</v>
      </c>
    </row>
    <row r="53" spans="1:13" ht="15" customHeight="1" x14ac:dyDescent="0.25">
      <c r="A53" s="1707" t="s">
        <v>3181</v>
      </c>
      <c r="F53" s="1706">
        <v>0</v>
      </c>
      <c r="G53" s="1706">
        <v>0</v>
      </c>
      <c r="H53" s="1706">
        <f>H46</f>
        <v>106.32485</v>
      </c>
      <c r="I53" s="1706">
        <f>I46</f>
        <v>45.48</v>
      </c>
      <c r="J53" s="1706">
        <f>J46</f>
        <v>57.881250000000001</v>
      </c>
      <c r="K53" s="1706">
        <f>K46</f>
        <v>82.902999999999992</v>
      </c>
      <c r="L53" s="1706">
        <f>L46</f>
        <v>34.341250000000002</v>
      </c>
    </row>
    <row r="54" spans="1:13" ht="15" customHeight="1" x14ac:dyDescent="0.25">
      <c r="A54" s="1707" t="s">
        <v>3182</v>
      </c>
      <c r="F54" s="1710">
        <f>'Model Main'!FC113*0.074/2</f>
        <v>44.4</v>
      </c>
      <c r="G54" s="1710">
        <f>'Model Main'!FD113*0.074/2</f>
        <v>55.5</v>
      </c>
      <c r="H54" s="1710">
        <f>'Model Main'!FE113*0.074/2</f>
        <v>111</v>
      </c>
      <c r="I54" s="1710">
        <f>'Model Main'!FF113*0.074/2</f>
        <v>66.599999999999994</v>
      </c>
      <c r="J54" s="1710">
        <f>'Model Main'!FG113*0.074/2</f>
        <v>37</v>
      </c>
      <c r="K54" s="1710">
        <f>'Model Main'!FH113*0.074/2</f>
        <v>68.191318967005927</v>
      </c>
      <c r="L54" s="1710">
        <f>'Model Main'!FI113*0.074/2</f>
        <v>58.427263971616043</v>
      </c>
    </row>
    <row r="55" spans="1:13" ht="15" customHeight="1" x14ac:dyDescent="0.3">
      <c r="A55" s="1708" t="s">
        <v>3183</v>
      </c>
      <c r="B55" s="1347"/>
      <c r="C55" s="1347"/>
      <c r="D55" s="1347"/>
      <c r="E55" s="1347"/>
      <c r="F55" s="1709">
        <f t="shared" ref="F55:L55" si="2">F50-F51+F52-F53+F54</f>
        <v>922.83749999999998</v>
      </c>
      <c r="G55" s="1709">
        <f t="shared" si="2"/>
        <v>1022.7375</v>
      </c>
      <c r="H55" s="1709">
        <f t="shared" si="2"/>
        <v>1082.91265</v>
      </c>
      <c r="I55" s="1709">
        <f t="shared" si="2"/>
        <v>1108.7077999999999</v>
      </c>
      <c r="J55" s="1709">
        <f t="shared" si="2"/>
        <v>1108.9465499999999</v>
      </c>
      <c r="K55" s="1709">
        <f t="shared" si="2"/>
        <v>1073.3536189670058</v>
      </c>
      <c r="L55" s="1709">
        <f t="shared" si="2"/>
        <v>1082.7279519056276</v>
      </c>
    </row>
  </sheetData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EA5E7-BB5E-471D-9755-399962B78F17}">
  <dimension ref="A1:D118"/>
  <sheetViews>
    <sheetView topLeftCell="A4" workbookViewId="0">
      <selection activeCell="K30" sqref="K30"/>
    </sheetView>
  </sheetViews>
  <sheetFormatPr defaultRowHeight="12" x14ac:dyDescent="0.3"/>
  <cols>
    <col min="1" max="1" width="9.5546875" style="108" bestFit="1" customWidth="1"/>
    <col min="2" max="3" width="8.88671875" style="108"/>
    <col min="4" max="4" width="10.5546875" style="108" bestFit="1" customWidth="1"/>
    <col min="5" max="16384" width="8.88671875" style="108"/>
  </cols>
  <sheetData>
    <row r="1" spans="1:4" x14ac:dyDescent="0.3">
      <c r="A1" s="108" t="s">
        <v>8</v>
      </c>
    </row>
    <row r="2" spans="1:4" x14ac:dyDescent="0.3">
      <c r="A2" s="108" t="s">
        <v>4212</v>
      </c>
      <c r="B2" s="108">
        <v>38.5</v>
      </c>
    </row>
    <row r="4" spans="1:4" x14ac:dyDescent="0.3">
      <c r="A4" s="1843">
        <v>45540</v>
      </c>
      <c r="B4" s="1306" cm="1">
        <f t="array" ref="B4:B118">_xll.FDS(A1,"FG_PRICE("&amp;A4&amp;",0)")</f>
        <v>35</v>
      </c>
      <c r="C4" s="950">
        <f>$B$2/B4-1</f>
        <v>0.10000000000000009</v>
      </c>
      <c r="D4" s="1844">
        <f>A4</f>
        <v>45540</v>
      </c>
    </row>
    <row r="5" spans="1:4" x14ac:dyDescent="0.3">
      <c r="B5" s="1306">
        <v>35.53</v>
      </c>
      <c r="C5" s="950">
        <f t="shared" ref="C5:C68" si="0">$B$2/B5-1</f>
        <v>8.35913312693497E-2</v>
      </c>
      <c r="D5" s="1844">
        <f>WORKDAY(D4,1)</f>
        <v>45541</v>
      </c>
    </row>
    <row r="6" spans="1:4" x14ac:dyDescent="0.3">
      <c r="B6" s="1306">
        <v>35.770000000000003</v>
      </c>
      <c r="C6" s="950">
        <f t="shared" si="0"/>
        <v>7.6320939334637794E-2</v>
      </c>
      <c r="D6" s="1844">
        <f t="shared" ref="D6:D69" si="1">WORKDAY(D5,1)</f>
        <v>45544</v>
      </c>
    </row>
    <row r="7" spans="1:4" x14ac:dyDescent="0.3">
      <c r="B7" s="1306">
        <v>35.57</v>
      </c>
      <c r="C7" s="950">
        <f t="shared" si="0"/>
        <v>8.2372786055664893E-2</v>
      </c>
      <c r="D7" s="1844">
        <f t="shared" si="1"/>
        <v>45545</v>
      </c>
    </row>
    <row r="8" spans="1:4" x14ac:dyDescent="0.3">
      <c r="B8" s="1306">
        <v>36.03</v>
      </c>
      <c r="C8" s="950">
        <f t="shared" si="0"/>
        <v>6.8553982792117552E-2</v>
      </c>
      <c r="D8" s="1844">
        <f t="shared" si="1"/>
        <v>45546</v>
      </c>
    </row>
    <row r="9" spans="1:4" x14ac:dyDescent="0.3">
      <c r="B9" s="1306">
        <v>35.585000000000001</v>
      </c>
      <c r="C9" s="950">
        <f t="shared" si="0"/>
        <v>8.1916537867078754E-2</v>
      </c>
      <c r="D9" s="1844">
        <f t="shared" si="1"/>
        <v>45547</v>
      </c>
    </row>
    <row r="10" spans="1:4" x14ac:dyDescent="0.3">
      <c r="B10" s="1306">
        <v>36.44</v>
      </c>
      <c r="C10" s="950">
        <f t="shared" si="0"/>
        <v>5.6531284302963947E-2</v>
      </c>
      <c r="D10" s="1844">
        <f t="shared" si="1"/>
        <v>45548</v>
      </c>
    </row>
    <row r="11" spans="1:4" x14ac:dyDescent="0.3">
      <c r="B11" s="1306">
        <v>35.950000000000003</v>
      </c>
      <c r="C11" s="950">
        <f t="shared" si="0"/>
        <v>7.09318497913769E-2</v>
      </c>
      <c r="D11" s="1844">
        <f t="shared" si="1"/>
        <v>45551</v>
      </c>
    </row>
    <row r="12" spans="1:4" x14ac:dyDescent="0.3">
      <c r="B12" s="1306">
        <v>35.65</v>
      </c>
      <c r="C12" s="950">
        <f t="shared" si="0"/>
        <v>7.9943899018232845E-2</v>
      </c>
      <c r="D12" s="1844">
        <f t="shared" si="1"/>
        <v>45552</v>
      </c>
    </row>
    <row r="13" spans="1:4" x14ac:dyDescent="0.3">
      <c r="B13" s="1306">
        <v>35.35</v>
      </c>
      <c r="C13" s="950">
        <f t="shared" si="0"/>
        <v>8.9108910891088966E-2</v>
      </c>
      <c r="D13" s="1844">
        <f t="shared" si="1"/>
        <v>45553</v>
      </c>
    </row>
    <row r="14" spans="1:4" x14ac:dyDescent="0.3">
      <c r="B14" s="1306">
        <v>35.39</v>
      </c>
      <c r="C14" s="950">
        <f t="shared" si="0"/>
        <v>8.7877931619101401E-2</v>
      </c>
      <c r="D14" s="1844">
        <f t="shared" si="1"/>
        <v>45554</v>
      </c>
    </row>
    <row r="15" spans="1:4" x14ac:dyDescent="0.3">
      <c r="B15" s="1306">
        <v>35.65</v>
      </c>
      <c r="C15" s="950">
        <f t="shared" si="0"/>
        <v>7.9943899018232845E-2</v>
      </c>
      <c r="D15" s="1844">
        <f t="shared" si="1"/>
        <v>45555</v>
      </c>
    </row>
    <row r="16" spans="1:4" x14ac:dyDescent="0.3">
      <c r="B16" s="1306">
        <v>35.729999999999997</v>
      </c>
      <c r="C16" s="950">
        <f t="shared" si="0"/>
        <v>7.7525888609012217E-2</v>
      </c>
      <c r="D16" s="1844">
        <f t="shared" si="1"/>
        <v>45558</v>
      </c>
    </row>
    <row r="17" spans="2:4" x14ac:dyDescent="0.3">
      <c r="B17" s="1306">
        <v>35.479999999999997</v>
      </c>
      <c r="C17" s="950">
        <f t="shared" si="0"/>
        <v>8.5118376550169295E-2</v>
      </c>
      <c r="D17" s="1844">
        <f t="shared" si="1"/>
        <v>45559</v>
      </c>
    </row>
    <row r="18" spans="2:4" x14ac:dyDescent="0.3">
      <c r="B18" s="1306">
        <v>35.520000000000003</v>
      </c>
      <c r="C18" s="950">
        <f t="shared" si="0"/>
        <v>8.3896396396396344E-2</v>
      </c>
      <c r="D18" s="1844">
        <f t="shared" si="1"/>
        <v>45560</v>
      </c>
    </row>
    <row r="19" spans="2:4" x14ac:dyDescent="0.3">
      <c r="B19" s="1306">
        <v>35.72</v>
      </c>
      <c r="C19" s="950">
        <f t="shared" si="0"/>
        <v>7.7827547592385304E-2</v>
      </c>
      <c r="D19" s="1844">
        <f t="shared" si="1"/>
        <v>45561</v>
      </c>
    </row>
    <row r="20" spans="2:4" x14ac:dyDescent="0.3">
      <c r="B20" s="1306">
        <v>35.71</v>
      </c>
      <c r="C20" s="950">
        <f t="shared" si="0"/>
        <v>7.8129375525062938E-2</v>
      </c>
      <c r="D20" s="1844">
        <f t="shared" si="1"/>
        <v>45562</v>
      </c>
    </row>
    <row r="21" spans="2:4" x14ac:dyDescent="0.3">
      <c r="B21" s="1306">
        <v>35.53</v>
      </c>
      <c r="C21" s="950">
        <f t="shared" si="0"/>
        <v>8.35913312693497E-2</v>
      </c>
      <c r="D21" s="1844">
        <f t="shared" si="1"/>
        <v>45565</v>
      </c>
    </row>
    <row r="22" spans="2:4" x14ac:dyDescent="0.3">
      <c r="B22" s="1306">
        <v>35.380000000000003</v>
      </c>
      <c r="C22" s="950">
        <f t="shared" si="0"/>
        <v>8.8185415488976737E-2</v>
      </c>
      <c r="D22" s="1844">
        <f t="shared" si="1"/>
        <v>45566</v>
      </c>
    </row>
    <row r="23" spans="2:4" x14ac:dyDescent="0.3">
      <c r="B23" s="1306">
        <v>35.450000000000003</v>
      </c>
      <c r="C23" s="950">
        <f t="shared" si="0"/>
        <v>8.6036671368123985E-2</v>
      </c>
      <c r="D23" s="1844">
        <f t="shared" si="1"/>
        <v>45567</v>
      </c>
    </row>
    <row r="24" spans="2:4" x14ac:dyDescent="0.3">
      <c r="B24" s="1306">
        <v>35.42</v>
      </c>
      <c r="C24" s="950">
        <f t="shared" si="0"/>
        <v>8.6956521739130377E-2</v>
      </c>
      <c r="D24" s="1844">
        <f t="shared" si="1"/>
        <v>45568</v>
      </c>
    </row>
    <row r="25" spans="2:4" x14ac:dyDescent="0.3">
      <c r="B25" s="1306">
        <v>35.36</v>
      </c>
      <c r="C25" s="950">
        <f t="shared" si="0"/>
        <v>8.8800904977375472E-2</v>
      </c>
      <c r="D25" s="1844">
        <f t="shared" si="1"/>
        <v>45569</v>
      </c>
    </row>
    <row r="26" spans="2:4" x14ac:dyDescent="0.3">
      <c r="B26" s="1306">
        <v>35.32</v>
      </c>
      <c r="C26" s="950">
        <f t="shared" si="0"/>
        <v>9.0033975084937712E-2</v>
      </c>
      <c r="D26" s="1844">
        <f t="shared" si="1"/>
        <v>45572</v>
      </c>
    </row>
    <row r="27" spans="2:4" x14ac:dyDescent="0.3">
      <c r="B27" s="1306">
        <v>35.35</v>
      </c>
      <c r="C27" s="950">
        <f t="shared" si="0"/>
        <v>8.9108910891088966E-2</v>
      </c>
      <c r="D27" s="1844">
        <f t="shared" si="1"/>
        <v>45573</v>
      </c>
    </row>
    <row r="28" spans="2:4" x14ac:dyDescent="0.3">
      <c r="B28" s="1306">
        <v>35.26</v>
      </c>
      <c r="C28" s="950">
        <f t="shared" si="0"/>
        <v>9.1888825865002799E-2</v>
      </c>
      <c r="D28" s="1844">
        <f t="shared" si="1"/>
        <v>45574</v>
      </c>
    </row>
    <row r="29" spans="2:4" x14ac:dyDescent="0.3">
      <c r="B29" s="1306">
        <v>35.25</v>
      </c>
      <c r="C29" s="950">
        <f t="shared" si="0"/>
        <v>9.219858156028371E-2</v>
      </c>
      <c r="D29" s="1844">
        <f t="shared" si="1"/>
        <v>45575</v>
      </c>
    </row>
    <row r="30" spans="2:4" x14ac:dyDescent="0.3">
      <c r="B30" s="1306">
        <v>35.25</v>
      </c>
      <c r="C30" s="950">
        <f t="shared" si="0"/>
        <v>9.219858156028371E-2</v>
      </c>
      <c r="D30" s="1844">
        <f t="shared" si="1"/>
        <v>45576</v>
      </c>
    </row>
    <row r="31" spans="2:4" x14ac:dyDescent="0.3">
      <c r="B31" s="1306">
        <v>35.25</v>
      </c>
      <c r="C31" s="950">
        <f t="shared" si="0"/>
        <v>9.219858156028371E-2</v>
      </c>
      <c r="D31" s="1844">
        <f t="shared" si="1"/>
        <v>45579</v>
      </c>
    </row>
    <row r="32" spans="2:4" x14ac:dyDescent="0.3">
      <c r="B32" s="1306">
        <v>35.71</v>
      </c>
      <c r="C32" s="950">
        <f t="shared" si="0"/>
        <v>7.8129375525062938E-2</v>
      </c>
      <c r="D32" s="1844">
        <f t="shared" si="1"/>
        <v>45580</v>
      </c>
    </row>
    <row r="33" spans="2:4" x14ac:dyDescent="0.3">
      <c r="B33" s="1306">
        <v>35.96</v>
      </c>
      <c r="C33" s="950">
        <f t="shared" si="0"/>
        <v>7.0634037819799822E-2</v>
      </c>
      <c r="D33" s="1844">
        <f t="shared" si="1"/>
        <v>45581</v>
      </c>
    </row>
    <row r="34" spans="2:4" x14ac:dyDescent="0.3">
      <c r="B34" s="1306">
        <v>35.85</v>
      </c>
      <c r="C34" s="950">
        <f t="shared" si="0"/>
        <v>7.3919107391910766E-2</v>
      </c>
      <c r="D34" s="1844">
        <f t="shared" si="1"/>
        <v>45582</v>
      </c>
    </row>
    <row r="35" spans="2:4" x14ac:dyDescent="0.3">
      <c r="B35" s="1306">
        <v>35.700000000000003</v>
      </c>
      <c r="C35" s="950">
        <f t="shared" si="0"/>
        <v>7.8431372549019551E-2</v>
      </c>
      <c r="D35" s="1844">
        <f t="shared" si="1"/>
        <v>45583</v>
      </c>
    </row>
    <row r="36" spans="2:4" x14ac:dyDescent="0.3">
      <c r="B36" s="1306">
        <v>35.71</v>
      </c>
      <c r="C36" s="950">
        <f t="shared" si="0"/>
        <v>7.8129375525062938E-2</v>
      </c>
      <c r="D36" s="1844">
        <f t="shared" si="1"/>
        <v>45586</v>
      </c>
    </row>
    <row r="37" spans="2:4" x14ac:dyDescent="0.3">
      <c r="B37" s="1306">
        <v>35.549999999999997</v>
      </c>
      <c r="C37" s="950">
        <f t="shared" si="0"/>
        <v>8.2981715893108321E-2</v>
      </c>
      <c r="D37" s="1844">
        <f t="shared" si="1"/>
        <v>45587</v>
      </c>
    </row>
    <row r="38" spans="2:4" x14ac:dyDescent="0.3">
      <c r="B38" s="1306">
        <v>35.82</v>
      </c>
      <c r="C38" s="950">
        <f t="shared" si="0"/>
        <v>7.4818537130094898E-2</v>
      </c>
      <c r="D38" s="1844">
        <f t="shared" si="1"/>
        <v>45588</v>
      </c>
    </row>
    <row r="39" spans="2:4" x14ac:dyDescent="0.3">
      <c r="B39" s="1306">
        <v>36.15</v>
      </c>
      <c r="C39" s="950">
        <f t="shared" si="0"/>
        <v>6.5006915629322259E-2</v>
      </c>
      <c r="D39" s="1844">
        <f t="shared" si="1"/>
        <v>45589</v>
      </c>
    </row>
    <row r="40" spans="2:4" x14ac:dyDescent="0.3">
      <c r="B40" s="1306">
        <v>36.01</v>
      </c>
      <c r="C40" s="950">
        <f t="shared" si="0"/>
        <v>6.9147459039155867E-2</v>
      </c>
      <c r="D40" s="1844">
        <f t="shared" si="1"/>
        <v>45590</v>
      </c>
    </row>
    <row r="41" spans="2:4" x14ac:dyDescent="0.3">
      <c r="B41" s="1306">
        <v>35.83</v>
      </c>
      <c r="C41" s="950">
        <f t="shared" si="0"/>
        <v>7.4518559866034062E-2</v>
      </c>
      <c r="D41" s="1844">
        <f t="shared" si="1"/>
        <v>45593</v>
      </c>
    </row>
    <row r="42" spans="2:4" x14ac:dyDescent="0.3">
      <c r="B42" s="1306">
        <v>35.89</v>
      </c>
      <c r="C42" s="950">
        <f t="shared" si="0"/>
        <v>7.2722206742825257E-2</v>
      </c>
      <c r="D42" s="1844">
        <f t="shared" si="1"/>
        <v>45594</v>
      </c>
    </row>
    <row r="43" spans="2:4" x14ac:dyDescent="0.3">
      <c r="B43" s="1306">
        <v>35.93</v>
      </c>
      <c r="C43" s="950">
        <f t="shared" si="0"/>
        <v>7.1527971054828887E-2</v>
      </c>
      <c r="D43" s="1844">
        <f t="shared" si="1"/>
        <v>45595</v>
      </c>
    </row>
    <row r="44" spans="2:4" x14ac:dyDescent="0.3">
      <c r="B44" s="1306">
        <v>35.729999999999997</v>
      </c>
      <c r="C44" s="950">
        <f t="shared" si="0"/>
        <v>7.7525888609012217E-2</v>
      </c>
      <c r="D44" s="1844">
        <f t="shared" si="1"/>
        <v>45596</v>
      </c>
    </row>
    <row r="45" spans="2:4" x14ac:dyDescent="0.3">
      <c r="B45" s="1306">
        <v>36.14</v>
      </c>
      <c r="C45" s="950">
        <f t="shared" si="0"/>
        <v>6.5301604869950181E-2</v>
      </c>
      <c r="D45" s="1844">
        <f t="shared" si="1"/>
        <v>45597</v>
      </c>
    </row>
    <row r="46" spans="2:4" x14ac:dyDescent="0.3">
      <c r="B46" s="1306">
        <v>35.409999999999997</v>
      </c>
      <c r="C46" s="950">
        <f t="shared" si="0"/>
        <v>8.7263484891273668E-2</v>
      </c>
      <c r="D46" s="1844">
        <f t="shared" si="1"/>
        <v>45600</v>
      </c>
    </row>
    <row r="47" spans="2:4" x14ac:dyDescent="0.3">
      <c r="B47" s="1306">
        <v>34.950000000000003</v>
      </c>
      <c r="C47" s="950">
        <f t="shared" si="0"/>
        <v>0.10157367668097272</v>
      </c>
      <c r="D47" s="1844">
        <f t="shared" si="1"/>
        <v>45601</v>
      </c>
    </row>
    <row r="48" spans="2:4" x14ac:dyDescent="0.3">
      <c r="B48" s="1306">
        <v>35.07</v>
      </c>
      <c r="C48" s="950">
        <f t="shared" si="0"/>
        <v>9.780439121756479E-2</v>
      </c>
      <c r="D48" s="1844">
        <f t="shared" si="1"/>
        <v>45602</v>
      </c>
    </row>
    <row r="49" spans="2:4" x14ac:dyDescent="0.3">
      <c r="B49" s="1306">
        <v>34.83</v>
      </c>
      <c r="C49" s="950">
        <f t="shared" si="0"/>
        <v>0.10536893482629917</v>
      </c>
      <c r="D49" s="1844">
        <f t="shared" si="1"/>
        <v>45603</v>
      </c>
    </row>
    <row r="50" spans="2:4" x14ac:dyDescent="0.3">
      <c r="B50" s="1306">
        <v>34.5</v>
      </c>
      <c r="C50" s="950">
        <f t="shared" si="0"/>
        <v>0.11594202898550732</v>
      </c>
      <c r="D50" s="1844">
        <f t="shared" si="1"/>
        <v>45604</v>
      </c>
    </row>
    <row r="51" spans="2:4" x14ac:dyDescent="0.3">
      <c r="B51" s="1306">
        <v>34.39</v>
      </c>
      <c r="C51" s="950">
        <f t="shared" si="0"/>
        <v>0.11951148589706317</v>
      </c>
      <c r="D51" s="1844">
        <f t="shared" si="1"/>
        <v>45607</v>
      </c>
    </row>
    <row r="52" spans="2:4" x14ac:dyDescent="0.3">
      <c r="B52" s="1306">
        <v>34.15</v>
      </c>
      <c r="C52" s="950">
        <f t="shared" si="0"/>
        <v>0.12737920937042468</v>
      </c>
      <c r="D52" s="1844">
        <f t="shared" si="1"/>
        <v>45608</v>
      </c>
    </row>
    <row r="53" spans="2:4" x14ac:dyDescent="0.3">
      <c r="B53" s="1306">
        <v>34.67</v>
      </c>
      <c r="C53" s="950">
        <f t="shared" si="0"/>
        <v>0.11047014710124015</v>
      </c>
      <c r="D53" s="1844">
        <f t="shared" si="1"/>
        <v>45609</v>
      </c>
    </row>
    <row r="54" spans="2:4" x14ac:dyDescent="0.3">
      <c r="B54" s="1306">
        <v>34.75</v>
      </c>
      <c r="C54" s="950">
        <f t="shared" si="0"/>
        <v>0.1079136690647482</v>
      </c>
      <c r="D54" s="1844">
        <f t="shared" si="1"/>
        <v>45610</v>
      </c>
    </row>
    <row r="55" spans="2:4" x14ac:dyDescent="0.3">
      <c r="B55" s="1306">
        <v>34.86</v>
      </c>
      <c r="C55" s="950">
        <f t="shared" si="0"/>
        <v>0.10441767068273089</v>
      </c>
      <c r="D55" s="1844">
        <f t="shared" si="1"/>
        <v>45611</v>
      </c>
    </row>
    <row r="56" spans="2:4" x14ac:dyDescent="0.3">
      <c r="B56" s="1306">
        <v>34.93</v>
      </c>
      <c r="C56" s="950">
        <f t="shared" si="0"/>
        <v>0.10220440881763526</v>
      </c>
      <c r="D56" s="1844">
        <f t="shared" si="1"/>
        <v>45614</v>
      </c>
    </row>
    <row r="57" spans="2:4" x14ac:dyDescent="0.3">
      <c r="B57" s="1306">
        <v>34.75</v>
      </c>
      <c r="C57" s="950">
        <f t="shared" si="0"/>
        <v>0.1079136690647482</v>
      </c>
      <c r="D57" s="1844">
        <f t="shared" si="1"/>
        <v>45615</v>
      </c>
    </row>
    <row r="58" spans="2:4" x14ac:dyDescent="0.3">
      <c r="B58" s="1306">
        <v>34.700000000000003</v>
      </c>
      <c r="C58" s="950">
        <f t="shared" si="0"/>
        <v>0.10951008645533133</v>
      </c>
      <c r="D58" s="1844">
        <f t="shared" si="1"/>
        <v>45616</v>
      </c>
    </row>
    <row r="59" spans="2:4" x14ac:dyDescent="0.3">
      <c r="B59" s="1306">
        <v>34.799999999999997</v>
      </c>
      <c r="C59" s="950">
        <f t="shared" si="0"/>
        <v>0.10632183908045989</v>
      </c>
      <c r="D59" s="1844">
        <f t="shared" si="1"/>
        <v>45617</v>
      </c>
    </row>
    <row r="60" spans="2:4" x14ac:dyDescent="0.3">
      <c r="B60" s="1306">
        <v>34.869999999999997</v>
      </c>
      <c r="C60" s="950">
        <f t="shared" si="0"/>
        <v>0.10410094637223977</v>
      </c>
      <c r="D60" s="1844">
        <f t="shared" si="1"/>
        <v>45618</v>
      </c>
    </row>
    <row r="61" spans="2:4" x14ac:dyDescent="0.3">
      <c r="B61" s="1306">
        <v>34.880000000000003</v>
      </c>
      <c r="C61" s="950">
        <f t="shared" si="0"/>
        <v>0.10378440366972463</v>
      </c>
      <c r="D61" s="1844">
        <f t="shared" si="1"/>
        <v>45621</v>
      </c>
    </row>
    <row r="62" spans="2:4" x14ac:dyDescent="0.3">
      <c r="B62" s="1306">
        <v>34.840000000000003</v>
      </c>
      <c r="C62" s="950">
        <f t="shared" si="0"/>
        <v>0.10505166475315719</v>
      </c>
      <c r="D62" s="1844">
        <f t="shared" si="1"/>
        <v>45622</v>
      </c>
    </row>
    <row r="63" spans="2:4" x14ac:dyDescent="0.3">
      <c r="B63" s="1306">
        <v>34.78</v>
      </c>
      <c r="C63" s="950">
        <f t="shared" si="0"/>
        <v>0.10695802185163883</v>
      </c>
      <c r="D63" s="1844">
        <f t="shared" si="1"/>
        <v>45623</v>
      </c>
    </row>
    <row r="64" spans="2:4" x14ac:dyDescent="0.3">
      <c r="B64" s="1306">
        <v>34.81</v>
      </c>
      <c r="C64" s="950">
        <f t="shared" si="0"/>
        <v>0.10600402183280666</v>
      </c>
      <c r="D64" s="1844">
        <f t="shared" si="1"/>
        <v>45624</v>
      </c>
    </row>
    <row r="65" spans="2:4" x14ac:dyDescent="0.3">
      <c r="B65" s="1306">
        <v>34.72</v>
      </c>
      <c r="C65" s="950">
        <f t="shared" si="0"/>
        <v>0.1088709677419355</v>
      </c>
      <c r="D65" s="1844">
        <f t="shared" si="1"/>
        <v>45625</v>
      </c>
    </row>
    <row r="66" spans="2:4" x14ac:dyDescent="0.3">
      <c r="B66" s="1306">
        <v>34.47</v>
      </c>
      <c r="C66" s="950">
        <f t="shared" si="0"/>
        <v>0.11691325790542506</v>
      </c>
      <c r="D66" s="1844">
        <f t="shared" si="1"/>
        <v>45628</v>
      </c>
    </row>
    <row r="67" spans="2:4" x14ac:dyDescent="0.3">
      <c r="B67" s="1306">
        <v>34.49</v>
      </c>
      <c r="C67" s="950">
        <f t="shared" si="0"/>
        <v>0.11626558422731215</v>
      </c>
      <c r="D67" s="1844">
        <f t="shared" si="1"/>
        <v>45629</v>
      </c>
    </row>
    <row r="68" spans="2:4" x14ac:dyDescent="0.3">
      <c r="B68" s="1306">
        <v>34.520000000000003</v>
      </c>
      <c r="C68" s="950">
        <f t="shared" si="0"/>
        <v>0.11529548088064878</v>
      </c>
      <c r="D68" s="1844">
        <f t="shared" si="1"/>
        <v>45630</v>
      </c>
    </row>
    <row r="69" spans="2:4" x14ac:dyDescent="0.3">
      <c r="B69" s="1306">
        <v>34.64</v>
      </c>
      <c r="C69" s="950">
        <f t="shared" ref="C69:C118" si="2">$B$2/B69-1</f>
        <v>0.11143187066974591</v>
      </c>
      <c r="D69" s="1844">
        <f t="shared" si="1"/>
        <v>45631</v>
      </c>
    </row>
    <row r="70" spans="2:4" x14ac:dyDescent="0.3">
      <c r="B70" s="1306">
        <v>34.590000000000003</v>
      </c>
      <c r="C70" s="950">
        <f t="shared" si="2"/>
        <v>0.11303845041919613</v>
      </c>
      <c r="D70" s="1844">
        <f t="shared" ref="D70:D117" si="3">WORKDAY(D69,1)</f>
        <v>45632</v>
      </c>
    </row>
    <row r="71" spans="2:4" x14ac:dyDescent="0.3">
      <c r="B71" s="1306">
        <v>34.630000000000003</v>
      </c>
      <c r="C71" s="950">
        <f t="shared" si="2"/>
        <v>0.11175281547790927</v>
      </c>
      <c r="D71" s="1844">
        <f t="shared" si="3"/>
        <v>45635</v>
      </c>
    </row>
    <row r="72" spans="2:4" x14ac:dyDescent="0.3">
      <c r="B72" s="1306">
        <v>34.64</v>
      </c>
      <c r="C72" s="950">
        <f t="shared" si="2"/>
        <v>0.11143187066974591</v>
      </c>
      <c r="D72" s="1844">
        <f t="shared" si="3"/>
        <v>45636</v>
      </c>
    </row>
    <row r="73" spans="2:4" x14ac:dyDescent="0.3">
      <c r="B73" s="1306">
        <v>34.659999999999997</v>
      </c>
      <c r="C73" s="950">
        <f t="shared" si="2"/>
        <v>0.11079053664166194</v>
      </c>
      <c r="D73" s="1844">
        <f t="shared" si="3"/>
        <v>45637</v>
      </c>
    </row>
    <row r="74" spans="2:4" x14ac:dyDescent="0.3">
      <c r="B74" s="1306">
        <v>34.65</v>
      </c>
      <c r="C74" s="950">
        <f t="shared" si="2"/>
        <v>0.11111111111111116</v>
      </c>
      <c r="D74" s="1844">
        <f t="shared" si="3"/>
        <v>45638</v>
      </c>
    </row>
    <row r="75" spans="2:4" x14ac:dyDescent="0.3">
      <c r="B75" s="1306">
        <v>34.76</v>
      </c>
      <c r="C75" s="950">
        <f t="shared" si="2"/>
        <v>0.10759493670886089</v>
      </c>
      <c r="D75" s="1844">
        <f t="shared" si="3"/>
        <v>45639</v>
      </c>
    </row>
    <row r="76" spans="2:4" x14ac:dyDescent="0.3">
      <c r="B76" s="1306">
        <v>34.83</v>
      </c>
      <c r="C76" s="950">
        <f t="shared" si="2"/>
        <v>0.10536893482629917</v>
      </c>
      <c r="D76" s="1844">
        <f t="shared" si="3"/>
        <v>45642</v>
      </c>
    </row>
    <row r="77" spans="2:4" x14ac:dyDescent="0.3">
      <c r="B77" s="1306">
        <v>34.659999999999997</v>
      </c>
      <c r="C77" s="950">
        <f t="shared" si="2"/>
        <v>0.11079053664166194</v>
      </c>
      <c r="D77" s="1844">
        <f t="shared" si="3"/>
        <v>45643</v>
      </c>
    </row>
    <row r="78" spans="2:4" x14ac:dyDescent="0.3">
      <c r="B78" s="1306">
        <v>34.75</v>
      </c>
      <c r="C78" s="950">
        <f t="shared" si="2"/>
        <v>0.1079136690647482</v>
      </c>
      <c r="D78" s="1844">
        <f t="shared" si="3"/>
        <v>45644</v>
      </c>
    </row>
    <row r="79" spans="2:4" x14ac:dyDescent="0.3">
      <c r="B79" s="1306">
        <v>34.65</v>
      </c>
      <c r="C79" s="950">
        <f t="shared" si="2"/>
        <v>0.11111111111111116</v>
      </c>
      <c r="D79" s="1844">
        <f t="shared" si="3"/>
        <v>45645</v>
      </c>
    </row>
    <row r="80" spans="2:4" x14ac:dyDescent="0.3">
      <c r="B80" s="1306">
        <v>34.78</v>
      </c>
      <c r="C80" s="950">
        <f t="shared" si="2"/>
        <v>0.10695802185163883</v>
      </c>
      <c r="D80" s="1844">
        <f t="shared" si="3"/>
        <v>45646</v>
      </c>
    </row>
    <row r="81" spans="2:4" x14ac:dyDescent="0.3">
      <c r="B81" s="1306">
        <v>34.770000000000003</v>
      </c>
      <c r="C81" s="950">
        <f t="shared" si="2"/>
        <v>0.10727638769053782</v>
      </c>
      <c r="D81" s="1844">
        <f t="shared" si="3"/>
        <v>45649</v>
      </c>
    </row>
    <row r="82" spans="2:4" x14ac:dyDescent="0.3">
      <c r="B82" s="1306">
        <v>34.85</v>
      </c>
      <c r="C82" s="950">
        <f t="shared" si="2"/>
        <v>0.10473457675753228</v>
      </c>
      <c r="D82" s="1844">
        <f t="shared" si="3"/>
        <v>45650</v>
      </c>
    </row>
    <row r="83" spans="2:4" x14ac:dyDescent="0.3">
      <c r="B83" s="1306">
        <v>34.64</v>
      </c>
      <c r="C83" s="950">
        <f t="shared" si="2"/>
        <v>0.11143187066974591</v>
      </c>
      <c r="D83" s="1844">
        <f t="shared" si="3"/>
        <v>45651</v>
      </c>
    </row>
    <row r="84" spans="2:4" x14ac:dyDescent="0.3">
      <c r="B84" s="1306">
        <v>34.700000000000003</v>
      </c>
      <c r="C84" s="950">
        <f t="shared" si="2"/>
        <v>0.10951008645533133</v>
      </c>
      <c r="D84" s="1844">
        <f t="shared" si="3"/>
        <v>45652</v>
      </c>
    </row>
    <row r="85" spans="2:4" x14ac:dyDescent="0.3">
      <c r="B85" s="1306">
        <v>34.700000000000003</v>
      </c>
      <c r="C85" s="950">
        <f t="shared" si="2"/>
        <v>0.10951008645533133</v>
      </c>
      <c r="D85" s="1844">
        <f t="shared" si="3"/>
        <v>45653</v>
      </c>
    </row>
    <row r="86" spans="2:4" x14ac:dyDescent="0.3">
      <c r="B86" s="1306">
        <v>34.83</v>
      </c>
      <c r="C86" s="950">
        <f t="shared" si="2"/>
        <v>0.10536893482629917</v>
      </c>
      <c r="D86" s="1844">
        <f t="shared" si="3"/>
        <v>45656</v>
      </c>
    </row>
    <row r="87" spans="2:4" x14ac:dyDescent="0.3">
      <c r="B87" s="1306">
        <v>35.06</v>
      </c>
      <c r="C87" s="950">
        <f t="shared" si="2"/>
        <v>9.8117512835139697E-2</v>
      </c>
      <c r="D87" s="1844">
        <f t="shared" si="3"/>
        <v>45657</v>
      </c>
    </row>
    <row r="88" spans="2:4" x14ac:dyDescent="0.3">
      <c r="B88" s="1306">
        <v>35.1</v>
      </c>
      <c r="C88" s="950">
        <f t="shared" si="2"/>
        <v>9.6866096866096818E-2</v>
      </c>
      <c r="D88" s="1844">
        <f t="shared" si="3"/>
        <v>45658</v>
      </c>
    </row>
    <row r="89" spans="2:4" x14ac:dyDescent="0.3">
      <c r="B89" s="1306">
        <v>35.17</v>
      </c>
      <c r="C89" s="950">
        <f t="shared" si="2"/>
        <v>9.4682968439010473E-2</v>
      </c>
      <c r="D89" s="1844">
        <f t="shared" si="3"/>
        <v>45659</v>
      </c>
    </row>
    <row r="90" spans="2:4" x14ac:dyDescent="0.3">
      <c r="B90" s="1306">
        <v>35.31</v>
      </c>
      <c r="C90" s="950">
        <f t="shared" si="2"/>
        <v>9.0342679127725756E-2</v>
      </c>
      <c r="D90" s="1844">
        <f t="shared" si="3"/>
        <v>45660</v>
      </c>
    </row>
    <row r="91" spans="2:4" x14ac:dyDescent="0.3">
      <c r="B91" s="1306">
        <v>35.1</v>
      </c>
      <c r="C91" s="950">
        <f t="shared" si="2"/>
        <v>9.6866096866096818E-2</v>
      </c>
      <c r="D91" s="1844">
        <f t="shared" si="3"/>
        <v>45663</v>
      </c>
    </row>
    <row r="92" spans="2:4" x14ac:dyDescent="0.3">
      <c r="B92" s="1306">
        <v>35.33</v>
      </c>
      <c r="C92" s="950">
        <f t="shared" si="2"/>
        <v>8.9725445796773329E-2</v>
      </c>
      <c r="D92" s="1844">
        <f t="shared" si="3"/>
        <v>45664</v>
      </c>
    </row>
    <row r="93" spans="2:4" x14ac:dyDescent="0.3">
      <c r="B93" s="1306">
        <v>35.53</v>
      </c>
      <c r="C93" s="950">
        <f t="shared" si="2"/>
        <v>8.35913312693497E-2</v>
      </c>
      <c r="D93" s="1844">
        <f t="shared" si="3"/>
        <v>45665</v>
      </c>
    </row>
    <row r="94" spans="2:4" x14ac:dyDescent="0.3">
      <c r="B94" s="1306">
        <v>35.51</v>
      </c>
      <c r="C94" s="950">
        <f t="shared" si="2"/>
        <v>8.4201633342720461E-2</v>
      </c>
      <c r="D94" s="1844">
        <f t="shared" si="3"/>
        <v>45666</v>
      </c>
    </row>
    <row r="95" spans="2:4" x14ac:dyDescent="0.3">
      <c r="B95" s="1306">
        <v>35.5</v>
      </c>
      <c r="C95" s="950">
        <f t="shared" si="2"/>
        <v>8.4507042253521236E-2</v>
      </c>
      <c r="D95" s="1844">
        <f t="shared" si="3"/>
        <v>45667</v>
      </c>
    </row>
    <row r="96" spans="2:4" x14ac:dyDescent="0.3">
      <c r="B96" s="1306">
        <v>35.64</v>
      </c>
      <c r="C96" s="950">
        <f t="shared" si="2"/>
        <v>8.0246913580246826E-2</v>
      </c>
      <c r="D96" s="1844">
        <f t="shared" si="3"/>
        <v>45670</v>
      </c>
    </row>
    <row r="97" spans="2:4" x14ac:dyDescent="0.3">
      <c r="B97" s="1306">
        <v>35.74</v>
      </c>
      <c r="C97" s="950">
        <f t="shared" si="2"/>
        <v>7.7224398433128005E-2</v>
      </c>
      <c r="D97" s="1844">
        <f t="shared" si="3"/>
        <v>45671</v>
      </c>
    </row>
    <row r="98" spans="2:4" x14ac:dyDescent="0.3">
      <c r="B98" s="1306">
        <v>35.75</v>
      </c>
      <c r="C98" s="950">
        <f t="shared" si="2"/>
        <v>7.6923076923076872E-2</v>
      </c>
      <c r="D98" s="1844">
        <f t="shared" si="3"/>
        <v>45672</v>
      </c>
    </row>
    <row r="99" spans="2:4" x14ac:dyDescent="0.3">
      <c r="B99" s="1306">
        <v>35.79</v>
      </c>
      <c r="C99" s="950">
        <f t="shared" si="2"/>
        <v>7.5719474713607182E-2</v>
      </c>
      <c r="D99" s="1844">
        <f t="shared" si="3"/>
        <v>45673</v>
      </c>
    </row>
    <row r="100" spans="2:4" x14ac:dyDescent="0.3">
      <c r="B100" s="1306">
        <v>35.799999999999997</v>
      </c>
      <c r="C100" s="950">
        <f t="shared" si="2"/>
        <v>7.5418994413407825E-2</v>
      </c>
      <c r="D100" s="1844">
        <f t="shared" si="3"/>
        <v>45674</v>
      </c>
    </row>
    <row r="101" spans="2:4" x14ac:dyDescent="0.3">
      <c r="B101" s="1306">
        <v>35.76</v>
      </c>
      <c r="C101" s="950">
        <f t="shared" si="2"/>
        <v>7.6621923937360226E-2</v>
      </c>
      <c r="D101" s="1844">
        <f t="shared" si="3"/>
        <v>45677</v>
      </c>
    </row>
    <row r="102" spans="2:4" x14ac:dyDescent="0.3">
      <c r="B102" s="1306">
        <v>35.76</v>
      </c>
      <c r="C102" s="950">
        <f t="shared" si="2"/>
        <v>7.6621923937360226E-2</v>
      </c>
      <c r="D102" s="1844">
        <f t="shared" si="3"/>
        <v>45678</v>
      </c>
    </row>
    <row r="103" spans="2:4" x14ac:dyDescent="0.3">
      <c r="B103" s="1306">
        <v>35.799999999999997</v>
      </c>
      <c r="C103" s="950">
        <f t="shared" si="2"/>
        <v>7.5418994413407825E-2</v>
      </c>
      <c r="D103" s="1844">
        <f t="shared" si="3"/>
        <v>45679</v>
      </c>
    </row>
    <row r="104" spans="2:4" x14ac:dyDescent="0.3">
      <c r="B104" s="1306">
        <v>35.799999999999997</v>
      </c>
      <c r="C104" s="950">
        <f t="shared" si="2"/>
        <v>7.5418994413407825E-2</v>
      </c>
      <c r="D104" s="1844">
        <f t="shared" si="3"/>
        <v>45680</v>
      </c>
    </row>
    <row r="105" spans="2:4" x14ac:dyDescent="0.3">
      <c r="B105" s="108">
        <v>35.76</v>
      </c>
      <c r="C105" s="950">
        <f t="shared" si="2"/>
        <v>7.6621923937360226E-2</v>
      </c>
      <c r="D105" s="1844">
        <f t="shared" si="3"/>
        <v>45681</v>
      </c>
    </row>
    <row r="106" spans="2:4" x14ac:dyDescent="0.3">
      <c r="B106" s="108">
        <v>35.76</v>
      </c>
      <c r="C106" s="950">
        <f t="shared" si="2"/>
        <v>7.6621923937360226E-2</v>
      </c>
      <c r="D106" s="1844">
        <f t="shared" si="3"/>
        <v>45684</v>
      </c>
    </row>
    <row r="107" spans="2:4" x14ac:dyDescent="0.3">
      <c r="B107" s="108">
        <v>35.83</v>
      </c>
      <c r="C107" s="950">
        <f t="shared" si="2"/>
        <v>7.4518559866034062E-2</v>
      </c>
      <c r="D107" s="1844">
        <f t="shared" si="3"/>
        <v>45685</v>
      </c>
    </row>
    <row r="108" spans="2:4" x14ac:dyDescent="0.3">
      <c r="B108" s="108">
        <v>35.79</v>
      </c>
      <c r="C108" s="950">
        <f t="shared" si="2"/>
        <v>7.5719474713607182E-2</v>
      </c>
      <c r="D108" s="1844">
        <f t="shared" si="3"/>
        <v>45686</v>
      </c>
    </row>
    <row r="109" spans="2:4" x14ac:dyDescent="0.3">
      <c r="B109" s="108">
        <v>35.799999999999997</v>
      </c>
      <c r="C109" s="950">
        <f t="shared" si="2"/>
        <v>7.5418994413407825E-2</v>
      </c>
      <c r="D109" s="1844">
        <f t="shared" si="3"/>
        <v>45687</v>
      </c>
    </row>
    <row r="110" spans="2:4" x14ac:dyDescent="0.3">
      <c r="B110" s="108">
        <v>35.79</v>
      </c>
      <c r="C110" s="950">
        <f t="shared" si="2"/>
        <v>7.5719474713607182E-2</v>
      </c>
      <c r="D110" s="1844">
        <f t="shared" si="3"/>
        <v>45688</v>
      </c>
    </row>
    <row r="111" spans="2:4" x14ac:dyDescent="0.3">
      <c r="B111" s="108">
        <v>35.81</v>
      </c>
      <c r="C111" s="950">
        <f t="shared" si="2"/>
        <v>7.5118681932420994E-2</v>
      </c>
      <c r="D111" s="1844">
        <f t="shared" si="3"/>
        <v>45691</v>
      </c>
    </row>
    <row r="112" spans="2:4" x14ac:dyDescent="0.3">
      <c r="B112" s="108">
        <v>35.770000000000003</v>
      </c>
      <c r="C112" s="950">
        <f t="shared" si="2"/>
        <v>7.6320939334637794E-2</v>
      </c>
      <c r="D112" s="1844">
        <f t="shared" si="3"/>
        <v>45692</v>
      </c>
    </row>
    <row r="113" spans="1:4" x14ac:dyDescent="0.3">
      <c r="B113" s="108">
        <v>35.72</v>
      </c>
      <c r="C113" s="950">
        <f t="shared" si="2"/>
        <v>7.7827547592385304E-2</v>
      </c>
      <c r="D113" s="1844">
        <f t="shared" si="3"/>
        <v>45693</v>
      </c>
    </row>
    <row r="114" spans="1:4" x14ac:dyDescent="0.3">
      <c r="B114" s="108">
        <v>35.74</v>
      </c>
      <c r="C114" s="950">
        <f t="shared" si="2"/>
        <v>7.7224398433128005E-2</v>
      </c>
      <c r="D114" s="1844">
        <f t="shared" si="3"/>
        <v>45694</v>
      </c>
    </row>
    <row r="115" spans="1:4" x14ac:dyDescent="0.3">
      <c r="B115" s="108">
        <v>35.729999999999997</v>
      </c>
      <c r="C115" s="950">
        <f t="shared" si="2"/>
        <v>7.7525888609012217E-2</v>
      </c>
      <c r="D115" s="1844">
        <f t="shared" si="3"/>
        <v>45695</v>
      </c>
    </row>
    <row r="116" spans="1:4" x14ac:dyDescent="0.3">
      <c r="B116" s="108">
        <v>35.74</v>
      </c>
      <c r="C116" s="950">
        <f t="shared" si="2"/>
        <v>7.7224398433128005E-2</v>
      </c>
      <c r="D116" s="1844">
        <f t="shared" si="3"/>
        <v>45698</v>
      </c>
    </row>
    <row r="117" spans="1:4" x14ac:dyDescent="0.3">
      <c r="B117" s="108">
        <v>35.700000000000003</v>
      </c>
      <c r="C117" s="950">
        <f t="shared" si="2"/>
        <v>7.8431372549019551E-2</v>
      </c>
      <c r="D117" s="1844">
        <f t="shared" si="3"/>
        <v>45699</v>
      </c>
    </row>
    <row r="118" spans="1:4" x14ac:dyDescent="0.3">
      <c r="A118" s="1844">
        <f ca="1">TODAY()</f>
        <v>45709</v>
      </c>
      <c r="B118" s="108">
        <v>35.78</v>
      </c>
      <c r="C118" s="950">
        <f t="shared" si="2"/>
        <v>7.6020122973728288E-2</v>
      </c>
      <c r="D118" s="1844">
        <f ca="1">A118</f>
        <v>45709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C01F9-392F-4CE5-9081-AA75E6CEE160}">
  <sheetPr codeName="Sheet6">
    <tabColor rgb="FF0000FF"/>
  </sheetPr>
  <dimension ref="A1:S283"/>
  <sheetViews>
    <sheetView showGridLines="0" workbookViewId="0">
      <selection activeCell="J22" sqref="J22"/>
    </sheetView>
  </sheetViews>
  <sheetFormatPr defaultRowHeight="12" outlineLevelRow="1" outlineLevelCol="1" x14ac:dyDescent="0.3"/>
  <cols>
    <col min="1" max="1" width="40.77734375" customWidth="1"/>
    <col min="2" max="2" width="10.44140625" customWidth="1" outlineLevel="1"/>
    <col min="3" max="4" width="9.33203125" customWidth="1"/>
    <col min="6" max="7" width="10.44140625" bestFit="1" customWidth="1"/>
  </cols>
  <sheetData>
    <row r="1" spans="1:19" ht="21.5" thickBot="1" x14ac:dyDescent="0.55000000000000004">
      <c r="A1" s="38" t="s">
        <v>13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</row>
    <row r="2" spans="1:19" x14ac:dyDescent="0.3">
      <c r="A2" s="39" t="s">
        <v>1336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x14ac:dyDescent="0.3">
      <c r="A3" s="40" t="s">
        <v>15</v>
      </c>
      <c r="B3" s="481"/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</row>
    <row r="4" spans="1:19" x14ac:dyDescent="0.3">
      <c r="A4" s="1124"/>
    </row>
    <row r="5" spans="1:19" x14ac:dyDescent="0.3">
      <c r="A5" s="200" t="s">
        <v>3220</v>
      </c>
      <c r="B5" s="201"/>
      <c r="C5" s="201"/>
      <c r="D5" s="201"/>
    </row>
    <row r="6" spans="1:19" x14ac:dyDescent="0.3">
      <c r="A6" s="202" t="s">
        <v>3221</v>
      </c>
      <c r="B6" s="1687">
        <v>35.78</v>
      </c>
      <c r="C6" s="203" cm="1">
        <f t="array" ref="C6">_xll.FDS("FYBR-US","FG_PRICE(NOW)")</f>
        <v>24.22</v>
      </c>
      <c r="D6" s="203"/>
    </row>
    <row r="7" spans="1:19" x14ac:dyDescent="0.3">
      <c r="A7" s="204" t="s">
        <v>3222</v>
      </c>
      <c r="B7" s="1279">
        <v>260</v>
      </c>
      <c r="C7" s="1277"/>
      <c r="D7" s="206"/>
    </row>
    <row r="8" spans="1:19" x14ac:dyDescent="0.3">
      <c r="A8" s="211" t="s">
        <v>3223</v>
      </c>
      <c r="B8" s="297">
        <f>+B6*B7</f>
        <v>9302.8000000000011</v>
      </c>
      <c r="C8" s="1278"/>
      <c r="H8" s="208"/>
    </row>
    <row r="9" spans="1:19" x14ac:dyDescent="0.3">
      <c r="A9" s="204" t="s">
        <v>2219</v>
      </c>
      <c r="B9" s="208">
        <f>+'Model Main'!EW196</f>
        <v>11561</v>
      </c>
      <c r="C9" s="209"/>
      <c r="D9" s="207"/>
    </row>
    <row r="10" spans="1:19" x14ac:dyDescent="0.3">
      <c r="A10" s="204" t="s">
        <v>150</v>
      </c>
      <c r="B10" s="208">
        <f>+'Model Main'!EW197</f>
        <v>750</v>
      </c>
      <c r="C10" s="205"/>
      <c r="D10" s="210"/>
      <c r="E10" s="76">
        <f>B9-B10</f>
        <v>10811</v>
      </c>
    </row>
    <row r="11" spans="1:19" x14ac:dyDescent="0.3">
      <c r="A11" s="211" t="s">
        <v>2921</v>
      </c>
      <c r="B11" s="1827">
        <f>+B8+B9-B10</f>
        <v>20113.800000000003</v>
      </c>
      <c r="C11" s="205"/>
      <c r="D11" s="212"/>
    </row>
    <row r="12" spans="1:19" x14ac:dyDescent="0.3">
      <c r="A12" s="204" t="s">
        <v>3224</v>
      </c>
      <c r="B12" s="297">
        <v>0</v>
      </c>
      <c r="C12" s="205"/>
      <c r="D12" s="213"/>
      <c r="J12" s="76"/>
      <c r="K12" s="76"/>
    </row>
    <row r="13" spans="1:19" ht="12.5" thickBot="1" x14ac:dyDescent="0.35">
      <c r="A13" s="211" t="s">
        <v>3225</v>
      </c>
      <c r="B13" s="214">
        <f>+B11-B12</f>
        <v>20113.800000000003</v>
      </c>
      <c r="C13" s="205"/>
      <c r="D13" s="215"/>
      <c r="J13" s="76"/>
      <c r="K13" s="76"/>
    </row>
    <row r="14" spans="1:19" ht="12.5" thickTop="1" x14ac:dyDescent="0.3">
      <c r="A14" s="216" t="s">
        <v>3226</v>
      </c>
      <c r="B14" s="217">
        <f>+AMTTargetPrice/B6-1</f>
        <v>7.6020122973728288E-2</v>
      </c>
      <c r="C14" s="205"/>
      <c r="D14" s="215"/>
      <c r="J14" s="474"/>
      <c r="K14" s="474"/>
    </row>
    <row r="15" spans="1:19" x14ac:dyDescent="0.3">
      <c r="A15" s="204" t="s">
        <v>3227</v>
      </c>
      <c r="B15" s="218">
        <v>38.5</v>
      </c>
      <c r="C15" s="205"/>
      <c r="D15" s="219"/>
    </row>
    <row r="17" spans="1:7" x14ac:dyDescent="0.3">
      <c r="A17" s="200" t="s">
        <v>3228</v>
      </c>
      <c r="B17" s="201"/>
      <c r="C17" s="201"/>
      <c r="D17" s="220"/>
      <c r="E17" s="201"/>
      <c r="F17" s="201"/>
      <c r="G17" s="201"/>
    </row>
    <row r="18" spans="1:7" x14ac:dyDescent="0.3">
      <c r="A18" s="221"/>
      <c r="B18" s="221"/>
      <c r="C18" s="221"/>
      <c r="D18" s="219"/>
      <c r="E18" s="222"/>
      <c r="F18" s="222"/>
      <c r="G18" s="5"/>
    </row>
    <row r="19" spans="1:7" x14ac:dyDescent="0.3">
      <c r="A19" s="223"/>
      <c r="B19" s="224">
        <v>2023</v>
      </c>
      <c r="C19" s="226">
        <f>B19+1</f>
        <v>2024</v>
      </c>
      <c r="D19" s="225">
        <f>C19+1</f>
        <v>2025</v>
      </c>
      <c r="E19" s="225">
        <f>D19+1</f>
        <v>2026</v>
      </c>
      <c r="F19" s="225">
        <f>E19+1</f>
        <v>2027</v>
      </c>
    </row>
    <row r="20" spans="1:7" x14ac:dyDescent="0.3">
      <c r="A20" s="205" t="s">
        <v>3229</v>
      </c>
      <c r="B20" s="227">
        <f>+$B$13/'Model Main'!ES$18</f>
        <v>3.4974439227960361</v>
      </c>
      <c r="C20" s="227">
        <f>+$B$13/'Model Main'!EX$18</f>
        <v>3.387872662961092</v>
      </c>
      <c r="D20" s="227">
        <f>+$B$13/'Model Main'!FC$18</f>
        <v>3.3407058691901623</v>
      </c>
      <c r="E20" s="227">
        <f>+$B$13/'Model Main'!FD$18</f>
        <v>3.2305111029145972</v>
      </c>
      <c r="F20" s="227">
        <f>+$B$13/'Model Main'!FE$18</f>
        <v>3.0924016998403694</v>
      </c>
    </row>
    <row r="21" spans="1:7" x14ac:dyDescent="0.3">
      <c r="A21" s="205" t="s">
        <v>2714</v>
      </c>
      <c r="B21" s="227">
        <f>+$B$13/'Model Main'!ES$48</f>
        <v>9.4564174894217228</v>
      </c>
      <c r="C21" s="227">
        <f>+$B$13/'Model Main'!EX$48</f>
        <v>8.9354953354064879</v>
      </c>
      <c r="D21" s="227">
        <f>+$B$13/'Model Main'!FC$48</f>
        <v>8.323682152234964</v>
      </c>
      <c r="E21" s="227">
        <f>+$B$13/'Model Main'!FD$48</f>
        <v>7.5135233587401196</v>
      </c>
      <c r="F21" s="227">
        <f>+$B$13/'Model Main'!FE$48</f>
        <v>6.7183135908093616</v>
      </c>
    </row>
    <row r="22" spans="1:7" x14ac:dyDescent="0.3">
      <c r="A22" s="205" t="s">
        <v>3230</v>
      </c>
      <c r="B22" s="227">
        <f>+$B$13/'Model Main'!ES$69</f>
        <v>40.881707317073179</v>
      </c>
      <c r="C22" s="227">
        <f>+$B$13/'Model Main'!EX$69</f>
        <v>56.979603399433437</v>
      </c>
      <c r="D22" s="227">
        <f>+$B$13/'Model Main'!FC$69</f>
        <v>46.182593521305712</v>
      </c>
      <c r="E22" s="227">
        <f>+$B$13/'Model Main'!FD$69</f>
        <v>29.438173507767512</v>
      </c>
      <c r="F22" s="227">
        <f>+$B$13/'Model Main'!FE$69</f>
        <v>19.135363798608182</v>
      </c>
    </row>
    <row r="23" spans="1:7" x14ac:dyDescent="0.3">
      <c r="A23" s="205" t="s">
        <v>2715</v>
      </c>
      <c r="B23" s="227">
        <f>+$B$13/('Model Main'!ES48+'Model Main'!ES107)</f>
        <v>-18.555166051660521</v>
      </c>
      <c r="C23" s="227">
        <f>+$B$13/('Model Main'!EX48+'Model Main'!EX107)</f>
        <v>-37.807894736842108</v>
      </c>
      <c r="D23" s="227">
        <f>+$B$13/('Model Main'!FC48+'Model Main'!FC107)</f>
        <v>-25.853434177227594</v>
      </c>
      <c r="E23" s="227">
        <f>+$B$13/('Model Main'!FD48+'Model Main'!FD107)</f>
        <v>-49.607924640061768</v>
      </c>
      <c r="F23" s="227">
        <f>+$B$13/('Model Main'!FE48+'Model Main'!FE107)</f>
        <v>19.287249930678122</v>
      </c>
    </row>
    <row r="24" spans="1:7" hidden="1" outlineLevel="1" x14ac:dyDescent="0.3">
      <c r="A24" s="205" t="s">
        <v>3231</v>
      </c>
      <c r="B24" s="227">
        <f>+$B$6/'Model Main'!ES134</f>
        <v>-4.7022378508817084</v>
      </c>
      <c r="C24" s="227">
        <f>+$B$6/'Model Main'!EX134</f>
        <v>-5.36380748701374</v>
      </c>
      <c r="D24" s="227">
        <f>+$B$6/'Model Main'!FC134</f>
        <v>-4.7692412489011184</v>
      </c>
      <c r="E24" s="227">
        <f>+$B$6/'Model Main'!FD134</f>
        <v>-5.5495234185453057</v>
      </c>
      <c r="F24" s="227">
        <f>+$B$6/'Model Main'!FE134</f>
        <v>-43.268195458414709</v>
      </c>
    </row>
    <row r="25" spans="1:7" hidden="1" outlineLevel="1" x14ac:dyDescent="0.3">
      <c r="A25" s="205" t="s">
        <v>3232</v>
      </c>
      <c r="B25" s="258">
        <f>1/B24</f>
        <v>-0.21266469959882861</v>
      </c>
      <c r="C25" s="258">
        <f>1/C24</f>
        <v>-0.18643472988564372</v>
      </c>
      <c r="D25" s="258">
        <f t="shared" ref="D25:F25" si="0">1/D24</f>
        <v>-0.20967695862112451</v>
      </c>
      <c r="E25" s="258">
        <f t="shared" si="0"/>
        <v>-0.1801956536768935</v>
      </c>
      <c r="F25" s="258">
        <f t="shared" si="0"/>
        <v>-2.31116641081347E-2</v>
      </c>
    </row>
    <row r="26" spans="1:7" collapsed="1" x14ac:dyDescent="0.3">
      <c r="A26" s="205" t="s">
        <v>3233</v>
      </c>
      <c r="B26" s="227">
        <f>+($B$9-$B$10)/'Model Main'!ES48</f>
        <v>5.0827456511518569</v>
      </c>
      <c r="C26" s="227">
        <f>+($B$9-$B$10)/'Model Main'!EX48</f>
        <v>4.8027543314082628</v>
      </c>
      <c r="D26" s="227">
        <f>+($B$9-$B$10)/'Model Main'!FC48</f>
        <v>4.4739098403987398</v>
      </c>
      <c r="E26" s="227">
        <f>+($B$9-$B$10)/'Model Main'!FD48</f>
        <v>4.0384562355864837</v>
      </c>
      <c r="F26" s="227">
        <f>+($B$9-$B$10)/'Model Main'!FE48</f>
        <v>3.6110376075251813</v>
      </c>
    </row>
    <row r="28" spans="1:7" hidden="1" x14ac:dyDescent="0.3">
      <c r="A28" s="200" t="s">
        <v>3184</v>
      </c>
      <c r="B28" s="201"/>
      <c r="C28" s="201"/>
      <c r="D28" s="220"/>
      <c r="E28" s="201"/>
      <c r="F28" s="201"/>
      <c r="G28" s="201"/>
    </row>
    <row r="29" spans="1:7" hidden="1" x14ac:dyDescent="0.3"/>
    <row r="30" spans="1:7" hidden="1" x14ac:dyDescent="0.3"/>
    <row r="31" spans="1:7" hidden="1" x14ac:dyDescent="0.3">
      <c r="A31" s="725" t="s">
        <v>1258</v>
      </c>
      <c r="B31" s="76">
        <f>Drivers!FD90</f>
        <v>10023</v>
      </c>
      <c r="D31">
        <v>10000</v>
      </c>
      <c r="F31" s="885">
        <v>12000</v>
      </c>
      <c r="G31" s="885">
        <v>10000</v>
      </c>
    </row>
    <row r="32" spans="1:7" hidden="1" x14ac:dyDescent="0.3">
      <c r="A32" s="995" t="s">
        <v>1259</v>
      </c>
      <c r="B32" s="901">
        <f>Analysis!B3341</f>
        <v>3842.4056800779617</v>
      </c>
      <c r="D32">
        <v>4000</v>
      </c>
      <c r="F32" s="885">
        <v>3500</v>
      </c>
      <c r="G32" s="885">
        <f>F32</f>
        <v>3500</v>
      </c>
    </row>
    <row r="33" spans="1:8" hidden="1" x14ac:dyDescent="0.3">
      <c r="A33" s="998" t="s">
        <v>1260</v>
      </c>
      <c r="B33" s="886">
        <f>B31*B32/1000</f>
        <v>38512.43213142141</v>
      </c>
      <c r="D33" s="886">
        <f>D31*D32/1000</f>
        <v>40000</v>
      </c>
      <c r="F33" s="886">
        <f>F31*F32/1000</f>
        <v>42000</v>
      </c>
      <c r="G33" s="886">
        <f>G31*G32/1000</f>
        <v>35000</v>
      </c>
      <c r="H33" s="887"/>
    </row>
    <row r="34" spans="1:8" hidden="1" x14ac:dyDescent="0.3">
      <c r="A34" s="994" t="s">
        <v>1261</v>
      </c>
      <c r="B34" s="890" t="e">
        <f>B33/B43</f>
        <v>#REF!</v>
      </c>
      <c r="F34" s="885"/>
      <c r="G34" s="885"/>
    </row>
    <row r="35" spans="1:8" hidden="1" x14ac:dyDescent="0.3">
      <c r="A35" s="998"/>
      <c r="F35" s="885"/>
      <c r="G35" s="885"/>
    </row>
    <row r="36" spans="1:8" hidden="1" x14ac:dyDescent="0.3">
      <c r="A36" s="725" t="s">
        <v>1262</v>
      </c>
      <c r="B36" s="76">
        <f>Drivers!FD94</f>
        <v>5694.7594999999965</v>
      </c>
      <c r="F36" s="885">
        <f>15400-F31</f>
        <v>3400</v>
      </c>
      <c r="G36" s="885">
        <f>15400-G31</f>
        <v>5400</v>
      </c>
    </row>
    <row r="37" spans="1:8" hidden="1" x14ac:dyDescent="0.3">
      <c r="A37" s="995" t="s">
        <v>1259</v>
      </c>
      <c r="B37" s="901" t="e">
        <f>#REF!*4.5</f>
        <v>#REF!</v>
      </c>
      <c r="F37" s="885">
        <v>250</v>
      </c>
      <c r="G37" s="885">
        <f>F37</f>
        <v>250</v>
      </c>
    </row>
    <row r="38" spans="1:8" hidden="1" x14ac:dyDescent="0.3">
      <c r="A38" s="998" t="s">
        <v>1263</v>
      </c>
      <c r="B38" s="886" t="e">
        <f>B36*B37/1000</f>
        <v>#REF!</v>
      </c>
      <c r="F38" s="886">
        <f>F36*F37/1000</f>
        <v>850</v>
      </c>
      <c r="G38" s="886">
        <f>G36*G37/1000</f>
        <v>1350</v>
      </c>
    </row>
    <row r="39" spans="1:8" hidden="1" x14ac:dyDescent="0.3">
      <c r="A39" s="994" t="s">
        <v>1261</v>
      </c>
      <c r="B39" s="890" t="e">
        <f>B38/B43</f>
        <v>#REF!</v>
      </c>
      <c r="F39" s="885"/>
      <c r="G39" s="885"/>
    </row>
    <row r="40" spans="1:8" hidden="1" x14ac:dyDescent="0.3">
      <c r="A40" s="994"/>
      <c r="F40" s="885"/>
      <c r="G40" s="885"/>
    </row>
    <row r="41" spans="1:8" hidden="1" x14ac:dyDescent="0.3">
      <c r="A41" s="995" t="s">
        <v>1264</v>
      </c>
      <c r="B41" s="887">
        <f>B33</f>
        <v>38512.43213142141</v>
      </c>
      <c r="D41" s="887">
        <f>D33</f>
        <v>40000</v>
      </c>
      <c r="F41" s="885">
        <f>F33</f>
        <v>42000</v>
      </c>
      <c r="G41" s="885">
        <f>G33</f>
        <v>35000</v>
      </c>
    </row>
    <row r="42" spans="1:8" hidden="1" x14ac:dyDescent="0.3">
      <c r="A42" s="995" t="s">
        <v>1265</v>
      </c>
      <c r="B42" s="887" t="e">
        <f>B38</f>
        <v>#REF!</v>
      </c>
      <c r="D42" s="887">
        <f>D38</f>
        <v>0</v>
      </c>
      <c r="F42" s="885">
        <f>F38</f>
        <v>850</v>
      </c>
      <c r="G42" s="885">
        <f>G38</f>
        <v>1350</v>
      </c>
    </row>
    <row r="43" spans="1:8" hidden="1" x14ac:dyDescent="0.3">
      <c r="A43" s="998" t="s">
        <v>1266</v>
      </c>
      <c r="B43" s="921" t="e">
        <f>SUM(B41:B42)</f>
        <v>#REF!</v>
      </c>
      <c r="D43" s="921">
        <f>SUM(D41:D42)</f>
        <v>40000</v>
      </c>
      <c r="F43" s="886">
        <f>SUM(F41:F42)</f>
        <v>42850</v>
      </c>
      <c r="G43" s="886">
        <f>SUM(G41:G42)</f>
        <v>36350</v>
      </c>
      <c r="H43" s="887"/>
    </row>
    <row r="44" spans="1:8" hidden="1" x14ac:dyDescent="0.3">
      <c r="A44" s="998"/>
    </row>
    <row r="45" spans="1:8" hidden="1" x14ac:dyDescent="0.3">
      <c r="A45" s="995" t="s">
        <v>1267</v>
      </c>
      <c r="B45" s="76">
        <f>-(B9-B10)</f>
        <v>-10811</v>
      </c>
      <c r="D45" s="76">
        <f>B45</f>
        <v>-10811</v>
      </c>
      <c r="F45" s="76">
        <f>D45</f>
        <v>-10811</v>
      </c>
      <c r="G45" s="76">
        <f>F45</f>
        <v>-10811</v>
      </c>
    </row>
    <row r="46" spans="1:8" hidden="1" x14ac:dyDescent="0.3">
      <c r="A46" s="995" t="s">
        <v>1268</v>
      </c>
      <c r="B46" s="885">
        <f>SUM('Model Main'!ES132:FD132)-'Model Main'!EO132</f>
        <v>-9660.161983190892</v>
      </c>
      <c r="D46" s="887">
        <f>B46</f>
        <v>-9660.161983190892</v>
      </c>
      <c r="F46" s="887">
        <f>SUM('Model Main'!ES132:FE132)-'Model Main'!EO132-'Model Main'!EP132-(F31-Drivers!FE90)*1100/1000</f>
        <v>-11146.225507571389</v>
      </c>
      <c r="G46" s="887">
        <f>SUM('Model Main'!ES132:FD132)-SUM('Model Main'!EO132:EP132)</f>
        <v>-8879.161983190892</v>
      </c>
      <c r="H46" s="887"/>
    </row>
    <row r="47" spans="1:8" hidden="1" x14ac:dyDescent="0.3">
      <c r="A47" s="998"/>
    </row>
    <row r="48" spans="1:8" hidden="1" x14ac:dyDescent="0.3">
      <c r="A48" s="998" t="s">
        <v>1269</v>
      </c>
      <c r="B48" s="921" t="e">
        <f>B43+B45+B46</f>
        <v>#REF!</v>
      </c>
      <c r="D48" s="921">
        <f>D43+D45+D46</f>
        <v>19528.83801680911</v>
      </c>
      <c r="F48" s="921">
        <f>F43+F45+F46</f>
        <v>20892.774492428609</v>
      </c>
      <c r="G48" s="921">
        <f>G43+G45+G46</f>
        <v>16659.83801680911</v>
      </c>
      <c r="H48" s="887"/>
    </row>
    <row r="49" spans="1:7" hidden="1" x14ac:dyDescent="0.3">
      <c r="A49" s="998"/>
    </row>
    <row r="50" spans="1:7" hidden="1" x14ac:dyDescent="0.3">
      <c r="A50" s="995" t="s">
        <v>104</v>
      </c>
      <c r="B50" s="76">
        <f>B7</f>
        <v>260</v>
      </c>
      <c r="D50" s="76">
        <f>B50</f>
        <v>260</v>
      </c>
      <c r="F50" s="76">
        <f>D50</f>
        <v>260</v>
      </c>
      <c r="G50" s="76">
        <f>F50</f>
        <v>260</v>
      </c>
    </row>
    <row r="51" spans="1:7" hidden="1" x14ac:dyDescent="0.3">
      <c r="A51" s="998" t="s">
        <v>1270</v>
      </c>
      <c r="B51" s="1084" t="e">
        <f>B48/B50</f>
        <v>#REF!</v>
      </c>
      <c r="D51" s="1084">
        <f>D48/D50</f>
        <v>75.110915449265804</v>
      </c>
      <c r="F51" s="1084">
        <f>F48/F50</f>
        <v>80.356824970879259</v>
      </c>
      <c r="G51" s="1084">
        <f>G48/G50</f>
        <v>64.076300064650425</v>
      </c>
    </row>
    <row r="52" spans="1:7" hidden="1" x14ac:dyDescent="0.3">
      <c r="B52" s="890" t="e">
        <f>B51/B6-1</f>
        <v>#REF!</v>
      </c>
      <c r="F52" s="146">
        <f>F51/$B$6-1</f>
        <v>1.245858719141399</v>
      </c>
      <c r="G52" s="146">
        <f>G51/$B$6-1</f>
        <v>0.79084125390303028</v>
      </c>
    </row>
    <row r="53" spans="1:7" hidden="1" outlineLevel="1" x14ac:dyDescent="0.3">
      <c r="A53" t="s">
        <v>3185</v>
      </c>
      <c r="B53" s="79">
        <f>+Analysis!$C$4876</f>
        <v>1006.8600000000001</v>
      </c>
    </row>
    <row r="54" spans="1:7" hidden="1" outlineLevel="1" x14ac:dyDescent="0.3">
      <c r="A54" s="177" t="s">
        <v>3186</v>
      </c>
      <c r="B54" s="76" t="e">
        <f>+#REF!-#REF!</f>
        <v>#REF!</v>
      </c>
    </row>
    <row r="55" spans="1:7" hidden="1" outlineLevel="1" x14ac:dyDescent="0.3">
      <c r="A55" s="298" t="s">
        <v>3187</v>
      </c>
      <c r="B55" s="803" t="e">
        <f>+B53+B54</f>
        <v>#REF!</v>
      </c>
    </row>
    <row r="56" spans="1:7" hidden="1" outlineLevel="1" x14ac:dyDescent="0.3">
      <c r="A56" s="177" t="s">
        <v>881</v>
      </c>
      <c r="B56" s="299">
        <v>12.5</v>
      </c>
    </row>
    <row r="57" spans="1:7" hidden="1" outlineLevel="1" x14ac:dyDescent="0.3">
      <c r="A57" s="298" t="s">
        <v>3188</v>
      </c>
      <c r="B57" s="381" t="e">
        <f>+B55*B56</f>
        <v>#REF!</v>
      </c>
    </row>
    <row r="58" spans="1:7" hidden="1" outlineLevel="1" x14ac:dyDescent="0.3"/>
    <row r="59" spans="1:7" hidden="1" outlineLevel="1" x14ac:dyDescent="0.3">
      <c r="A59" t="s">
        <v>3189</v>
      </c>
      <c r="B59" s="76">
        <f>+'Debt-old'!C156-'Debt-old'!C154</f>
        <v>1408.811255021451</v>
      </c>
    </row>
    <row r="60" spans="1:7" hidden="1" outlineLevel="1" x14ac:dyDescent="0.3">
      <c r="A60" s="177" t="s">
        <v>881</v>
      </c>
      <c r="B60" s="299">
        <v>3.5</v>
      </c>
    </row>
    <row r="61" spans="1:7" hidden="1" outlineLevel="1" x14ac:dyDescent="0.3">
      <c r="A61" s="298" t="s">
        <v>1777</v>
      </c>
      <c r="B61" s="381">
        <f>+B59*B60</f>
        <v>4930.8393925750788</v>
      </c>
      <c r="C61" s="76"/>
    </row>
    <row r="62" spans="1:7" hidden="1" outlineLevel="1" x14ac:dyDescent="0.3">
      <c r="A62" s="298"/>
    </row>
    <row r="63" spans="1:7" hidden="1" outlineLevel="1" x14ac:dyDescent="0.3">
      <c r="A63" s="177" t="s">
        <v>3190</v>
      </c>
      <c r="B63" s="76" t="e">
        <f>+B57</f>
        <v>#REF!</v>
      </c>
    </row>
    <row r="64" spans="1:7" hidden="1" outlineLevel="1" x14ac:dyDescent="0.3">
      <c r="A64" s="177" t="s">
        <v>3191</v>
      </c>
      <c r="B64" s="76">
        <f>+B61</f>
        <v>4930.8393925750788</v>
      </c>
    </row>
    <row r="65" spans="1:11" hidden="1" outlineLevel="1" x14ac:dyDescent="0.3">
      <c r="A65" s="177" t="s">
        <v>3192</v>
      </c>
      <c r="B65" s="79" t="e">
        <f>+Analysis!B4477</f>
        <v>#REF!</v>
      </c>
    </row>
    <row r="66" spans="1:11" hidden="1" outlineLevel="1" x14ac:dyDescent="0.3">
      <c r="A66" s="298" t="s">
        <v>1631</v>
      </c>
      <c r="B66" s="803" t="e">
        <f>+SUM(B63:B65)</f>
        <v>#REF!</v>
      </c>
    </row>
    <row r="67" spans="1:11" hidden="1" outlineLevel="1" x14ac:dyDescent="0.3">
      <c r="A67" s="177" t="s">
        <v>1267</v>
      </c>
      <c r="B67" s="79" t="e">
        <f>+B9-B10+Analysis!B4478</f>
        <v>#REF!</v>
      </c>
    </row>
    <row r="68" spans="1:11" hidden="1" outlineLevel="1" x14ac:dyDescent="0.3">
      <c r="A68" s="298" t="s">
        <v>744</v>
      </c>
      <c r="B68" s="803" t="e">
        <f>+B66-B67</f>
        <v>#REF!</v>
      </c>
    </row>
    <row r="69" spans="1:11" hidden="1" outlineLevel="1" x14ac:dyDescent="0.3">
      <c r="A69" s="177" t="s">
        <v>104</v>
      </c>
      <c r="B69" s="76">
        <f>+$B$7</f>
        <v>260</v>
      </c>
    </row>
    <row r="70" spans="1:11" ht="12.5" hidden="1" outlineLevel="1" thickBot="1" x14ac:dyDescent="0.35">
      <c r="A70" s="298" t="s">
        <v>3193</v>
      </c>
      <c r="B70" s="300" t="e">
        <f>+B68/B69</f>
        <v>#REF!</v>
      </c>
    </row>
    <row r="71" spans="1:11" ht="12.5" hidden="1" outlineLevel="1" thickTop="1" x14ac:dyDescent="0.3">
      <c r="A71" s="465" t="s">
        <v>3194</v>
      </c>
      <c r="B71" s="657" t="e">
        <f>+B70/B6-1</f>
        <v>#REF!</v>
      </c>
    </row>
    <row r="72" spans="1:11" hidden="1" outlineLevel="1" x14ac:dyDescent="0.3">
      <c r="A72" s="516"/>
      <c r="B72" s="114"/>
    </row>
    <row r="73" spans="1:11" hidden="1" outlineLevel="1" x14ac:dyDescent="0.3">
      <c r="A73" s="200" t="s">
        <v>3195</v>
      </c>
      <c r="B73" s="201"/>
      <c r="C73" s="201"/>
      <c r="D73" s="220"/>
      <c r="E73" s="201"/>
      <c r="F73" s="201"/>
      <c r="G73" s="201"/>
      <c r="H73" s="201"/>
      <c r="I73" s="201"/>
      <c r="J73" s="201"/>
      <c r="K73" s="201"/>
    </row>
    <row r="74" spans="1:11" hidden="1" outlineLevel="1" x14ac:dyDescent="0.3">
      <c r="A74" s="223"/>
      <c r="B74" s="224">
        <v>2021</v>
      </c>
      <c r="C74" s="225">
        <f t="shared" ref="C74:K74" si="1">B74+1</f>
        <v>2022</v>
      </c>
      <c r="D74" s="226">
        <f t="shared" si="1"/>
        <v>2023</v>
      </c>
      <c r="E74" s="225">
        <f t="shared" si="1"/>
        <v>2024</v>
      </c>
      <c r="F74" s="225">
        <f t="shared" si="1"/>
        <v>2025</v>
      </c>
      <c r="G74" s="225">
        <f t="shared" si="1"/>
        <v>2026</v>
      </c>
      <c r="H74" s="225">
        <f t="shared" si="1"/>
        <v>2027</v>
      </c>
      <c r="I74" s="225">
        <f t="shared" si="1"/>
        <v>2028</v>
      </c>
      <c r="J74" s="225">
        <f t="shared" si="1"/>
        <v>2029</v>
      </c>
      <c r="K74" s="225">
        <f t="shared" si="1"/>
        <v>2030</v>
      </c>
    </row>
    <row r="75" spans="1:11" hidden="1" outlineLevel="1" x14ac:dyDescent="0.3">
      <c r="A75" t="s">
        <v>3196</v>
      </c>
      <c r="B75" s="365">
        <f t="shared" ref="B75:G75" si="2">+B84-B79-B82</f>
        <v>1407.147104621451</v>
      </c>
      <c r="C75" s="365">
        <f t="shared" si="2"/>
        <v>989.5251305899593</v>
      </c>
      <c r="D75" s="365">
        <f t="shared" si="2"/>
        <v>965.87268443500739</v>
      </c>
      <c r="E75" s="365">
        <f t="shared" si="2"/>
        <v>954.44598302855707</v>
      </c>
      <c r="F75" s="365">
        <f t="shared" si="2"/>
        <v>902.71222646268268</v>
      </c>
      <c r="G75" s="365">
        <f t="shared" si="2"/>
        <v>882.97512839353715</v>
      </c>
      <c r="H75" s="365">
        <f>+H84-H79-H82</f>
        <v>862.67186665335464</v>
      </c>
      <c r="I75" s="365">
        <f>+I84-I79-I82</f>
        <v>755.48559636242794</v>
      </c>
      <c r="J75" s="365">
        <f>+J84-J79-J82</f>
        <v>594.56972767058528</v>
      </c>
      <c r="K75" s="365">
        <f>+K84-K79-K82</f>
        <v>413.850864149053</v>
      </c>
    </row>
    <row r="76" spans="1:11" hidden="1" outlineLevel="1" x14ac:dyDescent="0.3">
      <c r="A76" s="177" t="s">
        <v>881</v>
      </c>
      <c r="B76" s="299">
        <v>3.5</v>
      </c>
      <c r="C76" s="299">
        <f t="shared" ref="C76:K76" si="3">+B76</f>
        <v>3.5</v>
      </c>
      <c r="D76" s="299">
        <f t="shared" si="3"/>
        <v>3.5</v>
      </c>
      <c r="E76" s="299">
        <f t="shared" si="3"/>
        <v>3.5</v>
      </c>
      <c r="F76" s="299">
        <f t="shared" si="3"/>
        <v>3.5</v>
      </c>
      <c r="G76" s="299">
        <f t="shared" si="3"/>
        <v>3.5</v>
      </c>
      <c r="H76" s="299">
        <f t="shared" si="3"/>
        <v>3.5</v>
      </c>
      <c r="I76" s="299">
        <f t="shared" si="3"/>
        <v>3.5</v>
      </c>
      <c r="J76" s="299">
        <f t="shared" si="3"/>
        <v>3.5</v>
      </c>
      <c r="K76" s="299">
        <f t="shared" si="3"/>
        <v>3.5</v>
      </c>
    </row>
    <row r="77" spans="1:11" hidden="1" outlineLevel="1" x14ac:dyDescent="0.3">
      <c r="A77" s="298" t="s">
        <v>3197</v>
      </c>
      <c r="B77" s="850">
        <f t="shared" ref="B77:G77" si="4">+B75*B76</f>
        <v>4925.0148661750791</v>
      </c>
      <c r="C77" s="850">
        <f t="shared" si="4"/>
        <v>3463.3379570648576</v>
      </c>
      <c r="D77" s="850">
        <f t="shared" si="4"/>
        <v>3380.5543955225257</v>
      </c>
      <c r="E77" s="850">
        <f t="shared" si="4"/>
        <v>3340.5609405999498</v>
      </c>
      <c r="F77" s="850">
        <f t="shared" si="4"/>
        <v>3159.4927926193895</v>
      </c>
      <c r="G77" s="850">
        <f t="shared" si="4"/>
        <v>3090.4129493773798</v>
      </c>
      <c r="H77" s="850">
        <f>+H75*H76</f>
        <v>3019.3515332867414</v>
      </c>
      <c r="I77" s="850">
        <f>+I75*I76</f>
        <v>2644.1995872684979</v>
      </c>
      <c r="J77" s="850">
        <f>+J75*J76</f>
        <v>2080.9940468470486</v>
      </c>
      <c r="K77" s="850">
        <f>+K75*K76</f>
        <v>1448.4780245216855</v>
      </c>
    </row>
    <row r="78" spans="1:11" hidden="1" outlineLevel="1" x14ac:dyDescent="0.3">
      <c r="A78" s="177"/>
      <c r="B78" s="299"/>
      <c r="C78" s="544"/>
      <c r="D78" s="545"/>
      <c r="E78" s="544"/>
      <c r="F78" s="544"/>
      <c r="G78" s="544"/>
      <c r="H78" s="544"/>
      <c r="I78" s="544"/>
      <c r="J78" s="544"/>
      <c r="K78" s="544"/>
    </row>
    <row r="79" spans="1:11" hidden="1" outlineLevel="1" x14ac:dyDescent="0.3">
      <c r="A79" t="s">
        <v>3198</v>
      </c>
      <c r="B79" s="79">
        <f>+Analysis!D4876</f>
        <v>1066.188744978549</v>
      </c>
      <c r="C79" s="79">
        <f>+Analysis!E4876</f>
        <v>1074.3548319618569</v>
      </c>
      <c r="D79" s="79">
        <f>+Analysis!F4876</f>
        <v>1097.2934934899999</v>
      </c>
      <c r="E79" s="79">
        <f>+Analysis!G4876</f>
        <v>1132.0492428767229</v>
      </c>
      <c r="F79" s="79">
        <f>+Analysis!H4876</f>
        <v>1184.2006288978687</v>
      </c>
      <c r="G79" s="79">
        <f>+Analysis!I4876</f>
        <v>1238.1702444565246</v>
      </c>
      <c r="H79" s="79">
        <f>+Analysis!J4876</f>
        <v>1294.0260581739842</v>
      </c>
      <c r="I79" s="79">
        <f>+Analysis!K4876</f>
        <v>1351.8386606990343</v>
      </c>
      <c r="J79" s="79">
        <f>+Analysis!L4876</f>
        <v>1411.6813668192572</v>
      </c>
      <c r="K79" s="79">
        <f>+Analysis!M4876</f>
        <v>1473.6303215447447</v>
      </c>
    </row>
    <row r="80" spans="1:11" hidden="1" outlineLevel="1" x14ac:dyDescent="0.3">
      <c r="A80" s="177" t="s">
        <v>881</v>
      </c>
      <c r="B80" s="299">
        <v>12.5</v>
      </c>
      <c r="C80" s="299">
        <f t="shared" ref="C80:K80" si="5">+B80</f>
        <v>12.5</v>
      </c>
      <c r="D80" s="299">
        <f t="shared" si="5"/>
        <v>12.5</v>
      </c>
      <c r="E80" s="299">
        <f t="shared" si="5"/>
        <v>12.5</v>
      </c>
      <c r="F80" s="299">
        <f t="shared" si="5"/>
        <v>12.5</v>
      </c>
      <c r="G80" s="299">
        <f t="shared" si="5"/>
        <v>12.5</v>
      </c>
      <c r="H80" s="299">
        <f t="shared" si="5"/>
        <v>12.5</v>
      </c>
      <c r="I80" s="299">
        <f t="shared" si="5"/>
        <v>12.5</v>
      </c>
      <c r="J80" s="299">
        <f t="shared" si="5"/>
        <v>12.5</v>
      </c>
      <c r="K80" s="299">
        <f t="shared" si="5"/>
        <v>12.5</v>
      </c>
    </row>
    <row r="81" spans="1:11" hidden="1" outlineLevel="1" x14ac:dyDescent="0.3">
      <c r="A81" s="298" t="s">
        <v>3199</v>
      </c>
      <c r="B81" s="850">
        <f t="shared" ref="B81:K81" si="6">+B79*B80</f>
        <v>13327.359312231863</v>
      </c>
      <c r="C81" s="850">
        <f t="shared" si="6"/>
        <v>13429.435399523212</v>
      </c>
      <c r="D81" s="850">
        <f t="shared" si="6"/>
        <v>13716.168668625</v>
      </c>
      <c r="E81" s="850">
        <f t="shared" si="6"/>
        <v>14150.615535959038</v>
      </c>
      <c r="F81" s="850">
        <f t="shared" si="6"/>
        <v>14802.507861223359</v>
      </c>
      <c r="G81" s="850">
        <f t="shared" si="6"/>
        <v>15477.128055706558</v>
      </c>
      <c r="H81" s="850">
        <f t="shared" si="6"/>
        <v>16175.325727174803</v>
      </c>
      <c r="I81" s="850">
        <f t="shared" si="6"/>
        <v>16897.983258737928</v>
      </c>
      <c r="J81" s="850">
        <f t="shared" si="6"/>
        <v>17646.017085240714</v>
      </c>
      <c r="K81" s="850">
        <f t="shared" si="6"/>
        <v>18420.379019309308</v>
      </c>
    </row>
    <row r="82" spans="1:11" hidden="1" outlineLevel="1" x14ac:dyDescent="0.3">
      <c r="A82" s="177" t="s">
        <v>3200</v>
      </c>
      <c r="B82" s="80">
        <f>+Analysis!D4459</f>
        <v>1.6641503999999998</v>
      </c>
      <c r="C82" s="80">
        <f>+Analysis!E4459</f>
        <v>16.12003744818378</v>
      </c>
      <c r="D82" s="80">
        <f>+Analysis!F4459</f>
        <v>63.833822074992639</v>
      </c>
      <c r="E82" s="80">
        <f>+Analysis!G4459</f>
        <v>164.50477409471998</v>
      </c>
      <c r="F82" s="80">
        <f>+Analysis!H4459</f>
        <v>329.54174155114299</v>
      </c>
      <c r="G82" s="80">
        <f>+Analysis!I4459</f>
        <v>555.86766612619806</v>
      </c>
      <c r="H82" s="80">
        <f>+Analysis!J4459</f>
        <v>837.17839965915698</v>
      </c>
      <c r="I82" s="80">
        <f>+Analysis!K4459</f>
        <v>1164.6795715857704</v>
      </c>
      <c r="J82" s="80">
        <f>+Analysis!L4459</f>
        <v>1527.4283526046154</v>
      </c>
      <c r="K82" s="80">
        <f>+Analysis!M4459</f>
        <v>1891.0220051823994</v>
      </c>
    </row>
    <row r="83" spans="1:11" hidden="1" outlineLevel="1" x14ac:dyDescent="0.3">
      <c r="A83" s="298"/>
      <c r="B83" s="543"/>
      <c r="C83" s="544"/>
      <c r="D83" s="545"/>
      <c r="E83" s="544"/>
      <c r="F83" s="544"/>
      <c r="G83" s="544"/>
      <c r="H83" s="544"/>
      <c r="I83" s="544"/>
      <c r="J83" s="544"/>
      <c r="K83" s="544"/>
    </row>
    <row r="84" spans="1:11" hidden="1" outlineLevel="1" x14ac:dyDescent="0.3">
      <c r="A84" t="s">
        <v>3201</v>
      </c>
      <c r="B84" s="79">
        <f>+'Model Main'!EI48</f>
        <v>2475</v>
      </c>
      <c r="C84" s="79">
        <f>+'Model Main'!EN48</f>
        <v>2080</v>
      </c>
      <c r="D84" s="79">
        <f>+'Model Main'!ES48</f>
        <v>2127</v>
      </c>
      <c r="E84" s="79">
        <f>+'Model Main'!EX48</f>
        <v>2251</v>
      </c>
      <c r="F84" s="79">
        <f>+'Model Main'!FC48</f>
        <v>2416.4545969116944</v>
      </c>
      <c r="G84" s="79">
        <f>+'Model Main'!FD48</f>
        <v>2677.0130389762598</v>
      </c>
      <c r="H84" s="79">
        <f>+'Model Main'!FE48</f>
        <v>2993.8763244864958</v>
      </c>
      <c r="I84" s="79">
        <f>+'Model Main'!FF48</f>
        <v>3272.0038286472327</v>
      </c>
      <c r="J84" s="79">
        <f>+'Model Main'!FG48</f>
        <v>3533.6794470944578</v>
      </c>
      <c r="K84" s="79">
        <f>+'Model Main'!FH48</f>
        <v>3778.5031908761971</v>
      </c>
    </row>
    <row r="85" spans="1:11" hidden="1" outlineLevel="1" x14ac:dyDescent="0.3">
      <c r="A85" s="177" t="s">
        <v>881</v>
      </c>
      <c r="B85" s="549">
        <f t="shared" ref="B85:K85" si="7">+B86/B84</f>
        <v>7.374696637740179</v>
      </c>
      <c r="C85" s="549">
        <f t="shared" si="7"/>
        <v>8.1215256522058024</v>
      </c>
      <c r="D85" s="549">
        <f t="shared" si="7"/>
        <v>8.0379516051469331</v>
      </c>
      <c r="E85" s="549">
        <f t="shared" si="7"/>
        <v>7.7704026994931086</v>
      </c>
      <c r="F85" s="549">
        <f t="shared" si="7"/>
        <v>7.4332042806840875</v>
      </c>
      <c r="G85" s="549">
        <f t="shared" si="7"/>
        <v>6.9359172834602685</v>
      </c>
      <c r="H85" s="549">
        <f t="shared" si="7"/>
        <v>6.4113126863227325</v>
      </c>
      <c r="I85" s="549">
        <f t="shared" si="7"/>
        <v>5.9725427809434697</v>
      </c>
      <c r="J85" s="549">
        <f t="shared" si="7"/>
        <v>5.5825695079128224</v>
      </c>
      <c r="K85" s="549">
        <f t="shared" si="7"/>
        <v>5.2583936125308934</v>
      </c>
    </row>
    <row r="86" spans="1:11" hidden="1" outlineLevel="1" x14ac:dyDescent="0.3">
      <c r="A86" s="298" t="s">
        <v>3202</v>
      </c>
      <c r="B86" s="850">
        <f t="shared" ref="B86:G86" si="8">+SUM(B81,B77)</f>
        <v>18252.374178406943</v>
      </c>
      <c r="C86" s="850">
        <f t="shared" si="8"/>
        <v>16892.77335658807</v>
      </c>
      <c r="D86" s="850">
        <f t="shared" si="8"/>
        <v>17096.723064147525</v>
      </c>
      <c r="E86" s="850">
        <f t="shared" si="8"/>
        <v>17491.176476558987</v>
      </c>
      <c r="F86" s="850">
        <f t="shared" si="8"/>
        <v>17962.000653842748</v>
      </c>
      <c r="G86" s="850">
        <f t="shared" si="8"/>
        <v>18567.541005083938</v>
      </c>
      <c r="H86" s="850">
        <f>+SUM(H81,H77)</f>
        <v>19194.677260461543</v>
      </c>
      <c r="I86" s="850">
        <f>+SUM(I81,I77)</f>
        <v>19542.182846006424</v>
      </c>
      <c r="J86" s="850">
        <f>+SUM(J81,J77)</f>
        <v>19727.011132087762</v>
      </c>
      <c r="K86" s="850">
        <f>+SUM(K81,K77)</f>
        <v>19868.857043830994</v>
      </c>
    </row>
    <row r="87" spans="1:11" hidden="1" outlineLevel="1" x14ac:dyDescent="0.3">
      <c r="A87" s="177" t="s">
        <v>3203</v>
      </c>
      <c r="B87" s="79" t="e">
        <f>+Analysis!B4477</f>
        <v>#REF!</v>
      </c>
      <c r="C87" s="365" t="e">
        <f t="shared" ref="C87:K87" si="9">+B87</f>
        <v>#REF!</v>
      </c>
      <c r="D87" s="365" t="e">
        <f t="shared" si="9"/>
        <v>#REF!</v>
      </c>
      <c r="E87" s="365" t="e">
        <f t="shared" si="9"/>
        <v>#REF!</v>
      </c>
      <c r="F87" s="365" t="e">
        <f t="shared" si="9"/>
        <v>#REF!</v>
      </c>
      <c r="G87" s="365" t="e">
        <f t="shared" si="9"/>
        <v>#REF!</v>
      </c>
      <c r="H87" s="365" t="e">
        <f t="shared" si="9"/>
        <v>#REF!</v>
      </c>
      <c r="I87" s="365" t="e">
        <f t="shared" si="9"/>
        <v>#REF!</v>
      </c>
      <c r="J87" s="365" t="e">
        <f t="shared" si="9"/>
        <v>#REF!</v>
      </c>
      <c r="K87" s="365" t="e">
        <f t="shared" si="9"/>
        <v>#REF!</v>
      </c>
    </row>
    <row r="88" spans="1:11" hidden="1" outlineLevel="1" x14ac:dyDescent="0.3">
      <c r="A88" s="298" t="s">
        <v>1631</v>
      </c>
      <c r="B88" s="850" t="e">
        <f t="shared" ref="B88:G88" si="10">+B86+B87</f>
        <v>#REF!</v>
      </c>
      <c r="C88" s="850" t="e">
        <f t="shared" si="10"/>
        <v>#REF!</v>
      </c>
      <c r="D88" s="850" t="e">
        <f t="shared" si="10"/>
        <v>#REF!</v>
      </c>
      <c r="E88" s="850" t="e">
        <f t="shared" si="10"/>
        <v>#REF!</v>
      </c>
      <c r="F88" s="850" t="e">
        <f t="shared" si="10"/>
        <v>#REF!</v>
      </c>
      <c r="G88" s="850" t="e">
        <f t="shared" si="10"/>
        <v>#REF!</v>
      </c>
      <c r="H88" s="850" t="e">
        <f>+H86+H87</f>
        <v>#REF!</v>
      </c>
      <c r="I88" s="850" t="e">
        <f>+I86+I87</f>
        <v>#REF!</v>
      </c>
      <c r="J88" s="850" t="e">
        <f>+J86+J87</f>
        <v>#REF!</v>
      </c>
      <c r="K88" s="850" t="e">
        <f>+K86+K87</f>
        <v>#REF!</v>
      </c>
    </row>
    <row r="89" spans="1:11" hidden="1" outlineLevel="1" x14ac:dyDescent="0.3">
      <c r="A89" s="177" t="s">
        <v>3204</v>
      </c>
      <c r="B89" s="365">
        <f t="shared" ref="B89:K89" si="11">+$B$9-$B$10</f>
        <v>10811</v>
      </c>
      <c r="C89" s="365">
        <f t="shared" si="11"/>
        <v>10811</v>
      </c>
      <c r="D89" s="365">
        <f t="shared" si="11"/>
        <v>10811</v>
      </c>
      <c r="E89" s="365">
        <f t="shared" si="11"/>
        <v>10811</v>
      </c>
      <c r="F89" s="365">
        <f t="shared" si="11"/>
        <v>10811</v>
      </c>
      <c r="G89" s="365">
        <f t="shared" si="11"/>
        <v>10811</v>
      </c>
      <c r="H89" s="365">
        <f t="shared" si="11"/>
        <v>10811</v>
      </c>
      <c r="I89" s="365">
        <f t="shared" si="11"/>
        <v>10811</v>
      </c>
      <c r="J89" s="365">
        <f t="shared" si="11"/>
        <v>10811</v>
      </c>
      <c r="K89" s="365">
        <f t="shared" si="11"/>
        <v>10811</v>
      </c>
    </row>
    <row r="90" spans="1:11" hidden="1" outlineLevel="1" x14ac:dyDescent="0.3">
      <c r="A90" s="177" t="s">
        <v>3205</v>
      </c>
      <c r="B90" s="79" t="e">
        <f>+Analysis!B4478</f>
        <v>#REF!</v>
      </c>
      <c r="C90" s="365" t="e">
        <f t="shared" ref="C90:K90" si="12">+B90</f>
        <v>#REF!</v>
      </c>
      <c r="D90" s="365" t="e">
        <f t="shared" si="12"/>
        <v>#REF!</v>
      </c>
      <c r="E90" s="365" t="e">
        <f t="shared" si="12"/>
        <v>#REF!</v>
      </c>
      <c r="F90" s="365" t="e">
        <f t="shared" si="12"/>
        <v>#REF!</v>
      </c>
      <c r="G90" s="365" t="e">
        <f t="shared" si="12"/>
        <v>#REF!</v>
      </c>
      <c r="H90" s="365" t="e">
        <f t="shared" si="12"/>
        <v>#REF!</v>
      </c>
      <c r="I90" s="365" t="e">
        <f t="shared" si="12"/>
        <v>#REF!</v>
      </c>
      <c r="J90" s="365" t="e">
        <f t="shared" si="12"/>
        <v>#REF!</v>
      </c>
      <c r="K90" s="365" t="e">
        <f t="shared" si="12"/>
        <v>#REF!</v>
      </c>
    </row>
    <row r="91" spans="1:11" hidden="1" outlineLevel="1" x14ac:dyDescent="0.3">
      <c r="A91" s="298" t="s">
        <v>744</v>
      </c>
      <c r="B91" s="850" t="e">
        <f t="shared" ref="B91:G91" si="13">+B88-B89-B90</f>
        <v>#REF!</v>
      </c>
      <c r="C91" s="850" t="e">
        <f t="shared" si="13"/>
        <v>#REF!</v>
      </c>
      <c r="D91" s="850" t="e">
        <f t="shared" si="13"/>
        <v>#REF!</v>
      </c>
      <c r="E91" s="850" t="e">
        <f t="shared" si="13"/>
        <v>#REF!</v>
      </c>
      <c r="F91" s="850" t="e">
        <f t="shared" si="13"/>
        <v>#REF!</v>
      </c>
      <c r="G91" s="850" t="e">
        <f t="shared" si="13"/>
        <v>#REF!</v>
      </c>
      <c r="H91" s="850" t="e">
        <f>+H88-H89-H90</f>
        <v>#REF!</v>
      </c>
      <c r="I91" s="850" t="e">
        <f>+I88-I89-I90</f>
        <v>#REF!</v>
      </c>
      <c r="J91" s="850" t="e">
        <f>+J88-J89-J90</f>
        <v>#REF!</v>
      </c>
      <c r="K91" s="850" t="e">
        <f>+K88-K89-K90</f>
        <v>#REF!</v>
      </c>
    </row>
    <row r="92" spans="1:11" hidden="1" outlineLevel="1" x14ac:dyDescent="0.3">
      <c r="A92" s="177"/>
      <c r="B92" s="365"/>
      <c r="C92" s="365"/>
      <c r="D92" s="365"/>
      <c r="E92" s="365"/>
      <c r="F92" s="365"/>
      <c r="G92" s="365"/>
      <c r="H92" s="365"/>
      <c r="I92" s="365"/>
      <c r="J92" s="365"/>
      <c r="K92" s="365"/>
    </row>
    <row r="93" spans="1:11" hidden="1" outlineLevel="1" x14ac:dyDescent="0.3">
      <c r="A93" t="s">
        <v>299</v>
      </c>
      <c r="B93" s="365">
        <f>+B75</f>
        <v>1407.147104621451</v>
      </c>
      <c r="C93" s="365">
        <f t="shared" ref="C93:K93" si="14">+C75</f>
        <v>989.5251305899593</v>
      </c>
      <c r="D93" s="365">
        <f t="shared" si="14"/>
        <v>965.87268443500739</v>
      </c>
      <c r="E93" s="365">
        <f t="shared" si="14"/>
        <v>954.44598302855707</v>
      </c>
      <c r="F93" s="365">
        <f t="shared" si="14"/>
        <v>902.71222646268268</v>
      </c>
      <c r="G93" s="365">
        <f t="shared" si="14"/>
        <v>882.97512839353715</v>
      </c>
      <c r="H93" s="365">
        <f t="shared" si="14"/>
        <v>862.67186665335464</v>
      </c>
      <c r="I93" s="365">
        <f t="shared" si="14"/>
        <v>755.48559636242794</v>
      </c>
      <c r="J93" s="365">
        <f t="shared" si="14"/>
        <v>594.56972767058528</v>
      </c>
      <c r="K93" s="365">
        <f t="shared" si="14"/>
        <v>413.850864149053</v>
      </c>
    </row>
    <row r="94" spans="1:11" hidden="1" outlineLevel="1" x14ac:dyDescent="0.3">
      <c r="A94" s="177" t="s">
        <v>298</v>
      </c>
      <c r="B94" s="365">
        <f>+B95-B93</f>
        <v>1067.852895378549</v>
      </c>
      <c r="C94" s="365">
        <f t="shared" ref="C94:K94" si="15">+C95-C93</f>
        <v>1090.4748694100408</v>
      </c>
      <c r="D94" s="365">
        <f t="shared" si="15"/>
        <v>1161.1273155649926</v>
      </c>
      <c r="E94" s="365">
        <f t="shared" si="15"/>
        <v>1296.5540169714429</v>
      </c>
      <c r="F94" s="365">
        <f t="shared" si="15"/>
        <v>1513.7423704490116</v>
      </c>
      <c r="G94" s="365">
        <f t="shared" si="15"/>
        <v>1794.0379105827228</v>
      </c>
      <c r="H94" s="365">
        <f t="shared" si="15"/>
        <v>2131.2044578331411</v>
      </c>
      <c r="I94" s="365">
        <f t="shared" si="15"/>
        <v>2516.518232284805</v>
      </c>
      <c r="J94" s="365">
        <f t="shared" si="15"/>
        <v>2939.1097194238728</v>
      </c>
      <c r="K94" s="365">
        <f t="shared" si="15"/>
        <v>3364.6523267271441</v>
      </c>
    </row>
    <row r="95" spans="1:11" hidden="1" outlineLevel="1" x14ac:dyDescent="0.3">
      <c r="A95" s="298" t="s">
        <v>301</v>
      </c>
      <c r="B95" s="365">
        <f>+'Model Main'!EI48</f>
        <v>2475</v>
      </c>
      <c r="C95" s="365">
        <f>+'Model Main'!EN48</f>
        <v>2080</v>
      </c>
      <c r="D95" s="365">
        <f>+'Model Main'!ES48</f>
        <v>2127</v>
      </c>
      <c r="E95" s="365">
        <f>+'Model Main'!EX48</f>
        <v>2251</v>
      </c>
      <c r="F95" s="365">
        <f>+'Model Main'!FC48</f>
        <v>2416.4545969116944</v>
      </c>
      <c r="G95" s="365">
        <f>+'Model Main'!FD48</f>
        <v>2677.0130389762598</v>
      </c>
      <c r="H95" s="365">
        <f>+'Model Main'!FE48</f>
        <v>2993.8763244864958</v>
      </c>
      <c r="I95" s="365">
        <f>+'Model Main'!FF48</f>
        <v>3272.0038286472327</v>
      </c>
      <c r="J95" s="365">
        <f>+'Model Main'!FG48</f>
        <v>3533.6794470944578</v>
      </c>
      <c r="K95" s="365">
        <f>+'Model Main'!FH48</f>
        <v>3778.5031908761971</v>
      </c>
    </row>
    <row r="96" spans="1:11" hidden="1" outlineLevel="1" x14ac:dyDescent="0.3">
      <c r="A96" s="298"/>
      <c r="B96" s="475"/>
      <c r="C96" s="475"/>
      <c r="D96" s="475"/>
      <c r="E96" s="475"/>
      <c r="F96" s="475"/>
      <c r="G96" s="475"/>
      <c r="H96" s="475"/>
      <c r="I96" s="475"/>
      <c r="J96" s="475"/>
      <c r="K96" s="475"/>
    </row>
    <row r="97" spans="1:17" hidden="1" outlineLevel="1" x14ac:dyDescent="0.3">
      <c r="A97" s="177" t="s">
        <v>865</v>
      </c>
      <c r="B97" s="365">
        <f>+B93*B76+B94*B80</f>
        <v>18273.176058406942</v>
      </c>
      <c r="C97" s="365">
        <f t="shared" ref="C97:K97" si="16">+C93*C76+C94*C80</f>
        <v>17094.273824690368</v>
      </c>
      <c r="D97" s="365">
        <f t="shared" si="16"/>
        <v>17894.645840084933</v>
      </c>
      <c r="E97" s="365">
        <f t="shared" si="16"/>
        <v>19547.486152742986</v>
      </c>
      <c r="F97" s="365">
        <f t="shared" si="16"/>
        <v>22081.272423232032</v>
      </c>
      <c r="G97" s="365">
        <f t="shared" si="16"/>
        <v>25515.886831661413</v>
      </c>
      <c r="H97" s="365">
        <f t="shared" si="16"/>
        <v>29659.407256201008</v>
      </c>
      <c r="I97" s="365">
        <f t="shared" si="16"/>
        <v>34100.677490828559</v>
      </c>
      <c r="J97" s="365">
        <f t="shared" si="16"/>
        <v>38819.865539645456</v>
      </c>
      <c r="K97" s="365">
        <f t="shared" si="16"/>
        <v>43506.632108610982</v>
      </c>
    </row>
    <row r="98" spans="1:17" hidden="1" outlineLevel="1" x14ac:dyDescent="0.3">
      <c r="A98" s="177" t="s">
        <v>148</v>
      </c>
      <c r="B98" s="365">
        <f>+'Model Main'!EI198</f>
        <v>5856</v>
      </c>
      <c r="C98" s="365">
        <f>+'Model Main'!EN198</f>
        <v>7053</v>
      </c>
      <c r="D98" s="365">
        <f>+'Model Main'!ES198</f>
        <v>9061</v>
      </c>
      <c r="E98" s="365">
        <f>+'Model Main'!EX198</f>
        <v>10811</v>
      </c>
      <c r="F98" s="365">
        <f>+'Model Main'!FC198</f>
        <v>12678.206734041809</v>
      </c>
      <c r="G98" s="365">
        <f>+'Model Main'!FD198</f>
        <v>14286.955249149083</v>
      </c>
      <c r="H98" s="365">
        <f>+'Model Main'!FE198</f>
        <v>14518.571773529582</v>
      </c>
      <c r="I98" s="365">
        <f>+'Model Main'!FF198</f>
        <v>14157.400706661409</v>
      </c>
      <c r="J98" s="365">
        <f>+'Model Main'!FG198</f>
        <v>13594.7525473368</v>
      </c>
      <c r="K98" s="365">
        <f>+'Model Main'!FH198</f>
        <v>13224.761168066691</v>
      </c>
    </row>
    <row r="99" spans="1:17" hidden="1" outlineLevel="1" x14ac:dyDescent="0.3">
      <c r="A99" s="298" t="s">
        <v>754</v>
      </c>
      <c r="B99" s="850">
        <f>+B97-B98</f>
        <v>12417.176058406942</v>
      </c>
      <c r="C99" s="850">
        <f t="shared" ref="C99:K99" si="17">+C97-C98</f>
        <v>10041.273824690368</v>
      </c>
      <c r="D99" s="850">
        <f t="shared" si="17"/>
        <v>8833.6458400849333</v>
      </c>
      <c r="E99" s="850">
        <f t="shared" si="17"/>
        <v>8736.4861527429857</v>
      </c>
      <c r="F99" s="850">
        <f t="shared" si="17"/>
        <v>9403.0656891902236</v>
      </c>
      <c r="G99" s="850">
        <f t="shared" si="17"/>
        <v>11228.93158251233</v>
      </c>
      <c r="H99" s="850">
        <f t="shared" si="17"/>
        <v>15140.835482671426</v>
      </c>
      <c r="I99" s="850">
        <f t="shared" si="17"/>
        <v>19943.276784167152</v>
      </c>
      <c r="J99" s="850">
        <f t="shared" si="17"/>
        <v>25225.112992308656</v>
      </c>
      <c r="K99" s="850">
        <f t="shared" si="17"/>
        <v>30281.870940544293</v>
      </c>
    </row>
    <row r="100" spans="1:17" hidden="1" outlineLevel="1" x14ac:dyDescent="0.3">
      <c r="A100" s="177" t="s">
        <v>104</v>
      </c>
      <c r="B100" s="365">
        <f>+$B$7</f>
        <v>260</v>
      </c>
      <c r="C100" s="365">
        <f t="shared" ref="C100:K100" si="18">+$B$7</f>
        <v>260</v>
      </c>
      <c r="D100" s="365">
        <f t="shared" si="18"/>
        <v>260</v>
      </c>
      <c r="E100" s="365">
        <f t="shared" si="18"/>
        <v>260</v>
      </c>
      <c r="F100" s="365">
        <f t="shared" si="18"/>
        <v>260</v>
      </c>
      <c r="G100" s="365">
        <f t="shared" si="18"/>
        <v>260</v>
      </c>
      <c r="H100" s="365">
        <f t="shared" si="18"/>
        <v>260</v>
      </c>
      <c r="I100" s="365">
        <f t="shared" si="18"/>
        <v>260</v>
      </c>
      <c r="J100" s="365">
        <f t="shared" si="18"/>
        <v>260</v>
      </c>
      <c r="K100" s="365">
        <f t="shared" si="18"/>
        <v>260</v>
      </c>
    </row>
    <row r="101" spans="1:17" hidden="1" outlineLevel="1" x14ac:dyDescent="0.3">
      <c r="A101" s="298" t="s">
        <v>3206</v>
      </c>
      <c r="B101" s="859">
        <f>+B99/B100</f>
        <v>47.758369455411312</v>
      </c>
      <c r="C101" s="859">
        <f t="shared" ref="C101:K101" si="19">+C99/C100</f>
        <v>38.620283941116803</v>
      </c>
      <c r="D101" s="859">
        <f t="shared" si="19"/>
        <v>33.975560923403592</v>
      </c>
      <c r="E101" s="859">
        <f t="shared" si="19"/>
        <v>33.60186981824225</v>
      </c>
      <c r="F101" s="859">
        <f t="shared" si="19"/>
        <v>36.165637266116242</v>
      </c>
      <c r="G101" s="859">
        <f t="shared" si="19"/>
        <v>43.188198394278196</v>
      </c>
      <c r="H101" s="859">
        <f t="shared" si="19"/>
        <v>58.23398262565933</v>
      </c>
      <c r="I101" s="859">
        <f t="shared" si="19"/>
        <v>76.704910708335206</v>
      </c>
      <c r="J101" s="859">
        <f t="shared" si="19"/>
        <v>97.019665355033297</v>
      </c>
      <c r="K101" s="859">
        <f t="shared" si="19"/>
        <v>116.46873438670882</v>
      </c>
    </row>
    <row r="102" spans="1:17" hidden="1" collapsed="1" x14ac:dyDescent="0.3">
      <c r="F102" s="899">
        <f>F51/$B$6</f>
        <v>2.245858719141399</v>
      </c>
      <c r="G102" s="899">
        <f>G51/$B$6</f>
        <v>1.7908412539030303</v>
      </c>
    </row>
    <row r="103" spans="1:17" x14ac:dyDescent="0.3">
      <c r="A103" s="588" t="s">
        <v>3234</v>
      </c>
      <c r="B103" s="589"/>
      <c r="C103" s="589"/>
      <c r="D103" s="589"/>
      <c r="E103" s="589"/>
      <c r="F103" s="589"/>
      <c r="G103" s="589"/>
      <c r="H103" s="1184"/>
      <c r="I103" s="1184"/>
      <c r="J103" s="589"/>
      <c r="K103" s="589"/>
      <c r="L103" s="589"/>
      <c r="M103" s="589"/>
      <c r="N103" s="201"/>
      <c r="O103" s="201"/>
      <c r="P103" s="201"/>
      <c r="Q103" s="164"/>
    </row>
    <row r="104" spans="1:17" ht="24" x14ac:dyDescent="0.3">
      <c r="A104" s="653"/>
      <c r="B104" s="654">
        <v>2024</v>
      </c>
      <c r="C104" s="654">
        <f t="shared" ref="C104:I104" si="20">B104+1</f>
        <v>2025</v>
      </c>
      <c r="D104" s="654">
        <f t="shared" si="20"/>
        <v>2026</v>
      </c>
      <c r="E104" s="654">
        <f t="shared" si="20"/>
        <v>2027</v>
      </c>
      <c r="F104" s="654">
        <f t="shared" si="20"/>
        <v>2028</v>
      </c>
      <c r="G104" s="654">
        <f t="shared" si="20"/>
        <v>2029</v>
      </c>
      <c r="H104" s="654">
        <f t="shared" si="20"/>
        <v>2030</v>
      </c>
      <c r="I104" s="654">
        <f t="shared" si="20"/>
        <v>2031</v>
      </c>
      <c r="J104" s="654" t="s">
        <v>245</v>
      </c>
      <c r="K104" s="655" t="s">
        <v>3235</v>
      </c>
      <c r="L104" s="655" t="s">
        <v>3236</v>
      </c>
    </row>
    <row r="105" spans="1:17" x14ac:dyDescent="0.3">
      <c r="A105" s="551" t="s">
        <v>284</v>
      </c>
      <c r="B105" s="272">
        <f>+'Model Main'!EX53</f>
        <v>5937</v>
      </c>
      <c r="C105" s="272">
        <f>+'Model Main'!FC53</f>
        <v>6020.8233791249313</v>
      </c>
      <c r="D105" s="272">
        <f>+'Model Main'!FD53</f>
        <v>6226.1974527353104</v>
      </c>
      <c r="E105" s="272">
        <f>+'Model Main'!FE53</f>
        <v>6504.264954012373</v>
      </c>
      <c r="F105" s="272">
        <f>+'Model Main'!FF53</f>
        <v>6801.1959800304503</v>
      </c>
      <c r="G105" s="272">
        <f>+'Model Main'!FG53</f>
        <v>7077.139317382118</v>
      </c>
      <c r="H105" s="272">
        <f>+'Model Main'!FH53</f>
        <v>7331.6741550276438</v>
      </c>
      <c r="I105" s="272">
        <f>+'Model Main'!FI53</f>
        <v>7559.8689514336202</v>
      </c>
      <c r="J105" s="551">
        <f>+I105*(1+H145)</f>
        <v>7675.534946390555</v>
      </c>
      <c r="K105" s="552"/>
      <c r="L105" s="552"/>
    </row>
    <row r="106" spans="1:17" x14ac:dyDescent="0.3">
      <c r="A106" s="551" t="s">
        <v>2900</v>
      </c>
      <c r="B106" s="553">
        <f t="shared" ref="B106:I106" si="21">+B105-B107</f>
        <v>3686</v>
      </c>
      <c r="C106" s="553">
        <f t="shared" si="21"/>
        <v>3604.368782213237</v>
      </c>
      <c r="D106" s="553">
        <f t="shared" si="21"/>
        <v>3549.1844137590506</v>
      </c>
      <c r="E106" s="553">
        <f t="shared" si="21"/>
        <v>3510.3886295258771</v>
      </c>
      <c r="F106" s="553">
        <f t="shared" si="21"/>
        <v>3529.1921513832176</v>
      </c>
      <c r="G106" s="553">
        <f t="shared" si="21"/>
        <v>3543.4598702876601</v>
      </c>
      <c r="H106" s="553">
        <f t="shared" si="21"/>
        <v>3553.1709641514467</v>
      </c>
      <c r="I106" s="553">
        <f t="shared" si="21"/>
        <v>3557.9042627071058</v>
      </c>
      <c r="J106" s="554">
        <f>J105-J107</f>
        <v>3612.340197926525</v>
      </c>
      <c r="K106" s="555"/>
    </row>
    <row r="107" spans="1:17" x14ac:dyDescent="0.3">
      <c r="A107" s="551" t="s">
        <v>44</v>
      </c>
      <c r="B107" s="272">
        <f>+'Model Main'!EX61</f>
        <v>2251</v>
      </c>
      <c r="C107" s="272">
        <f>+'Model Main'!FC61</f>
        <v>2416.4545969116944</v>
      </c>
      <c r="D107" s="272">
        <f>+'Model Main'!FD61</f>
        <v>2677.0130389762598</v>
      </c>
      <c r="E107" s="272">
        <f>+'Model Main'!FE61</f>
        <v>2993.8763244864958</v>
      </c>
      <c r="F107" s="272">
        <f>+'Model Main'!FF61</f>
        <v>3272.0038286472327</v>
      </c>
      <c r="G107" s="272">
        <f>+'Model Main'!FG61</f>
        <v>3533.6794470944578</v>
      </c>
      <c r="H107" s="272">
        <f>+'Model Main'!FH61</f>
        <v>3778.5031908761971</v>
      </c>
      <c r="I107" s="272">
        <f>+'Model Main'!FI61</f>
        <v>4001.9646887265144</v>
      </c>
      <c r="J107" s="1824">
        <f>J105*(I107/I105)</f>
        <v>4063.19474846403</v>
      </c>
      <c r="K107" s="552"/>
      <c r="L107" s="552"/>
    </row>
    <row r="108" spans="1:17" x14ac:dyDescent="0.3">
      <c r="A108" s="551" t="s">
        <v>2552</v>
      </c>
      <c r="B108" s="272">
        <f>+'Model Main'!EX65</f>
        <v>1625</v>
      </c>
      <c r="C108" s="272">
        <f>+'Model Main'!FC65</f>
        <v>1876.9268695500691</v>
      </c>
      <c r="D108" s="272">
        <f>+'Model Main'!FD65</f>
        <v>1885.7573337711524</v>
      </c>
      <c r="E108" s="272">
        <f>+'Model Main'!FE65</f>
        <v>1834.7439701874368</v>
      </c>
      <c r="F108" s="272">
        <f>+'Model Main'!FF65</f>
        <v>1780.0313325127736</v>
      </c>
      <c r="G108" s="272">
        <f>+'Model Main'!FG65</f>
        <v>1745.8726553093841</v>
      </c>
      <c r="H108" s="272">
        <f>+'Model Main'!FH65</f>
        <v>1720.9729247345799</v>
      </c>
      <c r="I108" s="272">
        <f>+'Model Main'!FI65</f>
        <v>1696.3052066714506</v>
      </c>
      <c r="J108" s="554">
        <f>J112</f>
        <v>1151.3302419585832</v>
      </c>
      <c r="K108" s="555"/>
    </row>
    <row r="109" spans="1:17" x14ac:dyDescent="0.3">
      <c r="A109" s="551" t="s">
        <v>2901</v>
      </c>
      <c r="B109" s="1824">
        <f t="shared" ref="B109:J109" si="22">B107-B108</f>
        <v>626</v>
      </c>
      <c r="C109" s="1824">
        <f t="shared" si="22"/>
        <v>539.52772736162524</v>
      </c>
      <c r="D109" s="1824">
        <f t="shared" si="22"/>
        <v>791.25570520510746</v>
      </c>
      <c r="E109" s="1824">
        <f t="shared" si="22"/>
        <v>1159.132354299059</v>
      </c>
      <c r="F109" s="1824">
        <f t="shared" si="22"/>
        <v>1491.9724961344591</v>
      </c>
      <c r="G109" s="1824">
        <f t="shared" si="22"/>
        <v>1787.8067917850738</v>
      </c>
      <c r="H109" s="1824">
        <f t="shared" si="22"/>
        <v>2057.5302661416172</v>
      </c>
      <c r="I109" s="1824">
        <f t="shared" si="22"/>
        <v>2305.6594820550636</v>
      </c>
      <c r="J109" s="1824">
        <f t="shared" si="22"/>
        <v>2911.864506505447</v>
      </c>
      <c r="K109" s="555"/>
    </row>
    <row r="110" spans="1:17" x14ac:dyDescent="0.3">
      <c r="A110" s="551" t="s">
        <v>2556</v>
      </c>
      <c r="B110" s="553">
        <f t="shared" ref="B110:J110" si="23">IF(B109&gt;0,B109*$H$144,0)</f>
        <v>156.5</v>
      </c>
      <c r="C110" s="553">
        <f t="shared" si="23"/>
        <v>134.88193184040631</v>
      </c>
      <c r="D110" s="553">
        <f t="shared" si="23"/>
        <v>197.81392630127687</v>
      </c>
      <c r="E110" s="553">
        <f t="shared" si="23"/>
        <v>289.78308857476475</v>
      </c>
      <c r="F110" s="553">
        <f t="shared" si="23"/>
        <v>372.99312403361478</v>
      </c>
      <c r="G110" s="553">
        <f t="shared" si="23"/>
        <v>446.95169794626844</v>
      </c>
      <c r="H110" s="553">
        <f t="shared" si="23"/>
        <v>514.38256653540429</v>
      </c>
      <c r="I110" s="553">
        <f t="shared" si="23"/>
        <v>576.41487051376589</v>
      </c>
      <c r="J110" s="553">
        <f t="shared" si="23"/>
        <v>727.96612662636176</v>
      </c>
      <c r="K110" s="555"/>
    </row>
    <row r="111" spans="1:17" x14ac:dyDescent="0.3">
      <c r="A111" s="551" t="s">
        <v>2902</v>
      </c>
      <c r="B111" s="551">
        <f t="shared" ref="B111:J111" si="24">B109-B110</f>
        <v>469.5</v>
      </c>
      <c r="C111" s="551">
        <f t="shared" si="24"/>
        <v>404.64579552121893</v>
      </c>
      <c r="D111" s="551">
        <f t="shared" si="24"/>
        <v>593.4417789038306</v>
      </c>
      <c r="E111" s="551">
        <f t="shared" si="24"/>
        <v>869.34926572429424</v>
      </c>
      <c r="F111" s="551">
        <f t="shared" si="24"/>
        <v>1118.9793721008443</v>
      </c>
      <c r="G111" s="551">
        <f t="shared" si="24"/>
        <v>1340.8550938388053</v>
      </c>
      <c r="H111" s="551">
        <f t="shared" si="24"/>
        <v>1543.1476996062129</v>
      </c>
      <c r="I111" s="551">
        <f t="shared" si="24"/>
        <v>1729.2446115412977</v>
      </c>
      <c r="J111" s="551">
        <f t="shared" si="24"/>
        <v>2183.898379879085</v>
      </c>
      <c r="K111" s="555"/>
    </row>
    <row r="112" spans="1:17" x14ac:dyDescent="0.3">
      <c r="A112" s="551" t="s">
        <v>198</v>
      </c>
      <c r="B112" s="272">
        <f>+'Model Main'!EX107*-1</f>
        <v>2783</v>
      </c>
      <c r="C112" s="272">
        <f>+'Model Main'!FC107*-1</f>
        <v>3194.4479521510066</v>
      </c>
      <c r="D112" s="272">
        <f>+'Model Main'!FD107*-1</f>
        <v>3082.4684202674325</v>
      </c>
      <c r="E112" s="272">
        <f>+'Model Main'!FE107*-1</f>
        <v>1951.0215850968652</v>
      </c>
      <c r="F112" s="272">
        <f>+'Model Main'!FF107*-1</f>
        <v>1611.100905365895</v>
      </c>
      <c r="G112" s="272">
        <f>+'Model Main'!FG107*-1</f>
        <v>1671.0656290142479</v>
      </c>
      <c r="H112" s="272">
        <f>+'Model Main'!FH107*-1</f>
        <v>1646.8753495613416</v>
      </c>
      <c r="I112" s="272">
        <f>+'Model Main'!FI107*-1</f>
        <v>1624.2957441032881</v>
      </c>
      <c r="J112" s="551">
        <f>J121*J105</f>
        <v>1151.3302419585832</v>
      </c>
      <c r="K112" s="555"/>
    </row>
    <row r="113" spans="1:17" x14ac:dyDescent="0.3">
      <c r="A113" s="551" t="s">
        <v>2552</v>
      </c>
      <c r="B113" s="551">
        <f t="shared" ref="B113:I113" si="25">B108</f>
        <v>1625</v>
      </c>
      <c r="C113" s="551">
        <f t="shared" si="25"/>
        <v>1876.9268695500691</v>
      </c>
      <c r="D113" s="551">
        <f t="shared" si="25"/>
        <v>1885.7573337711524</v>
      </c>
      <c r="E113" s="551">
        <f t="shared" si="25"/>
        <v>1834.7439701874368</v>
      </c>
      <c r="F113" s="551">
        <f t="shared" si="25"/>
        <v>1780.0313325127736</v>
      </c>
      <c r="G113" s="551">
        <f t="shared" si="25"/>
        <v>1745.8726553093841</v>
      </c>
      <c r="H113" s="551">
        <f t="shared" si="25"/>
        <v>1720.9729247345799</v>
      </c>
      <c r="I113" s="551">
        <f t="shared" si="25"/>
        <v>1696.3052066714506</v>
      </c>
      <c r="J113" s="260">
        <f>J112</f>
        <v>1151.3302419585832</v>
      </c>
      <c r="K113" s="555"/>
    </row>
    <row r="114" spans="1:17" ht="12.5" thickBot="1" x14ac:dyDescent="0.35">
      <c r="A114" s="551" t="s">
        <v>725</v>
      </c>
      <c r="B114" s="556">
        <f t="shared" ref="B114:J114" si="26">B111-B112+B113</f>
        <v>-688.5</v>
      </c>
      <c r="C114" s="556">
        <f t="shared" si="26"/>
        <v>-912.87528707971842</v>
      </c>
      <c r="D114" s="556">
        <f t="shared" si="26"/>
        <v>-603.26930759244942</v>
      </c>
      <c r="E114" s="556">
        <f t="shared" si="26"/>
        <v>753.07165081486573</v>
      </c>
      <c r="F114" s="556">
        <f t="shared" si="26"/>
        <v>1287.909799247723</v>
      </c>
      <c r="G114" s="556">
        <f t="shared" si="26"/>
        <v>1415.6621201339415</v>
      </c>
      <c r="H114" s="556">
        <f t="shared" si="26"/>
        <v>1617.2452747794512</v>
      </c>
      <c r="I114" s="556">
        <f t="shared" si="26"/>
        <v>1801.2540741094601</v>
      </c>
      <c r="J114" s="556">
        <f t="shared" si="26"/>
        <v>2183.898379879085</v>
      </c>
      <c r="K114" s="1265" t="s">
        <v>1330</v>
      </c>
      <c r="L114" s="1265" t="s">
        <v>1330</v>
      </c>
    </row>
    <row r="115" spans="1:17" ht="12.5" thickTop="1" x14ac:dyDescent="0.3">
      <c r="A115" s="557" t="s">
        <v>2903</v>
      </c>
      <c r="B115" s="558">
        <f t="shared" ref="B115:J115" si="27">($C136-$B$252)/B107</f>
        <v>12.563491295604594</v>
      </c>
      <c r="C115" s="558">
        <f t="shared" si="27"/>
        <v>11.703269303114247</v>
      </c>
      <c r="D115" s="558">
        <f t="shared" si="27"/>
        <v>10.564169279213115</v>
      </c>
      <c r="E115" s="558">
        <f t="shared" si="27"/>
        <v>9.4460878945146636</v>
      </c>
      <c r="F115" s="558">
        <f t="shared" si="27"/>
        <v>8.6431496989103813</v>
      </c>
      <c r="G115" s="558">
        <f t="shared" si="27"/>
        <v>8.0031081850560355</v>
      </c>
      <c r="H115" s="558">
        <f t="shared" si="27"/>
        <v>7.4845560471388666</v>
      </c>
      <c r="I115" s="558">
        <f t="shared" si="27"/>
        <v>7.0666337926647724</v>
      </c>
      <c r="J115" s="558">
        <f t="shared" si="27"/>
        <v>6.9601435956513074</v>
      </c>
      <c r="K115" s="555"/>
    </row>
    <row r="116" spans="1:17" hidden="1" outlineLevel="1" x14ac:dyDescent="0.3">
      <c r="A116" s="557"/>
      <c r="B116" s="559"/>
      <c r="C116" s="559"/>
      <c r="D116" s="559"/>
      <c r="E116" s="559"/>
      <c r="F116" s="559"/>
      <c r="G116" s="559"/>
      <c r="H116" s="559"/>
      <c r="I116" s="559"/>
      <c r="J116" s="559"/>
      <c r="K116" s="555"/>
    </row>
    <row r="117" spans="1:17" hidden="1" outlineLevel="1" x14ac:dyDescent="0.3">
      <c r="A117" s="560" t="s">
        <v>2904</v>
      </c>
      <c r="B117" s="144"/>
      <c r="C117" s="144"/>
      <c r="D117" s="144"/>
      <c r="E117" s="144"/>
      <c r="F117" s="144"/>
      <c r="G117" s="144"/>
      <c r="H117" s="144"/>
      <c r="I117" s="144"/>
      <c r="J117" s="561"/>
      <c r="K117" s="555"/>
    </row>
    <row r="118" spans="1:17" hidden="1" outlineLevel="1" x14ac:dyDescent="0.3">
      <c r="A118" s="551" t="s">
        <v>2905</v>
      </c>
      <c r="B118" s="562"/>
      <c r="C118" s="562">
        <f t="shared" ref="C118:J118" si="28">C105/B105-1</f>
        <v>1.4118810699836892E-2</v>
      </c>
      <c r="D118" s="562">
        <f t="shared" si="28"/>
        <v>3.4110629174481488E-2</v>
      </c>
      <c r="E118" s="562">
        <f t="shared" si="28"/>
        <v>4.4660887064367216E-2</v>
      </c>
      <c r="F118" s="562">
        <f t="shared" si="28"/>
        <v>4.5651742067319256E-2</v>
      </c>
      <c r="G118" s="562">
        <f t="shared" si="28"/>
        <v>4.0572766637204438E-2</v>
      </c>
      <c r="H118" s="562">
        <f t="shared" si="28"/>
        <v>3.5965780272314785E-2</v>
      </c>
      <c r="I118" s="562">
        <f t="shared" si="28"/>
        <v>3.1124514207917064E-2</v>
      </c>
      <c r="J118" s="562">
        <f t="shared" si="28"/>
        <v>1.5300000000000091E-2</v>
      </c>
      <c r="K118" s="562"/>
    </row>
    <row r="119" spans="1:17" hidden="1" outlineLevel="1" x14ac:dyDescent="0.3">
      <c r="A119" s="551" t="s">
        <v>673</v>
      </c>
      <c r="B119" s="562"/>
      <c r="C119" s="562">
        <f t="shared" ref="C119:J119" si="29">C107/C105</f>
        <v>0.40134952393552903</v>
      </c>
      <c r="D119" s="562">
        <f t="shared" si="29"/>
        <v>0.42995954742813158</v>
      </c>
      <c r="E119" s="562">
        <f t="shared" si="29"/>
        <v>0.46029433697033256</v>
      </c>
      <c r="F119" s="562">
        <f t="shared" si="29"/>
        <v>0.48109241937071534</v>
      </c>
      <c r="G119" s="562">
        <f t="shared" si="29"/>
        <v>0.49930901295321539</v>
      </c>
      <c r="H119" s="562">
        <f t="shared" si="29"/>
        <v>0.51536703772972714</v>
      </c>
      <c r="I119" s="562">
        <f t="shared" si="29"/>
        <v>0.5293695849010186</v>
      </c>
      <c r="J119" s="562">
        <f t="shared" si="29"/>
        <v>0.5293695849010186</v>
      </c>
      <c r="K119" s="562"/>
    </row>
    <row r="120" spans="1:17" hidden="1" outlineLevel="1" x14ac:dyDescent="0.3">
      <c r="A120" s="551" t="s">
        <v>2906</v>
      </c>
      <c r="B120" s="562"/>
      <c r="C120" s="562">
        <f t="shared" ref="C120:J120" si="30">+(C107-C112)/C105</f>
        <v>-0.12921710308538997</v>
      </c>
      <c r="D120" s="562">
        <f t="shared" si="30"/>
        <v>-6.5120867812029776E-2</v>
      </c>
      <c r="E120" s="562">
        <f t="shared" si="30"/>
        <v>0.16033398804676782</v>
      </c>
      <c r="F120" s="562">
        <f t="shared" si="30"/>
        <v>0.24420747882549645</v>
      </c>
      <c r="G120" s="562">
        <f t="shared" si="30"/>
        <v>0.26318738893629745</v>
      </c>
      <c r="H120" s="562">
        <f t="shared" si="30"/>
        <v>0.29074230472355445</v>
      </c>
      <c r="I120" s="562">
        <f t="shared" si="30"/>
        <v>0.31451192605294243</v>
      </c>
      <c r="J120" s="562">
        <f t="shared" si="30"/>
        <v>0.37936958490101863</v>
      </c>
      <c r="K120" s="562"/>
    </row>
    <row r="121" spans="1:17" hidden="1" outlineLevel="1" x14ac:dyDescent="0.3">
      <c r="A121" s="551" t="s">
        <v>2907</v>
      </c>
      <c r="B121" s="562"/>
      <c r="C121" s="562">
        <f t="shared" ref="C121:I121" si="31">C112/C105</f>
        <v>0.53056662702091895</v>
      </c>
      <c r="D121" s="562">
        <f t="shared" si="31"/>
        <v>0.49508041524016139</v>
      </c>
      <c r="E121" s="562">
        <f t="shared" si="31"/>
        <v>0.29996034892356477</v>
      </c>
      <c r="F121" s="562">
        <f t="shared" si="31"/>
        <v>0.23688494054521889</v>
      </c>
      <c r="G121" s="562">
        <f t="shared" si="31"/>
        <v>0.23612162401691797</v>
      </c>
      <c r="H121" s="562">
        <f t="shared" si="31"/>
        <v>0.22462473300617275</v>
      </c>
      <c r="I121" s="562">
        <f t="shared" si="31"/>
        <v>0.21485765884807617</v>
      </c>
      <c r="J121" s="261">
        <v>0.15</v>
      </c>
      <c r="K121" s="261"/>
    </row>
    <row r="122" spans="1:17" hidden="1" outlineLevel="1" x14ac:dyDescent="0.3">
      <c r="A122" s="551" t="s">
        <v>2908</v>
      </c>
      <c r="B122" s="562"/>
      <c r="C122" s="562">
        <f t="shared" ref="C122:J122" si="32">C108/C112</f>
        <v>0.58755907050738632</v>
      </c>
      <c r="D122" s="562">
        <f t="shared" si="32"/>
        <v>0.61176858175486049</v>
      </c>
      <c r="E122" s="562">
        <f t="shared" si="32"/>
        <v>0.94040167684579701</v>
      </c>
      <c r="F122" s="562">
        <f t="shared" si="32"/>
        <v>1.1048540327823309</v>
      </c>
      <c r="G122" s="562">
        <f t="shared" si="32"/>
        <v>1.0447660612463583</v>
      </c>
      <c r="H122" s="562">
        <f t="shared" si="32"/>
        <v>1.0449928254697447</v>
      </c>
      <c r="I122" s="562">
        <f t="shared" si="32"/>
        <v>1.0443327287100146</v>
      </c>
      <c r="J122" s="562">
        <f t="shared" si="32"/>
        <v>1</v>
      </c>
      <c r="K122" s="562"/>
    </row>
    <row r="123" spans="1:17" hidden="1" outlineLevel="1" x14ac:dyDescent="0.3">
      <c r="A123" s="551"/>
      <c r="B123" s="144"/>
      <c r="C123" s="144"/>
      <c r="D123" s="144"/>
      <c r="E123" s="144"/>
      <c r="F123" s="144"/>
      <c r="G123" s="144"/>
      <c r="H123" s="144"/>
      <c r="I123" s="144"/>
      <c r="J123" s="563"/>
      <c r="K123" s="563"/>
    </row>
    <row r="124" spans="1:17" hidden="1" outlineLevel="1" x14ac:dyDescent="0.3">
      <c r="A124" s="551" t="s">
        <v>2909</v>
      </c>
      <c r="B124" s="263">
        <v>0</v>
      </c>
      <c r="C124" s="564">
        <f t="shared" ref="C124:I124" si="33">+B124+1</f>
        <v>1</v>
      </c>
      <c r="D124" s="564">
        <f t="shared" si="33"/>
        <v>2</v>
      </c>
      <c r="E124" s="564">
        <f t="shared" si="33"/>
        <v>3</v>
      </c>
      <c r="F124" s="564">
        <f t="shared" si="33"/>
        <v>4</v>
      </c>
      <c r="G124" s="564">
        <f t="shared" si="33"/>
        <v>5</v>
      </c>
      <c r="H124" s="564">
        <f t="shared" si="33"/>
        <v>6</v>
      </c>
      <c r="I124" s="564">
        <f t="shared" si="33"/>
        <v>7</v>
      </c>
      <c r="J124" s="564">
        <f>+I124+1</f>
        <v>8</v>
      </c>
      <c r="K124" s="563"/>
    </row>
    <row r="125" spans="1:17" hidden="1" outlineLevel="1" x14ac:dyDescent="0.3">
      <c r="A125" s="551" t="s">
        <v>725</v>
      </c>
      <c r="B125" s="551">
        <f t="shared" ref="B125:I125" si="34">+B114</f>
        <v>-688.5</v>
      </c>
      <c r="C125" s="551">
        <f t="shared" si="34"/>
        <v>-912.87528707971842</v>
      </c>
      <c r="D125" s="551">
        <f t="shared" si="34"/>
        <v>-603.26930759244942</v>
      </c>
      <c r="E125" s="551">
        <f t="shared" si="34"/>
        <v>753.07165081486573</v>
      </c>
      <c r="F125" s="551">
        <f t="shared" si="34"/>
        <v>1287.909799247723</v>
      </c>
      <c r="G125" s="551">
        <f t="shared" si="34"/>
        <v>1415.6621201339415</v>
      </c>
      <c r="H125" s="551">
        <f t="shared" si="34"/>
        <v>1617.2452747794512</v>
      </c>
      <c r="I125" s="551">
        <f t="shared" si="34"/>
        <v>1801.2540741094601</v>
      </c>
      <c r="J125" s="563"/>
      <c r="K125" s="563"/>
    </row>
    <row r="126" spans="1:17" hidden="1" outlineLevel="1" x14ac:dyDescent="0.3">
      <c r="A126" s="551" t="s">
        <v>165</v>
      </c>
      <c r="B126" s="565">
        <f t="shared" ref="B126:J126" si="35">+(1+$H$141)^B124</f>
        <v>1</v>
      </c>
      <c r="C126" s="565">
        <f t="shared" si="35"/>
        <v>1.0687967999999999</v>
      </c>
      <c r="D126" s="565">
        <f t="shared" si="35"/>
        <v>1.1423265996902396</v>
      </c>
      <c r="E126" s="565">
        <f t="shared" si="35"/>
        <v>1.220915014303809</v>
      </c>
      <c r="F126" s="565">
        <f t="shared" si="35"/>
        <v>1.3049100603598649</v>
      </c>
      <c r="G126" s="565">
        <f t="shared" si="35"/>
        <v>1.3946836968004304</v>
      </c>
      <c r="H126" s="565">
        <f t="shared" si="35"/>
        <v>1.4906334721524699</v>
      </c>
      <c r="I126" s="565">
        <f t="shared" si="35"/>
        <v>1.5931842850094486</v>
      </c>
      <c r="J126" s="565">
        <f t="shared" si="35"/>
        <v>1.7027902656283862</v>
      </c>
      <c r="K126" s="565"/>
    </row>
    <row r="127" spans="1:17" hidden="1" outlineLevel="1" x14ac:dyDescent="0.3">
      <c r="A127" s="551" t="s">
        <v>2910</v>
      </c>
      <c r="B127" s="1824">
        <f t="shared" ref="B127:I127" si="36">B125/B126</f>
        <v>-688.5</v>
      </c>
      <c r="C127" s="1824">
        <f t="shared" si="36"/>
        <v>-854.11491415367118</v>
      </c>
      <c r="D127" s="1824">
        <f t="shared" si="36"/>
        <v>-528.10580420348754</v>
      </c>
      <c r="E127" s="1824">
        <f t="shared" si="36"/>
        <v>616.8092307753974</v>
      </c>
      <c r="F127" s="1824">
        <f t="shared" si="36"/>
        <v>986.97208211617772</v>
      </c>
      <c r="G127" s="1824">
        <f t="shared" si="36"/>
        <v>1015.0417068627374</v>
      </c>
      <c r="H127" s="1824">
        <f t="shared" si="36"/>
        <v>1084.9382527578387</v>
      </c>
      <c r="I127" s="1824">
        <f t="shared" si="36"/>
        <v>1130.5999507136598</v>
      </c>
      <c r="K127" s="555"/>
    </row>
    <row r="128" spans="1:17" collapsed="1" x14ac:dyDescent="0.3">
      <c r="A128" s="551"/>
      <c r="B128" s="586"/>
      <c r="C128" s="551"/>
      <c r="D128" s="551"/>
      <c r="E128" s="563"/>
      <c r="F128" s="566"/>
      <c r="G128" s="563"/>
      <c r="H128" s="144"/>
      <c r="I128" s="563"/>
      <c r="J128" s="563"/>
      <c r="K128" s="563"/>
      <c r="L128" s="563"/>
      <c r="M128" s="555"/>
      <c r="N128" s="239"/>
      <c r="O128" s="239"/>
      <c r="P128" s="239"/>
      <c r="Q128" s="239"/>
    </row>
    <row r="129" spans="1:17" x14ac:dyDescent="0.3">
      <c r="A129" s="567" t="s">
        <v>2911</v>
      </c>
      <c r="B129" s="144"/>
      <c r="C129" s="551">
        <f>IF(J114&gt;0,J114,0)</f>
        <v>2183.898379879085</v>
      </c>
      <c r="D129" s="551"/>
      <c r="E129" s="560" t="s">
        <v>2912</v>
      </c>
      <c r="F129" s="551"/>
      <c r="G129" s="551"/>
      <c r="H129" s="551"/>
      <c r="I129" s="551"/>
      <c r="J129" s="551"/>
      <c r="K129" s="551"/>
      <c r="L129" s="570"/>
      <c r="M129" s="570"/>
      <c r="N129" s="264"/>
      <c r="O129" s="264"/>
      <c r="P129" s="264"/>
      <c r="Q129" s="262"/>
    </row>
    <row r="130" spans="1:17" x14ac:dyDescent="0.3">
      <c r="A130" s="568" t="s">
        <v>2913</v>
      </c>
      <c r="B130" s="144"/>
      <c r="C130" s="569">
        <f>H141-H145</f>
        <v>5.349679999999999E-2</v>
      </c>
      <c r="D130" s="551"/>
      <c r="E130" s="551" t="s">
        <v>2914</v>
      </c>
      <c r="F130" s="144"/>
      <c r="G130" s="551"/>
      <c r="H130" s="582">
        <v>4.53E-2</v>
      </c>
      <c r="I130" s="570"/>
      <c r="J130" s="574"/>
      <c r="K130" s="570"/>
      <c r="L130" s="570"/>
      <c r="M130" s="570"/>
      <c r="N130" s="264"/>
      <c r="O130" s="264"/>
      <c r="P130" s="262"/>
      <c r="Q130" s="265" cm="1">
        <f t="array" ref="Q130">_xll.FDS("US10YY-TU1","FG_PRICE(0)")/100</f>
        <v>1.9311999999999999E-2</v>
      </c>
    </row>
    <row r="131" spans="1:17" x14ac:dyDescent="0.3">
      <c r="A131" s="571" t="s">
        <v>254</v>
      </c>
      <c r="B131" s="144"/>
      <c r="C131" s="572">
        <f>C129/C130</f>
        <v>40822.972212900313</v>
      </c>
      <c r="D131" s="551"/>
      <c r="E131" s="551" t="s">
        <v>2915</v>
      </c>
      <c r="F131" s="144"/>
      <c r="G131" s="551"/>
      <c r="H131" s="583">
        <v>4.0599999999999997E-2</v>
      </c>
      <c r="I131" s="563"/>
      <c r="J131" s="563"/>
      <c r="K131" s="563"/>
      <c r="L131" s="563"/>
      <c r="M131" s="563"/>
      <c r="N131" s="262"/>
      <c r="O131" s="262"/>
      <c r="P131" s="262"/>
      <c r="Q131" s="267"/>
    </row>
    <row r="132" spans="1:17" x14ac:dyDescent="0.3">
      <c r="A132" s="568" t="s">
        <v>255</v>
      </c>
      <c r="B132" s="144"/>
      <c r="C132" s="573">
        <f>J126</f>
        <v>1.7027902656283862</v>
      </c>
      <c r="D132" s="551"/>
      <c r="E132" s="551" t="s">
        <v>2916</v>
      </c>
      <c r="F132" s="144"/>
      <c r="G132" s="551"/>
      <c r="H132" s="584">
        <v>1.07</v>
      </c>
      <c r="I132" s="563"/>
      <c r="J132" s="563"/>
      <c r="K132" s="563"/>
      <c r="L132" s="563"/>
      <c r="M132" s="563"/>
      <c r="N132" s="262"/>
      <c r="O132" s="262"/>
      <c r="P132" s="262"/>
      <c r="Q132" s="268" t="e" cm="1">
        <f t="array" ref="Q132">_xll.FDS("FTR-US","P_BETA_LOCIDX(0,-2AY)")</f>
        <v>#N/A</v>
      </c>
    </row>
    <row r="133" spans="1:17" x14ac:dyDescent="0.3">
      <c r="A133" s="571" t="s">
        <v>256</v>
      </c>
      <c r="B133" s="144"/>
      <c r="C133" s="572">
        <f>C131/C132</f>
        <v>23974.163487383619</v>
      </c>
      <c r="D133" s="551"/>
      <c r="E133" s="551" t="s">
        <v>2917</v>
      </c>
      <c r="F133" s="144"/>
      <c r="G133" s="551"/>
      <c r="H133" s="574">
        <f>H130+H131*H132</f>
        <v>8.8742000000000001E-2</v>
      </c>
      <c r="I133" s="563"/>
      <c r="J133" s="563"/>
      <c r="K133" s="563"/>
      <c r="L133" s="563"/>
      <c r="M133" s="563"/>
      <c r="N133" s="262"/>
      <c r="O133" s="262"/>
      <c r="P133" s="262"/>
      <c r="Q133" s="269"/>
    </row>
    <row r="134" spans="1:17" x14ac:dyDescent="0.3">
      <c r="A134" s="568" t="s">
        <v>257</v>
      </c>
      <c r="B134" s="144"/>
      <c r="C134" s="551">
        <f>SUM(D127:I127)</f>
        <v>4306.2554190223236</v>
      </c>
      <c r="D134" s="551"/>
      <c r="E134" s="551" t="s">
        <v>2918</v>
      </c>
      <c r="F134" s="144"/>
      <c r="G134" s="551"/>
      <c r="H134" s="270">
        <v>0.4</v>
      </c>
      <c r="I134" s="1255"/>
      <c r="J134" s="563"/>
      <c r="K134" s="563"/>
      <c r="L134" s="563"/>
      <c r="M134" s="563"/>
      <c r="N134" s="262"/>
      <c r="O134" s="262"/>
      <c r="P134" s="262"/>
      <c r="Q134" s="269"/>
    </row>
    <row r="135" spans="1:17" x14ac:dyDescent="0.3">
      <c r="A135" s="568" t="s">
        <v>2919</v>
      </c>
      <c r="B135" s="144"/>
      <c r="C135" s="575">
        <f>+B12</f>
        <v>0</v>
      </c>
      <c r="D135" s="565"/>
      <c r="E135" s="551" t="s">
        <v>2920</v>
      </c>
      <c r="F135" s="144"/>
      <c r="G135" s="576"/>
      <c r="H135" s="577">
        <f>H133*H134</f>
        <v>3.5496800000000002E-2</v>
      </c>
      <c r="I135" s="578"/>
      <c r="J135" s="574"/>
      <c r="K135" s="574"/>
      <c r="L135" s="574"/>
      <c r="M135" s="574"/>
      <c r="N135" s="266"/>
      <c r="O135" s="266"/>
      <c r="P135" s="262"/>
      <c r="Q135" s="269"/>
    </row>
    <row r="136" spans="1:17" x14ac:dyDescent="0.3">
      <c r="A136" s="571" t="s">
        <v>2921</v>
      </c>
      <c r="B136" s="144"/>
      <c r="C136" s="1826">
        <f>+C133+C134+C135</f>
        <v>28280.418906405943</v>
      </c>
      <c r="D136" s="551"/>
      <c r="E136" s="551"/>
      <c r="F136" s="144"/>
      <c r="G136" s="551"/>
      <c r="H136" s="551"/>
      <c r="I136" s="563"/>
      <c r="J136" s="563"/>
      <c r="K136" s="563"/>
      <c r="L136" s="563"/>
      <c r="M136" s="563"/>
      <c r="N136" s="262"/>
      <c r="O136" s="262"/>
      <c r="P136" s="262"/>
      <c r="Q136" s="269"/>
    </row>
    <row r="137" spans="1:17" x14ac:dyDescent="0.3">
      <c r="A137" s="568" t="s">
        <v>2922</v>
      </c>
      <c r="B137" s="144"/>
      <c r="C137" s="551">
        <f>+B9</f>
        <v>11561</v>
      </c>
      <c r="D137" s="144"/>
      <c r="E137" s="551" t="s">
        <v>2923</v>
      </c>
      <c r="F137" s="144"/>
      <c r="G137" s="551"/>
      <c r="H137" s="270">
        <v>7.3999999999999996E-2</v>
      </c>
      <c r="I137" s="563"/>
      <c r="J137" s="563"/>
      <c r="K137" s="563"/>
      <c r="L137" s="563"/>
      <c r="M137" s="563"/>
      <c r="N137" s="262"/>
      <c r="O137" s="262"/>
      <c r="P137" s="262"/>
      <c r="Q137" s="265" cm="1">
        <f t="array" ref="Q137">_xll.FDS("161175AY","FG_YIELD(0,,,,""YTM"")")/100</f>
        <v>2.9761374521504302E-2</v>
      </c>
    </row>
    <row r="138" spans="1:17" x14ac:dyDescent="0.3">
      <c r="A138" s="568" t="s">
        <v>2924</v>
      </c>
      <c r="B138" s="144"/>
      <c r="C138" s="551">
        <f>+B10</f>
        <v>750</v>
      </c>
      <c r="D138" s="551"/>
      <c r="E138" s="551" t="s">
        <v>2925</v>
      </c>
      <c r="F138" s="144"/>
      <c r="G138" s="144"/>
      <c r="H138" s="1083">
        <f>H137*(1-H144)</f>
        <v>5.5499999999999994E-2</v>
      </c>
      <c r="I138" s="563"/>
      <c r="J138" s="563"/>
      <c r="K138" s="563"/>
      <c r="L138" s="563"/>
      <c r="M138" s="563"/>
      <c r="N138" s="262"/>
      <c r="O138" s="262"/>
      <c r="P138" s="262"/>
      <c r="Q138" s="262"/>
    </row>
    <row r="139" spans="1:17" x14ac:dyDescent="0.3">
      <c r="A139" s="571" t="s">
        <v>2926</v>
      </c>
      <c r="B139" s="144"/>
      <c r="C139" s="1826">
        <f>C136-C137+C138</f>
        <v>17469.418906405943</v>
      </c>
      <c r="D139" s="570"/>
      <c r="E139" s="551" t="s">
        <v>2927</v>
      </c>
      <c r="F139" s="144"/>
      <c r="G139" s="559"/>
      <c r="H139" s="574">
        <f>1-H134</f>
        <v>0.6</v>
      </c>
      <c r="I139" s="563"/>
      <c r="J139" s="563"/>
      <c r="K139" s="563"/>
      <c r="L139" s="563"/>
      <c r="M139" s="563"/>
      <c r="N139" s="262"/>
      <c r="O139" s="262"/>
      <c r="P139" s="262"/>
      <c r="Q139" s="262"/>
    </row>
    <row r="140" spans="1:17" x14ac:dyDescent="0.3">
      <c r="A140" s="568" t="s">
        <v>259</v>
      </c>
      <c r="B140" s="144"/>
      <c r="C140" s="551">
        <f>+$B$7</f>
        <v>260</v>
      </c>
      <c r="D140" s="570"/>
      <c r="E140" s="551" t="s">
        <v>2928</v>
      </c>
      <c r="F140" s="144"/>
      <c r="G140" s="551"/>
      <c r="H140" s="577">
        <f>H138*H139</f>
        <v>3.3299999999999996E-2</v>
      </c>
      <c r="I140" s="563"/>
      <c r="J140" s="563"/>
      <c r="K140" s="563"/>
      <c r="L140" s="563"/>
      <c r="M140" s="563"/>
      <c r="N140" s="266"/>
      <c r="O140" s="266"/>
      <c r="P140" s="266"/>
      <c r="Q140" s="262"/>
    </row>
    <row r="141" spans="1:17" ht="12.5" thickBot="1" x14ac:dyDescent="0.35">
      <c r="A141" s="568" t="s">
        <v>873</v>
      </c>
      <c r="B141" s="144"/>
      <c r="C141" s="579">
        <f>C139/C140</f>
        <v>67.190072716945934</v>
      </c>
      <c r="D141" s="570"/>
      <c r="E141" s="551" t="s">
        <v>2929</v>
      </c>
      <c r="F141" s="144"/>
      <c r="G141" s="551"/>
      <c r="H141" s="580">
        <f>+H140+H135</f>
        <v>6.8796799999999991E-2</v>
      </c>
      <c r="I141" s="144"/>
      <c r="J141" s="563"/>
      <c r="K141" s="563"/>
      <c r="L141" s="563"/>
      <c r="M141" s="563"/>
      <c r="N141" s="262"/>
      <c r="O141" s="262"/>
      <c r="P141" s="262"/>
      <c r="Q141" s="262"/>
    </row>
    <row r="142" spans="1:17" ht="12.5" thickTop="1" x14ac:dyDescent="0.3">
      <c r="A142" s="557" t="s">
        <v>2930</v>
      </c>
      <c r="B142" s="144"/>
      <c r="C142" s="581">
        <f>+C141/B6-1</f>
        <v>0.8778667612338158</v>
      </c>
      <c r="D142" s="551"/>
      <c r="E142" s="551"/>
      <c r="F142" s="144"/>
      <c r="G142" s="551"/>
      <c r="H142" s="551"/>
      <c r="I142" s="563"/>
      <c r="J142" s="563"/>
      <c r="K142" s="563"/>
      <c r="L142" s="563"/>
      <c r="M142" s="563"/>
      <c r="N142" s="262"/>
      <c r="O142" s="262"/>
      <c r="P142" s="262"/>
      <c r="Q142" s="262"/>
    </row>
    <row r="143" spans="1:17" x14ac:dyDescent="0.3">
      <c r="A143" s="557" t="s">
        <v>2931</v>
      </c>
      <c r="B143" s="144"/>
      <c r="C143" s="558">
        <f>C136*H139/J107</f>
        <v>4.1760861573907837</v>
      </c>
      <c r="D143" s="551"/>
      <c r="E143" s="560" t="s">
        <v>2932</v>
      </c>
      <c r="F143" s="144"/>
      <c r="G143" s="563"/>
      <c r="H143" s="551"/>
      <c r="I143" s="563"/>
      <c r="J143" s="574"/>
      <c r="K143" s="574"/>
      <c r="L143" s="563"/>
      <c r="M143" s="563"/>
      <c r="N143" s="262"/>
      <c r="O143" s="262"/>
      <c r="P143" s="262"/>
      <c r="Q143" s="262"/>
    </row>
    <row r="144" spans="1:17" x14ac:dyDescent="0.3">
      <c r="A144" s="557" t="s">
        <v>2933</v>
      </c>
      <c r="B144" s="144"/>
      <c r="C144" s="558">
        <f>C131/J107</f>
        <v>10.047013431569388</v>
      </c>
      <c r="D144" s="570"/>
      <c r="E144" s="551" t="s">
        <v>124</v>
      </c>
      <c r="F144" s="144"/>
      <c r="G144" s="563"/>
      <c r="H144" s="582">
        <v>0.25</v>
      </c>
      <c r="I144" s="563"/>
      <c r="J144" s="574"/>
      <c r="K144" s="574"/>
      <c r="L144" s="563"/>
      <c r="M144" s="563"/>
      <c r="N144" s="262"/>
      <c r="O144" s="262"/>
      <c r="P144" s="262"/>
      <c r="Q144" s="262"/>
    </row>
    <row r="145" spans="1:17" x14ac:dyDescent="0.3">
      <c r="A145" s="557"/>
      <c r="B145" s="144"/>
      <c r="C145" s="271"/>
      <c r="D145" s="570"/>
      <c r="E145" s="551" t="s">
        <v>2934</v>
      </c>
      <c r="F145" s="144"/>
      <c r="G145" s="563"/>
      <c r="H145" s="1781">
        <v>1.5299999999999999E-2</v>
      </c>
      <c r="I145" s="563"/>
      <c r="J145" s="1183"/>
      <c r="K145" s="1183"/>
      <c r="L145" s="563"/>
      <c r="M145" s="563"/>
      <c r="N145" s="262"/>
      <c r="O145" s="262"/>
      <c r="P145" s="262"/>
      <c r="Q145" s="262"/>
    </row>
    <row r="146" spans="1:17" x14ac:dyDescent="0.3">
      <c r="A146" s="494"/>
      <c r="B146" s="494"/>
      <c r="C146" s="553"/>
      <c r="D146" s="494"/>
      <c r="E146" s="494"/>
      <c r="F146" s="494"/>
      <c r="G146" s="494"/>
      <c r="H146" s="587"/>
      <c r="I146" s="587"/>
      <c r="J146" s="587"/>
      <c r="K146" s="587"/>
      <c r="L146" s="587"/>
      <c r="M146" s="587"/>
      <c r="N146" s="1220"/>
      <c r="O146" s="1220"/>
      <c r="P146" s="1220"/>
      <c r="Q146" s="262"/>
    </row>
    <row r="147" spans="1:17" x14ac:dyDescent="0.3">
      <c r="C147" s="259"/>
      <c r="H147" s="262"/>
      <c r="I147" s="262"/>
      <c r="J147" s="262"/>
      <c r="K147" s="262"/>
      <c r="L147" s="262"/>
      <c r="M147" s="262"/>
      <c r="N147" s="262"/>
      <c r="O147" s="262"/>
      <c r="P147" s="262"/>
      <c r="Q147" s="262"/>
    </row>
    <row r="149" spans="1:17" x14ac:dyDescent="0.3">
      <c r="A149" s="273" t="s">
        <v>3237</v>
      </c>
      <c r="B149" s="274"/>
      <c r="C149" s="274"/>
      <c r="D149" s="274"/>
      <c r="E149" s="274"/>
      <c r="F149" s="274"/>
      <c r="G149" s="274"/>
      <c r="H149" s="274"/>
      <c r="I149" s="274"/>
      <c r="J149" s="274"/>
      <c r="K149" s="274"/>
      <c r="L149" s="274"/>
    </row>
    <row r="150" spans="1:17" x14ac:dyDescent="0.3">
      <c r="A150" s="275"/>
      <c r="B150" s="276"/>
      <c r="C150" s="276"/>
      <c r="D150" s="276"/>
      <c r="E150" s="276"/>
      <c r="F150" s="276"/>
      <c r="G150" s="276"/>
      <c r="H150" s="277"/>
      <c r="I150" s="277"/>
      <c r="J150" s="277"/>
      <c r="K150" s="277"/>
      <c r="L150" s="278"/>
    </row>
    <row r="151" spans="1:17" x14ac:dyDescent="0.3">
      <c r="A151" s="279"/>
      <c r="B151" s="280">
        <v>2021</v>
      </c>
      <c r="C151" s="280">
        <f t="shared" ref="C151:L151" si="37">B151+1</f>
        <v>2022</v>
      </c>
      <c r="D151" s="280">
        <f>C151+1</f>
        <v>2023</v>
      </c>
      <c r="E151" s="280">
        <f t="shared" si="37"/>
        <v>2024</v>
      </c>
      <c r="F151" s="280">
        <f t="shared" si="37"/>
        <v>2025</v>
      </c>
      <c r="G151" s="280">
        <f t="shared" si="37"/>
        <v>2026</v>
      </c>
      <c r="H151" s="280">
        <f t="shared" si="37"/>
        <v>2027</v>
      </c>
      <c r="I151" s="280">
        <f t="shared" si="37"/>
        <v>2028</v>
      </c>
      <c r="J151" s="280">
        <f t="shared" si="37"/>
        <v>2029</v>
      </c>
      <c r="K151" s="280">
        <f t="shared" si="37"/>
        <v>2030</v>
      </c>
      <c r="L151" s="280">
        <f t="shared" si="37"/>
        <v>2031</v>
      </c>
      <c r="N151" s="658"/>
    </row>
    <row r="152" spans="1:17" x14ac:dyDescent="0.3">
      <c r="A152" s="278" t="s">
        <v>3238</v>
      </c>
      <c r="B152" s="281">
        <f>+'Model Main'!EI159*-1</f>
        <v>0</v>
      </c>
      <c r="C152" s="281">
        <f>+'Model Main'!EN159*-1</f>
        <v>0</v>
      </c>
      <c r="D152" s="281">
        <f>+'Model Main'!ES159*-1</f>
        <v>150</v>
      </c>
      <c r="E152" s="281">
        <f>+'Model Main'!EX159*-1</f>
        <v>0</v>
      </c>
      <c r="F152" s="281">
        <f>+'Model Main'!FC159*-1</f>
        <v>0</v>
      </c>
      <c r="G152" s="281">
        <f>+'Model Main'!FD159*-1</f>
        <v>0</v>
      </c>
      <c r="H152" s="281">
        <f>+'Model Main'!FE159*-1</f>
        <v>0</v>
      </c>
      <c r="I152" s="281">
        <f>+'Model Main'!FF159*-1</f>
        <v>507.78512625052258</v>
      </c>
      <c r="J152" s="281">
        <f>+'Model Main'!FG159*-1</f>
        <v>709.27096457009407</v>
      </c>
      <c r="K152" s="281">
        <f>+'Model Main'!FH159*-1</f>
        <v>1011.8364841242141</v>
      </c>
      <c r="L152" s="281">
        <f>+'Model Main'!FI159*-1</f>
        <v>1249.0409199270021</v>
      </c>
      <c r="N152" s="281"/>
    </row>
    <row r="153" spans="1:17" x14ac:dyDescent="0.3">
      <c r="A153" s="282" t="s">
        <v>3239</v>
      </c>
      <c r="B153" s="283">
        <v>0.25</v>
      </c>
      <c r="C153" s="283">
        <v>0.25</v>
      </c>
      <c r="D153" s="283">
        <v>0.25</v>
      </c>
      <c r="E153" s="283">
        <v>0.25</v>
      </c>
      <c r="F153" s="283">
        <v>0.25</v>
      </c>
      <c r="G153" s="283">
        <v>0.25</v>
      </c>
      <c r="H153" s="283">
        <v>0.25</v>
      </c>
      <c r="I153" s="283">
        <v>0.25</v>
      </c>
      <c r="J153" s="283">
        <v>0.25</v>
      </c>
      <c r="K153" s="283">
        <v>0.25</v>
      </c>
      <c r="L153" s="283">
        <v>0.25</v>
      </c>
      <c r="N153" s="659"/>
    </row>
    <row r="154" spans="1:17" x14ac:dyDescent="0.3">
      <c r="A154" s="282" t="s">
        <v>3240</v>
      </c>
      <c r="B154" s="284">
        <f t="shared" ref="B154:L154" si="38">+B152*B153</f>
        <v>0</v>
      </c>
      <c r="C154" s="284">
        <f t="shared" si="38"/>
        <v>0</v>
      </c>
      <c r="D154" s="284">
        <f t="shared" si="38"/>
        <v>37.5</v>
      </c>
      <c r="E154" s="284">
        <f t="shared" si="38"/>
        <v>0</v>
      </c>
      <c r="F154" s="284">
        <f t="shared" si="38"/>
        <v>0</v>
      </c>
      <c r="G154" s="284">
        <f t="shared" si="38"/>
        <v>0</v>
      </c>
      <c r="H154" s="284">
        <f t="shared" si="38"/>
        <v>0</v>
      </c>
      <c r="I154" s="284">
        <f t="shared" si="38"/>
        <v>126.94628156263065</v>
      </c>
      <c r="J154" s="284">
        <f t="shared" si="38"/>
        <v>177.31774114252352</v>
      </c>
      <c r="K154" s="284">
        <f t="shared" si="38"/>
        <v>252.95912103105351</v>
      </c>
      <c r="L154" s="284">
        <f t="shared" si="38"/>
        <v>312.26022998175051</v>
      </c>
      <c r="N154" s="284"/>
    </row>
    <row r="155" spans="1:17" x14ac:dyDescent="0.3">
      <c r="A155" s="282" t="s">
        <v>3241</v>
      </c>
      <c r="B155" s="285">
        <f t="shared" ref="B155:L155" si="39">+(1+$H$141)^(B151-$B$151)</f>
        <v>1</v>
      </c>
      <c r="C155" s="285">
        <f t="shared" si="39"/>
        <v>1.0687967999999999</v>
      </c>
      <c r="D155" s="285">
        <f t="shared" si="39"/>
        <v>1.1423265996902396</v>
      </c>
      <c r="E155" s="285">
        <f t="shared" si="39"/>
        <v>1.220915014303809</v>
      </c>
      <c r="F155" s="285">
        <f t="shared" si="39"/>
        <v>1.3049100603598649</v>
      </c>
      <c r="G155" s="285">
        <f t="shared" si="39"/>
        <v>1.3946836968004304</v>
      </c>
      <c r="H155" s="285">
        <f t="shared" si="39"/>
        <v>1.4906334721524699</v>
      </c>
      <c r="I155" s="285">
        <f t="shared" si="39"/>
        <v>1.5931842850094486</v>
      </c>
      <c r="J155" s="285">
        <f t="shared" si="39"/>
        <v>1.7027902656283862</v>
      </c>
      <c r="K155" s="285">
        <f t="shared" si="39"/>
        <v>1.8199367869747689</v>
      </c>
      <c r="L155" s="285">
        <f t="shared" si="39"/>
        <v>1.9451426141209143</v>
      </c>
      <c r="N155" s="285"/>
    </row>
    <row r="156" spans="1:17" x14ac:dyDescent="0.3">
      <c r="A156" s="286" t="s">
        <v>3242</v>
      </c>
      <c r="B156" s="287">
        <f t="shared" ref="B156:L156" si="40">B154/B155</f>
        <v>0</v>
      </c>
      <c r="C156" s="287">
        <f t="shared" si="40"/>
        <v>0</v>
      </c>
      <c r="D156" s="287">
        <f t="shared" si="40"/>
        <v>32.827739466251359</v>
      </c>
      <c r="E156" s="287">
        <f t="shared" si="40"/>
        <v>0</v>
      </c>
      <c r="F156" s="287">
        <f t="shared" si="40"/>
        <v>0</v>
      </c>
      <c r="G156" s="287">
        <f t="shared" si="40"/>
        <v>0</v>
      </c>
      <c r="H156" s="287">
        <f t="shared" si="40"/>
        <v>0</v>
      </c>
      <c r="I156" s="287">
        <f t="shared" si="40"/>
        <v>79.680852213451104</v>
      </c>
      <c r="J156" s="287">
        <f t="shared" si="40"/>
        <v>104.13363566950353</v>
      </c>
      <c r="K156" s="287">
        <f t="shared" si="40"/>
        <v>138.99335561623573</v>
      </c>
      <c r="L156" s="287">
        <f t="shared" si="40"/>
        <v>160.53333453026687</v>
      </c>
      <c r="N156" s="660"/>
    </row>
    <row r="157" spans="1:17" x14ac:dyDescent="0.3">
      <c r="A157" s="288" t="s">
        <v>3243</v>
      </c>
      <c r="B157" s="296">
        <f>+'Model Main'!EE160</f>
        <v>0</v>
      </c>
      <c r="C157" s="296">
        <f>+'Model Main'!EF160</f>
        <v>0</v>
      </c>
      <c r="D157" s="296">
        <f>+'Model Main'!EG160</f>
        <v>0</v>
      </c>
      <c r="E157" s="296">
        <f>+'Model Main'!EX160</f>
        <v>5739</v>
      </c>
      <c r="F157" s="296">
        <f>+'Model Main'!FC160</f>
        <v>7490.9014545756972</v>
      </c>
      <c r="G157" s="296">
        <f>+'Model Main'!FD160</f>
        <v>8968.4351646571995</v>
      </c>
      <c r="H157" s="296">
        <f>+'Model Main'!FE160</f>
        <v>9054.3825546877852</v>
      </c>
      <c r="I157" s="296">
        <f>+'Model Main'!FF160</f>
        <v>8546.5974284372624</v>
      </c>
      <c r="J157" s="296">
        <f>+'Model Main'!FG160</f>
        <v>7837.3264638671681</v>
      </c>
      <c r="K157" s="296">
        <f>+'Model Main'!FH160</f>
        <v>6825.4899797429543</v>
      </c>
      <c r="L157" s="296">
        <f>+'Model Main'!FI160</f>
        <v>5576.4490598159518</v>
      </c>
      <c r="N157" s="296"/>
    </row>
    <row r="158" spans="1:17" x14ac:dyDescent="0.3">
      <c r="A158" s="278"/>
      <c r="B158" s="284"/>
      <c r="C158" s="284"/>
      <c r="D158" s="284"/>
      <c r="E158" s="284"/>
      <c r="F158" s="284"/>
      <c r="G158" s="284"/>
      <c r="H158" s="284"/>
      <c r="I158" s="284"/>
      <c r="J158" s="284"/>
      <c r="K158" s="278"/>
      <c r="L158" s="278"/>
    </row>
    <row r="159" spans="1:17" x14ac:dyDescent="0.3">
      <c r="A159" s="282" t="s">
        <v>3244</v>
      </c>
      <c r="B159" s="289">
        <f>+L157*L153</f>
        <v>1394.112264953988</v>
      </c>
      <c r="C159" s="290"/>
      <c r="D159" s="290" t="s">
        <v>3245</v>
      </c>
      <c r="E159" s="290"/>
      <c r="F159" s="290"/>
      <c r="G159" s="290"/>
      <c r="H159" s="284"/>
      <c r="I159" s="284"/>
      <c r="J159" s="284"/>
      <c r="K159" s="278"/>
      <c r="L159" s="278"/>
    </row>
    <row r="160" spans="1:17" x14ac:dyDescent="0.3">
      <c r="A160" s="282" t="s">
        <v>3241</v>
      </c>
      <c r="B160" s="291">
        <f>+L155</f>
        <v>1.9451426141209143</v>
      </c>
      <c r="C160" s="284"/>
      <c r="D160" s="284"/>
      <c r="E160" s="284"/>
      <c r="F160" s="284"/>
      <c r="G160" s="284"/>
      <c r="H160" s="284"/>
      <c r="I160" s="284"/>
      <c r="J160" s="284"/>
      <c r="K160" s="278"/>
      <c r="L160" s="278"/>
    </row>
    <row r="161" spans="1:12" x14ac:dyDescent="0.3">
      <c r="A161" s="282" t="s">
        <v>3246</v>
      </c>
      <c r="B161" s="1828">
        <f>+B159/B160</f>
        <v>716.71467934192663</v>
      </c>
      <c r="C161" s="284"/>
      <c r="D161" s="284"/>
      <c r="E161" s="284"/>
      <c r="F161" s="284"/>
      <c r="G161" s="284"/>
      <c r="H161" s="284"/>
      <c r="I161" s="284"/>
      <c r="J161" s="284"/>
      <c r="K161" s="278"/>
      <c r="L161" s="278"/>
    </row>
    <row r="162" spans="1:12" x14ac:dyDescent="0.3">
      <c r="A162" s="282" t="s">
        <v>3247</v>
      </c>
      <c r="B162" s="292">
        <f>+SUM(B156:L156)</f>
        <v>516.16891749570857</v>
      </c>
      <c r="C162" s="284"/>
      <c r="D162" s="284"/>
      <c r="E162" s="284"/>
      <c r="F162" s="284"/>
      <c r="G162" s="284"/>
      <c r="H162" s="284"/>
      <c r="I162" s="284"/>
      <c r="J162" s="284"/>
      <c r="K162" s="278"/>
      <c r="L162" s="278"/>
    </row>
    <row r="163" spans="1:12" ht="12.5" thickBot="1" x14ac:dyDescent="0.35">
      <c r="A163" s="286" t="s">
        <v>3248</v>
      </c>
      <c r="B163" s="293">
        <f>+B161+B162</f>
        <v>1232.8835968376352</v>
      </c>
      <c r="C163" s="278"/>
      <c r="D163" s="278"/>
      <c r="E163" s="278"/>
      <c r="F163" s="278"/>
      <c r="G163" s="278"/>
      <c r="H163" s="278"/>
      <c r="I163" s="278"/>
      <c r="J163" s="278"/>
      <c r="K163" s="278"/>
      <c r="L163" s="278"/>
    </row>
    <row r="164" spans="1:12" ht="12.5" thickTop="1" x14ac:dyDescent="0.3">
      <c r="A164" s="294"/>
      <c r="B164" s="295"/>
      <c r="C164" s="294"/>
      <c r="D164" s="294"/>
      <c r="E164" s="294"/>
      <c r="F164" s="294"/>
      <c r="G164" s="294"/>
      <c r="H164" s="278"/>
      <c r="I164" s="278"/>
      <c r="J164" s="278"/>
      <c r="K164" s="278"/>
      <c r="L164" s="278"/>
    </row>
    <row r="166" spans="1:12" hidden="1" x14ac:dyDescent="0.3">
      <c r="A166" s="273" t="s">
        <v>3249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</row>
    <row r="167" spans="1:12" hidden="1" x14ac:dyDescent="0.3"/>
    <row r="168" spans="1:12" hidden="1" x14ac:dyDescent="0.3">
      <c r="A168" s="147"/>
      <c r="B168" s="147">
        <v>2021</v>
      </c>
      <c r="C168" s="147">
        <f t="shared" ref="C168:J168" si="41">+B168+1</f>
        <v>2022</v>
      </c>
      <c r="D168" s="147">
        <f>+C168+1</f>
        <v>2023</v>
      </c>
      <c r="E168" s="147">
        <f t="shared" si="41"/>
        <v>2024</v>
      </c>
      <c r="F168" s="147">
        <f t="shared" si="41"/>
        <v>2025</v>
      </c>
      <c r="G168" s="147">
        <f t="shared" si="41"/>
        <v>2026</v>
      </c>
      <c r="H168" s="147">
        <f t="shared" si="41"/>
        <v>2027</v>
      </c>
      <c r="I168" s="147">
        <f t="shared" si="41"/>
        <v>2028</v>
      </c>
      <c r="J168" s="147">
        <f t="shared" si="41"/>
        <v>2029</v>
      </c>
      <c r="K168" s="147">
        <f>+J168+1</f>
        <v>2030</v>
      </c>
    </row>
    <row r="169" spans="1:12" hidden="1" x14ac:dyDescent="0.3">
      <c r="A169" t="s">
        <v>3250</v>
      </c>
      <c r="B169" s="79">
        <f>+Drivers!EI617</f>
        <v>952.70624999999995</v>
      </c>
      <c r="C169" s="79">
        <f>+Drivers!EN617</f>
        <v>1082.4475499999999</v>
      </c>
      <c r="D169" s="79">
        <f>+Drivers!ES617</f>
        <v>1313.028765</v>
      </c>
      <c r="E169" s="79">
        <f>+Drivers!EX617</f>
        <v>1618.0850700000003</v>
      </c>
      <c r="F169" s="79">
        <f>+Drivers!FC617</f>
        <v>2008.1558494992319</v>
      </c>
      <c r="G169" s="79">
        <f>+Drivers!FD617</f>
        <v>2477.4545844388404</v>
      </c>
      <c r="H169" s="79">
        <f>+Drivers!FE617</f>
        <v>2956.8665062485506</v>
      </c>
      <c r="I169" s="79">
        <f>+Drivers!FF617</f>
        <v>3389.341589688368</v>
      </c>
      <c r="J169" s="79">
        <f>+Drivers!FG617</f>
        <v>3761.252192474436</v>
      </c>
      <c r="K169" s="79">
        <f>+Drivers!FH617</f>
        <v>4084.1364104446657</v>
      </c>
    </row>
    <row r="170" spans="1:12" hidden="1" x14ac:dyDescent="0.3">
      <c r="A170" s="177" t="s">
        <v>3251</v>
      </c>
      <c r="B170" s="79" t="e">
        <f>+Drivers!EI633</f>
        <v>#REF!</v>
      </c>
      <c r="C170" s="79">
        <f>+Drivers!EN633</f>
        <v>2617</v>
      </c>
      <c r="D170" s="79">
        <f>+Drivers!ES633</f>
        <v>2579</v>
      </c>
      <c r="E170" s="79">
        <f>+Drivers!EX633</f>
        <v>2710</v>
      </c>
      <c r="F170" s="79">
        <f>+Drivers!FC633</f>
        <v>2702.2882000013897</v>
      </c>
      <c r="G170" s="79">
        <f>+Drivers!FD633</f>
        <v>2697.6352130674022</v>
      </c>
      <c r="H170" s="79">
        <f>+Drivers!FE633</f>
        <v>2692.5401311688884</v>
      </c>
      <c r="I170" s="79">
        <f>+Drivers!FF633</f>
        <v>2687.9200451232196</v>
      </c>
      <c r="J170" s="79">
        <f>+Drivers!FG633</f>
        <v>2684.1546656111086</v>
      </c>
      <c r="K170" s="79">
        <f>+Drivers!FH633</f>
        <v>2682.1479728793042</v>
      </c>
    </row>
    <row r="171" spans="1:12" hidden="1" x14ac:dyDescent="0.3">
      <c r="A171" s="177" t="s">
        <v>3252</v>
      </c>
      <c r="B171" s="365" t="e">
        <f t="shared" ref="B171:K171" si="42">+B172-B170-B169</f>
        <v>#REF!</v>
      </c>
      <c r="C171" s="365" t="e">
        <f t="shared" si="42"/>
        <v>#REF!</v>
      </c>
      <c r="D171" s="365" t="e">
        <f t="shared" si="42"/>
        <v>#REF!</v>
      </c>
      <c r="E171" s="365" t="e">
        <f t="shared" si="42"/>
        <v>#REF!</v>
      </c>
      <c r="F171" s="365" t="e">
        <f t="shared" si="42"/>
        <v>#REF!</v>
      </c>
      <c r="G171" s="365" t="e">
        <f t="shared" si="42"/>
        <v>#REF!</v>
      </c>
      <c r="H171" s="365" t="e">
        <f t="shared" si="42"/>
        <v>#REF!</v>
      </c>
      <c r="I171" s="365" t="e">
        <f t="shared" si="42"/>
        <v>#REF!</v>
      </c>
      <c r="J171" s="365" t="e">
        <f t="shared" si="42"/>
        <v>#REF!</v>
      </c>
      <c r="K171" s="365" t="e">
        <f t="shared" si="42"/>
        <v>#REF!</v>
      </c>
    </row>
    <row r="172" spans="1:12" hidden="1" x14ac:dyDescent="0.3">
      <c r="A172" s="298" t="s">
        <v>3253</v>
      </c>
      <c r="B172" s="252" t="e">
        <f>+Drivers!EI636</f>
        <v>#REF!</v>
      </c>
      <c r="C172" s="252" t="e">
        <f>+Drivers!EN636</f>
        <v>#REF!</v>
      </c>
      <c r="D172" s="252" t="e">
        <f>+Drivers!ES636</f>
        <v>#REF!</v>
      </c>
      <c r="E172" s="252" t="e">
        <f>+Drivers!EX636</f>
        <v>#REF!</v>
      </c>
      <c r="F172" s="252" t="e">
        <f>+Drivers!FC636</f>
        <v>#REF!</v>
      </c>
      <c r="G172" s="252" t="e">
        <f>+Drivers!FD636</f>
        <v>#REF!</v>
      </c>
      <c r="H172" s="252" t="e">
        <f>+Drivers!FE636</f>
        <v>#REF!</v>
      </c>
      <c r="I172" s="252" t="e">
        <f>+Drivers!FF636</f>
        <v>#REF!</v>
      </c>
      <c r="J172" s="252" t="e">
        <f>+Drivers!FG636</f>
        <v>#REF!</v>
      </c>
      <c r="K172" s="252" t="e">
        <f>+Drivers!FH636</f>
        <v>#REF!</v>
      </c>
    </row>
    <row r="173" spans="1:12" hidden="1" x14ac:dyDescent="0.3"/>
    <row r="174" spans="1:12" hidden="1" x14ac:dyDescent="0.3">
      <c r="A174" t="s">
        <v>3254</v>
      </c>
      <c r="B174" s="365">
        <f t="shared" ref="B174:K174" si="43">+B169*B178</f>
        <v>571.62374999999997</v>
      </c>
      <c r="C174" s="365">
        <f t="shared" si="43"/>
        <v>649.46852999999987</v>
      </c>
      <c r="D174" s="365">
        <f t="shared" si="43"/>
        <v>787.81725900000004</v>
      </c>
      <c r="E174" s="365">
        <f t="shared" si="43"/>
        <v>970.85104200000012</v>
      </c>
      <c r="F174" s="365">
        <f t="shared" si="43"/>
        <v>1204.893509699539</v>
      </c>
      <c r="G174" s="365">
        <f t="shared" si="43"/>
        <v>1486.4727506633042</v>
      </c>
      <c r="H174" s="365">
        <f t="shared" si="43"/>
        <v>1774.1199037491303</v>
      </c>
      <c r="I174" s="365">
        <f t="shared" si="43"/>
        <v>2033.6049538130208</v>
      </c>
      <c r="J174" s="365">
        <f t="shared" si="43"/>
        <v>2256.7513154846615</v>
      </c>
      <c r="K174" s="365">
        <f t="shared" si="43"/>
        <v>2450.4818462667995</v>
      </c>
    </row>
    <row r="175" spans="1:12" hidden="1" x14ac:dyDescent="0.3">
      <c r="A175" s="177" t="s">
        <v>3255</v>
      </c>
      <c r="B175" s="365" t="e">
        <f t="shared" ref="B175:K175" si="44">+B170*B179</f>
        <v>#REF!</v>
      </c>
      <c r="C175" s="365">
        <f t="shared" si="44"/>
        <v>1046.8</v>
      </c>
      <c r="D175" s="365">
        <f t="shared" si="44"/>
        <v>1031.6000000000001</v>
      </c>
      <c r="E175" s="365">
        <f t="shared" si="44"/>
        <v>1084</v>
      </c>
      <c r="F175" s="365">
        <f t="shared" si="44"/>
        <v>1080.9152800005559</v>
      </c>
      <c r="G175" s="365">
        <f t="shared" si="44"/>
        <v>1079.054085226961</v>
      </c>
      <c r="H175" s="365">
        <f t="shared" si="44"/>
        <v>1077.0160524675555</v>
      </c>
      <c r="I175" s="365">
        <f t="shared" si="44"/>
        <v>1075.1680180492879</v>
      </c>
      <c r="J175" s="365">
        <f t="shared" si="44"/>
        <v>1073.6618662444434</v>
      </c>
      <c r="K175" s="365">
        <f t="shared" si="44"/>
        <v>1072.8591891517217</v>
      </c>
    </row>
    <row r="176" spans="1:12" hidden="1" x14ac:dyDescent="0.3">
      <c r="A176" s="177" t="s">
        <v>3256</v>
      </c>
      <c r="B176" s="365" t="e">
        <f t="shared" ref="B176:K176" si="45">+B177-B175-B174</f>
        <v>#REF!</v>
      </c>
      <c r="C176" s="365">
        <f t="shared" si="45"/>
        <v>384.73147000000017</v>
      </c>
      <c r="D176" s="365">
        <f t="shared" si="45"/>
        <v>309.58274099999983</v>
      </c>
      <c r="E176" s="365">
        <f t="shared" si="45"/>
        <v>199.14895799999988</v>
      </c>
      <c r="F176" s="365">
        <f t="shared" si="45"/>
        <v>130.6458072115995</v>
      </c>
      <c r="G176" s="365">
        <f t="shared" si="45"/>
        <v>111.4862030859947</v>
      </c>
      <c r="H176" s="365">
        <f t="shared" si="45"/>
        <v>142.74036826981001</v>
      </c>
      <c r="I176" s="365">
        <f t="shared" si="45"/>
        <v>163.2308567849243</v>
      </c>
      <c r="J176" s="365">
        <f t="shared" si="45"/>
        <v>203.26626536535287</v>
      </c>
      <c r="K176" s="365">
        <f t="shared" si="45"/>
        <v>255.16215545767591</v>
      </c>
    </row>
    <row r="177" spans="1:11" hidden="1" x14ac:dyDescent="0.3">
      <c r="A177" s="298" t="s">
        <v>1989</v>
      </c>
      <c r="B177" s="252">
        <f>+Drivers!EI530</f>
        <v>2526</v>
      </c>
      <c r="C177" s="252">
        <f>+Drivers!EN530</f>
        <v>2081</v>
      </c>
      <c r="D177" s="252">
        <f>+Drivers!ES530</f>
        <v>2129</v>
      </c>
      <c r="E177" s="252">
        <f>+Drivers!EX530</f>
        <v>2254</v>
      </c>
      <c r="F177" s="252">
        <f>+Drivers!FC530</f>
        <v>2416.4545969116944</v>
      </c>
      <c r="G177" s="252">
        <f>+Drivers!FD530</f>
        <v>2677.0130389762598</v>
      </c>
      <c r="H177" s="252">
        <f>+Drivers!FE530</f>
        <v>2993.8763244864958</v>
      </c>
      <c r="I177" s="252">
        <f>+Drivers!FF530</f>
        <v>3272.0038286472327</v>
      </c>
      <c r="J177" s="252">
        <f>+Drivers!FG530</f>
        <v>3533.6794470944578</v>
      </c>
      <c r="K177" s="252">
        <f>+Drivers!FH530</f>
        <v>3778.5031908761971</v>
      </c>
    </row>
    <row r="178" spans="1:11" hidden="1" x14ac:dyDescent="0.3">
      <c r="A178" s="94" t="s">
        <v>3257</v>
      </c>
      <c r="B178" s="87">
        <v>0.6</v>
      </c>
      <c r="C178" s="375">
        <f t="shared" ref="C178:K179" si="46">+B178</f>
        <v>0.6</v>
      </c>
      <c r="D178" s="375">
        <f>+C178</f>
        <v>0.6</v>
      </c>
      <c r="E178" s="375">
        <f t="shared" si="46"/>
        <v>0.6</v>
      </c>
      <c r="F178" s="375">
        <f t="shared" si="46"/>
        <v>0.6</v>
      </c>
      <c r="G178" s="375">
        <f t="shared" si="46"/>
        <v>0.6</v>
      </c>
      <c r="H178" s="375">
        <f t="shared" si="46"/>
        <v>0.6</v>
      </c>
      <c r="I178" s="375">
        <f t="shared" si="46"/>
        <v>0.6</v>
      </c>
      <c r="J178" s="375">
        <f t="shared" si="46"/>
        <v>0.6</v>
      </c>
      <c r="K178" s="375">
        <f t="shared" si="46"/>
        <v>0.6</v>
      </c>
    </row>
    <row r="179" spans="1:11" hidden="1" x14ac:dyDescent="0.3">
      <c r="A179" s="94" t="s">
        <v>3258</v>
      </c>
      <c r="B179" s="87">
        <v>0.4</v>
      </c>
      <c r="C179" s="375">
        <f t="shared" si="46"/>
        <v>0.4</v>
      </c>
      <c r="D179" s="375">
        <f>+C179</f>
        <v>0.4</v>
      </c>
      <c r="E179" s="375">
        <f t="shared" si="46"/>
        <v>0.4</v>
      </c>
      <c r="F179" s="375">
        <f t="shared" si="46"/>
        <v>0.4</v>
      </c>
      <c r="G179" s="375">
        <f t="shared" si="46"/>
        <v>0.4</v>
      </c>
      <c r="H179" s="375">
        <f t="shared" si="46"/>
        <v>0.4</v>
      </c>
      <c r="I179" s="375">
        <f t="shared" si="46"/>
        <v>0.4</v>
      </c>
      <c r="J179" s="375">
        <f t="shared" si="46"/>
        <v>0.4</v>
      </c>
      <c r="K179" s="375">
        <f t="shared" si="46"/>
        <v>0.4</v>
      </c>
    </row>
    <row r="180" spans="1:11" hidden="1" x14ac:dyDescent="0.3">
      <c r="A180" s="94" t="s">
        <v>3259</v>
      </c>
      <c r="B180" s="75" t="e">
        <f t="shared" ref="B180:K181" si="47">+B176/B171</f>
        <v>#REF!</v>
      </c>
      <c r="C180" s="75" t="e">
        <f t="shared" si="47"/>
        <v>#REF!</v>
      </c>
      <c r="D180" s="75" t="e">
        <f t="shared" si="47"/>
        <v>#REF!</v>
      </c>
      <c r="E180" s="75" t="e">
        <f t="shared" si="47"/>
        <v>#REF!</v>
      </c>
      <c r="F180" s="75" t="e">
        <f t="shared" si="47"/>
        <v>#REF!</v>
      </c>
      <c r="G180" s="75" t="e">
        <f t="shared" si="47"/>
        <v>#REF!</v>
      </c>
      <c r="H180" s="75" t="e">
        <f t="shared" si="47"/>
        <v>#REF!</v>
      </c>
      <c r="I180" s="75" t="e">
        <f t="shared" si="47"/>
        <v>#REF!</v>
      </c>
      <c r="J180" s="75" t="e">
        <f t="shared" si="47"/>
        <v>#REF!</v>
      </c>
      <c r="K180" s="75" t="e">
        <f t="shared" si="47"/>
        <v>#REF!</v>
      </c>
    </row>
    <row r="181" spans="1:11" hidden="1" x14ac:dyDescent="0.3">
      <c r="A181" s="94" t="s">
        <v>304</v>
      </c>
      <c r="B181" s="75" t="e">
        <f t="shared" si="47"/>
        <v>#REF!</v>
      </c>
      <c r="C181" s="75" t="e">
        <f t="shared" si="47"/>
        <v>#REF!</v>
      </c>
      <c r="D181" s="75" t="e">
        <f t="shared" si="47"/>
        <v>#REF!</v>
      </c>
      <c r="E181" s="75" t="e">
        <f t="shared" si="47"/>
        <v>#REF!</v>
      </c>
      <c r="F181" s="75" t="e">
        <f t="shared" si="47"/>
        <v>#REF!</v>
      </c>
      <c r="G181" s="75" t="e">
        <f t="shared" si="47"/>
        <v>#REF!</v>
      </c>
      <c r="H181" s="75" t="e">
        <f t="shared" si="47"/>
        <v>#REF!</v>
      </c>
      <c r="I181" s="75" t="e">
        <f t="shared" si="47"/>
        <v>#REF!</v>
      </c>
      <c r="J181" s="75" t="e">
        <f t="shared" si="47"/>
        <v>#REF!</v>
      </c>
      <c r="K181" s="75" t="e">
        <f t="shared" si="47"/>
        <v>#REF!</v>
      </c>
    </row>
    <row r="182" spans="1:11" hidden="1" x14ac:dyDescent="0.3"/>
    <row r="183" spans="1:11" hidden="1" x14ac:dyDescent="0.3">
      <c r="A183" t="s">
        <v>3260</v>
      </c>
      <c r="B183" s="365">
        <f t="shared" ref="B183:K183" si="48">+B174*B187</f>
        <v>7145.296875</v>
      </c>
      <c r="C183" s="365">
        <f t="shared" si="48"/>
        <v>8118.3566249999985</v>
      </c>
      <c r="D183" s="365">
        <f t="shared" si="48"/>
        <v>9847.7157375000006</v>
      </c>
      <c r="E183" s="365">
        <f t="shared" si="48"/>
        <v>12135.638025000002</v>
      </c>
      <c r="F183" s="365">
        <f t="shared" si="48"/>
        <v>15061.168871244237</v>
      </c>
      <c r="G183" s="365">
        <f t="shared" si="48"/>
        <v>18580.909383291302</v>
      </c>
      <c r="H183" s="365">
        <f t="shared" si="48"/>
        <v>22176.498796864129</v>
      </c>
      <c r="I183" s="365">
        <f t="shared" si="48"/>
        <v>25420.06192266276</v>
      </c>
      <c r="J183" s="365">
        <f t="shared" si="48"/>
        <v>28209.39144355827</v>
      </c>
      <c r="K183" s="365">
        <f t="shared" si="48"/>
        <v>30631.023078334994</v>
      </c>
    </row>
    <row r="184" spans="1:11" hidden="1" x14ac:dyDescent="0.3">
      <c r="A184" s="177" t="s">
        <v>3261</v>
      </c>
      <c r="B184" s="365" t="e">
        <f t="shared" ref="B184:K184" si="49">+B175*B188</f>
        <v>#REF!</v>
      </c>
      <c r="C184" s="365">
        <f t="shared" si="49"/>
        <v>3663.7999999999997</v>
      </c>
      <c r="D184" s="365">
        <f t="shared" si="49"/>
        <v>3610.6000000000004</v>
      </c>
      <c r="E184" s="365">
        <f t="shared" si="49"/>
        <v>3794</v>
      </c>
      <c r="F184" s="365">
        <f t="shared" si="49"/>
        <v>3783.2034800019455</v>
      </c>
      <c r="G184" s="365">
        <f t="shared" si="49"/>
        <v>3776.6892982943637</v>
      </c>
      <c r="H184" s="365">
        <f t="shared" si="49"/>
        <v>3769.5561836364441</v>
      </c>
      <c r="I184" s="365">
        <f t="shared" si="49"/>
        <v>3763.0880631725076</v>
      </c>
      <c r="J184" s="365">
        <f t="shared" si="49"/>
        <v>3757.8165318555521</v>
      </c>
      <c r="K184" s="365">
        <f t="shared" si="49"/>
        <v>3755.0071620310259</v>
      </c>
    </row>
    <row r="185" spans="1:11" hidden="1" x14ac:dyDescent="0.3">
      <c r="A185" s="177" t="s">
        <v>3262</v>
      </c>
      <c r="B185" s="365" t="e">
        <f t="shared" ref="B185:K185" si="50">+B176*B189</f>
        <v>#REF!</v>
      </c>
      <c r="C185" s="365">
        <f t="shared" si="50"/>
        <v>1346.5601450000006</v>
      </c>
      <c r="D185" s="365">
        <f t="shared" si="50"/>
        <v>1083.5395934999995</v>
      </c>
      <c r="E185" s="365">
        <f t="shared" si="50"/>
        <v>697.02135299999964</v>
      </c>
      <c r="F185" s="365">
        <f t="shared" si="50"/>
        <v>457.26032524059826</v>
      </c>
      <c r="G185" s="365">
        <f t="shared" si="50"/>
        <v>390.20171080098146</v>
      </c>
      <c r="H185" s="365">
        <f t="shared" si="50"/>
        <v>499.59128894433502</v>
      </c>
      <c r="I185" s="365">
        <f t="shared" si="50"/>
        <v>571.30799874723505</v>
      </c>
      <c r="J185" s="365">
        <f t="shared" si="50"/>
        <v>711.43192877873503</v>
      </c>
      <c r="K185" s="365">
        <f t="shared" si="50"/>
        <v>893.06754410186568</v>
      </c>
    </row>
    <row r="186" spans="1:11" hidden="1" x14ac:dyDescent="0.3">
      <c r="A186" s="298" t="s">
        <v>1631</v>
      </c>
      <c r="B186" s="387" t="e">
        <f t="shared" ref="B186:K186" si="51">+SUM(B183:B185)</f>
        <v>#REF!</v>
      </c>
      <c r="C186" s="387">
        <f t="shared" si="51"/>
        <v>13128.716769999999</v>
      </c>
      <c r="D186" s="387">
        <f t="shared" si="51"/>
        <v>14541.855331000001</v>
      </c>
      <c r="E186" s="387">
        <f t="shared" si="51"/>
        <v>16626.659378</v>
      </c>
      <c r="F186" s="387">
        <f t="shared" si="51"/>
        <v>19301.632676486781</v>
      </c>
      <c r="G186" s="387">
        <f t="shared" si="51"/>
        <v>22747.800392386649</v>
      </c>
      <c r="H186" s="387">
        <f t="shared" si="51"/>
        <v>26445.646269444907</v>
      </c>
      <c r="I186" s="387">
        <f t="shared" si="51"/>
        <v>29754.457984582503</v>
      </c>
      <c r="J186" s="387">
        <f t="shared" si="51"/>
        <v>32678.639904192558</v>
      </c>
      <c r="K186" s="387">
        <f t="shared" si="51"/>
        <v>35279.097784467886</v>
      </c>
    </row>
    <row r="187" spans="1:11" hidden="1" x14ac:dyDescent="0.3">
      <c r="A187" s="94" t="s">
        <v>3263</v>
      </c>
      <c r="B187" s="385">
        <v>12.5</v>
      </c>
      <c r="C187" s="386">
        <f t="shared" ref="C187:K187" si="52">+B187</f>
        <v>12.5</v>
      </c>
      <c r="D187" s="386">
        <f>+C187</f>
        <v>12.5</v>
      </c>
      <c r="E187" s="386">
        <f t="shared" si="52"/>
        <v>12.5</v>
      </c>
      <c r="F187" s="386">
        <f t="shared" si="52"/>
        <v>12.5</v>
      </c>
      <c r="G187" s="386">
        <f t="shared" si="52"/>
        <v>12.5</v>
      </c>
      <c r="H187" s="386">
        <f t="shared" si="52"/>
        <v>12.5</v>
      </c>
      <c r="I187" s="386">
        <f t="shared" si="52"/>
        <v>12.5</v>
      </c>
      <c r="J187" s="386">
        <f t="shared" si="52"/>
        <v>12.5</v>
      </c>
      <c r="K187" s="386">
        <f t="shared" si="52"/>
        <v>12.5</v>
      </c>
    </row>
    <row r="188" spans="1:11" hidden="1" x14ac:dyDescent="0.3">
      <c r="A188" s="94" t="s">
        <v>3264</v>
      </c>
      <c r="B188" s="385">
        <v>3.5</v>
      </c>
      <c r="C188" s="386">
        <f t="shared" ref="C188:K189" si="53">+B188</f>
        <v>3.5</v>
      </c>
      <c r="D188" s="386">
        <f>+C188</f>
        <v>3.5</v>
      </c>
      <c r="E188" s="386">
        <f t="shared" si="53"/>
        <v>3.5</v>
      </c>
      <c r="F188" s="386">
        <f t="shared" si="53"/>
        <v>3.5</v>
      </c>
      <c r="G188" s="386">
        <f t="shared" si="53"/>
        <v>3.5</v>
      </c>
      <c r="H188" s="386">
        <f t="shared" si="53"/>
        <v>3.5</v>
      </c>
      <c r="I188" s="386">
        <f t="shared" si="53"/>
        <v>3.5</v>
      </c>
      <c r="J188" s="386">
        <f t="shared" si="53"/>
        <v>3.5</v>
      </c>
      <c r="K188" s="386">
        <f t="shared" si="53"/>
        <v>3.5</v>
      </c>
    </row>
    <row r="189" spans="1:11" hidden="1" x14ac:dyDescent="0.3">
      <c r="A189" s="94" t="s">
        <v>3265</v>
      </c>
      <c r="B189" s="385">
        <v>3.5</v>
      </c>
      <c r="C189" s="386">
        <f t="shared" si="53"/>
        <v>3.5</v>
      </c>
      <c r="D189" s="386">
        <f>+C189</f>
        <v>3.5</v>
      </c>
      <c r="E189" s="386">
        <f t="shared" si="53"/>
        <v>3.5</v>
      </c>
      <c r="F189" s="386">
        <f t="shared" si="53"/>
        <v>3.5</v>
      </c>
      <c r="G189" s="386">
        <f t="shared" si="53"/>
        <v>3.5</v>
      </c>
      <c r="H189" s="386">
        <f t="shared" si="53"/>
        <v>3.5</v>
      </c>
      <c r="I189" s="386">
        <f t="shared" si="53"/>
        <v>3.5</v>
      </c>
      <c r="J189" s="386">
        <f t="shared" si="53"/>
        <v>3.5</v>
      </c>
      <c r="K189" s="386">
        <f t="shared" si="53"/>
        <v>3.5</v>
      </c>
    </row>
    <row r="190" spans="1:11" hidden="1" x14ac:dyDescent="0.3">
      <c r="A190" s="94" t="s">
        <v>3266</v>
      </c>
      <c r="B190" s="386" t="e">
        <f>+B186/B177</f>
        <v>#REF!</v>
      </c>
      <c r="C190" s="386">
        <f t="shared" ref="C190:K190" si="54">+C186/C177</f>
        <v>6.3088499615569438</v>
      </c>
      <c r="D190" s="386">
        <f t="shared" si="54"/>
        <v>6.8303688731798973</v>
      </c>
      <c r="E190" s="386">
        <f t="shared" si="54"/>
        <v>7.376512590062112</v>
      </c>
      <c r="F190" s="386">
        <f t="shared" si="54"/>
        <v>7.9875834212465158</v>
      </c>
      <c r="G190" s="386">
        <f t="shared" si="54"/>
        <v>8.4974559560179941</v>
      </c>
      <c r="H190" s="386">
        <f t="shared" si="54"/>
        <v>8.8332460673641275</v>
      </c>
      <c r="I190" s="386">
        <f t="shared" si="54"/>
        <v>9.0936501125318348</v>
      </c>
      <c r="J190" s="386">
        <f t="shared" si="54"/>
        <v>9.247765790148943</v>
      </c>
      <c r="K190" s="386">
        <f t="shared" si="54"/>
        <v>9.3367918464790325</v>
      </c>
    </row>
    <row r="191" spans="1:11" hidden="1" x14ac:dyDescent="0.3"/>
    <row r="192" spans="1:11" hidden="1" x14ac:dyDescent="0.3">
      <c r="A192" t="s">
        <v>3267</v>
      </c>
      <c r="B192" s="365" t="e">
        <f t="shared" ref="B192:C194" si="55">+B183/B$186*B$195</f>
        <v>#REF!</v>
      </c>
      <c r="C192" s="365">
        <f t="shared" si="55"/>
        <v>8118.3566249999985</v>
      </c>
      <c r="D192" s="365">
        <f t="shared" ref="D192:K192" si="56">+D183/D$186*D$195</f>
        <v>17168.903606227843</v>
      </c>
      <c r="E192" s="365">
        <f t="shared" si="56"/>
        <v>12135.638025000002</v>
      </c>
      <c r="F192" s="365">
        <f t="shared" si="56"/>
        <v>15061.168871244237</v>
      </c>
      <c r="G192" s="365">
        <f t="shared" si="56"/>
        <v>18580.909383291302</v>
      </c>
      <c r="H192" s="365">
        <f t="shared" si="56"/>
        <v>22176.498796864129</v>
      </c>
      <c r="I192" s="365">
        <f t="shared" si="56"/>
        <v>25420.06192266276</v>
      </c>
      <c r="J192" s="365">
        <f t="shared" si="56"/>
        <v>28209.39144355827</v>
      </c>
      <c r="K192" s="365">
        <f t="shared" si="56"/>
        <v>30631.023078334994</v>
      </c>
    </row>
    <row r="193" spans="1:12" hidden="1" x14ac:dyDescent="0.3">
      <c r="A193" s="177" t="s">
        <v>3268</v>
      </c>
      <c r="B193" s="365" t="e">
        <f t="shared" si="55"/>
        <v>#REF!</v>
      </c>
      <c r="C193" s="365">
        <f t="shared" si="55"/>
        <v>3663.7999999999997</v>
      </c>
      <c r="D193" s="365">
        <f t="shared" ref="D193:K193" si="57">+D184/D$186*D$195</f>
        <v>6294.8652269265658</v>
      </c>
      <c r="E193" s="365">
        <f t="shared" si="57"/>
        <v>3794</v>
      </c>
      <c r="F193" s="365">
        <f t="shared" si="57"/>
        <v>3783.2034800019455</v>
      </c>
      <c r="G193" s="365">
        <f t="shared" si="57"/>
        <v>3776.6892982943637</v>
      </c>
      <c r="H193" s="365">
        <f t="shared" si="57"/>
        <v>3769.5561836364445</v>
      </c>
      <c r="I193" s="365">
        <f t="shared" si="57"/>
        <v>3763.0880631725072</v>
      </c>
      <c r="J193" s="365">
        <f t="shared" si="57"/>
        <v>3757.8165318555521</v>
      </c>
      <c r="K193" s="365">
        <f t="shared" si="57"/>
        <v>3755.0071620310259</v>
      </c>
    </row>
    <row r="194" spans="1:12" hidden="1" x14ac:dyDescent="0.3">
      <c r="A194" s="177" t="s">
        <v>3269</v>
      </c>
      <c r="B194" s="365" t="e">
        <f t="shared" si="55"/>
        <v>#REF!</v>
      </c>
      <c r="C194" s="365">
        <f t="shared" si="55"/>
        <v>1346.5601450000006</v>
      </c>
      <c r="D194" s="365">
        <f t="shared" ref="D194:K194" si="58">+D185/D$186*D$195</f>
        <v>1889.0864978455911</v>
      </c>
      <c r="E194" s="365">
        <f t="shared" si="58"/>
        <v>697.02135299999964</v>
      </c>
      <c r="F194" s="365">
        <f t="shared" si="58"/>
        <v>457.26032524059826</v>
      </c>
      <c r="G194" s="365">
        <f t="shared" si="58"/>
        <v>390.20171080098146</v>
      </c>
      <c r="H194" s="365">
        <f t="shared" si="58"/>
        <v>499.59128894433502</v>
      </c>
      <c r="I194" s="365">
        <f t="shared" si="58"/>
        <v>571.30799874723505</v>
      </c>
      <c r="J194" s="365">
        <f t="shared" si="58"/>
        <v>711.43192877873503</v>
      </c>
      <c r="K194" s="365">
        <f t="shared" si="58"/>
        <v>893.06754410186568</v>
      </c>
    </row>
    <row r="195" spans="1:12" hidden="1" x14ac:dyDescent="0.3">
      <c r="A195" s="298" t="s">
        <v>1633</v>
      </c>
      <c r="B195" s="387" t="e">
        <f>+B186-C9+C10+C12</f>
        <v>#REF!</v>
      </c>
      <c r="C195" s="387">
        <f>+C186-D9+D10+D12</f>
        <v>13128.716769999999</v>
      </c>
      <c r="D195" s="387">
        <f t="shared" ref="D195:K195" si="59">+D186-E9+E10+E12</f>
        <v>25352.855330999999</v>
      </c>
      <c r="E195" s="387">
        <f t="shared" si="59"/>
        <v>16626.659378</v>
      </c>
      <c r="F195" s="387">
        <f t="shared" si="59"/>
        <v>19301.632676486781</v>
      </c>
      <c r="G195" s="387">
        <f t="shared" si="59"/>
        <v>22747.800392386649</v>
      </c>
      <c r="H195" s="387">
        <f t="shared" si="59"/>
        <v>26445.646269444907</v>
      </c>
      <c r="I195" s="387">
        <f t="shared" si="59"/>
        <v>29754.457984582503</v>
      </c>
      <c r="J195" s="387">
        <f t="shared" si="59"/>
        <v>32678.639904192558</v>
      </c>
      <c r="K195" s="387">
        <f t="shared" si="59"/>
        <v>35279.097784467886</v>
      </c>
    </row>
    <row r="196" spans="1:12" hidden="1" x14ac:dyDescent="0.3">
      <c r="A196" s="94"/>
    </row>
    <row r="197" spans="1:12" hidden="1" x14ac:dyDescent="0.3">
      <c r="A197" t="s">
        <v>3270</v>
      </c>
      <c r="B197" s="379" t="e">
        <f t="shared" ref="B197:C200" si="60">+B192/B$201</f>
        <v>#REF!</v>
      </c>
      <c r="C197" s="379">
        <f t="shared" si="60"/>
        <v>33.156182176440986</v>
      </c>
      <c r="D197" s="379">
        <f t="shared" ref="D197:K197" si="61">+D192/D$201</f>
        <v>69.868250949809052</v>
      </c>
      <c r="E197" s="379">
        <f t="shared" si="61"/>
        <v>48.813602843684009</v>
      </c>
      <c r="F197" s="379">
        <f t="shared" si="61"/>
        <v>61.468889896148646</v>
      </c>
      <c r="G197" s="379">
        <f t="shared" si="61"/>
        <v>75.833946409864069</v>
      </c>
      <c r="H197" s="379">
        <f t="shared" si="61"/>
        <v>90.508563742961343</v>
      </c>
      <c r="I197" s="379">
        <f t="shared" si="61"/>
        <v>103.74646223247298</v>
      </c>
      <c r="J197" s="379">
        <f t="shared" si="61"/>
        <v>115.13050491002106</v>
      </c>
      <c r="K197" s="379">
        <f t="shared" si="61"/>
        <v>130.27932718249653</v>
      </c>
    </row>
    <row r="198" spans="1:12" hidden="1" x14ac:dyDescent="0.3">
      <c r="A198" s="177" t="s">
        <v>3271</v>
      </c>
      <c r="B198" s="379" t="e">
        <f t="shared" si="60"/>
        <v>#REF!</v>
      </c>
      <c r="C198" s="379">
        <f t="shared" si="60"/>
        <v>14.963326430371552</v>
      </c>
      <c r="D198" s="379">
        <f t="shared" ref="D198:K198" si="62">+D193/D$201</f>
        <v>25.616733220553176</v>
      </c>
      <c r="E198" s="379">
        <f t="shared" si="62"/>
        <v>15.260739386542232</v>
      </c>
      <c r="F198" s="379">
        <f t="shared" si="62"/>
        <v>15.440323400859297</v>
      </c>
      <c r="G198" s="379">
        <f t="shared" si="62"/>
        <v>15.413737182912337</v>
      </c>
      <c r="H198" s="379">
        <f t="shared" si="62"/>
        <v>15.384624924542976</v>
      </c>
      <c r="I198" s="379">
        <f t="shared" si="62"/>
        <v>15.358226695558779</v>
      </c>
      <c r="J198" s="379">
        <f t="shared" si="62"/>
        <v>15.336712085313309</v>
      </c>
      <c r="K198" s="379">
        <f t="shared" si="62"/>
        <v>15.970730242466624</v>
      </c>
    </row>
    <row r="199" spans="1:12" hidden="1" x14ac:dyDescent="0.3">
      <c r="A199" s="177" t="s">
        <v>3272</v>
      </c>
      <c r="B199" s="379" t="e">
        <f t="shared" si="60"/>
        <v>#REF!</v>
      </c>
      <c r="C199" s="379">
        <f t="shared" si="60"/>
        <v>5.4994866007324257</v>
      </c>
      <c r="D199" s="379">
        <f t="shared" ref="D199:K199" si="63">+D194/D$201</f>
        <v>7.6875712348629346</v>
      </c>
      <c r="E199" s="379">
        <f t="shared" si="63"/>
        <v>2.8036534567707041</v>
      </c>
      <c r="F199" s="379">
        <f t="shared" si="63"/>
        <v>1.8662087137045327</v>
      </c>
      <c r="G199" s="379">
        <f t="shared" si="63"/>
        <v>1.5925235420677473</v>
      </c>
      <c r="H199" s="379">
        <f t="shared" si="63"/>
        <v>2.0389733489959432</v>
      </c>
      <c r="I199" s="379">
        <f t="shared" si="63"/>
        <v>2.331669525253897</v>
      </c>
      <c r="J199" s="379">
        <f t="shared" si="63"/>
        <v>2.9035549147980584</v>
      </c>
      <c r="K199" s="379">
        <f t="shared" si="63"/>
        <v>3.7983791294391183</v>
      </c>
    </row>
    <row r="200" spans="1:12" hidden="1" x14ac:dyDescent="0.3">
      <c r="A200" s="298" t="s">
        <v>3273</v>
      </c>
      <c r="B200" s="388" t="e">
        <f t="shared" si="60"/>
        <v>#REF!</v>
      </c>
      <c r="C200" s="388">
        <f t="shared" si="60"/>
        <v>53.618995207544963</v>
      </c>
      <c r="D200" s="388">
        <f t="shared" ref="D200:K200" si="64">+D195/D$201</f>
        <v>103.17255540522515</v>
      </c>
      <c r="E200" s="388">
        <f t="shared" si="64"/>
        <v>66.87799568699694</v>
      </c>
      <c r="F200" s="388">
        <f t="shared" si="64"/>
        <v>78.775422010712475</v>
      </c>
      <c r="G200" s="388">
        <f t="shared" si="64"/>
        <v>92.840207134844164</v>
      </c>
      <c r="H200" s="388">
        <f t="shared" si="64"/>
        <v>107.93216201650026</v>
      </c>
      <c r="I200" s="388">
        <f t="shared" si="64"/>
        <v>121.43635845328565</v>
      </c>
      <c r="J200" s="388">
        <f t="shared" si="64"/>
        <v>133.37077191013245</v>
      </c>
      <c r="K200" s="388">
        <f t="shared" si="64"/>
        <v>150.04843655440229</v>
      </c>
    </row>
    <row r="201" spans="1:12" hidden="1" x14ac:dyDescent="0.3">
      <c r="A201" t="s">
        <v>3274</v>
      </c>
      <c r="B201" s="80">
        <f>+'Model Main'!EI80</f>
        <v>244.30799999999999</v>
      </c>
      <c r="C201" s="80">
        <f>+'Model Main'!EN80</f>
        <v>244.85197305884239</v>
      </c>
      <c r="D201" s="80">
        <f>+'Model Main'!ES80</f>
        <v>245.73255195069063</v>
      </c>
      <c r="E201" s="80">
        <f>+'Model Main'!EX80</f>
        <v>248.61180732473289</v>
      </c>
      <c r="F201" s="80">
        <f>+'Model Main'!FC80</f>
        <v>245.02099999999999</v>
      </c>
      <c r="G201" s="80">
        <f>+'Model Main'!FD80</f>
        <v>245.02099999999999</v>
      </c>
      <c r="H201" s="80">
        <f>+'Model Main'!FE80</f>
        <v>245.02099999999999</v>
      </c>
      <c r="I201" s="80">
        <f>+'Model Main'!FF80</f>
        <v>245.02099999999999</v>
      </c>
      <c r="J201" s="80">
        <f>+'Model Main'!FG80</f>
        <v>245.02099999999999</v>
      </c>
      <c r="K201" s="80">
        <f>+'Model Main'!FH80</f>
        <v>235.11806317073439</v>
      </c>
    </row>
    <row r="203" spans="1:12" hidden="1" outlineLevel="1" x14ac:dyDescent="0.3">
      <c r="A203" s="200" t="s">
        <v>3275</v>
      </c>
      <c r="B203" s="201"/>
      <c r="C203" s="201"/>
      <c r="D203" s="220"/>
      <c r="E203" s="201"/>
      <c r="F203" s="201"/>
      <c r="G203" s="201"/>
      <c r="H203" s="201"/>
      <c r="I203" s="201"/>
      <c r="J203" s="201"/>
      <c r="K203" s="201"/>
      <c r="L203" s="201"/>
    </row>
    <row r="204" spans="1:12" hidden="1" outlineLevel="1" x14ac:dyDescent="0.3">
      <c r="A204" s="228"/>
      <c r="B204" s="229">
        <f>+B19</f>
        <v>2023</v>
      </c>
      <c r="C204" s="229">
        <f>+C19</f>
        <v>2024</v>
      </c>
      <c r="D204" s="229">
        <f>+D19</f>
        <v>2025</v>
      </c>
      <c r="E204" s="229">
        <f>+E19</f>
        <v>2026</v>
      </c>
      <c r="F204" s="229">
        <f>+F19</f>
        <v>2027</v>
      </c>
    </row>
    <row r="205" spans="1:12" hidden="1" outlineLevel="1" x14ac:dyDescent="0.3">
      <c r="A205" s="230" t="s">
        <v>284</v>
      </c>
      <c r="B205" s="231"/>
      <c r="C205" s="232"/>
      <c r="D205" s="231"/>
      <c r="E205" s="231"/>
      <c r="F205" s="231"/>
    </row>
    <row r="206" spans="1:12" hidden="1" outlineLevel="1" x14ac:dyDescent="0.3">
      <c r="A206" s="233" t="s">
        <v>722</v>
      </c>
      <c r="B206" s="661" t="e">
        <f>+'Model Main'!EI40</f>
        <v>#REF!</v>
      </c>
      <c r="C206" s="661" t="e">
        <f>+'Model Main'!EN40</f>
        <v>#REF!</v>
      </c>
      <c r="D206" s="661" t="e">
        <f>+'Model Main'!ES40</f>
        <v>#REF!</v>
      </c>
      <c r="E206" s="661" t="e">
        <f>+'Model Main'!EX40</f>
        <v>#REF!</v>
      </c>
      <c r="F206" s="661" t="e">
        <f>+'Model Main'!FC40</f>
        <v>#REF!</v>
      </c>
      <c r="G206" s="661"/>
    </row>
    <row r="207" spans="1:12" hidden="1" outlineLevel="1" x14ac:dyDescent="0.3">
      <c r="A207" s="233" t="s">
        <v>726</v>
      </c>
      <c r="B207" s="234" t="str">
        <f>+IFERROR(B230,"")</f>
        <v/>
      </c>
      <c r="C207" s="234" t="str">
        <f>+IFERROR(C230,"")</f>
        <v/>
      </c>
      <c r="D207" s="234" t="str">
        <f>+IFERROR(D230,"")</f>
        <v/>
      </c>
      <c r="E207" s="234" t="str">
        <f>+IFERROR(E230,"")</f>
        <v/>
      </c>
      <c r="F207" s="234" t="str">
        <f>+IFERROR(F230,"")</f>
        <v/>
      </c>
      <c r="G207" s="234"/>
    </row>
    <row r="208" spans="1:12" hidden="1" outlineLevel="1" x14ac:dyDescent="0.3">
      <c r="A208" s="235" t="s">
        <v>3276</v>
      </c>
      <c r="B208" s="236" t="str">
        <f>+IFERROR(B206/B207-1,"")</f>
        <v/>
      </c>
      <c r="C208" s="236" t="str">
        <f>+IFERROR(C206/C207-1,"")</f>
        <v/>
      </c>
      <c r="D208" s="236" t="str">
        <f>+IFERROR(D206/D207-1,"")</f>
        <v/>
      </c>
      <c r="E208" s="236" t="str">
        <f>+IFERROR(E206/E207-1,"")</f>
        <v/>
      </c>
      <c r="F208" s="236" t="str">
        <f>+IFERROR(F206/F207-1,"")</f>
        <v/>
      </c>
      <c r="G208" s="236"/>
    </row>
    <row r="209" spans="1:7" hidden="1" outlineLevel="1" x14ac:dyDescent="0.3">
      <c r="A209" s="233"/>
      <c r="B209" s="232"/>
      <c r="C209" s="232"/>
      <c r="D209" s="232"/>
      <c r="E209" s="232"/>
      <c r="F209" s="232"/>
      <c r="G209" s="232"/>
    </row>
    <row r="210" spans="1:7" hidden="1" outlineLevel="1" x14ac:dyDescent="0.3">
      <c r="A210" s="230" t="s">
        <v>44</v>
      </c>
      <c r="B210" s="232"/>
      <c r="C210" s="232"/>
      <c r="D210" s="232"/>
      <c r="E210" s="232"/>
      <c r="F210" s="232"/>
      <c r="G210" s="232"/>
    </row>
    <row r="211" spans="1:7" hidden="1" outlineLevel="1" x14ac:dyDescent="0.3">
      <c r="A211" s="233" t="s">
        <v>722</v>
      </c>
      <c r="B211" s="661">
        <f>+'Model Main'!EI48</f>
        <v>2475</v>
      </c>
      <c r="C211" s="661">
        <f>+'Model Main'!EN48</f>
        <v>2080</v>
      </c>
      <c r="D211" s="661">
        <f>+'Model Main'!ES48</f>
        <v>2127</v>
      </c>
      <c r="E211" s="661">
        <f>+'Model Main'!EX48</f>
        <v>2251</v>
      </c>
      <c r="F211" s="661">
        <f>+'Model Main'!FC48</f>
        <v>2416.4545969116944</v>
      </c>
      <c r="G211" s="661"/>
    </row>
    <row r="212" spans="1:7" hidden="1" outlineLevel="1" x14ac:dyDescent="0.3">
      <c r="A212" s="233" t="s">
        <v>726</v>
      </c>
      <c r="B212" s="234" t="str">
        <f>+IFERROR(B231,"")</f>
        <v/>
      </c>
      <c r="C212" s="234" t="str">
        <f>+IFERROR(C231,"")</f>
        <v/>
      </c>
      <c r="D212" s="234" t="str">
        <f>+IFERROR(D231,"")</f>
        <v/>
      </c>
      <c r="E212" s="234" t="str">
        <f>+IFERROR(E231,"")</f>
        <v/>
      </c>
      <c r="F212" s="234" t="str">
        <f>+IFERROR(F231,"")</f>
        <v/>
      </c>
      <c r="G212" s="234"/>
    </row>
    <row r="213" spans="1:7" hidden="1" outlineLevel="1" x14ac:dyDescent="0.3">
      <c r="A213" s="235" t="s">
        <v>3276</v>
      </c>
      <c r="B213" s="237" t="str">
        <f>+IFERROR(B211/B212-1,"")</f>
        <v/>
      </c>
      <c r="C213" s="237" t="str">
        <f>+IFERROR(C211/C212-1,"")</f>
        <v/>
      </c>
      <c r="D213" s="237" t="str">
        <f>+IFERROR(D211/D212-1,"")</f>
        <v/>
      </c>
      <c r="E213" s="237" t="str">
        <f>+IFERROR(E211/E212-1,"")</f>
        <v/>
      </c>
      <c r="F213" s="237" t="str">
        <f>+IFERROR(F211/F212-1,"")</f>
        <v/>
      </c>
      <c r="G213" s="237"/>
    </row>
    <row r="214" spans="1:7" hidden="1" outlineLevel="1" x14ac:dyDescent="0.3">
      <c r="A214" s="235" t="s">
        <v>3277</v>
      </c>
      <c r="B214" s="237">
        <f>+$B$13/B211</f>
        <v>8.12678787878788</v>
      </c>
      <c r="C214" s="237">
        <f>+$B$13/C211</f>
        <v>9.6700961538461545</v>
      </c>
      <c r="D214" s="237">
        <f>+$B$13/D211</f>
        <v>9.4564174894217228</v>
      </c>
      <c r="E214" s="237">
        <f>+$B$13/E211</f>
        <v>8.9354953354064879</v>
      </c>
      <c r="F214" s="237">
        <f>+$B$13/F211</f>
        <v>8.323682152234964</v>
      </c>
      <c r="G214" s="237"/>
    </row>
    <row r="215" spans="1:7" hidden="1" outlineLevel="1" x14ac:dyDescent="0.3">
      <c r="A215" s="235" t="s">
        <v>3278</v>
      </c>
      <c r="B215" s="237"/>
      <c r="C215" s="237"/>
      <c r="D215" s="237"/>
      <c r="E215" s="237"/>
      <c r="F215" s="237"/>
      <c r="G215" s="237"/>
    </row>
    <row r="216" spans="1:7" hidden="1" outlineLevel="1" x14ac:dyDescent="0.3">
      <c r="A216" s="235"/>
      <c r="B216" s="237"/>
      <c r="C216" s="237"/>
      <c r="D216" s="237"/>
      <c r="E216" s="237"/>
      <c r="F216" s="237"/>
      <c r="G216" s="237"/>
    </row>
    <row r="217" spans="1:7" hidden="1" outlineLevel="1" x14ac:dyDescent="0.3">
      <c r="A217" s="230" t="s">
        <v>198</v>
      </c>
      <c r="B217" s="232"/>
      <c r="C217" s="232"/>
      <c r="D217" s="232"/>
      <c r="E217" s="232"/>
      <c r="F217" s="232"/>
      <c r="G217" s="232"/>
    </row>
    <row r="218" spans="1:7" hidden="1" outlineLevel="1" x14ac:dyDescent="0.3">
      <c r="A218" s="233" t="s">
        <v>722</v>
      </c>
      <c r="B218" s="661">
        <f>+'Model Main'!EI107*-1</f>
        <v>1705</v>
      </c>
      <c r="C218" s="661">
        <f>+'Model Main'!EN107*-1</f>
        <v>2738</v>
      </c>
      <c r="D218" s="661">
        <f>+'Model Main'!ES107*-1</f>
        <v>3211</v>
      </c>
      <c r="E218" s="661">
        <f>+'Model Main'!EX107*-1</f>
        <v>2783</v>
      </c>
      <c r="F218" s="661">
        <f>+'Model Main'!FC107*-1</f>
        <v>3194.4479521510066</v>
      </c>
      <c r="G218" s="661"/>
    </row>
    <row r="219" spans="1:7" hidden="1" outlineLevel="1" x14ac:dyDescent="0.3">
      <c r="A219" s="233" t="s">
        <v>726</v>
      </c>
      <c r="B219" s="234" t="str">
        <f>+IFERROR(B$238,"")</f>
        <v/>
      </c>
      <c r="C219" s="234" t="str">
        <f>+IFERROR(C$238,"")</f>
        <v/>
      </c>
      <c r="D219" s="234" t="str">
        <f>+IFERROR(D$238,"")</f>
        <v/>
      </c>
      <c r="E219" s="234" t="str">
        <f>+IFERROR(E$238,"")</f>
        <v/>
      </c>
      <c r="F219" s="234" t="str">
        <f>+IFERROR(F$238,"")</f>
        <v/>
      </c>
      <c r="G219" s="234"/>
    </row>
    <row r="220" spans="1:7" hidden="1" outlineLevel="1" x14ac:dyDescent="0.3">
      <c r="A220" s="235" t="s">
        <v>3276</v>
      </c>
      <c r="B220" s="237" t="str">
        <f>+IFERROR(B218/B219-1,"")</f>
        <v/>
      </c>
      <c r="C220" s="237" t="str">
        <f>+IFERROR(C218/C219-1,"")</f>
        <v/>
      </c>
      <c r="D220" s="237" t="str">
        <f>+IFERROR(D218/D219-1,"")</f>
        <v/>
      </c>
      <c r="E220" s="237" t="str">
        <f>+IFERROR(E218/E219-1,"")</f>
        <v/>
      </c>
      <c r="F220" s="237" t="str">
        <f>+IFERROR(F218/F219-1,"")</f>
        <v/>
      </c>
      <c r="G220" s="237"/>
    </row>
    <row r="221" spans="1:7" hidden="1" outlineLevel="1" x14ac:dyDescent="0.3"/>
    <row r="222" spans="1:7" hidden="1" outlineLevel="1" x14ac:dyDescent="0.3">
      <c r="A222" s="230" t="s">
        <v>642</v>
      </c>
    </row>
    <row r="223" spans="1:7" hidden="1" outlineLevel="1" x14ac:dyDescent="0.3">
      <c r="A223" s="233" t="s">
        <v>722</v>
      </c>
      <c r="B223" s="363">
        <f>+B211-B218</f>
        <v>770</v>
      </c>
      <c r="C223" s="363">
        <f>+C211-C218</f>
        <v>-658</v>
      </c>
      <c r="D223" s="363">
        <f>+D211-D218</f>
        <v>-1084</v>
      </c>
      <c r="E223" s="363">
        <f>+E211-E218</f>
        <v>-532</v>
      </c>
      <c r="F223" s="363">
        <f>+F211-F218</f>
        <v>-777.99335523931222</v>
      </c>
      <c r="G223" s="363"/>
    </row>
    <row r="224" spans="1:7" hidden="1" outlineLevel="1" x14ac:dyDescent="0.3">
      <c r="A224" s="233" t="s">
        <v>726</v>
      </c>
      <c r="B224" s="363" t="str">
        <f>+IFERROR(B212-B219,"")</f>
        <v/>
      </c>
      <c r="C224" s="363" t="str">
        <f>+IFERROR(C212-C219,"")</f>
        <v/>
      </c>
      <c r="D224" s="363" t="str">
        <f>+IFERROR(D212-D219,"")</f>
        <v/>
      </c>
      <c r="E224" s="363" t="str">
        <f>+IFERROR(E212-E219,"")</f>
        <v/>
      </c>
      <c r="F224" s="363" t="str">
        <f>+IFERROR(F212-F219,"")</f>
        <v/>
      </c>
      <c r="G224" s="363"/>
    </row>
    <row r="225" spans="1:7" hidden="1" outlineLevel="1" x14ac:dyDescent="0.3">
      <c r="A225" s="235" t="s">
        <v>3276</v>
      </c>
      <c r="B225" s="237" t="str">
        <f>+IFERROR(B223/B224-1,"")</f>
        <v/>
      </c>
      <c r="C225" s="237" t="str">
        <f>+IFERROR(C223/C224-1,"")</f>
        <v/>
      </c>
      <c r="D225" s="237" t="str">
        <f>+IFERROR(D223/D224-1,"")</f>
        <v/>
      </c>
      <c r="E225" s="237" t="str">
        <f>+IFERROR(E223/E224-1,"")</f>
        <v/>
      </c>
      <c r="F225" s="237" t="str">
        <f>+IFERROR(F223/F224-1,"")</f>
        <v/>
      </c>
      <c r="G225" s="237"/>
    </row>
    <row r="226" spans="1:7" hidden="1" outlineLevel="1" x14ac:dyDescent="0.3">
      <c r="A226" s="235" t="s">
        <v>3279</v>
      </c>
      <c r="B226" s="237">
        <f>+$B$13/B223</f>
        <v>26.121818181818185</v>
      </c>
      <c r="C226" s="237">
        <f>+$B$13/C223</f>
        <v>-30.568085106382984</v>
      </c>
      <c r="D226" s="237">
        <f>+$B$13/D223</f>
        <v>-18.555166051660521</v>
      </c>
      <c r="E226" s="237">
        <f>+$B$13/E223</f>
        <v>-37.807894736842108</v>
      </c>
      <c r="F226" s="237">
        <f>+$B$13/F223</f>
        <v>-25.853434177227594</v>
      </c>
      <c r="G226" s="237"/>
    </row>
    <row r="227" spans="1:7" hidden="1" outlineLevel="1" x14ac:dyDescent="0.3">
      <c r="A227" s="235" t="s">
        <v>3280</v>
      </c>
      <c r="B227" s="237" t="str">
        <f>+IFERROR($B$14/B219,"")</f>
        <v/>
      </c>
      <c r="C227" s="237" t="str">
        <f>+IFERROR($B$14/C219,"")</f>
        <v/>
      </c>
      <c r="D227" s="237" t="str">
        <f>+IFERROR($B$14/D219,"")</f>
        <v/>
      </c>
      <c r="E227" s="237" t="str">
        <f>+IFERROR($B$14/E219,"")</f>
        <v/>
      </c>
      <c r="F227" s="237" t="str">
        <f>+IFERROR($B$14/F219,"")</f>
        <v/>
      </c>
      <c r="G227" s="237"/>
    </row>
    <row r="228" spans="1:7" hidden="1" outlineLevel="1" x14ac:dyDescent="0.3">
      <c r="A228" s="238"/>
      <c r="B228" s="239"/>
      <c r="C228" s="239"/>
      <c r="D228" s="239"/>
      <c r="E228" s="239"/>
      <c r="F228" s="239"/>
      <c r="G228" s="239"/>
    </row>
    <row r="229" spans="1:7" hidden="1" outlineLevel="1" x14ac:dyDescent="0.3">
      <c r="A229" s="240" t="s">
        <v>3281</v>
      </c>
      <c r="B229" s="146"/>
      <c r="C229" s="146"/>
      <c r="D229" s="146"/>
      <c r="E229" s="146"/>
      <c r="F229" s="146"/>
      <c r="G229" s="146"/>
    </row>
    <row r="230" spans="1:7" hidden="1" outlineLevel="1" x14ac:dyDescent="0.3">
      <c r="A230" s="241" t="s">
        <v>284</v>
      </c>
      <c r="B230" s="242" t="s">
        <v>3282</v>
      </c>
      <c r="C230" s="242" t="s">
        <v>3282</v>
      </c>
      <c r="D230" s="242" t="s">
        <v>3282</v>
      </c>
      <c r="E230" s="242" t="s">
        <v>3282</v>
      </c>
      <c r="F230" s="242" t="s">
        <v>3282</v>
      </c>
      <c r="G230" s="242" t="s">
        <v>3282</v>
      </c>
    </row>
    <row r="231" spans="1:7" hidden="1" outlineLevel="1" x14ac:dyDescent="0.3">
      <c r="A231" s="241" t="s">
        <v>44</v>
      </c>
      <c r="B231" s="242" t="s">
        <v>3282</v>
      </c>
      <c r="C231" s="242" t="s">
        <v>3282</v>
      </c>
      <c r="D231" s="242" t="s">
        <v>3282</v>
      </c>
      <c r="E231" s="242" t="s">
        <v>3282</v>
      </c>
      <c r="F231" s="242" t="s">
        <v>3282</v>
      </c>
      <c r="G231" s="242" t="s">
        <v>3282</v>
      </c>
    </row>
    <row r="232" spans="1:7" hidden="1" outlineLevel="1" x14ac:dyDescent="0.3">
      <c r="A232" s="241" t="s">
        <v>198</v>
      </c>
      <c r="B232" s="243" t="s">
        <v>3282</v>
      </c>
      <c r="C232" s="243" t="s">
        <v>3282</v>
      </c>
      <c r="D232" s="243" t="s">
        <v>3282</v>
      </c>
      <c r="E232" s="243" t="s">
        <v>3282</v>
      </c>
      <c r="F232" s="243" t="s">
        <v>3282</v>
      </c>
      <c r="G232" s="243" t="s">
        <v>3282</v>
      </c>
    </row>
    <row r="233" spans="1:7" hidden="1" outlineLevel="1" x14ac:dyDescent="0.3">
      <c r="B233" s="231"/>
      <c r="C233" s="146"/>
      <c r="D233" s="146"/>
      <c r="E233" s="239"/>
      <c r="F233" s="239"/>
      <c r="G233" s="239"/>
    </row>
    <row r="234" spans="1:7" hidden="1" outlineLevel="1" x14ac:dyDescent="0.3">
      <c r="A234" s="240" t="s">
        <v>3283</v>
      </c>
      <c r="B234" s="241"/>
      <c r="C234" s="241"/>
      <c r="D234" s="241"/>
      <c r="E234" s="241"/>
      <c r="F234" s="241"/>
      <c r="G234" s="241"/>
    </row>
    <row r="235" spans="1:7" hidden="1" outlineLevel="1" x14ac:dyDescent="0.3">
      <c r="A235" s="244"/>
      <c r="B235" s="245">
        <v>2021</v>
      </c>
      <c r="C235" s="246">
        <f>+B235+1</f>
        <v>2022</v>
      </c>
      <c r="D235" s="246">
        <f>+C235+1</f>
        <v>2023</v>
      </c>
      <c r="E235" s="246">
        <f>+D235+1</f>
        <v>2024</v>
      </c>
      <c r="F235" s="246">
        <f>+E235+1</f>
        <v>2025</v>
      </c>
      <c r="G235" s="662"/>
    </row>
    <row r="236" spans="1:7" hidden="1" outlineLevel="1" x14ac:dyDescent="0.3">
      <c r="A236" s="241" t="s">
        <v>284</v>
      </c>
      <c r="B236" s="247" t="str" cm="1">
        <f t="array" ref="B236">IFERROR(_xll.FDS("FTR-US","FE_ESTIMATE(Sales,MEDIAN,ANNUAL,"&amp;B$235&amp;",NOW,,,'')"),"")</f>
        <v/>
      </c>
      <c r="C236" s="247" t="str" cm="1">
        <f t="array" ref="C236">IFERROR(_xll.FDS("FTR-US","FE_ESTIMATE(Sales,MEDIAN,ANNUAL,"&amp;C$235&amp;",NOW,,,'')"),"")</f>
        <v/>
      </c>
      <c r="D236" s="247" t="str" cm="1">
        <f t="array" ref="D236">IFERROR(_xll.FDS("FTR-US","FE_ESTIMATE(Sales,MEDIAN,ANNUAL,"&amp;D$235&amp;",NOW,,,'')"),"")</f>
        <v/>
      </c>
      <c r="E236" s="247" t="str" cm="1">
        <f t="array" ref="E236">IFERROR(_xll.FDS("FTR-US","FE_ESTIMATE(Sales,MEDIAN,ANNUAL,"&amp;E$235&amp;",NOW,,,'')"),"")</f>
        <v/>
      </c>
      <c r="F236" s="247" t="str" cm="1">
        <f t="array" ref="F236">IFERROR(_xll.FDS("FTR-US","FE_ESTIMATE(Sales,MEDIAN,ANNUAL,"&amp;F$235&amp;",NOW,,,'')"),"")</f>
        <v/>
      </c>
      <c r="G236" s="247"/>
    </row>
    <row r="237" spans="1:7" hidden="1" outlineLevel="1" x14ac:dyDescent="0.3">
      <c r="A237" s="241" t="s">
        <v>44</v>
      </c>
      <c r="B237" s="247" t="str" cm="1">
        <f t="array" ref="B237">IFERROR(_xll.FDS("FTR-US","FE_ESTIMATE(EBITDA,MEDIAN,ANNUAL,"&amp;B$235&amp;",NOW,,,'')"),"")</f>
        <v/>
      </c>
      <c r="C237" s="247" t="str" cm="1">
        <f t="array" ref="C237">IFERROR(_xll.FDS("FTR-US","FE_ESTIMATE(EBITDA,MEDIAN,ANNUAL,"&amp;C$235&amp;",NOW,,,'')"),"")</f>
        <v/>
      </c>
      <c r="D237" s="247" t="str" cm="1">
        <f t="array" ref="D237">IFERROR(_xll.FDS("FTR-US","FE_ESTIMATE(EBITDA,MEDIAN,ANNUAL,"&amp;D$235&amp;",NOW,,,'')"),"")</f>
        <v/>
      </c>
      <c r="E237" s="247" t="str" cm="1">
        <f t="array" ref="E237">IFERROR(_xll.FDS("FTR-US","FE_ESTIMATE(EBITDA,MEDIAN,ANNUAL,"&amp;E$235&amp;",NOW,,,'')"),"")</f>
        <v/>
      </c>
      <c r="F237" s="247" t="str" cm="1">
        <f t="array" ref="F237">IFERROR(_xll.FDS("FTR-US","FE_ESTIMATE(EBITDA,MEDIAN,ANNUAL,"&amp;F$235&amp;",NOW,,,'')"),"")</f>
        <v/>
      </c>
      <c r="G237" s="247"/>
    </row>
    <row r="238" spans="1:7" hidden="1" outlineLevel="1" x14ac:dyDescent="0.3">
      <c r="A238" s="241" t="s">
        <v>198</v>
      </c>
      <c r="B238" s="248" t="str" cm="1">
        <f t="array" ref="B238">IFERROR(_xll.FDS("FTR-US","FE_ESTIMATE(Capex,MEDIAN,ANNUAL,"&amp;B$235&amp;",NOW,,,'')"),"")</f>
        <v/>
      </c>
      <c r="C238" s="248" t="str" cm="1">
        <f t="array" ref="C238">IFERROR(_xll.FDS("FTR-US","FE_ESTIMATE(Capex,MEDIAN,ANNUAL,"&amp;C$235&amp;",NOW,,,'')"),"")</f>
        <v/>
      </c>
      <c r="D238" s="248" t="str" cm="1">
        <f t="array" ref="D238">IFERROR(_xll.FDS("FTR-US","FE_ESTIMATE(Capex,MEDIAN,ANNUAL,"&amp;D$235&amp;",NOW,,,'')"),"")</f>
        <v/>
      </c>
      <c r="E238" s="248" t="str" cm="1">
        <f t="array" ref="E238">IFERROR(_xll.FDS("FTR-US","FE_ESTIMATE(Capex,MEDIAN,ANNUAL,"&amp;E$235&amp;",NOW,,,'')"),"")</f>
        <v/>
      </c>
      <c r="F238" s="248" t="str" cm="1">
        <f t="array" ref="F238">IFERROR(_xll.FDS("FTR-US","FE_ESTIMATE(Capex,MEDIAN,ANNUAL,"&amp;F$235&amp;",NOW,,,'')"),"")</f>
        <v/>
      </c>
      <c r="G238" s="248"/>
    </row>
    <row r="239" spans="1:7" hidden="1" outlineLevel="1" x14ac:dyDescent="0.3">
      <c r="A239" s="663"/>
      <c r="B239" s="664"/>
      <c r="C239" s="664"/>
      <c r="D239" s="664"/>
      <c r="E239" s="664"/>
      <c r="F239" s="664"/>
      <c r="G239" s="248"/>
    </row>
    <row r="240" spans="1:7" collapsed="1" x14ac:dyDescent="0.3"/>
    <row r="241" spans="1:3" x14ac:dyDescent="0.3">
      <c r="A241" s="114"/>
      <c r="B241" s="114"/>
      <c r="C241" s="114"/>
    </row>
    <row r="242" spans="1:3" x14ac:dyDescent="0.3">
      <c r="A242" s="114"/>
      <c r="B242" s="114"/>
      <c r="C242" s="114"/>
    </row>
    <row r="243" spans="1:3" x14ac:dyDescent="0.3">
      <c r="A243" s="144"/>
      <c r="B243" s="820" t="s">
        <v>1707</v>
      </c>
      <c r="C243" s="820" t="s">
        <v>1713</v>
      </c>
    </row>
    <row r="244" spans="1:3" x14ac:dyDescent="0.3">
      <c r="A244" s="725" t="s">
        <v>1258</v>
      </c>
      <c r="B244" s="999">
        <f>Drivers!EW90</f>
        <v>7823</v>
      </c>
      <c r="C244" s="999">
        <v>10000</v>
      </c>
    </row>
    <row r="245" spans="1:3" x14ac:dyDescent="0.3">
      <c r="A245" s="995" t="s">
        <v>1259</v>
      </c>
      <c r="B245" s="1157">
        <v>3300</v>
      </c>
      <c r="C245" s="873">
        <f>B245</f>
        <v>3300</v>
      </c>
    </row>
    <row r="246" spans="1:3" x14ac:dyDescent="0.3">
      <c r="A246" s="998" t="s">
        <v>1260</v>
      </c>
      <c r="B246" s="999">
        <f>B244*B245/1000</f>
        <v>25815.9</v>
      </c>
      <c r="C246" s="999">
        <f>C244*C245/1000</f>
        <v>33000</v>
      </c>
    </row>
    <row r="247" spans="1:3" x14ac:dyDescent="0.3">
      <c r="A247" s="994" t="s">
        <v>1261</v>
      </c>
      <c r="B247" s="999"/>
      <c r="C247" s="999"/>
    </row>
    <row r="248" spans="1:3" x14ac:dyDescent="0.3">
      <c r="A248" s="998"/>
      <c r="B248" s="999"/>
      <c r="C248" s="999"/>
    </row>
    <row r="249" spans="1:3" x14ac:dyDescent="0.3">
      <c r="A249" s="725" t="s">
        <v>1262</v>
      </c>
      <c r="B249" s="999">
        <f>Drivers!EW94</f>
        <v>7677</v>
      </c>
      <c r="C249" s="999">
        <f>B249+B244-C244</f>
        <v>5500</v>
      </c>
    </row>
    <row r="250" spans="1:3" x14ac:dyDescent="0.3">
      <c r="A250" s="995" t="s">
        <v>1259</v>
      </c>
      <c r="B250" s="873">
        <v>250</v>
      </c>
      <c r="C250" s="873">
        <f>B250</f>
        <v>250</v>
      </c>
    </row>
    <row r="251" spans="1:3" x14ac:dyDescent="0.3">
      <c r="A251" s="998" t="s">
        <v>1263</v>
      </c>
      <c r="B251" s="999">
        <f>B249*B250/1000</f>
        <v>1919.25</v>
      </c>
      <c r="C251" s="999">
        <f>C249*C250/1000</f>
        <v>1375</v>
      </c>
    </row>
    <row r="252" spans="1:3" x14ac:dyDescent="0.3">
      <c r="A252" s="994" t="s">
        <v>1261</v>
      </c>
      <c r="B252" s="999"/>
      <c r="C252" s="999"/>
    </row>
    <row r="253" spans="1:3" x14ac:dyDescent="0.3">
      <c r="A253" s="994"/>
      <c r="B253" s="999"/>
      <c r="C253" s="999"/>
    </row>
    <row r="254" spans="1:3" x14ac:dyDescent="0.3">
      <c r="A254" s="995" t="s">
        <v>1264</v>
      </c>
      <c r="B254" s="999">
        <f>B246</f>
        <v>25815.9</v>
      </c>
      <c r="C254" s="999">
        <f>C246</f>
        <v>33000</v>
      </c>
    </row>
    <row r="255" spans="1:3" x14ac:dyDescent="0.3">
      <c r="A255" s="995" t="s">
        <v>1265</v>
      </c>
      <c r="B255" s="873">
        <f>B251</f>
        <v>1919.25</v>
      </c>
      <c r="C255" s="873">
        <f>C251</f>
        <v>1375</v>
      </c>
    </row>
    <row r="256" spans="1:3" x14ac:dyDescent="0.3">
      <c r="A256" s="998" t="s">
        <v>1266</v>
      </c>
      <c r="B256" s="999">
        <f>SUM(B254:B255)</f>
        <v>27735.15</v>
      </c>
      <c r="C256" s="999">
        <f>SUM(C254:C255)</f>
        <v>34375</v>
      </c>
    </row>
    <row r="257" spans="1:3" x14ac:dyDescent="0.3">
      <c r="A257" s="998"/>
      <c r="B257" s="999"/>
      <c r="C257" s="999"/>
    </row>
    <row r="258" spans="1:3" x14ac:dyDescent="0.3">
      <c r="A258" s="995" t="s">
        <v>1267</v>
      </c>
      <c r="B258" s="999">
        <f>B9-B10</f>
        <v>10811</v>
      </c>
      <c r="C258" s="999">
        <f>B258</f>
        <v>10811</v>
      </c>
    </row>
    <row r="259" spans="1:3" x14ac:dyDescent="0.3">
      <c r="A259" s="995" t="s">
        <v>1268</v>
      </c>
      <c r="B259" s="144"/>
      <c r="C259" s="365">
        <f>-SUM('Model Main'!FC132:FD132)</f>
        <v>3417.955249149084</v>
      </c>
    </row>
    <row r="260" spans="1:3" x14ac:dyDescent="0.3">
      <c r="A260" s="998"/>
      <c r="B260" s="144"/>
      <c r="C260" s="144"/>
    </row>
    <row r="261" spans="1:3" x14ac:dyDescent="0.3">
      <c r="A261" s="998" t="s">
        <v>1269</v>
      </c>
      <c r="B261" s="387">
        <f>B256-B258-B259</f>
        <v>16924.150000000001</v>
      </c>
      <c r="C261" s="387">
        <f>C256-C258-C259</f>
        <v>20146.044750850917</v>
      </c>
    </row>
    <row r="262" spans="1:3" x14ac:dyDescent="0.3">
      <c r="A262" s="998"/>
      <c r="B262" s="144"/>
      <c r="C262" s="144"/>
    </row>
    <row r="263" spans="1:3" x14ac:dyDescent="0.3">
      <c r="A263" s="995" t="s">
        <v>104</v>
      </c>
      <c r="B263" s="365">
        <f>$B$7</f>
        <v>260</v>
      </c>
      <c r="C263" s="365">
        <f>$B$7</f>
        <v>260</v>
      </c>
    </row>
    <row r="264" spans="1:3" ht="12.5" thickBot="1" x14ac:dyDescent="0.35">
      <c r="A264" s="998" t="s">
        <v>1270</v>
      </c>
      <c r="B264" s="1490">
        <f>B261/B263</f>
        <v>65.092884615384619</v>
      </c>
      <c r="C264" s="1490">
        <f>C261/C263</f>
        <v>77.484787503272756</v>
      </c>
    </row>
    <row r="265" spans="1:3" ht="12.5" thickTop="1" x14ac:dyDescent="0.3">
      <c r="A265" s="494"/>
      <c r="B265" s="494"/>
      <c r="C265" s="494"/>
    </row>
    <row r="267" spans="1:3" x14ac:dyDescent="0.3">
      <c r="B267" s="559">
        <f>B256/B107</f>
        <v>12.321257219013772</v>
      </c>
      <c r="C267" s="559">
        <f>C261/D107</f>
        <v>7.5255684068521171</v>
      </c>
    </row>
    <row r="269" spans="1:3" x14ac:dyDescent="0.3">
      <c r="B269" s="76"/>
      <c r="C269" s="76"/>
    </row>
    <row r="270" spans="1:3" ht="13" x14ac:dyDescent="0.3">
      <c r="A270" s="1242" t="s">
        <v>694</v>
      </c>
      <c r="B270" s="887">
        <f>B254</f>
        <v>25815.9</v>
      </c>
    </row>
    <row r="271" spans="1:3" ht="13" x14ac:dyDescent="0.3">
      <c r="A271" s="1242" t="s">
        <v>869</v>
      </c>
      <c r="B271" s="887">
        <f>B270</f>
        <v>25815.9</v>
      </c>
      <c r="C271" s="887">
        <f>B251</f>
        <v>1919.25</v>
      </c>
    </row>
    <row r="272" spans="1:3" ht="13" x14ac:dyDescent="0.3">
      <c r="A272" s="1242" t="s">
        <v>1110</v>
      </c>
      <c r="B272" s="887">
        <f>B271+C271</f>
        <v>27735.15</v>
      </c>
    </row>
    <row r="273" spans="1:3" ht="13" x14ac:dyDescent="0.3">
      <c r="A273" s="1242" t="s">
        <v>866</v>
      </c>
      <c r="B273" s="887">
        <f>B272-C273</f>
        <v>16924.150000000001</v>
      </c>
      <c r="C273" s="887">
        <f>B258</f>
        <v>10811</v>
      </c>
    </row>
    <row r="274" spans="1:3" ht="13" x14ac:dyDescent="0.3">
      <c r="A274" s="1242" t="s">
        <v>754</v>
      </c>
      <c r="B274" s="887">
        <f>B273</f>
        <v>16924.150000000001</v>
      </c>
    </row>
    <row r="278" spans="1:3" ht="13" x14ac:dyDescent="0.3">
      <c r="A278" s="1242" t="s">
        <v>694</v>
      </c>
      <c r="B278" s="887">
        <f>C254</f>
        <v>33000</v>
      </c>
    </row>
    <row r="279" spans="1:3" ht="13" x14ac:dyDescent="0.3">
      <c r="A279" s="1242" t="s">
        <v>869</v>
      </c>
      <c r="B279" s="887">
        <f>B278</f>
        <v>33000</v>
      </c>
      <c r="C279" s="887">
        <f>C255</f>
        <v>1375</v>
      </c>
    </row>
    <row r="280" spans="1:3" ht="13" x14ac:dyDescent="0.3">
      <c r="A280" s="1242" t="s">
        <v>1110</v>
      </c>
      <c r="B280" s="887">
        <f>B279+C279</f>
        <v>34375</v>
      </c>
    </row>
    <row r="281" spans="1:3" ht="13" x14ac:dyDescent="0.3">
      <c r="A281" s="1242" t="s">
        <v>866</v>
      </c>
      <c r="B281" s="887">
        <f>B280-C281</f>
        <v>23564</v>
      </c>
      <c r="C281" s="887">
        <f>C258</f>
        <v>10811</v>
      </c>
    </row>
    <row r="282" spans="1:3" ht="13" x14ac:dyDescent="0.3">
      <c r="A282" s="1242" t="s">
        <v>1111</v>
      </c>
      <c r="B282" s="887">
        <f>B281-C282</f>
        <v>20146.044750850917</v>
      </c>
      <c r="C282" s="76">
        <f>C259</f>
        <v>3417.955249149084</v>
      </c>
    </row>
    <row r="283" spans="1:3" ht="13" x14ac:dyDescent="0.3">
      <c r="A283" s="1242" t="s">
        <v>754</v>
      </c>
      <c r="B283" s="887">
        <f>B282</f>
        <v>20146.044750850917</v>
      </c>
    </row>
  </sheetData>
  <pageMargins left="0.7" right="0.7" top="0.75" bottom="0.75" header="0.3" footer="0.3"/>
  <pageSetup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E6869-C82D-4136-85F9-F749030AAE6E}">
  <sheetPr>
    <tabColor rgb="FF0000FF"/>
  </sheetPr>
  <dimension ref="A1:S283"/>
  <sheetViews>
    <sheetView showGridLines="0" topLeftCell="A3" workbookViewId="0">
      <selection activeCell="K133" sqref="K133"/>
    </sheetView>
  </sheetViews>
  <sheetFormatPr defaultRowHeight="12" outlineLevelRow="1" outlineLevelCol="1" x14ac:dyDescent="0.3"/>
  <cols>
    <col min="1" max="1" width="40.77734375" customWidth="1"/>
    <col min="2" max="2" width="10.44140625" customWidth="1" outlineLevel="1"/>
    <col min="3" max="4" width="9.33203125" customWidth="1"/>
    <col min="6" max="7" width="10.44140625" bestFit="1" customWidth="1"/>
  </cols>
  <sheetData>
    <row r="1" spans="1:19" ht="21.5" thickBot="1" x14ac:dyDescent="0.55000000000000004">
      <c r="A1" s="38" t="s">
        <v>13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</row>
    <row r="2" spans="1:19" x14ac:dyDescent="0.3">
      <c r="A2" s="39" t="s">
        <v>1336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x14ac:dyDescent="0.3">
      <c r="A3" s="40" t="s">
        <v>15</v>
      </c>
      <c r="B3" s="481"/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</row>
    <row r="4" spans="1:19" x14ac:dyDescent="0.3">
      <c r="A4" s="1124"/>
    </row>
    <row r="5" spans="1:19" x14ac:dyDescent="0.3">
      <c r="A5" s="200" t="s">
        <v>3220</v>
      </c>
      <c r="B5" s="201"/>
      <c r="C5" s="201"/>
      <c r="D5" s="201"/>
    </row>
    <row r="6" spans="1:19" x14ac:dyDescent="0.3">
      <c r="A6" s="202" t="s">
        <v>3221</v>
      </c>
      <c r="B6" s="1687">
        <v>26.6</v>
      </c>
      <c r="C6" s="203" cm="1">
        <f t="array" ref="C6">_xll.FDS("FYBR-US","FG_PRICE(NOW)")</f>
        <v>24.22</v>
      </c>
      <c r="D6" s="203"/>
    </row>
    <row r="7" spans="1:19" x14ac:dyDescent="0.3">
      <c r="A7" s="204" t="s">
        <v>3222</v>
      </c>
      <c r="B7" s="1279">
        <v>260</v>
      </c>
      <c r="C7" s="1277"/>
      <c r="D7" s="206"/>
    </row>
    <row r="8" spans="1:19" x14ac:dyDescent="0.3">
      <c r="A8" s="211" t="s">
        <v>3223</v>
      </c>
      <c r="B8" s="297">
        <f>+B6*B7</f>
        <v>6916</v>
      </c>
      <c r="C8" s="1278"/>
      <c r="H8" s="208"/>
    </row>
    <row r="9" spans="1:19" x14ac:dyDescent="0.3">
      <c r="A9" s="204" t="s">
        <v>2219</v>
      </c>
      <c r="B9" s="208">
        <f>+'Model Main'!EU196</f>
        <v>11249</v>
      </c>
      <c r="C9" s="209"/>
      <c r="D9" s="207"/>
    </row>
    <row r="10" spans="1:19" x14ac:dyDescent="0.3">
      <c r="A10" s="204" t="s">
        <v>150</v>
      </c>
      <c r="B10" s="208">
        <f>+'Model Main'!EU197</f>
        <v>1197</v>
      </c>
      <c r="C10" s="205"/>
      <c r="D10" s="210"/>
      <c r="E10" s="76">
        <f>B9-B10</f>
        <v>10052</v>
      </c>
    </row>
    <row r="11" spans="1:19" x14ac:dyDescent="0.3">
      <c r="A11" s="211" t="s">
        <v>2921</v>
      </c>
      <c r="B11" s="1827">
        <f>+B8+B9-B10</f>
        <v>16968</v>
      </c>
      <c r="C11" s="205"/>
      <c r="D11" s="212"/>
    </row>
    <row r="12" spans="1:19" x14ac:dyDescent="0.3">
      <c r="A12" s="204" t="s">
        <v>3224</v>
      </c>
      <c r="B12" s="297">
        <v>0</v>
      </c>
      <c r="C12" s="205"/>
      <c r="D12" s="213"/>
      <c r="J12" s="76"/>
      <c r="K12" s="76"/>
    </row>
    <row r="13" spans="1:19" ht="12.5" thickBot="1" x14ac:dyDescent="0.35">
      <c r="A13" s="211" t="s">
        <v>3225</v>
      </c>
      <c r="B13" s="214">
        <f>+B11-B12</f>
        <v>16968</v>
      </c>
      <c r="C13" s="205"/>
      <c r="D13" s="215"/>
      <c r="J13" s="76"/>
      <c r="K13" s="76"/>
    </row>
    <row r="14" spans="1:19" ht="12.5" thickTop="1" x14ac:dyDescent="0.3">
      <c r="A14" s="216" t="s">
        <v>3226</v>
      </c>
      <c r="B14" s="217">
        <f>+AMTTargetPrice/B6-1</f>
        <v>1.2932330827067666</v>
      </c>
      <c r="C14" s="205"/>
      <c r="D14" s="215"/>
      <c r="J14" s="474"/>
      <c r="K14" s="474"/>
    </row>
    <row r="15" spans="1:19" x14ac:dyDescent="0.3">
      <c r="A15" s="204" t="s">
        <v>3227</v>
      </c>
      <c r="B15" s="218">
        <v>61</v>
      </c>
      <c r="C15" s="205"/>
      <c r="D15" s="219"/>
    </row>
    <row r="17" spans="1:7" x14ac:dyDescent="0.3">
      <c r="A17" s="200" t="s">
        <v>3228</v>
      </c>
      <c r="B17" s="201"/>
      <c r="C17" s="201"/>
      <c r="D17" s="220"/>
      <c r="E17" s="201"/>
      <c r="F17" s="201"/>
      <c r="G17" s="201"/>
    </row>
    <row r="18" spans="1:7" x14ac:dyDescent="0.3">
      <c r="A18" s="221"/>
      <c r="B18" s="221"/>
      <c r="C18" s="221"/>
      <c r="D18" s="219"/>
      <c r="E18" s="222"/>
      <c r="F18" s="222"/>
      <c r="G18" s="5"/>
    </row>
    <row r="19" spans="1:7" x14ac:dyDescent="0.3">
      <c r="A19" s="223"/>
      <c r="B19" s="224">
        <v>2023</v>
      </c>
      <c r="C19" s="226">
        <f>B19+1</f>
        <v>2024</v>
      </c>
      <c r="D19" s="225">
        <f>C19+1</f>
        <v>2025</v>
      </c>
      <c r="E19" s="225">
        <f>D19+1</f>
        <v>2026</v>
      </c>
      <c r="F19" s="225">
        <f>E19+1</f>
        <v>2027</v>
      </c>
    </row>
    <row r="20" spans="1:7" x14ac:dyDescent="0.3">
      <c r="A20" s="205" t="s">
        <v>3229</v>
      </c>
      <c r="B20" s="227">
        <f>+$B$13/'Model Main'!ES$18</f>
        <v>2.9504434011476266</v>
      </c>
      <c r="C20" s="227">
        <f>+$B$13/'Model Main'!EX$18</f>
        <v>2.858009095502779</v>
      </c>
      <c r="D20" s="227">
        <f>+$B$13/'Model Main'!FC$18</f>
        <v>2.8182191922172173</v>
      </c>
      <c r="E20" s="227">
        <f>+$B$13/'Model Main'!FD$18</f>
        <v>2.7252588965911402</v>
      </c>
      <c r="F20" s="227">
        <f>+$B$13/'Model Main'!FE$18</f>
        <v>2.6087498156932742</v>
      </c>
    </row>
    <row r="21" spans="1:7" x14ac:dyDescent="0.3">
      <c r="A21" s="205" t="s">
        <v>2714</v>
      </c>
      <c r="B21" s="227">
        <f>+$B$13/'Model Main'!ES$48</f>
        <v>7.9774330042313117</v>
      </c>
      <c r="C21" s="227">
        <f>+$B$13/'Model Main'!EX$48</f>
        <v>7.5379831186139494</v>
      </c>
      <c r="D21" s="227">
        <f>+$B$13/'Model Main'!FC$48</f>
        <v>7.021857568391991</v>
      </c>
      <c r="E21" s="227">
        <f>+$B$13/'Model Main'!FD$48</f>
        <v>6.3384076778680472</v>
      </c>
      <c r="F21" s="227">
        <f>+$B$13/'Model Main'!FE$48</f>
        <v>5.667568784061352</v>
      </c>
    </row>
    <row r="22" spans="1:7" x14ac:dyDescent="0.3">
      <c r="A22" s="205" t="s">
        <v>3230</v>
      </c>
      <c r="B22" s="227">
        <f>+$B$13/'Model Main'!ES$69</f>
        <v>34.487804878048777</v>
      </c>
      <c r="C22" s="227">
        <f>+$B$13/'Model Main'!EX$69</f>
        <v>48.067988668555238</v>
      </c>
      <c r="D22" s="227">
        <f>+$B$13/'Model Main'!FC$69</f>
        <v>38.959632037184186</v>
      </c>
      <c r="E22" s="227">
        <f>+$B$13/'Model Main'!FD$69</f>
        <v>24.834040712336758</v>
      </c>
      <c r="F22" s="227">
        <f>+$B$13/'Model Main'!FE$69</f>
        <v>16.142591302229494</v>
      </c>
    </row>
    <row r="23" spans="1:7" x14ac:dyDescent="0.3">
      <c r="A23" s="205" t="s">
        <v>2715</v>
      </c>
      <c r="B23" s="227">
        <f>+$B$13/('Model Main'!ES48+'Model Main'!ES107)</f>
        <v>-15.653136531365314</v>
      </c>
      <c r="C23" s="227">
        <f>+$B$13/('Model Main'!EX48+'Model Main'!EX107)</f>
        <v>-31.894736842105264</v>
      </c>
      <c r="D23" s="227">
        <f>+$B$13/('Model Main'!FC48+'Model Main'!FC107)</f>
        <v>-21.809954912507717</v>
      </c>
      <c r="E23" s="227">
        <f>+$B$13/('Model Main'!FD48+'Model Main'!FD107)</f>
        <v>-41.849241082866882</v>
      </c>
      <c r="F23" s="227">
        <f>+$B$13/('Model Main'!FE48+'Model Main'!FE107)</f>
        <v>16.270722430557445</v>
      </c>
    </row>
    <row r="24" spans="1:7" hidden="1" outlineLevel="1" x14ac:dyDescent="0.3">
      <c r="A24" s="205" t="s">
        <v>3231</v>
      </c>
      <c r="B24" s="227">
        <f>+$B$6/'Model Main'!ES134</f>
        <v>-3.4957944894760606</v>
      </c>
      <c r="C24" s="227">
        <f>+$B$6/'Model Main'!EX134</f>
        <v>-3.9876265834143516</v>
      </c>
      <c r="D24" s="227">
        <f>+$B$6/'Model Main'!FC134</f>
        <v>-3.5456069653652813</v>
      </c>
      <c r="E24" s="227">
        <f>+$B$6/'Model Main'!FD134</f>
        <v>-4.1256937656038328</v>
      </c>
      <c r="F24" s="227">
        <f>+$B$6/'Model Main'!FE134</f>
        <v>-32.166964762264712</v>
      </c>
    </row>
    <row r="25" spans="1:7" hidden="1" outlineLevel="1" x14ac:dyDescent="0.3">
      <c r="A25" s="205" t="s">
        <v>3232</v>
      </c>
      <c r="B25" s="258">
        <f>1/B24</f>
        <v>-0.28605800570098072</v>
      </c>
      <c r="C25" s="258">
        <f>1/C24</f>
        <v>-0.25077573816948612</v>
      </c>
      <c r="D25" s="258">
        <f t="shared" ref="D25:F25" si="0">1/D24</f>
        <v>-0.28203915712270056</v>
      </c>
      <c r="E25" s="258">
        <f t="shared" si="0"/>
        <v>-0.2423834770135056</v>
      </c>
      <c r="F25" s="258">
        <f t="shared" si="0"/>
        <v>-3.108779480409998E-2</v>
      </c>
    </row>
    <row r="26" spans="1:7" collapsed="1" x14ac:dyDescent="0.3">
      <c r="A26" s="205" t="s">
        <v>3233</v>
      </c>
      <c r="B26" s="227">
        <f>+($B$9-$B$10)/'Model Main'!ES48</f>
        <v>4.7259050305594732</v>
      </c>
      <c r="C26" s="227">
        <f>+($B$9-$B$10)/'Model Main'!EX48</f>
        <v>4.4655708573967123</v>
      </c>
      <c r="D26" s="227">
        <f>+($B$9-$B$10)/'Model Main'!FC48</f>
        <v>4.1598133119681933</v>
      </c>
      <c r="E26" s="227">
        <f>+($B$9-$B$10)/'Model Main'!FD48</f>
        <v>3.7549312811132491</v>
      </c>
      <c r="F26" s="227">
        <f>+($B$9-$B$10)/'Model Main'!FE48</f>
        <v>3.3575201212508672</v>
      </c>
    </row>
    <row r="28" spans="1:7" hidden="1" x14ac:dyDescent="0.3">
      <c r="A28" s="200" t="s">
        <v>3184</v>
      </c>
      <c r="B28" s="201"/>
      <c r="C28" s="201"/>
      <c r="D28" s="220"/>
      <c r="E28" s="201"/>
      <c r="F28" s="201"/>
      <c r="G28" s="201"/>
    </row>
    <row r="29" spans="1:7" hidden="1" x14ac:dyDescent="0.3"/>
    <row r="30" spans="1:7" hidden="1" x14ac:dyDescent="0.3"/>
    <row r="31" spans="1:7" hidden="1" x14ac:dyDescent="0.3">
      <c r="A31" s="725" t="s">
        <v>1258</v>
      </c>
      <c r="B31" s="76">
        <f>Drivers!FD90</f>
        <v>10023</v>
      </c>
      <c r="D31">
        <v>10000</v>
      </c>
      <c r="F31" s="885">
        <v>12000</v>
      </c>
      <c r="G31" s="885">
        <v>10000</v>
      </c>
    </row>
    <row r="32" spans="1:7" hidden="1" x14ac:dyDescent="0.3">
      <c r="A32" s="995" t="s">
        <v>1259</v>
      </c>
      <c r="B32" s="901">
        <f>Analysis!B3341</f>
        <v>3842.4056800779617</v>
      </c>
      <c r="D32">
        <v>4000</v>
      </c>
      <c r="F32" s="885">
        <v>3500</v>
      </c>
      <c r="G32" s="885">
        <f>F32</f>
        <v>3500</v>
      </c>
    </row>
    <row r="33" spans="1:8" hidden="1" x14ac:dyDescent="0.3">
      <c r="A33" s="998" t="s">
        <v>1260</v>
      </c>
      <c r="B33" s="886">
        <f>B31*B32/1000</f>
        <v>38512.43213142141</v>
      </c>
      <c r="D33" s="886">
        <f>D31*D32/1000</f>
        <v>40000</v>
      </c>
      <c r="F33" s="886">
        <f>F31*F32/1000</f>
        <v>42000</v>
      </c>
      <c r="G33" s="886">
        <f>G31*G32/1000</f>
        <v>35000</v>
      </c>
      <c r="H33" s="887"/>
    </row>
    <row r="34" spans="1:8" hidden="1" x14ac:dyDescent="0.3">
      <c r="A34" s="994" t="s">
        <v>1261</v>
      </c>
      <c r="B34" s="890" t="e">
        <f>B33/B43</f>
        <v>#REF!</v>
      </c>
      <c r="F34" s="885"/>
      <c r="G34" s="885"/>
    </row>
    <row r="35" spans="1:8" hidden="1" x14ac:dyDescent="0.3">
      <c r="A35" s="998"/>
      <c r="F35" s="885"/>
      <c r="G35" s="885"/>
    </row>
    <row r="36" spans="1:8" hidden="1" x14ac:dyDescent="0.3">
      <c r="A36" s="725" t="s">
        <v>1262</v>
      </c>
      <c r="B36" s="76">
        <f>Drivers!FD94</f>
        <v>5694.7594999999965</v>
      </c>
      <c r="F36" s="885">
        <f>15400-F31</f>
        <v>3400</v>
      </c>
      <c r="G36" s="885">
        <f>15400-G31</f>
        <v>5400</v>
      </c>
    </row>
    <row r="37" spans="1:8" hidden="1" x14ac:dyDescent="0.3">
      <c r="A37" s="995" t="s">
        <v>1259</v>
      </c>
      <c r="B37" s="901" t="e">
        <f>#REF!*4.5</f>
        <v>#REF!</v>
      </c>
      <c r="F37" s="885">
        <v>250</v>
      </c>
      <c r="G37" s="885">
        <f>F37</f>
        <v>250</v>
      </c>
    </row>
    <row r="38" spans="1:8" hidden="1" x14ac:dyDescent="0.3">
      <c r="A38" s="998" t="s">
        <v>1263</v>
      </c>
      <c r="B38" s="886" t="e">
        <f>B36*B37/1000</f>
        <v>#REF!</v>
      </c>
      <c r="F38" s="886">
        <f>F36*F37/1000</f>
        <v>850</v>
      </c>
      <c r="G38" s="886">
        <f>G36*G37/1000</f>
        <v>1350</v>
      </c>
    </row>
    <row r="39" spans="1:8" hidden="1" x14ac:dyDescent="0.3">
      <c r="A39" s="994" t="s">
        <v>1261</v>
      </c>
      <c r="B39" s="890" t="e">
        <f>B38/B43</f>
        <v>#REF!</v>
      </c>
      <c r="F39" s="885"/>
      <c r="G39" s="885"/>
    </row>
    <row r="40" spans="1:8" hidden="1" x14ac:dyDescent="0.3">
      <c r="A40" s="994"/>
      <c r="F40" s="885"/>
      <c r="G40" s="885"/>
    </row>
    <row r="41" spans="1:8" hidden="1" x14ac:dyDescent="0.3">
      <c r="A41" s="995" t="s">
        <v>1264</v>
      </c>
      <c r="B41" s="887">
        <f>B33</f>
        <v>38512.43213142141</v>
      </c>
      <c r="D41" s="887">
        <f>D33</f>
        <v>40000</v>
      </c>
      <c r="F41" s="885">
        <f>F33</f>
        <v>42000</v>
      </c>
      <c r="G41" s="885">
        <f>G33</f>
        <v>35000</v>
      </c>
    </row>
    <row r="42" spans="1:8" hidden="1" x14ac:dyDescent="0.3">
      <c r="A42" s="995" t="s">
        <v>1265</v>
      </c>
      <c r="B42" s="887" t="e">
        <f>B38</f>
        <v>#REF!</v>
      </c>
      <c r="D42" s="887">
        <f>D38</f>
        <v>0</v>
      </c>
      <c r="F42" s="885">
        <f>F38</f>
        <v>850</v>
      </c>
      <c r="G42" s="885">
        <f>G38</f>
        <v>1350</v>
      </c>
    </row>
    <row r="43" spans="1:8" hidden="1" x14ac:dyDescent="0.3">
      <c r="A43" s="998" t="s">
        <v>1266</v>
      </c>
      <c r="B43" s="921" t="e">
        <f>SUM(B41:B42)</f>
        <v>#REF!</v>
      </c>
      <c r="D43" s="921">
        <f>SUM(D41:D42)</f>
        <v>40000</v>
      </c>
      <c r="F43" s="886">
        <f>SUM(F41:F42)</f>
        <v>42850</v>
      </c>
      <c r="G43" s="886">
        <f>SUM(G41:G42)</f>
        <v>36350</v>
      </c>
      <c r="H43" s="887"/>
    </row>
    <row r="44" spans="1:8" hidden="1" x14ac:dyDescent="0.3">
      <c r="A44" s="998"/>
    </row>
    <row r="45" spans="1:8" hidden="1" x14ac:dyDescent="0.3">
      <c r="A45" s="995" t="s">
        <v>1267</v>
      </c>
      <c r="B45" s="76">
        <f>-(B9-B10)</f>
        <v>-10052</v>
      </c>
      <c r="D45" s="76">
        <f>B45</f>
        <v>-10052</v>
      </c>
      <c r="F45" s="76">
        <f>D45</f>
        <v>-10052</v>
      </c>
      <c r="G45" s="76">
        <f>F45</f>
        <v>-10052</v>
      </c>
    </row>
    <row r="46" spans="1:8" hidden="1" x14ac:dyDescent="0.3">
      <c r="A46" s="995" t="s">
        <v>1268</v>
      </c>
      <c r="B46" s="885">
        <f>SUM('Model Main'!ES132:FD132)-'Model Main'!EO132</f>
        <v>-9660.161983190892</v>
      </c>
      <c r="D46" s="887">
        <f>B46</f>
        <v>-9660.161983190892</v>
      </c>
      <c r="F46" s="887">
        <f>SUM('Model Main'!ES132:FE132)-'Model Main'!EO132-'Model Main'!EP132-(F31-Drivers!FE90)*1100/1000</f>
        <v>-11146.225507571389</v>
      </c>
      <c r="G46" s="887">
        <f>SUM('Model Main'!ES132:FD132)-SUM('Model Main'!EO132:EP132)</f>
        <v>-8879.161983190892</v>
      </c>
      <c r="H46" s="887"/>
    </row>
    <row r="47" spans="1:8" hidden="1" x14ac:dyDescent="0.3">
      <c r="A47" s="998"/>
    </row>
    <row r="48" spans="1:8" hidden="1" x14ac:dyDescent="0.3">
      <c r="A48" s="998" t="s">
        <v>1269</v>
      </c>
      <c r="B48" s="921" t="e">
        <f>B43+B45+B46</f>
        <v>#REF!</v>
      </c>
      <c r="D48" s="921">
        <f>D43+D45+D46</f>
        <v>20287.83801680911</v>
      </c>
      <c r="F48" s="921">
        <f>F43+F45+F46</f>
        <v>21651.774492428609</v>
      </c>
      <c r="G48" s="921">
        <f>G43+G45+G46</f>
        <v>17418.83801680911</v>
      </c>
      <c r="H48" s="887"/>
    </row>
    <row r="49" spans="1:7" hidden="1" x14ac:dyDescent="0.3">
      <c r="A49" s="998"/>
    </row>
    <row r="50" spans="1:7" hidden="1" x14ac:dyDescent="0.3">
      <c r="A50" s="995" t="s">
        <v>104</v>
      </c>
      <c r="B50" s="76">
        <f>B7</f>
        <v>260</v>
      </c>
      <c r="D50" s="76">
        <f>B50</f>
        <v>260</v>
      </c>
      <c r="F50" s="76">
        <f>D50</f>
        <v>260</v>
      </c>
      <c r="G50" s="76">
        <f>F50</f>
        <v>260</v>
      </c>
    </row>
    <row r="51" spans="1:7" hidden="1" x14ac:dyDescent="0.3">
      <c r="A51" s="998" t="s">
        <v>1270</v>
      </c>
      <c r="B51" s="1084" t="e">
        <f>B48/B50</f>
        <v>#REF!</v>
      </c>
      <c r="D51" s="1084">
        <f>D48/D50</f>
        <v>78.030146218496583</v>
      </c>
      <c r="F51" s="1084">
        <f>F48/F50</f>
        <v>83.276055740110039</v>
      </c>
      <c r="G51" s="1084">
        <f>G48/G50</f>
        <v>66.99553083388119</v>
      </c>
    </row>
    <row r="52" spans="1:7" hidden="1" x14ac:dyDescent="0.3">
      <c r="B52" s="890" t="e">
        <f>B51/B6-1</f>
        <v>#REF!</v>
      </c>
      <c r="F52" s="146">
        <f>F51/$B$6-1</f>
        <v>2.1306787872221817</v>
      </c>
      <c r="G52" s="146">
        <f>G51/$B$6-1</f>
        <v>1.5186289787173379</v>
      </c>
    </row>
    <row r="53" spans="1:7" hidden="1" outlineLevel="1" x14ac:dyDescent="0.3">
      <c r="A53" t="s">
        <v>3185</v>
      </c>
      <c r="B53" s="79">
        <f>+Analysis!$C$4876</f>
        <v>1006.8600000000001</v>
      </c>
    </row>
    <row r="54" spans="1:7" hidden="1" outlineLevel="1" x14ac:dyDescent="0.3">
      <c r="A54" s="177" t="s">
        <v>3186</v>
      </c>
      <c r="B54" s="76" t="e">
        <f>+#REF!-#REF!</f>
        <v>#REF!</v>
      </c>
    </row>
    <row r="55" spans="1:7" hidden="1" outlineLevel="1" x14ac:dyDescent="0.3">
      <c r="A55" s="298" t="s">
        <v>3187</v>
      </c>
      <c r="B55" s="803" t="e">
        <f>+B53+B54</f>
        <v>#REF!</v>
      </c>
    </row>
    <row r="56" spans="1:7" hidden="1" outlineLevel="1" x14ac:dyDescent="0.3">
      <c r="A56" s="177" t="s">
        <v>881</v>
      </c>
      <c r="B56" s="299">
        <v>12.5</v>
      </c>
    </row>
    <row r="57" spans="1:7" hidden="1" outlineLevel="1" x14ac:dyDescent="0.3">
      <c r="A57" s="298" t="s">
        <v>3188</v>
      </c>
      <c r="B57" s="381" t="e">
        <f>+B55*B56</f>
        <v>#REF!</v>
      </c>
    </row>
    <row r="58" spans="1:7" hidden="1" outlineLevel="1" x14ac:dyDescent="0.3"/>
    <row r="59" spans="1:7" hidden="1" outlineLevel="1" x14ac:dyDescent="0.3">
      <c r="A59" t="s">
        <v>3189</v>
      </c>
      <c r="B59" s="76">
        <f>+'Debt-old'!C156-'Debt-old'!C154</f>
        <v>1408.811255021451</v>
      </c>
    </row>
    <row r="60" spans="1:7" hidden="1" outlineLevel="1" x14ac:dyDescent="0.3">
      <c r="A60" s="177" t="s">
        <v>881</v>
      </c>
      <c r="B60" s="299">
        <v>3.5</v>
      </c>
    </row>
    <row r="61" spans="1:7" hidden="1" outlineLevel="1" x14ac:dyDescent="0.3">
      <c r="A61" s="298" t="s">
        <v>1777</v>
      </c>
      <c r="B61" s="381">
        <f>+B59*B60</f>
        <v>4930.8393925750788</v>
      </c>
      <c r="C61" s="76"/>
    </row>
    <row r="62" spans="1:7" hidden="1" outlineLevel="1" x14ac:dyDescent="0.3">
      <c r="A62" s="298"/>
    </row>
    <row r="63" spans="1:7" hidden="1" outlineLevel="1" x14ac:dyDescent="0.3">
      <c r="A63" s="177" t="s">
        <v>3190</v>
      </c>
      <c r="B63" s="76" t="e">
        <f>+B57</f>
        <v>#REF!</v>
      </c>
    </row>
    <row r="64" spans="1:7" hidden="1" outlineLevel="1" x14ac:dyDescent="0.3">
      <c r="A64" s="177" t="s">
        <v>3191</v>
      </c>
      <c r="B64" s="76">
        <f>+B61</f>
        <v>4930.8393925750788</v>
      </c>
    </row>
    <row r="65" spans="1:11" hidden="1" outlineLevel="1" x14ac:dyDescent="0.3">
      <c r="A65" s="177" t="s">
        <v>3192</v>
      </c>
      <c r="B65" s="79" t="e">
        <f>+Analysis!B4477</f>
        <v>#REF!</v>
      </c>
    </row>
    <row r="66" spans="1:11" hidden="1" outlineLevel="1" x14ac:dyDescent="0.3">
      <c r="A66" s="298" t="s">
        <v>1631</v>
      </c>
      <c r="B66" s="803" t="e">
        <f>+SUM(B63:B65)</f>
        <v>#REF!</v>
      </c>
    </row>
    <row r="67" spans="1:11" hidden="1" outlineLevel="1" x14ac:dyDescent="0.3">
      <c r="A67" s="177" t="s">
        <v>1267</v>
      </c>
      <c r="B67" s="79" t="e">
        <f>+B9-B10+Analysis!B4478</f>
        <v>#REF!</v>
      </c>
    </row>
    <row r="68" spans="1:11" hidden="1" outlineLevel="1" x14ac:dyDescent="0.3">
      <c r="A68" s="298" t="s">
        <v>744</v>
      </c>
      <c r="B68" s="803" t="e">
        <f>+B66-B67</f>
        <v>#REF!</v>
      </c>
    </row>
    <row r="69" spans="1:11" hidden="1" outlineLevel="1" x14ac:dyDescent="0.3">
      <c r="A69" s="177" t="s">
        <v>104</v>
      </c>
      <c r="B69" s="76">
        <f>+$B$7</f>
        <v>260</v>
      </c>
    </row>
    <row r="70" spans="1:11" ht="12.5" hidden="1" outlineLevel="1" thickBot="1" x14ac:dyDescent="0.35">
      <c r="A70" s="298" t="s">
        <v>3193</v>
      </c>
      <c r="B70" s="300" t="e">
        <f>+B68/B69</f>
        <v>#REF!</v>
      </c>
    </row>
    <row r="71" spans="1:11" hidden="1" outlineLevel="1" x14ac:dyDescent="0.3">
      <c r="A71" s="465" t="s">
        <v>3194</v>
      </c>
      <c r="B71" s="657" t="e">
        <f>+B70/B6-1</f>
        <v>#REF!</v>
      </c>
    </row>
    <row r="72" spans="1:11" hidden="1" outlineLevel="1" x14ac:dyDescent="0.3">
      <c r="A72" s="516"/>
      <c r="B72" s="114"/>
    </row>
    <row r="73" spans="1:11" hidden="1" outlineLevel="1" x14ac:dyDescent="0.3">
      <c r="A73" s="200" t="s">
        <v>3195</v>
      </c>
      <c r="B73" s="201"/>
      <c r="C73" s="201"/>
      <c r="D73" s="220"/>
      <c r="E73" s="201"/>
      <c r="F73" s="201"/>
      <c r="G73" s="201"/>
      <c r="H73" s="201"/>
      <c r="I73" s="201"/>
      <c r="J73" s="201"/>
      <c r="K73" s="201"/>
    </row>
    <row r="74" spans="1:11" hidden="1" outlineLevel="1" x14ac:dyDescent="0.3">
      <c r="A74" s="223"/>
      <c r="B74" s="224">
        <v>2021</v>
      </c>
      <c r="C74" s="225">
        <f t="shared" ref="C74:K74" si="1">B74+1</f>
        <v>2022</v>
      </c>
      <c r="D74" s="226">
        <f t="shared" si="1"/>
        <v>2023</v>
      </c>
      <c r="E74" s="225">
        <f t="shared" si="1"/>
        <v>2024</v>
      </c>
      <c r="F74" s="225">
        <f t="shared" si="1"/>
        <v>2025</v>
      </c>
      <c r="G74" s="225">
        <f t="shared" si="1"/>
        <v>2026</v>
      </c>
      <c r="H74" s="225">
        <f t="shared" si="1"/>
        <v>2027</v>
      </c>
      <c r="I74" s="225">
        <f t="shared" si="1"/>
        <v>2028</v>
      </c>
      <c r="J74" s="225">
        <f t="shared" si="1"/>
        <v>2029</v>
      </c>
      <c r="K74" s="225">
        <f t="shared" si="1"/>
        <v>2030</v>
      </c>
    </row>
    <row r="75" spans="1:11" hidden="1" outlineLevel="1" x14ac:dyDescent="0.3">
      <c r="A75" t="s">
        <v>3196</v>
      </c>
      <c r="B75" s="365">
        <f t="shared" ref="B75:G75" si="2">+B84-B79-B82</f>
        <v>1407.147104621451</v>
      </c>
      <c r="C75" s="365">
        <f t="shared" si="2"/>
        <v>989.5251305899593</v>
      </c>
      <c r="D75" s="365">
        <f t="shared" si="2"/>
        <v>965.87268443500739</v>
      </c>
      <c r="E75" s="365">
        <f t="shared" si="2"/>
        <v>954.44598302855707</v>
      </c>
      <c r="F75" s="365">
        <f t="shared" si="2"/>
        <v>902.71222646268268</v>
      </c>
      <c r="G75" s="365">
        <f t="shared" si="2"/>
        <v>882.97512839353715</v>
      </c>
      <c r="H75" s="365">
        <f>+H84-H79-H82</f>
        <v>862.67186665335464</v>
      </c>
      <c r="I75" s="365">
        <f>+I84-I79-I82</f>
        <v>755.48559636242794</v>
      </c>
      <c r="J75" s="365">
        <f>+J84-J79-J82</f>
        <v>594.56972767058528</v>
      </c>
      <c r="K75" s="365">
        <f>+K84-K79-K82</f>
        <v>413.850864149053</v>
      </c>
    </row>
    <row r="76" spans="1:11" hidden="1" outlineLevel="1" x14ac:dyDescent="0.3">
      <c r="A76" s="177" t="s">
        <v>881</v>
      </c>
      <c r="B76" s="299">
        <v>3.5</v>
      </c>
      <c r="C76" s="299">
        <f t="shared" ref="C76:K76" si="3">+B76</f>
        <v>3.5</v>
      </c>
      <c r="D76" s="299">
        <f t="shared" si="3"/>
        <v>3.5</v>
      </c>
      <c r="E76" s="299">
        <f t="shared" si="3"/>
        <v>3.5</v>
      </c>
      <c r="F76" s="299">
        <f t="shared" si="3"/>
        <v>3.5</v>
      </c>
      <c r="G76" s="299">
        <f t="shared" si="3"/>
        <v>3.5</v>
      </c>
      <c r="H76" s="299">
        <f t="shared" si="3"/>
        <v>3.5</v>
      </c>
      <c r="I76" s="299">
        <f t="shared" si="3"/>
        <v>3.5</v>
      </c>
      <c r="J76" s="299">
        <f t="shared" si="3"/>
        <v>3.5</v>
      </c>
      <c r="K76" s="299">
        <f t="shared" si="3"/>
        <v>3.5</v>
      </c>
    </row>
    <row r="77" spans="1:11" hidden="1" outlineLevel="1" x14ac:dyDescent="0.3">
      <c r="A77" s="298" t="s">
        <v>3197</v>
      </c>
      <c r="B77" s="850">
        <f t="shared" ref="B77:G77" si="4">+B75*B76</f>
        <v>4925.0148661750791</v>
      </c>
      <c r="C77" s="850">
        <f t="shared" si="4"/>
        <v>3463.3379570648576</v>
      </c>
      <c r="D77" s="850">
        <f t="shared" si="4"/>
        <v>3380.5543955225257</v>
      </c>
      <c r="E77" s="850">
        <f t="shared" si="4"/>
        <v>3340.5609405999498</v>
      </c>
      <c r="F77" s="850">
        <f t="shared" si="4"/>
        <v>3159.4927926193895</v>
      </c>
      <c r="G77" s="850">
        <f t="shared" si="4"/>
        <v>3090.4129493773798</v>
      </c>
      <c r="H77" s="850">
        <f>+H75*H76</f>
        <v>3019.3515332867414</v>
      </c>
      <c r="I77" s="850">
        <f>+I75*I76</f>
        <v>2644.1995872684979</v>
      </c>
      <c r="J77" s="850">
        <f>+J75*J76</f>
        <v>2080.9940468470486</v>
      </c>
      <c r="K77" s="850">
        <f>+K75*K76</f>
        <v>1448.4780245216855</v>
      </c>
    </row>
    <row r="78" spans="1:11" hidden="1" outlineLevel="1" x14ac:dyDescent="0.3">
      <c r="A78" s="177"/>
      <c r="B78" s="299"/>
      <c r="C78" s="544"/>
      <c r="D78" s="545"/>
      <c r="E78" s="544"/>
      <c r="F78" s="544"/>
      <c r="G78" s="544"/>
      <c r="H78" s="544"/>
      <c r="I78" s="544"/>
      <c r="J78" s="544"/>
      <c r="K78" s="544"/>
    </row>
    <row r="79" spans="1:11" hidden="1" outlineLevel="1" x14ac:dyDescent="0.3">
      <c r="A79" t="s">
        <v>3198</v>
      </c>
      <c r="B79" s="79">
        <f>+Analysis!D4876</f>
        <v>1066.188744978549</v>
      </c>
      <c r="C79" s="79">
        <f>+Analysis!E4876</f>
        <v>1074.3548319618569</v>
      </c>
      <c r="D79" s="79">
        <f>+Analysis!F4876</f>
        <v>1097.2934934899999</v>
      </c>
      <c r="E79" s="79">
        <f>+Analysis!G4876</f>
        <v>1132.0492428767229</v>
      </c>
      <c r="F79" s="79">
        <f>+Analysis!H4876</f>
        <v>1184.2006288978687</v>
      </c>
      <c r="G79" s="79">
        <f>+Analysis!I4876</f>
        <v>1238.1702444565246</v>
      </c>
      <c r="H79" s="79">
        <f>+Analysis!J4876</f>
        <v>1294.0260581739842</v>
      </c>
      <c r="I79" s="79">
        <f>+Analysis!K4876</f>
        <v>1351.8386606990343</v>
      </c>
      <c r="J79" s="79">
        <f>+Analysis!L4876</f>
        <v>1411.6813668192572</v>
      </c>
      <c r="K79" s="79">
        <f>+Analysis!M4876</f>
        <v>1473.6303215447447</v>
      </c>
    </row>
    <row r="80" spans="1:11" hidden="1" outlineLevel="1" x14ac:dyDescent="0.3">
      <c r="A80" s="177" t="s">
        <v>881</v>
      </c>
      <c r="B80" s="299">
        <v>12.5</v>
      </c>
      <c r="C80" s="299">
        <f t="shared" ref="C80:K80" si="5">+B80</f>
        <v>12.5</v>
      </c>
      <c r="D80" s="299">
        <f t="shared" si="5"/>
        <v>12.5</v>
      </c>
      <c r="E80" s="299">
        <f t="shared" si="5"/>
        <v>12.5</v>
      </c>
      <c r="F80" s="299">
        <f t="shared" si="5"/>
        <v>12.5</v>
      </c>
      <c r="G80" s="299">
        <f t="shared" si="5"/>
        <v>12.5</v>
      </c>
      <c r="H80" s="299">
        <f t="shared" si="5"/>
        <v>12.5</v>
      </c>
      <c r="I80" s="299">
        <f t="shared" si="5"/>
        <v>12.5</v>
      </c>
      <c r="J80" s="299">
        <f t="shared" si="5"/>
        <v>12.5</v>
      </c>
      <c r="K80" s="299">
        <f t="shared" si="5"/>
        <v>12.5</v>
      </c>
    </row>
    <row r="81" spans="1:11" hidden="1" outlineLevel="1" x14ac:dyDescent="0.3">
      <c r="A81" s="298" t="s">
        <v>3199</v>
      </c>
      <c r="B81" s="850">
        <f t="shared" ref="B81:K81" si="6">+B79*B80</f>
        <v>13327.359312231863</v>
      </c>
      <c r="C81" s="850">
        <f t="shared" si="6"/>
        <v>13429.435399523212</v>
      </c>
      <c r="D81" s="850">
        <f t="shared" si="6"/>
        <v>13716.168668625</v>
      </c>
      <c r="E81" s="850">
        <f t="shared" si="6"/>
        <v>14150.615535959038</v>
      </c>
      <c r="F81" s="850">
        <f t="shared" si="6"/>
        <v>14802.507861223359</v>
      </c>
      <c r="G81" s="850">
        <f t="shared" si="6"/>
        <v>15477.128055706558</v>
      </c>
      <c r="H81" s="850">
        <f t="shared" si="6"/>
        <v>16175.325727174803</v>
      </c>
      <c r="I81" s="850">
        <f t="shared" si="6"/>
        <v>16897.983258737928</v>
      </c>
      <c r="J81" s="850">
        <f t="shared" si="6"/>
        <v>17646.017085240714</v>
      </c>
      <c r="K81" s="850">
        <f t="shared" si="6"/>
        <v>18420.379019309308</v>
      </c>
    </row>
    <row r="82" spans="1:11" hidden="1" outlineLevel="1" x14ac:dyDescent="0.3">
      <c r="A82" s="177" t="s">
        <v>3200</v>
      </c>
      <c r="B82" s="80">
        <f>+Analysis!D4459</f>
        <v>1.6641503999999998</v>
      </c>
      <c r="C82" s="80">
        <f>+Analysis!E4459</f>
        <v>16.12003744818378</v>
      </c>
      <c r="D82" s="80">
        <f>+Analysis!F4459</f>
        <v>63.833822074992639</v>
      </c>
      <c r="E82" s="80">
        <f>+Analysis!G4459</f>
        <v>164.50477409471998</v>
      </c>
      <c r="F82" s="80">
        <f>+Analysis!H4459</f>
        <v>329.54174155114299</v>
      </c>
      <c r="G82" s="80">
        <f>+Analysis!I4459</f>
        <v>555.86766612619806</v>
      </c>
      <c r="H82" s="80">
        <f>+Analysis!J4459</f>
        <v>837.17839965915698</v>
      </c>
      <c r="I82" s="80">
        <f>+Analysis!K4459</f>
        <v>1164.6795715857704</v>
      </c>
      <c r="J82" s="80">
        <f>+Analysis!L4459</f>
        <v>1527.4283526046154</v>
      </c>
      <c r="K82" s="80">
        <f>+Analysis!M4459</f>
        <v>1891.0220051823994</v>
      </c>
    </row>
    <row r="83" spans="1:11" hidden="1" outlineLevel="1" x14ac:dyDescent="0.3">
      <c r="A83" s="298"/>
      <c r="B83" s="543"/>
      <c r="C83" s="544"/>
      <c r="D83" s="545"/>
      <c r="E83" s="544"/>
      <c r="F83" s="544"/>
      <c r="G83" s="544"/>
      <c r="H83" s="544"/>
      <c r="I83" s="544"/>
      <c r="J83" s="544"/>
      <c r="K83" s="544"/>
    </row>
    <row r="84" spans="1:11" hidden="1" outlineLevel="1" x14ac:dyDescent="0.3">
      <c r="A84" t="s">
        <v>3201</v>
      </c>
      <c r="B84" s="79">
        <f>+'Model Main'!EI48</f>
        <v>2475</v>
      </c>
      <c r="C84" s="79">
        <f>+'Model Main'!EN48</f>
        <v>2080</v>
      </c>
      <c r="D84" s="79">
        <f>+'Model Main'!ES48</f>
        <v>2127</v>
      </c>
      <c r="E84" s="79">
        <f>+'Model Main'!EX48</f>
        <v>2251</v>
      </c>
      <c r="F84" s="79">
        <f>+'Model Main'!FC48</f>
        <v>2416.4545969116944</v>
      </c>
      <c r="G84" s="79">
        <f>+'Model Main'!FD48</f>
        <v>2677.0130389762598</v>
      </c>
      <c r="H84" s="79">
        <f>+'Model Main'!FE48</f>
        <v>2993.8763244864958</v>
      </c>
      <c r="I84" s="79">
        <f>+'Model Main'!FF48</f>
        <v>3272.0038286472327</v>
      </c>
      <c r="J84" s="79">
        <f>+'Model Main'!FG48</f>
        <v>3533.6794470944578</v>
      </c>
      <c r="K84" s="79">
        <f>+'Model Main'!FH48</f>
        <v>3778.5031908761971</v>
      </c>
    </row>
    <row r="85" spans="1:11" hidden="1" outlineLevel="1" x14ac:dyDescent="0.3">
      <c r="A85" s="177" t="s">
        <v>881</v>
      </c>
      <c r="B85" s="549">
        <f t="shared" ref="B85:K85" si="7">+B86/B84</f>
        <v>7.374696637740179</v>
      </c>
      <c r="C85" s="549">
        <f t="shared" si="7"/>
        <v>8.1215256522058024</v>
      </c>
      <c r="D85" s="549">
        <f t="shared" si="7"/>
        <v>8.0379516051469331</v>
      </c>
      <c r="E85" s="549">
        <f t="shared" si="7"/>
        <v>7.7704026994931086</v>
      </c>
      <c r="F85" s="549">
        <f t="shared" si="7"/>
        <v>7.4332042806840875</v>
      </c>
      <c r="G85" s="549">
        <f t="shared" si="7"/>
        <v>6.9359172834602685</v>
      </c>
      <c r="H85" s="549">
        <f t="shared" si="7"/>
        <v>6.4113126863227325</v>
      </c>
      <c r="I85" s="549">
        <f t="shared" si="7"/>
        <v>5.9725427809434697</v>
      </c>
      <c r="J85" s="549">
        <f t="shared" si="7"/>
        <v>5.5825695079128224</v>
      </c>
      <c r="K85" s="549">
        <f t="shared" si="7"/>
        <v>5.2583936125308934</v>
      </c>
    </row>
    <row r="86" spans="1:11" hidden="1" outlineLevel="1" x14ac:dyDescent="0.3">
      <c r="A86" s="298" t="s">
        <v>3202</v>
      </c>
      <c r="B86" s="850">
        <f t="shared" ref="B86:G86" si="8">+SUM(B81,B77)</f>
        <v>18252.374178406943</v>
      </c>
      <c r="C86" s="850">
        <f t="shared" si="8"/>
        <v>16892.77335658807</v>
      </c>
      <c r="D86" s="850">
        <f t="shared" si="8"/>
        <v>17096.723064147525</v>
      </c>
      <c r="E86" s="850">
        <f t="shared" si="8"/>
        <v>17491.176476558987</v>
      </c>
      <c r="F86" s="850">
        <f t="shared" si="8"/>
        <v>17962.000653842748</v>
      </c>
      <c r="G86" s="850">
        <f t="shared" si="8"/>
        <v>18567.541005083938</v>
      </c>
      <c r="H86" s="850">
        <f>+SUM(H81,H77)</f>
        <v>19194.677260461543</v>
      </c>
      <c r="I86" s="850">
        <f>+SUM(I81,I77)</f>
        <v>19542.182846006424</v>
      </c>
      <c r="J86" s="850">
        <f>+SUM(J81,J77)</f>
        <v>19727.011132087762</v>
      </c>
      <c r="K86" s="850">
        <f>+SUM(K81,K77)</f>
        <v>19868.857043830994</v>
      </c>
    </row>
    <row r="87" spans="1:11" hidden="1" outlineLevel="1" x14ac:dyDescent="0.3">
      <c r="A87" s="177" t="s">
        <v>3203</v>
      </c>
      <c r="B87" s="79" t="e">
        <f>+Analysis!B4477</f>
        <v>#REF!</v>
      </c>
      <c r="C87" s="365" t="e">
        <f t="shared" ref="C87:K87" si="9">+B87</f>
        <v>#REF!</v>
      </c>
      <c r="D87" s="365" t="e">
        <f t="shared" si="9"/>
        <v>#REF!</v>
      </c>
      <c r="E87" s="365" t="e">
        <f t="shared" si="9"/>
        <v>#REF!</v>
      </c>
      <c r="F87" s="365" t="e">
        <f t="shared" si="9"/>
        <v>#REF!</v>
      </c>
      <c r="G87" s="365" t="e">
        <f t="shared" si="9"/>
        <v>#REF!</v>
      </c>
      <c r="H87" s="365" t="e">
        <f t="shared" si="9"/>
        <v>#REF!</v>
      </c>
      <c r="I87" s="365" t="e">
        <f t="shared" si="9"/>
        <v>#REF!</v>
      </c>
      <c r="J87" s="365" t="e">
        <f t="shared" si="9"/>
        <v>#REF!</v>
      </c>
      <c r="K87" s="365" t="e">
        <f t="shared" si="9"/>
        <v>#REF!</v>
      </c>
    </row>
    <row r="88" spans="1:11" hidden="1" outlineLevel="1" x14ac:dyDescent="0.3">
      <c r="A88" s="298" t="s">
        <v>1631</v>
      </c>
      <c r="B88" s="850" t="e">
        <f t="shared" ref="B88:G88" si="10">+B86+B87</f>
        <v>#REF!</v>
      </c>
      <c r="C88" s="850" t="e">
        <f t="shared" si="10"/>
        <v>#REF!</v>
      </c>
      <c r="D88" s="850" t="e">
        <f t="shared" si="10"/>
        <v>#REF!</v>
      </c>
      <c r="E88" s="850" t="e">
        <f t="shared" si="10"/>
        <v>#REF!</v>
      </c>
      <c r="F88" s="850" t="e">
        <f t="shared" si="10"/>
        <v>#REF!</v>
      </c>
      <c r="G88" s="850" t="e">
        <f t="shared" si="10"/>
        <v>#REF!</v>
      </c>
      <c r="H88" s="850" t="e">
        <f>+H86+H87</f>
        <v>#REF!</v>
      </c>
      <c r="I88" s="850" t="e">
        <f>+I86+I87</f>
        <v>#REF!</v>
      </c>
      <c r="J88" s="850" t="e">
        <f>+J86+J87</f>
        <v>#REF!</v>
      </c>
      <c r="K88" s="850" t="e">
        <f>+K86+K87</f>
        <v>#REF!</v>
      </c>
    </row>
    <row r="89" spans="1:11" hidden="1" outlineLevel="1" x14ac:dyDescent="0.3">
      <c r="A89" s="177" t="s">
        <v>3204</v>
      </c>
      <c r="B89" s="365">
        <f t="shared" ref="B89:K89" si="11">+$B$9-$B$10</f>
        <v>10052</v>
      </c>
      <c r="C89" s="365">
        <f t="shared" si="11"/>
        <v>10052</v>
      </c>
      <c r="D89" s="365">
        <f t="shared" si="11"/>
        <v>10052</v>
      </c>
      <c r="E89" s="365">
        <f t="shared" si="11"/>
        <v>10052</v>
      </c>
      <c r="F89" s="365">
        <f t="shared" si="11"/>
        <v>10052</v>
      </c>
      <c r="G89" s="365">
        <f t="shared" si="11"/>
        <v>10052</v>
      </c>
      <c r="H89" s="365">
        <f t="shared" si="11"/>
        <v>10052</v>
      </c>
      <c r="I89" s="365">
        <f t="shared" si="11"/>
        <v>10052</v>
      </c>
      <c r="J89" s="365">
        <f t="shared" si="11"/>
        <v>10052</v>
      </c>
      <c r="K89" s="365">
        <f t="shared" si="11"/>
        <v>10052</v>
      </c>
    </row>
    <row r="90" spans="1:11" hidden="1" outlineLevel="1" x14ac:dyDescent="0.3">
      <c r="A90" s="177" t="s">
        <v>3205</v>
      </c>
      <c r="B90" s="79" t="e">
        <f>+Analysis!B4478</f>
        <v>#REF!</v>
      </c>
      <c r="C90" s="365" t="e">
        <f t="shared" ref="C90:K90" si="12">+B90</f>
        <v>#REF!</v>
      </c>
      <c r="D90" s="365" t="e">
        <f t="shared" si="12"/>
        <v>#REF!</v>
      </c>
      <c r="E90" s="365" t="e">
        <f t="shared" si="12"/>
        <v>#REF!</v>
      </c>
      <c r="F90" s="365" t="e">
        <f t="shared" si="12"/>
        <v>#REF!</v>
      </c>
      <c r="G90" s="365" t="e">
        <f t="shared" si="12"/>
        <v>#REF!</v>
      </c>
      <c r="H90" s="365" t="e">
        <f t="shared" si="12"/>
        <v>#REF!</v>
      </c>
      <c r="I90" s="365" t="e">
        <f t="shared" si="12"/>
        <v>#REF!</v>
      </c>
      <c r="J90" s="365" t="e">
        <f t="shared" si="12"/>
        <v>#REF!</v>
      </c>
      <c r="K90" s="365" t="e">
        <f t="shared" si="12"/>
        <v>#REF!</v>
      </c>
    </row>
    <row r="91" spans="1:11" hidden="1" outlineLevel="1" x14ac:dyDescent="0.3">
      <c r="A91" s="298" t="s">
        <v>744</v>
      </c>
      <c r="B91" s="850" t="e">
        <f t="shared" ref="B91:G91" si="13">+B88-B89-B90</f>
        <v>#REF!</v>
      </c>
      <c r="C91" s="850" t="e">
        <f t="shared" si="13"/>
        <v>#REF!</v>
      </c>
      <c r="D91" s="850" t="e">
        <f t="shared" si="13"/>
        <v>#REF!</v>
      </c>
      <c r="E91" s="850" t="e">
        <f t="shared" si="13"/>
        <v>#REF!</v>
      </c>
      <c r="F91" s="850" t="e">
        <f t="shared" si="13"/>
        <v>#REF!</v>
      </c>
      <c r="G91" s="850" t="e">
        <f t="shared" si="13"/>
        <v>#REF!</v>
      </c>
      <c r="H91" s="850" t="e">
        <f>+H88-H89-H90</f>
        <v>#REF!</v>
      </c>
      <c r="I91" s="850" t="e">
        <f>+I88-I89-I90</f>
        <v>#REF!</v>
      </c>
      <c r="J91" s="850" t="e">
        <f>+J88-J89-J90</f>
        <v>#REF!</v>
      </c>
      <c r="K91" s="850" t="e">
        <f>+K88-K89-K90</f>
        <v>#REF!</v>
      </c>
    </row>
    <row r="92" spans="1:11" hidden="1" outlineLevel="1" x14ac:dyDescent="0.3">
      <c r="A92" s="177"/>
      <c r="B92" s="365"/>
      <c r="C92" s="365"/>
      <c r="D92" s="365"/>
      <c r="E92" s="365"/>
      <c r="F92" s="365"/>
      <c r="G92" s="365"/>
      <c r="H92" s="365"/>
      <c r="I92" s="365"/>
      <c r="J92" s="365"/>
      <c r="K92" s="365"/>
    </row>
    <row r="93" spans="1:11" hidden="1" outlineLevel="1" x14ac:dyDescent="0.3">
      <c r="A93" t="s">
        <v>299</v>
      </c>
      <c r="B93" s="365">
        <f>+B75</f>
        <v>1407.147104621451</v>
      </c>
      <c r="C93" s="365">
        <f t="shared" ref="C93:K93" si="14">+C75</f>
        <v>989.5251305899593</v>
      </c>
      <c r="D93" s="365">
        <f t="shared" si="14"/>
        <v>965.87268443500739</v>
      </c>
      <c r="E93" s="365">
        <f t="shared" si="14"/>
        <v>954.44598302855707</v>
      </c>
      <c r="F93" s="365">
        <f t="shared" si="14"/>
        <v>902.71222646268268</v>
      </c>
      <c r="G93" s="365">
        <f t="shared" si="14"/>
        <v>882.97512839353715</v>
      </c>
      <c r="H93" s="365">
        <f t="shared" si="14"/>
        <v>862.67186665335464</v>
      </c>
      <c r="I93" s="365">
        <f t="shared" si="14"/>
        <v>755.48559636242794</v>
      </c>
      <c r="J93" s="365">
        <f t="shared" si="14"/>
        <v>594.56972767058528</v>
      </c>
      <c r="K93" s="365">
        <f t="shared" si="14"/>
        <v>413.850864149053</v>
      </c>
    </row>
    <row r="94" spans="1:11" hidden="1" outlineLevel="1" x14ac:dyDescent="0.3">
      <c r="A94" s="177" t="s">
        <v>298</v>
      </c>
      <c r="B94" s="365">
        <f>+B95-B93</f>
        <v>1067.852895378549</v>
      </c>
      <c r="C94" s="365">
        <f t="shared" ref="C94:K94" si="15">+C95-C93</f>
        <v>1090.4748694100408</v>
      </c>
      <c r="D94" s="365">
        <f t="shared" si="15"/>
        <v>1161.1273155649926</v>
      </c>
      <c r="E94" s="365">
        <f t="shared" si="15"/>
        <v>1296.5540169714429</v>
      </c>
      <c r="F94" s="365">
        <f t="shared" si="15"/>
        <v>1513.7423704490116</v>
      </c>
      <c r="G94" s="365">
        <f t="shared" si="15"/>
        <v>1794.0379105827228</v>
      </c>
      <c r="H94" s="365">
        <f t="shared" si="15"/>
        <v>2131.2044578331411</v>
      </c>
      <c r="I94" s="365">
        <f t="shared" si="15"/>
        <v>2516.518232284805</v>
      </c>
      <c r="J94" s="365">
        <f t="shared" si="15"/>
        <v>2939.1097194238728</v>
      </c>
      <c r="K94" s="365">
        <f t="shared" si="15"/>
        <v>3364.6523267271441</v>
      </c>
    </row>
    <row r="95" spans="1:11" hidden="1" outlineLevel="1" x14ac:dyDescent="0.3">
      <c r="A95" s="298" t="s">
        <v>301</v>
      </c>
      <c r="B95" s="365">
        <f>+'Model Main'!EI48</f>
        <v>2475</v>
      </c>
      <c r="C95" s="365">
        <f>+'Model Main'!EN48</f>
        <v>2080</v>
      </c>
      <c r="D95" s="365">
        <f>+'Model Main'!ES48</f>
        <v>2127</v>
      </c>
      <c r="E95" s="365">
        <f>+'Model Main'!EX48</f>
        <v>2251</v>
      </c>
      <c r="F95" s="365">
        <f>+'Model Main'!FC48</f>
        <v>2416.4545969116944</v>
      </c>
      <c r="G95" s="365">
        <f>+'Model Main'!FD48</f>
        <v>2677.0130389762598</v>
      </c>
      <c r="H95" s="365">
        <f>+'Model Main'!FE48</f>
        <v>2993.8763244864958</v>
      </c>
      <c r="I95" s="365">
        <f>+'Model Main'!FF48</f>
        <v>3272.0038286472327</v>
      </c>
      <c r="J95" s="365">
        <f>+'Model Main'!FG48</f>
        <v>3533.6794470944578</v>
      </c>
      <c r="K95" s="365">
        <f>+'Model Main'!FH48</f>
        <v>3778.5031908761971</v>
      </c>
    </row>
    <row r="96" spans="1:11" hidden="1" outlineLevel="1" x14ac:dyDescent="0.3">
      <c r="A96" s="298"/>
      <c r="B96" s="475"/>
      <c r="C96" s="475"/>
      <c r="D96" s="475"/>
      <c r="E96" s="475"/>
      <c r="F96" s="475"/>
      <c r="G96" s="475"/>
      <c r="H96" s="475"/>
      <c r="I96" s="475"/>
      <c r="J96" s="475"/>
      <c r="K96" s="475"/>
    </row>
    <row r="97" spans="1:17" hidden="1" outlineLevel="1" x14ac:dyDescent="0.3">
      <c r="A97" s="177" t="s">
        <v>865</v>
      </c>
      <c r="B97" s="365">
        <f>+B93*B76+B94*B80</f>
        <v>18273.176058406942</v>
      </c>
      <c r="C97" s="365">
        <f t="shared" ref="C97:K97" si="16">+C93*C76+C94*C80</f>
        <v>17094.273824690368</v>
      </c>
      <c r="D97" s="365">
        <f t="shared" si="16"/>
        <v>17894.645840084933</v>
      </c>
      <c r="E97" s="365">
        <f t="shared" si="16"/>
        <v>19547.486152742986</v>
      </c>
      <c r="F97" s="365">
        <f t="shared" si="16"/>
        <v>22081.272423232032</v>
      </c>
      <c r="G97" s="365">
        <f t="shared" si="16"/>
        <v>25515.886831661413</v>
      </c>
      <c r="H97" s="365">
        <f t="shared" si="16"/>
        <v>29659.407256201008</v>
      </c>
      <c r="I97" s="365">
        <f t="shared" si="16"/>
        <v>34100.677490828559</v>
      </c>
      <c r="J97" s="365">
        <f t="shared" si="16"/>
        <v>38819.865539645456</v>
      </c>
      <c r="K97" s="365">
        <f t="shared" si="16"/>
        <v>43506.632108610982</v>
      </c>
    </row>
    <row r="98" spans="1:17" hidden="1" outlineLevel="1" x14ac:dyDescent="0.3">
      <c r="A98" s="177" t="s">
        <v>148</v>
      </c>
      <c r="B98" s="365">
        <f>+'Model Main'!EI198</f>
        <v>5856</v>
      </c>
      <c r="C98" s="365">
        <f>+'Model Main'!EN198</f>
        <v>7053</v>
      </c>
      <c r="D98" s="365">
        <f>+'Model Main'!ES198</f>
        <v>9061</v>
      </c>
      <c r="E98" s="365">
        <f>+'Model Main'!EX198</f>
        <v>10811</v>
      </c>
      <c r="F98" s="365">
        <f>+'Model Main'!FC198</f>
        <v>12678.206734041809</v>
      </c>
      <c r="G98" s="365">
        <f>+'Model Main'!FD198</f>
        <v>14286.955249149083</v>
      </c>
      <c r="H98" s="365">
        <f>+'Model Main'!FE198</f>
        <v>14518.571773529582</v>
      </c>
      <c r="I98" s="365">
        <f>+'Model Main'!FF198</f>
        <v>14157.400706661409</v>
      </c>
      <c r="J98" s="365">
        <f>+'Model Main'!FG198</f>
        <v>13594.7525473368</v>
      </c>
      <c r="K98" s="365">
        <f>+'Model Main'!FH198</f>
        <v>13224.761168066691</v>
      </c>
    </row>
    <row r="99" spans="1:17" hidden="1" outlineLevel="1" x14ac:dyDescent="0.3">
      <c r="A99" s="298" t="s">
        <v>754</v>
      </c>
      <c r="B99" s="850">
        <f>+B97-B98</f>
        <v>12417.176058406942</v>
      </c>
      <c r="C99" s="850">
        <f t="shared" ref="C99:K99" si="17">+C97-C98</f>
        <v>10041.273824690368</v>
      </c>
      <c r="D99" s="850">
        <f t="shared" si="17"/>
        <v>8833.6458400849333</v>
      </c>
      <c r="E99" s="850">
        <f t="shared" si="17"/>
        <v>8736.4861527429857</v>
      </c>
      <c r="F99" s="850">
        <f t="shared" si="17"/>
        <v>9403.0656891902236</v>
      </c>
      <c r="G99" s="850">
        <f t="shared" si="17"/>
        <v>11228.93158251233</v>
      </c>
      <c r="H99" s="850">
        <f t="shared" si="17"/>
        <v>15140.835482671426</v>
      </c>
      <c r="I99" s="850">
        <f t="shared" si="17"/>
        <v>19943.276784167152</v>
      </c>
      <c r="J99" s="850">
        <f t="shared" si="17"/>
        <v>25225.112992308656</v>
      </c>
      <c r="K99" s="850">
        <f t="shared" si="17"/>
        <v>30281.870940544293</v>
      </c>
    </row>
    <row r="100" spans="1:17" hidden="1" outlineLevel="1" x14ac:dyDescent="0.3">
      <c r="A100" s="177" t="s">
        <v>104</v>
      </c>
      <c r="B100" s="365">
        <f>+$B$7</f>
        <v>260</v>
      </c>
      <c r="C100" s="365">
        <f t="shared" ref="C100:K100" si="18">+$B$7</f>
        <v>260</v>
      </c>
      <c r="D100" s="365">
        <f t="shared" si="18"/>
        <v>260</v>
      </c>
      <c r="E100" s="365">
        <f t="shared" si="18"/>
        <v>260</v>
      </c>
      <c r="F100" s="365">
        <f t="shared" si="18"/>
        <v>260</v>
      </c>
      <c r="G100" s="365">
        <f t="shared" si="18"/>
        <v>260</v>
      </c>
      <c r="H100" s="365">
        <f t="shared" si="18"/>
        <v>260</v>
      </c>
      <c r="I100" s="365">
        <f t="shared" si="18"/>
        <v>260</v>
      </c>
      <c r="J100" s="365">
        <f t="shared" si="18"/>
        <v>260</v>
      </c>
      <c r="K100" s="365">
        <f t="shared" si="18"/>
        <v>260</v>
      </c>
    </row>
    <row r="101" spans="1:17" hidden="1" outlineLevel="1" x14ac:dyDescent="0.3">
      <c r="A101" s="298" t="s">
        <v>3206</v>
      </c>
      <c r="B101" s="859">
        <f>+B99/B100</f>
        <v>47.758369455411312</v>
      </c>
      <c r="C101" s="859">
        <f t="shared" ref="C101:K101" si="19">+C99/C100</f>
        <v>38.620283941116803</v>
      </c>
      <c r="D101" s="859">
        <f t="shared" si="19"/>
        <v>33.975560923403592</v>
      </c>
      <c r="E101" s="859">
        <f t="shared" si="19"/>
        <v>33.60186981824225</v>
      </c>
      <c r="F101" s="859">
        <f t="shared" si="19"/>
        <v>36.165637266116242</v>
      </c>
      <c r="G101" s="859">
        <f t="shared" si="19"/>
        <v>43.188198394278196</v>
      </c>
      <c r="H101" s="859">
        <f t="shared" si="19"/>
        <v>58.23398262565933</v>
      </c>
      <c r="I101" s="859">
        <f t="shared" si="19"/>
        <v>76.704910708335206</v>
      </c>
      <c r="J101" s="859">
        <f t="shared" si="19"/>
        <v>97.019665355033297</v>
      </c>
      <c r="K101" s="859">
        <f t="shared" si="19"/>
        <v>116.46873438670882</v>
      </c>
    </row>
    <row r="102" spans="1:17" hidden="1" collapsed="1" x14ac:dyDescent="0.3">
      <c r="F102" s="899">
        <f>F51/$B$6</f>
        <v>3.1306787872221817</v>
      </c>
      <c r="G102" s="899">
        <f>G51/$B$6</f>
        <v>2.5186289787173379</v>
      </c>
    </row>
    <row r="103" spans="1:17" x14ac:dyDescent="0.3">
      <c r="A103" s="588" t="s">
        <v>3234</v>
      </c>
      <c r="B103" s="589"/>
      <c r="C103" s="589"/>
      <c r="D103" s="589"/>
      <c r="E103" s="589"/>
      <c r="F103" s="589"/>
      <c r="G103" s="589"/>
      <c r="H103" s="1184"/>
      <c r="I103" s="1184"/>
      <c r="J103" s="589"/>
      <c r="K103" s="589"/>
      <c r="L103" s="589"/>
      <c r="M103" s="589"/>
      <c r="N103" s="201"/>
      <c r="O103" s="201"/>
      <c r="P103" s="201"/>
      <c r="Q103" s="164"/>
    </row>
    <row r="104" spans="1:17" ht="24" x14ac:dyDescent="0.3">
      <c r="A104" s="653"/>
      <c r="B104" s="654">
        <v>2023</v>
      </c>
      <c r="C104" s="654">
        <f t="shared" ref="C104:J104" si="20">B104+1</f>
        <v>2024</v>
      </c>
      <c r="D104" s="654">
        <f t="shared" si="20"/>
        <v>2025</v>
      </c>
      <c r="E104" s="654">
        <f t="shared" si="20"/>
        <v>2026</v>
      </c>
      <c r="F104" s="654">
        <f t="shared" si="20"/>
        <v>2027</v>
      </c>
      <c r="G104" s="654">
        <f t="shared" si="20"/>
        <v>2028</v>
      </c>
      <c r="H104" s="654">
        <f t="shared" si="20"/>
        <v>2029</v>
      </c>
      <c r="I104" s="654">
        <f t="shared" si="20"/>
        <v>2030</v>
      </c>
      <c r="J104" s="654">
        <f t="shared" si="20"/>
        <v>2031</v>
      </c>
      <c r="K104" s="654" t="s">
        <v>245</v>
      </c>
      <c r="L104" s="655" t="s">
        <v>3235</v>
      </c>
      <c r="M104" s="655" t="s">
        <v>3236</v>
      </c>
    </row>
    <row r="105" spans="1:17" x14ac:dyDescent="0.3">
      <c r="A105" s="551" t="s">
        <v>284</v>
      </c>
      <c r="B105" s="272">
        <f>+'Model Main'!ES53</f>
        <v>5751</v>
      </c>
      <c r="C105" s="272">
        <f>+'Model Main'!EX53</f>
        <v>5937</v>
      </c>
      <c r="D105" s="272">
        <f>+'Model Main'!FC53</f>
        <v>6020.8233791249313</v>
      </c>
      <c r="E105" s="272">
        <f>+'Model Main'!FD53</f>
        <v>6226.1974527353104</v>
      </c>
      <c r="F105" s="272">
        <f>+'Model Main'!FE53</f>
        <v>6504.264954012373</v>
      </c>
      <c r="G105" s="272">
        <f>+'Model Main'!FF53</f>
        <v>6801.1959800304503</v>
      </c>
      <c r="H105" s="272">
        <f>+'Model Main'!FG53</f>
        <v>7077.139317382118</v>
      </c>
      <c r="I105" s="272">
        <f>+'Model Main'!FH53</f>
        <v>7331.6741550276438</v>
      </c>
      <c r="J105" s="272">
        <f>+'Model Main'!FI53</f>
        <v>7559.8689514336202</v>
      </c>
      <c r="K105" s="551">
        <f>+J105*(1+H145)</f>
        <v>7635.4676409479562</v>
      </c>
      <c r="L105" s="552">
        <f>(G105/B105)^(0.2)-1</f>
        <v>3.4113920601426262E-2</v>
      </c>
      <c r="M105" s="552">
        <f>+(J105/B105)^(1/8)-1</f>
        <v>3.477603588823408E-2</v>
      </c>
    </row>
    <row r="106" spans="1:17" x14ac:dyDescent="0.3">
      <c r="A106" s="551" t="s">
        <v>2900</v>
      </c>
      <c r="B106" s="553">
        <f t="shared" ref="B106:J106" si="21">+B105-B107</f>
        <v>3624</v>
      </c>
      <c r="C106" s="553">
        <f t="shared" si="21"/>
        <v>3686</v>
      </c>
      <c r="D106" s="553">
        <f t="shared" si="21"/>
        <v>3604.368782213237</v>
      </c>
      <c r="E106" s="553">
        <f t="shared" si="21"/>
        <v>3549.1844137590506</v>
      </c>
      <c r="F106" s="553">
        <f t="shared" si="21"/>
        <v>3510.3886295258771</v>
      </c>
      <c r="G106" s="553">
        <f t="shared" si="21"/>
        <v>3529.1921513832176</v>
      </c>
      <c r="H106" s="553">
        <f t="shared" si="21"/>
        <v>3543.4598702876601</v>
      </c>
      <c r="I106" s="553">
        <f t="shared" si="21"/>
        <v>3553.1709641514467</v>
      </c>
      <c r="J106" s="553">
        <f t="shared" si="21"/>
        <v>3557.9042627071058</v>
      </c>
      <c r="K106" s="554">
        <f>K105-K107</f>
        <v>3593.4833053341767</v>
      </c>
      <c r="L106" s="555"/>
    </row>
    <row r="107" spans="1:17" x14ac:dyDescent="0.3">
      <c r="A107" s="551" t="s">
        <v>44</v>
      </c>
      <c r="B107" s="272">
        <f>+'Model Main'!ES61</f>
        <v>2127</v>
      </c>
      <c r="C107" s="272">
        <f>+'Model Main'!EX61</f>
        <v>2251</v>
      </c>
      <c r="D107" s="272">
        <f>+'Model Main'!FC61</f>
        <v>2416.4545969116944</v>
      </c>
      <c r="E107" s="272">
        <f>+'Model Main'!FD61</f>
        <v>2677.0130389762598</v>
      </c>
      <c r="F107" s="272">
        <f>+'Model Main'!FE61</f>
        <v>2993.8763244864958</v>
      </c>
      <c r="G107" s="272">
        <f>+'Model Main'!FF61</f>
        <v>3272.0038286472327</v>
      </c>
      <c r="H107" s="272">
        <f>+'Model Main'!FG61</f>
        <v>3533.6794470944578</v>
      </c>
      <c r="I107" s="272">
        <f>+'Model Main'!FH61</f>
        <v>3778.5031908761971</v>
      </c>
      <c r="J107" s="272">
        <f>+'Model Main'!FI61</f>
        <v>4001.9646887265144</v>
      </c>
      <c r="K107" s="1824">
        <f>K105*(J107/J105)</f>
        <v>4041.9843356137794</v>
      </c>
      <c r="L107" s="552">
        <f>(G107/B107)^(0.2)-1</f>
        <v>8.9956743432458852E-2</v>
      </c>
      <c r="M107" s="552">
        <f>+(J107/B107)^(1/8)-1</f>
        <v>8.2214180522836244E-2</v>
      </c>
    </row>
    <row r="108" spans="1:17" x14ac:dyDescent="0.3">
      <c r="A108" s="551" t="s">
        <v>2552</v>
      </c>
      <c r="B108" s="272">
        <f>+'Model Main'!ES65</f>
        <v>1415</v>
      </c>
      <c r="C108" s="272">
        <f>+'Model Main'!EX65</f>
        <v>1625</v>
      </c>
      <c r="D108" s="272">
        <f>+'Model Main'!FC65</f>
        <v>1876.9268695500691</v>
      </c>
      <c r="E108" s="272">
        <f>+'Model Main'!FD65</f>
        <v>1885.7573337711524</v>
      </c>
      <c r="F108" s="272">
        <f>+'Model Main'!FE65</f>
        <v>1834.7439701874368</v>
      </c>
      <c r="G108" s="272">
        <f>+'Model Main'!FF65</f>
        <v>1780.0313325127736</v>
      </c>
      <c r="H108" s="272">
        <f>+'Model Main'!FG65</f>
        <v>1745.8726553093841</v>
      </c>
      <c r="I108" s="272">
        <f>+'Model Main'!FH65</f>
        <v>1720.9729247345799</v>
      </c>
      <c r="J108" s="272">
        <f>+'Model Main'!FI65</f>
        <v>1696.3052066714506</v>
      </c>
      <c r="K108" s="554">
        <f>K112</f>
        <v>1145.3201461421934</v>
      </c>
      <c r="L108" s="555"/>
    </row>
    <row r="109" spans="1:17" x14ac:dyDescent="0.3">
      <c r="A109" s="551" t="s">
        <v>2901</v>
      </c>
      <c r="B109" s="1824">
        <f t="shared" ref="B109:K109" si="22">B107-B108</f>
        <v>712</v>
      </c>
      <c r="C109" s="1824">
        <f t="shared" si="22"/>
        <v>626</v>
      </c>
      <c r="D109" s="1824">
        <f t="shared" si="22"/>
        <v>539.52772736162524</v>
      </c>
      <c r="E109" s="1824">
        <f t="shared" si="22"/>
        <v>791.25570520510746</v>
      </c>
      <c r="F109" s="1824">
        <f t="shared" si="22"/>
        <v>1159.132354299059</v>
      </c>
      <c r="G109" s="1824">
        <f t="shared" si="22"/>
        <v>1491.9724961344591</v>
      </c>
      <c r="H109" s="1824">
        <f t="shared" si="22"/>
        <v>1787.8067917850738</v>
      </c>
      <c r="I109" s="1824">
        <f t="shared" si="22"/>
        <v>2057.5302661416172</v>
      </c>
      <c r="J109" s="1824">
        <f t="shared" si="22"/>
        <v>2305.6594820550636</v>
      </c>
      <c r="K109" s="1824">
        <f t="shared" si="22"/>
        <v>2896.6641894715858</v>
      </c>
      <c r="L109" s="555"/>
    </row>
    <row r="110" spans="1:17" x14ac:dyDescent="0.3">
      <c r="A110" s="551" t="s">
        <v>2556</v>
      </c>
      <c r="B110" s="553">
        <f t="shared" ref="B110:K110" si="23">IF(B109&gt;0,B109*$H$144,0)</f>
        <v>178</v>
      </c>
      <c r="C110" s="553">
        <f t="shared" si="23"/>
        <v>156.5</v>
      </c>
      <c r="D110" s="553">
        <f t="shared" si="23"/>
        <v>134.88193184040631</v>
      </c>
      <c r="E110" s="553">
        <f t="shared" si="23"/>
        <v>197.81392630127687</v>
      </c>
      <c r="F110" s="553">
        <f t="shared" si="23"/>
        <v>289.78308857476475</v>
      </c>
      <c r="G110" s="553">
        <f t="shared" si="23"/>
        <v>372.99312403361478</v>
      </c>
      <c r="H110" s="553">
        <f t="shared" si="23"/>
        <v>446.95169794626844</v>
      </c>
      <c r="I110" s="553">
        <f t="shared" si="23"/>
        <v>514.38256653540429</v>
      </c>
      <c r="J110" s="553">
        <f t="shared" si="23"/>
        <v>576.41487051376589</v>
      </c>
      <c r="K110" s="553">
        <f t="shared" si="23"/>
        <v>724.16604736789645</v>
      </c>
      <c r="L110" s="555"/>
    </row>
    <row r="111" spans="1:17" x14ac:dyDescent="0.3">
      <c r="A111" s="551" t="s">
        <v>2902</v>
      </c>
      <c r="B111" s="551">
        <f t="shared" ref="B111:K111" si="24">B109-B110</f>
        <v>534</v>
      </c>
      <c r="C111" s="551">
        <f t="shared" si="24"/>
        <v>469.5</v>
      </c>
      <c r="D111" s="551">
        <f t="shared" si="24"/>
        <v>404.64579552121893</v>
      </c>
      <c r="E111" s="551">
        <f t="shared" si="24"/>
        <v>593.4417789038306</v>
      </c>
      <c r="F111" s="551">
        <f t="shared" si="24"/>
        <v>869.34926572429424</v>
      </c>
      <c r="G111" s="551">
        <f t="shared" si="24"/>
        <v>1118.9793721008443</v>
      </c>
      <c r="H111" s="551">
        <f t="shared" si="24"/>
        <v>1340.8550938388053</v>
      </c>
      <c r="I111" s="551">
        <f t="shared" si="24"/>
        <v>1543.1476996062129</v>
      </c>
      <c r="J111" s="551">
        <f t="shared" si="24"/>
        <v>1729.2446115412977</v>
      </c>
      <c r="K111" s="551">
        <f t="shared" si="24"/>
        <v>2172.4981421036891</v>
      </c>
      <c r="L111" s="555"/>
    </row>
    <row r="112" spans="1:17" x14ac:dyDescent="0.3">
      <c r="A112" s="551" t="s">
        <v>198</v>
      </c>
      <c r="B112" s="272">
        <f>+'Model Main'!ES107*-1</f>
        <v>3211</v>
      </c>
      <c r="C112" s="272">
        <f>+'Model Main'!EX107*-1</f>
        <v>2783</v>
      </c>
      <c r="D112" s="272">
        <f>+'Model Main'!FC107*-1</f>
        <v>3194.4479521510066</v>
      </c>
      <c r="E112" s="272">
        <f>+'Model Main'!FD107*-1</f>
        <v>3082.4684202674325</v>
      </c>
      <c r="F112" s="272">
        <f>+'Model Main'!FE107*-1</f>
        <v>1951.0215850968652</v>
      </c>
      <c r="G112" s="272">
        <f>+'Model Main'!FF107*-1</f>
        <v>1611.100905365895</v>
      </c>
      <c r="H112" s="272">
        <f>+'Model Main'!FG107*-1</f>
        <v>1671.0656290142479</v>
      </c>
      <c r="I112" s="272">
        <f>+'Model Main'!FH107*-1</f>
        <v>1646.8753495613416</v>
      </c>
      <c r="J112" s="272">
        <f>+'Model Main'!FI107*-1</f>
        <v>1624.2957441032881</v>
      </c>
      <c r="K112" s="551">
        <f>K121*K105</f>
        <v>1145.3201461421934</v>
      </c>
      <c r="L112" s="555"/>
    </row>
    <row r="113" spans="1:17" x14ac:dyDescent="0.3">
      <c r="A113" s="551" t="s">
        <v>2552</v>
      </c>
      <c r="B113" s="551">
        <f t="shared" ref="B113:J113" si="25">B108</f>
        <v>1415</v>
      </c>
      <c r="C113" s="551">
        <f t="shared" si="25"/>
        <v>1625</v>
      </c>
      <c r="D113" s="551">
        <f t="shared" si="25"/>
        <v>1876.9268695500691</v>
      </c>
      <c r="E113" s="551">
        <f t="shared" si="25"/>
        <v>1885.7573337711524</v>
      </c>
      <c r="F113" s="551">
        <f t="shared" si="25"/>
        <v>1834.7439701874368</v>
      </c>
      <c r="G113" s="551">
        <f t="shared" si="25"/>
        <v>1780.0313325127736</v>
      </c>
      <c r="H113" s="551">
        <f t="shared" si="25"/>
        <v>1745.8726553093841</v>
      </c>
      <c r="I113" s="551">
        <f t="shared" si="25"/>
        <v>1720.9729247345799</v>
      </c>
      <c r="J113" s="551">
        <f t="shared" si="25"/>
        <v>1696.3052066714506</v>
      </c>
      <c r="K113" s="260">
        <f>K112</f>
        <v>1145.3201461421934</v>
      </c>
      <c r="L113" s="555"/>
    </row>
    <row r="114" spans="1:17" ht="12.5" thickBot="1" x14ac:dyDescent="0.35">
      <c r="A114" s="551" t="s">
        <v>725</v>
      </c>
      <c r="B114" s="556">
        <f t="shared" ref="B114:K114" si="26">B111-B112+B113</f>
        <v>-1262</v>
      </c>
      <c r="C114" s="556">
        <f t="shared" si="26"/>
        <v>-688.5</v>
      </c>
      <c r="D114" s="556">
        <f t="shared" si="26"/>
        <v>-912.87528707971842</v>
      </c>
      <c r="E114" s="556">
        <f t="shared" si="26"/>
        <v>-603.26930759244942</v>
      </c>
      <c r="F114" s="556">
        <f t="shared" si="26"/>
        <v>753.07165081486573</v>
      </c>
      <c r="G114" s="556">
        <f t="shared" si="26"/>
        <v>1287.909799247723</v>
      </c>
      <c r="H114" s="556">
        <f t="shared" si="26"/>
        <v>1415.6621201339415</v>
      </c>
      <c r="I114" s="556">
        <f t="shared" si="26"/>
        <v>1617.2452747794512</v>
      </c>
      <c r="J114" s="556">
        <f t="shared" si="26"/>
        <v>1801.2540741094601</v>
      </c>
      <c r="K114" s="556">
        <f t="shared" si="26"/>
        <v>2172.4981421036891</v>
      </c>
      <c r="L114" s="1265" t="s">
        <v>1330</v>
      </c>
      <c r="M114" s="1265" t="s">
        <v>1330</v>
      </c>
    </row>
    <row r="115" spans="1:17" ht="12.5" thickTop="1" x14ac:dyDescent="0.3">
      <c r="A115" s="557" t="s">
        <v>2903</v>
      </c>
      <c r="B115" s="558">
        <f t="shared" ref="B115:K115" si="27">($C136-$B$252)/B107</f>
        <v>17.137281337841298</v>
      </c>
      <c r="C115" s="558">
        <f t="shared" si="27"/>
        <v>16.193246293020184</v>
      </c>
      <c r="D115" s="558">
        <f t="shared" si="27"/>
        <v>15.084495049968648</v>
      </c>
      <c r="E115" s="558">
        <f t="shared" si="27"/>
        <v>13.616294308199555</v>
      </c>
      <c r="F115" s="558">
        <f t="shared" si="27"/>
        <v>12.175184762129559</v>
      </c>
      <c r="G115" s="558">
        <f t="shared" si="27"/>
        <v>11.140267345181753</v>
      </c>
      <c r="H115" s="558">
        <f t="shared" si="27"/>
        <v>10.315309566508644</v>
      </c>
      <c r="I115" s="558">
        <f t="shared" si="27"/>
        <v>9.6469410145279824</v>
      </c>
      <c r="J115" s="558">
        <f t="shared" si="27"/>
        <v>9.1082756197900618</v>
      </c>
      <c r="K115" s="558">
        <f t="shared" si="27"/>
        <v>9.0180946730594673</v>
      </c>
      <c r="L115" s="555"/>
    </row>
    <row r="116" spans="1:17" hidden="1" outlineLevel="1" x14ac:dyDescent="0.3">
      <c r="A116" s="557"/>
      <c r="B116" s="559"/>
      <c r="C116" s="559"/>
      <c r="D116" s="559"/>
      <c r="E116" s="559"/>
      <c r="F116" s="559"/>
      <c r="G116" s="559"/>
      <c r="H116" s="559"/>
      <c r="I116" s="559"/>
      <c r="J116" s="559"/>
      <c r="K116" s="559"/>
      <c r="L116" s="555"/>
    </row>
    <row r="117" spans="1:17" hidden="1" outlineLevel="1" x14ac:dyDescent="0.3">
      <c r="A117" s="560" t="s">
        <v>2904</v>
      </c>
      <c r="B117" s="144"/>
      <c r="C117" s="144"/>
      <c r="D117" s="144"/>
      <c r="E117" s="144"/>
      <c r="F117" s="144"/>
      <c r="G117" s="144"/>
      <c r="H117" s="144"/>
      <c r="I117" s="144"/>
      <c r="J117" s="144"/>
      <c r="K117" s="561"/>
      <c r="L117" s="555"/>
    </row>
    <row r="118" spans="1:17" hidden="1" outlineLevel="1" x14ac:dyDescent="0.3">
      <c r="A118" s="551" t="s">
        <v>2905</v>
      </c>
      <c r="B118" s="562">
        <f>'Model Main'!ES19</f>
        <v>-6.2208398133748455E-3</v>
      </c>
      <c r="C118" s="562">
        <f t="shared" ref="C118:K118" si="28">C105/B105-1</f>
        <v>3.234220135628596E-2</v>
      </c>
      <c r="D118" s="562">
        <f t="shared" si="28"/>
        <v>1.4118810699836892E-2</v>
      </c>
      <c r="E118" s="562">
        <f t="shared" si="28"/>
        <v>3.4110629174481488E-2</v>
      </c>
      <c r="F118" s="562">
        <f t="shared" si="28"/>
        <v>4.4660887064367216E-2</v>
      </c>
      <c r="G118" s="562">
        <f t="shared" si="28"/>
        <v>4.5651742067319256E-2</v>
      </c>
      <c r="H118" s="562">
        <f t="shared" si="28"/>
        <v>4.0572766637204438E-2</v>
      </c>
      <c r="I118" s="562">
        <f t="shared" si="28"/>
        <v>3.5965780272314785E-2</v>
      </c>
      <c r="J118" s="562">
        <f t="shared" si="28"/>
        <v>3.1124514207917064E-2</v>
      </c>
      <c r="K118" s="562">
        <f t="shared" si="28"/>
        <v>1.0000000000000009E-2</v>
      </c>
      <c r="L118" s="562"/>
    </row>
    <row r="119" spans="1:17" hidden="1" outlineLevel="1" x14ac:dyDescent="0.3">
      <c r="A119" s="551" t="s">
        <v>673</v>
      </c>
      <c r="B119" s="562">
        <f t="shared" ref="B119:K119" si="29">B107/B105</f>
        <v>0.36984872196139801</v>
      </c>
      <c r="C119" s="562">
        <f t="shared" si="29"/>
        <v>0.37914771770254335</v>
      </c>
      <c r="D119" s="562">
        <f t="shared" si="29"/>
        <v>0.40134952393552903</v>
      </c>
      <c r="E119" s="562">
        <f t="shared" si="29"/>
        <v>0.42995954742813158</v>
      </c>
      <c r="F119" s="562">
        <f t="shared" si="29"/>
        <v>0.46029433697033256</v>
      </c>
      <c r="G119" s="562">
        <f t="shared" si="29"/>
        <v>0.48109241937071534</v>
      </c>
      <c r="H119" s="562">
        <f t="shared" si="29"/>
        <v>0.49930901295321539</v>
      </c>
      <c r="I119" s="562">
        <f t="shared" si="29"/>
        <v>0.51536703772972714</v>
      </c>
      <c r="J119" s="562">
        <f t="shared" si="29"/>
        <v>0.5293695849010186</v>
      </c>
      <c r="K119" s="562">
        <f t="shared" si="29"/>
        <v>0.5293695849010186</v>
      </c>
      <c r="L119" s="562"/>
    </row>
    <row r="120" spans="1:17" hidden="1" outlineLevel="1" x14ac:dyDescent="0.3">
      <c r="A120" s="551" t="s">
        <v>2906</v>
      </c>
      <c r="B120" s="562">
        <f t="shared" ref="B120:K120" si="30">+(B107-B112)/B105</f>
        <v>-0.18848895844201008</v>
      </c>
      <c r="C120" s="562">
        <f t="shared" si="30"/>
        <v>-8.9607545898601981E-2</v>
      </c>
      <c r="D120" s="562">
        <f t="shared" si="30"/>
        <v>-0.12921710308538997</v>
      </c>
      <c r="E120" s="562">
        <f t="shared" si="30"/>
        <v>-6.5120867812029776E-2</v>
      </c>
      <c r="F120" s="562">
        <f t="shared" si="30"/>
        <v>0.16033398804676782</v>
      </c>
      <c r="G120" s="562">
        <f t="shared" si="30"/>
        <v>0.24420747882549645</v>
      </c>
      <c r="H120" s="562">
        <f t="shared" si="30"/>
        <v>0.26318738893629745</v>
      </c>
      <c r="I120" s="562">
        <f t="shared" si="30"/>
        <v>0.29074230472355445</v>
      </c>
      <c r="J120" s="562">
        <f t="shared" si="30"/>
        <v>0.31451192605294243</v>
      </c>
      <c r="K120" s="562">
        <f t="shared" si="30"/>
        <v>0.37936958490101857</v>
      </c>
      <c r="L120" s="562"/>
    </row>
    <row r="121" spans="1:17" hidden="1" outlineLevel="1" x14ac:dyDescent="0.3">
      <c r="A121" s="551" t="s">
        <v>2907</v>
      </c>
      <c r="B121" s="562">
        <f t="shared" ref="B121:J121" si="31">B112/B105</f>
        <v>0.55833768040340814</v>
      </c>
      <c r="C121" s="562">
        <f t="shared" si="31"/>
        <v>0.46875526360114533</v>
      </c>
      <c r="D121" s="562">
        <f t="shared" si="31"/>
        <v>0.53056662702091895</v>
      </c>
      <c r="E121" s="562">
        <f t="shared" si="31"/>
        <v>0.49508041524016139</v>
      </c>
      <c r="F121" s="562">
        <f t="shared" si="31"/>
        <v>0.29996034892356477</v>
      </c>
      <c r="G121" s="562">
        <f t="shared" si="31"/>
        <v>0.23688494054521889</v>
      </c>
      <c r="H121" s="562">
        <f t="shared" si="31"/>
        <v>0.23612162401691797</v>
      </c>
      <c r="I121" s="562">
        <f t="shared" si="31"/>
        <v>0.22462473300617275</v>
      </c>
      <c r="J121" s="562">
        <f t="shared" si="31"/>
        <v>0.21485765884807617</v>
      </c>
      <c r="K121" s="261">
        <v>0.15</v>
      </c>
      <c r="L121" s="261"/>
    </row>
    <row r="122" spans="1:17" hidden="1" outlineLevel="1" x14ac:dyDescent="0.3">
      <c r="A122" s="551" t="s">
        <v>2908</v>
      </c>
      <c r="B122" s="562">
        <f t="shared" ref="B122:K122" si="32">B108/B112</f>
        <v>0.44067268763625039</v>
      </c>
      <c r="C122" s="562">
        <f t="shared" si="32"/>
        <v>0.58390226374416099</v>
      </c>
      <c r="D122" s="562">
        <f t="shared" si="32"/>
        <v>0.58755907050738632</v>
      </c>
      <c r="E122" s="562">
        <f t="shared" si="32"/>
        <v>0.61176858175486049</v>
      </c>
      <c r="F122" s="562">
        <f t="shared" si="32"/>
        <v>0.94040167684579701</v>
      </c>
      <c r="G122" s="562">
        <f t="shared" si="32"/>
        <v>1.1048540327823309</v>
      </c>
      <c r="H122" s="562">
        <f t="shared" si="32"/>
        <v>1.0447660612463583</v>
      </c>
      <c r="I122" s="562">
        <f t="shared" si="32"/>
        <v>1.0449928254697447</v>
      </c>
      <c r="J122" s="562">
        <f t="shared" si="32"/>
        <v>1.0443327287100146</v>
      </c>
      <c r="K122" s="562">
        <f t="shared" si="32"/>
        <v>1</v>
      </c>
      <c r="L122" s="562"/>
    </row>
    <row r="123" spans="1:17" hidden="1" outlineLevel="1" x14ac:dyDescent="0.3">
      <c r="A123" s="551"/>
      <c r="B123" s="144"/>
      <c r="C123" s="144"/>
      <c r="D123" s="144"/>
      <c r="E123" s="144"/>
      <c r="F123" s="144"/>
      <c r="G123" s="144"/>
      <c r="H123" s="144"/>
      <c r="I123" s="144"/>
      <c r="J123" s="144"/>
      <c r="K123" s="563"/>
      <c r="L123" s="563"/>
    </row>
    <row r="124" spans="1:17" hidden="1" outlineLevel="1" x14ac:dyDescent="0.3">
      <c r="A124" s="551" t="s">
        <v>2909</v>
      </c>
      <c r="B124" s="263">
        <v>0</v>
      </c>
      <c r="C124" s="263">
        <v>0</v>
      </c>
      <c r="D124" s="564">
        <f t="shared" ref="D124:J124" si="33">+C124+1</f>
        <v>1</v>
      </c>
      <c r="E124" s="564">
        <f t="shared" si="33"/>
        <v>2</v>
      </c>
      <c r="F124" s="564">
        <f t="shared" si="33"/>
        <v>3</v>
      </c>
      <c r="G124" s="564">
        <f t="shared" si="33"/>
        <v>4</v>
      </c>
      <c r="H124" s="564">
        <f t="shared" si="33"/>
        <v>5</v>
      </c>
      <c r="I124" s="564">
        <f t="shared" si="33"/>
        <v>6</v>
      </c>
      <c r="J124" s="564">
        <f t="shared" si="33"/>
        <v>7</v>
      </c>
      <c r="K124" s="564">
        <f>+J124+1</f>
        <v>8</v>
      </c>
      <c r="L124" s="563"/>
    </row>
    <row r="125" spans="1:17" hidden="1" outlineLevel="1" x14ac:dyDescent="0.3">
      <c r="A125" s="551" t="s">
        <v>725</v>
      </c>
      <c r="B125" s="551">
        <f t="shared" ref="B125:J125" si="34">+B114</f>
        <v>-1262</v>
      </c>
      <c r="C125" s="551">
        <f t="shared" si="34"/>
        <v>-688.5</v>
      </c>
      <c r="D125" s="551">
        <f t="shared" si="34"/>
        <v>-912.87528707971842</v>
      </c>
      <c r="E125" s="551">
        <f t="shared" si="34"/>
        <v>-603.26930759244942</v>
      </c>
      <c r="F125" s="551">
        <f t="shared" si="34"/>
        <v>753.07165081486573</v>
      </c>
      <c r="G125" s="551">
        <f t="shared" si="34"/>
        <v>1287.909799247723</v>
      </c>
      <c r="H125" s="551">
        <f t="shared" si="34"/>
        <v>1415.6621201339415</v>
      </c>
      <c r="I125" s="551">
        <f t="shared" si="34"/>
        <v>1617.2452747794512</v>
      </c>
      <c r="J125" s="551">
        <f t="shared" si="34"/>
        <v>1801.2540741094601</v>
      </c>
      <c r="K125" s="563"/>
      <c r="L125" s="563"/>
    </row>
    <row r="126" spans="1:17" hidden="1" outlineLevel="1" x14ac:dyDescent="0.3">
      <c r="A126" s="551" t="s">
        <v>165</v>
      </c>
      <c r="B126" s="565">
        <f t="shared" ref="B126:K126" si="35">+(1+$H$141)^B124</f>
        <v>1</v>
      </c>
      <c r="C126" s="565">
        <f t="shared" si="35"/>
        <v>1</v>
      </c>
      <c r="D126" s="565">
        <f t="shared" si="35"/>
        <v>1.053096</v>
      </c>
      <c r="E126" s="565">
        <f t="shared" si="35"/>
        <v>1.1090111852160001</v>
      </c>
      <c r="F126" s="565">
        <f t="shared" si="35"/>
        <v>1.1678952431062288</v>
      </c>
      <c r="G126" s="565">
        <f t="shared" si="35"/>
        <v>1.2299058089341972</v>
      </c>
      <c r="H126" s="565">
        <f t="shared" si="35"/>
        <v>1.2952088877653674</v>
      </c>
      <c r="I126" s="565">
        <f t="shared" si="35"/>
        <v>1.3639792988701573</v>
      </c>
      <c r="J126" s="565">
        <f t="shared" si="35"/>
        <v>1.4364011437229673</v>
      </c>
      <c r="K126" s="565">
        <f t="shared" si="35"/>
        <v>1.5126682988500819</v>
      </c>
      <c r="L126" s="565"/>
    </row>
    <row r="127" spans="1:17" hidden="1" outlineLevel="1" x14ac:dyDescent="0.3">
      <c r="A127" s="551" t="s">
        <v>2910</v>
      </c>
      <c r="B127" s="1824">
        <f t="shared" ref="B127:J127" si="36">B125/B126</f>
        <v>-1262</v>
      </c>
      <c r="C127" s="1824">
        <f t="shared" si="36"/>
        <v>-688.5</v>
      </c>
      <c r="D127" s="1824">
        <f t="shared" si="36"/>
        <v>-866.84906891652645</v>
      </c>
      <c r="E127" s="1824">
        <f t="shared" si="36"/>
        <v>-543.97044469389346</v>
      </c>
      <c r="F127" s="1824">
        <f t="shared" si="36"/>
        <v>644.81095822595807</v>
      </c>
      <c r="G127" s="1824">
        <f t="shared" si="36"/>
        <v>1047.1613272269935</v>
      </c>
      <c r="H127" s="1824">
        <f t="shared" si="36"/>
        <v>1092.999077991499</v>
      </c>
      <c r="I127" s="1824">
        <f t="shared" si="36"/>
        <v>1185.6816860190509</v>
      </c>
      <c r="J127" s="1824">
        <f t="shared" si="36"/>
        <v>1254.0049010548967</v>
      </c>
      <c r="L127" s="555"/>
    </row>
    <row r="128" spans="1:17" collapsed="1" x14ac:dyDescent="0.3">
      <c r="A128" s="551"/>
      <c r="B128" s="586"/>
      <c r="C128" s="551"/>
      <c r="D128" s="551"/>
      <c r="E128" s="563"/>
      <c r="F128" s="566"/>
      <c r="G128" s="563"/>
      <c r="H128" s="144"/>
      <c r="I128" s="563"/>
      <c r="J128" s="563"/>
      <c r="K128" s="563"/>
      <c r="L128" s="563"/>
      <c r="M128" s="555"/>
      <c r="N128" s="239"/>
      <c r="O128" s="239"/>
      <c r="P128" s="239"/>
      <c r="Q128" s="239"/>
    </row>
    <row r="129" spans="1:17" x14ac:dyDescent="0.3">
      <c r="A129" s="567" t="s">
        <v>2911</v>
      </c>
      <c r="B129" s="144"/>
      <c r="C129" s="551">
        <f>IF(K114&gt;0,K114,0)</f>
        <v>2172.4981421036891</v>
      </c>
      <c r="D129" s="551"/>
      <c r="E129" s="560" t="s">
        <v>2912</v>
      </c>
      <c r="F129" s="551"/>
      <c r="G129" s="551"/>
      <c r="H129" s="551"/>
      <c r="I129" s="551"/>
      <c r="J129" s="551"/>
      <c r="K129" s="551"/>
      <c r="L129" s="570"/>
      <c r="M129" s="570"/>
      <c r="N129" s="264"/>
      <c r="O129" s="264"/>
      <c r="P129" s="264"/>
      <c r="Q129" s="262"/>
    </row>
    <row r="130" spans="1:17" x14ac:dyDescent="0.3">
      <c r="A130" s="568" t="s">
        <v>2913</v>
      </c>
      <c r="B130" s="144"/>
      <c r="C130" s="569">
        <f>H141-H145</f>
        <v>4.3095999999999995E-2</v>
      </c>
      <c r="D130" s="551"/>
      <c r="E130" s="551" t="s">
        <v>2914</v>
      </c>
      <c r="F130" s="144"/>
      <c r="G130" s="551"/>
      <c r="H130" s="582">
        <v>3.7999999999999999E-2</v>
      </c>
      <c r="I130" s="570"/>
      <c r="J130" s="574"/>
      <c r="K130" s="570"/>
      <c r="L130" s="570"/>
      <c r="M130" s="570"/>
      <c r="N130" s="264"/>
      <c r="O130" s="264"/>
      <c r="P130" s="262"/>
      <c r="Q130" s="265" cm="1">
        <f t="array" ref="Q130">_xll.FDS("US10YY-TU1","FG_PRICE(0)")/100</f>
        <v>1.9311999999999999E-2</v>
      </c>
    </row>
    <row r="131" spans="1:17" x14ac:dyDescent="0.3">
      <c r="A131" s="571" t="s">
        <v>254</v>
      </c>
      <c r="B131" s="144"/>
      <c r="C131" s="572">
        <f>C129/C130</f>
        <v>50410.667860211841</v>
      </c>
      <c r="D131" s="551"/>
      <c r="E131" s="551" t="s">
        <v>2915</v>
      </c>
      <c r="F131" s="144"/>
      <c r="G131" s="551"/>
      <c r="H131" s="583">
        <v>3.9600000000000003E-2</v>
      </c>
      <c r="I131" s="563"/>
      <c r="J131" s="563"/>
      <c r="K131" s="563"/>
      <c r="L131" s="563"/>
      <c r="M131" s="563"/>
      <c r="N131" s="262"/>
      <c r="O131" s="262"/>
      <c r="P131" s="262"/>
      <c r="Q131" s="267"/>
    </row>
    <row r="132" spans="1:17" x14ac:dyDescent="0.3">
      <c r="A132" s="568" t="s">
        <v>255</v>
      </c>
      <c r="B132" s="144"/>
      <c r="C132" s="573">
        <f>K126</f>
        <v>1.5126682988500819</v>
      </c>
      <c r="D132" s="551"/>
      <c r="E132" s="551" t="s">
        <v>2916</v>
      </c>
      <c r="F132" s="144"/>
      <c r="G132" s="551"/>
      <c r="H132" s="584">
        <v>0.55000000000000004</v>
      </c>
      <c r="I132" s="563"/>
      <c r="J132" s="563"/>
      <c r="K132" s="563"/>
      <c r="L132" s="563"/>
      <c r="M132" s="563"/>
      <c r="N132" s="262"/>
      <c r="O132" s="262"/>
      <c r="P132" s="262"/>
      <c r="Q132" s="268" t="e" cm="1">
        <f t="array" ref="Q132">_xll.FDS("FTR-US","P_BETA_LOCIDX(0,-2AY)")</f>
        <v>#N/A</v>
      </c>
    </row>
    <row r="133" spans="1:17" x14ac:dyDescent="0.3">
      <c r="A133" s="571" t="s">
        <v>256</v>
      </c>
      <c r="B133" s="144"/>
      <c r="C133" s="572">
        <f>C131/C132</f>
        <v>33325.658968680458</v>
      </c>
      <c r="D133" s="551"/>
      <c r="E133" s="551" t="s">
        <v>2917</v>
      </c>
      <c r="F133" s="144"/>
      <c r="G133" s="551"/>
      <c r="H133" s="574">
        <f>H130+H131*H132</f>
        <v>5.978E-2</v>
      </c>
      <c r="I133" s="563"/>
      <c r="J133" s="563"/>
      <c r="K133" s="563"/>
      <c r="L133" s="563"/>
      <c r="M133" s="563"/>
      <c r="N133" s="262"/>
      <c r="O133" s="262"/>
      <c r="P133" s="262"/>
      <c r="Q133" s="269"/>
    </row>
    <row r="134" spans="1:17" x14ac:dyDescent="0.3">
      <c r="A134" s="568" t="s">
        <v>257</v>
      </c>
      <c r="B134" s="144"/>
      <c r="C134" s="551">
        <f>SUM(C127:J127)</f>
        <v>3125.3384369079781</v>
      </c>
      <c r="D134" s="551"/>
      <c r="E134" s="551" t="s">
        <v>2918</v>
      </c>
      <c r="F134" s="144"/>
      <c r="G134" s="551"/>
      <c r="H134" s="270">
        <v>0.7</v>
      </c>
      <c r="I134" s="1255"/>
      <c r="J134" s="563"/>
      <c r="K134" s="563"/>
      <c r="L134" s="563"/>
      <c r="M134" s="563"/>
      <c r="N134" s="262"/>
      <c r="O134" s="262"/>
      <c r="P134" s="262"/>
      <c r="Q134" s="269"/>
    </row>
    <row r="135" spans="1:17" x14ac:dyDescent="0.3">
      <c r="A135" s="568" t="s">
        <v>2919</v>
      </c>
      <c r="B135" s="144"/>
      <c r="C135" s="575">
        <f>+B12</f>
        <v>0</v>
      </c>
      <c r="D135" s="565"/>
      <c r="E135" s="551" t="s">
        <v>2920</v>
      </c>
      <c r="F135" s="144"/>
      <c r="G135" s="576"/>
      <c r="H135" s="577">
        <f>H133*H134</f>
        <v>4.1845999999999994E-2</v>
      </c>
      <c r="I135" s="578"/>
      <c r="J135" s="574"/>
      <c r="K135" s="574"/>
      <c r="L135" s="574"/>
      <c r="M135" s="574"/>
      <c r="N135" s="266"/>
      <c r="O135" s="266"/>
      <c r="P135" s="262"/>
      <c r="Q135" s="269"/>
    </row>
    <row r="136" spans="1:17" x14ac:dyDescent="0.3">
      <c r="A136" s="571" t="s">
        <v>2921</v>
      </c>
      <c r="B136" s="144"/>
      <c r="C136" s="1826">
        <f>+C133+C134+C135</f>
        <v>36450.997405588438</v>
      </c>
      <c r="D136" s="551"/>
      <c r="E136" s="551"/>
      <c r="F136" s="144"/>
      <c r="G136" s="551"/>
      <c r="H136" s="551"/>
      <c r="I136" s="563"/>
      <c r="J136" s="563"/>
      <c r="K136" s="563"/>
      <c r="L136" s="563"/>
      <c r="M136" s="563"/>
      <c r="N136" s="262"/>
      <c r="O136" s="262"/>
      <c r="P136" s="262"/>
      <c r="Q136" s="269"/>
    </row>
    <row r="137" spans="1:17" x14ac:dyDescent="0.3">
      <c r="A137" s="568" t="s">
        <v>2922</v>
      </c>
      <c r="B137" s="144"/>
      <c r="C137" s="551">
        <f>+B9</f>
        <v>11249</v>
      </c>
      <c r="D137" s="144"/>
      <c r="E137" s="551" t="s">
        <v>2923</v>
      </c>
      <c r="F137" s="144"/>
      <c r="G137" s="551"/>
      <c r="H137" s="270">
        <v>0.05</v>
      </c>
      <c r="I137" s="563"/>
      <c r="J137" s="563"/>
      <c r="K137" s="563"/>
      <c r="L137" s="563"/>
      <c r="M137" s="563"/>
      <c r="N137" s="262"/>
      <c r="O137" s="262"/>
      <c r="P137" s="262"/>
      <c r="Q137" s="265" cm="1">
        <f t="array" ref="Q137">_xll.FDS("161175AY","FG_YIELD(0,,,,""YTM"")")/100</f>
        <v>2.9761374521504302E-2</v>
      </c>
    </row>
    <row r="138" spans="1:17" x14ac:dyDescent="0.3">
      <c r="A138" s="568" t="s">
        <v>2924</v>
      </c>
      <c r="B138" s="144"/>
      <c r="C138" s="551">
        <f>+B10</f>
        <v>1197</v>
      </c>
      <c r="D138" s="551"/>
      <c r="E138" s="551" t="s">
        <v>2925</v>
      </c>
      <c r="F138" s="144"/>
      <c r="G138" s="144"/>
      <c r="H138" s="1083">
        <f>H137*(1-H144)</f>
        <v>3.7500000000000006E-2</v>
      </c>
      <c r="I138" s="563"/>
      <c r="J138" s="563"/>
      <c r="K138" s="563"/>
      <c r="L138" s="563"/>
      <c r="M138" s="563"/>
      <c r="N138" s="262"/>
      <c r="O138" s="262"/>
      <c r="P138" s="262"/>
      <c r="Q138" s="262"/>
    </row>
    <row r="139" spans="1:17" x14ac:dyDescent="0.3">
      <c r="A139" s="571" t="s">
        <v>2926</v>
      </c>
      <c r="B139" s="144"/>
      <c r="C139" s="1826">
        <f>C136-C137+C138</f>
        <v>26398.997405588438</v>
      </c>
      <c r="D139" s="570"/>
      <c r="E139" s="551" t="s">
        <v>2927</v>
      </c>
      <c r="F139" s="144"/>
      <c r="G139" s="559"/>
      <c r="H139" s="574">
        <f>1-H134</f>
        <v>0.30000000000000004</v>
      </c>
      <c r="I139" s="563"/>
      <c r="J139" s="563"/>
      <c r="K139" s="563"/>
      <c r="L139" s="563"/>
      <c r="M139" s="563"/>
      <c r="N139" s="262"/>
      <c r="O139" s="262"/>
      <c r="P139" s="262"/>
      <c r="Q139" s="262"/>
    </row>
    <row r="140" spans="1:17" x14ac:dyDescent="0.3">
      <c r="A140" s="568" t="s">
        <v>259</v>
      </c>
      <c r="B140" s="144"/>
      <c r="C140" s="551">
        <f>+$B$7</f>
        <v>260</v>
      </c>
      <c r="D140" s="570"/>
      <c r="E140" s="551" t="s">
        <v>2928</v>
      </c>
      <c r="F140" s="144"/>
      <c r="G140" s="551"/>
      <c r="H140" s="577">
        <f>H138*H139</f>
        <v>1.1250000000000003E-2</v>
      </c>
      <c r="I140" s="563"/>
      <c r="J140" s="563"/>
      <c r="K140" s="563"/>
      <c r="L140" s="563"/>
      <c r="M140" s="563"/>
      <c r="N140" s="266"/>
      <c r="O140" s="266"/>
      <c r="P140" s="266"/>
      <c r="Q140" s="262"/>
    </row>
    <row r="141" spans="1:17" ht="12.5" thickBot="1" x14ac:dyDescent="0.35">
      <c r="A141" s="568" t="s">
        <v>873</v>
      </c>
      <c r="B141" s="144"/>
      <c r="C141" s="579">
        <f>C139/C140</f>
        <v>101.53460540610938</v>
      </c>
      <c r="D141" s="570"/>
      <c r="E141" s="551" t="s">
        <v>2929</v>
      </c>
      <c r="F141" s="144"/>
      <c r="G141" s="551"/>
      <c r="H141" s="580">
        <f>+H140+H135</f>
        <v>5.3095999999999997E-2</v>
      </c>
      <c r="I141" s="144"/>
      <c r="J141" s="563"/>
      <c r="K141" s="563"/>
      <c r="L141" s="563"/>
      <c r="M141" s="563"/>
      <c r="N141" s="262"/>
      <c r="O141" s="262"/>
      <c r="P141" s="262"/>
      <c r="Q141" s="262"/>
    </row>
    <row r="142" spans="1:17" ht="12.5" thickTop="1" x14ac:dyDescent="0.3">
      <c r="A142" s="557" t="s">
        <v>2930</v>
      </c>
      <c r="B142" s="144"/>
      <c r="C142" s="581">
        <f>+C141/B6-1</f>
        <v>2.8170904288011043</v>
      </c>
      <c r="D142" s="551"/>
      <c r="E142" s="551"/>
      <c r="F142" s="144"/>
      <c r="G142" s="551"/>
      <c r="H142" s="551"/>
      <c r="I142" s="563"/>
      <c r="J142" s="563"/>
      <c r="K142" s="563"/>
      <c r="L142" s="563"/>
      <c r="M142" s="563"/>
      <c r="N142" s="262"/>
      <c r="O142" s="262"/>
      <c r="P142" s="262"/>
      <c r="Q142" s="262"/>
    </row>
    <row r="143" spans="1:17" x14ac:dyDescent="0.3">
      <c r="A143" s="557" t="s">
        <v>2931</v>
      </c>
      <c r="B143" s="144"/>
      <c r="C143" s="558">
        <f>+(SUM(C137:C137)-C138)/K107</f>
        <v>2.4868973171004618</v>
      </c>
      <c r="D143" s="551"/>
      <c r="E143" s="560" t="s">
        <v>2932</v>
      </c>
      <c r="F143" s="144"/>
      <c r="G143" s="563"/>
      <c r="H143" s="551"/>
      <c r="I143" s="563"/>
      <c r="J143" s="574"/>
      <c r="K143" s="574"/>
      <c r="L143" s="563"/>
      <c r="M143" s="563"/>
      <c r="N143" s="262"/>
      <c r="O143" s="262"/>
      <c r="P143" s="262"/>
      <c r="Q143" s="262"/>
    </row>
    <row r="144" spans="1:17" x14ac:dyDescent="0.3">
      <c r="A144" s="557" t="s">
        <v>2933</v>
      </c>
      <c r="B144" s="144"/>
      <c r="C144" s="558">
        <f>C131/K107</f>
        <v>12.471762301512465</v>
      </c>
      <c r="D144" s="570"/>
      <c r="E144" s="551" t="s">
        <v>124</v>
      </c>
      <c r="F144" s="144"/>
      <c r="G144" s="563"/>
      <c r="H144" s="582">
        <v>0.25</v>
      </c>
      <c r="I144" s="563"/>
      <c r="J144" s="574"/>
      <c r="K144" s="574"/>
      <c r="L144" s="563"/>
      <c r="M144" s="563"/>
      <c r="N144" s="262"/>
      <c r="O144" s="262"/>
      <c r="P144" s="262"/>
      <c r="Q144" s="262"/>
    </row>
    <row r="145" spans="1:17" x14ac:dyDescent="0.3">
      <c r="A145" s="557"/>
      <c r="B145" s="144"/>
      <c r="C145" s="271"/>
      <c r="D145" s="570"/>
      <c r="E145" s="551" t="s">
        <v>2934</v>
      </c>
      <c r="F145" s="144"/>
      <c r="G145" s="563"/>
      <c r="H145" s="585">
        <v>0.01</v>
      </c>
      <c r="I145" s="563"/>
      <c r="J145" s="1183"/>
      <c r="K145" s="1183"/>
      <c r="L145" s="563"/>
      <c r="M145" s="563"/>
      <c r="N145" s="262"/>
      <c r="O145" s="262"/>
      <c r="P145" s="262"/>
      <c r="Q145" s="262"/>
    </row>
    <row r="146" spans="1:17" x14ac:dyDescent="0.3">
      <c r="A146" s="494"/>
      <c r="B146" s="494"/>
      <c r="C146" s="553"/>
      <c r="D146" s="494"/>
      <c r="E146" s="494"/>
      <c r="F146" s="494"/>
      <c r="G146" s="494"/>
      <c r="H146" s="587"/>
      <c r="I146" s="587"/>
      <c r="J146" s="587"/>
      <c r="K146" s="587"/>
      <c r="L146" s="587"/>
      <c r="M146" s="587"/>
      <c r="N146" s="1220"/>
      <c r="O146" s="1220"/>
      <c r="P146" s="1220"/>
      <c r="Q146" s="262"/>
    </row>
    <row r="147" spans="1:17" x14ac:dyDescent="0.3">
      <c r="C147" s="259"/>
      <c r="H147" s="262"/>
      <c r="I147" s="262"/>
      <c r="J147" s="262"/>
      <c r="K147" s="262"/>
      <c r="L147" s="262"/>
      <c r="M147" s="262"/>
      <c r="N147" s="262"/>
      <c r="O147" s="262"/>
      <c r="P147" s="262"/>
      <c r="Q147" s="262"/>
    </row>
    <row r="149" spans="1:17" x14ac:dyDescent="0.3">
      <c r="A149" s="273" t="s">
        <v>3237</v>
      </c>
      <c r="B149" s="274"/>
      <c r="C149" s="274"/>
      <c r="D149" s="274"/>
      <c r="E149" s="274"/>
      <c r="F149" s="274"/>
      <c r="G149" s="274"/>
      <c r="H149" s="274"/>
      <c r="I149" s="274"/>
      <c r="J149" s="274"/>
      <c r="K149" s="274"/>
      <c r="L149" s="274"/>
    </row>
    <row r="150" spans="1:17" x14ac:dyDescent="0.3">
      <c r="A150" s="275"/>
      <c r="B150" s="276"/>
      <c r="C150" s="276"/>
      <c r="D150" s="276"/>
      <c r="E150" s="276"/>
      <c r="F150" s="276"/>
      <c r="G150" s="276"/>
      <c r="H150" s="277"/>
      <c r="I150" s="277"/>
      <c r="J150" s="277"/>
      <c r="K150" s="277"/>
      <c r="L150" s="278"/>
    </row>
    <row r="151" spans="1:17" x14ac:dyDescent="0.3">
      <c r="A151" s="279"/>
      <c r="B151" s="280">
        <v>2021</v>
      </c>
      <c r="C151" s="280">
        <f t="shared" ref="C151:L151" si="37">B151+1</f>
        <v>2022</v>
      </c>
      <c r="D151" s="280">
        <f>C151+1</f>
        <v>2023</v>
      </c>
      <c r="E151" s="280">
        <f t="shared" si="37"/>
        <v>2024</v>
      </c>
      <c r="F151" s="280">
        <f t="shared" si="37"/>
        <v>2025</v>
      </c>
      <c r="G151" s="280">
        <f t="shared" si="37"/>
        <v>2026</v>
      </c>
      <c r="H151" s="280">
        <f t="shared" si="37"/>
        <v>2027</v>
      </c>
      <c r="I151" s="280">
        <f t="shared" si="37"/>
        <v>2028</v>
      </c>
      <c r="J151" s="280">
        <f t="shared" si="37"/>
        <v>2029</v>
      </c>
      <c r="K151" s="280">
        <f t="shared" si="37"/>
        <v>2030</v>
      </c>
      <c r="L151" s="280">
        <f t="shared" si="37"/>
        <v>2031</v>
      </c>
      <c r="N151" s="658"/>
    </row>
    <row r="152" spans="1:17" x14ac:dyDescent="0.3">
      <c r="A152" s="278" t="s">
        <v>3238</v>
      </c>
      <c r="B152" s="281">
        <f>+'Model Main'!EI159*-1</f>
        <v>0</v>
      </c>
      <c r="C152" s="281">
        <f>+'Model Main'!EN159*-1</f>
        <v>0</v>
      </c>
      <c r="D152" s="281">
        <f>+'Model Main'!ES159*-1</f>
        <v>150</v>
      </c>
      <c r="E152" s="281">
        <f>+'Model Main'!EX159*-1</f>
        <v>0</v>
      </c>
      <c r="F152" s="281">
        <f>+'Model Main'!FC159*-1</f>
        <v>0</v>
      </c>
      <c r="G152" s="281">
        <f>+'Model Main'!FD159*-1</f>
        <v>0</v>
      </c>
      <c r="H152" s="281">
        <f>+'Model Main'!FE159*-1</f>
        <v>0</v>
      </c>
      <c r="I152" s="281">
        <f>+'Model Main'!FF159*-1</f>
        <v>507.78512625052258</v>
      </c>
      <c r="J152" s="281">
        <f>+'Model Main'!FG159*-1</f>
        <v>709.27096457009407</v>
      </c>
      <c r="K152" s="281">
        <f>+'Model Main'!FH159*-1</f>
        <v>1011.8364841242141</v>
      </c>
      <c r="L152" s="281">
        <f>+'Model Main'!FI159*-1</f>
        <v>1249.0409199270021</v>
      </c>
      <c r="N152" s="281"/>
    </row>
    <row r="153" spans="1:17" x14ac:dyDescent="0.3">
      <c r="A153" s="282" t="s">
        <v>3239</v>
      </c>
      <c r="B153" s="283">
        <v>0.25</v>
      </c>
      <c r="C153" s="283">
        <v>0.25</v>
      </c>
      <c r="D153" s="283">
        <v>0.25</v>
      </c>
      <c r="E153" s="283">
        <v>0.25</v>
      </c>
      <c r="F153" s="283">
        <v>0.25</v>
      </c>
      <c r="G153" s="283">
        <v>0.25</v>
      </c>
      <c r="H153" s="283">
        <v>0.25</v>
      </c>
      <c r="I153" s="283">
        <v>0.25</v>
      </c>
      <c r="J153" s="283">
        <v>0.25</v>
      </c>
      <c r="K153" s="283">
        <v>0.25</v>
      </c>
      <c r="L153" s="283">
        <v>0.25</v>
      </c>
      <c r="N153" s="659"/>
    </row>
    <row r="154" spans="1:17" x14ac:dyDescent="0.3">
      <c r="A154" s="282" t="s">
        <v>3240</v>
      </c>
      <c r="B154" s="284">
        <f t="shared" ref="B154:L154" si="38">+B152*B153</f>
        <v>0</v>
      </c>
      <c r="C154" s="284">
        <f t="shared" si="38"/>
        <v>0</v>
      </c>
      <c r="D154" s="284">
        <f t="shared" si="38"/>
        <v>37.5</v>
      </c>
      <c r="E154" s="284">
        <f t="shared" si="38"/>
        <v>0</v>
      </c>
      <c r="F154" s="284">
        <f t="shared" si="38"/>
        <v>0</v>
      </c>
      <c r="G154" s="284">
        <f t="shared" si="38"/>
        <v>0</v>
      </c>
      <c r="H154" s="284">
        <f t="shared" si="38"/>
        <v>0</v>
      </c>
      <c r="I154" s="284">
        <f t="shared" si="38"/>
        <v>126.94628156263065</v>
      </c>
      <c r="J154" s="284">
        <f t="shared" si="38"/>
        <v>177.31774114252352</v>
      </c>
      <c r="K154" s="284">
        <f t="shared" si="38"/>
        <v>252.95912103105351</v>
      </c>
      <c r="L154" s="284">
        <f t="shared" si="38"/>
        <v>312.26022998175051</v>
      </c>
      <c r="N154" s="284"/>
    </row>
    <row r="155" spans="1:17" x14ac:dyDescent="0.3">
      <c r="A155" s="282" t="s">
        <v>3241</v>
      </c>
      <c r="B155" s="285">
        <f t="shared" ref="B155:L155" si="39">+(1+$H$141)^(B151-$B$151)</f>
        <v>1</v>
      </c>
      <c r="C155" s="285">
        <f t="shared" si="39"/>
        <v>1.053096</v>
      </c>
      <c r="D155" s="285">
        <f t="shared" si="39"/>
        <v>1.1090111852160001</v>
      </c>
      <c r="E155" s="285">
        <f t="shared" si="39"/>
        <v>1.1678952431062288</v>
      </c>
      <c r="F155" s="285">
        <f t="shared" si="39"/>
        <v>1.2299058089341972</v>
      </c>
      <c r="G155" s="285">
        <f t="shared" si="39"/>
        <v>1.2952088877653674</v>
      </c>
      <c r="H155" s="285">
        <f t="shared" si="39"/>
        <v>1.3639792988701573</v>
      </c>
      <c r="I155" s="285">
        <f t="shared" si="39"/>
        <v>1.4364011437229673</v>
      </c>
      <c r="J155" s="285">
        <f t="shared" si="39"/>
        <v>1.5126682988500819</v>
      </c>
      <c r="K155" s="285">
        <f t="shared" si="39"/>
        <v>1.5929849348458258</v>
      </c>
      <c r="L155" s="285">
        <f t="shared" si="39"/>
        <v>1.6775660629464</v>
      </c>
      <c r="N155" s="285"/>
    </row>
    <row r="156" spans="1:17" x14ac:dyDescent="0.3">
      <c r="A156" s="286" t="s">
        <v>3242</v>
      </c>
      <c r="B156" s="287">
        <f t="shared" ref="B156:L156" si="40">B154/B155</f>
        <v>0</v>
      </c>
      <c r="C156" s="287">
        <f t="shared" si="40"/>
        <v>0</v>
      </c>
      <c r="D156" s="287">
        <f t="shared" si="40"/>
        <v>33.813906027193219</v>
      </c>
      <c r="E156" s="287">
        <f t="shared" si="40"/>
        <v>0</v>
      </c>
      <c r="F156" s="287">
        <f t="shared" si="40"/>
        <v>0</v>
      </c>
      <c r="G156" s="287">
        <f t="shared" si="40"/>
        <v>0</v>
      </c>
      <c r="H156" s="287">
        <f t="shared" si="40"/>
        <v>0</v>
      </c>
      <c r="I156" s="287">
        <f t="shared" si="40"/>
        <v>88.378014816670344</v>
      </c>
      <c r="J156" s="287">
        <f t="shared" si="40"/>
        <v>117.22182667364618</v>
      </c>
      <c r="K156" s="287">
        <f t="shared" si="40"/>
        <v>158.79567690672209</v>
      </c>
      <c r="L156" s="287">
        <f t="shared" si="40"/>
        <v>186.13885728786798</v>
      </c>
      <c r="N156" s="660"/>
    </row>
    <row r="157" spans="1:17" x14ac:dyDescent="0.3">
      <c r="A157" s="288" t="s">
        <v>3243</v>
      </c>
      <c r="B157" s="296">
        <f>+'Model Main'!EE160</f>
        <v>0</v>
      </c>
      <c r="C157" s="296">
        <f>+'Model Main'!EF160</f>
        <v>0</v>
      </c>
      <c r="D157" s="296">
        <f>+'Model Main'!EG160</f>
        <v>0</v>
      </c>
      <c r="E157" s="296">
        <f>+'Model Main'!EH160</f>
        <v>2112</v>
      </c>
      <c r="F157" s="296">
        <f>+'Model Main'!EI160</f>
        <v>2112</v>
      </c>
      <c r="G157" s="296">
        <f>+'Model Main'!EN160</f>
        <v>2556</v>
      </c>
      <c r="H157" s="296">
        <f>+'Model Main'!ES160</f>
        <v>4235</v>
      </c>
      <c r="I157" s="296">
        <f>+'Model Main'!EX160</f>
        <v>5739</v>
      </c>
      <c r="J157" s="296">
        <f>+'Model Main'!FC160</f>
        <v>7490.9014545756972</v>
      </c>
      <c r="K157" s="296">
        <f>+'Model Main'!FD160</f>
        <v>8968.4351646571995</v>
      </c>
      <c r="L157" s="296">
        <f>+'Model Main'!FE160</f>
        <v>9054.3825546877852</v>
      </c>
      <c r="N157" s="296"/>
    </row>
    <row r="158" spans="1:17" x14ac:dyDescent="0.3">
      <c r="A158" s="278"/>
      <c r="B158" s="284"/>
      <c r="C158" s="284"/>
      <c r="D158" s="284"/>
      <c r="E158" s="284"/>
      <c r="F158" s="284"/>
      <c r="G158" s="284"/>
      <c r="H158" s="284"/>
      <c r="I158" s="284"/>
      <c r="J158" s="284"/>
      <c r="K158" s="278"/>
      <c r="L158" s="278"/>
    </row>
    <row r="159" spans="1:17" x14ac:dyDescent="0.3">
      <c r="A159" s="282" t="s">
        <v>3244</v>
      </c>
      <c r="B159" s="289">
        <f>+L157*L153</f>
        <v>2263.5956386719463</v>
      </c>
      <c r="C159" s="290"/>
      <c r="D159" s="290" t="s">
        <v>3245</v>
      </c>
      <c r="E159" s="290"/>
      <c r="F159" s="290"/>
      <c r="G159" s="290"/>
      <c r="H159" s="284"/>
      <c r="I159" s="284"/>
      <c r="J159" s="284"/>
      <c r="K159" s="278"/>
      <c r="L159" s="278"/>
    </row>
    <row r="160" spans="1:17" x14ac:dyDescent="0.3">
      <c r="A160" s="282" t="s">
        <v>3241</v>
      </c>
      <c r="B160" s="291">
        <f>+L155</f>
        <v>1.6775660629464</v>
      </c>
      <c r="C160" s="284"/>
      <c r="D160" s="284"/>
      <c r="E160" s="284"/>
      <c r="F160" s="284"/>
      <c r="G160" s="284"/>
      <c r="H160" s="284"/>
      <c r="I160" s="284"/>
      <c r="J160" s="284"/>
      <c r="K160" s="278"/>
      <c r="L160" s="278"/>
    </row>
    <row r="161" spans="1:12" x14ac:dyDescent="0.3">
      <c r="A161" s="282" t="s">
        <v>3246</v>
      </c>
      <c r="B161" s="1828">
        <f>+B159/B160</f>
        <v>1349.3332326336351</v>
      </c>
      <c r="C161" s="284"/>
      <c r="D161" s="284"/>
      <c r="E161" s="284"/>
      <c r="F161" s="284"/>
      <c r="G161" s="284"/>
      <c r="H161" s="284"/>
      <c r="I161" s="284"/>
      <c r="J161" s="284"/>
      <c r="K161" s="278"/>
      <c r="L161" s="278"/>
    </row>
    <row r="162" spans="1:12" x14ac:dyDescent="0.3">
      <c r="A162" s="282" t="s">
        <v>3247</v>
      </c>
      <c r="B162" s="292">
        <f>+SUM(B156:L156)</f>
        <v>584.34828171209983</v>
      </c>
      <c r="C162" s="284"/>
      <c r="D162" s="284"/>
      <c r="E162" s="284"/>
      <c r="F162" s="284"/>
      <c r="G162" s="284"/>
      <c r="H162" s="284"/>
      <c r="I162" s="284"/>
      <c r="J162" s="284"/>
      <c r="K162" s="278"/>
      <c r="L162" s="278"/>
    </row>
    <row r="163" spans="1:12" ht="12.5" thickBot="1" x14ac:dyDescent="0.35">
      <c r="A163" s="286" t="s">
        <v>3248</v>
      </c>
      <c r="B163" s="293">
        <f>+B161+B162</f>
        <v>1933.681514345735</v>
      </c>
      <c r="C163" s="278"/>
      <c r="D163" s="278"/>
      <c r="E163" s="278"/>
      <c r="F163" s="278"/>
      <c r="G163" s="278"/>
      <c r="H163" s="278"/>
      <c r="I163" s="278"/>
      <c r="J163" s="278"/>
      <c r="K163" s="278"/>
      <c r="L163" s="278"/>
    </row>
    <row r="164" spans="1:12" ht="12.5" thickTop="1" x14ac:dyDescent="0.3">
      <c r="A164" s="294"/>
      <c r="B164" s="295"/>
      <c r="C164" s="294"/>
      <c r="D164" s="294"/>
      <c r="E164" s="294"/>
      <c r="F164" s="294"/>
      <c r="G164" s="294"/>
      <c r="H164" s="278"/>
      <c r="I164" s="278"/>
      <c r="J164" s="278"/>
      <c r="K164" s="278"/>
      <c r="L164" s="278"/>
    </row>
    <row r="166" spans="1:12" hidden="1" x14ac:dyDescent="0.3">
      <c r="A166" s="273" t="s">
        <v>3249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</row>
    <row r="167" spans="1:12" hidden="1" x14ac:dyDescent="0.3"/>
    <row r="168" spans="1:12" hidden="1" x14ac:dyDescent="0.3">
      <c r="A168" s="147"/>
      <c r="B168" s="147">
        <v>2021</v>
      </c>
      <c r="C168" s="147">
        <f t="shared" ref="C168:J168" si="41">+B168+1</f>
        <v>2022</v>
      </c>
      <c r="D168" s="147">
        <f>+C168+1</f>
        <v>2023</v>
      </c>
      <c r="E168" s="147">
        <f t="shared" si="41"/>
        <v>2024</v>
      </c>
      <c r="F168" s="147">
        <f t="shared" si="41"/>
        <v>2025</v>
      </c>
      <c r="G168" s="147">
        <f t="shared" si="41"/>
        <v>2026</v>
      </c>
      <c r="H168" s="147">
        <f t="shared" si="41"/>
        <v>2027</v>
      </c>
      <c r="I168" s="147">
        <f t="shared" si="41"/>
        <v>2028</v>
      </c>
      <c r="J168" s="147">
        <f t="shared" si="41"/>
        <v>2029</v>
      </c>
      <c r="K168" s="147">
        <f>+J168+1</f>
        <v>2030</v>
      </c>
    </row>
    <row r="169" spans="1:12" hidden="1" x14ac:dyDescent="0.3">
      <c r="A169" t="s">
        <v>3250</v>
      </c>
      <c r="B169" s="79">
        <f>+Drivers!EI617</f>
        <v>952.70624999999995</v>
      </c>
      <c r="C169" s="79">
        <f>+Drivers!EN617</f>
        <v>1082.4475499999999</v>
      </c>
      <c r="D169" s="79">
        <f>+Drivers!ES617</f>
        <v>1313.028765</v>
      </c>
      <c r="E169" s="79">
        <f>+Drivers!EX617</f>
        <v>1618.0850700000003</v>
      </c>
      <c r="F169" s="79">
        <f>+Drivers!FC617</f>
        <v>2008.1558494992319</v>
      </c>
      <c r="G169" s="79">
        <f>+Drivers!FD617</f>
        <v>2477.4545844388404</v>
      </c>
      <c r="H169" s="79">
        <f>+Drivers!FE617</f>
        <v>2956.8665062485506</v>
      </c>
      <c r="I169" s="79">
        <f>+Drivers!FF617</f>
        <v>3389.341589688368</v>
      </c>
      <c r="J169" s="79">
        <f>+Drivers!FG617</f>
        <v>3761.252192474436</v>
      </c>
      <c r="K169" s="79">
        <f>+Drivers!FH617</f>
        <v>4084.1364104446657</v>
      </c>
    </row>
    <row r="170" spans="1:12" hidden="1" x14ac:dyDescent="0.3">
      <c r="A170" s="177" t="s">
        <v>3251</v>
      </c>
      <c r="B170" s="79" t="e">
        <f>+Drivers!EI633</f>
        <v>#REF!</v>
      </c>
      <c r="C170" s="79">
        <f>+Drivers!EN633</f>
        <v>2617</v>
      </c>
      <c r="D170" s="79">
        <f>+Drivers!ES633</f>
        <v>2579</v>
      </c>
      <c r="E170" s="79">
        <f>+Drivers!EX633</f>
        <v>2710</v>
      </c>
      <c r="F170" s="79">
        <f>+Drivers!FC633</f>
        <v>2702.2882000013897</v>
      </c>
      <c r="G170" s="79">
        <f>+Drivers!FD633</f>
        <v>2697.6352130674022</v>
      </c>
      <c r="H170" s="79">
        <f>+Drivers!FE633</f>
        <v>2692.5401311688884</v>
      </c>
      <c r="I170" s="79">
        <f>+Drivers!FF633</f>
        <v>2687.9200451232196</v>
      </c>
      <c r="J170" s="79">
        <f>+Drivers!FG633</f>
        <v>2684.1546656111086</v>
      </c>
      <c r="K170" s="79">
        <f>+Drivers!FH633</f>
        <v>2682.1479728793042</v>
      </c>
    </row>
    <row r="171" spans="1:12" hidden="1" x14ac:dyDescent="0.3">
      <c r="A171" s="177" t="s">
        <v>3252</v>
      </c>
      <c r="B171" s="365" t="e">
        <f t="shared" ref="B171:K171" si="42">+B172-B170-B169</f>
        <v>#REF!</v>
      </c>
      <c r="C171" s="365" t="e">
        <f t="shared" si="42"/>
        <v>#REF!</v>
      </c>
      <c r="D171" s="365" t="e">
        <f t="shared" si="42"/>
        <v>#REF!</v>
      </c>
      <c r="E171" s="365" t="e">
        <f t="shared" si="42"/>
        <v>#REF!</v>
      </c>
      <c r="F171" s="365" t="e">
        <f t="shared" si="42"/>
        <v>#REF!</v>
      </c>
      <c r="G171" s="365" t="e">
        <f t="shared" si="42"/>
        <v>#REF!</v>
      </c>
      <c r="H171" s="365" t="e">
        <f t="shared" si="42"/>
        <v>#REF!</v>
      </c>
      <c r="I171" s="365" t="e">
        <f t="shared" si="42"/>
        <v>#REF!</v>
      </c>
      <c r="J171" s="365" t="e">
        <f t="shared" si="42"/>
        <v>#REF!</v>
      </c>
      <c r="K171" s="365" t="e">
        <f t="shared" si="42"/>
        <v>#REF!</v>
      </c>
    </row>
    <row r="172" spans="1:12" hidden="1" x14ac:dyDescent="0.3">
      <c r="A172" s="298" t="s">
        <v>3253</v>
      </c>
      <c r="B172" s="252" t="e">
        <f>+Drivers!EI636</f>
        <v>#REF!</v>
      </c>
      <c r="C172" s="252" t="e">
        <f>+Drivers!EN636</f>
        <v>#REF!</v>
      </c>
      <c r="D172" s="252" t="e">
        <f>+Drivers!ES636</f>
        <v>#REF!</v>
      </c>
      <c r="E172" s="252" t="e">
        <f>+Drivers!EX636</f>
        <v>#REF!</v>
      </c>
      <c r="F172" s="252" t="e">
        <f>+Drivers!FC636</f>
        <v>#REF!</v>
      </c>
      <c r="G172" s="252" t="e">
        <f>+Drivers!FD636</f>
        <v>#REF!</v>
      </c>
      <c r="H172" s="252" t="e">
        <f>+Drivers!FE636</f>
        <v>#REF!</v>
      </c>
      <c r="I172" s="252" t="e">
        <f>+Drivers!FF636</f>
        <v>#REF!</v>
      </c>
      <c r="J172" s="252" t="e">
        <f>+Drivers!FG636</f>
        <v>#REF!</v>
      </c>
      <c r="K172" s="252" t="e">
        <f>+Drivers!FH636</f>
        <v>#REF!</v>
      </c>
    </row>
    <row r="173" spans="1:12" hidden="1" x14ac:dyDescent="0.3"/>
    <row r="174" spans="1:12" hidden="1" x14ac:dyDescent="0.3">
      <c r="A174" t="s">
        <v>3254</v>
      </c>
      <c r="B174" s="365">
        <f t="shared" ref="B174:K175" si="43">+B169*B178</f>
        <v>571.62374999999997</v>
      </c>
      <c r="C174" s="365">
        <f t="shared" si="43"/>
        <v>649.46852999999987</v>
      </c>
      <c r="D174" s="365">
        <f t="shared" si="43"/>
        <v>787.81725900000004</v>
      </c>
      <c r="E174" s="365">
        <f t="shared" si="43"/>
        <v>970.85104200000012</v>
      </c>
      <c r="F174" s="365">
        <f t="shared" si="43"/>
        <v>1204.893509699539</v>
      </c>
      <c r="G174" s="365">
        <f t="shared" si="43"/>
        <v>1486.4727506633042</v>
      </c>
      <c r="H174" s="365">
        <f t="shared" si="43"/>
        <v>1774.1199037491303</v>
      </c>
      <c r="I174" s="365">
        <f t="shared" si="43"/>
        <v>2033.6049538130208</v>
      </c>
      <c r="J174" s="365">
        <f t="shared" si="43"/>
        <v>2256.7513154846615</v>
      </c>
      <c r="K174" s="365">
        <f t="shared" si="43"/>
        <v>2450.4818462667995</v>
      </c>
    </row>
    <row r="175" spans="1:12" hidden="1" x14ac:dyDescent="0.3">
      <c r="A175" s="177" t="s">
        <v>3255</v>
      </c>
      <c r="B175" s="365" t="e">
        <f t="shared" si="43"/>
        <v>#REF!</v>
      </c>
      <c r="C175" s="365">
        <f t="shared" si="43"/>
        <v>1046.8</v>
      </c>
      <c r="D175" s="365">
        <f t="shared" si="43"/>
        <v>1031.6000000000001</v>
      </c>
      <c r="E175" s="365">
        <f t="shared" si="43"/>
        <v>1084</v>
      </c>
      <c r="F175" s="365">
        <f t="shared" si="43"/>
        <v>1080.9152800005559</v>
      </c>
      <c r="G175" s="365">
        <f t="shared" si="43"/>
        <v>1079.054085226961</v>
      </c>
      <c r="H175" s="365">
        <f t="shared" si="43"/>
        <v>1077.0160524675555</v>
      </c>
      <c r="I175" s="365">
        <f t="shared" si="43"/>
        <v>1075.1680180492879</v>
      </c>
      <c r="J175" s="365">
        <f t="shared" si="43"/>
        <v>1073.6618662444434</v>
      </c>
      <c r="K175" s="365">
        <f t="shared" si="43"/>
        <v>1072.8591891517217</v>
      </c>
    </row>
    <row r="176" spans="1:12" hidden="1" x14ac:dyDescent="0.3">
      <c r="A176" s="177" t="s">
        <v>3256</v>
      </c>
      <c r="B176" s="365" t="e">
        <f t="shared" ref="B176:K176" si="44">+B177-B175-B174</f>
        <v>#REF!</v>
      </c>
      <c r="C176" s="365">
        <f t="shared" si="44"/>
        <v>384.73147000000017</v>
      </c>
      <c r="D176" s="365">
        <f t="shared" si="44"/>
        <v>309.58274099999983</v>
      </c>
      <c r="E176" s="365">
        <f t="shared" si="44"/>
        <v>199.14895799999988</v>
      </c>
      <c r="F176" s="365">
        <f t="shared" si="44"/>
        <v>130.6458072115995</v>
      </c>
      <c r="G176" s="365">
        <f t="shared" si="44"/>
        <v>111.4862030859947</v>
      </c>
      <c r="H176" s="365">
        <f t="shared" si="44"/>
        <v>142.74036826981001</v>
      </c>
      <c r="I176" s="365">
        <f t="shared" si="44"/>
        <v>163.2308567849243</v>
      </c>
      <c r="J176" s="365">
        <f t="shared" si="44"/>
        <v>203.26626536535287</v>
      </c>
      <c r="K176" s="365">
        <f t="shared" si="44"/>
        <v>255.16215545767591</v>
      </c>
    </row>
    <row r="177" spans="1:11" hidden="1" x14ac:dyDescent="0.3">
      <c r="A177" s="298" t="s">
        <v>1989</v>
      </c>
      <c r="B177" s="252">
        <f>+Drivers!EI530</f>
        <v>2526</v>
      </c>
      <c r="C177" s="252">
        <f>+Drivers!EN530</f>
        <v>2081</v>
      </c>
      <c r="D177" s="252">
        <f>+Drivers!ES530</f>
        <v>2129</v>
      </c>
      <c r="E177" s="252">
        <f>+Drivers!EX530</f>
        <v>2254</v>
      </c>
      <c r="F177" s="252">
        <f>+Drivers!FC530</f>
        <v>2416.4545969116944</v>
      </c>
      <c r="G177" s="252">
        <f>+Drivers!FD530</f>
        <v>2677.0130389762598</v>
      </c>
      <c r="H177" s="252">
        <f>+Drivers!FE530</f>
        <v>2993.8763244864958</v>
      </c>
      <c r="I177" s="252">
        <f>+Drivers!FF530</f>
        <v>3272.0038286472327</v>
      </c>
      <c r="J177" s="252">
        <f>+Drivers!FG530</f>
        <v>3533.6794470944578</v>
      </c>
      <c r="K177" s="252">
        <f>+Drivers!FH530</f>
        <v>3778.5031908761971</v>
      </c>
    </row>
    <row r="178" spans="1:11" hidden="1" x14ac:dyDescent="0.3">
      <c r="A178" s="94" t="s">
        <v>3257</v>
      </c>
      <c r="B178" s="87">
        <v>0.6</v>
      </c>
      <c r="C178" s="375">
        <f t="shared" ref="C178:K179" si="45">+B178</f>
        <v>0.6</v>
      </c>
      <c r="D178" s="375">
        <f>+C178</f>
        <v>0.6</v>
      </c>
      <c r="E178" s="375">
        <f t="shared" si="45"/>
        <v>0.6</v>
      </c>
      <c r="F178" s="375">
        <f t="shared" si="45"/>
        <v>0.6</v>
      </c>
      <c r="G178" s="375">
        <f t="shared" si="45"/>
        <v>0.6</v>
      </c>
      <c r="H178" s="375">
        <f t="shared" si="45"/>
        <v>0.6</v>
      </c>
      <c r="I178" s="375">
        <f t="shared" si="45"/>
        <v>0.6</v>
      </c>
      <c r="J178" s="375">
        <f t="shared" si="45"/>
        <v>0.6</v>
      </c>
      <c r="K178" s="375">
        <f t="shared" si="45"/>
        <v>0.6</v>
      </c>
    </row>
    <row r="179" spans="1:11" hidden="1" x14ac:dyDescent="0.3">
      <c r="A179" s="94" t="s">
        <v>3258</v>
      </c>
      <c r="B179" s="87">
        <v>0.4</v>
      </c>
      <c r="C179" s="375">
        <f t="shared" si="45"/>
        <v>0.4</v>
      </c>
      <c r="D179" s="375">
        <f>+C179</f>
        <v>0.4</v>
      </c>
      <c r="E179" s="375">
        <f t="shared" si="45"/>
        <v>0.4</v>
      </c>
      <c r="F179" s="375">
        <f t="shared" si="45"/>
        <v>0.4</v>
      </c>
      <c r="G179" s="375">
        <f t="shared" si="45"/>
        <v>0.4</v>
      </c>
      <c r="H179" s="375">
        <f t="shared" si="45"/>
        <v>0.4</v>
      </c>
      <c r="I179" s="375">
        <f t="shared" si="45"/>
        <v>0.4</v>
      </c>
      <c r="J179" s="375">
        <f t="shared" si="45"/>
        <v>0.4</v>
      </c>
      <c r="K179" s="375">
        <f t="shared" si="45"/>
        <v>0.4</v>
      </c>
    </row>
    <row r="180" spans="1:11" hidden="1" x14ac:dyDescent="0.3">
      <c r="A180" s="94" t="s">
        <v>3259</v>
      </c>
      <c r="B180" s="75" t="e">
        <f t="shared" ref="B180:K181" si="46">+B176/B171</f>
        <v>#REF!</v>
      </c>
      <c r="C180" s="75" t="e">
        <f t="shared" si="46"/>
        <v>#REF!</v>
      </c>
      <c r="D180" s="75" t="e">
        <f t="shared" si="46"/>
        <v>#REF!</v>
      </c>
      <c r="E180" s="75" t="e">
        <f t="shared" si="46"/>
        <v>#REF!</v>
      </c>
      <c r="F180" s="75" t="e">
        <f t="shared" si="46"/>
        <v>#REF!</v>
      </c>
      <c r="G180" s="75" t="e">
        <f t="shared" si="46"/>
        <v>#REF!</v>
      </c>
      <c r="H180" s="75" t="e">
        <f t="shared" si="46"/>
        <v>#REF!</v>
      </c>
      <c r="I180" s="75" t="e">
        <f t="shared" si="46"/>
        <v>#REF!</v>
      </c>
      <c r="J180" s="75" t="e">
        <f t="shared" si="46"/>
        <v>#REF!</v>
      </c>
      <c r="K180" s="75" t="e">
        <f t="shared" si="46"/>
        <v>#REF!</v>
      </c>
    </row>
    <row r="181" spans="1:11" hidden="1" x14ac:dyDescent="0.3">
      <c r="A181" s="94" t="s">
        <v>304</v>
      </c>
      <c r="B181" s="75" t="e">
        <f t="shared" si="46"/>
        <v>#REF!</v>
      </c>
      <c r="C181" s="75" t="e">
        <f t="shared" si="46"/>
        <v>#REF!</v>
      </c>
      <c r="D181" s="75" t="e">
        <f t="shared" si="46"/>
        <v>#REF!</v>
      </c>
      <c r="E181" s="75" t="e">
        <f t="shared" si="46"/>
        <v>#REF!</v>
      </c>
      <c r="F181" s="75" t="e">
        <f t="shared" si="46"/>
        <v>#REF!</v>
      </c>
      <c r="G181" s="75" t="e">
        <f t="shared" si="46"/>
        <v>#REF!</v>
      </c>
      <c r="H181" s="75" t="e">
        <f t="shared" si="46"/>
        <v>#REF!</v>
      </c>
      <c r="I181" s="75" t="e">
        <f t="shared" si="46"/>
        <v>#REF!</v>
      </c>
      <c r="J181" s="75" t="e">
        <f t="shared" si="46"/>
        <v>#REF!</v>
      </c>
      <c r="K181" s="75" t="e">
        <f t="shared" si="46"/>
        <v>#REF!</v>
      </c>
    </row>
    <row r="182" spans="1:11" hidden="1" x14ac:dyDescent="0.3"/>
    <row r="183" spans="1:11" hidden="1" x14ac:dyDescent="0.3">
      <c r="A183" t="s">
        <v>3260</v>
      </c>
      <c r="B183" s="365">
        <f t="shared" ref="B183:K185" si="47">+B174*B187</f>
        <v>7145.296875</v>
      </c>
      <c r="C183" s="365">
        <f t="shared" si="47"/>
        <v>8118.3566249999985</v>
      </c>
      <c r="D183" s="365">
        <f t="shared" si="47"/>
        <v>9847.7157375000006</v>
      </c>
      <c r="E183" s="365">
        <f t="shared" si="47"/>
        <v>12135.638025000002</v>
      </c>
      <c r="F183" s="365">
        <f t="shared" si="47"/>
        <v>15061.168871244237</v>
      </c>
      <c r="G183" s="365">
        <f t="shared" si="47"/>
        <v>18580.909383291302</v>
      </c>
      <c r="H183" s="365">
        <f t="shared" si="47"/>
        <v>22176.498796864129</v>
      </c>
      <c r="I183" s="365">
        <f t="shared" si="47"/>
        <v>25420.06192266276</v>
      </c>
      <c r="J183" s="365">
        <f t="shared" si="47"/>
        <v>28209.39144355827</v>
      </c>
      <c r="K183" s="365">
        <f t="shared" si="47"/>
        <v>30631.023078334994</v>
      </c>
    </row>
    <row r="184" spans="1:11" hidden="1" x14ac:dyDescent="0.3">
      <c r="A184" s="177" t="s">
        <v>3261</v>
      </c>
      <c r="B184" s="365" t="e">
        <f t="shared" si="47"/>
        <v>#REF!</v>
      </c>
      <c r="C184" s="365">
        <f t="shared" si="47"/>
        <v>3663.7999999999997</v>
      </c>
      <c r="D184" s="365">
        <f t="shared" si="47"/>
        <v>3610.6000000000004</v>
      </c>
      <c r="E184" s="365">
        <f t="shared" si="47"/>
        <v>3794</v>
      </c>
      <c r="F184" s="365">
        <f t="shared" si="47"/>
        <v>3783.2034800019455</v>
      </c>
      <c r="G184" s="365">
        <f t="shared" si="47"/>
        <v>3776.6892982943637</v>
      </c>
      <c r="H184" s="365">
        <f t="shared" si="47"/>
        <v>3769.5561836364441</v>
      </c>
      <c r="I184" s="365">
        <f t="shared" si="47"/>
        <v>3763.0880631725076</v>
      </c>
      <c r="J184" s="365">
        <f t="shared" si="47"/>
        <v>3757.8165318555521</v>
      </c>
      <c r="K184" s="365">
        <f t="shared" si="47"/>
        <v>3755.0071620310259</v>
      </c>
    </row>
    <row r="185" spans="1:11" hidden="1" x14ac:dyDescent="0.3">
      <c r="A185" s="177" t="s">
        <v>3262</v>
      </c>
      <c r="B185" s="365" t="e">
        <f t="shared" si="47"/>
        <v>#REF!</v>
      </c>
      <c r="C185" s="365">
        <f t="shared" si="47"/>
        <v>1346.5601450000006</v>
      </c>
      <c r="D185" s="365">
        <f t="shared" si="47"/>
        <v>1083.5395934999995</v>
      </c>
      <c r="E185" s="365">
        <f t="shared" si="47"/>
        <v>697.02135299999964</v>
      </c>
      <c r="F185" s="365">
        <f t="shared" si="47"/>
        <v>457.26032524059826</v>
      </c>
      <c r="G185" s="365">
        <f t="shared" si="47"/>
        <v>390.20171080098146</v>
      </c>
      <c r="H185" s="365">
        <f t="shared" si="47"/>
        <v>499.59128894433502</v>
      </c>
      <c r="I185" s="365">
        <f t="shared" si="47"/>
        <v>571.30799874723505</v>
      </c>
      <c r="J185" s="365">
        <f t="shared" si="47"/>
        <v>711.43192877873503</v>
      </c>
      <c r="K185" s="365">
        <f t="shared" si="47"/>
        <v>893.06754410186568</v>
      </c>
    </row>
    <row r="186" spans="1:11" hidden="1" x14ac:dyDescent="0.3">
      <c r="A186" s="298" t="s">
        <v>1631</v>
      </c>
      <c r="B186" s="387" t="e">
        <f t="shared" ref="B186:K186" si="48">+SUM(B183:B185)</f>
        <v>#REF!</v>
      </c>
      <c r="C186" s="387">
        <f t="shared" si="48"/>
        <v>13128.716769999999</v>
      </c>
      <c r="D186" s="387">
        <f t="shared" si="48"/>
        <v>14541.855331000001</v>
      </c>
      <c r="E186" s="387">
        <f t="shared" si="48"/>
        <v>16626.659378</v>
      </c>
      <c r="F186" s="387">
        <f t="shared" si="48"/>
        <v>19301.632676486781</v>
      </c>
      <c r="G186" s="387">
        <f t="shared" si="48"/>
        <v>22747.800392386649</v>
      </c>
      <c r="H186" s="387">
        <f t="shared" si="48"/>
        <v>26445.646269444907</v>
      </c>
      <c r="I186" s="387">
        <f t="shared" si="48"/>
        <v>29754.457984582503</v>
      </c>
      <c r="J186" s="387">
        <f t="shared" si="48"/>
        <v>32678.639904192558</v>
      </c>
      <c r="K186" s="387">
        <f t="shared" si="48"/>
        <v>35279.097784467886</v>
      </c>
    </row>
    <row r="187" spans="1:11" hidden="1" x14ac:dyDescent="0.3">
      <c r="A187" s="94" t="s">
        <v>3263</v>
      </c>
      <c r="B187" s="385">
        <v>12.5</v>
      </c>
      <c r="C187" s="386">
        <f t="shared" ref="C187:K189" si="49">+B187</f>
        <v>12.5</v>
      </c>
      <c r="D187" s="386">
        <f>+C187</f>
        <v>12.5</v>
      </c>
      <c r="E187" s="386">
        <f t="shared" si="49"/>
        <v>12.5</v>
      </c>
      <c r="F187" s="386">
        <f t="shared" si="49"/>
        <v>12.5</v>
      </c>
      <c r="G187" s="386">
        <f t="shared" si="49"/>
        <v>12.5</v>
      </c>
      <c r="H187" s="386">
        <f t="shared" si="49"/>
        <v>12.5</v>
      </c>
      <c r="I187" s="386">
        <f t="shared" si="49"/>
        <v>12.5</v>
      </c>
      <c r="J187" s="386">
        <f t="shared" si="49"/>
        <v>12.5</v>
      </c>
      <c r="K187" s="386">
        <f t="shared" si="49"/>
        <v>12.5</v>
      </c>
    </row>
    <row r="188" spans="1:11" hidden="1" x14ac:dyDescent="0.3">
      <c r="A188" s="94" t="s">
        <v>3264</v>
      </c>
      <c r="B188" s="385">
        <v>3.5</v>
      </c>
      <c r="C188" s="386">
        <f t="shared" si="49"/>
        <v>3.5</v>
      </c>
      <c r="D188" s="386">
        <f>+C188</f>
        <v>3.5</v>
      </c>
      <c r="E188" s="386">
        <f t="shared" si="49"/>
        <v>3.5</v>
      </c>
      <c r="F188" s="386">
        <f t="shared" si="49"/>
        <v>3.5</v>
      </c>
      <c r="G188" s="386">
        <f t="shared" si="49"/>
        <v>3.5</v>
      </c>
      <c r="H188" s="386">
        <f t="shared" si="49"/>
        <v>3.5</v>
      </c>
      <c r="I188" s="386">
        <f t="shared" si="49"/>
        <v>3.5</v>
      </c>
      <c r="J188" s="386">
        <f t="shared" si="49"/>
        <v>3.5</v>
      </c>
      <c r="K188" s="386">
        <f t="shared" si="49"/>
        <v>3.5</v>
      </c>
    </row>
    <row r="189" spans="1:11" hidden="1" x14ac:dyDescent="0.3">
      <c r="A189" s="94" t="s">
        <v>3265</v>
      </c>
      <c r="B189" s="385">
        <v>3.5</v>
      </c>
      <c r="C189" s="386">
        <f t="shared" si="49"/>
        <v>3.5</v>
      </c>
      <c r="D189" s="386">
        <f>+C189</f>
        <v>3.5</v>
      </c>
      <c r="E189" s="386">
        <f t="shared" si="49"/>
        <v>3.5</v>
      </c>
      <c r="F189" s="386">
        <f t="shared" si="49"/>
        <v>3.5</v>
      </c>
      <c r="G189" s="386">
        <f t="shared" si="49"/>
        <v>3.5</v>
      </c>
      <c r="H189" s="386">
        <f t="shared" si="49"/>
        <v>3.5</v>
      </c>
      <c r="I189" s="386">
        <f t="shared" si="49"/>
        <v>3.5</v>
      </c>
      <c r="J189" s="386">
        <f t="shared" si="49"/>
        <v>3.5</v>
      </c>
      <c r="K189" s="386">
        <f t="shared" si="49"/>
        <v>3.5</v>
      </c>
    </row>
    <row r="190" spans="1:11" hidden="1" x14ac:dyDescent="0.3">
      <c r="A190" s="94" t="s">
        <v>3266</v>
      </c>
      <c r="B190" s="386" t="e">
        <f>+B186/B177</f>
        <v>#REF!</v>
      </c>
      <c r="C190" s="386">
        <f t="shared" ref="C190:K190" si="50">+C186/C177</f>
        <v>6.3088499615569438</v>
      </c>
      <c r="D190" s="386">
        <f t="shared" si="50"/>
        <v>6.8303688731798973</v>
      </c>
      <c r="E190" s="386">
        <f t="shared" si="50"/>
        <v>7.376512590062112</v>
      </c>
      <c r="F190" s="386">
        <f t="shared" si="50"/>
        <v>7.9875834212465158</v>
      </c>
      <c r="G190" s="386">
        <f t="shared" si="50"/>
        <v>8.4974559560179941</v>
      </c>
      <c r="H190" s="386">
        <f t="shared" si="50"/>
        <v>8.8332460673641275</v>
      </c>
      <c r="I190" s="386">
        <f t="shared" si="50"/>
        <v>9.0936501125318348</v>
      </c>
      <c r="J190" s="386">
        <f t="shared" si="50"/>
        <v>9.247765790148943</v>
      </c>
      <c r="K190" s="386">
        <f t="shared" si="50"/>
        <v>9.3367918464790325</v>
      </c>
    </row>
    <row r="191" spans="1:11" hidden="1" x14ac:dyDescent="0.3"/>
    <row r="192" spans="1:11" hidden="1" x14ac:dyDescent="0.3">
      <c r="A192" t="s">
        <v>3267</v>
      </c>
      <c r="B192" s="365" t="e">
        <f t="shared" ref="B192:K194" si="51">+B183/B$186*B$195</f>
        <v>#REF!</v>
      </c>
      <c r="C192" s="365">
        <f t="shared" si="51"/>
        <v>8118.3566249999985</v>
      </c>
      <c r="D192" s="365">
        <f t="shared" si="51"/>
        <v>16654.910303816923</v>
      </c>
      <c r="E192" s="365">
        <f t="shared" si="51"/>
        <v>12135.638025000002</v>
      </c>
      <c r="F192" s="365">
        <f t="shared" si="51"/>
        <v>15061.168871244237</v>
      </c>
      <c r="G192" s="365">
        <f t="shared" si="51"/>
        <v>18580.909383291302</v>
      </c>
      <c r="H192" s="365">
        <f t="shared" si="51"/>
        <v>22176.498796864129</v>
      </c>
      <c r="I192" s="365">
        <f t="shared" si="51"/>
        <v>25420.06192266276</v>
      </c>
      <c r="J192" s="365">
        <f t="shared" si="51"/>
        <v>28209.39144355827</v>
      </c>
      <c r="K192" s="365">
        <f t="shared" si="51"/>
        <v>30631.023078334994</v>
      </c>
    </row>
    <row r="193" spans="1:12" hidden="1" x14ac:dyDescent="0.3">
      <c r="A193" s="177" t="s">
        <v>3268</v>
      </c>
      <c r="B193" s="365" t="e">
        <f t="shared" si="51"/>
        <v>#REF!</v>
      </c>
      <c r="C193" s="365">
        <f t="shared" si="51"/>
        <v>3663.7999999999997</v>
      </c>
      <c r="D193" s="365">
        <f t="shared" si="51"/>
        <v>6106.4129739215459</v>
      </c>
      <c r="E193" s="365">
        <f t="shared" si="51"/>
        <v>3794</v>
      </c>
      <c r="F193" s="365">
        <f t="shared" si="51"/>
        <v>3783.2034800019455</v>
      </c>
      <c r="G193" s="365">
        <f t="shared" si="51"/>
        <v>3776.6892982943637</v>
      </c>
      <c r="H193" s="365">
        <f t="shared" si="51"/>
        <v>3769.5561836364445</v>
      </c>
      <c r="I193" s="365">
        <f t="shared" si="51"/>
        <v>3763.0880631725072</v>
      </c>
      <c r="J193" s="365">
        <f t="shared" si="51"/>
        <v>3757.8165318555521</v>
      </c>
      <c r="K193" s="365">
        <f t="shared" si="51"/>
        <v>3755.0071620310259</v>
      </c>
    </row>
    <row r="194" spans="1:12" hidden="1" x14ac:dyDescent="0.3">
      <c r="A194" s="177" t="s">
        <v>3269</v>
      </c>
      <c r="B194" s="365" t="e">
        <f t="shared" si="51"/>
        <v>#REF!</v>
      </c>
      <c r="C194" s="365">
        <f t="shared" si="51"/>
        <v>1346.5601450000006</v>
      </c>
      <c r="D194" s="365">
        <f t="shared" si="51"/>
        <v>1832.5320532615283</v>
      </c>
      <c r="E194" s="365">
        <f t="shared" si="51"/>
        <v>697.02135299999964</v>
      </c>
      <c r="F194" s="365">
        <f t="shared" si="51"/>
        <v>457.26032524059826</v>
      </c>
      <c r="G194" s="365">
        <f t="shared" si="51"/>
        <v>390.20171080098146</v>
      </c>
      <c r="H194" s="365">
        <f t="shared" si="51"/>
        <v>499.59128894433502</v>
      </c>
      <c r="I194" s="365">
        <f t="shared" si="51"/>
        <v>571.30799874723505</v>
      </c>
      <c r="J194" s="365">
        <f t="shared" si="51"/>
        <v>711.43192877873503</v>
      </c>
      <c r="K194" s="365">
        <f t="shared" si="51"/>
        <v>893.06754410186568</v>
      </c>
    </row>
    <row r="195" spans="1:12" hidden="1" x14ac:dyDescent="0.3">
      <c r="A195" s="298" t="s">
        <v>1633</v>
      </c>
      <c r="B195" s="387" t="e">
        <f>+B186-C9+C10+C12</f>
        <v>#REF!</v>
      </c>
      <c r="C195" s="387">
        <f>+C186-D9+D10+D12</f>
        <v>13128.716769999999</v>
      </c>
      <c r="D195" s="387">
        <f t="shared" ref="D195:K195" si="52">+D186-E9+E10+E12</f>
        <v>24593.855330999999</v>
      </c>
      <c r="E195" s="387">
        <f t="shared" si="52"/>
        <v>16626.659378</v>
      </c>
      <c r="F195" s="387">
        <f t="shared" si="52"/>
        <v>19301.632676486781</v>
      </c>
      <c r="G195" s="387">
        <f t="shared" si="52"/>
        <v>22747.800392386649</v>
      </c>
      <c r="H195" s="387">
        <f t="shared" si="52"/>
        <v>26445.646269444907</v>
      </c>
      <c r="I195" s="387">
        <f t="shared" si="52"/>
        <v>29754.457984582503</v>
      </c>
      <c r="J195" s="387">
        <f t="shared" si="52"/>
        <v>32678.639904192558</v>
      </c>
      <c r="K195" s="387">
        <f t="shared" si="52"/>
        <v>35279.097784467886</v>
      </c>
    </row>
    <row r="196" spans="1:12" hidden="1" x14ac:dyDescent="0.3">
      <c r="A196" s="94"/>
    </row>
    <row r="197" spans="1:12" hidden="1" x14ac:dyDescent="0.3">
      <c r="A197" t="s">
        <v>3270</v>
      </c>
      <c r="B197" s="379" t="e">
        <f t="shared" ref="B197:K200" si="53">+B192/B$201</f>
        <v>#REF!</v>
      </c>
      <c r="C197" s="379">
        <f t="shared" si="53"/>
        <v>33.156182176440986</v>
      </c>
      <c r="D197" s="379">
        <f t="shared" si="53"/>
        <v>67.776573236251352</v>
      </c>
      <c r="E197" s="379">
        <f t="shared" si="53"/>
        <v>48.813602843684009</v>
      </c>
      <c r="F197" s="379">
        <f t="shared" si="53"/>
        <v>61.468889896148646</v>
      </c>
      <c r="G197" s="379">
        <f t="shared" si="53"/>
        <v>75.833946409864069</v>
      </c>
      <c r="H197" s="379">
        <f t="shared" si="53"/>
        <v>90.508563742961343</v>
      </c>
      <c r="I197" s="379">
        <f t="shared" si="53"/>
        <v>103.74646223247298</v>
      </c>
      <c r="J197" s="379">
        <f t="shared" si="53"/>
        <v>115.13050491002106</v>
      </c>
      <c r="K197" s="379">
        <f t="shared" si="53"/>
        <v>130.27932718249653</v>
      </c>
    </row>
    <row r="198" spans="1:12" hidden="1" x14ac:dyDescent="0.3">
      <c r="A198" s="177" t="s">
        <v>3271</v>
      </c>
      <c r="B198" s="379" t="e">
        <f t="shared" si="53"/>
        <v>#REF!</v>
      </c>
      <c r="C198" s="379">
        <f t="shared" si="53"/>
        <v>14.963326430371552</v>
      </c>
      <c r="D198" s="379">
        <f t="shared" si="53"/>
        <v>24.849833387751069</v>
      </c>
      <c r="E198" s="379">
        <f t="shared" si="53"/>
        <v>15.260739386542232</v>
      </c>
      <c r="F198" s="379">
        <f t="shared" si="53"/>
        <v>15.440323400859297</v>
      </c>
      <c r="G198" s="379">
        <f t="shared" si="53"/>
        <v>15.413737182912337</v>
      </c>
      <c r="H198" s="379">
        <f t="shared" si="53"/>
        <v>15.384624924542976</v>
      </c>
      <c r="I198" s="379">
        <f t="shared" si="53"/>
        <v>15.358226695558779</v>
      </c>
      <c r="J198" s="379">
        <f t="shared" si="53"/>
        <v>15.336712085313309</v>
      </c>
      <c r="K198" s="379">
        <f t="shared" si="53"/>
        <v>15.970730242466624</v>
      </c>
    </row>
    <row r="199" spans="1:12" hidden="1" x14ac:dyDescent="0.3">
      <c r="A199" s="177" t="s">
        <v>3272</v>
      </c>
      <c r="B199" s="379" t="e">
        <f t="shared" si="53"/>
        <v>#REF!</v>
      </c>
      <c r="C199" s="379">
        <f t="shared" si="53"/>
        <v>5.4994866007324257</v>
      </c>
      <c r="D199" s="379">
        <f t="shared" si="53"/>
        <v>7.4574249065270326</v>
      </c>
      <c r="E199" s="379">
        <f t="shared" si="53"/>
        <v>2.8036534567707041</v>
      </c>
      <c r="F199" s="379">
        <f t="shared" si="53"/>
        <v>1.8662087137045327</v>
      </c>
      <c r="G199" s="379">
        <f t="shared" si="53"/>
        <v>1.5925235420677473</v>
      </c>
      <c r="H199" s="379">
        <f t="shared" si="53"/>
        <v>2.0389733489959432</v>
      </c>
      <c r="I199" s="379">
        <f t="shared" si="53"/>
        <v>2.331669525253897</v>
      </c>
      <c r="J199" s="379">
        <f t="shared" si="53"/>
        <v>2.9035549147980584</v>
      </c>
      <c r="K199" s="379">
        <f t="shared" si="53"/>
        <v>3.7983791294391183</v>
      </c>
    </row>
    <row r="200" spans="1:12" hidden="1" x14ac:dyDescent="0.3">
      <c r="A200" s="298" t="s">
        <v>3273</v>
      </c>
      <c r="B200" s="388" t="e">
        <f t="shared" si="53"/>
        <v>#REF!</v>
      </c>
      <c r="C200" s="388">
        <f t="shared" si="53"/>
        <v>53.618995207544963</v>
      </c>
      <c r="D200" s="388">
        <f t="shared" si="53"/>
        <v>100.08383153052945</v>
      </c>
      <c r="E200" s="388">
        <f t="shared" si="53"/>
        <v>66.87799568699694</v>
      </c>
      <c r="F200" s="388">
        <f t="shared" si="53"/>
        <v>78.775422010712475</v>
      </c>
      <c r="G200" s="388">
        <f t="shared" si="53"/>
        <v>92.840207134844164</v>
      </c>
      <c r="H200" s="388">
        <f t="shared" si="53"/>
        <v>107.93216201650026</v>
      </c>
      <c r="I200" s="388">
        <f t="shared" si="53"/>
        <v>121.43635845328565</v>
      </c>
      <c r="J200" s="388">
        <f t="shared" si="53"/>
        <v>133.37077191013245</v>
      </c>
      <c r="K200" s="388">
        <f t="shared" si="53"/>
        <v>150.04843655440229</v>
      </c>
    </row>
    <row r="201" spans="1:12" hidden="1" x14ac:dyDescent="0.3">
      <c r="A201" t="s">
        <v>3274</v>
      </c>
      <c r="B201" s="80">
        <f>+'Model Main'!EI80</f>
        <v>244.30799999999999</v>
      </c>
      <c r="C201" s="80">
        <f>+'Model Main'!EN80</f>
        <v>244.85197305884239</v>
      </c>
      <c r="D201" s="80">
        <f>+'Model Main'!ES80</f>
        <v>245.73255195069063</v>
      </c>
      <c r="E201" s="80">
        <f>+'Model Main'!EX80</f>
        <v>248.61180732473289</v>
      </c>
      <c r="F201" s="80">
        <f>+'Model Main'!FC80</f>
        <v>245.02099999999999</v>
      </c>
      <c r="G201" s="80">
        <f>+'Model Main'!FD80</f>
        <v>245.02099999999999</v>
      </c>
      <c r="H201" s="80">
        <f>+'Model Main'!FE80</f>
        <v>245.02099999999999</v>
      </c>
      <c r="I201" s="80">
        <f>+'Model Main'!FF80</f>
        <v>245.02099999999999</v>
      </c>
      <c r="J201" s="80">
        <f>+'Model Main'!FG80</f>
        <v>245.02099999999999</v>
      </c>
      <c r="K201" s="80">
        <f>+'Model Main'!FH80</f>
        <v>235.11806317073439</v>
      </c>
    </row>
    <row r="203" spans="1:12" hidden="1" outlineLevel="1" x14ac:dyDescent="0.3">
      <c r="A203" s="200" t="s">
        <v>3275</v>
      </c>
      <c r="B203" s="201"/>
      <c r="C203" s="201"/>
      <c r="D203" s="220"/>
      <c r="E203" s="201"/>
      <c r="F203" s="201"/>
      <c r="G203" s="201"/>
      <c r="H203" s="201"/>
      <c r="I203" s="201"/>
      <c r="J203" s="201"/>
      <c r="K203" s="201"/>
      <c r="L203" s="201"/>
    </row>
    <row r="204" spans="1:12" hidden="1" outlineLevel="1" x14ac:dyDescent="0.3">
      <c r="A204" s="228"/>
      <c r="B204" s="229">
        <f>+B19</f>
        <v>2023</v>
      </c>
      <c r="C204" s="229">
        <f>+C19</f>
        <v>2024</v>
      </c>
      <c r="D204" s="229">
        <f>+D19</f>
        <v>2025</v>
      </c>
      <c r="E204" s="229">
        <f>+E19</f>
        <v>2026</v>
      </c>
      <c r="F204" s="229">
        <f>+F19</f>
        <v>2027</v>
      </c>
    </row>
    <row r="205" spans="1:12" hidden="1" outlineLevel="1" x14ac:dyDescent="0.3">
      <c r="A205" s="230" t="s">
        <v>284</v>
      </c>
      <c r="B205" s="231"/>
      <c r="C205" s="232"/>
      <c r="D205" s="231"/>
      <c r="E205" s="231"/>
      <c r="F205" s="231"/>
    </row>
    <row r="206" spans="1:12" hidden="1" outlineLevel="1" x14ac:dyDescent="0.3">
      <c r="A206" s="233" t="s">
        <v>722</v>
      </c>
      <c r="B206" s="661" t="e">
        <f>+'Model Main'!EI40</f>
        <v>#REF!</v>
      </c>
      <c r="C206" s="661" t="e">
        <f>+'Model Main'!EN40</f>
        <v>#REF!</v>
      </c>
      <c r="D206" s="661" t="e">
        <f>+'Model Main'!ES40</f>
        <v>#REF!</v>
      </c>
      <c r="E206" s="661" t="e">
        <f>+'Model Main'!EX40</f>
        <v>#REF!</v>
      </c>
      <c r="F206" s="661" t="e">
        <f>+'Model Main'!FC40</f>
        <v>#REF!</v>
      </c>
      <c r="G206" s="661"/>
    </row>
    <row r="207" spans="1:12" hidden="1" outlineLevel="1" x14ac:dyDescent="0.3">
      <c r="A207" s="233" t="s">
        <v>726</v>
      </c>
      <c r="B207" s="234" t="str">
        <f>+IFERROR(B230,"")</f>
        <v/>
      </c>
      <c r="C207" s="234" t="str">
        <f>+IFERROR(C230,"")</f>
        <v/>
      </c>
      <c r="D207" s="234" t="str">
        <f>+IFERROR(D230,"")</f>
        <v/>
      </c>
      <c r="E207" s="234" t="str">
        <f>+IFERROR(E230,"")</f>
        <v/>
      </c>
      <c r="F207" s="234" t="str">
        <f>+IFERROR(F230,"")</f>
        <v/>
      </c>
      <c r="G207" s="234"/>
    </row>
    <row r="208" spans="1:12" hidden="1" outlineLevel="1" x14ac:dyDescent="0.3">
      <c r="A208" s="235" t="s">
        <v>3276</v>
      </c>
      <c r="B208" s="236" t="str">
        <f>+IFERROR(B206/B207-1,"")</f>
        <v/>
      </c>
      <c r="C208" s="236" t="str">
        <f>+IFERROR(C206/C207-1,"")</f>
        <v/>
      </c>
      <c r="D208" s="236" t="str">
        <f>+IFERROR(D206/D207-1,"")</f>
        <v/>
      </c>
      <c r="E208" s="236" t="str">
        <f>+IFERROR(E206/E207-1,"")</f>
        <v/>
      </c>
      <c r="F208" s="236" t="str">
        <f>+IFERROR(F206/F207-1,"")</f>
        <v/>
      </c>
      <c r="G208" s="236"/>
    </row>
    <row r="209" spans="1:7" hidden="1" outlineLevel="1" x14ac:dyDescent="0.3">
      <c r="A209" s="233"/>
      <c r="B209" s="232"/>
      <c r="C209" s="232"/>
      <c r="D209" s="232"/>
      <c r="E209" s="232"/>
      <c r="F209" s="232"/>
      <c r="G209" s="232"/>
    </row>
    <row r="210" spans="1:7" hidden="1" outlineLevel="1" x14ac:dyDescent="0.3">
      <c r="A210" s="230" t="s">
        <v>44</v>
      </c>
      <c r="B210" s="232"/>
      <c r="C210" s="232"/>
      <c r="D210" s="232"/>
      <c r="E210" s="232"/>
      <c r="F210" s="232"/>
      <c r="G210" s="232"/>
    </row>
    <row r="211" spans="1:7" hidden="1" outlineLevel="1" x14ac:dyDescent="0.3">
      <c r="A211" s="233" t="s">
        <v>722</v>
      </c>
      <c r="B211" s="661">
        <f>+'Model Main'!EI48</f>
        <v>2475</v>
      </c>
      <c r="C211" s="661">
        <f>+'Model Main'!EN48</f>
        <v>2080</v>
      </c>
      <c r="D211" s="661">
        <f>+'Model Main'!ES48</f>
        <v>2127</v>
      </c>
      <c r="E211" s="661">
        <f>+'Model Main'!EX48</f>
        <v>2251</v>
      </c>
      <c r="F211" s="661">
        <f>+'Model Main'!FC48</f>
        <v>2416.4545969116944</v>
      </c>
      <c r="G211" s="661"/>
    </row>
    <row r="212" spans="1:7" hidden="1" outlineLevel="1" x14ac:dyDescent="0.3">
      <c r="A212" s="233" t="s">
        <v>726</v>
      </c>
      <c r="B212" s="234" t="str">
        <f>+IFERROR(B231,"")</f>
        <v/>
      </c>
      <c r="C212" s="234" t="str">
        <f>+IFERROR(C231,"")</f>
        <v/>
      </c>
      <c r="D212" s="234" t="str">
        <f>+IFERROR(D231,"")</f>
        <v/>
      </c>
      <c r="E212" s="234" t="str">
        <f>+IFERROR(E231,"")</f>
        <v/>
      </c>
      <c r="F212" s="234" t="str">
        <f>+IFERROR(F231,"")</f>
        <v/>
      </c>
      <c r="G212" s="234"/>
    </row>
    <row r="213" spans="1:7" hidden="1" outlineLevel="1" x14ac:dyDescent="0.3">
      <c r="A213" s="235" t="s">
        <v>3276</v>
      </c>
      <c r="B213" s="237" t="str">
        <f>+IFERROR(B211/B212-1,"")</f>
        <v/>
      </c>
      <c r="C213" s="237" t="str">
        <f>+IFERROR(C211/C212-1,"")</f>
        <v/>
      </c>
      <c r="D213" s="237" t="str">
        <f>+IFERROR(D211/D212-1,"")</f>
        <v/>
      </c>
      <c r="E213" s="237" t="str">
        <f>+IFERROR(E211/E212-1,"")</f>
        <v/>
      </c>
      <c r="F213" s="237" t="str">
        <f>+IFERROR(F211/F212-1,"")</f>
        <v/>
      </c>
      <c r="G213" s="237"/>
    </row>
    <row r="214" spans="1:7" hidden="1" outlineLevel="1" x14ac:dyDescent="0.3">
      <c r="A214" s="235" t="s">
        <v>3277</v>
      </c>
      <c r="B214" s="237">
        <f>+$B$13/B211</f>
        <v>6.8557575757575755</v>
      </c>
      <c r="C214" s="237">
        <f>+$B$13/C211</f>
        <v>8.157692307692308</v>
      </c>
      <c r="D214" s="237">
        <f>+$B$13/D211</f>
        <v>7.9774330042313117</v>
      </c>
      <c r="E214" s="237">
        <f>+$B$13/E211</f>
        <v>7.5379831186139494</v>
      </c>
      <c r="F214" s="237">
        <f>+$B$13/F211</f>
        <v>7.021857568391991</v>
      </c>
      <c r="G214" s="237"/>
    </row>
    <row r="215" spans="1:7" hidden="1" outlineLevel="1" x14ac:dyDescent="0.3">
      <c r="A215" s="235" t="s">
        <v>3278</v>
      </c>
      <c r="B215" s="237"/>
      <c r="C215" s="237"/>
      <c r="D215" s="237"/>
      <c r="E215" s="237"/>
      <c r="F215" s="237"/>
      <c r="G215" s="237"/>
    </row>
    <row r="216" spans="1:7" hidden="1" outlineLevel="1" x14ac:dyDescent="0.3">
      <c r="A216" s="235"/>
      <c r="B216" s="237"/>
      <c r="C216" s="237"/>
      <c r="D216" s="237"/>
      <c r="E216" s="237"/>
      <c r="F216" s="237"/>
      <c r="G216" s="237"/>
    </row>
    <row r="217" spans="1:7" hidden="1" outlineLevel="1" x14ac:dyDescent="0.3">
      <c r="A217" s="230" t="s">
        <v>198</v>
      </c>
      <c r="B217" s="232"/>
      <c r="C217" s="232"/>
      <c r="D217" s="232"/>
      <c r="E217" s="232"/>
      <c r="F217" s="232"/>
      <c r="G217" s="232"/>
    </row>
    <row r="218" spans="1:7" hidden="1" outlineLevel="1" x14ac:dyDescent="0.3">
      <c r="A218" s="233" t="s">
        <v>722</v>
      </c>
      <c r="B218" s="661">
        <f>+'Model Main'!EI107*-1</f>
        <v>1705</v>
      </c>
      <c r="C218" s="661">
        <f>+'Model Main'!EN107*-1</f>
        <v>2738</v>
      </c>
      <c r="D218" s="661">
        <f>+'Model Main'!ES107*-1</f>
        <v>3211</v>
      </c>
      <c r="E218" s="661">
        <f>+'Model Main'!EX107*-1</f>
        <v>2783</v>
      </c>
      <c r="F218" s="661">
        <f>+'Model Main'!FC107*-1</f>
        <v>3194.4479521510066</v>
      </c>
      <c r="G218" s="661"/>
    </row>
    <row r="219" spans="1:7" hidden="1" outlineLevel="1" x14ac:dyDescent="0.3">
      <c r="A219" s="233" t="s">
        <v>726</v>
      </c>
      <c r="B219" s="234" t="str">
        <f>+IFERROR(B$238,"")</f>
        <v/>
      </c>
      <c r="C219" s="234" t="str">
        <f>+IFERROR(C$238,"")</f>
        <v/>
      </c>
      <c r="D219" s="234" t="str">
        <f>+IFERROR(D$238,"")</f>
        <v/>
      </c>
      <c r="E219" s="234" t="str">
        <f>+IFERROR(E$238,"")</f>
        <v/>
      </c>
      <c r="F219" s="234" t="str">
        <f>+IFERROR(F$238,"")</f>
        <v/>
      </c>
      <c r="G219" s="234"/>
    </row>
    <row r="220" spans="1:7" hidden="1" outlineLevel="1" x14ac:dyDescent="0.3">
      <c r="A220" s="235" t="s">
        <v>3276</v>
      </c>
      <c r="B220" s="237" t="str">
        <f>+IFERROR(B218/B219-1,"")</f>
        <v/>
      </c>
      <c r="C220" s="237" t="str">
        <f>+IFERROR(C218/C219-1,"")</f>
        <v/>
      </c>
      <c r="D220" s="237" t="str">
        <f>+IFERROR(D218/D219-1,"")</f>
        <v/>
      </c>
      <c r="E220" s="237" t="str">
        <f>+IFERROR(E218/E219-1,"")</f>
        <v/>
      </c>
      <c r="F220" s="237" t="str">
        <f>+IFERROR(F218/F219-1,"")</f>
        <v/>
      </c>
      <c r="G220" s="237"/>
    </row>
    <row r="221" spans="1:7" hidden="1" outlineLevel="1" x14ac:dyDescent="0.3"/>
    <row r="222" spans="1:7" hidden="1" outlineLevel="1" x14ac:dyDescent="0.3">
      <c r="A222" s="230" t="s">
        <v>642</v>
      </c>
    </row>
    <row r="223" spans="1:7" hidden="1" outlineLevel="1" x14ac:dyDescent="0.3">
      <c r="A223" s="233" t="s">
        <v>722</v>
      </c>
      <c r="B223" s="363">
        <f>+B211-B218</f>
        <v>770</v>
      </c>
      <c r="C223" s="363">
        <f>+C211-C218</f>
        <v>-658</v>
      </c>
      <c r="D223" s="363">
        <f>+D211-D218</f>
        <v>-1084</v>
      </c>
      <c r="E223" s="363">
        <f>+E211-E218</f>
        <v>-532</v>
      </c>
      <c r="F223" s="363">
        <f>+F211-F218</f>
        <v>-777.99335523931222</v>
      </c>
      <c r="G223" s="363"/>
    </row>
    <row r="224" spans="1:7" hidden="1" outlineLevel="1" x14ac:dyDescent="0.3">
      <c r="A224" s="233" t="s">
        <v>726</v>
      </c>
      <c r="B224" s="363" t="str">
        <f>+IFERROR(B212-B219,"")</f>
        <v/>
      </c>
      <c r="C224" s="363" t="str">
        <f>+IFERROR(C212-C219,"")</f>
        <v/>
      </c>
      <c r="D224" s="363" t="str">
        <f>+IFERROR(D212-D219,"")</f>
        <v/>
      </c>
      <c r="E224" s="363" t="str">
        <f>+IFERROR(E212-E219,"")</f>
        <v/>
      </c>
      <c r="F224" s="363" t="str">
        <f>+IFERROR(F212-F219,"")</f>
        <v/>
      </c>
      <c r="G224" s="363"/>
    </row>
    <row r="225" spans="1:7" hidden="1" outlineLevel="1" x14ac:dyDescent="0.3">
      <c r="A225" s="235" t="s">
        <v>3276</v>
      </c>
      <c r="B225" s="237" t="str">
        <f>+IFERROR(B223/B224-1,"")</f>
        <v/>
      </c>
      <c r="C225" s="237" t="str">
        <f>+IFERROR(C223/C224-1,"")</f>
        <v/>
      </c>
      <c r="D225" s="237" t="str">
        <f>+IFERROR(D223/D224-1,"")</f>
        <v/>
      </c>
      <c r="E225" s="237" t="str">
        <f>+IFERROR(E223/E224-1,"")</f>
        <v/>
      </c>
      <c r="F225" s="237" t="str">
        <f>+IFERROR(F223/F224-1,"")</f>
        <v/>
      </c>
      <c r="G225" s="237"/>
    </row>
    <row r="226" spans="1:7" hidden="1" outlineLevel="1" x14ac:dyDescent="0.3">
      <c r="A226" s="235" t="s">
        <v>3279</v>
      </c>
      <c r="B226" s="237">
        <f>+$B$13/B223</f>
        <v>22.036363636363635</v>
      </c>
      <c r="C226" s="237">
        <f>+$B$13/C223</f>
        <v>-25.787234042553191</v>
      </c>
      <c r="D226" s="237">
        <f>+$B$13/D223</f>
        <v>-15.653136531365314</v>
      </c>
      <c r="E226" s="237">
        <f>+$B$13/E223</f>
        <v>-31.894736842105264</v>
      </c>
      <c r="F226" s="237">
        <f>+$B$13/F223</f>
        <v>-21.809954912507717</v>
      </c>
      <c r="G226" s="237"/>
    </row>
    <row r="227" spans="1:7" hidden="1" outlineLevel="1" x14ac:dyDescent="0.3">
      <c r="A227" s="235" t="s">
        <v>3280</v>
      </c>
      <c r="B227" s="237" t="str">
        <f>+IFERROR($B$14/B219,"")</f>
        <v/>
      </c>
      <c r="C227" s="237" t="str">
        <f>+IFERROR($B$14/C219,"")</f>
        <v/>
      </c>
      <c r="D227" s="237" t="str">
        <f>+IFERROR($B$14/D219,"")</f>
        <v/>
      </c>
      <c r="E227" s="237" t="str">
        <f>+IFERROR($B$14/E219,"")</f>
        <v/>
      </c>
      <c r="F227" s="237" t="str">
        <f>+IFERROR($B$14/F219,"")</f>
        <v/>
      </c>
      <c r="G227" s="237"/>
    </row>
    <row r="228" spans="1:7" hidden="1" outlineLevel="1" x14ac:dyDescent="0.3">
      <c r="A228" s="238"/>
      <c r="B228" s="239"/>
      <c r="C228" s="239"/>
      <c r="D228" s="239"/>
      <c r="E228" s="239"/>
      <c r="F228" s="239"/>
      <c r="G228" s="239"/>
    </row>
    <row r="229" spans="1:7" hidden="1" outlineLevel="1" x14ac:dyDescent="0.3">
      <c r="A229" s="240" t="s">
        <v>3281</v>
      </c>
      <c r="B229" s="146"/>
      <c r="C229" s="146"/>
      <c r="D229" s="146"/>
      <c r="E229" s="146"/>
      <c r="F229" s="146"/>
      <c r="G229" s="146"/>
    </row>
    <row r="230" spans="1:7" hidden="1" outlineLevel="1" x14ac:dyDescent="0.3">
      <c r="A230" s="241" t="s">
        <v>284</v>
      </c>
      <c r="B230" s="242" t="s">
        <v>3282</v>
      </c>
      <c r="C230" s="242" t="s">
        <v>3282</v>
      </c>
      <c r="D230" s="242" t="s">
        <v>3282</v>
      </c>
      <c r="E230" s="242" t="s">
        <v>3282</v>
      </c>
      <c r="F230" s="242" t="s">
        <v>3282</v>
      </c>
      <c r="G230" s="242" t="s">
        <v>3282</v>
      </c>
    </row>
    <row r="231" spans="1:7" hidden="1" outlineLevel="1" x14ac:dyDescent="0.3">
      <c r="A231" s="241" t="s">
        <v>44</v>
      </c>
      <c r="B231" s="242" t="s">
        <v>3282</v>
      </c>
      <c r="C231" s="242" t="s">
        <v>3282</v>
      </c>
      <c r="D231" s="242" t="s">
        <v>3282</v>
      </c>
      <c r="E231" s="242" t="s">
        <v>3282</v>
      </c>
      <c r="F231" s="242" t="s">
        <v>3282</v>
      </c>
      <c r="G231" s="242" t="s">
        <v>3282</v>
      </c>
    </row>
    <row r="232" spans="1:7" hidden="1" outlineLevel="1" x14ac:dyDescent="0.3">
      <c r="A232" s="241" t="s">
        <v>198</v>
      </c>
      <c r="B232" s="243" t="s">
        <v>3282</v>
      </c>
      <c r="C232" s="243" t="s">
        <v>3282</v>
      </c>
      <c r="D232" s="243" t="s">
        <v>3282</v>
      </c>
      <c r="E232" s="243" t="s">
        <v>3282</v>
      </c>
      <c r="F232" s="243" t="s">
        <v>3282</v>
      </c>
      <c r="G232" s="243" t="s">
        <v>3282</v>
      </c>
    </row>
    <row r="233" spans="1:7" hidden="1" outlineLevel="1" x14ac:dyDescent="0.3">
      <c r="B233" s="231"/>
      <c r="C233" s="146"/>
      <c r="D233" s="146"/>
      <c r="E233" s="239"/>
      <c r="F233" s="239"/>
      <c r="G233" s="239"/>
    </row>
    <row r="234" spans="1:7" hidden="1" outlineLevel="1" x14ac:dyDescent="0.3">
      <c r="A234" s="240" t="s">
        <v>3283</v>
      </c>
      <c r="B234" s="241"/>
      <c r="C234" s="241"/>
      <c r="D234" s="241"/>
      <c r="E234" s="241"/>
      <c r="F234" s="241"/>
      <c r="G234" s="241"/>
    </row>
    <row r="235" spans="1:7" hidden="1" outlineLevel="1" x14ac:dyDescent="0.3">
      <c r="A235" s="244"/>
      <c r="B235" s="245">
        <v>2021</v>
      </c>
      <c r="C235" s="246">
        <f>+B235+1</f>
        <v>2022</v>
      </c>
      <c r="D235" s="246">
        <f>+C235+1</f>
        <v>2023</v>
      </c>
      <c r="E235" s="246">
        <f>+D235+1</f>
        <v>2024</v>
      </c>
      <c r="F235" s="246">
        <f>+E235+1</f>
        <v>2025</v>
      </c>
      <c r="G235" s="662"/>
    </row>
    <row r="236" spans="1:7" hidden="1" outlineLevel="1" x14ac:dyDescent="0.3">
      <c r="A236" s="241" t="s">
        <v>284</v>
      </c>
      <c r="B236" s="247" t="str" cm="1">
        <f t="array" ref="B236">IFERROR(_xll.FDS("FTR-US","FE_ESTIMATE(Sales,MEDIAN,ANNUAL,"&amp;B$235&amp;",NOW,,,'')"),"")</f>
        <v/>
      </c>
      <c r="C236" s="247" t="str" cm="1">
        <f t="array" ref="C236">IFERROR(_xll.FDS("FTR-US","FE_ESTIMATE(Sales,MEDIAN,ANNUAL,"&amp;C$235&amp;",NOW,,,'')"),"")</f>
        <v/>
      </c>
      <c r="D236" s="247" t="str" cm="1">
        <f t="array" ref="D236">IFERROR(_xll.FDS("FTR-US","FE_ESTIMATE(Sales,MEDIAN,ANNUAL,"&amp;D$235&amp;",NOW,,,'')"),"")</f>
        <v/>
      </c>
      <c r="E236" s="247" t="str" cm="1">
        <f t="array" ref="E236">IFERROR(_xll.FDS("FTR-US","FE_ESTIMATE(Sales,MEDIAN,ANNUAL,"&amp;E$235&amp;",NOW,,,'')"),"")</f>
        <v/>
      </c>
      <c r="F236" s="247" t="str" cm="1">
        <f t="array" ref="F236">IFERROR(_xll.FDS("FTR-US","FE_ESTIMATE(Sales,MEDIAN,ANNUAL,"&amp;F$235&amp;",NOW,,,'')"),"")</f>
        <v/>
      </c>
      <c r="G236" s="247"/>
    </row>
    <row r="237" spans="1:7" hidden="1" outlineLevel="1" x14ac:dyDescent="0.3">
      <c r="A237" s="241" t="s">
        <v>44</v>
      </c>
      <c r="B237" s="247" t="str" cm="1">
        <f t="array" ref="B237">IFERROR(_xll.FDS("FTR-US","FE_ESTIMATE(EBITDA,MEDIAN,ANNUAL,"&amp;B$235&amp;",NOW,,,'')"),"")</f>
        <v/>
      </c>
      <c r="C237" s="247" t="str" cm="1">
        <f t="array" ref="C237">IFERROR(_xll.FDS("FTR-US","FE_ESTIMATE(EBITDA,MEDIAN,ANNUAL,"&amp;C$235&amp;",NOW,,,'')"),"")</f>
        <v/>
      </c>
      <c r="D237" s="247" t="str" cm="1">
        <f t="array" ref="D237">IFERROR(_xll.FDS("FTR-US","FE_ESTIMATE(EBITDA,MEDIAN,ANNUAL,"&amp;D$235&amp;",NOW,,,'')"),"")</f>
        <v/>
      </c>
      <c r="E237" s="247" t="str" cm="1">
        <f t="array" ref="E237">IFERROR(_xll.FDS("FTR-US","FE_ESTIMATE(EBITDA,MEDIAN,ANNUAL,"&amp;E$235&amp;",NOW,,,'')"),"")</f>
        <v/>
      </c>
      <c r="F237" s="247" t="str" cm="1">
        <f t="array" ref="F237">IFERROR(_xll.FDS("FTR-US","FE_ESTIMATE(EBITDA,MEDIAN,ANNUAL,"&amp;F$235&amp;",NOW,,,'')"),"")</f>
        <v/>
      </c>
      <c r="G237" s="247"/>
    </row>
    <row r="238" spans="1:7" hidden="1" outlineLevel="1" x14ac:dyDescent="0.3">
      <c r="A238" s="241" t="s">
        <v>198</v>
      </c>
      <c r="B238" s="248" t="str" cm="1">
        <f t="array" ref="B238">IFERROR(_xll.FDS("FTR-US","FE_ESTIMATE(Capex,MEDIAN,ANNUAL,"&amp;B$235&amp;",NOW,,,'')"),"")</f>
        <v/>
      </c>
      <c r="C238" s="248" t="str" cm="1">
        <f t="array" ref="C238">IFERROR(_xll.FDS("FTR-US","FE_ESTIMATE(Capex,MEDIAN,ANNUAL,"&amp;C$235&amp;",NOW,,,'')"),"")</f>
        <v/>
      </c>
      <c r="D238" s="248" t="str" cm="1">
        <f t="array" ref="D238">IFERROR(_xll.FDS("FTR-US","FE_ESTIMATE(Capex,MEDIAN,ANNUAL,"&amp;D$235&amp;",NOW,,,'')"),"")</f>
        <v/>
      </c>
      <c r="E238" s="248" t="str" cm="1">
        <f t="array" ref="E238">IFERROR(_xll.FDS("FTR-US","FE_ESTIMATE(Capex,MEDIAN,ANNUAL,"&amp;E$235&amp;",NOW,,,'')"),"")</f>
        <v/>
      </c>
      <c r="F238" s="248" t="str" cm="1">
        <f t="array" ref="F238">IFERROR(_xll.FDS("FTR-US","FE_ESTIMATE(Capex,MEDIAN,ANNUAL,"&amp;F$235&amp;",NOW,,,'')"),"")</f>
        <v/>
      </c>
      <c r="G238" s="248"/>
    </row>
    <row r="239" spans="1:7" hidden="1" outlineLevel="1" x14ac:dyDescent="0.3">
      <c r="A239" s="663"/>
      <c r="B239" s="664"/>
      <c r="C239" s="664"/>
      <c r="D239" s="664"/>
      <c r="E239" s="664"/>
      <c r="F239" s="664"/>
      <c r="G239" s="248"/>
    </row>
    <row r="240" spans="1:7" collapsed="1" x14ac:dyDescent="0.3"/>
    <row r="241" spans="1:3" x14ac:dyDescent="0.3">
      <c r="A241" s="114"/>
      <c r="B241" s="114"/>
      <c r="C241" s="114"/>
    </row>
    <row r="242" spans="1:3" x14ac:dyDescent="0.3">
      <c r="A242" s="114"/>
      <c r="B242" s="114"/>
      <c r="C242" s="114"/>
    </row>
    <row r="243" spans="1:3" x14ac:dyDescent="0.3">
      <c r="A243" s="144"/>
      <c r="B243" s="820" t="s">
        <v>1707</v>
      </c>
      <c r="C243" s="820" t="s">
        <v>1713</v>
      </c>
    </row>
    <row r="244" spans="1:3" x14ac:dyDescent="0.3">
      <c r="A244" s="725" t="s">
        <v>1258</v>
      </c>
      <c r="B244" s="999">
        <f>Drivers!EU90</f>
        <v>7201</v>
      </c>
      <c r="C244" s="999">
        <v>10000</v>
      </c>
    </row>
    <row r="245" spans="1:3" x14ac:dyDescent="0.3">
      <c r="A245" s="995" t="s">
        <v>1259</v>
      </c>
      <c r="B245" s="1157">
        <v>3300</v>
      </c>
      <c r="C245" s="873">
        <f>B245</f>
        <v>3300</v>
      </c>
    </row>
    <row r="246" spans="1:3" x14ac:dyDescent="0.3">
      <c r="A246" s="998" t="s">
        <v>1260</v>
      </c>
      <c r="B246" s="999">
        <f>B244*B245/1000</f>
        <v>23763.3</v>
      </c>
      <c r="C246" s="999">
        <f>C244*C245/1000</f>
        <v>33000</v>
      </c>
    </row>
    <row r="247" spans="1:3" x14ac:dyDescent="0.3">
      <c r="A247" s="994" t="s">
        <v>1261</v>
      </c>
      <c r="B247" s="999"/>
      <c r="C247" s="999"/>
    </row>
    <row r="248" spans="1:3" x14ac:dyDescent="0.3">
      <c r="A248" s="998"/>
      <c r="B248" s="999"/>
      <c r="C248" s="999"/>
    </row>
    <row r="249" spans="1:3" x14ac:dyDescent="0.3">
      <c r="A249" s="725" t="s">
        <v>1262</v>
      </c>
      <c r="B249" s="999">
        <f>Drivers!EU94</f>
        <v>8199</v>
      </c>
      <c r="C249" s="999">
        <f>B249+B244-C244</f>
        <v>5400</v>
      </c>
    </row>
    <row r="250" spans="1:3" x14ac:dyDescent="0.3">
      <c r="A250" s="995" t="s">
        <v>1259</v>
      </c>
      <c r="B250" s="873">
        <v>250</v>
      </c>
      <c r="C250" s="873">
        <f>B250</f>
        <v>250</v>
      </c>
    </row>
    <row r="251" spans="1:3" x14ac:dyDescent="0.3">
      <c r="A251" s="998" t="s">
        <v>1263</v>
      </c>
      <c r="B251" s="999">
        <f>B249*B250/1000</f>
        <v>2049.75</v>
      </c>
      <c r="C251" s="999">
        <f>C249*C250/1000</f>
        <v>1350</v>
      </c>
    </row>
    <row r="252" spans="1:3" x14ac:dyDescent="0.3">
      <c r="A252" s="994" t="s">
        <v>1261</v>
      </c>
      <c r="B252" s="999"/>
      <c r="C252" s="999"/>
    </row>
    <row r="253" spans="1:3" x14ac:dyDescent="0.3">
      <c r="A253" s="994"/>
      <c r="B253" s="999"/>
      <c r="C253" s="999"/>
    </row>
    <row r="254" spans="1:3" x14ac:dyDescent="0.3">
      <c r="A254" s="995" t="s">
        <v>1264</v>
      </c>
      <c r="B254" s="999">
        <f>B246</f>
        <v>23763.3</v>
      </c>
      <c r="C254" s="999">
        <f>C246</f>
        <v>33000</v>
      </c>
    </row>
    <row r="255" spans="1:3" x14ac:dyDescent="0.3">
      <c r="A255" s="995" t="s">
        <v>1265</v>
      </c>
      <c r="B255" s="873">
        <f>B251</f>
        <v>2049.75</v>
      </c>
      <c r="C255" s="873">
        <f>C251</f>
        <v>1350</v>
      </c>
    </row>
    <row r="256" spans="1:3" x14ac:dyDescent="0.3">
      <c r="A256" s="998" t="s">
        <v>1266</v>
      </c>
      <c r="B256" s="999">
        <f>SUM(B254:B255)</f>
        <v>25813.05</v>
      </c>
      <c r="C256" s="999">
        <f>SUM(C254:C255)</f>
        <v>34350</v>
      </c>
    </row>
    <row r="257" spans="1:3" x14ac:dyDescent="0.3">
      <c r="A257" s="998"/>
      <c r="B257" s="999"/>
      <c r="C257" s="999"/>
    </row>
    <row r="258" spans="1:3" x14ac:dyDescent="0.3">
      <c r="A258" s="995" t="s">
        <v>1267</v>
      </c>
      <c r="B258" s="999">
        <f>B9-B10</f>
        <v>10052</v>
      </c>
      <c r="C258" s="999">
        <f>B258</f>
        <v>10052</v>
      </c>
    </row>
    <row r="259" spans="1:3" x14ac:dyDescent="0.3">
      <c r="A259" s="995" t="s">
        <v>1268</v>
      </c>
      <c r="B259" s="144"/>
      <c r="C259" s="365">
        <f>-SUM('Model Main'!EX132:FD132)+'Model Main'!EU132+'Model Main'!ET132</f>
        <v>5883.161983190892</v>
      </c>
    </row>
    <row r="260" spans="1:3" x14ac:dyDescent="0.3">
      <c r="A260" s="998"/>
      <c r="B260" s="144"/>
      <c r="C260" s="144"/>
    </row>
    <row r="261" spans="1:3" x14ac:dyDescent="0.3">
      <c r="A261" s="998" t="s">
        <v>1269</v>
      </c>
      <c r="B261" s="387">
        <f>B256-B258-B259</f>
        <v>15761.05</v>
      </c>
      <c r="C261" s="387">
        <f>C256-C258-C259</f>
        <v>18414.83801680911</v>
      </c>
    </row>
    <row r="262" spans="1:3" x14ac:dyDescent="0.3">
      <c r="A262" s="998"/>
      <c r="B262" s="144"/>
      <c r="C262" s="144"/>
    </row>
    <row r="263" spans="1:3" x14ac:dyDescent="0.3">
      <c r="A263" s="995" t="s">
        <v>104</v>
      </c>
      <c r="B263" s="365">
        <f>$B$7</f>
        <v>260</v>
      </c>
      <c r="C263" s="365">
        <f>$B$7</f>
        <v>260</v>
      </c>
    </row>
    <row r="264" spans="1:3" ht="12.5" thickBot="1" x14ac:dyDescent="0.35">
      <c r="A264" s="998" t="s">
        <v>1270</v>
      </c>
      <c r="B264" s="1490">
        <f>B261/B263</f>
        <v>60.619423076923077</v>
      </c>
      <c r="C264" s="1490">
        <f>C261/C263</f>
        <v>70.826300064650425</v>
      </c>
    </row>
    <row r="265" spans="1:3" ht="12.5" thickTop="1" x14ac:dyDescent="0.3">
      <c r="A265" s="494"/>
      <c r="B265" s="494"/>
      <c r="C265" s="494"/>
    </row>
    <row r="267" spans="1:3" x14ac:dyDescent="0.3">
      <c r="B267" s="559">
        <f>B256/C107</f>
        <v>11.46737005775211</v>
      </c>
      <c r="C267" s="559">
        <f>C261/E107</f>
        <v>6.8788749806953833</v>
      </c>
    </row>
    <row r="269" spans="1:3" x14ac:dyDescent="0.3">
      <c r="B269" s="76"/>
      <c r="C269" s="76"/>
    </row>
    <row r="270" spans="1:3" ht="13" x14ac:dyDescent="0.3">
      <c r="A270" s="1242" t="s">
        <v>694</v>
      </c>
      <c r="B270" s="887">
        <f>B254</f>
        <v>23763.3</v>
      </c>
    </row>
    <row r="271" spans="1:3" ht="13" x14ac:dyDescent="0.3">
      <c r="A271" s="1242" t="s">
        <v>869</v>
      </c>
      <c r="B271" s="887">
        <f>B270</f>
        <v>23763.3</v>
      </c>
      <c r="C271" s="887">
        <f>B251</f>
        <v>2049.75</v>
      </c>
    </row>
    <row r="272" spans="1:3" ht="13" x14ac:dyDescent="0.3">
      <c r="A272" s="1242" t="s">
        <v>1110</v>
      </c>
      <c r="B272" s="887">
        <f>B271+C271</f>
        <v>25813.05</v>
      </c>
    </row>
    <row r="273" spans="1:3" ht="13" x14ac:dyDescent="0.3">
      <c r="A273" s="1242" t="s">
        <v>866</v>
      </c>
      <c r="B273" s="887">
        <f>B272-C273</f>
        <v>15761.05</v>
      </c>
      <c r="C273" s="887">
        <f>B258</f>
        <v>10052</v>
      </c>
    </row>
    <row r="274" spans="1:3" ht="13" x14ac:dyDescent="0.3">
      <c r="A274" s="1242" t="s">
        <v>754</v>
      </c>
      <c r="B274" s="887">
        <f>B273</f>
        <v>15761.05</v>
      </c>
    </row>
    <row r="278" spans="1:3" ht="13" x14ac:dyDescent="0.3">
      <c r="A278" s="1242" t="s">
        <v>694</v>
      </c>
      <c r="B278" s="887">
        <f>C254</f>
        <v>33000</v>
      </c>
    </row>
    <row r="279" spans="1:3" ht="13" x14ac:dyDescent="0.3">
      <c r="A279" s="1242" t="s">
        <v>869</v>
      </c>
      <c r="B279" s="887">
        <f>B278</f>
        <v>33000</v>
      </c>
      <c r="C279" s="887">
        <f>C255</f>
        <v>1350</v>
      </c>
    </row>
    <row r="280" spans="1:3" ht="13" x14ac:dyDescent="0.3">
      <c r="A280" s="1242" t="s">
        <v>1110</v>
      </c>
      <c r="B280" s="887">
        <f>B279+C279</f>
        <v>34350</v>
      </c>
    </row>
    <row r="281" spans="1:3" ht="13" x14ac:dyDescent="0.3">
      <c r="A281" s="1242" t="s">
        <v>866</v>
      </c>
      <c r="B281" s="887">
        <f>B280-C281</f>
        <v>24298</v>
      </c>
      <c r="C281" s="887">
        <f>C258</f>
        <v>10052</v>
      </c>
    </row>
    <row r="282" spans="1:3" ht="13" x14ac:dyDescent="0.3">
      <c r="A282" s="1242" t="s">
        <v>1111</v>
      </c>
      <c r="B282" s="887">
        <f>B281-C282</f>
        <v>18414.83801680911</v>
      </c>
      <c r="C282" s="76">
        <f>C259</f>
        <v>5883.161983190892</v>
      </c>
    </row>
    <row r="283" spans="1:3" ht="13" x14ac:dyDescent="0.3">
      <c r="A283" s="1242" t="s">
        <v>754</v>
      </c>
      <c r="B283" s="887">
        <f>B282</f>
        <v>18414.83801680911</v>
      </c>
    </row>
  </sheetData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4BA17-64B7-4461-8EA5-A79ECC4AC1A4}">
  <sheetPr>
    <tabColor rgb="FF0000FF"/>
  </sheetPr>
  <dimension ref="A1:X196"/>
  <sheetViews>
    <sheetView showGridLines="0" workbookViewId="0">
      <selection activeCell="F11" sqref="F11"/>
    </sheetView>
  </sheetViews>
  <sheetFormatPr defaultRowHeight="12" outlineLevelRow="1" x14ac:dyDescent="0.3"/>
  <cols>
    <col min="1" max="1" width="32.44140625" customWidth="1"/>
    <col min="2" max="2" width="10.77734375" customWidth="1"/>
    <col min="3" max="3" width="19.77734375" customWidth="1"/>
    <col min="4" max="4" width="12" customWidth="1"/>
    <col min="5" max="5" width="10.33203125" customWidth="1"/>
    <col min="6" max="7" width="8" customWidth="1"/>
    <col min="8" max="8" width="10.21875" customWidth="1"/>
    <col min="9" max="10" width="7.77734375" customWidth="1"/>
  </cols>
  <sheetData>
    <row r="1" spans="1:24" ht="21.5" thickBot="1" x14ac:dyDescent="0.55000000000000004">
      <c r="A1" s="38" t="s">
        <v>13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</row>
    <row r="2" spans="1:24" x14ac:dyDescent="0.3">
      <c r="A2" s="39" t="s">
        <v>3284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</row>
    <row r="3" spans="1:24" x14ac:dyDescent="0.3">
      <c r="A3" s="40" t="s">
        <v>15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5" spans="1:24" x14ac:dyDescent="0.3">
      <c r="A5" s="1125" t="s">
        <v>3285</v>
      </c>
      <c r="B5" s="1125"/>
      <c r="C5" s="1125"/>
      <c r="D5" s="1125"/>
      <c r="E5" s="1125"/>
      <c r="F5" s="644"/>
      <c r="G5" s="644"/>
      <c r="H5" s="644"/>
      <c r="I5" s="644"/>
      <c r="J5" s="644"/>
      <c r="K5" s="644"/>
      <c r="L5" s="644"/>
      <c r="M5" s="644"/>
      <c r="N5" s="644"/>
      <c r="O5" s="644"/>
      <c r="P5" s="644"/>
      <c r="Q5" s="644"/>
      <c r="R5" s="644"/>
      <c r="S5" s="644"/>
      <c r="T5" s="644"/>
      <c r="U5" s="644"/>
      <c r="V5" s="644"/>
      <c r="W5" s="644"/>
      <c r="X5" s="644"/>
    </row>
    <row r="6" spans="1:24" x14ac:dyDescent="0.3">
      <c r="A6" s="144"/>
      <c r="B6" s="144"/>
      <c r="C6" s="144"/>
      <c r="D6" s="144"/>
      <c r="E6" s="144"/>
    </row>
    <row r="7" spans="1:24" x14ac:dyDescent="0.3">
      <c r="A7" s="610"/>
      <c r="B7" s="611" t="s">
        <v>3284</v>
      </c>
      <c r="C7" s="704" t="s">
        <v>3286</v>
      </c>
      <c r="D7" s="704" t="s">
        <v>3287</v>
      </c>
      <c r="E7" s="704" t="s">
        <v>643</v>
      </c>
    </row>
    <row r="8" spans="1:24" x14ac:dyDescent="0.3">
      <c r="A8" s="144" t="s">
        <v>271</v>
      </c>
      <c r="B8" s="144" t="s">
        <v>3288</v>
      </c>
      <c r="C8" s="144">
        <v>2025</v>
      </c>
      <c r="D8" s="1130">
        <f>Drivers!FC90*1000</f>
        <v>9123000</v>
      </c>
      <c r="E8" s="1182">
        <f>D8-10000000</f>
        <v>-877000</v>
      </c>
    </row>
    <row r="9" spans="1:24" x14ac:dyDescent="0.3">
      <c r="A9" s="144" t="s">
        <v>3289</v>
      </c>
      <c r="B9" s="144" t="s">
        <v>3290</v>
      </c>
      <c r="C9" s="144">
        <v>2031</v>
      </c>
      <c r="D9" s="1131">
        <f>Drivers!FI171</f>
        <v>4737.987216078458</v>
      </c>
      <c r="E9" s="1180">
        <f>(D9-4500)</f>
        <v>237.987216078458</v>
      </c>
    </row>
    <row r="10" spans="1:24" x14ac:dyDescent="0.3">
      <c r="A10" s="144" t="s">
        <v>106</v>
      </c>
      <c r="B10" s="144" t="s">
        <v>3291</v>
      </c>
      <c r="C10" s="144">
        <v>2031</v>
      </c>
      <c r="D10" s="1132">
        <f>'Model Main'!FI48</f>
        <v>4001.9646887265144</v>
      </c>
      <c r="E10" s="1181">
        <f>D10-4000</f>
        <v>1.964688726514396</v>
      </c>
    </row>
    <row r="11" spans="1:24" x14ac:dyDescent="0.3">
      <c r="A11" s="144" t="s">
        <v>3292</v>
      </c>
      <c r="B11" s="144" t="s">
        <v>3293</v>
      </c>
      <c r="C11" s="144">
        <v>2031</v>
      </c>
      <c r="D11" s="1083">
        <f>'Model Main'!FI49</f>
        <v>0.5293695849010186</v>
      </c>
      <c r="E11" s="1083">
        <f>D11-0.46</f>
        <v>6.9369584901018577E-2</v>
      </c>
    </row>
    <row r="12" spans="1:24" x14ac:dyDescent="0.3">
      <c r="A12" s="494"/>
      <c r="B12" s="494"/>
      <c r="C12" s="494"/>
      <c r="D12" s="494"/>
      <c r="E12" s="494"/>
    </row>
    <row r="13" spans="1:24" x14ac:dyDescent="0.3">
      <c r="A13" s="144" t="s">
        <v>3294</v>
      </c>
      <c r="B13" s="144"/>
      <c r="C13" s="144"/>
      <c r="D13" s="144"/>
      <c r="E13" s="144"/>
    </row>
    <row r="18" spans="1:24" hidden="1" x14ac:dyDescent="0.3">
      <c r="A18" s="644" t="s">
        <v>1028</v>
      </c>
      <c r="B18" s="644"/>
      <c r="C18" s="644"/>
      <c r="D18" s="644"/>
      <c r="E18" s="644"/>
      <c r="F18" s="644"/>
      <c r="G18" s="644"/>
      <c r="H18" s="644"/>
      <c r="I18" s="644"/>
      <c r="J18" s="644"/>
      <c r="K18" s="644"/>
      <c r="L18" s="644"/>
      <c r="M18" s="644"/>
      <c r="N18" s="644"/>
      <c r="O18" s="644"/>
      <c r="P18" s="644"/>
      <c r="Q18" s="644"/>
      <c r="R18" s="644"/>
      <c r="S18" s="644"/>
      <c r="T18" s="644"/>
      <c r="U18" s="644"/>
      <c r="V18" s="644"/>
      <c r="W18" s="644"/>
      <c r="X18" s="644"/>
    </row>
    <row r="19" spans="1:24" hidden="1" x14ac:dyDescent="0.3"/>
    <row r="20" spans="1:24" hidden="1" x14ac:dyDescent="0.3"/>
    <row r="21" spans="1:24" hidden="1" x14ac:dyDescent="0.3"/>
    <row r="22" spans="1:24" hidden="1" x14ac:dyDescent="0.3">
      <c r="A22" s="818"/>
      <c r="B22" s="818">
        <v>2025</v>
      </c>
      <c r="C22" s="818">
        <f>B22</f>
        <v>2025</v>
      </c>
      <c r="D22" s="818">
        <f>C22</f>
        <v>2025</v>
      </c>
      <c r="E22" s="818">
        <f>B22</f>
        <v>2025</v>
      </c>
      <c r="F22" s="819"/>
      <c r="G22" s="819"/>
      <c r="H22" s="818">
        <f>E22</f>
        <v>2025</v>
      </c>
      <c r="I22" s="819"/>
      <c r="J22" s="819"/>
    </row>
    <row r="23" spans="1:24" hidden="1" x14ac:dyDescent="0.3">
      <c r="A23" s="618" t="s">
        <v>3295</v>
      </c>
      <c r="B23" s="820" t="s">
        <v>857</v>
      </c>
      <c r="C23" s="820" t="s">
        <v>858</v>
      </c>
      <c r="D23" s="820" t="s">
        <v>3296</v>
      </c>
      <c r="E23" s="820" t="s">
        <v>722</v>
      </c>
      <c r="F23" s="794" t="s">
        <v>3297</v>
      </c>
      <c r="G23" s="794" t="s">
        <v>1257</v>
      </c>
      <c r="H23" s="820" t="s">
        <v>726</v>
      </c>
      <c r="I23" s="794" t="s">
        <v>3297</v>
      </c>
      <c r="J23" s="794" t="s">
        <v>1257</v>
      </c>
    </row>
    <row r="24" spans="1:24" hidden="1" x14ac:dyDescent="0.3">
      <c r="A24" s="144" t="s">
        <v>44</v>
      </c>
      <c r="B24" s="95">
        <v>2220</v>
      </c>
      <c r="C24" s="95">
        <v>2250</v>
      </c>
      <c r="D24" s="475">
        <f>+AVERAGE(B24:C24)</f>
        <v>2235</v>
      </c>
      <c r="E24" s="79">
        <f>+Output!$FC$103</f>
        <v>2416.4545969116944</v>
      </c>
      <c r="F24" s="1085">
        <f>E24-D24</f>
        <v>181.45459691169435</v>
      </c>
      <c r="G24" s="800">
        <f>E24/D24-1</f>
        <v>8.1187739110377688E-2</v>
      </c>
      <c r="H24" s="79" t="e">
        <f>#REF!</f>
        <v>#REF!</v>
      </c>
      <c r="I24" s="1085" t="e">
        <f>H24-D24</f>
        <v>#REF!</v>
      </c>
      <c r="J24" s="800" t="e">
        <f>H24/D24-1</f>
        <v>#REF!</v>
      </c>
      <c r="K24" s="76"/>
    </row>
    <row r="25" spans="1:24" hidden="1" x14ac:dyDescent="0.3">
      <c r="A25" s="144" t="s">
        <v>198</v>
      </c>
      <c r="B25" s="95">
        <v>3000</v>
      </c>
      <c r="C25" s="95">
        <v>3200</v>
      </c>
      <c r="D25" s="475">
        <f>+AVERAGE(B25:C25)</f>
        <v>3100</v>
      </c>
      <c r="E25" s="79">
        <f>Drivers!FC580</f>
        <v>3194.4479521510066</v>
      </c>
      <c r="F25" s="1085">
        <f>E25-D25</f>
        <v>94.447952151006575</v>
      </c>
      <c r="G25" s="800">
        <f>E25/D25-1</f>
        <v>3.0467081339034419E-2</v>
      </c>
      <c r="H25" s="79" t="e">
        <f>#REF!</f>
        <v>#REF!</v>
      </c>
      <c r="I25" s="1085" t="e">
        <f>H25-D25</f>
        <v>#REF!</v>
      </c>
      <c r="J25" s="800" t="e">
        <f>H25/D25-1</f>
        <v>#REF!</v>
      </c>
      <c r="K25" s="890"/>
    </row>
    <row r="26" spans="1:24" hidden="1" x14ac:dyDescent="0.3">
      <c r="A26" s="144" t="s">
        <v>3061</v>
      </c>
      <c r="B26" s="95">
        <v>1300</v>
      </c>
      <c r="C26" s="95">
        <v>1300</v>
      </c>
      <c r="D26" s="475">
        <f>+AVERAGE(B26:C26)</f>
        <v>1300</v>
      </c>
      <c r="E26" s="79">
        <f>Drivers!$FC$87</f>
        <v>1300</v>
      </c>
      <c r="F26" s="1085">
        <f>E26-D26</f>
        <v>0</v>
      </c>
      <c r="G26" s="800">
        <f>E26/D26-1</f>
        <v>0</v>
      </c>
      <c r="H26" s="79" t="e">
        <f>#REF!</f>
        <v>#REF!</v>
      </c>
      <c r="I26" s="1085" t="e">
        <f>H26-D26</f>
        <v>#REF!</v>
      </c>
      <c r="J26" s="800" t="e">
        <f>H26/D26-1</f>
        <v>#REF!</v>
      </c>
    </row>
    <row r="27" spans="1:24" hidden="1" outlineLevel="1" x14ac:dyDescent="0.3">
      <c r="A27" s="144" t="s">
        <v>3298</v>
      </c>
      <c r="B27" s="469">
        <v>550</v>
      </c>
      <c r="C27" s="469">
        <v>550</v>
      </c>
      <c r="D27" s="848">
        <v>550</v>
      </c>
      <c r="E27" s="750">
        <f>Drivers!$EX455</f>
        <v>3394.75</v>
      </c>
      <c r="F27" s="1085">
        <f>E27-D27</f>
        <v>2844.75</v>
      </c>
      <c r="G27" s="800">
        <f>E27/D27-1</f>
        <v>5.1722727272727269</v>
      </c>
      <c r="H27" s="750">
        <f>Drivers!$EN455</f>
        <v>3409.625</v>
      </c>
      <c r="I27" s="1085">
        <f>H27-G27</f>
        <v>3404.4527272727273</v>
      </c>
      <c r="J27" s="800">
        <f>H27/G27-1</f>
        <v>658.21214517971703</v>
      </c>
    </row>
    <row r="28" spans="1:24" hidden="1" collapsed="1" x14ac:dyDescent="0.3">
      <c r="A28" s="494"/>
      <c r="B28" s="144"/>
      <c r="C28" s="144"/>
      <c r="D28" s="95"/>
      <c r="E28" s="821"/>
      <c r="F28" s="821"/>
      <c r="G28" s="821"/>
      <c r="H28" s="821"/>
      <c r="I28" s="821"/>
      <c r="J28" s="821"/>
    </row>
    <row r="29" spans="1:24" hidden="1" x14ac:dyDescent="0.3">
      <c r="A29" s="144" t="s">
        <v>3299</v>
      </c>
      <c r="B29" s="849">
        <v>760</v>
      </c>
      <c r="C29" s="849">
        <v>760</v>
      </c>
      <c r="D29" s="850">
        <f>+AVERAGE(B29:C29)</f>
        <v>760</v>
      </c>
      <c r="E29" s="79">
        <f>'Model Main'!FC213</f>
        <v>903.71337880249621</v>
      </c>
      <c r="F29" s="1085">
        <f>E29-D29</f>
        <v>143.71337880249621</v>
      </c>
      <c r="G29" s="800">
        <f>E29/D29-1</f>
        <v>0.18909655105591616</v>
      </c>
      <c r="H29" s="79"/>
      <c r="I29" s="1085"/>
      <c r="J29" s="800"/>
    </row>
    <row r="30" spans="1:24" hidden="1" x14ac:dyDescent="0.3">
      <c r="A30" s="144" t="s">
        <v>551</v>
      </c>
      <c r="B30" s="95">
        <v>10</v>
      </c>
      <c r="C30" s="95">
        <v>10</v>
      </c>
      <c r="D30" s="475">
        <f>+AVERAGE(B30:C30)</f>
        <v>10</v>
      </c>
      <c r="E30" s="79">
        <f>+'Model Main'!$FC$166</f>
        <v>20</v>
      </c>
      <c r="F30" s="1085">
        <f>E30-D30</f>
        <v>10</v>
      </c>
      <c r="G30" s="800">
        <f>E30/D30-1</f>
        <v>1</v>
      </c>
      <c r="H30" s="79"/>
      <c r="I30" s="1085"/>
      <c r="J30" s="800"/>
    </row>
    <row r="31" spans="1:24" hidden="1" x14ac:dyDescent="0.3">
      <c r="A31" s="144" t="s">
        <v>3300</v>
      </c>
      <c r="B31" s="95">
        <v>40</v>
      </c>
      <c r="C31" s="95">
        <v>40</v>
      </c>
      <c r="D31" s="475">
        <f>+AVERAGE(B31:C31)</f>
        <v>40</v>
      </c>
      <c r="E31" s="79">
        <f>'Model Main'!FC67</f>
        <v>40</v>
      </c>
      <c r="F31" s="1085">
        <f>E31-D31</f>
        <v>0</v>
      </c>
      <c r="G31" s="800">
        <f>E31/D31-1</f>
        <v>0</v>
      </c>
      <c r="H31" s="79"/>
      <c r="I31" s="1085"/>
      <c r="J31" s="800"/>
    </row>
    <row r="32" spans="1:24" hidden="1" x14ac:dyDescent="0.3">
      <c r="A32" s="144" t="s">
        <v>3301</v>
      </c>
      <c r="B32" s="95">
        <v>125</v>
      </c>
      <c r="C32" s="95">
        <v>125</v>
      </c>
      <c r="D32" s="475">
        <f>+AVERAGE(B32:C32)</f>
        <v>125</v>
      </c>
      <c r="E32" s="95">
        <v>125</v>
      </c>
      <c r="F32" s="1085">
        <f>E32-D32</f>
        <v>0</v>
      </c>
      <c r="G32" s="800">
        <f>E32/D32-1</f>
        <v>0</v>
      </c>
      <c r="H32" s="79"/>
      <c r="I32" s="1085"/>
      <c r="J32" s="800"/>
    </row>
    <row r="33" spans="1:24" hidden="1" x14ac:dyDescent="0.3">
      <c r="A33" s="144" t="s">
        <v>3302</v>
      </c>
      <c r="B33" s="365">
        <f>B24-SUM(C25,B29:B32)</f>
        <v>-1915</v>
      </c>
      <c r="C33" s="365">
        <f>C24-SUM(B25,C29:C32)</f>
        <v>-1685</v>
      </c>
      <c r="D33" s="475">
        <f>+AVERAGE(B33:C33)</f>
        <v>-1800</v>
      </c>
      <c r="E33" s="79">
        <f>'Model Main'!$FC$132</f>
        <v>-1838.2067340418082</v>
      </c>
      <c r="F33" s="1085">
        <f>E33-D33</f>
        <v>-38.206734041808204</v>
      </c>
      <c r="G33" s="800">
        <f>E33/D33-1</f>
        <v>2.1225963356560129E-2</v>
      </c>
      <c r="H33" s="79"/>
      <c r="I33" s="1085"/>
      <c r="J33" s="800"/>
    </row>
    <row r="34" spans="1:24" hidden="1" x14ac:dyDescent="0.3">
      <c r="A34" s="494"/>
      <c r="B34" s="494"/>
      <c r="C34" s="494"/>
      <c r="D34" s="494"/>
      <c r="E34" s="494"/>
      <c r="F34" s="494"/>
      <c r="G34" s="494"/>
      <c r="H34" s="494"/>
      <c r="I34" s="494"/>
      <c r="J34" s="494"/>
    </row>
    <row r="35" spans="1:24" hidden="1" x14ac:dyDescent="0.3">
      <c r="A35" s="610"/>
      <c r="B35" s="610"/>
      <c r="C35" s="610"/>
      <c r="D35" s="610"/>
      <c r="E35" s="610"/>
      <c r="F35" s="1271"/>
      <c r="G35" s="610"/>
      <c r="H35" s="610"/>
      <c r="I35" s="610"/>
      <c r="J35" s="610"/>
    </row>
    <row r="36" spans="1:24" hidden="1" x14ac:dyDescent="0.3">
      <c r="A36" s="144"/>
      <c r="B36" s="144"/>
      <c r="C36" s="144"/>
      <c r="D36" s="144"/>
      <c r="E36" s="835"/>
      <c r="F36" s="877"/>
      <c r="G36" s="144"/>
      <c r="H36" s="144"/>
      <c r="I36" s="144"/>
      <c r="J36" s="144"/>
    </row>
    <row r="37" spans="1:24" hidden="1" x14ac:dyDescent="0.3">
      <c r="A37" s="618" t="s">
        <v>3303</v>
      </c>
      <c r="B37" s="618"/>
      <c r="C37" s="1272" t="s">
        <v>3304</v>
      </c>
      <c r="D37" s="1272" t="s">
        <v>3305</v>
      </c>
      <c r="E37" s="820" t="s">
        <v>722</v>
      </c>
      <c r="F37" s="880"/>
      <c r="G37" s="494"/>
      <c r="H37" s="494"/>
      <c r="I37" s="494"/>
      <c r="J37" s="494"/>
    </row>
    <row r="38" spans="1:24" hidden="1" x14ac:dyDescent="0.3">
      <c r="A38" s="144" t="s">
        <v>3306</v>
      </c>
      <c r="B38" s="999"/>
      <c r="C38" s="1275" t="s">
        <v>3307</v>
      </c>
      <c r="D38" s="1276" t="s">
        <v>3308</v>
      </c>
      <c r="E38" s="999">
        <f>Drivers!EX143</f>
        <v>1.8279432442796881E-2</v>
      </c>
      <c r="F38" s="877"/>
      <c r="G38" s="144"/>
      <c r="H38" s="144"/>
      <c r="I38" s="144"/>
      <c r="J38" s="144"/>
    </row>
    <row r="39" spans="1:24" hidden="1" x14ac:dyDescent="0.3">
      <c r="A39" s="144" t="s">
        <v>3309</v>
      </c>
      <c r="B39" s="999"/>
      <c r="C39" s="1275" t="s">
        <v>3310</v>
      </c>
      <c r="D39" s="1735">
        <v>3.5000000000000003E-2</v>
      </c>
      <c r="E39" s="1083">
        <f>Drivers!EW157</f>
        <v>822.08899999999994</v>
      </c>
      <c r="F39" s="877"/>
      <c r="G39" s="144"/>
      <c r="H39" s="144"/>
      <c r="I39" s="144"/>
      <c r="J39" s="144"/>
    </row>
    <row r="40" spans="1:24" hidden="1" x14ac:dyDescent="0.3">
      <c r="A40" s="144" t="s">
        <v>3311</v>
      </c>
      <c r="B40" s="999"/>
      <c r="C40" s="1474" t="s">
        <v>3312</v>
      </c>
      <c r="D40" s="1474" t="s">
        <v>3312</v>
      </c>
      <c r="E40" s="1083">
        <f>Drivers!EX157</f>
        <v>822.08899999999994</v>
      </c>
      <c r="F40" s="877"/>
      <c r="G40" s="144"/>
      <c r="H40" s="144"/>
      <c r="I40" s="144"/>
      <c r="J40" s="144"/>
    </row>
    <row r="41" spans="1:24" hidden="1" x14ac:dyDescent="0.3">
      <c r="A41" s="144" t="s">
        <v>3313</v>
      </c>
      <c r="B41" s="999"/>
      <c r="C41" s="1275" t="s">
        <v>3314</v>
      </c>
      <c r="D41" s="1276" t="s">
        <v>3315</v>
      </c>
      <c r="E41" s="1083">
        <f>Drivers!EX184</f>
        <v>0</v>
      </c>
      <c r="F41" s="877"/>
      <c r="G41" s="144"/>
      <c r="H41" s="144"/>
      <c r="I41" s="144"/>
      <c r="J41" s="144"/>
    </row>
    <row r="42" spans="1:24" hidden="1" x14ac:dyDescent="0.3">
      <c r="A42" s="144" t="s">
        <v>3316</v>
      </c>
      <c r="B42" s="999"/>
      <c r="C42" s="1275" t="s">
        <v>3314</v>
      </c>
      <c r="D42" s="1276" t="s">
        <v>3317</v>
      </c>
      <c r="E42" s="1083">
        <f>Drivers!EX180</f>
        <v>2059.125</v>
      </c>
      <c r="F42" s="877"/>
      <c r="G42" s="144"/>
      <c r="H42" s="144"/>
      <c r="I42" s="144"/>
      <c r="J42" s="144"/>
    </row>
    <row r="43" spans="1:24" hidden="1" x14ac:dyDescent="0.3">
      <c r="A43" s="144" t="s">
        <v>3318</v>
      </c>
      <c r="B43" s="999"/>
      <c r="C43" s="1275" t="s">
        <v>3314</v>
      </c>
      <c r="D43" s="1276" t="s">
        <v>3319</v>
      </c>
      <c r="E43" s="1083">
        <f>Drivers!EX20</f>
        <v>3</v>
      </c>
      <c r="F43" s="877"/>
      <c r="G43" s="144"/>
      <c r="H43" s="144"/>
      <c r="I43" s="144"/>
      <c r="J43" s="144"/>
    </row>
    <row r="44" spans="1:24" hidden="1" x14ac:dyDescent="0.3">
      <c r="A44" s="144" t="s">
        <v>3320</v>
      </c>
      <c r="B44" s="999"/>
      <c r="C44" s="1275" t="s">
        <v>3321</v>
      </c>
      <c r="D44" s="1276" t="s">
        <v>3322</v>
      </c>
      <c r="E44" s="1083">
        <f>Drivers!EX21</f>
        <v>3686</v>
      </c>
      <c r="F44" s="877"/>
      <c r="G44" s="144"/>
      <c r="H44" s="144"/>
      <c r="I44" s="144"/>
      <c r="J44" s="144"/>
    </row>
    <row r="45" spans="1:24" hidden="1" x14ac:dyDescent="0.3">
      <c r="A45" s="144" t="s">
        <v>2980</v>
      </c>
      <c r="B45" s="999"/>
      <c r="C45" s="1275" t="s">
        <v>3323</v>
      </c>
      <c r="D45" s="1276" t="s">
        <v>3324</v>
      </c>
      <c r="E45" s="1083">
        <f>Drivers!EX6</f>
        <v>0</v>
      </c>
      <c r="F45" s="877"/>
      <c r="G45" s="144"/>
      <c r="H45" s="144"/>
      <c r="I45" s="144"/>
      <c r="J45" s="144"/>
    </row>
    <row r="46" spans="1:24" hidden="1" x14ac:dyDescent="0.3">
      <c r="A46" s="494"/>
      <c r="B46" s="494"/>
      <c r="C46" s="494"/>
      <c r="D46" s="494"/>
      <c r="E46" s="494"/>
      <c r="F46" s="880"/>
      <c r="G46" s="494"/>
      <c r="H46" s="494"/>
      <c r="I46" s="494"/>
      <c r="J46" s="494"/>
    </row>
    <row r="47" spans="1:24" hidden="1" x14ac:dyDescent="0.3">
      <c r="A47" s="144"/>
      <c r="B47" s="144"/>
      <c r="C47" s="144"/>
      <c r="D47" s="144"/>
      <c r="E47" s="144"/>
      <c r="F47" s="877"/>
      <c r="G47" s="144"/>
      <c r="H47" s="144"/>
      <c r="I47" s="144"/>
      <c r="J47" s="144"/>
    </row>
    <row r="48" spans="1:24" x14ac:dyDescent="0.3">
      <c r="A48" s="644" t="s">
        <v>886</v>
      </c>
      <c r="B48" s="644"/>
      <c r="C48" s="644"/>
      <c r="D48" s="644"/>
      <c r="E48" s="644"/>
      <c r="F48" s="644"/>
      <c r="G48" s="644"/>
      <c r="H48" s="644"/>
      <c r="I48" s="644"/>
      <c r="J48" s="644"/>
      <c r="K48" s="644"/>
      <c r="L48" s="644"/>
      <c r="M48" s="644"/>
      <c r="N48" s="644"/>
      <c r="O48" s="644"/>
      <c r="P48" s="644"/>
      <c r="Q48" s="644"/>
      <c r="R48" s="644"/>
      <c r="S48" s="644"/>
      <c r="T48" s="644"/>
      <c r="U48" s="644"/>
      <c r="V48" s="644"/>
      <c r="W48" s="644"/>
      <c r="X48" s="644"/>
    </row>
    <row r="52" spans="1:11" x14ac:dyDescent="0.3">
      <c r="A52" s="818"/>
      <c r="B52" s="818">
        <v>2024</v>
      </c>
      <c r="C52" s="818">
        <f>B52</f>
        <v>2024</v>
      </c>
      <c r="D52" s="818">
        <f>C52</f>
        <v>2024</v>
      </c>
      <c r="E52" s="818">
        <f>B52</f>
        <v>2024</v>
      </c>
      <c r="F52" s="819"/>
      <c r="G52" s="819"/>
      <c r="H52" s="818">
        <f>E52</f>
        <v>2024</v>
      </c>
      <c r="I52" s="819"/>
      <c r="J52" s="819"/>
    </row>
    <row r="53" spans="1:11" x14ac:dyDescent="0.3">
      <c r="A53" s="618" t="s">
        <v>3295</v>
      </c>
      <c r="B53" s="820" t="s">
        <v>857</v>
      </c>
      <c r="C53" s="820" t="s">
        <v>858</v>
      </c>
      <c r="D53" s="820" t="s">
        <v>3296</v>
      </c>
      <c r="E53" s="820" t="s">
        <v>722</v>
      </c>
      <c r="F53" s="794" t="s">
        <v>3297</v>
      </c>
      <c r="G53" s="794" t="s">
        <v>1257</v>
      </c>
      <c r="H53" s="820" t="s">
        <v>726</v>
      </c>
      <c r="I53" s="794" t="s">
        <v>3297</v>
      </c>
      <c r="J53" s="794" t="s">
        <v>1257</v>
      </c>
    </row>
    <row r="54" spans="1:11" x14ac:dyDescent="0.3">
      <c r="A54" s="144" t="s">
        <v>44</v>
      </c>
      <c r="B54" s="95">
        <v>2220</v>
      </c>
      <c r="C54" s="95">
        <v>2250</v>
      </c>
      <c r="D54" s="475">
        <f>+AVERAGE(B54:C54)</f>
        <v>2235</v>
      </c>
      <c r="E54" s="79">
        <f>+Output!$EX$103</f>
        <v>2251</v>
      </c>
      <c r="F54" s="1085">
        <f>E54-D54</f>
        <v>16</v>
      </c>
      <c r="G54" s="800">
        <f>E54/D54-1</f>
        <v>7.1588366890380506E-3</v>
      </c>
      <c r="H54" s="79" t="e">
        <f>#REF!</f>
        <v>#REF!</v>
      </c>
      <c r="I54" s="1085" t="e">
        <f>H54-D54</f>
        <v>#REF!</v>
      </c>
      <c r="J54" s="800" t="e">
        <f>H54/D54-1</f>
        <v>#REF!</v>
      </c>
      <c r="K54" s="76"/>
    </row>
    <row r="55" spans="1:11" x14ac:dyDescent="0.3">
      <c r="A55" s="144" t="s">
        <v>198</v>
      </c>
      <c r="B55" s="95">
        <v>3000</v>
      </c>
      <c r="C55" s="95">
        <v>3200</v>
      </c>
      <c r="D55" s="475">
        <f>+AVERAGE(B55:C55)</f>
        <v>3100</v>
      </c>
      <c r="E55" s="79">
        <f>Drivers!EX580</f>
        <v>3246</v>
      </c>
      <c r="F55" s="1085">
        <f>E55-D55</f>
        <v>146</v>
      </c>
      <c r="G55" s="800">
        <f>E55/D55-1</f>
        <v>4.7096774193548407E-2</v>
      </c>
      <c r="H55" s="79" t="e">
        <f>#REF!</f>
        <v>#REF!</v>
      </c>
      <c r="I55" s="1085" t="e">
        <f>H55-D55</f>
        <v>#REF!</v>
      </c>
      <c r="J55" s="800" t="e">
        <f>H55/D55-1</f>
        <v>#REF!</v>
      </c>
      <c r="K55" s="890"/>
    </row>
    <row r="56" spans="1:11" x14ac:dyDescent="0.3">
      <c r="A56" s="144" t="s">
        <v>3061</v>
      </c>
      <c r="B56" s="95">
        <v>1300</v>
      </c>
      <c r="C56" s="95">
        <v>1300</v>
      </c>
      <c r="D56" s="475">
        <f>+AVERAGE(B56:C56)</f>
        <v>1300</v>
      </c>
      <c r="E56" s="79">
        <f>Drivers!$EX$87</f>
        <v>1332</v>
      </c>
      <c r="F56" s="1085">
        <f>E56-D56</f>
        <v>32</v>
      </c>
      <c r="G56" s="800">
        <f>E56/D56-1</f>
        <v>2.4615384615384706E-2</v>
      </c>
      <c r="H56" s="79" t="e">
        <f>#REF!</f>
        <v>#REF!</v>
      </c>
      <c r="I56" s="1085" t="e">
        <f>H56-D56</f>
        <v>#REF!</v>
      </c>
      <c r="J56" s="800" t="e">
        <f>H56/D56-1</f>
        <v>#REF!</v>
      </c>
    </row>
    <row r="57" spans="1:11" hidden="1" outlineLevel="1" x14ac:dyDescent="0.3">
      <c r="A57" s="144" t="s">
        <v>3298</v>
      </c>
      <c r="B57" s="469">
        <v>550</v>
      </c>
      <c r="C57" s="469">
        <v>550</v>
      </c>
      <c r="D57" s="848">
        <v>550</v>
      </c>
      <c r="E57" s="750">
        <f>Drivers!$EX485</f>
        <v>93.945270415858658</v>
      </c>
      <c r="F57" s="1085">
        <f>E57-D57</f>
        <v>-456.05472958414134</v>
      </c>
      <c r="G57" s="800">
        <f>E57/D57-1</f>
        <v>-0.82919041742571153</v>
      </c>
      <c r="H57" s="750">
        <f>Drivers!$EN485</f>
        <v>84.656084656084644</v>
      </c>
      <c r="I57" s="1085">
        <f>H57-G57</f>
        <v>85.485275073510351</v>
      </c>
      <c r="J57" s="800">
        <f>H57/G57-1</f>
        <v>-103.09486612122977</v>
      </c>
    </row>
    <row r="58" spans="1:11" collapsed="1" x14ac:dyDescent="0.3">
      <c r="A58" s="494"/>
      <c r="B58" s="144"/>
      <c r="C58" s="144"/>
      <c r="D58" s="95"/>
      <c r="E58" s="821"/>
      <c r="F58" s="821"/>
      <c r="G58" s="821"/>
      <c r="H58" s="821"/>
      <c r="I58" s="821"/>
      <c r="J58" s="821"/>
    </row>
    <row r="59" spans="1:11" x14ac:dyDescent="0.3">
      <c r="A59" s="144" t="s">
        <v>3299</v>
      </c>
      <c r="B59" s="849">
        <v>760</v>
      </c>
      <c r="C59" s="849">
        <v>760</v>
      </c>
      <c r="D59" s="850">
        <f>+AVERAGE(B59:C59)</f>
        <v>760</v>
      </c>
      <c r="E59" s="79">
        <f>'Model Main'!EX213</f>
        <v>835</v>
      </c>
      <c r="F59" s="1085">
        <f>E59-D59</f>
        <v>75</v>
      </c>
      <c r="G59" s="800">
        <f>E59/D59-1</f>
        <v>9.8684210526315708E-2</v>
      </c>
      <c r="H59" s="79"/>
      <c r="I59" s="1085"/>
      <c r="J59" s="800"/>
    </row>
    <row r="60" spans="1:11" x14ac:dyDescent="0.3">
      <c r="A60" s="144" t="s">
        <v>551</v>
      </c>
      <c r="B60" s="95">
        <v>10</v>
      </c>
      <c r="C60" s="95">
        <v>10</v>
      </c>
      <c r="D60" s="475">
        <f>+AVERAGE(B60:C60)</f>
        <v>10</v>
      </c>
      <c r="E60" s="79">
        <f>+'Model Main'!$EX$166</f>
        <v>16</v>
      </c>
      <c r="F60" s="1085">
        <f>E60-D60</f>
        <v>6</v>
      </c>
      <c r="G60" s="800">
        <f>E60/D60-1</f>
        <v>0.60000000000000009</v>
      </c>
      <c r="H60" s="79"/>
      <c r="I60" s="1085"/>
      <c r="J60" s="800"/>
    </row>
    <row r="61" spans="1:11" x14ac:dyDescent="0.3">
      <c r="A61" s="144" t="s">
        <v>3300</v>
      </c>
      <c r="B61" s="95">
        <v>40</v>
      </c>
      <c r="C61" s="95">
        <v>40</v>
      </c>
      <c r="D61" s="475">
        <f>+AVERAGE(B61:C61)</f>
        <v>40</v>
      </c>
      <c r="E61" s="79">
        <f>'Model Main'!EX67</f>
        <v>40</v>
      </c>
      <c r="F61" s="1085">
        <f>E61-D61</f>
        <v>0</v>
      </c>
      <c r="G61" s="800">
        <f>E61/D61-1</f>
        <v>0</v>
      </c>
      <c r="H61" s="79"/>
      <c r="I61" s="1085"/>
      <c r="J61" s="800"/>
    </row>
    <row r="62" spans="1:11" x14ac:dyDescent="0.3">
      <c r="A62" s="144" t="s">
        <v>3301</v>
      </c>
      <c r="B62" s="95">
        <v>125</v>
      </c>
      <c r="C62" s="95">
        <v>125</v>
      </c>
      <c r="D62" s="475">
        <f>+AVERAGE(B62:C62)</f>
        <v>125</v>
      </c>
      <c r="E62" s="95">
        <v>125</v>
      </c>
      <c r="F62" s="1085">
        <f>E62-D62</f>
        <v>0</v>
      </c>
      <c r="G62" s="800">
        <f>E62/D62-1</f>
        <v>0</v>
      </c>
      <c r="H62" s="79"/>
      <c r="I62" s="1085"/>
      <c r="J62" s="800"/>
    </row>
    <row r="63" spans="1:11" x14ac:dyDescent="0.3">
      <c r="A63" s="144" t="s">
        <v>3302</v>
      </c>
      <c r="B63" s="365">
        <f>B54-SUM(C55,B59:B62)</f>
        <v>-1915</v>
      </c>
      <c r="C63" s="365">
        <f>C54-SUM(B55,C59:C62)</f>
        <v>-1685</v>
      </c>
      <c r="D63" s="475">
        <f>+AVERAGE(B63:C63)</f>
        <v>-1800</v>
      </c>
      <c r="E63" s="79">
        <f>'Model Main'!$EX$132</f>
        <v>-1651</v>
      </c>
      <c r="F63" s="1085">
        <f>E63-D63</f>
        <v>149</v>
      </c>
      <c r="G63" s="800">
        <f>E63/D63-1</f>
        <v>-8.2777777777777728E-2</v>
      </c>
      <c r="H63" s="79"/>
      <c r="I63" s="1085"/>
      <c r="J63" s="800"/>
    </row>
    <row r="64" spans="1:11" x14ac:dyDescent="0.3">
      <c r="A64" s="494"/>
      <c r="B64" s="494"/>
      <c r="C64" s="494"/>
      <c r="D64" s="494"/>
      <c r="E64" s="494"/>
      <c r="F64" s="494"/>
      <c r="G64" s="494"/>
      <c r="H64" s="494"/>
      <c r="I64" s="494"/>
      <c r="J64" s="494"/>
    </row>
    <row r="65" spans="1:24" x14ac:dyDescent="0.3">
      <c r="A65" s="610"/>
      <c r="B65" s="610"/>
      <c r="C65" s="610"/>
      <c r="D65" s="610"/>
      <c r="E65" s="610"/>
      <c r="F65" s="1271"/>
      <c r="G65" s="610"/>
      <c r="H65" s="610"/>
      <c r="I65" s="610"/>
      <c r="J65" s="610"/>
    </row>
    <row r="66" spans="1:24" x14ac:dyDescent="0.3">
      <c r="A66" s="144"/>
      <c r="B66" s="144"/>
      <c r="C66" s="144"/>
      <c r="D66" s="144"/>
      <c r="E66" s="835"/>
      <c r="F66" s="877"/>
      <c r="G66" s="144"/>
      <c r="H66" s="144"/>
      <c r="I66" s="144"/>
      <c r="J66" s="144"/>
    </row>
    <row r="67" spans="1:24" x14ac:dyDescent="0.3">
      <c r="A67" s="618" t="s">
        <v>3303</v>
      </c>
      <c r="B67" s="618"/>
      <c r="C67" s="1272" t="s">
        <v>3304</v>
      </c>
      <c r="D67" s="1272" t="s">
        <v>3305</v>
      </c>
      <c r="E67" s="820" t="s">
        <v>722</v>
      </c>
      <c r="F67" s="880"/>
      <c r="G67" s="494"/>
      <c r="H67" s="494"/>
      <c r="I67" s="494"/>
      <c r="J67" s="494"/>
    </row>
    <row r="68" spans="1:24" x14ac:dyDescent="0.3">
      <c r="A68" s="144" t="s">
        <v>3306</v>
      </c>
      <c r="B68" s="999"/>
      <c r="C68" s="1275" t="s">
        <v>3307</v>
      </c>
      <c r="D68" s="1276" t="s">
        <v>3308</v>
      </c>
      <c r="E68" s="999">
        <f>Drivers!EX173</f>
        <v>385</v>
      </c>
      <c r="F68" s="877"/>
      <c r="G68" s="144"/>
      <c r="H68" s="144"/>
      <c r="I68" s="144"/>
      <c r="J68" s="144"/>
    </row>
    <row r="69" spans="1:24" x14ac:dyDescent="0.3">
      <c r="A69" s="144" t="s">
        <v>3309</v>
      </c>
      <c r="B69" s="999"/>
      <c r="C69" s="1275" t="s">
        <v>3310</v>
      </c>
      <c r="D69" s="1735">
        <v>3.5000000000000003E-2</v>
      </c>
      <c r="E69" s="1083">
        <f>Drivers!EW187</f>
        <v>2.8366583541147294E-2</v>
      </c>
      <c r="F69" s="877"/>
      <c r="G69" s="144"/>
      <c r="H69" s="144"/>
      <c r="I69" s="144"/>
      <c r="J69" s="144"/>
    </row>
    <row r="70" spans="1:24" x14ac:dyDescent="0.3">
      <c r="A70" s="144" t="s">
        <v>3311</v>
      </c>
      <c r="B70" s="999"/>
      <c r="C70" s="1474" t="s">
        <v>3312</v>
      </c>
      <c r="D70" s="1474" t="s">
        <v>3312</v>
      </c>
      <c r="E70" s="1083">
        <f>Drivers!EX187</f>
        <v>3.3038818788472701E-2</v>
      </c>
      <c r="F70" s="877"/>
      <c r="G70" s="144"/>
      <c r="H70" s="144"/>
      <c r="I70" s="144"/>
      <c r="J70" s="144"/>
    </row>
    <row r="71" spans="1:24" x14ac:dyDescent="0.3">
      <c r="A71" s="144" t="s">
        <v>3313</v>
      </c>
      <c r="B71" s="999"/>
      <c r="C71" s="1275" t="s">
        <v>3314</v>
      </c>
      <c r="D71" s="1276" t="s">
        <v>3315</v>
      </c>
      <c r="E71" s="1083">
        <f>Drivers!EX214</f>
        <v>0.13513513513513509</v>
      </c>
      <c r="F71" s="877"/>
      <c r="G71" s="144"/>
      <c r="H71" s="144"/>
      <c r="I71" s="144"/>
      <c r="J71" s="144"/>
    </row>
    <row r="72" spans="1:24" x14ac:dyDescent="0.3">
      <c r="A72" s="144" t="s">
        <v>3316</v>
      </c>
      <c r="B72" s="999"/>
      <c r="C72" s="1275" t="s">
        <v>3314</v>
      </c>
      <c r="D72" s="1276" t="s">
        <v>3317</v>
      </c>
      <c r="E72" s="1083">
        <f>Drivers!EX210</f>
        <v>0.13294180459156424</v>
      </c>
      <c r="F72" s="877"/>
      <c r="G72" s="144"/>
      <c r="H72" s="144"/>
      <c r="I72" s="144"/>
      <c r="J72" s="144"/>
    </row>
    <row r="73" spans="1:24" x14ac:dyDescent="0.3">
      <c r="A73" s="144" t="s">
        <v>3318</v>
      </c>
      <c r="B73" s="999"/>
      <c r="C73" s="1275" t="s">
        <v>3314</v>
      </c>
      <c r="D73" s="1276" t="s">
        <v>3319</v>
      </c>
      <c r="E73" s="1083">
        <f>Drivers!EX50</f>
        <v>2.131094607684858E-2</v>
      </c>
      <c r="F73" s="877"/>
      <c r="G73" s="144"/>
      <c r="H73" s="144"/>
      <c r="I73" s="144"/>
      <c r="J73" s="144"/>
    </row>
    <row r="74" spans="1:24" x14ac:dyDescent="0.3">
      <c r="A74" s="144" t="s">
        <v>3320</v>
      </c>
      <c r="B74" s="999"/>
      <c r="C74" s="1275" t="s">
        <v>3321</v>
      </c>
      <c r="D74" s="1276" t="s">
        <v>3322</v>
      </c>
      <c r="E74" s="1083">
        <f>Drivers!EX51</f>
        <v>5.0794881737107334E-2</v>
      </c>
      <c r="F74" s="877"/>
      <c r="G74" s="144"/>
      <c r="H74" s="144"/>
      <c r="I74" s="144"/>
      <c r="J74" s="144"/>
    </row>
    <row r="75" spans="1:24" x14ac:dyDescent="0.3">
      <c r="A75" s="144" t="s">
        <v>2980</v>
      </c>
      <c r="B75" s="999"/>
      <c r="C75" s="1275" t="s">
        <v>3323</v>
      </c>
      <c r="D75" s="1276" t="s">
        <v>3324</v>
      </c>
      <c r="E75" s="1083">
        <f>Drivers!EX36</f>
        <v>5.8298072402444667E-2</v>
      </c>
      <c r="F75" s="877"/>
      <c r="G75" s="144"/>
      <c r="H75" s="144"/>
      <c r="I75" s="144"/>
      <c r="J75" s="144"/>
    </row>
    <row r="76" spans="1:24" x14ac:dyDescent="0.3">
      <c r="A76" s="494"/>
      <c r="B76" s="494"/>
      <c r="C76" s="494"/>
      <c r="D76" s="494"/>
      <c r="E76" s="494"/>
      <c r="F76" s="880"/>
      <c r="G76" s="494"/>
      <c r="H76" s="494"/>
      <c r="I76" s="494"/>
      <c r="J76" s="494"/>
    </row>
    <row r="77" spans="1:24" x14ac:dyDescent="0.3">
      <c r="A77" s="144"/>
      <c r="B77" s="144"/>
      <c r="C77" s="144"/>
      <c r="D77" s="144"/>
      <c r="E77" s="144"/>
      <c r="F77" s="877"/>
      <c r="G77" s="144"/>
      <c r="H77" s="144"/>
      <c r="I77" s="144"/>
      <c r="J77" s="144"/>
    </row>
    <row r="78" spans="1:24" x14ac:dyDescent="0.3">
      <c r="A78" s="644" t="s">
        <v>883</v>
      </c>
      <c r="B78" s="644"/>
      <c r="C78" s="644"/>
      <c r="D78" s="644"/>
      <c r="E78" s="644"/>
      <c r="F78" s="644"/>
      <c r="G78" s="644"/>
      <c r="H78" s="644"/>
      <c r="I78" s="644"/>
      <c r="J78" s="644"/>
      <c r="K78" s="644"/>
      <c r="L78" s="644"/>
      <c r="M78" s="644"/>
      <c r="N78" s="644"/>
      <c r="O78" s="644"/>
      <c r="P78" s="644"/>
      <c r="Q78" s="644"/>
      <c r="R78" s="644"/>
      <c r="S78" s="644"/>
      <c r="T78" s="644"/>
      <c r="U78" s="644"/>
      <c r="V78" s="644"/>
      <c r="W78" s="644"/>
      <c r="X78" s="644"/>
    </row>
    <row r="82" spans="1:11" x14ac:dyDescent="0.3">
      <c r="A82" s="818"/>
      <c r="B82" s="818">
        <v>2023</v>
      </c>
      <c r="C82" s="818">
        <v>2023</v>
      </c>
      <c r="D82" s="818">
        <v>2023</v>
      </c>
      <c r="E82" s="818">
        <v>2023</v>
      </c>
      <c r="F82" s="819"/>
      <c r="G82" s="819"/>
      <c r="H82" s="818">
        <v>2023</v>
      </c>
      <c r="I82" s="819"/>
      <c r="J82" s="819"/>
    </row>
    <row r="83" spans="1:11" x14ac:dyDescent="0.3">
      <c r="A83" s="618" t="s">
        <v>3295</v>
      </c>
      <c r="B83" s="820" t="s">
        <v>857</v>
      </c>
      <c r="C83" s="820" t="s">
        <v>858</v>
      </c>
      <c r="D83" s="820" t="s">
        <v>3296</v>
      </c>
      <c r="E83" s="820" t="s">
        <v>722</v>
      </c>
      <c r="F83" s="794" t="s">
        <v>3297</v>
      </c>
      <c r="G83" s="794" t="s">
        <v>1257</v>
      </c>
      <c r="H83" s="820" t="s">
        <v>726</v>
      </c>
      <c r="I83" s="794" t="s">
        <v>3297</v>
      </c>
      <c r="J83" s="794" t="s">
        <v>1257</v>
      </c>
    </row>
    <row r="84" spans="1:11" x14ac:dyDescent="0.3">
      <c r="A84" s="144" t="s">
        <v>44</v>
      </c>
      <c r="B84" s="95">
        <v>2110</v>
      </c>
      <c r="C84" s="95">
        <v>2160</v>
      </c>
      <c r="D84" s="475">
        <v>2135</v>
      </c>
      <c r="E84" s="79">
        <v>2123.9365222192778</v>
      </c>
      <c r="F84" s="1085">
        <v>-11.063477780722224</v>
      </c>
      <c r="G84" s="800">
        <v>-5.1819568059588983E-3</v>
      </c>
      <c r="H84" s="79">
        <v>2122.2766768570577</v>
      </c>
      <c r="I84" s="1085">
        <v>-12.723323142942263</v>
      </c>
      <c r="J84" s="800">
        <v>-5.9594019404881626E-3</v>
      </c>
      <c r="K84" s="76"/>
    </row>
    <row r="85" spans="1:11" x14ac:dyDescent="0.3">
      <c r="A85" s="144" t="s">
        <v>198</v>
      </c>
      <c r="B85" s="95">
        <v>3000</v>
      </c>
      <c r="C85" s="95">
        <v>3200</v>
      </c>
      <c r="D85" s="475">
        <v>3100</v>
      </c>
      <c r="E85" s="79">
        <v>3178.5191370692442</v>
      </c>
      <c r="F85" s="1085">
        <v>78.519137069244152</v>
      </c>
      <c r="G85" s="800">
        <v>2.5328753893304468E-2</v>
      </c>
      <c r="H85" s="79">
        <v>3156.5101649384264</v>
      </c>
      <c r="I85" s="1085">
        <v>56.510164938426442</v>
      </c>
      <c r="J85" s="800">
        <v>1.8229085464008588E-2</v>
      </c>
      <c r="K85" s="890"/>
    </row>
    <row r="86" spans="1:11" x14ac:dyDescent="0.3">
      <c r="A86" s="144" t="s">
        <v>3061</v>
      </c>
      <c r="B86" s="95">
        <v>1300</v>
      </c>
      <c r="C86" s="95">
        <v>1300</v>
      </c>
      <c r="D86" s="475">
        <v>1300</v>
      </c>
      <c r="E86" s="79">
        <v>1340</v>
      </c>
      <c r="F86" s="1085">
        <v>40</v>
      </c>
      <c r="G86" s="800">
        <v>3.076923076923066E-2</v>
      </c>
      <c r="H86" s="79"/>
      <c r="I86" s="1085"/>
      <c r="J86" s="800"/>
    </row>
    <row r="87" spans="1:11" hidden="1" outlineLevel="1" x14ac:dyDescent="0.3">
      <c r="A87" s="144" t="s">
        <v>3298</v>
      </c>
      <c r="B87" s="469">
        <v>550</v>
      </c>
      <c r="C87" s="469">
        <v>550</v>
      </c>
      <c r="D87" s="848">
        <v>550</v>
      </c>
      <c r="E87" s="750">
        <v>91.074578854081651</v>
      </c>
      <c r="F87" s="1085">
        <v>-458.92542114591834</v>
      </c>
      <c r="G87" s="800">
        <v>-0.8344098566289424</v>
      </c>
      <c r="H87" s="750">
        <v>84.656084656084644</v>
      </c>
      <c r="I87" s="1085">
        <v>85.490494512713582</v>
      </c>
      <c r="J87" s="800">
        <v>-102.4562375834095</v>
      </c>
    </row>
    <row r="88" spans="1:11" collapsed="1" x14ac:dyDescent="0.3">
      <c r="A88" s="494"/>
      <c r="B88" s="144"/>
      <c r="C88" s="144"/>
      <c r="D88" s="95"/>
      <c r="E88" s="821"/>
      <c r="F88" s="821"/>
      <c r="G88" s="821"/>
      <c r="H88" s="821"/>
      <c r="I88" s="821"/>
      <c r="J88" s="821"/>
    </row>
    <row r="89" spans="1:11" x14ac:dyDescent="0.3">
      <c r="A89" s="144" t="s">
        <v>3299</v>
      </c>
      <c r="B89" s="849">
        <v>655</v>
      </c>
      <c r="C89" s="849">
        <v>655</v>
      </c>
      <c r="D89" s="850">
        <v>655</v>
      </c>
      <c r="E89" s="79">
        <v>732.90303940501576</v>
      </c>
      <c r="F89" s="1085">
        <v>77.903039405015761</v>
      </c>
      <c r="G89" s="800">
        <v>0.1189359380229249</v>
      </c>
      <c r="H89" s="79"/>
      <c r="I89" s="1085"/>
      <c r="J89" s="800"/>
    </row>
    <row r="90" spans="1:11" x14ac:dyDescent="0.3">
      <c r="A90" s="144" t="s">
        <v>551</v>
      </c>
      <c r="B90" s="95">
        <v>20</v>
      </c>
      <c r="C90" s="95">
        <v>20</v>
      </c>
      <c r="D90" s="475">
        <v>20</v>
      </c>
      <c r="E90" s="79">
        <v>20</v>
      </c>
      <c r="F90" s="1085">
        <v>0</v>
      </c>
      <c r="G90" s="800">
        <v>0</v>
      </c>
      <c r="H90" s="79"/>
      <c r="I90" s="1085"/>
      <c r="J90" s="800"/>
    </row>
    <row r="91" spans="1:11" x14ac:dyDescent="0.3">
      <c r="A91" s="144" t="s">
        <v>3301</v>
      </c>
      <c r="B91" s="95">
        <v>175</v>
      </c>
      <c r="C91" s="95">
        <v>175</v>
      </c>
      <c r="D91" s="475">
        <v>175</v>
      </c>
      <c r="E91" s="79">
        <v>175</v>
      </c>
      <c r="F91" s="1085">
        <v>0</v>
      </c>
      <c r="G91" s="800">
        <v>0</v>
      </c>
      <c r="H91" s="79"/>
      <c r="I91" s="1085"/>
      <c r="J91" s="800"/>
    </row>
    <row r="92" spans="1:11" x14ac:dyDescent="0.3">
      <c r="A92" s="144" t="s">
        <v>3325</v>
      </c>
      <c r="B92" s="365">
        <v>-1940</v>
      </c>
      <c r="C92" s="365">
        <v>-1690</v>
      </c>
      <c r="D92" s="475">
        <v>-1815</v>
      </c>
      <c r="E92" s="79">
        <v>-1998.4856542549819</v>
      </c>
      <c r="F92" s="1085">
        <v>-183.48565425498191</v>
      </c>
      <c r="G92" s="800">
        <v>0.10109402438291015</v>
      </c>
      <c r="H92" s="79"/>
      <c r="I92" s="1085"/>
      <c r="J92" s="800"/>
    </row>
    <row r="93" spans="1:11" x14ac:dyDescent="0.3">
      <c r="A93" s="494"/>
      <c r="B93" s="494"/>
      <c r="C93" s="494"/>
      <c r="D93" s="494"/>
      <c r="E93" s="494"/>
      <c r="F93" s="494"/>
      <c r="G93" s="494"/>
      <c r="H93" s="494"/>
      <c r="I93" s="494"/>
      <c r="J93" s="494"/>
    </row>
    <row r="94" spans="1:11" x14ac:dyDescent="0.3">
      <c r="A94" s="610" t="s">
        <v>3326</v>
      </c>
      <c r="B94" s="610"/>
      <c r="C94" s="610"/>
      <c r="D94" s="610"/>
      <c r="E94" s="610"/>
      <c r="F94" s="1271"/>
      <c r="G94" s="610"/>
      <c r="H94" s="610"/>
      <c r="I94" s="610"/>
      <c r="J94" s="610"/>
    </row>
    <row r="95" spans="1:11" x14ac:dyDescent="0.3">
      <c r="A95" s="144"/>
      <c r="B95" s="144"/>
      <c r="C95" s="144"/>
      <c r="D95" s="144"/>
      <c r="E95" s="835">
        <v>2023</v>
      </c>
      <c r="F95" s="877"/>
      <c r="G95" s="144"/>
      <c r="H95" s="144"/>
      <c r="I95" s="144"/>
      <c r="J95" s="144"/>
    </row>
    <row r="96" spans="1:11" x14ac:dyDescent="0.3">
      <c r="A96" s="618" t="s">
        <v>3303</v>
      </c>
      <c r="B96" s="618">
        <v>2022</v>
      </c>
      <c r="C96" s="1272" t="s">
        <v>3304</v>
      </c>
      <c r="D96" s="1272" t="s">
        <v>3305</v>
      </c>
      <c r="E96" s="820" t="s">
        <v>722</v>
      </c>
      <c r="F96" s="880"/>
      <c r="G96" s="494"/>
      <c r="H96" s="494"/>
      <c r="I96" s="494"/>
      <c r="J96" s="494"/>
    </row>
    <row r="97" spans="1:24" x14ac:dyDescent="0.3">
      <c r="A97" s="144" t="s">
        <v>284</v>
      </c>
      <c r="B97" s="999">
        <v>5787</v>
      </c>
      <c r="C97" s="1273" t="s">
        <v>3327</v>
      </c>
      <c r="D97" s="1274" t="s">
        <v>3328</v>
      </c>
      <c r="E97" s="999">
        <v>5744.7027684423283</v>
      </c>
      <c r="F97" s="877"/>
      <c r="G97" s="144"/>
      <c r="H97" s="144"/>
      <c r="I97" s="144"/>
      <c r="J97" s="144"/>
    </row>
    <row r="98" spans="1:24" x14ac:dyDescent="0.3">
      <c r="A98" s="144" t="s">
        <v>3329</v>
      </c>
      <c r="B98" s="999">
        <v>2080</v>
      </c>
      <c r="C98" s="1273" t="s">
        <v>3327</v>
      </c>
      <c r="D98" s="1274" t="s">
        <v>3330</v>
      </c>
      <c r="E98" s="999">
        <v>2123.9365222192778</v>
      </c>
      <c r="F98" s="877"/>
      <c r="G98" s="144"/>
      <c r="H98" s="144"/>
      <c r="I98" s="144"/>
      <c r="J98" s="144"/>
    </row>
    <row r="99" spans="1:24" x14ac:dyDescent="0.3">
      <c r="A99" s="144" t="s">
        <v>3331</v>
      </c>
      <c r="B99" s="999"/>
      <c r="C99" s="1273" t="s">
        <v>3332</v>
      </c>
      <c r="D99" s="1274"/>
      <c r="E99" s="999">
        <v>533</v>
      </c>
      <c r="F99" s="877"/>
      <c r="G99" s="144"/>
      <c r="H99" s="144"/>
      <c r="I99" s="144"/>
      <c r="J99" s="144"/>
    </row>
    <row r="100" spans="1:24" x14ac:dyDescent="0.3">
      <c r="A100" s="144" t="s">
        <v>3333</v>
      </c>
      <c r="B100" s="999"/>
      <c r="C100" s="1275" t="s">
        <v>3334</v>
      </c>
      <c r="D100" s="1276">
        <v>0.04</v>
      </c>
      <c r="E100" s="1002">
        <v>4.4999999999999998E-2</v>
      </c>
      <c r="F100" s="877"/>
      <c r="G100" s="144"/>
      <c r="H100" s="144"/>
      <c r="I100" s="144"/>
      <c r="J100" s="144"/>
    </row>
    <row r="101" spans="1:24" x14ac:dyDescent="0.3">
      <c r="A101" s="494"/>
      <c r="B101" s="494"/>
      <c r="C101" s="494"/>
      <c r="D101" s="494"/>
      <c r="E101" s="494"/>
      <c r="F101" s="880"/>
      <c r="G101" s="494"/>
      <c r="H101" s="494"/>
      <c r="I101" s="494"/>
      <c r="J101" s="494"/>
    </row>
    <row r="102" spans="1:24" x14ac:dyDescent="0.3">
      <c r="A102" s="144"/>
      <c r="B102" s="144"/>
      <c r="C102" s="144"/>
      <c r="D102" s="144"/>
      <c r="E102" s="144"/>
      <c r="F102" s="877"/>
      <c r="G102" s="144"/>
      <c r="H102" s="144"/>
      <c r="I102" s="144"/>
      <c r="J102" s="144"/>
    </row>
    <row r="103" spans="1:24" x14ac:dyDescent="0.3">
      <c r="A103" s="644" t="s">
        <v>925</v>
      </c>
      <c r="B103" s="644"/>
      <c r="C103" s="644"/>
      <c r="D103" s="644"/>
      <c r="E103" s="644"/>
      <c r="F103" s="644"/>
      <c r="G103" s="644"/>
      <c r="H103" s="644"/>
      <c r="I103" s="644"/>
      <c r="J103" s="644"/>
      <c r="K103" s="644"/>
      <c r="L103" s="644"/>
      <c r="M103" s="644"/>
      <c r="N103" s="644"/>
      <c r="O103" s="644"/>
      <c r="P103" s="644"/>
      <c r="Q103" s="644"/>
      <c r="R103" s="644"/>
      <c r="S103" s="644"/>
      <c r="T103" s="644"/>
      <c r="U103" s="644"/>
      <c r="V103" s="644"/>
      <c r="W103" s="644"/>
      <c r="X103" s="644"/>
    </row>
    <row r="107" spans="1:24" x14ac:dyDescent="0.3">
      <c r="A107" s="818"/>
      <c r="B107" s="818">
        <v>2023</v>
      </c>
      <c r="C107" s="818">
        <f>B107</f>
        <v>2023</v>
      </c>
      <c r="D107" s="818">
        <f>C107</f>
        <v>2023</v>
      </c>
      <c r="E107" s="818">
        <f>B107</f>
        <v>2023</v>
      </c>
      <c r="F107" s="819"/>
      <c r="G107" s="819"/>
      <c r="H107" s="818">
        <f>E107</f>
        <v>2023</v>
      </c>
      <c r="I107" s="819"/>
      <c r="J107" s="819"/>
    </row>
    <row r="108" spans="1:24" x14ac:dyDescent="0.3">
      <c r="A108" s="618" t="s">
        <v>3295</v>
      </c>
      <c r="B108" s="820" t="s">
        <v>857</v>
      </c>
      <c r="C108" s="820" t="s">
        <v>858</v>
      </c>
      <c r="D108" s="820" t="s">
        <v>3296</v>
      </c>
      <c r="E108" s="820" t="s">
        <v>722</v>
      </c>
      <c r="F108" s="794" t="s">
        <v>3297</v>
      </c>
      <c r="G108" s="794" t="s">
        <v>1257</v>
      </c>
      <c r="H108" s="820" t="s">
        <v>726</v>
      </c>
      <c r="I108" s="794" t="s">
        <v>3297</v>
      </c>
      <c r="J108" s="794" t="s">
        <v>1257</v>
      </c>
    </row>
    <row r="109" spans="1:24" x14ac:dyDescent="0.3">
      <c r="A109" s="144" t="s">
        <v>44</v>
      </c>
      <c r="B109" s="95">
        <v>2110</v>
      </c>
      <c r="C109" s="95">
        <v>2160</v>
      </c>
      <c r="D109" s="475">
        <f>+AVERAGE(B109:C109)</f>
        <v>2135</v>
      </c>
      <c r="E109" s="79">
        <f>+Output!$ES$103</f>
        <v>2127</v>
      </c>
      <c r="F109" s="1085">
        <f>E109-D109</f>
        <v>-8</v>
      </c>
      <c r="G109" s="800">
        <f>E109/D109-1</f>
        <v>-3.7470725995316645E-3</v>
      </c>
      <c r="H109" s="79" t="e">
        <f>#REF!</f>
        <v>#REF!</v>
      </c>
      <c r="I109" s="1085" t="e">
        <f>H109-D109</f>
        <v>#REF!</v>
      </c>
      <c r="J109" s="800" t="e">
        <f>H109/D109-1</f>
        <v>#REF!</v>
      </c>
      <c r="K109" s="76"/>
    </row>
    <row r="110" spans="1:24" x14ac:dyDescent="0.3">
      <c r="A110" s="144" t="s">
        <v>198</v>
      </c>
      <c r="B110" s="95">
        <v>2800</v>
      </c>
      <c r="C110" s="95">
        <v>2800</v>
      </c>
      <c r="D110" s="475">
        <f>+AVERAGE(B110:C110)</f>
        <v>2800</v>
      </c>
      <c r="E110" s="79">
        <f>+Output!$ES$112</f>
        <v>3211</v>
      </c>
      <c r="F110" s="1085">
        <f>E110-D110</f>
        <v>411</v>
      </c>
      <c r="G110" s="800">
        <f>E110/D110-1</f>
        <v>0.1467857142857143</v>
      </c>
      <c r="H110" s="79" t="e">
        <f>#REF!</f>
        <v>#REF!</v>
      </c>
      <c r="I110" s="1085" t="e">
        <f>H110-D110</f>
        <v>#REF!</v>
      </c>
      <c r="J110" s="800" t="e">
        <f>H110/D110-1</f>
        <v>#REF!</v>
      </c>
      <c r="K110" s="890"/>
    </row>
    <row r="111" spans="1:24" x14ac:dyDescent="0.3">
      <c r="A111" s="144" t="s">
        <v>3061</v>
      </c>
      <c r="B111" s="95">
        <v>1300</v>
      </c>
      <c r="C111" s="95">
        <v>1300</v>
      </c>
      <c r="D111" s="475">
        <f>+AVERAGE(B111:C111)</f>
        <v>1300</v>
      </c>
      <c r="E111" s="79">
        <f>Drivers!$ES$87</f>
        <v>1320</v>
      </c>
      <c r="F111" s="1085">
        <f>E111-D111</f>
        <v>20</v>
      </c>
      <c r="G111" s="800">
        <f>E111/D111-1</f>
        <v>1.538461538461533E-2</v>
      </c>
      <c r="H111" s="79"/>
      <c r="I111" s="1085"/>
      <c r="J111" s="800"/>
    </row>
    <row r="112" spans="1:24" hidden="1" outlineLevel="1" x14ac:dyDescent="0.3">
      <c r="A112" s="144" t="s">
        <v>3298</v>
      </c>
      <c r="B112" s="469">
        <v>550</v>
      </c>
      <c r="C112" s="469">
        <v>550</v>
      </c>
      <c r="D112" s="848">
        <v>550</v>
      </c>
      <c r="E112" s="750">
        <f>Drivers!$ES509</f>
        <v>0</v>
      </c>
      <c r="F112" s="1085">
        <f>E112-D112</f>
        <v>-550</v>
      </c>
      <c r="G112" s="800">
        <f>E112/D112-1</f>
        <v>-1</v>
      </c>
      <c r="H112" s="750">
        <f>Drivers!$EN509</f>
        <v>0</v>
      </c>
      <c r="I112" s="1085">
        <f>H112-G112</f>
        <v>1</v>
      </c>
      <c r="J112" s="800">
        <f>H112/G112-1</f>
        <v>-1</v>
      </c>
    </row>
    <row r="113" spans="1:10" collapsed="1" x14ac:dyDescent="0.3">
      <c r="A113" s="494"/>
      <c r="B113" s="144"/>
      <c r="C113" s="144"/>
      <c r="D113" s="95"/>
      <c r="E113" s="821"/>
      <c r="F113" s="821"/>
      <c r="G113" s="821"/>
      <c r="H113" s="821"/>
      <c r="I113" s="821"/>
      <c r="J113" s="821"/>
    </row>
    <row r="114" spans="1:10" x14ac:dyDescent="0.3">
      <c r="A114" s="144" t="s">
        <v>3299</v>
      </c>
      <c r="B114" s="849">
        <v>630</v>
      </c>
      <c r="C114" s="849">
        <v>630</v>
      </c>
      <c r="D114" s="850">
        <f>+AVERAGE(B114:C114)</f>
        <v>630</v>
      </c>
      <c r="E114" s="79">
        <f>+'Model Main'!$ES$73</f>
        <v>653</v>
      </c>
      <c r="F114" s="1085">
        <f>E114-D114</f>
        <v>23</v>
      </c>
      <c r="G114" s="800">
        <f>E114/D114-1</f>
        <v>3.65079365079366E-2</v>
      </c>
      <c r="H114" s="79"/>
      <c r="I114" s="1085"/>
      <c r="J114" s="800"/>
    </row>
    <row r="115" spans="1:10" x14ac:dyDescent="0.3">
      <c r="A115" s="144" t="s">
        <v>551</v>
      </c>
      <c r="B115" s="95">
        <v>20</v>
      </c>
      <c r="C115" s="95">
        <v>20</v>
      </c>
      <c r="D115" s="475">
        <f>+AVERAGE(B115:C115)</f>
        <v>20</v>
      </c>
      <c r="E115" s="79">
        <f>+'Model Main'!$ES$166</f>
        <v>0</v>
      </c>
      <c r="F115" s="1085">
        <f>E115-D115</f>
        <v>-20</v>
      </c>
      <c r="G115" s="800">
        <f>E115/D115-1</f>
        <v>-1</v>
      </c>
      <c r="H115" s="79"/>
      <c r="I115" s="1085"/>
      <c r="J115" s="800"/>
    </row>
    <row r="116" spans="1:10" x14ac:dyDescent="0.3">
      <c r="A116" s="144" t="s">
        <v>3301</v>
      </c>
      <c r="B116" s="95">
        <f>50+125</f>
        <v>175</v>
      </c>
      <c r="C116" s="95">
        <f>50+125</f>
        <v>175</v>
      </c>
      <c r="D116" s="475">
        <f>+AVERAGE(B116:C116)</f>
        <v>175</v>
      </c>
      <c r="E116" s="79">
        <f>+'Model Main'!$ES$67-'Model Main'!ES104</f>
        <v>19</v>
      </c>
      <c r="F116" s="1085">
        <f>E116-D116</f>
        <v>-156</v>
      </c>
      <c r="G116" s="800">
        <f>E116/D116-1</f>
        <v>-0.89142857142857146</v>
      </c>
      <c r="H116" s="79"/>
      <c r="I116" s="1085"/>
      <c r="J116" s="800"/>
    </row>
    <row r="117" spans="1:10" x14ac:dyDescent="0.3">
      <c r="A117" s="144" t="s">
        <v>3325</v>
      </c>
      <c r="B117" s="365">
        <f>B109-SUM(C110,B114:B116)</f>
        <v>-1515</v>
      </c>
      <c r="C117" s="365">
        <f>C109-SUM(B110,C114:C116)</f>
        <v>-1465</v>
      </c>
      <c r="D117" s="475">
        <f>+AVERAGE(B117:C117)</f>
        <v>-1490</v>
      </c>
      <c r="E117" s="79">
        <f>'Model Main'!$ES132</f>
        <v>-1867</v>
      </c>
      <c r="F117" s="1085">
        <f>E117-D117</f>
        <v>-377</v>
      </c>
      <c r="G117" s="800">
        <f>E117/D117-1</f>
        <v>0.25302013422818792</v>
      </c>
      <c r="H117" s="79"/>
      <c r="I117" s="1085"/>
      <c r="J117" s="800"/>
    </row>
    <row r="118" spans="1:10" x14ac:dyDescent="0.3">
      <c r="A118" s="494"/>
      <c r="B118" s="494"/>
      <c r="C118" s="494"/>
      <c r="D118" s="494"/>
      <c r="E118" s="494"/>
      <c r="F118" s="494"/>
      <c r="G118" s="494"/>
      <c r="H118" s="494"/>
      <c r="I118" s="494"/>
      <c r="J118" s="494"/>
    </row>
    <row r="119" spans="1:10" x14ac:dyDescent="0.3">
      <c r="A119" s="610" t="s">
        <v>3326</v>
      </c>
      <c r="B119" s="610"/>
      <c r="C119" s="610"/>
      <c r="D119" s="610"/>
      <c r="E119" s="610"/>
      <c r="F119" s="1271"/>
      <c r="G119" s="610"/>
      <c r="H119" s="610"/>
      <c r="I119" s="610"/>
      <c r="J119" s="610"/>
    </row>
    <row r="120" spans="1:10" x14ac:dyDescent="0.3">
      <c r="A120" s="144"/>
      <c r="B120" s="144"/>
      <c r="C120" s="144"/>
      <c r="D120" s="144"/>
      <c r="E120" s="835">
        <f>E107</f>
        <v>2023</v>
      </c>
      <c r="F120" s="877"/>
      <c r="G120" s="144"/>
      <c r="H120" s="144"/>
      <c r="I120" s="144"/>
      <c r="J120" s="144"/>
    </row>
    <row r="121" spans="1:10" x14ac:dyDescent="0.3">
      <c r="A121" s="618" t="s">
        <v>3303</v>
      </c>
      <c r="B121" s="618">
        <v>2022</v>
      </c>
      <c r="C121" s="1272" t="s">
        <v>3304</v>
      </c>
      <c r="D121" s="1272" t="s">
        <v>3305</v>
      </c>
      <c r="E121" s="820" t="s">
        <v>722</v>
      </c>
      <c r="F121" s="880"/>
      <c r="G121" s="494"/>
      <c r="H121" s="494"/>
      <c r="I121" s="494"/>
      <c r="J121" s="494"/>
    </row>
    <row r="122" spans="1:10" x14ac:dyDescent="0.3">
      <c r="A122" s="144" t="s">
        <v>284</v>
      </c>
      <c r="B122" s="999">
        <f>'Model Main'!EN18</f>
        <v>5787</v>
      </c>
      <c r="C122" s="1273" t="s">
        <v>3327</v>
      </c>
      <c r="D122" s="1274" t="s">
        <v>3328</v>
      </c>
      <c r="E122" s="999">
        <f>'Model Main'!ES18</f>
        <v>5751</v>
      </c>
      <c r="F122" s="877"/>
      <c r="G122" s="144"/>
      <c r="H122" s="144"/>
      <c r="I122" s="144"/>
      <c r="J122" s="144"/>
    </row>
    <row r="123" spans="1:10" x14ac:dyDescent="0.3">
      <c r="A123" s="144" t="s">
        <v>44</v>
      </c>
      <c r="B123" s="999">
        <f>'Model Main'!EN48</f>
        <v>2080</v>
      </c>
      <c r="C123" s="1273" t="s">
        <v>3327</v>
      </c>
      <c r="D123" s="1274" t="s">
        <v>3330</v>
      </c>
      <c r="E123" s="999">
        <f>'Model Main'!ES48</f>
        <v>2127</v>
      </c>
      <c r="F123" s="877"/>
      <c r="G123" s="144"/>
      <c r="H123" s="144"/>
      <c r="I123" s="144"/>
      <c r="J123" s="144"/>
    </row>
    <row r="124" spans="1:10" x14ac:dyDescent="0.3">
      <c r="A124" s="144" t="s">
        <v>3333</v>
      </c>
      <c r="B124" s="999"/>
      <c r="C124" s="1275" t="s">
        <v>3334</v>
      </c>
      <c r="D124" s="1276">
        <v>0.04</v>
      </c>
      <c r="E124" s="1002">
        <f>Drivers!ER187</f>
        <v>4.8366013071895253E-2</v>
      </c>
      <c r="F124" s="877"/>
      <c r="G124" s="144"/>
      <c r="H124" s="144"/>
      <c r="I124" s="144"/>
      <c r="J124" s="144"/>
    </row>
    <row r="125" spans="1:10" x14ac:dyDescent="0.3">
      <c r="A125" s="494"/>
      <c r="B125" s="494"/>
      <c r="C125" s="494"/>
      <c r="D125" s="494"/>
      <c r="E125" s="494"/>
      <c r="F125" s="880"/>
      <c r="G125" s="494"/>
      <c r="H125" s="494"/>
      <c r="I125" s="494"/>
      <c r="J125" s="494"/>
    </row>
    <row r="126" spans="1:10" x14ac:dyDescent="0.3">
      <c r="A126" s="144"/>
      <c r="B126" s="144"/>
      <c r="C126" s="144"/>
      <c r="D126" s="144"/>
      <c r="E126" s="144"/>
      <c r="F126" s="877"/>
      <c r="G126" s="144"/>
      <c r="H126" s="144"/>
      <c r="I126" s="144"/>
      <c r="J126" s="144"/>
    </row>
    <row r="127" spans="1:10" x14ac:dyDescent="0.3">
      <c r="A127" s="144"/>
      <c r="B127" s="144"/>
      <c r="C127" s="144"/>
      <c r="D127" s="144"/>
      <c r="E127" s="144"/>
      <c r="F127" s="877"/>
      <c r="G127" s="144"/>
      <c r="H127" s="144"/>
      <c r="I127" s="144"/>
      <c r="J127" s="144"/>
    </row>
    <row r="128" spans="1:10" x14ac:dyDescent="0.3">
      <c r="A128" s="144"/>
      <c r="B128" s="144"/>
      <c r="C128" s="144"/>
      <c r="D128" s="144"/>
      <c r="E128" s="144"/>
      <c r="F128" s="877"/>
      <c r="G128" s="144"/>
      <c r="H128" s="144"/>
      <c r="I128" s="144"/>
      <c r="J128" s="144"/>
    </row>
    <row r="129" spans="1:24" x14ac:dyDescent="0.3">
      <c r="A129" s="144"/>
      <c r="B129" s="144"/>
      <c r="C129" s="144"/>
      <c r="D129" s="144"/>
      <c r="E129" s="144"/>
      <c r="F129" s="877"/>
      <c r="G129" s="144"/>
      <c r="H129" s="144"/>
      <c r="I129" s="144"/>
      <c r="J129" s="144"/>
    </row>
    <row r="130" spans="1:24" x14ac:dyDescent="0.3">
      <c r="A130" s="644" t="s">
        <v>923</v>
      </c>
      <c r="B130" s="644"/>
      <c r="C130" s="644"/>
      <c r="D130" s="644"/>
      <c r="E130" s="644"/>
      <c r="F130" s="644"/>
      <c r="G130" s="644"/>
      <c r="H130" s="644"/>
      <c r="I130" s="644"/>
      <c r="J130" s="644"/>
      <c r="K130" s="644"/>
      <c r="L130" s="644"/>
      <c r="M130" s="644"/>
      <c r="N130" s="644"/>
      <c r="O130" s="644"/>
      <c r="P130" s="644"/>
      <c r="Q130" s="644"/>
      <c r="R130" s="644"/>
      <c r="S130" s="644"/>
      <c r="T130" s="644"/>
      <c r="U130" s="644"/>
      <c r="V130" s="644"/>
      <c r="W130" s="644"/>
      <c r="X130" s="644"/>
    </row>
    <row r="134" spans="1:24" x14ac:dyDescent="0.3">
      <c r="A134" s="818"/>
      <c r="B134" s="818">
        <v>2022</v>
      </c>
      <c r="C134" s="818">
        <f>B134</f>
        <v>2022</v>
      </c>
      <c r="D134" s="818">
        <f>C134</f>
        <v>2022</v>
      </c>
      <c r="E134" s="818">
        <f>B134</f>
        <v>2022</v>
      </c>
      <c r="F134" s="819"/>
      <c r="G134" s="819"/>
      <c r="H134" s="818">
        <f>E134</f>
        <v>2022</v>
      </c>
      <c r="I134" s="819"/>
      <c r="J134" s="819"/>
    </row>
    <row r="135" spans="1:24" x14ac:dyDescent="0.3">
      <c r="A135" s="820"/>
      <c r="B135" s="820" t="s">
        <v>857</v>
      </c>
      <c r="C135" s="820" t="s">
        <v>858</v>
      </c>
      <c r="D135" s="820" t="s">
        <v>3296</v>
      </c>
      <c r="E135" s="820" t="s">
        <v>722</v>
      </c>
      <c r="F135" s="794" t="s">
        <v>3297</v>
      </c>
      <c r="G135" s="794" t="s">
        <v>1257</v>
      </c>
      <c r="H135" s="820" t="s">
        <v>726</v>
      </c>
      <c r="I135" s="794" t="s">
        <v>3297</v>
      </c>
      <c r="J135" s="794" t="s">
        <v>1257</v>
      </c>
    </row>
    <row r="136" spans="1:24" x14ac:dyDescent="0.3">
      <c r="A136" s="144" t="s">
        <v>44</v>
      </c>
      <c r="B136" s="95">
        <v>2050</v>
      </c>
      <c r="C136" s="95">
        <v>2150</v>
      </c>
      <c r="D136" s="475">
        <f>+AVERAGE(B136:C136)</f>
        <v>2100</v>
      </c>
      <c r="E136" s="79">
        <f>+Output!$EN$103</f>
        <v>2080</v>
      </c>
      <c r="F136" s="1085">
        <f>E136-D136</f>
        <v>-20</v>
      </c>
      <c r="G136" s="800">
        <f>E136/D136-1</f>
        <v>-9.52380952380949E-3</v>
      </c>
      <c r="H136" s="79" t="e">
        <f>#REF!</f>
        <v>#REF!</v>
      </c>
      <c r="I136" s="1085" t="e">
        <f>H136-D136</f>
        <v>#REF!</v>
      </c>
      <c r="J136" s="800" t="e">
        <f>H136/D136-1</f>
        <v>#REF!</v>
      </c>
      <c r="K136" s="76"/>
    </row>
    <row r="137" spans="1:24" x14ac:dyDescent="0.3">
      <c r="A137" s="144" t="s">
        <v>198</v>
      </c>
      <c r="B137" s="95">
        <v>2500</v>
      </c>
      <c r="C137" s="95">
        <v>2600</v>
      </c>
      <c r="D137" s="475">
        <f>+AVERAGE(B137:C137)</f>
        <v>2550</v>
      </c>
      <c r="E137" s="79">
        <f>+Output!$EN$112</f>
        <v>2738</v>
      </c>
      <c r="F137" s="1085">
        <f>E137-D137</f>
        <v>188</v>
      </c>
      <c r="G137" s="800">
        <f>E137/D137-1</f>
        <v>7.3725490196078436E-2</v>
      </c>
      <c r="H137" s="79" t="e">
        <f>#REF!</f>
        <v>#REF!</v>
      </c>
      <c r="I137" s="1085" t="e">
        <f>H137-D137</f>
        <v>#REF!</v>
      </c>
      <c r="J137" s="800" t="e">
        <f>H137/D137-1</f>
        <v>#REF!</v>
      </c>
      <c r="K137" s="890"/>
    </row>
    <row r="138" spans="1:24" x14ac:dyDescent="0.3">
      <c r="A138" s="144" t="s">
        <v>3061</v>
      </c>
      <c r="B138" s="95">
        <v>1100</v>
      </c>
      <c r="C138" s="95">
        <v>1200</v>
      </c>
      <c r="D138" s="475">
        <f>+AVERAGE(B138:C138)</f>
        <v>1150</v>
      </c>
      <c r="E138" s="79">
        <f>Drivers!$EN$87</f>
        <v>1224</v>
      </c>
      <c r="F138" s="1085">
        <f>E138-D138</f>
        <v>74</v>
      </c>
      <c r="G138" s="800">
        <f>E138/D138-1</f>
        <v>6.434782608695655E-2</v>
      </c>
      <c r="H138" s="79"/>
      <c r="I138" s="1085"/>
      <c r="J138" s="800"/>
    </row>
    <row r="139" spans="1:24" hidden="1" outlineLevel="1" x14ac:dyDescent="0.3">
      <c r="A139" s="144" t="s">
        <v>3298</v>
      </c>
      <c r="B139" s="469">
        <v>550</v>
      </c>
      <c r="C139" s="469">
        <v>550</v>
      </c>
      <c r="D139" s="848">
        <v>550</v>
      </c>
      <c r="E139" s="750">
        <f>Drivers!$EN526</f>
        <v>5787</v>
      </c>
      <c r="F139" s="1085">
        <f>E139-D139</f>
        <v>5237</v>
      </c>
      <c r="G139" s="800">
        <f>E139/D139-1</f>
        <v>9.5218181818181815</v>
      </c>
      <c r="H139" s="750">
        <f>Drivers!$EN526</f>
        <v>5787</v>
      </c>
      <c r="I139" s="1085">
        <f>H139-G139</f>
        <v>5777.4781818181818</v>
      </c>
      <c r="J139" s="800">
        <f>H139/G139-1</f>
        <v>606.76207752530081</v>
      </c>
    </row>
    <row r="140" spans="1:24" collapsed="1" x14ac:dyDescent="0.3">
      <c r="A140" s="494"/>
      <c r="B140" s="144"/>
      <c r="C140" s="144"/>
      <c r="D140" s="95"/>
      <c r="E140" s="821"/>
      <c r="F140" s="821"/>
      <c r="G140" s="821"/>
      <c r="H140" s="821"/>
      <c r="I140" s="821"/>
      <c r="J140" s="821"/>
    </row>
    <row r="141" spans="1:24" x14ac:dyDescent="0.3">
      <c r="A141" s="144" t="s">
        <v>3299</v>
      </c>
      <c r="B141" s="849">
        <v>485</v>
      </c>
      <c r="C141" s="849">
        <v>485</v>
      </c>
      <c r="D141" s="850">
        <f>+AVERAGE(B141:C141)</f>
        <v>485</v>
      </c>
      <c r="E141" s="79">
        <f>+'Model Main'!$EN$73</f>
        <v>492</v>
      </c>
      <c r="F141" s="1085">
        <f>E141-D141</f>
        <v>7</v>
      </c>
      <c r="G141" s="800">
        <f>E141/D141-1</f>
        <v>1.4432989690721598E-2</v>
      </c>
      <c r="H141" s="79"/>
      <c r="I141" s="1085"/>
      <c r="J141" s="800"/>
    </row>
    <row r="142" spans="1:24" x14ac:dyDescent="0.3">
      <c r="A142" s="144" t="s">
        <v>551</v>
      </c>
      <c r="B142" s="95">
        <v>20</v>
      </c>
      <c r="C142" s="95">
        <v>20</v>
      </c>
      <c r="D142" s="475">
        <f>+AVERAGE(B142:C142)</f>
        <v>20</v>
      </c>
      <c r="E142" s="79">
        <f>+'Model Main'!$EN$166</f>
        <v>8</v>
      </c>
      <c r="F142" s="1085">
        <f>E142-D142</f>
        <v>-12</v>
      </c>
      <c r="G142" s="800">
        <f>E142/D142-1</f>
        <v>-0.6</v>
      </c>
      <c r="H142" s="79"/>
      <c r="I142" s="1085"/>
      <c r="J142" s="800"/>
    </row>
    <row r="143" spans="1:24" x14ac:dyDescent="0.3">
      <c r="A143" s="144" t="s">
        <v>3301</v>
      </c>
      <c r="B143" s="95">
        <f>75+135</f>
        <v>210</v>
      </c>
      <c r="C143" s="95">
        <f>75+135</f>
        <v>210</v>
      </c>
      <c r="D143" s="475">
        <f>+AVERAGE(B143:C143)</f>
        <v>210</v>
      </c>
      <c r="E143" s="79">
        <f>+'Model Main'!$EN$67</f>
        <v>61</v>
      </c>
      <c r="F143" s="1085">
        <f>E143-D143</f>
        <v>-149</v>
      </c>
      <c r="G143" s="800">
        <f>E143/D143-1</f>
        <v>-0.70952380952380945</v>
      </c>
      <c r="H143" s="79"/>
      <c r="I143" s="1085"/>
      <c r="J143" s="800"/>
    </row>
    <row r="144" spans="1:24" x14ac:dyDescent="0.3">
      <c r="A144" s="144" t="s">
        <v>3325</v>
      </c>
      <c r="B144" s="365">
        <f>B136-SUM(C137,B141:B143)</f>
        <v>-1265</v>
      </c>
      <c r="C144" s="365">
        <f>C136-SUM(B137,C141:C143)</f>
        <v>-1065</v>
      </c>
      <c r="D144" s="475">
        <f>+AVERAGE(B144:C144)</f>
        <v>-1165</v>
      </c>
      <c r="E144" s="79">
        <f>'Model Main'!$EN132</f>
        <v>-1337</v>
      </c>
      <c r="F144" s="1085">
        <f>E144-D144</f>
        <v>-172</v>
      </c>
      <c r="G144" s="800">
        <f>E144/D144-1</f>
        <v>0.14763948497854074</v>
      </c>
      <c r="H144" s="79"/>
      <c r="I144" s="1085"/>
      <c r="J144" s="800"/>
    </row>
    <row r="145" spans="1:24" x14ac:dyDescent="0.3">
      <c r="A145" s="494"/>
      <c r="B145" s="494"/>
      <c r="C145" s="494"/>
      <c r="D145" s="494"/>
      <c r="E145" s="494"/>
      <c r="F145" s="494"/>
      <c r="G145" s="494"/>
      <c r="H145" s="494"/>
      <c r="I145" s="494"/>
      <c r="J145" s="494"/>
    </row>
    <row r="146" spans="1:24" x14ac:dyDescent="0.3">
      <c r="A146" s="144" t="s">
        <v>3326</v>
      </c>
      <c r="B146" s="144"/>
      <c r="C146" s="144"/>
      <c r="D146" s="144"/>
      <c r="E146" s="144"/>
      <c r="F146" s="877"/>
      <c r="G146" s="144"/>
      <c r="H146" s="144"/>
      <c r="I146" s="144"/>
      <c r="J146" s="144"/>
    </row>
    <row r="147" spans="1:24" x14ac:dyDescent="0.3">
      <c r="A147" s="644" t="s">
        <v>1128</v>
      </c>
      <c r="B147" s="644"/>
      <c r="C147" s="644"/>
      <c r="D147" s="644"/>
      <c r="E147" s="644"/>
      <c r="F147" s="644"/>
      <c r="G147" s="644"/>
      <c r="H147" s="644"/>
      <c r="I147" s="644"/>
      <c r="J147" s="644"/>
      <c r="K147" s="644"/>
      <c r="L147" s="644"/>
      <c r="M147" s="644"/>
      <c r="N147" s="644"/>
      <c r="O147" s="644"/>
      <c r="P147" s="644"/>
      <c r="Q147" s="644"/>
      <c r="R147" s="644"/>
      <c r="S147" s="644"/>
      <c r="T147" s="644"/>
      <c r="U147" s="644"/>
      <c r="V147" s="644"/>
      <c r="W147" s="644"/>
      <c r="X147" s="644"/>
    </row>
    <row r="151" spans="1:24" x14ac:dyDescent="0.3">
      <c r="A151" s="818"/>
      <c r="B151" s="818">
        <v>2022</v>
      </c>
      <c r="C151" s="818">
        <f>B151</f>
        <v>2022</v>
      </c>
      <c r="D151" s="818">
        <f>C151</f>
        <v>2022</v>
      </c>
      <c r="E151" s="818">
        <f>B151</f>
        <v>2022</v>
      </c>
      <c r="F151" s="819"/>
      <c r="G151" s="819"/>
      <c r="H151" s="818">
        <f>E151</f>
        <v>2022</v>
      </c>
      <c r="I151" s="819"/>
      <c r="J151" s="819"/>
    </row>
    <row r="152" spans="1:24" x14ac:dyDescent="0.3">
      <c r="A152" s="820"/>
      <c r="B152" s="820" t="s">
        <v>857</v>
      </c>
      <c r="C152" s="820" t="s">
        <v>858</v>
      </c>
      <c r="D152" s="820" t="s">
        <v>3296</v>
      </c>
      <c r="E152" s="820" t="s">
        <v>722</v>
      </c>
      <c r="F152" s="794" t="s">
        <v>3297</v>
      </c>
      <c r="G152" s="794" t="s">
        <v>1257</v>
      </c>
      <c r="H152" s="820" t="s">
        <v>726</v>
      </c>
      <c r="I152" s="794" t="s">
        <v>3297</v>
      </c>
      <c r="J152" s="794" t="s">
        <v>1257</v>
      </c>
    </row>
    <row r="153" spans="1:24" x14ac:dyDescent="0.3">
      <c r="A153" s="144" t="s">
        <v>44</v>
      </c>
      <c r="B153" s="95">
        <v>2000</v>
      </c>
      <c r="C153" s="95">
        <v>2150</v>
      </c>
      <c r="D153" s="475">
        <f>+AVERAGE(B153:C153)</f>
        <v>2075</v>
      </c>
      <c r="E153" s="79">
        <f>+Output!$EN$103</f>
        <v>2080</v>
      </c>
      <c r="F153" s="1085">
        <f>E153-D153</f>
        <v>5</v>
      </c>
      <c r="G153" s="800">
        <f>E153/D153-1</f>
        <v>2.4096385542169418E-3</v>
      </c>
      <c r="H153" s="79" t="e">
        <f>#REF!</f>
        <v>#REF!</v>
      </c>
      <c r="I153" s="1085" t="e">
        <f>H153-D153</f>
        <v>#REF!</v>
      </c>
      <c r="J153" s="800" t="e">
        <f>H153/D153-1</f>
        <v>#REF!</v>
      </c>
      <c r="K153" s="76"/>
    </row>
    <row r="154" spans="1:24" x14ac:dyDescent="0.3">
      <c r="A154" s="144" t="s">
        <v>198</v>
      </c>
      <c r="B154" s="95">
        <v>2400</v>
      </c>
      <c r="C154" s="95">
        <v>2500</v>
      </c>
      <c r="D154" s="475">
        <f>+AVERAGE(B154:C154)</f>
        <v>2450</v>
      </c>
      <c r="E154" s="79">
        <f>+Output!$EN$112</f>
        <v>2738</v>
      </c>
      <c r="F154" s="1085">
        <f>E154-D154</f>
        <v>288</v>
      </c>
      <c r="G154" s="800">
        <f>E154/D154-1</f>
        <v>0.11755102040816334</v>
      </c>
      <c r="H154" s="79" t="e">
        <f>#REF!</f>
        <v>#REF!</v>
      </c>
      <c r="I154" s="1085" t="e">
        <f>H154-D154</f>
        <v>#REF!</v>
      </c>
      <c r="J154" s="800" t="e">
        <f>H154/D154-1</f>
        <v>#REF!</v>
      </c>
      <c r="K154" s="890"/>
    </row>
    <row r="155" spans="1:24" x14ac:dyDescent="0.3">
      <c r="A155" s="144" t="s">
        <v>3061</v>
      </c>
      <c r="B155" s="95">
        <v>1000</v>
      </c>
      <c r="C155" s="95">
        <v>1000</v>
      </c>
      <c r="D155" s="475">
        <f>+AVERAGE(B155:C155)</f>
        <v>1000</v>
      </c>
      <c r="E155" s="79">
        <f>Drivers!$EN$87</f>
        <v>1224</v>
      </c>
      <c r="F155" s="1085">
        <f>E155-D155</f>
        <v>224</v>
      </c>
      <c r="G155" s="800">
        <f>E155/D155-1</f>
        <v>0.22399999999999998</v>
      </c>
      <c r="H155" s="79"/>
      <c r="I155" s="1085"/>
      <c r="J155" s="800"/>
    </row>
    <row r="156" spans="1:24" hidden="1" outlineLevel="1" x14ac:dyDescent="0.3">
      <c r="A156" s="144" t="s">
        <v>3298</v>
      </c>
      <c r="B156" s="469">
        <v>550</v>
      </c>
      <c r="C156" s="469">
        <v>550</v>
      </c>
      <c r="D156" s="848">
        <v>550</v>
      </c>
      <c r="E156" s="750">
        <f>Drivers!$EN543</f>
        <v>965.56372549019602</v>
      </c>
      <c r="F156" s="1085">
        <f>E156-D156</f>
        <v>415.56372549019602</v>
      </c>
      <c r="G156" s="800">
        <f>E156/D156-1</f>
        <v>0.75557040998217451</v>
      </c>
      <c r="H156" s="750">
        <f>Drivers!$EN543</f>
        <v>965.56372549019602</v>
      </c>
      <c r="I156" s="1085">
        <f>H156-G156</f>
        <v>964.80815508021385</v>
      </c>
      <c r="J156" s="800">
        <f>H156/G156-1</f>
        <v>1276.9268652314954</v>
      </c>
    </row>
    <row r="157" spans="1:24" collapsed="1" x14ac:dyDescent="0.3">
      <c r="A157" s="494"/>
      <c r="B157" s="144"/>
      <c r="C157" s="144"/>
      <c r="D157" s="95"/>
      <c r="E157" s="821"/>
      <c r="F157" s="821"/>
      <c r="G157" s="821"/>
      <c r="H157" s="821"/>
      <c r="I157" s="821"/>
      <c r="J157" s="821"/>
    </row>
    <row r="158" spans="1:24" x14ac:dyDescent="0.3">
      <c r="A158" s="144" t="s">
        <v>3299</v>
      </c>
      <c r="B158" s="849">
        <v>430</v>
      </c>
      <c r="C158" s="849">
        <v>430</v>
      </c>
      <c r="D158" s="850">
        <f>+AVERAGE(B158:C158)</f>
        <v>430</v>
      </c>
      <c r="E158" s="79">
        <f>+'Model Main'!$EN$73</f>
        <v>492</v>
      </c>
      <c r="F158" s="1085">
        <f>E158-D158</f>
        <v>62</v>
      </c>
      <c r="G158" s="800">
        <f>E158/D158-1</f>
        <v>0.14418604651162781</v>
      </c>
      <c r="H158" s="79"/>
      <c r="I158" s="1085"/>
      <c r="J158" s="800"/>
    </row>
    <row r="159" spans="1:24" x14ac:dyDescent="0.3">
      <c r="A159" s="144" t="s">
        <v>551</v>
      </c>
      <c r="B159" s="95">
        <v>20</v>
      </c>
      <c r="C159" s="95">
        <v>20</v>
      </c>
      <c r="D159" s="475">
        <f>+AVERAGE(B159:C159)</f>
        <v>20</v>
      </c>
      <c r="E159" s="79">
        <f>+'Model Main'!$EN$166</f>
        <v>8</v>
      </c>
      <c r="F159" s="1085">
        <f>E159-D159</f>
        <v>-12</v>
      </c>
      <c r="G159" s="800">
        <f>E159/D159-1</f>
        <v>-0.6</v>
      </c>
      <c r="H159" s="79"/>
      <c r="I159" s="1085"/>
      <c r="J159" s="800"/>
    </row>
    <row r="160" spans="1:24" x14ac:dyDescent="0.3">
      <c r="A160" s="144" t="s">
        <v>3301</v>
      </c>
      <c r="B160" s="95">
        <f>75+135</f>
        <v>210</v>
      </c>
      <c r="C160" s="95">
        <f>75+135</f>
        <v>210</v>
      </c>
      <c r="D160" s="475">
        <f>+AVERAGE(B160:C160)</f>
        <v>210</v>
      </c>
      <c r="E160" s="79">
        <f>+'Model Main'!$EN$67</f>
        <v>61</v>
      </c>
      <c r="F160" s="1085">
        <f>E160-D160</f>
        <v>-149</v>
      </c>
      <c r="G160" s="800">
        <f>E160/D160-1</f>
        <v>-0.70952380952380945</v>
      </c>
      <c r="H160" s="79"/>
      <c r="I160" s="1085"/>
      <c r="J160" s="800"/>
    </row>
    <row r="161" spans="1:24" x14ac:dyDescent="0.3">
      <c r="A161" s="144" t="s">
        <v>3325</v>
      </c>
      <c r="B161" s="365">
        <f>B153-SUM(B154,B158:B160)</f>
        <v>-1060</v>
      </c>
      <c r="C161" s="365">
        <f>C153-SUM(C154,C158:C160)</f>
        <v>-1010</v>
      </c>
      <c r="D161" s="475">
        <f>+AVERAGE(B161:C161)</f>
        <v>-1035</v>
      </c>
      <c r="E161" s="79">
        <f>'Model Main'!$EN132</f>
        <v>-1337</v>
      </c>
      <c r="F161" s="1085">
        <f>E161-D161</f>
        <v>-302</v>
      </c>
      <c r="G161" s="800">
        <f>E161/D161-1</f>
        <v>0.29178743961352649</v>
      </c>
      <c r="H161" s="79"/>
      <c r="I161" s="1085"/>
      <c r="J161" s="800"/>
    </row>
    <row r="162" spans="1:24" x14ac:dyDescent="0.3">
      <c r="A162" s="494"/>
      <c r="B162" s="494"/>
      <c r="C162" s="494"/>
      <c r="D162" s="494"/>
      <c r="E162" s="494"/>
      <c r="F162" s="494"/>
      <c r="G162" s="494"/>
      <c r="H162" s="494"/>
      <c r="I162" s="494"/>
      <c r="J162" s="494"/>
    </row>
    <row r="163" spans="1:24" x14ac:dyDescent="0.3">
      <c r="A163" s="144" t="s">
        <v>3326</v>
      </c>
      <c r="B163" s="144"/>
      <c r="C163" s="144"/>
      <c r="D163" s="144"/>
      <c r="E163" s="144"/>
      <c r="F163" s="877"/>
      <c r="G163" s="144"/>
      <c r="H163" s="144"/>
      <c r="I163" s="144"/>
      <c r="J163" s="144"/>
    </row>
    <row r="164" spans="1:24" x14ac:dyDescent="0.3">
      <c r="A164" s="644" t="s">
        <v>1126</v>
      </c>
      <c r="B164" s="644"/>
      <c r="C164" s="644"/>
      <c r="D164" s="644"/>
      <c r="E164" s="644"/>
      <c r="F164" s="644"/>
      <c r="G164" s="644"/>
      <c r="H164" s="644"/>
      <c r="I164" s="644"/>
      <c r="J164" s="644"/>
      <c r="K164" s="644"/>
      <c r="L164" s="644"/>
      <c r="M164" s="644"/>
      <c r="N164" s="644"/>
      <c r="O164" s="644"/>
      <c r="P164" s="644"/>
      <c r="Q164" s="644"/>
      <c r="R164" s="644"/>
      <c r="S164" s="644"/>
      <c r="T164" s="644"/>
      <c r="U164" s="644"/>
      <c r="V164" s="644"/>
      <c r="W164" s="644"/>
      <c r="X164" s="644"/>
    </row>
    <row r="168" spans="1:24" x14ac:dyDescent="0.3">
      <c r="A168" s="818"/>
      <c r="B168" s="818">
        <v>2021</v>
      </c>
      <c r="C168" s="818">
        <v>2021</v>
      </c>
      <c r="D168" s="818">
        <v>2021</v>
      </c>
      <c r="E168" s="818" t="s">
        <v>722</v>
      </c>
      <c r="F168" s="819"/>
      <c r="G168" s="819"/>
    </row>
    <row r="169" spans="1:24" x14ac:dyDescent="0.3">
      <c r="A169" s="820"/>
      <c r="B169" s="820" t="s">
        <v>857</v>
      </c>
      <c r="C169" s="820" t="s">
        <v>858</v>
      </c>
      <c r="D169" s="820" t="s">
        <v>3296</v>
      </c>
      <c r="E169" s="820">
        <v>2021</v>
      </c>
      <c r="F169" s="794" t="s">
        <v>3297</v>
      </c>
      <c r="G169" s="794" t="s">
        <v>1257</v>
      </c>
    </row>
    <row r="170" spans="1:24" x14ac:dyDescent="0.3">
      <c r="A170" s="144" t="s">
        <v>44</v>
      </c>
      <c r="B170" s="95">
        <v>2400</v>
      </c>
      <c r="C170" s="95">
        <v>2500</v>
      </c>
      <c r="D170" s="475">
        <f>+AVERAGE(B170:C170)</f>
        <v>2450</v>
      </c>
      <c r="E170" s="79">
        <f>+Output!$EI$103</f>
        <v>2475</v>
      </c>
      <c r="F170" s="1085">
        <f>E170-D170</f>
        <v>25</v>
      </c>
      <c r="G170" s="800">
        <f>E170/D170-1</f>
        <v>1.0204081632652962E-2</v>
      </c>
      <c r="H170" s="76"/>
      <c r="I170" s="76"/>
      <c r="J170" s="76"/>
      <c r="K170" s="76"/>
    </row>
    <row r="171" spans="1:24" x14ac:dyDescent="0.3">
      <c r="A171" s="144" t="s">
        <v>198</v>
      </c>
      <c r="B171" s="95">
        <v>1800</v>
      </c>
      <c r="C171" s="95">
        <v>1800</v>
      </c>
      <c r="D171" s="475">
        <f>+AVERAGE(B171:C171)</f>
        <v>1800</v>
      </c>
      <c r="E171" s="79">
        <f>+Output!$EI$112</f>
        <v>1705</v>
      </c>
      <c r="F171" s="1085">
        <f>E171-D171</f>
        <v>-95</v>
      </c>
      <c r="G171" s="800">
        <f>E171/D171-1</f>
        <v>-5.2777777777777812E-2</v>
      </c>
      <c r="I171" s="890"/>
      <c r="J171" s="890"/>
      <c r="K171" s="890"/>
    </row>
    <row r="172" spans="1:24" x14ac:dyDescent="0.3">
      <c r="A172" s="144" t="s">
        <v>3061</v>
      </c>
      <c r="B172" s="95">
        <v>600</v>
      </c>
      <c r="C172" s="95">
        <v>600</v>
      </c>
      <c r="D172" s="475">
        <f>+AVERAGE(B172:C172)</f>
        <v>600</v>
      </c>
      <c r="E172" s="79">
        <f>Drivers!EI87</f>
        <v>638</v>
      </c>
      <c r="F172" s="1085">
        <f>E172-D172</f>
        <v>38</v>
      </c>
      <c r="G172" s="800">
        <f>E172/D172-1</f>
        <v>6.3333333333333242E-2</v>
      </c>
    </row>
    <row r="173" spans="1:24" x14ac:dyDescent="0.3">
      <c r="A173" s="144" t="s">
        <v>3298</v>
      </c>
      <c r="B173" s="469">
        <v>550</v>
      </c>
      <c r="C173" s="469">
        <v>550</v>
      </c>
      <c r="D173" s="848">
        <v>550</v>
      </c>
      <c r="E173" s="750">
        <f>Drivers!EI543</f>
        <v>549.99999999999989</v>
      </c>
      <c r="F173" s="1085">
        <f>E173-D173</f>
        <v>0</v>
      </c>
      <c r="G173" s="800">
        <f>E173/D173-1</f>
        <v>0</v>
      </c>
      <c r="H173" s="76"/>
      <c r="I173" s="76"/>
      <c r="J173" s="76"/>
    </row>
    <row r="174" spans="1:24" x14ac:dyDescent="0.3">
      <c r="A174" s="494"/>
      <c r="B174" s="144"/>
      <c r="C174" s="144"/>
      <c r="D174" s="95"/>
      <c r="E174" s="821"/>
      <c r="F174" s="821"/>
      <c r="G174" s="821"/>
    </row>
    <row r="175" spans="1:24" x14ac:dyDescent="0.3">
      <c r="A175" s="144" t="s">
        <v>3299</v>
      </c>
      <c r="B175" s="849">
        <v>365</v>
      </c>
      <c r="C175" s="849">
        <v>365</v>
      </c>
      <c r="D175" s="850">
        <f>+AVERAGE(B175:C175)</f>
        <v>365</v>
      </c>
      <c r="E175" s="79">
        <f>+'Model Main'!$EI$73</f>
        <v>375</v>
      </c>
      <c r="F175" s="1085">
        <f>E175-D175</f>
        <v>10</v>
      </c>
      <c r="G175" s="800">
        <f>E175/D175-1</f>
        <v>2.7397260273972712E-2</v>
      </c>
    </row>
    <row r="176" spans="1:24" x14ac:dyDescent="0.3">
      <c r="A176" s="144" t="s">
        <v>551</v>
      </c>
      <c r="B176" s="95">
        <v>50</v>
      </c>
      <c r="C176" s="95">
        <v>50</v>
      </c>
      <c r="D176" s="475">
        <f>+AVERAGE(B176:C176)</f>
        <v>50</v>
      </c>
      <c r="E176" s="79">
        <f>+'Model Main'!$EI$166</f>
        <v>39</v>
      </c>
      <c r="F176" s="1085">
        <f>E176-D176</f>
        <v>-11</v>
      </c>
      <c r="G176" s="800">
        <f>E176/D176-1</f>
        <v>-0.21999999999999997</v>
      </c>
    </row>
    <row r="177" spans="1:24" x14ac:dyDescent="0.3">
      <c r="A177" s="144" t="s">
        <v>3301</v>
      </c>
      <c r="B177" s="95">
        <v>70</v>
      </c>
      <c r="C177" s="95">
        <v>70</v>
      </c>
      <c r="D177" s="475">
        <f>+AVERAGE(B177:C177)</f>
        <v>70</v>
      </c>
      <c r="E177" s="79">
        <f>+'Model Main'!$EI$67</f>
        <v>81</v>
      </c>
      <c r="F177" s="1085">
        <f>E177-D177</f>
        <v>11</v>
      </c>
      <c r="G177" s="800">
        <f>E177/D177-1</f>
        <v>0.15714285714285725</v>
      </c>
    </row>
    <row r="178" spans="1:24" x14ac:dyDescent="0.3">
      <c r="A178" s="144" t="s">
        <v>3325</v>
      </c>
      <c r="B178" s="95">
        <f>B170-SUM(B171,B175:B177)</f>
        <v>115</v>
      </c>
      <c r="C178" s="95">
        <f>C170-SUM(C171,C175:C177)</f>
        <v>215</v>
      </c>
      <c r="D178" s="475">
        <f>+AVERAGE(B178:C178)</f>
        <v>165</v>
      </c>
      <c r="E178" s="79">
        <f>'Model Main'!EI132</f>
        <v>406</v>
      </c>
      <c r="F178" s="1085">
        <f>E178-D178</f>
        <v>241</v>
      </c>
      <c r="G178" s="800">
        <f>E178/D178-1</f>
        <v>1.4606060606060605</v>
      </c>
    </row>
    <row r="179" spans="1:24" x14ac:dyDescent="0.3">
      <c r="A179" s="494"/>
      <c r="B179" s="494"/>
      <c r="C179" s="494"/>
      <c r="D179" s="494"/>
      <c r="E179" s="494"/>
      <c r="F179" s="494"/>
      <c r="G179" s="494"/>
    </row>
    <row r="180" spans="1:24" x14ac:dyDescent="0.3">
      <c r="A180" s="144" t="s">
        <v>3326</v>
      </c>
      <c r="B180" s="144"/>
      <c r="C180" s="144"/>
      <c r="D180" s="144"/>
      <c r="E180" s="144"/>
      <c r="F180" s="877"/>
      <c r="G180" s="144"/>
    </row>
    <row r="182" spans="1:24" x14ac:dyDescent="0.3">
      <c r="A182" s="644" t="s">
        <v>1125</v>
      </c>
      <c r="B182" s="644"/>
      <c r="C182" s="644"/>
      <c r="D182" s="644"/>
      <c r="E182" s="644"/>
      <c r="F182" s="644"/>
      <c r="G182" s="644"/>
      <c r="H182" s="644"/>
      <c r="I182" s="644"/>
      <c r="J182" s="644"/>
      <c r="K182" s="644"/>
      <c r="L182" s="644"/>
      <c r="M182" s="644"/>
      <c r="N182" s="644"/>
      <c r="O182" s="644"/>
      <c r="P182" s="644"/>
      <c r="Q182" s="644"/>
      <c r="R182" s="644"/>
      <c r="S182" s="644"/>
      <c r="T182" s="644"/>
      <c r="U182" s="644"/>
      <c r="V182" s="644"/>
      <c r="W182" s="644"/>
      <c r="X182" s="644"/>
    </row>
    <row r="186" spans="1:24" x14ac:dyDescent="0.3">
      <c r="A186" s="818"/>
      <c r="B186" s="847">
        <v>2021</v>
      </c>
      <c r="C186" s="847">
        <v>2021</v>
      </c>
      <c r="D186" s="847">
        <v>2021</v>
      </c>
      <c r="E186" s="818" t="s">
        <v>722</v>
      </c>
    </row>
    <row r="187" spans="1:24" x14ac:dyDescent="0.3">
      <c r="A187" s="820"/>
      <c r="B187" s="692" t="s">
        <v>857</v>
      </c>
      <c r="C187" s="692" t="s">
        <v>858</v>
      </c>
      <c r="D187" s="820" t="s">
        <v>3296</v>
      </c>
      <c r="E187" s="820">
        <v>2021</v>
      </c>
    </row>
    <row r="188" spans="1:24" x14ac:dyDescent="0.3">
      <c r="A188" s="144" t="s">
        <v>44</v>
      </c>
      <c r="B188" s="95">
        <v>2400</v>
      </c>
      <c r="C188" s="95">
        <v>2500</v>
      </c>
      <c r="D188" s="475">
        <v>2450</v>
      </c>
      <c r="E188" s="79">
        <v>2461.4175281943603</v>
      </c>
    </row>
    <row r="189" spans="1:24" x14ac:dyDescent="0.3">
      <c r="A189" s="144" t="s">
        <v>198</v>
      </c>
      <c r="B189" s="95">
        <v>1500</v>
      </c>
      <c r="C189" s="95">
        <v>1500</v>
      </c>
      <c r="D189" s="475">
        <v>1500</v>
      </c>
      <c r="E189" s="79">
        <v>1558.7762418071281</v>
      </c>
    </row>
    <row r="190" spans="1:24" x14ac:dyDescent="0.3">
      <c r="A190" s="144" t="s">
        <v>3061</v>
      </c>
      <c r="B190" s="95">
        <v>495</v>
      </c>
      <c r="C190" s="95">
        <v>495</v>
      </c>
      <c r="D190" s="475">
        <v>495</v>
      </c>
      <c r="E190" s="95">
        <v>190</v>
      </c>
    </row>
    <row r="191" spans="1:24" x14ac:dyDescent="0.3">
      <c r="A191" s="144" t="s">
        <v>3298</v>
      </c>
      <c r="B191" s="469">
        <v>550</v>
      </c>
      <c r="C191" s="469">
        <v>550</v>
      </c>
      <c r="D191" s="848">
        <v>550</v>
      </c>
      <c r="E191" s="750">
        <v>46.857601226727382</v>
      </c>
    </row>
    <row r="192" spans="1:24" x14ac:dyDescent="0.3">
      <c r="A192" s="494"/>
      <c r="D192" s="95"/>
      <c r="E192" s="821"/>
    </row>
    <row r="193" spans="1:5" x14ac:dyDescent="0.3">
      <c r="A193" s="144" t="s">
        <v>3299</v>
      </c>
      <c r="B193" s="849">
        <v>365</v>
      </c>
      <c r="C193" s="849">
        <v>365</v>
      </c>
      <c r="D193" s="850">
        <v>365</v>
      </c>
      <c r="E193" s="79">
        <v>362</v>
      </c>
    </row>
    <row r="194" spans="1:5" x14ac:dyDescent="0.3">
      <c r="A194" s="144" t="s">
        <v>551</v>
      </c>
      <c r="B194" s="95">
        <v>50</v>
      </c>
      <c r="C194" s="95">
        <v>50</v>
      </c>
      <c r="D194" s="475">
        <v>50</v>
      </c>
      <c r="E194" s="79">
        <v>13.717289114114509</v>
      </c>
    </row>
    <row r="195" spans="1:5" x14ac:dyDescent="0.3">
      <c r="A195" s="144" t="s">
        <v>3301</v>
      </c>
      <c r="B195" s="95">
        <v>120</v>
      </c>
      <c r="C195" s="95">
        <v>120</v>
      </c>
      <c r="D195" s="475">
        <v>120</v>
      </c>
      <c r="E195" s="79">
        <v>70</v>
      </c>
    </row>
    <row r="196" spans="1:5" x14ac:dyDescent="0.3">
      <c r="A196" s="114"/>
      <c r="B196" s="114"/>
      <c r="C196" s="114"/>
      <c r="D196" s="114"/>
      <c r="E196" s="114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5A270-6961-474A-AC42-BB07CCAC00B4}">
  <sheetPr codeName="Sheet7">
    <tabColor rgb="FF0000FF"/>
  </sheetPr>
  <dimension ref="A1:FN638"/>
  <sheetViews>
    <sheetView showGridLines="0" zoomScaleNormal="100" workbookViewId="0">
      <pane xSplit="54" ySplit="5" topLeftCell="EM241" activePane="bottomRight" state="frozen"/>
      <selection pane="topRight" activeCell="BC1" sqref="BC1"/>
      <selection pane="bottomLeft" activeCell="A6" sqref="A6"/>
      <selection pane="bottomRight" activeCell="EW273" sqref="EW273"/>
    </sheetView>
  </sheetViews>
  <sheetFormatPr defaultRowHeight="12" outlineLevelRow="1" outlineLevelCol="1" x14ac:dyDescent="0.3"/>
  <cols>
    <col min="1" max="1" width="61.33203125" bestFit="1" customWidth="1"/>
    <col min="2" max="4" width="4.109375" customWidth="1"/>
    <col min="5" max="54" width="0" hidden="1" customWidth="1" outlineLevel="1"/>
    <col min="55" max="55" width="9.33203125" collapsed="1"/>
    <col min="56" max="119" width="0" hidden="1" customWidth="1" outlineLevel="1"/>
    <col min="120" max="120" width="9.109375" collapsed="1"/>
    <col min="130" max="133" width="9.44140625" bestFit="1" customWidth="1"/>
    <col min="134" max="134" width="10.109375" bestFit="1" customWidth="1"/>
    <col min="135" max="135" width="9.44140625" bestFit="1" customWidth="1"/>
    <col min="136" max="137" width="11.44140625" bestFit="1" customWidth="1"/>
    <col min="138" max="138" width="10.109375" bestFit="1" customWidth="1"/>
    <col min="141" max="143" width="11.44140625" bestFit="1" customWidth="1"/>
  </cols>
  <sheetData>
    <row r="1" spans="1:170" ht="21.5" thickBot="1" x14ac:dyDescent="0.55000000000000004">
      <c r="A1" s="38" t="s">
        <v>13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</row>
    <row r="2" spans="1:170" x14ac:dyDescent="0.3">
      <c r="A2" s="39" t="s">
        <v>3335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</row>
    <row r="3" spans="1:170" x14ac:dyDescent="0.3">
      <c r="A3" s="40" t="s">
        <v>15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</row>
    <row r="5" spans="1:170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2" t="s">
        <v>3336</v>
      </c>
      <c r="BD5" s="2" t="s">
        <v>3337</v>
      </c>
      <c r="BE5" s="2" t="s">
        <v>3338</v>
      </c>
      <c r="BF5" s="2" t="s">
        <v>3339</v>
      </c>
      <c r="BG5" s="2">
        <v>2005</v>
      </c>
      <c r="BH5" s="2" t="s">
        <v>3340</v>
      </c>
      <c r="BI5" s="2" t="s">
        <v>3341</v>
      </c>
      <c r="BJ5" s="2" t="s">
        <v>3342</v>
      </c>
      <c r="BK5" s="2" t="s">
        <v>3343</v>
      </c>
      <c r="BL5" s="2">
        <f>+SUM(LEFT(BG5,4),1)</f>
        <v>2006</v>
      </c>
      <c r="BM5" s="2" t="s">
        <v>3344</v>
      </c>
      <c r="BN5" s="2" t="s">
        <v>3345</v>
      </c>
      <c r="BO5" s="2" t="s">
        <v>3346</v>
      </c>
      <c r="BP5" s="2" t="s">
        <v>3347</v>
      </c>
      <c r="BQ5" s="2">
        <f>+SUM(LEFT(BL5,4),1)</f>
        <v>2007</v>
      </c>
      <c r="BR5" s="2" t="s">
        <v>3348</v>
      </c>
      <c r="BS5" s="2" t="s">
        <v>3349</v>
      </c>
      <c r="BT5" s="2" t="s">
        <v>3350</v>
      </c>
      <c r="BU5" s="2" t="s">
        <v>3351</v>
      </c>
      <c r="BV5" s="2">
        <f>+SUM(LEFT(BQ5,4),1)</f>
        <v>2008</v>
      </c>
      <c r="BW5" s="2" t="s">
        <v>3352</v>
      </c>
      <c r="BX5" s="2" t="s">
        <v>3353</v>
      </c>
      <c r="BY5" s="2" t="s">
        <v>3354</v>
      </c>
      <c r="BZ5" s="2" t="s">
        <v>3355</v>
      </c>
      <c r="CA5" s="2">
        <f>+SUM(LEFT(BV5,4),1)</f>
        <v>2009</v>
      </c>
      <c r="CB5" s="3" t="s">
        <v>3356</v>
      </c>
      <c r="CC5" s="2" t="s">
        <v>3357</v>
      </c>
      <c r="CD5" s="2" t="s">
        <v>3358</v>
      </c>
      <c r="CE5" s="2" t="s">
        <v>3359</v>
      </c>
      <c r="CF5" s="2">
        <f>+SUM(LEFT(CA5,4),1)</f>
        <v>2010</v>
      </c>
      <c r="CG5" s="2" t="s">
        <v>3360</v>
      </c>
      <c r="CH5" s="2" t="s">
        <v>3361</v>
      </c>
      <c r="CI5" s="2" t="s">
        <v>3362</v>
      </c>
      <c r="CJ5" s="2" t="s">
        <v>3363</v>
      </c>
      <c r="CK5" s="2">
        <f>+SUM(LEFT(CF5,4),1)</f>
        <v>2011</v>
      </c>
      <c r="CL5" s="2" t="s">
        <v>3364</v>
      </c>
      <c r="CM5" s="2" t="s">
        <v>3365</v>
      </c>
      <c r="CN5" s="2" t="s">
        <v>3366</v>
      </c>
      <c r="CO5" s="2" t="s">
        <v>3367</v>
      </c>
      <c r="CP5" s="2">
        <v>2012</v>
      </c>
      <c r="CQ5" s="2" t="s">
        <v>3368</v>
      </c>
      <c r="CR5" s="2" t="s">
        <v>3369</v>
      </c>
      <c r="CS5" s="2" t="s">
        <v>3370</v>
      </c>
      <c r="CT5" s="2" t="s">
        <v>3371</v>
      </c>
      <c r="CU5" s="2">
        <v>2013</v>
      </c>
      <c r="CV5" s="2" t="s">
        <v>2779</v>
      </c>
      <c r="CW5" s="2" t="s">
        <v>2780</v>
      </c>
      <c r="CX5" s="2" t="s">
        <v>2781</v>
      </c>
      <c r="CY5" s="2" t="s">
        <v>2782</v>
      </c>
      <c r="CZ5" s="2">
        <v>2014</v>
      </c>
      <c r="DA5" s="2" t="s">
        <v>2783</v>
      </c>
      <c r="DB5" s="2" t="s">
        <v>2784</v>
      </c>
      <c r="DC5" s="2" t="s">
        <v>2785</v>
      </c>
      <c r="DD5" s="2" t="s">
        <v>2786</v>
      </c>
      <c r="DE5" s="2">
        <v>2015</v>
      </c>
      <c r="DF5" s="2" t="s">
        <v>2787</v>
      </c>
      <c r="DG5" s="2" t="s">
        <v>2788</v>
      </c>
      <c r="DH5" s="2" t="s">
        <v>2789</v>
      </c>
      <c r="DI5" s="2" t="s">
        <v>2790</v>
      </c>
      <c r="DJ5" s="2">
        <f>+SUM(LEFT(DE5,4),1)</f>
        <v>2016</v>
      </c>
      <c r="DK5" s="2" t="s">
        <v>2791</v>
      </c>
      <c r="DL5" s="2" t="s">
        <v>2792</v>
      </c>
      <c r="DM5" s="2" t="s">
        <v>2793</v>
      </c>
      <c r="DN5" s="2" t="s">
        <v>2794</v>
      </c>
      <c r="DO5" s="2">
        <f>+SUM(LEFT(DJ5,4),1)</f>
        <v>2017</v>
      </c>
      <c r="DP5" s="2" t="s">
        <v>2795</v>
      </c>
      <c r="DQ5" s="2" t="s">
        <v>2796</v>
      </c>
      <c r="DR5" s="2" t="s">
        <v>2797</v>
      </c>
      <c r="DS5" s="2" t="s">
        <v>2798</v>
      </c>
      <c r="DT5" s="2">
        <f>+SUM(LEFT(DO5,4),1)</f>
        <v>2018</v>
      </c>
      <c r="DU5" s="2" t="s">
        <v>1876</v>
      </c>
      <c r="DV5" s="2" t="s">
        <v>1877</v>
      </c>
      <c r="DW5" s="2" t="s">
        <v>1878</v>
      </c>
      <c r="DX5" s="2" t="s">
        <v>1879</v>
      </c>
      <c r="DY5" s="2">
        <f>+SUM(LEFT(DT5,4),1)</f>
        <v>2019</v>
      </c>
      <c r="DZ5" s="2" t="s">
        <v>1166</v>
      </c>
      <c r="EA5" s="2" t="s">
        <v>1167</v>
      </c>
      <c r="EB5" s="2" t="s">
        <v>1168</v>
      </c>
      <c r="EC5" s="2" t="s">
        <v>1169</v>
      </c>
      <c r="ED5" s="2">
        <f>+SUM(LEFT(DY5,4),1)</f>
        <v>2020</v>
      </c>
      <c r="EE5" s="2" t="s">
        <v>1125</v>
      </c>
      <c r="EF5" s="2" t="s">
        <v>1126</v>
      </c>
      <c r="EG5" s="2" t="s">
        <v>1127</v>
      </c>
      <c r="EH5" s="2" t="s">
        <v>1128</v>
      </c>
      <c r="EI5" s="2">
        <f>+SUM(LEFT(ED5,4),1)</f>
        <v>2021</v>
      </c>
      <c r="EJ5" s="2" t="s">
        <v>922</v>
      </c>
      <c r="EK5" s="2" t="s">
        <v>923</v>
      </c>
      <c r="EL5" s="2" t="s">
        <v>924</v>
      </c>
      <c r="EM5" s="2" t="s">
        <v>925</v>
      </c>
      <c r="EN5" s="2">
        <v>2022</v>
      </c>
      <c r="EO5" s="2" t="s">
        <v>883</v>
      </c>
      <c r="EP5" s="2" t="s">
        <v>884</v>
      </c>
      <c r="EQ5" s="2" t="s">
        <v>885</v>
      </c>
      <c r="ER5" s="2" t="s">
        <v>886</v>
      </c>
      <c r="ES5" s="2">
        <v>2023</v>
      </c>
      <c r="ET5" s="2" t="s">
        <v>887</v>
      </c>
      <c r="EU5" s="2" t="s">
        <v>888</v>
      </c>
      <c r="EV5" s="2" t="s">
        <v>1027</v>
      </c>
      <c r="EW5" s="2" t="s">
        <v>1028</v>
      </c>
      <c r="EX5" s="2">
        <v>2024</v>
      </c>
      <c r="EY5" s="2" t="s">
        <v>3373</v>
      </c>
      <c r="EZ5" s="2" t="s">
        <v>3374</v>
      </c>
      <c r="FA5" s="2" t="s">
        <v>3375</v>
      </c>
      <c r="FB5" s="2" t="s">
        <v>3376</v>
      </c>
      <c r="FC5" s="2" t="s">
        <v>3377</v>
      </c>
      <c r="FD5" s="2" t="s">
        <v>3378</v>
      </c>
      <c r="FE5" s="2" t="s">
        <v>3379</v>
      </c>
      <c r="FF5" s="2" t="s">
        <v>3380</v>
      </c>
      <c r="FG5" s="2" t="s">
        <v>3381</v>
      </c>
      <c r="FH5" s="2" t="s">
        <v>3382</v>
      </c>
      <c r="FI5" s="2" t="s">
        <v>3383</v>
      </c>
      <c r="FJ5" s="2" t="s">
        <v>3384</v>
      </c>
      <c r="FK5" s="2" t="s">
        <v>3385</v>
      </c>
      <c r="FL5" s="2" t="e">
        <f>+FK5+1</f>
        <v>#VALUE!</v>
      </c>
      <c r="FM5" s="2" t="e">
        <f>+FL5+1</f>
        <v>#VALUE!</v>
      </c>
      <c r="FN5" s="2"/>
    </row>
    <row r="6" spans="1:170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6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</row>
    <row r="7" spans="1:170" collapsed="1" x14ac:dyDescent="0.3">
      <c r="A7" s="1052" t="s">
        <v>3386</v>
      </c>
      <c r="B7" s="1053"/>
      <c r="C7" s="1053"/>
      <c r="D7" s="1053"/>
      <c r="E7" s="1053"/>
      <c r="F7" s="1053"/>
      <c r="G7" s="1053"/>
      <c r="H7" s="1053"/>
      <c r="I7" s="1053"/>
      <c r="J7" s="1053"/>
      <c r="K7" s="1053"/>
      <c r="L7" s="1053"/>
      <c r="M7" s="1053"/>
      <c r="N7" s="1053"/>
      <c r="O7" s="1053"/>
      <c r="P7" s="1053"/>
      <c r="Q7" s="1053"/>
      <c r="R7" s="1053"/>
      <c r="S7" s="1053"/>
      <c r="T7" s="1053"/>
      <c r="U7" s="1053"/>
      <c r="V7" s="1053"/>
      <c r="W7" s="1053"/>
      <c r="X7" s="1053"/>
      <c r="Y7" s="1053"/>
      <c r="Z7" s="1053"/>
      <c r="AA7" s="1053"/>
      <c r="AB7" s="1053"/>
      <c r="AC7" s="1053"/>
      <c r="AD7" s="1053"/>
      <c r="AE7" s="1053"/>
      <c r="AF7" s="1053"/>
      <c r="AG7" s="1053"/>
      <c r="AH7" s="1053"/>
      <c r="AI7" s="1053"/>
      <c r="AJ7" s="1053"/>
      <c r="AK7" s="1053"/>
      <c r="AL7" s="1053"/>
      <c r="AM7" s="1053"/>
      <c r="AN7" s="1053"/>
      <c r="AO7" s="1053"/>
      <c r="AP7" s="1053"/>
      <c r="AQ7" s="1053"/>
      <c r="AR7" s="1053"/>
      <c r="AS7" s="1053"/>
      <c r="AT7" s="1053"/>
      <c r="AU7" s="1053"/>
      <c r="AV7" s="1053"/>
      <c r="AW7" s="1053"/>
      <c r="AX7" s="1053"/>
      <c r="AY7" s="1053"/>
      <c r="AZ7" s="1053"/>
      <c r="BA7" s="1053"/>
      <c r="BB7" s="1053"/>
      <c r="BC7" s="1054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4"/>
      <c r="BQ7" s="1054"/>
      <c r="BR7" s="1054"/>
      <c r="BS7" s="1054"/>
      <c r="BT7" s="1054"/>
      <c r="BU7" s="1054"/>
      <c r="BV7" s="1054"/>
      <c r="BW7" s="1054"/>
      <c r="BX7" s="1054"/>
      <c r="BY7" s="1054"/>
      <c r="BZ7" s="1054"/>
      <c r="CA7" s="1054"/>
      <c r="CB7" s="1054"/>
      <c r="CC7" s="1054"/>
      <c r="CD7" s="1054"/>
      <c r="CE7" s="1054"/>
      <c r="CF7" s="1054"/>
      <c r="CG7" s="1054"/>
      <c r="CH7" s="1054"/>
      <c r="CI7" s="1054"/>
      <c r="CJ7" s="1054"/>
      <c r="CK7" s="1054"/>
      <c r="CL7" s="1054"/>
      <c r="CM7" s="1054"/>
      <c r="CN7" s="1054"/>
      <c r="CO7" s="1054"/>
      <c r="CP7" s="1054"/>
      <c r="CQ7" s="1054"/>
      <c r="CR7" s="1054"/>
      <c r="CS7" s="1054"/>
      <c r="CT7" s="1054"/>
      <c r="CU7" s="1054"/>
      <c r="CV7" s="1054"/>
      <c r="CW7" s="1054"/>
      <c r="CX7" s="1054"/>
      <c r="CY7" s="1054"/>
      <c r="CZ7" s="1054"/>
      <c r="DA7" s="1054"/>
      <c r="DB7" s="1054"/>
      <c r="DC7" s="1054"/>
      <c r="DD7" s="1054"/>
      <c r="DE7" s="1054"/>
      <c r="DF7" s="1054"/>
      <c r="DG7" s="1054"/>
      <c r="DH7" s="1054"/>
      <c r="DI7" s="1054"/>
      <c r="DJ7" s="1054"/>
      <c r="DK7" s="1054"/>
      <c r="DL7" s="1054"/>
      <c r="DM7" s="1054"/>
      <c r="DN7" s="1054"/>
      <c r="DO7" s="1054"/>
      <c r="DP7" s="1055"/>
      <c r="DQ7" s="1054"/>
      <c r="DR7" s="1054"/>
      <c r="DS7" s="1054"/>
      <c r="DT7" s="1054"/>
      <c r="DU7" s="1055"/>
      <c r="DV7" s="1053"/>
      <c r="DW7" s="1053"/>
      <c r="DX7" s="1053"/>
      <c r="DY7" s="1053"/>
      <c r="DZ7" s="1053"/>
      <c r="EA7" s="1053"/>
      <c r="EB7" s="1053"/>
      <c r="EC7" s="1053"/>
      <c r="ED7" s="1053"/>
      <c r="EE7" s="1053"/>
      <c r="EF7" s="1055"/>
      <c r="EG7" s="1055"/>
      <c r="EH7" s="1055"/>
      <c r="EI7" s="1053"/>
      <c r="EJ7" s="1053"/>
      <c r="EK7" s="1055"/>
      <c r="EL7" s="1055"/>
      <c r="EM7" s="1055"/>
      <c r="EN7" s="1055"/>
      <c r="EO7" s="1055"/>
      <c r="EP7" s="1055"/>
      <c r="EQ7" s="1055"/>
      <c r="ER7" s="1055"/>
      <c r="ES7" s="1055"/>
      <c r="ET7" s="1055"/>
      <c r="EU7" s="1055"/>
      <c r="EV7" s="1055"/>
      <c r="EW7" s="1055"/>
      <c r="EX7" s="1055"/>
      <c r="EY7" s="1055"/>
      <c r="EZ7" s="1055"/>
      <c r="FA7" s="1055"/>
      <c r="FB7" s="1055"/>
      <c r="FC7" s="1055"/>
      <c r="FD7" s="1055"/>
      <c r="FE7" s="1055"/>
      <c r="FF7" s="1055"/>
      <c r="FG7" s="1055"/>
      <c r="FH7" s="1055"/>
    </row>
    <row r="8" spans="1:170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6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</row>
    <row r="9" spans="1:170" x14ac:dyDescent="0.3">
      <c r="A9" s="1" t="s">
        <v>3387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6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17">
        <v>52</v>
      </c>
      <c r="EK9" s="17">
        <v>50</v>
      </c>
      <c r="EL9" s="17">
        <v>64</v>
      </c>
      <c r="EM9" s="17">
        <v>73</v>
      </c>
      <c r="EN9" s="885">
        <f>SUM(EJ9:EM9)</f>
        <v>239</v>
      </c>
      <c r="EO9" s="17">
        <v>84</v>
      </c>
      <c r="EP9" s="17">
        <v>63</v>
      </c>
      <c r="EQ9" s="17">
        <v>75</v>
      </c>
      <c r="ER9" s="17">
        <v>81</v>
      </c>
      <c r="ES9" s="885">
        <f>SUM(EO9:ER9)</f>
        <v>303</v>
      </c>
      <c r="ET9" s="17">
        <v>85</v>
      </c>
      <c r="EU9" s="17">
        <v>90</v>
      </c>
      <c r="EV9" s="17">
        <v>104</v>
      </c>
      <c r="EW9" s="17">
        <v>92</v>
      </c>
      <c r="EX9" s="885">
        <f>SUM(ET9:EW9)</f>
        <v>371</v>
      </c>
      <c r="EY9" s="5"/>
      <c r="EZ9" s="5"/>
      <c r="FA9" s="5"/>
      <c r="FB9" s="5"/>
      <c r="FC9" s="5"/>
      <c r="FD9" s="5"/>
      <c r="FE9" s="5" t="s">
        <v>3388</v>
      </c>
      <c r="FF9" s="5"/>
      <c r="FG9" s="5"/>
      <c r="FH9" s="5"/>
      <c r="FI9" s="5"/>
      <c r="FJ9" s="5"/>
      <c r="FK9" s="5"/>
      <c r="FL9" s="5"/>
      <c r="FM9" s="5"/>
      <c r="FN9" s="5"/>
    </row>
    <row r="10" spans="1:170" x14ac:dyDescent="0.3">
      <c r="A10" s="1" t="s">
        <v>3389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6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1040">
        <v>-30</v>
      </c>
      <c r="EK10" s="1040">
        <v>-41</v>
      </c>
      <c r="EL10" s="1040">
        <v>-58</v>
      </c>
      <c r="EM10" s="1040">
        <v>-62</v>
      </c>
      <c r="EN10" s="901">
        <f>SUM(EJ10:EM10)</f>
        <v>-191</v>
      </c>
      <c r="EO10" s="1040">
        <v>-56</v>
      </c>
      <c r="EP10" s="1040">
        <v>-59</v>
      </c>
      <c r="EQ10" s="1040">
        <v>-58</v>
      </c>
      <c r="ER10" s="1040">
        <v>-48</v>
      </c>
      <c r="ES10" s="901">
        <f>SUM(EO10:ER10)</f>
        <v>-221</v>
      </c>
      <c r="ET10" s="1040">
        <v>-51</v>
      </c>
      <c r="EU10" s="1040">
        <v>-50</v>
      </c>
      <c r="EV10" s="1040">
        <v>-55</v>
      </c>
      <c r="EW10" s="1040">
        <v>-54</v>
      </c>
      <c r="EX10" s="901">
        <f>SUM(ET10:EW10)</f>
        <v>-210</v>
      </c>
      <c r="EY10" s="5"/>
      <c r="EZ10" s="5"/>
      <c r="FA10" s="5"/>
      <c r="FB10" s="5"/>
      <c r="FC10" s="5"/>
      <c r="FD10" s="5"/>
      <c r="FE10" s="5" t="s">
        <v>3388</v>
      </c>
      <c r="FF10" s="5"/>
      <c r="FG10" s="5"/>
      <c r="FH10" s="5"/>
      <c r="FI10" s="5"/>
      <c r="FJ10" s="5"/>
      <c r="FK10" s="5"/>
      <c r="FL10" s="5"/>
      <c r="FM10" s="5"/>
      <c r="FN10" s="5"/>
    </row>
    <row r="11" spans="1:170" x14ac:dyDescent="0.3">
      <c r="A11" s="1" t="s">
        <v>3390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6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121">
        <f t="shared" ref="EJ11:ET11" si="0">SUM(EJ9:EJ10)</f>
        <v>22</v>
      </c>
      <c r="EK11" s="121">
        <f t="shared" si="0"/>
        <v>9</v>
      </c>
      <c r="EL11" s="121">
        <f t="shared" si="0"/>
        <v>6</v>
      </c>
      <c r="EM11" s="121">
        <f t="shared" si="0"/>
        <v>11</v>
      </c>
      <c r="EN11" s="916">
        <f t="shared" si="0"/>
        <v>48</v>
      </c>
      <c r="EO11" s="121">
        <f t="shared" si="0"/>
        <v>28</v>
      </c>
      <c r="EP11" s="121">
        <f t="shared" si="0"/>
        <v>4</v>
      </c>
      <c r="EQ11" s="121">
        <f t="shared" si="0"/>
        <v>17</v>
      </c>
      <c r="ER11" s="121">
        <f t="shared" si="0"/>
        <v>33</v>
      </c>
      <c r="ES11" s="916">
        <f t="shared" si="0"/>
        <v>82</v>
      </c>
      <c r="ET11" s="121">
        <f t="shared" si="0"/>
        <v>34</v>
      </c>
      <c r="EU11" s="121">
        <f t="shared" ref="EU11:EV11" si="1">SUM(EU9:EU10)</f>
        <v>40</v>
      </c>
      <c r="EV11" s="121">
        <f t="shared" si="1"/>
        <v>49</v>
      </c>
      <c r="EW11" s="121">
        <f t="shared" ref="EW11:EX11" si="2">SUM(EW9:EW10)</f>
        <v>38</v>
      </c>
      <c r="EX11" s="916">
        <f t="shared" si="2"/>
        <v>161</v>
      </c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</row>
    <row r="12" spans="1:170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6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</row>
    <row r="13" spans="1:170" x14ac:dyDescent="0.3">
      <c r="A13" s="1" t="s">
        <v>3391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6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17">
        <v>3</v>
      </c>
      <c r="EK13" s="17">
        <v>4</v>
      </c>
      <c r="EL13" s="17">
        <v>2</v>
      </c>
      <c r="EM13" s="17">
        <v>4</v>
      </c>
      <c r="EN13" s="885">
        <f>SUM(EJ13:EM13)</f>
        <v>13</v>
      </c>
      <c r="EO13" s="17">
        <v>4</v>
      </c>
      <c r="EP13" s="17">
        <v>4</v>
      </c>
      <c r="EQ13" s="17">
        <v>4</v>
      </c>
      <c r="ER13" s="17">
        <v>3</v>
      </c>
      <c r="ES13" s="885">
        <f>SUM(EO13:ER13)</f>
        <v>15</v>
      </c>
      <c r="ET13" s="17">
        <v>3</v>
      </c>
      <c r="EU13" s="17">
        <v>2</v>
      </c>
      <c r="EV13" s="17">
        <v>4</v>
      </c>
      <c r="EW13" s="17">
        <v>5</v>
      </c>
      <c r="EX13" s="885">
        <f>SUM(ET13:EW13)</f>
        <v>14</v>
      </c>
      <c r="EY13" s="5"/>
      <c r="EZ13" s="5"/>
      <c r="FA13" s="5"/>
      <c r="FB13" s="5"/>
      <c r="FC13" s="5"/>
      <c r="FD13" s="5"/>
      <c r="FE13" s="5" t="s">
        <v>3388</v>
      </c>
      <c r="FF13" s="5"/>
      <c r="FG13" s="5"/>
      <c r="FH13" s="5"/>
      <c r="FI13" s="5"/>
      <c r="FJ13" s="5"/>
      <c r="FK13" s="5"/>
      <c r="FL13" s="5"/>
      <c r="FM13" s="5"/>
      <c r="FN13" s="5"/>
    </row>
    <row r="14" spans="1:170" x14ac:dyDescent="0.3">
      <c r="A14" s="1" t="s">
        <v>3392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6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1040">
        <v>-3</v>
      </c>
      <c r="EK14" s="1040">
        <v>-5</v>
      </c>
      <c r="EL14" s="1040">
        <v>-5</v>
      </c>
      <c r="EM14" s="1040">
        <v>-7</v>
      </c>
      <c r="EN14" s="901">
        <f>SUM(EJ14:EM14)</f>
        <v>-20</v>
      </c>
      <c r="EO14" s="1040">
        <v>-6</v>
      </c>
      <c r="EP14" s="1040">
        <v>-4</v>
      </c>
      <c r="EQ14" s="1040">
        <v>-6</v>
      </c>
      <c r="ER14" s="1040">
        <v>-6</v>
      </c>
      <c r="ES14" s="901">
        <f>SUM(EO14:ER14)</f>
        <v>-22</v>
      </c>
      <c r="ET14" s="1040">
        <v>-6</v>
      </c>
      <c r="EU14" s="1040">
        <v>-6</v>
      </c>
      <c r="EV14" s="1040">
        <v>-6</v>
      </c>
      <c r="EW14" s="1040">
        <v>-6</v>
      </c>
      <c r="EX14" s="901">
        <f>SUM(ET14:EW14)</f>
        <v>-24</v>
      </c>
      <c r="EY14" s="5"/>
      <c r="EZ14" s="5"/>
      <c r="FA14" s="5"/>
      <c r="FB14" s="5"/>
      <c r="FC14" s="5"/>
      <c r="FD14" s="5"/>
      <c r="FE14" s="5" t="s">
        <v>3388</v>
      </c>
      <c r="FF14" s="5"/>
      <c r="FG14" s="5"/>
      <c r="FH14" s="5"/>
      <c r="FI14" s="5"/>
      <c r="FJ14" s="5"/>
      <c r="FK14" s="5"/>
      <c r="FL14" s="5"/>
      <c r="FM14" s="5"/>
      <c r="FN14" s="5"/>
    </row>
    <row r="15" spans="1:170" x14ac:dyDescent="0.3">
      <c r="A15" s="1" t="s">
        <v>3393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6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121">
        <f>SUM(EJ13:EJ14)</f>
        <v>0</v>
      </c>
      <c r="EK15" s="121">
        <f>SUM(EK13:EK14)</f>
        <v>-1</v>
      </c>
      <c r="EL15" s="121">
        <f>SUM(EL13:EL14)</f>
        <v>-3</v>
      </c>
      <c r="EM15" s="121">
        <f>SUM(EM13:EM14)</f>
        <v>-3</v>
      </c>
      <c r="EN15" s="916">
        <f>SUM(EN13:EN14)</f>
        <v>-7</v>
      </c>
      <c r="EO15" s="121">
        <f t="shared" ref="EO15:EP15" si="3">SUM(EO13:EO14)</f>
        <v>-2</v>
      </c>
      <c r="EP15" s="121">
        <f t="shared" si="3"/>
        <v>0</v>
      </c>
      <c r="EQ15" s="121">
        <f t="shared" ref="EQ15:EV15" si="4">SUM(EQ13:EQ14)</f>
        <v>-2</v>
      </c>
      <c r="ER15" s="121">
        <f t="shared" si="4"/>
        <v>-3</v>
      </c>
      <c r="ES15" s="916">
        <f t="shared" si="4"/>
        <v>-7</v>
      </c>
      <c r="ET15" s="121">
        <f t="shared" si="4"/>
        <v>-3</v>
      </c>
      <c r="EU15" s="121">
        <f t="shared" si="4"/>
        <v>-4</v>
      </c>
      <c r="EV15" s="121">
        <f t="shared" si="4"/>
        <v>-2</v>
      </c>
      <c r="EW15" s="121">
        <f t="shared" ref="EW15:EX15" si="5">SUM(EW13:EW14)</f>
        <v>-1</v>
      </c>
      <c r="EX15" s="916">
        <f t="shared" si="5"/>
        <v>-10</v>
      </c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</row>
    <row r="16" spans="1:170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6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</row>
    <row r="17" spans="1:170" x14ac:dyDescent="0.3">
      <c r="A17" s="1" t="s">
        <v>3394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6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1034">
        <v>62.1</v>
      </c>
      <c r="EK17" s="1034">
        <v>63.35</v>
      </c>
      <c r="EL17" s="1034">
        <v>62.97</v>
      </c>
      <c r="EM17" s="1034">
        <v>61.2</v>
      </c>
      <c r="EN17" s="1034">
        <v>62.45</v>
      </c>
      <c r="EO17" s="1034">
        <v>61.44</v>
      </c>
      <c r="EP17" s="1034">
        <v>63.12</v>
      </c>
      <c r="EQ17" s="1034">
        <v>64.489999999999995</v>
      </c>
      <c r="ER17" s="1034">
        <v>64.16</v>
      </c>
      <c r="ES17" s="1034">
        <v>63.39</v>
      </c>
      <c r="ET17" s="1034">
        <v>65.180000000000007</v>
      </c>
      <c r="EU17" s="1034">
        <v>65.319999999999993</v>
      </c>
      <c r="EV17" s="1034">
        <v>65.400000000000006</v>
      </c>
      <c r="EW17" s="1034">
        <v>65.98</v>
      </c>
      <c r="EX17" s="1034">
        <v>63.39</v>
      </c>
      <c r="EY17" s="5"/>
      <c r="EZ17" s="5"/>
      <c r="FA17" s="5"/>
      <c r="FB17" s="5"/>
      <c r="FC17" s="5"/>
      <c r="FD17" s="5"/>
      <c r="FE17" s="5" t="s">
        <v>3395</v>
      </c>
      <c r="FF17" s="5"/>
      <c r="FG17" s="5"/>
      <c r="FH17" s="5"/>
      <c r="FI17" s="5"/>
      <c r="FJ17" s="5"/>
      <c r="FK17" s="5"/>
      <c r="FL17" s="5"/>
      <c r="FM17" s="5"/>
      <c r="FN17" s="5"/>
    </row>
    <row r="18" spans="1:170" x14ac:dyDescent="0.3">
      <c r="A18" s="1" t="s">
        <v>3396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6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1045">
        <v>45.72</v>
      </c>
      <c r="EK18" s="1045">
        <v>48.47</v>
      </c>
      <c r="EL18" s="1045">
        <v>49.65</v>
      </c>
      <c r="EM18" s="1045">
        <v>48.7</v>
      </c>
      <c r="EN18" s="1045">
        <v>48.13</v>
      </c>
      <c r="EO18" s="1045">
        <v>48.88</v>
      </c>
      <c r="EP18" s="1045">
        <v>51.9</v>
      </c>
      <c r="EQ18" s="1045">
        <v>54.62</v>
      </c>
      <c r="ER18" s="1045">
        <v>54.22</v>
      </c>
      <c r="ES18" s="1045">
        <v>52.43</v>
      </c>
      <c r="ET18" s="1045">
        <v>56.16</v>
      </c>
      <c r="EU18" s="1045">
        <v>58.26</v>
      </c>
      <c r="EV18" s="1045">
        <v>59.16</v>
      </c>
      <c r="EW18" s="1045">
        <v>62.12</v>
      </c>
      <c r="EX18" s="1045">
        <v>52.43</v>
      </c>
      <c r="EY18" s="5"/>
      <c r="EZ18" s="5"/>
      <c r="FA18" s="5"/>
      <c r="FB18" s="5"/>
      <c r="FC18" s="5"/>
      <c r="FD18" s="5"/>
      <c r="FE18" s="5" t="s">
        <v>3395</v>
      </c>
      <c r="FF18" s="5"/>
      <c r="FG18" s="5"/>
      <c r="FH18" s="5"/>
      <c r="FI18" s="5"/>
      <c r="FJ18" s="5"/>
      <c r="FK18" s="5"/>
      <c r="FL18" s="5"/>
      <c r="FM18" s="5"/>
      <c r="FN18" s="5"/>
    </row>
    <row r="19" spans="1:170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6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</row>
    <row r="20" spans="1:170" x14ac:dyDescent="0.3">
      <c r="A20" s="797" t="s">
        <v>3055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6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1043">
        <v>1.1900000000000001E-2</v>
      </c>
      <c r="EK20" s="1043">
        <v>1.43E-2</v>
      </c>
      <c r="EL20" s="1043">
        <v>1.6E-2</v>
      </c>
      <c r="EM20" s="1043">
        <v>1.32E-2</v>
      </c>
      <c r="EN20" s="1043">
        <v>1.38E-2</v>
      </c>
      <c r="EO20" s="1043">
        <v>1.2E-2</v>
      </c>
      <c r="EP20" s="1043">
        <v>1.41E-2</v>
      </c>
      <c r="EQ20" s="1043">
        <v>1.47E-2</v>
      </c>
      <c r="ER20" s="1043">
        <v>1.2E-2</v>
      </c>
      <c r="ES20" s="1043">
        <v>1.32E-2</v>
      </c>
      <c r="ET20" s="1043">
        <v>1.24E-2</v>
      </c>
      <c r="EU20" s="1043">
        <v>1.4E-2</v>
      </c>
      <c r="EV20" s="1043">
        <v>1.49E-2</v>
      </c>
      <c r="EW20" s="1043">
        <v>1.3100000000000001E-2</v>
      </c>
      <c r="EX20" s="1043">
        <v>1.32E-2</v>
      </c>
      <c r="EY20" s="5"/>
      <c r="EZ20" s="5"/>
      <c r="FA20" s="5"/>
      <c r="FB20" s="5"/>
      <c r="FC20" s="5"/>
      <c r="FD20" s="5"/>
      <c r="FE20" s="5" t="s">
        <v>3395</v>
      </c>
      <c r="FF20" s="5"/>
      <c r="FG20" s="5"/>
      <c r="FH20" s="5"/>
      <c r="FI20" s="5"/>
      <c r="FJ20" s="5"/>
      <c r="FK20" s="5"/>
      <c r="FL20" s="5"/>
      <c r="FM20" s="5"/>
      <c r="FN20" s="5"/>
    </row>
    <row r="21" spans="1:170" x14ac:dyDescent="0.3">
      <c r="A21" s="797" t="s">
        <v>3056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6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1046">
        <v>1.5299999999999999E-2</v>
      </c>
      <c r="EK21" s="1046">
        <v>1.7299999999999999E-2</v>
      </c>
      <c r="EL21" s="1046">
        <v>2.0199999999999999E-2</v>
      </c>
      <c r="EM21" s="1046">
        <v>1.8800000000000001E-2</v>
      </c>
      <c r="EN21" s="1046">
        <v>1.7899999999999999E-2</v>
      </c>
      <c r="EO21" s="1046">
        <v>1.7100000000000001E-2</v>
      </c>
      <c r="EP21" s="1046">
        <v>1.84E-2</v>
      </c>
      <c r="EQ21" s="1046">
        <v>2.18E-2</v>
      </c>
      <c r="ER21" s="1046">
        <v>1.8599999999999998E-2</v>
      </c>
      <c r="ES21" s="1046">
        <v>1.9E-2</v>
      </c>
      <c r="ET21" s="1046">
        <v>1.9300000000000001E-2</v>
      </c>
      <c r="EU21" s="1046">
        <v>2.0199999999999999E-2</v>
      </c>
      <c r="EV21" s="1046">
        <v>2.3699999999999999E-2</v>
      </c>
      <c r="EW21" s="1046">
        <v>2.5399999999999999E-2</v>
      </c>
      <c r="EX21" s="1046">
        <v>1.9E-2</v>
      </c>
      <c r="EY21" s="5"/>
      <c r="EZ21" s="5"/>
      <c r="FA21" s="5"/>
      <c r="FB21" s="5"/>
      <c r="FC21" s="5"/>
      <c r="FD21" s="5"/>
      <c r="FE21" s="5" t="s">
        <v>3395</v>
      </c>
      <c r="FF21" s="5"/>
      <c r="FG21" s="5"/>
      <c r="FH21" s="5"/>
      <c r="FI21" s="5"/>
      <c r="FJ21" s="5"/>
      <c r="FK21" s="5"/>
      <c r="FL21" s="5"/>
      <c r="FM21" s="5"/>
      <c r="FN21" s="5"/>
    </row>
    <row r="22" spans="1:170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6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1047"/>
      <c r="EK22" s="1047"/>
      <c r="EL22" s="1047"/>
      <c r="EM22" s="1047"/>
      <c r="EO22" s="1290"/>
      <c r="EP22" s="1290"/>
      <c r="EQ22" s="1290"/>
      <c r="ER22" s="1290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</row>
    <row r="23" spans="1:170" x14ac:dyDescent="0.3">
      <c r="A23" s="1" t="s">
        <v>3397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6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7">
        <v>274</v>
      </c>
      <c r="EK23" s="7">
        <v>292</v>
      </c>
      <c r="EL23" s="7">
        <v>276</v>
      </c>
      <c r="EM23" s="7">
        <v>326</v>
      </c>
      <c r="EN23" s="1113">
        <f>SUM(EJ23:EM23)</f>
        <v>1168</v>
      </c>
      <c r="EO23" s="1268">
        <v>322</v>
      </c>
      <c r="EP23" s="1268">
        <v>323</v>
      </c>
      <c r="EQ23" s="1268">
        <v>328</v>
      </c>
      <c r="ER23" s="1268">
        <v>356</v>
      </c>
      <c r="ES23" s="1113">
        <f>SUM(EO23:ER23)</f>
        <v>1329</v>
      </c>
      <c r="ET23" s="1268">
        <v>360</v>
      </c>
      <c r="EU23" s="1268">
        <v>382</v>
      </c>
      <c r="EV23" s="1268">
        <v>394</v>
      </c>
      <c r="EW23" s="1268">
        <v>438</v>
      </c>
      <c r="EX23" s="1113">
        <f>SUM(ET23:EW23)</f>
        <v>1574</v>
      </c>
      <c r="EY23" s="5"/>
      <c r="EZ23" s="5"/>
      <c r="FA23" s="5"/>
      <c r="FB23" s="5"/>
      <c r="FC23" s="5"/>
      <c r="FD23" s="5"/>
      <c r="FE23" s="5" t="s">
        <v>3398</v>
      </c>
      <c r="FF23" s="5"/>
      <c r="FG23" s="5"/>
      <c r="FH23" s="5"/>
      <c r="FI23" s="5"/>
      <c r="FJ23" s="5"/>
      <c r="FK23" s="5"/>
      <c r="FL23" s="5"/>
      <c r="FM23" s="5"/>
      <c r="FN23" s="5"/>
    </row>
    <row r="24" spans="1:170" x14ac:dyDescent="0.3">
      <c r="A24" s="1" t="s">
        <v>3399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6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7">
        <v>230</v>
      </c>
      <c r="EK24" s="7">
        <v>227</v>
      </c>
      <c r="EL24" s="7">
        <v>215</v>
      </c>
      <c r="EM24" s="7">
        <v>187</v>
      </c>
      <c r="EN24" s="1113">
        <f>SUM(EJ24:EM24)</f>
        <v>859</v>
      </c>
      <c r="EO24" s="1268">
        <v>176</v>
      </c>
      <c r="EP24" s="1268">
        <v>189</v>
      </c>
      <c r="EQ24" s="1268">
        <v>183</v>
      </c>
      <c r="ER24" s="1268">
        <v>177</v>
      </c>
      <c r="ES24" s="1113">
        <f>SUM(EO24:ER24)</f>
        <v>725</v>
      </c>
      <c r="ET24" s="1268">
        <v>172</v>
      </c>
      <c r="EU24" s="1268">
        <v>165</v>
      </c>
      <c r="EV24" s="1268">
        <v>137</v>
      </c>
      <c r="EW24" s="1268">
        <v>142</v>
      </c>
      <c r="EX24" s="1113">
        <f>SUM(ET24:EW24)</f>
        <v>616</v>
      </c>
      <c r="EY24" s="5"/>
      <c r="EZ24" s="5"/>
      <c r="FA24" s="5"/>
      <c r="FB24" s="5"/>
      <c r="FC24" s="5"/>
      <c r="FD24" s="5"/>
      <c r="FE24" s="5" t="s">
        <v>3398</v>
      </c>
      <c r="FF24" s="5"/>
      <c r="FG24" s="5"/>
      <c r="FH24" s="5"/>
      <c r="FI24" s="5"/>
      <c r="FJ24" s="5"/>
      <c r="FK24" s="5"/>
      <c r="FL24" s="5"/>
      <c r="FM24" s="5"/>
      <c r="FN24" s="5"/>
    </row>
    <row r="25" spans="1:170" x14ac:dyDescent="0.3">
      <c r="A25" s="1" t="s">
        <v>3400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6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7">
        <v>5</v>
      </c>
      <c r="EK25" s="7">
        <v>16</v>
      </c>
      <c r="EL25" s="7">
        <v>17</v>
      </c>
      <c r="EM25" s="7">
        <v>15</v>
      </c>
      <c r="EN25" s="1116">
        <f>SUM(EJ25:EM25)</f>
        <v>53</v>
      </c>
      <c r="EO25" s="7">
        <v>21</v>
      </c>
      <c r="EP25" s="7">
        <v>21</v>
      </c>
      <c r="EQ25" s="7">
        <v>15</v>
      </c>
      <c r="ER25" s="7">
        <v>16</v>
      </c>
      <c r="ES25" s="1116">
        <f>SUM(EO25:ER25)</f>
        <v>73</v>
      </c>
      <c r="ET25" s="7">
        <v>15</v>
      </c>
      <c r="EU25" s="7">
        <v>13</v>
      </c>
      <c r="EV25" s="7">
        <v>18</v>
      </c>
      <c r="EW25" s="7">
        <v>15</v>
      </c>
      <c r="EX25" s="1116">
        <f>SUM(ET25:EW25)</f>
        <v>61</v>
      </c>
      <c r="EY25" s="5"/>
      <c r="EZ25" s="5"/>
      <c r="FA25" s="5"/>
      <c r="FB25" s="5"/>
      <c r="FC25" s="5"/>
      <c r="FD25" s="5"/>
      <c r="FE25" s="5" t="s">
        <v>3398</v>
      </c>
      <c r="FF25" s="5"/>
      <c r="FG25" s="5"/>
      <c r="FH25" s="5"/>
      <c r="FI25" s="5"/>
      <c r="FJ25" s="5"/>
      <c r="FK25" s="5"/>
      <c r="FL25" s="5"/>
      <c r="FM25" s="5"/>
      <c r="FN25" s="5"/>
    </row>
    <row r="26" spans="1:170" x14ac:dyDescent="0.3">
      <c r="A26" s="1" t="s">
        <v>3401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6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830">
        <f>SUM(EJ23:EJ25)</f>
        <v>509</v>
      </c>
      <c r="EK26" s="830">
        <f t="shared" ref="EK26:EM26" si="6">SUM(EK23:EK25)</f>
        <v>535</v>
      </c>
      <c r="EL26" s="830">
        <f t="shared" si="6"/>
        <v>508</v>
      </c>
      <c r="EM26" s="830">
        <f t="shared" si="6"/>
        <v>528</v>
      </c>
      <c r="EN26" s="1113">
        <f>SUM(EN23:EN25)</f>
        <v>2080</v>
      </c>
      <c r="EO26" s="830">
        <f>SUM(EO23:EO25)</f>
        <v>519</v>
      </c>
      <c r="EP26" s="830">
        <f t="shared" ref="EP26" si="7">SUM(EP23:EP25)</f>
        <v>533</v>
      </c>
      <c r="EQ26" s="830">
        <f t="shared" ref="EQ26" si="8">SUM(EQ23:EQ25)</f>
        <v>526</v>
      </c>
      <c r="ER26" s="830">
        <f t="shared" ref="ER26:ET26" si="9">SUM(ER23:ER25)</f>
        <v>549</v>
      </c>
      <c r="ES26" s="1113">
        <f>SUM(ES23:ES25)</f>
        <v>2127</v>
      </c>
      <c r="ET26" s="830">
        <f t="shared" si="9"/>
        <v>547</v>
      </c>
      <c r="EU26" s="830">
        <f t="shared" ref="EU26:EV26" si="10">SUM(EU23:EU25)</f>
        <v>560</v>
      </c>
      <c r="EV26" s="830">
        <f t="shared" si="10"/>
        <v>549</v>
      </c>
      <c r="EW26" s="830">
        <f t="shared" ref="EW26" si="11">SUM(EW23:EW25)</f>
        <v>595</v>
      </c>
      <c r="EX26" s="1113">
        <f>SUM(EX23:EX25)</f>
        <v>2251</v>
      </c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</row>
    <row r="27" spans="1:170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6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</row>
    <row r="28" spans="1:170" x14ac:dyDescent="0.3">
      <c r="A28" s="812" t="s">
        <v>3402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6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 t="s">
        <v>3398</v>
      </c>
      <c r="FF28" s="5"/>
      <c r="FG28" s="5"/>
      <c r="FH28" s="5"/>
      <c r="FI28" s="5"/>
      <c r="FJ28" s="5"/>
      <c r="FK28" s="5"/>
      <c r="FL28" s="5"/>
      <c r="FM28" s="5"/>
      <c r="FN28" s="5"/>
    </row>
    <row r="29" spans="1:170" x14ac:dyDescent="0.3">
      <c r="A29" s="813" t="s">
        <v>1786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6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7">
        <v>407</v>
      </c>
      <c r="EK29" s="7">
        <v>421</v>
      </c>
      <c r="EL29" s="7">
        <v>424</v>
      </c>
      <c r="EM29" s="7">
        <v>436</v>
      </c>
      <c r="EN29" s="1113">
        <f>SUM(EJ29:EM29)</f>
        <v>1688</v>
      </c>
      <c r="EO29" s="7">
        <v>448</v>
      </c>
      <c r="EP29" s="7">
        <v>462</v>
      </c>
      <c r="EQ29" s="7">
        <v>479</v>
      </c>
      <c r="ER29" s="7">
        <v>484</v>
      </c>
      <c r="ES29" s="1113">
        <f>SUM(EO29:ER29)</f>
        <v>1873</v>
      </c>
      <c r="ET29" s="7">
        <v>505</v>
      </c>
      <c r="EU29" s="7">
        <v>523</v>
      </c>
      <c r="EV29" s="7">
        <v>537</v>
      </c>
      <c r="EW29" s="7">
        <v>557</v>
      </c>
      <c r="EX29" s="1113">
        <f>SUM(ET29:EW29)</f>
        <v>2122</v>
      </c>
      <c r="EY29" s="5"/>
      <c r="EZ29" s="5"/>
      <c r="FA29" s="5"/>
      <c r="FB29" s="5"/>
      <c r="FC29" s="5"/>
      <c r="FD29" s="5"/>
      <c r="FE29" s="5" t="s">
        <v>3398</v>
      </c>
      <c r="FF29" s="5"/>
      <c r="FG29" s="5"/>
      <c r="FH29" s="5"/>
      <c r="FI29" s="5"/>
      <c r="FJ29" s="5"/>
      <c r="FK29" s="5"/>
      <c r="FL29" s="5"/>
      <c r="FM29" s="5"/>
      <c r="FN29" s="5"/>
    </row>
    <row r="30" spans="1:170" x14ac:dyDescent="0.3">
      <c r="A30" s="813" t="s">
        <v>3403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6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7">
        <v>265</v>
      </c>
      <c r="EK30" s="7">
        <v>264</v>
      </c>
      <c r="EL30" s="7">
        <v>267</v>
      </c>
      <c r="EM30" s="7">
        <v>285</v>
      </c>
      <c r="EN30" s="1113">
        <f>SUM(EJ30:EM30)</f>
        <v>1081</v>
      </c>
      <c r="EO30" s="7">
        <v>281</v>
      </c>
      <c r="EP30" s="7">
        <v>284</v>
      </c>
      <c r="EQ30" s="7">
        <v>281</v>
      </c>
      <c r="ER30" s="7">
        <v>278</v>
      </c>
      <c r="ES30" s="1113">
        <f>SUM(EO30:ER30)</f>
        <v>1124</v>
      </c>
      <c r="ET30" s="7">
        <v>300</v>
      </c>
      <c r="EU30" s="7">
        <v>317</v>
      </c>
      <c r="EV30" s="7">
        <v>330</v>
      </c>
      <c r="EW30" s="7">
        <v>333</v>
      </c>
      <c r="EX30" s="1113">
        <f>SUM(ET30:EW30)</f>
        <v>1280</v>
      </c>
      <c r="EY30" s="5"/>
      <c r="EZ30" s="5"/>
      <c r="FA30" s="5"/>
      <c r="FB30" s="5"/>
      <c r="FC30" s="5"/>
      <c r="FD30" s="5"/>
      <c r="FE30" s="5" t="s">
        <v>3398</v>
      </c>
      <c r="FF30" s="5"/>
      <c r="FG30" s="5"/>
      <c r="FH30" s="5"/>
      <c r="FI30" s="5"/>
      <c r="FJ30" s="5"/>
      <c r="FK30" s="5"/>
      <c r="FL30" s="5"/>
      <c r="FM30" s="5"/>
      <c r="FN30" s="5"/>
    </row>
    <row r="31" spans="1:170" x14ac:dyDescent="0.3">
      <c r="A31" s="814" t="s">
        <v>375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6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830">
        <f t="shared" ref="EJ31:ES31" si="12">+EJ29+EJ30</f>
        <v>672</v>
      </c>
      <c r="EK31" s="830">
        <f t="shared" si="12"/>
        <v>685</v>
      </c>
      <c r="EL31" s="830">
        <f t="shared" si="12"/>
        <v>691</v>
      </c>
      <c r="EM31" s="830">
        <f t="shared" si="12"/>
        <v>721</v>
      </c>
      <c r="EN31" s="1829">
        <f t="shared" si="12"/>
        <v>2769</v>
      </c>
      <c r="EO31" s="830">
        <f t="shared" si="12"/>
        <v>729</v>
      </c>
      <c r="EP31" s="830">
        <f t="shared" si="12"/>
        <v>746</v>
      </c>
      <c r="EQ31" s="830">
        <f t="shared" si="12"/>
        <v>760</v>
      </c>
      <c r="ER31" s="830">
        <f t="shared" si="12"/>
        <v>762</v>
      </c>
      <c r="ES31" s="1829">
        <f t="shared" si="12"/>
        <v>2997</v>
      </c>
      <c r="ET31" s="830">
        <f t="shared" ref="ET31:EU31" si="13">+ET29+ET30</f>
        <v>805</v>
      </c>
      <c r="EU31" s="830">
        <f t="shared" si="13"/>
        <v>840</v>
      </c>
      <c r="EV31" s="830">
        <f t="shared" ref="EV31:EX31" si="14">+EV29+EV30</f>
        <v>867</v>
      </c>
      <c r="EW31" s="830">
        <f t="shared" si="14"/>
        <v>890</v>
      </c>
      <c r="EX31" s="1829">
        <f t="shared" si="14"/>
        <v>3402</v>
      </c>
      <c r="EY31" s="5"/>
      <c r="EZ31" s="5"/>
      <c r="FA31" s="5"/>
      <c r="FB31" s="5"/>
      <c r="FC31" s="5"/>
      <c r="FD31" s="5"/>
      <c r="FE31" s="5" t="s">
        <v>3398</v>
      </c>
      <c r="FF31" s="5"/>
      <c r="FG31" s="5"/>
      <c r="FH31" s="5"/>
      <c r="FI31" s="5"/>
      <c r="FJ31" s="5"/>
      <c r="FK31" s="5"/>
      <c r="FL31" s="5"/>
      <c r="FM31" s="5"/>
      <c r="FN31" s="5"/>
    </row>
    <row r="32" spans="1:170" x14ac:dyDescent="0.3">
      <c r="A32" s="813" t="s">
        <v>1787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6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7">
        <v>369</v>
      </c>
      <c r="EK32" s="7">
        <v>370</v>
      </c>
      <c r="EL32" s="7">
        <v>361</v>
      </c>
      <c r="EM32" s="7">
        <v>328</v>
      </c>
      <c r="EN32" s="1113">
        <f>SUM(EJ32:EM32)</f>
        <v>1428</v>
      </c>
      <c r="EO32" s="7">
        <v>313</v>
      </c>
      <c r="EP32" s="7">
        <v>313</v>
      </c>
      <c r="EQ32" s="7">
        <v>308</v>
      </c>
      <c r="ER32" s="7">
        <v>290</v>
      </c>
      <c r="ES32" s="1113">
        <f>SUM(EO32:ER32)</f>
        <v>1224</v>
      </c>
      <c r="ET32" s="7">
        <v>282</v>
      </c>
      <c r="EU32" s="7">
        <v>266</v>
      </c>
      <c r="EV32" s="7">
        <v>252</v>
      </c>
      <c r="EW32" s="7">
        <v>241</v>
      </c>
      <c r="EX32" s="1113">
        <f>SUM(ET32:EW32)</f>
        <v>1041</v>
      </c>
      <c r="EY32" s="5"/>
      <c r="EZ32" s="5"/>
      <c r="FA32" s="5"/>
      <c r="FB32" s="5"/>
      <c r="FC32" s="5"/>
      <c r="FD32" s="5"/>
      <c r="FE32" s="5" t="s">
        <v>3398</v>
      </c>
      <c r="FF32" s="5"/>
      <c r="FG32" s="5"/>
      <c r="FH32" s="5"/>
      <c r="FI32" s="5"/>
      <c r="FJ32" s="5"/>
      <c r="FK32" s="5"/>
      <c r="FL32" s="5"/>
      <c r="FM32" s="5"/>
      <c r="FN32" s="5"/>
    </row>
    <row r="33" spans="1:170" x14ac:dyDescent="0.3">
      <c r="A33" s="813" t="s">
        <v>3404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6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7">
        <v>401</v>
      </c>
      <c r="EK33" s="7">
        <v>387</v>
      </c>
      <c r="EL33" s="7">
        <v>374</v>
      </c>
      <c r="EM33" s="7">
        <v>374</v>
      </c>
      <c r="EN33" s="1113">
        <f>SUM(EJ33:EM33)</f>
        <v>1536</v>
      </c>
      <c r="EO33" s="7">
        <v>376</v>
      </c>
      <c r="EP33" s="7">
        <v>369</v>
      </c>
      <c r="EQ33" s="7">
        <v>353</v>
      </c>
      <c r="ER33" s="7">
        <v>357</v>
      </c>
      <c r="ES33" s="1113">
        <f>SUM(EO33:ER33)</f>
        <v>1455</v>
      </c>
      <c r="ET33" s="7">
        <v>359</v>
      </c>
      <c r="EU33" s="7">
        <v>360</v>
      </c>
      <c r="EV33" s="7">
        <v>352</v>
      </c>
      <c r="EW33" s="7">
        <v>359</v>
      </c>
      <c r="EX33" s="1113">
        <f>SUM(ET33:EW33)</f>
        <v>1430</v>
      </c>
      <c r="EY33" s="5"/>
      <c r="EZ33" s="5"/>
      <c r="FA33" s="5"/>
      <c r="FB33" s="5"/>
      <c r="FC33" s="5"/>
      <c r="FD33" s="5"/>
      <c r="FE33" s="5" t="s">
        <v>3398</v>
      </c>
      <c r="FF33" s="5"/>
      <c r="FG33" s="5"/>
      <c r="FH33" s="5"/>
      <c r="FI33" s="5"/>
      <c r="FJ33" s="5"/>
      <c r="FK33" s="5"/>
      <c r="FL33" s="5"/>
      <c r="FM33" s="5"/>
      <c r="FN33" s="5"/>
    </row>
    <row r="34" spans="1:170" x14ac:dyDescent="0.3">
      <c r="A34" s="814" t="s">
        <v>433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6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830">
        <f t="shared" ref="EJ34:ES34" si="15">SUM(EJ32:EJ33)</f>
        <v>770</v>
      </c>
      <c r="EK34" s="830">
        <f t="shared" si="15"/>
        <v>757</v>
      </c>
      <c r="EL34" s="830">
        <f t="shared" si="15"/>
        <v>735</v>
      </c>
      <c r="EM34" s="830">
        <f t="shared" si="15"/>
        <v>702</v>
      </c>
      <c r="EN34" s="1829">
        <f t="shared" si="15"/>
        <v>2964</v>
      </c>
      <c r="EO34" s="830">
        <f t="shared" si="15"/>
        <v>689</v>
      </c>
      <c r="EP34" s="830">
        <f t="shared" si="15"/>
        <v>682</v>
      </c>
      <c r="EQ34" s="830">
        <f t="shared" si="15"/>
        <v>661</v>
      </c>
      <c r="ER34" s="830">
        <f t="shared" si="15"/>
        <v>647</v>
      </c>
      <c r="ES34" s="1829">
        <f t="shared" si="15"/>
        <v>2679</v>
      </c>
      <c r="ET34" s="830">
        <f t="shared" ref="ET34:EU34" si="16">SUM(ET32:ET33)</f>
        <v>641</v>
      </c>
      <c r="EU34" s="830">
        <f t="shared" si="16"/>
        <v>626</v>
      </c>
      <c r="EV34" s="830">
        <f t="shared" ref="EV34:EX34" si="17">SUM(EV32:EV33)</f>
        <v>604</v>
      </c>
      <c r="EW34" s="830">
        <f t="shared" si="17"/>
        <v>600</v>
      </c>
      <c r="EX34" s="1829">
        <f t="shared" si="17"/>
        <v>2471</v>
      </c>
      <c r="EY34" s="5"/>
      <c r="EZ34" s="5"/>
      <c r="FA34" s="5"/>
      <c r="FB34" s="5"/>
      <c r="FC34" s="5"/>
      <c r="FD34" s="5"/>
      <c r="FE34" s="5" t="s">
        <v>3398</v>
      </c>
      <c r="FF34" s="5"/>
      <c r="FG34" s="5"/>
      <c r="FH34" s="5"/>
      <c r="FI34" s="5"/>
      <c r="FJ34" s="5"/>
      <c r="FK34" s="5"/>
      <c r="FL34" s="5"/>
      <c r="FM34" s="5"/>
      <c r="FN34" s="5"/>
    </row>
    <row r="35" spans="1:170" x14ac:dyDescent="0.3">
      <c r="A35" s="813" t="s">
        <v>3405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6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7">
        <v>5</v>
      </c>
      <c r="EK35" s="7">
        <v>17</v>
      </c>
      <c r="EL35" s="7">
        <v>18</v>
      </c>
      <c r="EM35" s="7">
        <v>14</v>
      </c>
      <c r="EN35" s="1113">
        <f>SUM(EJ35:EM35)</f>
        <v>54</v>
      </c>
      <c r="EO35" s="7">
        <v>22</v>
      </c>
      <c r="EP35" s="7">
        <v>21</v>
      </c>
      <c r="EQ35" s="7">
        <v>15</v>
      </c>
      <c r="ER35" s="7">
        <v>17</v>
      </c>
      <c r="ES35" s="1113">
        <f>SUM(EO35:ER35)</f>
        <v>75</v>
      </c>
      <c r="ET35" s="7">
        <v>16</v>
      </c>
      <c r="EU35" s="7">
        <v>14</v>
      </c>
      <c r="EV35" s="7">
        <v>18</v>
      </c>
      <c r="EW35" s="7">
        <v>16</v>
      </c>
      <c r="EX35" s="1113">
        <f>SUM(ET35:EW35)</f>
        <v>64</v>
      </c>
      <c r="EY35" s="5"/>
      <c r="EZ35" s="5"/>
      <c r="FA35" s="5"/>
      <c r="FB35" s="5"/>
      <c r="FC35" s="5"/>
      <c r="FD35" s="5"/>
      <c r="FE35" s="5" t="s">
        <v>3398</v>
      </c>
      <c r="FF35" s="5"/>
      <c r="FG35" s="5"/>
      <c r="FH35" s="5"/>
      <c r="FI35" s="5"/>
      <c r="FJ35" s="5"/>
      <c r="FK35" s="5"/>
      <c r="FL35" s="5"/>
      <c r="FM35" s="5"/>
      <c r="FN35" s="5"/>
    </row>
    <row r="36" spans="1:170" x14ac:dyDescent="0.3">
      <c r="A36" s="814" t="s">
        <v>19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6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830">
        <f t="shared" ref="EJ36:ES36" si="18">EJ35+EJ34+EJ31</f>
        <v>1447</v>
      </c>
      <c r="EK36" s="830">
        <f t="shared" si="18"/>
        <v>1459</v>
      </c>
      <c r="EL36" s="830">
        <f t="shared" si="18"/>
        <v>1444</v>
      </c>
      <c r="EM36" s="830">
        <f t="shared" si="18"/>
        <v>1437</v>
      </c>
      <c r="EN36" s="1829">
        <f t="shared" si="18"/>
        <v>5787</v>
      </c>
      <c r="EO36" s="830">
        <f t="shared" si="18"/>
        <v>1440</v>
      </c>
      <c r="EP36" s="830">
        <f t="shared" si="18"/>
        <v>1449</v>
      </c>
      <c r="EQ36" s="830">
        <f t="shared" si="18"/>
        <v>1436</v>
      </c>
      <c r="ER36" s="830">
        <f t="shared" si="18"/>
        <v>1426</v>
      </c>
      <c r="ES36" s="1829">
        <f t="shared" si="18"/>
        <v>5751</v>
      </c>
      <c r="ET36" s="830">
        <f t="shared" ref="ET36:EU36" si="19">ET35+ET34+ET31</f>
        <v>1462</v>
      </c>
      <c r="EU36" s="830">
        <f t="shared" si="19"/>
        <v>1480</v>
      </c>
      <c r="EV36" s="830">
        <f t="shared" ref="EV36:EX36" si="20">EV35+EV34+EV31</f>
        <v>1489</v>
      </c>
      <c r="EW36" s="830">
        <f t="shared" si="20"/>
        <v>1506</v>
      </c>
      <c r="EX36" s="1829">
        <f t="shared" si="20"/>
        <v>5937</v>
      </c>
      <c r="EY36" s="5"/>
      <c r="EZ36" s="5"/>
      <c r="FA36" s="5"/>
      <c r="FB36" s="5"/>
      <c r="FC36" s="5"/>
      <c r="FD36" s="5"/>
      <c r="FE36" s="5" t="s">
        <v>3398</v>
      </c>
      <c r="FF36" s="5"/>
      <c r="FG36" s="5"/>
      <c r="FH36" s="5"/>
      <c r="FI36" s="5"/>
      <c r="FJ36" s="5"/>
      <c r="FK36" s="5"/>
      <c r="FL36" s="5"/>
      <c r="FM36" s="5"/>
      <c r="FN36" s="5"/>
    </row>
    <row r="37" spans="1:170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6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</row>
    <row r="38" spans="1:170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6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</row>
    <row r="39" spans="1:170" x14ac:dyDescent="0.3">
      <c r="A39" s="1" t="s">
        <v>3406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6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7">
        <v>447</v>
      </c>
      <c r="EK39" s="7">
        <v>641</v>
      </c>
      <c r="EL39" s="7">
        <v>772</v>
      </c>
      <c r="EM39" s="7">
        <v>878</v>
      </c>
      <c r="EN39" s="1113">
        <f>SUM(EJ39:EM39)</f>
        <v>2738</v>
      </c>
      <c r="EO39" s="7">
        <v>1154</v>
      </c>
      <c r="EP39" s="7">
        <v>1057</v>
      </c>
      <c r="EQ39" s="7">
        <v>671</v>
      </c>
      <c r="ER39" s="7">
        <v>333</v>
      </c>
      <c r="ES39" s="1113">
        <f>SUM(EO39:ER39)</f>
        <v>3215</v>
      </c>
      <c r="ET39" s="7">
        <v>1029</v>
      </c>
      <c r="EU39" s="7">
        <v>678</v>
      </c>
      <c r="EV39" s="7">
        <v>699</v>
      </c>
      <c r="EW39" s="7">
        <v>840</v>
      </c>
      <c r="EX39" s="1113">
        <f>SUM(ET39:EW39)</f>
        <v>3246</v>
      </c>
      <c r="EY39" s="5"/>
      <c r="EZ39" s="5"/>
      <c r="FA39" s="5"/>
      <c r="FB39" s="5"/>
      <c r="FC39" s="5"/>
      <c r="FD39" s="5"/>
      <c r="FE39" s="5" t="s">
        <v>3407</v>
      </c>
      <c r="FF39" s="5"/>
      <c r="FG39" s="5"/>
      <c r="FH39" s="5"/>
      <c r="FI39" s="5"/>
      <c r="FJ39" s="5"/>
      <c r="FK39" s="5"/>
      <c r="FL39" s="5"/>
      <c r="FM39" s="5"/>
      <c r="FN39" s="5"/>
    </row>
    <row r="40" spans="1:170" x14ac:dyDescent="0.3">
      <c r="A40" s="1" t="s">
        <v>99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6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7">
        <v>81</v>
      </c>
      <c r="EK40" s="7">
        <v>-412</v>
      </c>
      <c r="EL40" s="7">
        <v>-488</v>
      </c>
      <c r="EM40" s="7">
        <v>-518</v>
      </c>
      <c r="EN40" s="1113">
        <f>SUM(EJ40:EM40)</f>
        <v>-1337</v>
      </c>
      <c r="EO40" s="7">
        <v>-765</v>
      </c>
      <c r="EP40" s="7">
        <v>-781</v>
      </c>
      <c r="EQ40" s="7">
        <v>-288</v>
      </c>
      <c r="ER40" s="7">
        <v>-37</v>
      </c>
      <c r="ES40" s="1113">
        <f>SUM(EO40:ER40)</f>
        <v>-1871</v>
      </c>
      <c r="ET40" s="7">
        <v>-694</v>
      </c>
      <c r="EU40" s="7">
        <v>-304</v>
      </c>
      <c r="EV40" s="7">
        <v>-81</v>
      </c>
      <c r="EW40" s="7">
        <v>-546</v>
      </c>
      <c r="EX40" s="1113">
        <f>SUM(ET40:EW40)</f>
        <v>-1625</v>
      </c>
      <c r="EY40" s="5"/>
      <c r="EZ40" s="5"/>
      <c r="FA40" s="5"/>
      <c r="FB40" s="5"/>
      <c r="FC40" s="5"/>
      <c r="FD40" s="5"/>
      <c r="FE40" s="5" t="s">
        <v>3408</v>
      </c>
      <c r="FF40" s="5"/>
      <c r="FG40" s="5"/>
      <c r="FH40" s="5"/>
      <c r="FI40" s="5"/>
      <c r="FJ40" s="5"/>
      <c r="FK40" s="5"/>
      <c r="FL40" s="5"/>
      <c r="FM40" s="5"/>
      <c r="FN40" s="5"/>
    </row>
    <row r="41" spans="1:170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6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</row>
    <row r="42" spans="1:170" x14ac:dyDescent="0.3">
      <c r="A42" s="1" t="s">
        <v>3409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6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17">
        <v>211</v>
      </c>
      <c r="EK42" s="17">
        <v>281</v>
      </c>
      <c r="EL42" s="17">
        <v>351</v>
      </c>
      <c r="EM42" s="17">
        <v>381</v>
      </c>
      <c r="EN42" s="85">
        <f>SUM(EJ42:EM42)</f>
        <v>1224</v>
      </c>
      <c r="EO42" s="17">
        <v>339</v>
      </c>
      <c r="EP42" s="17">
        <v>316</v>
      </c>
      <c r="EQ42" s="17">
        <v>332</v>
      </c>
      <c r="ER42" s="17">
        <v>333</v>
      </c>
      <c r="ES42" s="85">
        <f>SUM(EO42:ER42)</f>
        <v>1320</v>
      </c>
      <c r="ET42" s="17">
        <v>322</v>
      </c>
      <c r="EU42" s="17">
        <v>388</v>
      </c>
      <c r="EV42" s="17">
        <v>381</v>
      </c>
      <c r="EW42" s="17">
        <v>241</v>
      </c>
      <c r="EX42" s="85">
        <f>SUM(ET42:EW42)</f>
        <v>1332</v>
      </c>
      <c r="EY42" s="5"/>
      <c r="EZ42" s="5"/>
      <c r="FA42" s="5"/>
      <c r="FB42" s="5"/>
      <c r="FC42" s="5"/>
      <c r="FD42" s="5"/>
      <c r="FE42" s="5" t="s">
        <v>3410</v>
      </c>
      <c r="FF42" s="5"/>
      <c r="FG42" s="5"/>
      <c r="FH42" s="5"/>
      <c r="FI42" s="5"/>
      <c r="FJ42" s="5"/>
      <c r="FK42" s="5"/>
      <c r="FL42" s="5"/>
      <c r="FM42" s="5"/>
      <c r="FN42" s="5"/>
    </row>
    <row r="43" spans="1:170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6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</row>
    <row r="44" spans="1:170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6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</row>
    <row r="45" spans="1:170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6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</row>
    <row r="46" spans="1:170" collapsed="1" x14ac:dyDescent="0.3">
      <c r="A46" s="1052" t="s">
        <v>3411</v>
      </c>
      <c r="B46" s="1053"/>
      <c r="C46" s="1053"/>
      <c r="D46" s="1053"/>
      <c r="E46" s="1053"/>
      <c r="F46" s="1053"/>
      <c r="G46" s="1053"/>
      <c r="H46" s="1053"/>
      <c r="I46" s="1053"/>
      <c r="J46" s="1053"/>
      <c r="K46" s="1053"/>
      <c r="L46" s="1053"/>
      <c r="M46" s="1053"/>
      <c r="N46" s="1053"/>
      <c r="O46" s="1053"/>
      <c r="P46" s="1053"/>
      <c r="Q46" s="1053"/>
      <c r="R46" s="1053"/>
      <c r="S46" s="1053"/>
      <c r="T46" s="1053"/>
      <c r="U46" s="1053"/>
      <c r="V46" s="1053"/>
      <c r="W46" s="1053"/>
      <c r="X46" s="1053"/>
      <c r="Y46" s="1053"/>
      <c r="Z46" s="1053"/>
      <c r="AA46" s="1053"/>
      <c r="AB46" s="1053"/>
      <c r="AC46" s="1053"/>
      <c r="AD46" s="1053"/>
      <c r="AE46" s="1053"/>
      <c r="AF46" s="1053"/>
      <c r="AG46" s="1053"/>
      <c r="AH46" s="1053"/>
      <c r="AI46" s="1053"/>
      <c r="AJ46" s="1053"/>
      <c r="AK46" s="1053"/>
      <c r="AL46" s="1053"/>
      <c r="AM46" s="1053"/>
      <c r="AN46" s="1053"/>
      <c r="AO46" s="1053"/>
      <c r="AP46" s="1053"/>
      <c r="AQ46" s="1053"/>
      <c r="AR46" s="1053"/>
      <c r="AS46" s="1053"/>
      <c r="AT46" s="1053"/>
      <c r="AU46" s="1053"/>
      <c r="AV46" s="1053"/>
      <c r="AW46" s="1053"/>
      <c r="AX46" s="1053"/>
      <c r="AY46" s="1053"/>
      <c r="AZ46" s="1053"/>
      <c r="BA46" s="1053"/>
      <c r="BB46" s="1053"/>
      <c r="BC46" s="1054"/>
      <c r="BD46" s="1054"/>
      <c r="BE46" s="1054"/>
      <c r="BF46" s="1054"/>
      <c r="BG46" s="1054"/>
      <c r="BH46" s="1054"/>
      <c r="BI46" s="1054"/>
      <c r="BJ46" s="1054"/>
      <c r="BK46" s="1054"/>
      <c r="BL46" s="1054"/>
      <c r="BM46" s="1054"/>
      <c r="BN46" s="1054"/>
      <c r="BO46" s="1054"/>
      <c r="BP46" s="1054"/>
      <c r="BQ46" s="1054"/>
      <c r="BR46" s="1054"/>
      <c r="BS46" s="1054"/>
      <c r="BT46" s="1054"/>
      <c r="BU46" s="1054"/>
      <c r="BV46" s="1054"/>
      <c r="BW46" s="1054"/>
      <c r="BX46" s="1054"/>
      <c r="BY46" s="1054"/>
      <c r="BZ46" s="1054"/>
      <c r="CA46" s="1054"/>
      <c r="CB46" s="1054"/>
      <c r="CC46" s="1054"/>
      <c r="CD46" s="1054"/>
      <c r="CE46" s="1054"/>
      <c r="CF46" s="1054"/>
      <c r="CG46" s="1054"/>
      <c r="CH46" s="1054"/>
      <c r="CI46" s="1054"/>
      <c r="CJ46" s="1054"/>
      <c r="CK46" s="1054"/>
      <c r="CL46" s="1054"/>
      <c r="CM46" s="1054"/>
      <c r="CN46" s="1054"/>
      <c r="CO46" s="1054"/>
      <c r="CP46" s="1054"/>
      <c r="CQ46" s="1054"/>
      <c r="CR46" s="1054"/>
      <c r="CS46" s="1054"/>
      <c r="CT46" s="1054"/>
      <c r="CU46" s="1054"/>
      <c r="CV46" s="1054"/>
      <c r="CW46" s="1054"/>
      <c r="CX46" s="1054"/>
      <c r="CY46" s="1054"/>
      <c r="CZ46" s="1054"/>
      <c r="DA46" s="1054"/>
      <c r="DB46" s="1054"/>
      <c r="DC46" s="1054"/>
      <c r="DD46" s="1054"/>
      <c r="DE46" s="1054"/>
      <c r="DF46" s="1054"/>
      <c r="DG46" s="1054"/>
      <c r="DH46" s="1054"/>
      <c r="DI46" s="1054"/>
      <c r="DJ46" s="1054"/>
      <c r="DK46" s="1054"/>
      <c r="DL46" s="1054"/>
      <c r="DM46" s="1054"/>
      <c r="DN46" s="1054"/>
      <c r="DO46" s="1054"/>
      <c r="DP46" s="1055"/>
      <c r="DQ46" s="1054"/>
      <c r="DR46" s="1054"/>
      <c r="DS46" s="1054"/>
      <c r="DT46" s="1054"/>
      <c r="DU46" s="1055"/>
      <c r="DV46" s="1053"/>
      <c r="DW46" s="1053"/>
      <c r="DX46" s="1053"/>
      <c r="DY46" s="1053"/>
      <c r="DZ46" s="1053"/>
      <c r="EA46" s="1053"/>
      <c r="EB46" s="1053"/>
      <c r="EC46" s="1053"/>
      <c r="ED46" s="1053"/>
      <c r="EE46" s="1053"/>
      <c r="EF46" s="1055"/>
      <c r="EG46" s="1055"/>
      <c r="EH46" s="1055"/>
      <c r="EI46" s="1053"/>
      <c r="EJ46" s="1053"/>
      <c r="EK46" s="1055"/>
      <c r="EL46" s="1055"/>
      <c r="EM46" s="1055"/>
      <c r="EN46" s="1055"/>
      <c r="EO46" s="1055"/>
      <c r="EP46" s="1055"/>
      <c r="EQ46" s="1055"/>
      <c r="ER46" s="1055"/>
      <c r="ES46" s="1055"/>
      <c r="ET46" s="1055"/>
      <c r="EU46" s="1055"/>
      <c r="EV46" s="1055"/>
      <c r="EW46" s="1055"/>
      <c r="EX46" s="1055"/>
      <c r="EY46" s="1055"/>
      <c r="EZ46" s="1055"/>
      <c r="FA46" s="1055"/>
      <c r="FB46" s="1055"/>
      <c r="FC46" s="1055"/>
      <c r="FD46" s="1055"/>
      <c r="FE46" s="1055"/>
      <c r="FF46" s="1055"/>
      <c r="FG46" s="1055"/>
      <c r="FH46" s="1055"/>
    </row>
    <row r="47" spans="1:170" x14ac:dyDescent="0.3">
      <c r="A47" s="1" t="s">
        <v>284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6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7">
        <v>2199</v>
      </c>
      <c r="DQ47" s="7">
        <v>2162</v>
      </c>
      <c r="DR47" s="7">
        <v>2126</v>
      </c>
      <c r="DS47" s="7">
        <v>2124</v>
      </c>
      <c r="DT47" s="8">
        <f>+SUM(DP47:DS47)</f>
        <v>8611</v>
      </c>
      <c r="DU47" s="7">
        <v>2101</v>
      </c>
      <c r="DV47" s="7">
        <v>2067</v>
      </c>
      <c r="DW47" s="7">
        <v>1997</v>
      </c>
      <c r="DX47" s="7">
        <v>1942</v>
      </c>
      <c r="DY47" s="8">
        <f>+SUM(DU47:DX47)</f>
        <v>8107</v>
      </c>
      <c r="DZ47" s="7">
        <v>1933</v>
      </c>
      <c r="EA47" s="7">
        <v>1801</v>
      </c>
      <c r="EB47" s="7">
        <v>1726</v>
      </c>
      <c r="EC47" s="7">
        <v>1695</v>
      </c>
      <c r="ED47" s="8">
        <f>+SUM(DZ47:EC47)</f>
        <v>7155</v>
      </c>
      <c r="EE47" s="7">
        <v>1676</v>
      </c>
      <c r="EF47" s="7">
        <v>1616</v>
      </c>
      <c r="EG47" s="7">
        <v>1576</v>
      </c>
      <c r="EH47" s="7">
        <v>1543</v>
      </c>
      <c r="EI47" s="8">
        <f>+SUM(EE47:EH47)</f>
        <v>6411</v>
      </c>
      <c r="EJ47" s="7">
        <v>1447</v>
      </c>
      <c r="EK47" s="7">
        <v>1459</v>
      </c>
      <c r="EL47" s="7">
        <v>1444</v>
      </c>
      <c r="EM47" s="7">
        <v>1437</v>
      </c>
      <c r="EN47" s="8">
        <f>+SUM(EJ47:EM47)</f>
        <v>5787</v>
      </c>
      <c r="EO47" s="7">
        <v>1440</v>
      </c>
      <c r="EP47" s="7">
        <v>1449</v>
      </c>
      <c r="EQ47" s="7">
        <v>1436</v>
      </c>
      <c r="ER47" s="7">
        <v>1426</v>
      </c>
      <c r="ES47" s="8">
        <f>+SUM(EO47:ER47)</f>
        <v>5751</v>
      </c>
      <c r="ET47" s="7">
        <v>1462</v>
      </c>
      <c r="EU47" s="7">
        <v>1480</v>
      </c>
      <c r="EV47" s="7">
        <v>1489</v>
      </c>
      <c r="EW47" s="7">
        <v>1506</v>
      </c>
      <c r="EX47" s="8">
        <f>+SUM(ET47:EW47)</f>
        <v>5937</v>
      </c>
    </row>
    <row r="48" spans="1:170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6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S48" s="5"/>
      <c r="EV48" s="5"/>
      <c r="EW48" s="5"/>
      <c r="EX48" s="5"/>
    </row>
    <row r="49" spans="1:154" x14ac:dyDescent="0.3">
      <c r="A49" s="1" t="s">
        <v>3412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6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S49" s="5"/>
      <c r="EV49" s="5"/>
      <c r="EW49" s="5"/>
      <c r="EX49" s="5"/>
    </row>
    <row r="50" spans="1:154" x14ac:dyDescent="0.3">
      <c r="A50" s="1" t="s">
        <v>3413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6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7">
        <v>372</v>
      </c>
      <c r="DQ50" s="7">
        <v>369</v>
      </c>
      <c r="DR50" s="7">
        <v>353</v>
      </c>
      <c r="DS50" s="7">
        <v>347</v>
      </c>
      <c r="DT50" s="8">
        <f t="shared" ref="DT50:DT78" si="21">+SUM(DP50:DS50)</f>
        <v>1441</v>
      </c>
      <c r="DU50" s="7">
        <v>338</v>
      </c>
      <c r="DV50" s="7">
        <v>318</v>
      </c>
      <c r="DW50" s="7">
        <v>307</v>
      </c>
      <c r="DX50" s="7">
        <v>284</v>
      </c>
      <c r="DY50" s="8">
        <f t="shared" ref="DY50:DY57" si="22">+SUM(DU50:DX50)</f>
        <v>1247</v>
      </c>
      <c r="DZ50" s="7">
        <v>286</v>
      </c>
      <c r="EA50" s="7">
        <v>255</v>
      </c>
      <c r="EB50" s="7">
        <v>226</v>
      </c>
      <c r="EC50" s="7">
        <v>208</v>
      </c>
      <c r="ED50" s="8">
        <f t="shared" ref="ED50:ED57" si="23">+SUM(DZ50:EC50)</f>
        <v>975</v>
      </c>
      <c r="EE50" s="7">
        <v>198</v>
      </c>
      <c r="EF50" s="7">
        <v>193</v>
      </c>
      <c r="EG50" s="7">
        <v>177</v>
      </c>
      <c r="EH50" s="24">
        <v>150</v>
      </c>
      <c r="EI50" s="8">
        <f t="shared" ref="EI50:EI57" si="24">+SUM(EE50:EH50)</f>
        <v>718</v>
      </c>
      <c r="EJ50" s="24">
        <v>150</v>
      </c>
      <c r="EK50" s="24">
        <v>150</v>
      </c>
      <c r="EL50" s="24">
        <v>150</v>
      </c>
      <c r="EM50" s="24">
        <v>150</v>
      </c>
      <c r="EN50" s="8">
        <f t="shared" ref="EN50:EN57" si="25">+SUM(EJ50:EM50)</f>
        <v>600</v>
      </c>
      <c r="EO50" s="1268">
        <v>150</v>
      </c>
      <c r="EP50" s="1268">
        <v>150</v>
      </c>
      <c r="EQ50" s="1268">
        <v>150</v>
      </c>
      <c r="ER50" s="1268">
        <v>150</v>
      </c>
      <c r="ES50" s="8">
        <f t="shared" ref="ES50:ES57" si="26">+SUM(EO50:ER50)</f>
        <v>600</v>
      </c>
      <c r="ET50" s="1268">
        <v>150</v>
      </c>
      <c r="EU50" s="17">
        <v>150</v>
      </c>
      <c r="EV50" s="17">
        <v>150</v>
      </c>
      <c r="EW50" s="17">
        <v>150</v>
      </c>
      <c r="EX50" s="8">
        <f t="shared" ref="EX50:EX57" si="27">+SUM(ET50:EW50)</f>
        <v>600</v>
      </c>
    </row>
    <row r="51" spans="1:154" x14ac:dyDescent="0.3">
      <c r="A51" s="1" t="s">
        <v>3414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6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7">
        <v>483</v>
      </c>
      <c r="DQ51" s="7">
        <v>478</v>
      </c>
      <c r="DR51" s="7">
        <v>476</v>
      </c>
      <c r="DS51" s="7">
        <v>461</v>
      </c>
      <c r="DT51" s="8">
        <f t="shared" si="21"/>
        <v>1898</v>
      </c>
      <c r="DU51" s="7">
        <v>456</v>
      </c>
      <c r="DV51" s="7">
        <v>445</v>
      </c>
      <c r="DW51" s="7">
        <v>464</v>
      </c>
      <c r="DX51" s="7">
        <v>445</v>
      </c>
      <c r="DY51" s="8">
        <f t="shared" si="22"/>
        <v>1810</v>
      </c>
      <c r="DZ51" s="7">
        <v>444</v>
      </c>
      <c r="EA51" s="7">
        <v>430</v>
      </c>
      <c r="EB51" s="7">
        <v>431</v>
      </c>
      <c r="EC51" s="7">
        <v>421</v>
      </c>
      <c r="ED51" s="8">
        <f t="shared" si="23"/>
        <v>1726</v>
      </c>
      <c r="EE51" s="7">
        <v>422</v>
      </c>
      <c r="EF51" s="7">
        <v>413</v>
      </c>
      <c r="EG51" s="7">
        <v>413</v>
      </c>
      <c r="EH51" s="24">
        <f>546-EH50</f>
        <v>396</v>
      </c>
      <c r="EI51" s="8">
        <f t="shared" si="24"/>
        <v>1644</v>
      </c>
      <c r="EJ51" s="24">
        <f>553-EJ50</f>
        <v>403</v>
      </c>
      <c r="EK51" s="24">
        <f>546-EK50</f>
        <v>396</v>
      </c>
      <c r="EL51" s="24">
        <f>544-EL50</f>
        <v>394</v>
      </c>
      <c r="EM51" s="24">
        <f>526-EM50</f>
        <v>376</v>
      </c>
      <c r="EN51" s="8">
        <f t="shared" si="25"/>
        <v>1569</v>
      </c>
      <c r="EO51" s="1268">
        <f>542-EO50</f>
        <v>392</v>
      </c>
      <c r="EP51" s="1268">
        <f>528-EP50</f>
        <v>378</v>
      </c>
      <c r="EQ51" s="1268">
        <f>545-EQ50</f>
        <v>395</v>
      </c>
      <c r="ER51" s="1268">
        <f>510-ER50</f>
        <v>360</v>
      </c>
      <c r="ES51" s="8">
        <f t="shared" si="26"/>
        <v>1525</v>
      </c>
      <c r="ET51" s="1268">
        <f>522-ET50</f>
        <v>372</v>
      </c>
      <c r="EU51" s="1268">
        <f>516-EU50</f>
        <v>366</v>
      </c>
      <c r="EV51" s="1268">
        <f>538-EV50</f>
        <v>388</v>
      </c>
      <c r="EW51" s="1268">
        <f>534-EW50</f>
        <v>384</v>
      </c>
      <c r="EX51" s="8">
        <f t="shared" si="27"/>
        <v>1510</v>
      </c>
    </row>
    <row r="52" spans="1:154" x14ac:dyDescent="0.3">
      <c r="A52" s="1" t="s">
        <v>42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6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7">
        <v>469</v>
      </c>
      <c r="DQ52" s="7">
        <v>460</v>
      </c>
      <c r="DR52" s="7">
        <v>445</v>
      </c>
      <c r="DS52" s="7">
        <v>441</v>
      </c>
      <c r="DT52" s="8">
        <f t="shared" si="21"/>
        <v>1815</v>
      </c>
      <c r="DU52" s="7">
        <v>456</v>
      </c>
      <c r="DV52" s="7">
        <v>445</v>
      </c>
      <c r="DW52" s="7">
        <v>445</v>
      </c>
      <c r="DX52" s="7">
        <v>458</v>
      </c>
      <c r="DY52" s="8">
        <f t="shared" si="22"/>
        <v>1804</v>
      </c>
      <c r="DZ52" s="7">
        <v>444</v>
      </c>
      <c r="EA52" s="7">
        <v>407</v>
      </c>
      <c r="EB52" s="7">
        <v>404</v>
      </c>
      <c r="EC52" s="7">
        <v>393</v>
      </c>
      <c r="ED52" s="8">
        <f t="shared" si="23"/>
        <v>1648</v>
      </c>
      <c r="EE52" s="7">
        <v>408</v>
      </c>
      <c r="EF52" s="7">
        <v>398</v>
      </c>
      <c r="EG52" s="7">
        <v>421</v>
      </c>
      <c r="EH52" s="7">
        <v>441</v>
      </c>
      <c r="EI52" s="8">
        <f t="shared" si="24"/>
        <v>1668</v>
      </c>
      <c r="EJ52" s="7">
        <v>435</v>
      </c>
      <c r="EK52" s="7">
        <v>427</v>
      </c>
      <c r="EL52" s="7">
        <v>431</v>
      </c>
      <c r="EM52" s="7">
        <v>452</v>
      </c>
      <c r="EN52" s="8">
        <f t="shared" si="25"/>
        <v>1745</v>
      </c>
      <c r="EO52" s="7">
        <v>417</v>
      </c>
      <c r="EP52" s="7">
        <v>428</v>
      </c>
      <c r="EQ52" s="7">
        <v>405</v>
      </c>
      <c r="ER52" s="7">
        <v>396</v>
      </c>
      <c r="ES52" s="8">
        <f t="shared" si="26"/>
        <v>1646</v>
      </c>
      <c r="ET52" s="7">
        <v>428</v>
      </c>
      <c r="EU52" s="17">
        <v>449</v>
      </c>
      <c r="EV52" s="17">
        <v>427</v>
      </c>
      <c r="EW52" s="17">
        <v>421</v>
      </c>
      <c r="EX52" s="8">
        <f t="shared" si="27"/>
        <v>1725</v>
      </c>
    </row>
    <row r="53" spans="1:154" x14ac:dyDescent="0.3">
      <c r="A53" s="1" t="s">
        <v>2552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6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7">
        <v>505</v>
      </c>
      <c r="DQ53" s="7">
        <v>486</v>
      </c>
      <c r="DR53" s="7">
        <v>471</v>
      </c>
      <c r="DS53" s="7">
        <v>492</v>
      </c>
      <c r="DT53" s="8">
        <f t="shared" si="21"/>
        <v>1954</v>
      </c>
      <c r="DU53" s="7">
        <v>484</v>
      </c>
      <c r="DV53" s="7">
        <v>454</v>
      </c>
      <c r="DW53" s="7">
        <v>422</v>
      </c>
      <c r="DX53" s="7">
        <v>420</v>
      </c>
      <c r="DY53" s="8">
        <f t="shared" si="22"/>
        <v>1780</v>
      </c>
      <c r="DZ53" s="7">
        <v>415</v>
      </c>
      <c r="EA53" s="7">
        <v>397</v>
      </c>
      <c r="EB53" s="7">
        <v>392</v>
      </c>
      <c r="EC53" s="7">
        <v>394</v>
      </c>
      <c r="ED53" s="8">
        <f t="shared" si="23"/>
        <v>1598</v>
      </c>
      <c r="EE53" s="7">
        <v>387</v>
      </c>
      <c r="EF53" s="7">
        <v>298</v>
      </c>
      <c r="EG53" s="7">
        <v>273</v>
      </c>
      <c r="EH53" s="7">
        <v>282</v>
      </c>
      <c r="EI53" s="8">
        <f t="shared" si="24"/>
        <v>1240</v>
      </c>
      <c r="EJ53" s="7">
        <v>284</v>
      </c>
      <c r="EK53" s="7">
        <v>290</v>
      </c>
      <c r="EL53" s="7">
        <v>296</v>
      </c>
      <c r="EM53" s="7">
        <v>312</v>
      </c>
      <c r="EN53" s="8">
        <f t="shared" si="25"/>
        <v>1182</v>
      </c>
      <c r="EO53" s="7">
        <v>330</v>
      </c>
      <c r="EP53" s="7">
        <v>354</v>
      </c>
      <c r="EQ53" s="7">
        <v>356</v>
      </c>
      <c r="ER53" s="7">
        <v>375</v>
      </c>
      <c r="ES53" s="8">
        <f t="shared" si="26"/>
        <v>1415</v>
      </c>
      <c r="ET53" s="7">
        <v>388</v>
      </c>
      <c r="EU53" s="17">
        <v>398</v>
      </c>
      <c r="EV53" s="17">
        <v>410</v>
      </c>
      <c r="EW53" s="17">
        <v>429</v>
      </c>
      <c r="EX53" s="8">
        <f t="shared" si="27"/>
        <v>1625</v>
      </c>
    </row>
    <row r="54" spans="1:154" x14ac:dyDescent="0.3">
      <c r="A54" s="1" t="s">
        <v>80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6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7">
        <v>0</v>
      </c>
      <c r="DQ54" s="7">
        <v>0</v>
      </c>
      <c r="DR54" s="7">
        <v>400</v>
      </c>
      <c r="DS54" s="7">
        <v>241</v>
      </c>
      <c r="DT54" s="8">
        <f t="shared" si="21"/>
        <v>641</v>
      </c>
      <c r="DU54" s="7">
        <v>0</v>
      </c>
      <c r="DV54" s="7">
        <v>5449</v>
      </c>
      <c r="DW54" s="7">
        <v>276</v>
      </c>
      <c r="DX54" s="7">
        <v>0</v>
      </c>
      <c r="DY54" s="8">
        <f t="shared" si="22"/>
        <v>5725</v>
      </c>
      <c r="DZ54" s="7">
        <v>0</v>
      </c>
      <c r="EA54" s="7">
        <v>0</v>
      </c>
      <c r="EB54" s="7">
        <v>0</v>
      </c>
      <c r="EC54" s="7">
        <v>0</v>
      </c>
      <c r="ED54" s="8">
        <f t="shared" si="23"/>
        <v>0</v>
      </c>
      <c r="EE54" s="7">
        <v>0</v>
      </c>
      <c r="EF54" s="7">
        <v>0</v>
      </c>
      <c r="EG54" s="7">
        <v>0</v>
      </c>
      <c r="EH54" s="7">
        <v>0</v>
      </c>
      <c r="EI54" s="8">
        <f t="shared" si="24"/>
        <v>0</v>
      </c>
      <c r="EJ54" s="7">
        <v>0</v>
      </c>
      <c r="EK54" s="7">
        <v>0</v>
      </c>
      <c r="EL54" s="7">
        <v>0</v>
      </c>
      <c r="EM54" s="7">
        <v>0</v>
      </c>
      <c r="EN54" s="8">
        <f t="shared" si="25"/>
        <v>0</v>
      </c>
      <c r="EO54" s="7">
        <v>0</v>
      </c>
      <c r="EP54" s="7">
        <v>0</v>
      </c>
      <c r="EQ54" s="7">
        <v>0</v>
      </c>
      <c r="ER54" s="7">
        <v>0</v>
      </c>
      <c r="ES54" s="8">
        <f t="shared" si="26"/>
        <v>0</v>
      </c>
      <c r="ET54" s="7">
        <v>0</v>
      </c>
      <c r="EU54" s="17">
        <v>0</v>
      </c>
      <c r="EV54" s="17">
        <v>0</v>
      </c>
      <c r="EW54" s="17">
        <v>0</v>
      </c>
      <c r="EX54" s="8">
        <f t="shared" si="27"/>
        <v>0</v>
      </c>
    </row>
    <row r="55" spans="1:154" x14ac:dyDescent="0.3">
      <c r="A55" s="1" t="s">
        <v>81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6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7">
        <v>0</v>
      </c>
      <c r="DQ55" s="7">
        <v>0</v>
      </c>
      <c r="DR55" s="7">
        <v>0</v>
      </c>
      <c r="DS55" s="7">
        <v>0</v>
      </c>
      <c r="DT55" s="8">
        <f t="shared" si="21"/>
        <v>0</v>
      </c>
      <c r="DU55" s="7">
        <v>0</v>
      </c>
      <c r="DV55" s="7">
        <v>384</v>
      </c>
      <c r="DW55" s="7">
        <v>30</v>
      </c>
      <c r="DX55" s="7">
        <v>32</v>
      </c>
      <c r="DY55" s="8">
        <f t="shared" si="22"/>
        <v>446</v>
      </c>
      <c r="DZ55" s="7">
        <v>24</v>
      </c>
      <c r="EA55" s="7">
        <v>136</v>
      </c>
      <c r="EB55" s="7">
        <v>0</v>
      </c>
      <c r="EC55" s="7">
        <v>0</v>
      </c>
      <c r="ED55" s="8">
        <f t="shared" si="23"/>
        <v>160</v>
      </c>
      <c r="EE55" s="7">
        <v>0</v>
      </c>
      <c r="EF55" s="7">
        <v>0</v>
      </c>
      <c r="EG55" s="7">
        <v>0</v>
      </c>
      <c r="EH55" s="7">
        <v>0</v>
      </c>
      <c r="EI55" s="8">
        <f t="shared" si="24"/>
        <v>0</v>
      </c>
      <c r="EJ55" s="7">
        <v>0</v>
      </c>
      <c r="EK55" s="7">
        <v>0</v>
      </c>
      <c r="EL55" s="7">
        <v>0</v>
      </c>
      <c r="EM55" s="7">
        <v>0</v>
      </c>
      <c r="EN55" s="8">
        <f t="shared" si="25"/>
        <v>0</v>
      </c>
      <c r="EO55" s="7">
        <v>0</v>
      </c>
      <c r="EP55" s="7">
        <v>0</v>
      </c>
      <c r="EQ55" s="7">
        <v>0</v>
      </c>
      <c r="ER55" s="7">
        <v>0</v>
      </c>
      <c r="ES55" s="8">
        <f t="shared" si="26"/>
        <v>0</v>
      </c>
      <c r="ET55" s="7">
        <v>0</v>
      </c>
      <c r="EU55" s="17">
        <v>0</v>
      </c>
      <c r="EV55" s="17">
        <v>0</v>
      </c>
      <c r="EW55" s="17">
        <v>0</v>
      </c>
      <c r="EX55" s="8">
        <f t="shared" si="27"/>
        <v>0</v>
      </c>
    </row>
    <row r="56" spans="1:154" x14ac:dyDescent="0.3">
      <c r="A56" s="1" t="s">
        <v>3415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6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7">
        <v>4</v>
      </c>
      <c r="DQ56" s="7">
        <v>2</v>
      </c>
      <c r="DR56" s="7">
        <v>14</v>
      </c>
      <c r="DS56" s="7">
        <v>15</v>
      </c>
      <c r="DT56" s="8">
        <f t="shared" si="21"/>
        <v>35</v>
      </c>
      <c r="DU56" s="7">
        <v>28</v>
      </c>
      <c r="DV56" s="7">
        <v>31</v>
      </c>
      <c r="DW56" s="7">
        <v>27</v>
      </c>
      <c r="DX56" s="7">
        <v>82</v>
      </c>
      <c r="DY56" s="8">
        <f t="shared" si="22"/>
        <v>168</v>
      </c>
      <c r="DZ56" s="7">
        <v>48</v>
      </c>
      <c r="EA56" s="7">
        <v>36</v>
      </c>
      <c r="EB56" s="7">
        <v>3</v>
      </c>
      <c r="EC56" s="7">
        <v>2</v>
      </c>
      <c r="ED56" s="8">
        <f t="shared" si="23"/>
        <v>89</v>
      </c>
      <c r="EE56" s="7">
        <v>2</v>
      </c>
      <c r="EF56" s="7">
        <v>16</v>
      </c>
      <c r="EG56" s="7">
        <v>8</v>
      </c>
      <c r="EH56" s="7">
        <v>2</v>
      </c>
      <c r="EI56" s="8">
        <f t="shared" si="24"/>
        <v>28</v>
      </c>
      <c r="EJ56" s="7">
        <v>54</v>
      </c>
      <c r="EK56" s="7">
        <v>30</v>
      </c>
      <c r="EL56" s="7">
        <v>4</v>
      </c>
      <c r="EM56" s="7">
        <v>11</v>
      </c>
      <c r="EN56" s="8">
        <f t="shared" si="25"/>
        <v>99</v>
      </c>
      <c r="EO56" s="7">
        <v>8</v>
      </c>
      <c r="EP56" s="7">
        <v>24</v>
      </c>
      <c r="EQ56" s="7">
        <v>16</v>
      </c>
      <c r="ER56" s="7">
        <v>25</v>
      </c>
      <c r="ES56" s="8">
        <f t="shared" si="26"/>
        <v>73</v>
      </c>
      <c r="ET56" s="7">
        <v>34</v>
      </c>
      <c r="EU56" s="17">
        <v>26</v>
      </c>
      <c r="EV56" s="17">
        <v>28</v>
      </c>
      <c r="EW56" s="17">
        <v>36</v>
      </c>
      <c r="EX56" s="8">
        <f t="shared" si="27"/>
        <v>124</v>
      </c>
    </row>
    <row r="57" spans="1:154" x14ac:dyDescent="0.3">
      <c r="A57" s="4" t="s">
        <v>3416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6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830">
        <f t="shared" ref="DP57:DV57" si="28">+SUM(DP50:DP56)</f>
        <v>1833</v>
      </c>
      <c r="DQ57" s="830">
        <f t="shared" si="28"/>
        <v>1795</v>
      </c>
      <c r="DR57" s="830">
        <f t="shared" si="28"/>
        <v>2159</v>
      </c>
      <c r="DS57" s="830">
        <f t="shared" si="28"/>
        <v>1997</v>
      </c>
      <c r="DT57" s="830">
        <f t="shared" si="21"/>
        <v>7784</v>
      </c>
      <c r="DU57" s="830">
        <f t="shared" si="28"/>
        <v>1762</v>
      </c>
      <c r="DV57" s="830">
        <f t="shared" si="28"/>
        <v>7526</v>
      </c>
      <c r="DW57" s="830">
        <f>+SUM(DW50:DW56)</f>
        <v>1971</v>
      </c>
      <c r="DX57" s="830">
        <f>+SUM(DX50:DX56)</f>
        <v>1721</v>
      </c>
      <c r="DY57" s="830">
        <f t="shared" si="22"/>
        <v>12980</v>
      </c>
      <c r="DZ57" s="830">
        <f>+SUM(DZ50:DZ56)</f>
        <v>1661</v>
      </c>
      <c r="EA57" s="830">
        <f>+SUM(EA50:EA56)</f>
        <v>1661</v>
      </c>
      <c r="EB57" s="830">
        <f>+SUM(EB50:EB56)</f>
        <v>1456</v>
      </c>
      <c r="EC57" s="830">
        <f>+SUM(EC50:EC56)</f>
        <v>1418</v>
      </c>
      <c r="ED57" s="830">
        <f t="shared" si="23"/>
        <v>6196</v>
      </c>
      <c r="EE57" s="830">
        <f>+SUM(EE50:EE56)</f>
        <v>1417</v>
      </c>
      <c r="EF57" s="830">
        <f>+SUM(EF50:EF56)</f>
        <v>1318</v>
      </c>
      <c r="EG57" s="830">
        <f>+SUM(EG50:EG56)</f>
        <v>1292</v>
      </c>
      <c r="EH57" s="830">
        <f>+SUM(EH50:EH56)</f>
        <v>1271</v>
      </c>
      <c r="EI57" s="830">
        <f t="shared" si="24"/>
        <v>5298</v>
      </c>
      <c r="EJ57" s="830">
        <f>+SUM(EJ50:EJ56)</f>
        <v>1326</v>
      </c>
      <c r="EK57" s="830">
        <f>+SUM(EK50:EK56)</f>
        <v>1293</v>
      </c>
      <c r="EL57" s="830">
        <f>+SUM(EL50:EL56)</f>
        <v>1275</v>
      </c>
      <c r="EM57" s="830">
        <f>+SUM(EM50:EM56)</f>
        <v>1301</v>
      </c>
      <c r="EN57" s="830">
        <f t="shared" si="25"/>
        <v>5195</v>
      </c>
      <c r="EO57" s="830">
        <f>+SUM(EO50:EO56)</f>
        <v>1297</v>
      </c>
      <c r="EP57" s="830">
        <f>+SUM(EP50:EP56)</f>
        <v>1334</v>
      </c>
      <c r="EQ57" s="830">
        <f>+SUM(EQ50:EQ56)</f>
        <v>1322</v>
      </c>
      <c r="ER57" s="830">
        <f>+SUM(ER50:ER56)</f>
        <v>1306</v>
      </c>
      <c r="ES57" s="830">
        <f t="shared" si="26"/>
        <v>5259</v>
      </c>
      <c r="ET57" s="830">
        <f>+SUM(ET50:ET56)</f>
        <v>1372</v>
      </c>
      <c r="EU57" s="1027">
        <f>+SUM(EU50:EU56)</f>
        <v>1389</v>
      </c>
      <c r="EV57" s="1027">
        <f>+SUM(EV50:EV56)</f>
        <v>1403</v>
      </c>
      <c r="EW57" s="1027">
        <f>+SUM(EW50:EW56)</f>
        <v>1420</v>
      </c>
      <c r="EX57" s="830">
        <f t="shared" si="27"/>
        <v>5584</v>
      </c>
    </row>
    <row r="58" spans="1:154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6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S58" s="5"/>
      <c r="EX58" s="5"/>
    </row>
    <row r="59" spans="1:154" x14ac:dyDescent="0.3">
      <c r="A59" s="1" t="s">
        <v>53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6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9">
        <f t="shared" ref="DP59:DV59" si="29">+DP47-DP57</f>
        <v>366</v>
      </c>
      <c r="DQ59" s="9">
        <f t="shared" si="29"/>
        <v>367</v>
      </c>
      <c r="DR59" s="9">
        <f t="shared" si="29"/>
        <v>-33</v>
      </c>
      <c r="DS59" s="9">
        <f t="shared" si="29"/>
        <v>127</v>
      </c>
      <c r="DT59" s="8">
        <f t="shared" si="21"/>
        <v>827</v>
      </c>
      <c r="DU59" s="9">
        <f t="shared" si="29"/>
        <v>339</v>
      </c>
      <c r="DV59" s="9">
        <f t="shared" si="29"/>
        <v>-5459</v>
      </c>
      <c r="DW59" s="9">
        <f>+DW47-DW57</f>
        <v>26</v>
      </c>
      <c r="DX59" s="9">
        <f>+DX47-DX57</f>
        <v>221</v>
      </c>
      <c r="DY59" s="8">
        <f>+SUM(DU59:DX59)</f>
        <v>-4873</v>
      </c>
      <c r="DZ59" s="9">
        <f>+DZ47-DZ57</f>
        <v>272</v>
      </c>
      <c r="EA59" s="9">
        <f>+EA47-EA57</f>
        <v>140</v>
      </c>
      <c r="EB59" s="9">
        <f>+EB47-EB57</f>
        <v>270</v>
      </c>
      <c r="EC59" s="9">
        <f>+EC47-EC57</f>
        <v>277</v>
      </c>
      <c r="ED59" s="8">
        <f>+SUM(DZ59:EC59)</f>
        <v>959</v>
      </c>
      <c r="EE59" s="9">
        <f>+EE47-EE57</f>
        <v>259</v>
      </c>
      <c r="EF59" s="9">
        <f>+EF47-EF57</f>
        <v>298</v>
      </c>
      <c r="EG59" s="9">
        <f>+EG47-EG57</f>
        <v>284</v>
      </c>
      <c r="EH59" s="9">
        <f>+EH47-EH57</f>
        <v>272</v>
      </c>
      <c r="EI59" s="8">
        <f>+SUM(EE59:EH59)</f>
        <v>1113</v>
      </c>
      <c r="EJ59" s="9">
        <f>+EJ47-EJ57</f>
        <v>121</v>
      </c>
      <c r="EK59" s="9">
        <f>+EK47-EK57</f>
        <v>166</v>
      </c>
      <c r="EL59" s="9">
        <f>+EL47-EL57</f>
        <v>169</v>
      </c>
      <c r="EM59" s="9">
        <f>+EM47-EM57</f>
        <v>136</v>
      </c>
      <c r="EN59" s="8">
        <f>+SUM(EJ59:EM59)</f>
        <v>592</v>
      </c>
      <c r="EO59" s="9">
        <f>+EO47-EO57</f>
        <v>143</v>
      </c>
      <c r="EP59" s="9">
        <f>+EP47-EP57</f>
        <v>115</v>
      </c>
      <c r="EQ59" s="9">
        <f>+EQ47-EQ57</f>
        <v>114</v>
      </c>
      <c r="ER59" s="9">
        <f>+ER47-ER57</f>
        <v>120</v>
      </c>
      <c r="ES59" s="8">
        <f>+SUM(EO59:ER59)</f>
        <v>492</v>
      </c>
      <c r="ET59" s="9">
        <f>+ET47-ET57</f>
        <v>90</v>
      </c>
      <c r="EU59" s="9">
        <f>+EU47-EU57</f>
        <v>91</v>
      </c>
      <c r="EV59" s="9">
        <f>+EV47-EV57</f>
        <v>86</v>
      </c>
      <c r="EW59" s="9">
        <f>+EW47-EW57</f>
        <v>86</v>
      </c>
      <c r="EX59" s="8">
        <f>+SUM(ET59:EW59)</f>
        <v>353</v>
      </c>
    </row>
    <row r="60" spans="1:154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6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</row>
    <row r="61" spans="1:154" x14ac:dyDescent="0.3">
      <c r="A61" s="1" t="s">
        <v>54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6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7">
        <v>8</v>
      </c>
      <c r="DQ61" s="7">
        <v>5</v>
      </c>
      <c r="DR61" s="7">
        <v>3</v>
      </c>
      <c r="DS61" s="7">
        <v>-3</v>
      </c>
      <c r="DT61" s="8">
        <f t="shared" si="21"/>
        <v>13</v>
      </c>
      <c r="DU61" s="7">
        <v>-9</v>
      </c>
      <c r="DV61" s="7">
        <v>-9</v>
      </c>
      <c r="DW61" s="7">
        <v>-10</v>
      </c>
      <c r="DX61" s="7">
        <v>-9</v>
      </c>
      <c r="DY61" s="8">
        <f t="shared" ref="DY61:DY70" si="30">+SUM(DU61:DX61)</f>
        <v>-37</v>
      </c>
      <c r="DZ61" s="7">
        <v>5</v>
      </c>
      <c r="EA61" s="7">
        <v>-20</v>
      </c>
      <c r="EB61" s="7">
        <v>-14</v>
      </c>
      <c r="EC61" s="7">
        <v>-14</v>
      </c>
      <c r="ED61" s="8">
        <f t="shared" ref="ED61:ED70" si="31">+SUM(DZ61:EC61)</f>
        <v>-43</v>
      </c>
      <c r="EE61" s="7">
        <v>2</v>
      </c>
      <c r="EF61" s="7">
        <v>-3</v>
      </c>
      <c r="EG61" s="7">
        <v>-37</v>
      </c>
      <c r="EH61" s="7">
        <v>34</v>
      </c>
      <c r="EI61" s="8">
        <f t="shared" ref="EI61:EI70" si="32">+SUM(EE61:EH61)</f>
        <v>-4</v>
      </c>
      <c r="EJ61" s="7">
        <v>77</v>
      </c>
      <c r="EK61" s="7">
        <v>122</v>
      </c>
      <c r="EL61" s="7">
        <v>211</v>
      </c>
      <c r="EM61" s="7">
        <v>144</v>
      </c>
      <c r="EN61" s="8">
        <f t="shared" ref="EN61:EN70" si="33">+SUM(EJ61:EM61)</f>
        <v>554</v>
      </c>
      <c r="EO61" s="7">
        <v>2</v>
      </c>
      <c r="EP61" s="7">
        <v>32</v>
      </c>
      <c r="EQ61" s="7">
        <v>67</v>
      </c>
      <c r="ER61" s="7">
        <v>177</v>
      </c>
      <c r="ES61" s="8">
        <f t="shared" ref="ES61:ES70" si="34">+SUM(EO61:ER61)</f>
        <v>278</v>
      </c>
      <c r="ET61" s="7">
        <v>112</v>
      </c>
      <c r="EU61" s="7">
        <v>-24</v>
      </c>
      <c r="EV61" s="7">
        <v>29</v>
      </c>
      <c r="EW61" s="7">
        <v>-12</v>
      </c>
      <c r="EX61" s="8">
        <f t="shared" ref="EX61:EX70" si="35">+SUM(ET61:EW61)</f>
        <v>105</v>
      </c>
    </row>
    <row r="62" spans="1:154" x14ac:dyDescent="0.3">
      <c r="A62" s="1" t="s">
        <v>77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6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7">
        <v>0</v>
      </c>
      <c r="DQ62" s="7">
        <v>-25</v>
      </c>
      <c r="DR62" s="7">
        <v>-9</v>
      </c>
      <c r="DS62" s="7">
        <v>-7</v>
      </c>
      <c r="DT62" s="8">
        <f t="shared" si="21"/>
        <v>-41</v>
      </c>
      <c r="DU62" s="7">
        <v>0</v>
      </c>
      <c r="DV62" s="7">
        <v>0</v>
      </c>
      <c r="DW62" s="7">
        <v>0</v>
      </c>
      <c r="DX62" s="7">
        <v>-57</v>
      </c>
      <c r="DY62" s="8">
        <f t="shared" si="30"/>
        <v>-57</v>
      </c>
      <c r="DZ62" s="7">
        <v>-103</v>
      </c>
      <c r="EA62" s="7">
        <v>-56</v>
      </c>
      <c r="EB62" s="7">
        <v>0</v>
      </c>
      <c r="EC62" s="7">
        <v>0</v>
      </c>
      <c r="ED62" s="8">
        <f t="shared" si="31"/>
        <v>-159</v>
      </c>
      <c r="EE62" s="7">
        <v>0</v>
      </c>
      <c r="EF62" s="7">
        <v>0</v>
      </c>
      <c r="EG62" s="7">
        <v>0</v>
      </c>
      <c r="EH62" s="7">
        <v>0</v>
      </c>
      <c r="EI62" s="8">
        <f t="shared" si="32"/>
        <v>0</v>
      </c>
      <c r="EJ62" s="7">
        <v>0</v>
      </c>
      <c r="EK62" s="7">
        <v>0</v>
      </c>
      <c r="EL62" s="7">
        <v>-50</v>
      </c>
      <c r="EM62" s="7">
        <v>-5</v>
      </c>
      <c r="EN62" s="8">
        <f t="shared" si="33"/>
        <v>-55</v>
      </c>
      <c r="EO62" s="7">
        <v>0</v>
      </c>
      <c r="EP62" s="7">
        <v>0</v>
      </c>
      <c r="EQ62" s="7">
        <v>0</v>
      </c>
      <c r="ER62" s="7">
        <v>0</v>
      </c>
      <c r="ES62" s="8">
        <f t="shared" si="34"/>
        <v>0</v>
      </c>
      <c r="ET62" s="7">
        <v>0</v>
      </c>
      <c r="EU62" s="7">
        <v>0</v>
      </c>
      <c r="EV62" s="7">
        <v>0</v>
      </c>
      <c r="EW62" s="7">
        <v>0</v>
      </c>
      <c r="EX62" s="8">
        <f t="shared" si="35"/>
        <v>0</v>
      </c>
    </row>
    <row r="63" spans="1:154" x14ac:dyDescent="0.3">
      <c r="A63" s="1" t="s">
        <v>3417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6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7">
        <v>33</v>
      </c>
      <c r="DQ63" s="7">
        <v>0</v>
      </c>
      <c r="DR63" s="7">
        <v>-2</v>
      </c>
      <c r="DS63" s="7">
        <v>1</v>
      </c>
      <c r="DT63" s="8">
        <f t="shared" si="21"/>
        <v>32</v>
      </c>
      <c r="DU63" s="7">
        <v>-20</v>
      </c>
      <c r="DV63" s="7">
        <v>0</v>
      </c>
      <c r="DW63" s="7">
        <v>0</v>
      </c>
      <c r="DX63" s="7">
        <v>0</v>
      </c>
      <c r="DY63" s="8">
        <f t="shared" si="30"/>
        <v>-20</v>
      </c>
      <c r="DZ63" s="7">
        <v>0</v>
      </c>
      <c r="EA63" s="7">
        <v>0</v>
      </c>
      <c r="EB63" s="7">
        <v>0</v>
      </c>
      <c r="EC63" s="7">
        <v>-72</v>
      </c>
      <c r="ED63" s="8">
        <f t="shared" si="31"/>
        <v>-72</v>
      </c>
      <c r="EE63" s="7">
        <v>0</v>
      </c>
      <c r="EF63" s="7">
        <v>0</v>
      </c>
      <c r="EG63" s="7">
        <v>0</v>
      </c>
      <c r="EH63" s="7">
        <v>0</v>
      </c>
      <c r="EI63" s="8">
        <f t="shared" si="32"/>
        <v>0</v>
      </c>
      <c r="EJ63" s="7">
        <v>0</v>
      </c>
      <c r="EK63" s="7">
        <v>0</v>
      </c>
      <c r="EL63" s="7">
        <v>0</v>
      </c>
      <c r="EM63" s="7">
        <v>0</v>
      </c>
      <c r="EN63" s="8">
        <f t="shared" si="33"/>
        <v>0</v>
      </c>
      <c r="EO63" s="7">
        <v>0</v>
      </c>
      <c r="EP63" s="7">
        <v>0</v>
      </c>
      <c r="EQ63" s="7">
        <v>0</v>
      </c>
      <c r="ER63" s="7">
        <v>0</v>
      </c>
      <c r="ES63" s="8">
        <f t="shared" si="34"/>
        <v>0</v>
      </c>
      <c r="ET63" s="7">
        <v>0</v>
      </c>
      <c r="EU63" s="7">
        <v>0</v>
      </c>
      <c r="EV63" s="7">
        <v>0</v>
      </c>
      <c r="EW63" s="7">
        <v>0</v>
      </c>
      <c r="EX63" s="8">
        <f t="shared" si="35"/>
        <v>0</v>
      </c>
    </row>
    <row r="64" spans="1:154" x14ac:dyDescent="0.3">
      <c r="A64" s="1" t="s">
        <v>3418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6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7">
        <v>0</v>
      </c>
      <c r="DQ64" s="7">
        <v>0</v>
      </c>
      <c r="DR64" s="7">
        <v>0</v>
      </c>
      <c r="DS64" s="7">
        <v>0</v>
      </c>
      <c r="DT64" s="8">
        <f t="shared" si="21"/>
        <v>0</v>
      </c>
      <c r="DU64" s="7">
        <v>0</v>
      </c>
      <c r="DV64" s="7">
        <v>0</v>
      </c>
      <c r="DW64" s="7">
        <v>0</v>
      </c>
      <c r="DX64" s="7">
        <v>0</v>
      </c>
      <c r="DY64" s="8">
        <f t="shared" si="30"/>
        <v>0</v>
      </c>
      <c r="DZ64" s="7">
        <v>0</v>
      </c>
      <c r="EA64" s="7">
        <v>-142</v>
      </c>
      <c r="EB64" s="7">
        <v>-131</v>
      </c>
      <c r="EC64" s="7">
        <v>-136</v>
      </c>
      <c r="ED64" s="8">
        <f t="shared" si="31"/>
        <v>-409</v>
      </c>
      <c r="EE64" s="7">
        <v>-25</v>
      </c>
      <c r="EF64" s="7">
        <v>4196</v>
      </c>
      <c r="EG64" s="7"/>
      <c r="EH64" s="7"/>
      <c r="EI64" s="8">
        <f t="shared" si="32"/>
        <v>4171</v>
      </c>
      <c r="EJ64" s="7"/>
      <c r="EK64" s="7">
        <v>0</v>
      </c>
      <c r="EL64" s="7">
        <v>0</v>
      </c>
      <c r="EM64" s="7">
        <v>0</v>
      </c>
      <c r="EN64" s="8">
        <f t="shared" si="33"/>
        <v>0</v>
      </c>
      <c r="EO64" s="7">
        <v>0</v>
      </c>
      <c r="EP64" s="7">
        <v>0</v>
      </c>
      <c r="EQ64" s="7">
        <v>0</v>
      </c>
      <c r="ER64" s="7">
        <v>0</v>
      </c>
      <c r="ES64" s="8">
        <f t="shared" si="34"/>
        <v>0</v>
      </c>
      <c r="ET64" s="7">
        <v>0</v>
      </c>
      <c r="EU64" s="7">
        <v>0</v>
      </c>
      <c r="EV64" s="7">
        <v>0</v>
      </c>
      <c r="EW64" s="7">
        <v>0</v>
      </c>
      <c r="EX64" s="8">
        <f t="shared" si="35"/>
        <v>0</v>
      </c>
    </row>
    <row r="65" spans="1:154" x14ac:dyDescent="0.3">
      <c r="A65" s="1" t="s">
        <v>56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6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10">
        <v>-374</v>
      </c>
      <c r="DQ65" s="10">
        <v>-385</v>
      </c>
      <c r="DR65" s="10">
        <v>-389</v>
      </c>
      <c r="DS65" s="10">
        <v>-388</v>
      </c>
      <c r="DT65" s="11">
        <f t="shared" si="21"/>
        <v>-1536</v>
      </c>
      <c r="DU65" s="10">
        <v>-379</v>
      </c>
      <c r="DV65" s="10">
        <v>-383</v>
      </c>
      <c r="DW65" s="10">
        <v>-382</v>
      </c>
      <c r="DX65" s="10">
        <v>-391</v>
      </c>
      <c r="DY65" s="11">
        <f t="shared" si="30"/>
        <v>-1535</v>
      </c>
      <c r="DZ65" s="10">
        <v>-383</v>
      </c>
      <c r="EA65" s="10">
        <v>-160</v>
      </c>
      <c r="EB65" s="10">
        <v>-121</v>
      </c>
      <c r="EC65" s="10">
        <v>-98</v>
      </c>
      <c r="ED65" s="11">
        <f t="shared" si="31"/>
        <v>-762</v>
      </c>
      <c r="EE65" s="10">
        <v>-89</v>
      </c>
      <c r="EF65" s="10">
        <v>-91</v>
      </c>
      <c r="EG65" s="10">
        <v>-90</v>
      </c>
      <c r="EH65" s="10">
        <v>-105</v>
      </c>
      <c r="EI65" s="11">
        <f t="shared" si="32"/>
        <v>-375</v>
      </c>
      <c r="EJ65" s="10">
        <v>-103</v>
      </c>
      <c r="EK65" s="10">
        <v>-118</v>
      </c>
      <c r="EL65" s="10">
        <v>-135</v>
      </c>
      <c r="EM65" s="10">
        <v>-136</v>
      </c>
      <c r="EN65" s="11">
        <f t="shared" si="33"/>
        <v>-492</v>
      </c>
      <c r="EO65" s="10">
        <v>-141</v>
      </c>
      <c r="EP65" s="10">
        <v>-149</v>
      </c>
      <c r="EQ65" s="10">
        <v>-170</v>
      </c>
      <c r="ER65" s="10">
        <v>-193</v>
      </c>
      <c r="ES65" s="11">
        <f t="shared" si="34"/>
        <v>-653</v>
      </c>
      <c r="ET65" s="10">
        <v>-199</v>
      </c>
      <c r="EU65" s="10">
        <v>-199</v>
      </c>
      <c r="EV65" s="10">
        <v>-203</v>
      </c>
      <c r="EW65" s="10">
        <v>-203</v>
      </c>
      <c r="EX65" s="11">
        <f t="shared" si="35"/>
        <v>-804</v>
      </c>
    </row>
    <row r="66" spans="1:154" x14ac:dyDescent="0.3">
      <c r="A66" s="1" t="s">
        <v>57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6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8">
        <f>+SUM(DP61:DP65,DP59)</f>
        <v>33</v>
      </c>
      <c r="DQ66" s="8">
        <f>+SUM(DQ61:DQ65,DQ59)</f>
        <v>-38</v>
      </c>
      <c r="DR66" s="8">
        <f>+SUM(DR61:DR65,DR59)</f>
        <v>-430</v>
      </c>
      <c r="DS66" s="8">
        <f>+SUM(DS61:DS65,DS59)</f>
        <v>-270</v>
      </c>
      <c r="DT66" s="8">
        <f t="shared" si="21"/>
        <v>-705</v>
      </c>
      <c r="DU66" s="8">
        <f>+SUM(DU61:DU65,DU59)</f>
        <v>-69</v>
      </c>
      <c r="DV66" s="8">
        <f>+SUM(DV61:DV65,DV59)</f>
        <v>-5851</v>
      </c>
      <c r="DW66" s="8">
        <f>+SUM(DW61:DW65,DW59)</f>
        <v>-366</v>
      </c>
      <c r="DX66" s="8">
        <f>+SUM(DX61:DX65,DX59)</f>
        <v>-236</v>
      </c>
      <c r="DY66" s="8">
        <f t="shared" si="30"/>
        <v>-6522</v>
      </c>
      <c r="DZ66" s="8">
        <f>+SUM(DZ61:DZ65,DZ59)</f>
        <v>-209</v>
      </c>
      <c r="EA66" s="5">
        <f>+SUM(EA61:EA65,EA59)</f>
        <v>-238</v>
      </c>
      <c r="EB66" s="5">
        <f>+SUM(EB61:EB65,EB59)</f>
        <v>4</v>
      </c>
      <c r="EC66" s="5">
        <f>+SUM(EC61:EC65,EC59)</f>
        <v>-43</v>
      </c>
      <c r="ED66" s="8">
        <f t="shared" si="31"/>
        <v>-486</v>
      </c>
      <c r="EE66" s="5">
        <f>+SUM(EE61:EE65,EE59)</f>
        <v>147</v>
      </c>
      <c r="EF66" s="5">
        <f>+SUM(EF61:EF65,EF59)</f>
        <v>4400</v>
      </c>
      <c r="EG66" s="5">
        <f>+SUM(EG61:EG65,EG59)</f>
        <v>157</v>
      </c>
      <c r="EH66" s="5">
        <f>+SUM(EH61:EH65,EH59)</f>
        <v>201</v>
      </c>
      <c r="EI66" s="8">
        <f t="shared" si="32"/>
        <v>4905</v>
      </c>
      <c r="EJ66" s="5">
        <f>+SUM(EJ61:EJ65,EJ59)</f>
        <v>95</v>
      </c>
      <c r="EK66" s="5">
        <f>+SUM(EK61:EK65,EK59)</f>
        <v>170</v>
      </c>
      <c r="EL66" s="5">
        <f>+SUM(EL61:EL65,EL59)</f>
        <v>195</v>
      </c>
      <c r="EM66" s="5">
        <f>+SUM(EM61:EM65,EM59)</f>
        <v>139</v>
      </c>
      <c r="EN66" s="8">
        <f t="shared" si="33"/>
        <v>599</v>
      </c>
      <c r="EO66" s="5">
        <f>+SUM(EO61:EO65,EO59)</f>
        <v>4</v>
      </c>
      <c r="EP66" s="5">
        <f>+SUM(EP61:EP65,EP59)</f>
        <v>-2</v>
      </c>
      <c r="EQ66" s="5">
        <f>+SUM(EQ61:EQ65,EQ59)</f>
        <v>11</v>
      </c>
      <c r="ER66" s="5">
        <f>+SUM(ER61:ER65,ER59)</f>
        <v>104</v>
      </c>
      <c r="ES66" s="8">
        <f t="shared" si="34"/>
        <v>117</v>
      </c>
      <c r="ET66" s="5">
        <f>+SUM(ET61:ET65,ET59)</f>
        <v>3</v>
      </c>
      <c r="EU66" s="5">
        <f>+SUM(EU61:EU65,EU59)</f>
        <v>-132</v>
      </c>
      <c r="EV66" s="5">
        <f>+SUM(EV61:EV65,EV59)</f>
        <v>-88</v>
      </c>
      <c r="EW66" s="5">
        <f>+SUM(EW61:EW65,EW59)</f>
        <v>-129</v>
      </c>
      <c r="EX66" s="8">
        <f t="shared" si="35"/>
        <v>-346</v>
      </c>
    </row>
    <row r="67" spans="1:154" x14ac:dyDescent="0.3">
      <c r="A67" s="1" t="s">
        <v>58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6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10">
        <v>13</v>
      </c>
      <c r="DQ67" s="10">
        <v>-20</v>
      </c>
      <c r="DR67" s="10">
        <v>-4</v>
      </c>
      <c r="DS67" s="10">
        <v>-51</v>
      </c>
      <c r="DT67" s="11">
        <f t="shared" si="21"/>
        <v>-62</v>
      </c>
      <c r="DU67" s="10">
        <v>18</v>
      </c>
      <c r="DV67" s="10">
        <v>-534</v>
      </c>
      <c r="DW67" s="10">
        <v>-21</v>
      </c>
      <c r="DX67" s="10">
        <v>-74</v>
      </c>
      <c r="DY67" s="11">
        <f t="shared" si="30"/>
        <v>-611</v>
      </c>
      <c r="DZ67" s="10">
        <v>-23</v>
      </c>
      <c r="EA67" s="10">
        <v>-57</v>
      </c>
      <c r="EB67" s="10">
        <v>-11</v>
      </c>
      <c r="EC67" s="10">
        <v>7</v>
      </c>
      <c r="ED67" s="11">
        <f t="shared" si="31"/>
        <v>-84</v>
      </c>
      <c r="EE67" s="10">
        <v>87</v>
      </c>
      <c r="EF67" s="10">
        <v>-180</v>
      </c>
      <c r="EG67" s="10">
        <v>31</v>
      </c>
      <c r="EH67" s="10">
        <v>12</v>
      </c>
      <c r="EI67" s="11">
        <f t="shared" si="32"/>
        <v>-50</v>
      </c>
      <c r="EJ67" s="10">
        <v>30</v>
      </c>
      <c r="EK67" s="10">
        <v>69</v>
      </c>
      <c r="EL67" s="10">
        <v>75</v>
      </c>
      <c r="EM67" s="10">
        <v>-16</v>
      </c>
      <c r="EN67" s="11">
        <f t="shared" si="33"/>
        <v>158</v>
      </c>
      <c r="EO67" s="10">
        <v>1</v>
      </c>
      <c r="EP67" s="10">
        <v>0</v>
      </c>
      <c r="EQ67" s="10">
        <v>0</v>
      </c>
      <c r="ER67" s="10">
        <v>87</v>
      </c>
      <c r="ES67" s="11">
        <f t="shared" si="34"/>
        <v>88</v>
      </c>
      <c r="ET67" s="10">
        <v>2</v>
      </c>
      <c r="EU67" s="10">
        <v>-9</v>
      </c>
      <c r="EV67" s="10">
        <v>-6</v>
      </c>
      <c r="EW67" s="10">
        <v>-11</v>
      </c>
      <c r="EX67" s="11">
        <f t="shared" si="35"/>
        <v>-24</v>
      </c>
    </row>
    <row r="68" spans="1:154" x14ac:dyDescent="0.3">
      <c r="A68" s="4" t="s">
        <v>59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6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8">
        <f>+DP66-DP67</f>
        <v>20</v>
      </c>
      <c r="DQ68" s="8">
        <f>+DQ66-DQ67</f>
        <v>-18</v>
      </c>
      <c r="DR68" s="8">
        <f>+DR66-DR67</f>
        <v>-426</v>
      </c>
      <c r="DS68" s="8">
        <f>+DS66-DS67</f>
        <v>-219</v>
      </c>
      <c r="DT68" s="8">
        <f t="shared" si="21"/>
        <v>-643</v>
      </c>
      <c r="DU68" s="8">
        <f>+DU66-DU67</f>
        <v>-87</v>
      </c>
      <c r="DV68" s="8">
        <f>+DV66-DV67</f>
        <v>-5317</v>
      </c>
      <c r="DW68" s="8">
        <f>+DW66-DW67</f>
        <v>-345</v>
      </c>
      <c r="DX68" s="8">
        <f>+DX66-DX67</f>
        <v>-162</v>
      </c>
      <c r="DY68" s="8">
        <f t="shared" si="30"/>
        <v>-5911</v>
      </c>
      <c r="DZ68" s="8">
        <f>+DZ66-DZ67</f>
        <v>-186</v>
      </c>
      <c r="EA68" s="5">
        <f>+EA66-EA67</f>
        <v>-181</v>
      </c>
      <c r="EB68" s="5">
        <f>+EB66-EB67</f>
        <v>15</v>
      </c>
      <c r="EC68" s="5">
        <f>+EC66-EC67</f>
        <v>-50</v>
      </c>
      <c r="ED68" s="8">
        <f t="shared" si="31"/>
        <v>-402</v>
      </c>
      <c r="EE68" s="5">
        <f>+EE66-EE67</f>
        <v>60</v>
      </c>
      <c r="EF68" s="5">
        <f>+EF66-EF67</f>
        <v>4580</v>
      </c>
      <c r="EG68" s="5">
        <f>+EG66-EG67</f>
        <v>126</v>
      </c>
      <c r="EH68" s="5">
        <f>+EH66-EH67</f>
        <v>189</v>
      </c>
      <c r="EI68" s="8">
        <f t="shared" si="32"/>
        <v>4955</v>
      </c>
      <c r="EJ68" s="5">
        <f>+EJ66-EJ67</f>
        <v>65</v>
      </c>
      <c r="EK68" s="5">
        <f>+EK66-EK67</f>
        <v>101</v>
      </c>
      <c r="EL68" s="5">
        <f>+EL66-EL67</f>
        <v>120</v>
      </c>
      <c r="EM68" s="5">
        <f>+EM66-EM67</f>
        <v>155</v>
      </c>
      <c r="EN68" s="8">
        <f t="shared" si="33"/>
        <v>441</v>
      </c>
      <c r="EO68" s="5">
        <f>+EO66-EO67</f>
        <v>3</v>
      </c>
      <c r="EP68" s="5">
        <f>+EP66-EP67</f>
        <v>-2</v>
      </c>
      <c r="EQ68" s="5">
        <f>+EQ66-EQ67</f>
        <v>11</v>
      </c>
      <c r="ER68" s="5">
        <f>+ER66-ER67</f>
        <v>17</v>
      </c>
      <c r="ES68" s="8">
        <f t="shared" si="34"/>
        <v>29</v>
      </c>
      <c r="ET68" s="5">
        <f>+ET66-ET67</f>
        <v>1</v>
      </c>
      <c r="EU68" s="5">
        <f>+EU66-EU67</f>
        <v>-123</v>
      </c>
      <c r="EV68" s="5">
        <f>+EV66-EV67</f>
        <v>-82</v>
      </c>
      <c r="EW68" s="5">
        <f>+EW66-EW67</f>
        <v>-118</v>
      </c>
      <c r="EX68" s="8">
        <f t="shared" si="35"/>
        <v>-322</v>
      </c>
    </row>
    <row r="69" spans="1:154" x14ac:dyDescent="0.3">
      <c r="A69" s="1" t="s">
        <v>61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6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10">
        <v>-53</v>
      </c>
      <c r="DQ69" s="10">
        <v>-54</v>
      </c>
      <c r="DR69" s="10">
        <v>0</v>
      </c>
      <c r="DS69" s="10">
        <v>0</v>
      </c>
      <c r="DT69" s="11">
        <f t="shared" si="21"/>
        <v>-107</v>
      </c>
      <c r="DU69" s="10">
        <v>0</v>
      </c>
      <c r="DV69" s="10">
        <v>0</v>
      </c>
      <c r="DW69" s="10">
        <v>0</v>
      </c>
      <c r="DX69" s="10">
        <v>0</v>
      </c>
      <c r="DY69" s="11">
        <f t="shared" si="30"/>
        <v>0</v>
      </c>
      <c r="DZ69" s="10">
        <v>0</v>
      </c>
      <c r="EA69" s="10">
        <v>0</v>
      </c>
      <c r="EB69" s="10">
        <v>0</v>
      </c>
      <c r="EC69" s="10">
        <v>0</v>
      </c>
      <c r="ED69" s="11">
        <f t="shared" si="31"/>
        <v>0</v>
      </c>
      <c r="EE69" s="10">
        <v>0</v>
      </c>
      <c r="EF69" s="10">
        <v>0</v>
      </c>
      <c r="EG69" s="10">
        <v>0</v>
      </c>
      <c r="EH69" s="10">
        <v>0</v>
      </c>
      <c r="EI69" s="11">
        <f t="shared" si="32"/>
        <v>0</v>
      </c>
      <c r="EJ69" s="10">
        <v>0</v>
      </c>
      <c r="EK69" s="10">
        <v>0</v>
      </c>
      <c r="EL69" s="10">
        <v>0</v>
      </c>
      <c r="EM69" s="10">
        <v>0</v>
      </c>
      <c r="EN69" s="11">
        <f t="shared" si="33"/>
        <v>0</v>
      </c>
      <c r="EO69" s="10">
        <v>0</v>
      </c>
      <c r="EP69" s="10">
        <v>0</v>
      </c>
      <c r="EQ69" s="10">
        <v>0</v>
      </c>
      <c r="ER69" s="10">
        <v>0</v>
      </c>
      <c r="ES69" s="11">
        <f t="shared" si="34"/>
        <v>0</v>
      </c>
      <c r="ET69" s="10">
        <v>0</v>
      </c>
      <c r="EU69" s="10">
        <v>0</v>
      </c>
      <c r="EV69" s="10">
        <v>0</v>
      </c>
      <c r="EW69" s="10">
        <v>0</v>
      </c>
      <c r="EX69" s="11">
        <f t="shared" si="35"/>
        <v>0</v>
      </c>
    </row>
    <row r="70" spans="1:154" x14ac:dyDescent="0.3">
      <c r="A70" s="4" t="s">
        <v>62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6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>
        <f>+DP68+DP69</f>
        <v>-33</v>
      </c>
      <c r="DQ70" s="5">
        <f>+DQ68+DQ69</f>
        <v>-72</v>
      </c>
      <c r="DR70" s="5">
        <f t="shared" ref="DR70:EA70" si="36">+DR68+DR69</f>
        <v>-426</v>
      </c>
      <c r="DS70" s="5">
        <f t="shared" si="36"/>
        <v>-219</v>
      </c>
      <c r="DT70" s="8">
        <f t="shared" si="21"/>
        <v>-750</v>
      </c>
      <c r="DU70" s="8">
        <f t="shared" si="36"/>
        <v>-87</v>
      </c>
      <c r="DV70" s="8">
        <f t="shared" si="36"/>
        <v>-5317</v>
      </c>
      <c r="DW70" s="8">
        <f t="shared" si="36"/>
        <v>-345</v>
      </c>
      <c r="DX70" s="8">
        <f t="shared" si="36"/>
        <v>-162</v>
      </c>
      <c r="DY70" s="8">
        <f t="shared" si="30"/>
        <v>-5911</v>
      </c>
      <c r="DZ70" s="8">
        <f t="shared" si="36"/>
        <v>-186</v>
      </c>
      <c r="EA70" s="8">
        <f t="shared" si="36"/>
        <v>-181</v>
      </c>
      <c r="EB70" s="8">
        <f>+EB68+EB69</f>
        <v>15</v>
      </c>
      <c r="EC70" s="8">
        <f>+EC68+EC69</f>
        <v>-50</v>
      </c>
      <c r="ED70" s="8">
        <f t="shared" si="31"/>
        <v>-402</v>
      </c>
      <c r="EE70" s="8">
        <f>+EE68+EE69</f>
        <v>60</v>
      </c>
      <c r="EF70" s="8">
        <f>+EF68+EF69</f>
        <v>4580</v>
      </c>
      <c r="EG70" s="8">
        <f>+EG68+EG69</f>
        <v>126</v>
      </c>
      <c r="EH70" s="8">
        <f>+EH68+EH69</f>
        <v>189</v>
      </c>
      <c r="EI70" s="8">
        <f t="shared" si="32"/>
        <v>4955</v>
      </c>
      <c r="EJ70" s="8">
        <f>+EJ68+EJ69</f>
        <v>65</v>
      </c>
      <c r="EK70" s="8">
        <f>+EK68+EK69</f>
        <v>101</v>
      </c>
      <c r="EL70" s="8">
        <f>+EL68+EL69</f>
        <v>120</v>
      </c>
      <c r="EM70" s="8">
        <f>+EM68+EM69</f>
        <v>155</v>
      </c>
      <c r="EN70" s="8">
        <f t="shared" si="33"/>
        <v>441</v>
      </c>
      <c r="EO70" s="8">
        <f>+EO68+EO69</f>
        <v>3</v>
      </c>
      <c r="EP70" s="8">
        <f>+EP68+EP69</f>
        <v>-2</v>
      </c>
      <c r="EQ70" s="8">
        <f>+EQ68+EQ69</f>
        <v>11</v>
      </c>
      <c r="ER70" s="8">
        <f>+ER68+ER69</f>
        <v>17</v>
      </c>
      <c r="ES70" s="8">
        <f t="shared" si="34"/>
        <v>29</v>
      </c>
      <c r="ET70" s="8">
        <f>+ET68+ET69</f>
        <v>1</v>
      </c>
      <c r="EU70" s="8">
        <f>+EU68+EU69</f>
        <v>-123</v>
      </c>
      <c r="EV70" s="8">
        <f>+EV68+EV69</f>
        <v>-82</v>
      </c>
      <c r="EW70" s="8">
        <f>+EW68+EW69</f>
        <v>-118</v>
      </c>
      <c r="EX70" s="8">
        <f t="shared" si="35"/>
        <v>-322</v>
      </c>
    </row>
    <row r="71" spans="1:154" x14ac:dyDescent="0.3">
      <c r="A71" s="1" t="s">
        <v>3419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6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12">
        <f>+DP70/DP73</f>
        <v>-0.4262684716337708</v>
      </c>
      <c r="DQ71" s="12">
        <f>+DQ70/DQ73</f>
        <v>-0.92276933329915678</v>
      </c>
      <c r="DR71" s="12">
        <f>+DR70/DR73</f>
        <v>-4.1093908262190704</v>
      </c>
      <c r="DS71" s="12">
        <f>+DS70/DS73</f>
        <v>-2.1122685185185186</v>
      </c>
      <c r="DT71" s="12">
        <f>+SUM(DP71:DS71)</f>
        <v>-7.5706971496705169</v>
      </c>
      <c r="DU71" s="12">
        <f>+DU70/DU73</f>
        <v>-0.83746450401886696</v>
      </c>
      <c r="DV71" s="12">
        <f>+DV70/DV73</f>
        <v>-51.067058529745097</v>
      </c>
      <c r="DW71" s="12">
        <f>+DW70/DW73</f>
        <v>-3.3130071541748691</v>
      </c>
      <c r="DX71" s="12">
        <f>+DX70/DX73</f>
        <v>-1.5552248835981375</v>
      </c>
      <c r="DY71" s="12">
        <f>+SUM(DU71:DX71)</f>
        <v>-56.77275507153697</v>
      </c>
      <c r="DZ71" s="12">
        <f>+DZ70/DZ73</f>
        <v>-1.7822408324789436</v>
      </c>
      <c r="EA71" s="12">
        <f>+EA70/EA73</f>
        <v>-1.731643147572351</v>
      </c>
      <c r="EB71" s="12">
        <f>+EB70/EB73</f>
        <v>0.1430396887456373</v>
      </c>
      <c r="EC71" s="12">
        <f>+EC70/EC73</f>
        <v>-0.47851926997100169</v>
      </c>
      <c r="ED71" s="12">
        <f>+SUM(DZ71:EC71)</f>
        <v>-3.8493635612766592</v>
      </c>
      <c r="EE71" s="12">
        <f>+EE70/EE73</f>
        <v>0.57385515895787909</v>
      </c>
      <c r="EF71" s="12">
        <f>+EF70/EF73</f>
        <v>24.295020051348427</v>
      </c>
      <c r="EG71" s="12">
        <f>+EG70/EG73</f>
        <v>0.51554195324934637</v>
      </c>
      <c r="EH71" s="12">
        <f>+EH70/EH73</f>
        <v>0.77361363524731075</v>
      </c>
      <c r="EI71" s="12">
        <f>+SUM(EE71:EH71)</f>
        <v>26.158030798802965</v>
      </c>
      <c r="EJ71" s="12">
        <f>+EJ70/EJ73</f>
        <v>0.26592154087214082</v>
      </c>
      <c r="EK71" s="12">
        <f>+EK70/EK73</f>
        <v>0.41271151465125877</v>
      </c>
      <c r="EL71" s="12">
        <f>+EL70/EL73</f>
        <v>0.48982790712862878</v>
      </c>
      <c r="EM71" s="12">
        <f>+EM70/EM73</f>
        <v>0.63262723970450185</v>
      </c>
      <c r="EN71" s="12">
        <f>+SUM(EJ71:EM71)</f>
        <v>1.8010882023565302</v>
      </c>
      <c r="EO71" s="12">
        <f>+EO70/EO73</f>
        <v>1.2240850983960406E-2</v>
      </c>
      <c r="EP71" s="12">
        <f>+EP70/EP73</f>
        <v>-8.1475023831444476E-3</v>
      </c>
      <c r="EQ71" s="12">
        <f>+EQ70/EQ73</f>
        <v>4.4758932458770918E-2</v>
      </c>
      <c r="ER71" s="12">
        <f>+ER70/ER73</f>
        <v>6.9162201636296328E-2</v>
      </c>
      <c r="ES71" s="12">
        <f>+SUM(EO71:ER71)</f>
        <v>0.1180144826958832</v>
      </c>
      <c r="ET71" s="12">
        <f>+ET70/ET73</f>
        <v>4.0600728377067083E-3</v>
      </c>
      <c r="EU71" s="12">
        <f>+EU70/EU73</f>
        <v>-0.49446441062254276</v>
      </c>
      <c r="EV71" s="12">
        <f>+EV70/EV73</f>
        <v>-0.32933578594780433</v>
      </c>
      <c r="EW71" s="12">
        <f>+EW70/EW73</f>
        <v>-0.47545177992223542</v>
      </c>
      <c r="EX71" s="12">
        <f>+SUM(ET71:EW71)</f>
        <v>-1.2951919036548758</v>
      </c>
    </row>
    <row r="72" spans="1:154" x14ac:dyDescent="0.3">
      <c r="A72" s="1" t="s">
        <v>3420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6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12">
        <f>+DP70/DP74</f>
        <v>-0.4262684716337708</v>
      </c>
      <c r="DQ72" s="12">
        <f>+DQ70/DQ74</f>
        <v>-0.92276933329915678</v>
      </c>
      <c r="DR72" s="12">
        <f>+DR70/DR74</f>
        <v>-4.1093908262190704</v>
      </c>
      <c r="DS72" s="12">
        <f>+DS70/DS74</f>
        <v>-2.1122685185185186</v>
      </c>
      <c r="DT72" s="12">
        <f>+SUM(DP72:DS72)</f>
        <v>-7.5706971496705169</v>
      </c>
      <c r="DU72" s="12">
        <f>+DU70/DU74</f>
        <v>-0.83746450401886696</v>
      </c>
      <c r="DV72" s="12">
        <f t="shared" ref="DV72:EB72" si="37">+DV70/DV74</f>
        <v>-51.067058529745097</v>
      </c>
      <c r="DW72" s="12">
        <f t="shared" si="37"/>
        <v>-3.3130071541748691</v>
      </c>
      <c r="DX72" s="12">
        <f t="shared" si="37"/>
        <v>-1.5552248835981375</v>
      </c>
      <c r="DY72" s="12">
        <f>+SUM(DU72:DX72)</f>
        <v>-56.77275507153697</v>
      </c>
      <c r="DZ72" s="12">
        <f t="shared" si="37"/>
        <v>-1.7822408324789436</v>
      </c>
      <c r="EA72" s="12">
        <f t="shared" si="37"/>
        <v>-1.731643147572351</v>
      </c>
      <c r="EB72" s="12">
        <f t="shared" si="37"/>
        <v>0.1435049652717984</v>
      </c>
      <c r="EC72" s="12">
        <f>+EC70/EC74</f>
        <v>-0.47851926997100169</v>
      </c>
      <c r="ED72" s="12">
        <f>+SUM(DZ72:EC72)</f>
        <v>-3.848898284750498</v>
      </c>
      <c r="EE72" s="12">
        <f>+EE70/EE74</f>
        <v>0.57199511897498478</v>
      </c>
      <c r="EF72" s="12">
        <f>+EF70/EF74</f>
        <v>24.295020051348427</v>
      </c>
      <c r="EG72" s="12">
        <f>+EG70/EG74</f>
        <v>0.51288939906458741</v>
      </c>
      <c r="EH72" s="12">
        <f>+EH70/EH74</f>
        <v>0.7719326907368077</v>
      </c>
      <c r="EI72" s="12">
        <f>+SUM(EE72:EH72)</f>
        <v>26.151837260124807</v>
      </c>
      <c r="EJ72" s="12">
        <f>+EJ70/EJ74</f>
        <v>0.26503459720857409</v>
      </c>
      <c r="EK72" s="12">
        <f>+EK70/EK74</f>
        <v>0.41271151465125877</v>
      </c>
      <c r="EL72" s="12">
        <f>+EL70/EL74</f>
        <v>0.48937246138035662</v>
      </c>
      <c r="EM72" s="12">
        <f>+EM70/EM74</f>
        <v>0.63163471138368754</v>
      </c>
      <c r="EN72" s="12">
        <f>+SUM(EJ72:EM72)</f>
        <v>1.798753284623877</v>
      </c>
      <c r="EO72" s="12">
        <f>+EO70/EO74</f>
        <v>1.2174089479557674E-2</v>
      </c>
      <c r="EP72" s="12">
        <f>+EP70/EP74</f>
        <v>-8.1475023831444476E-3</v>
      </c>
      <c r="EQ72" s="12">
        <f>+EQ70/EQ74</f>
        <v>4.4453963879133716E-2</v>
      </c>
      <c r="ER72" s="12">
        <f>+ER70/ER74</f>
        <v>6.8115523928582875E-2</v>
      </c>
      <c r="ES72" s="12">
        <f>+SUM(EO72:ER72)</f>
        <v>0.11659607490412982</v>
      </c>
      <c r="ET72" s="12">
        <f>+ET70/ET74</f>
        <v>4.0479274611398969E-3</v>
      </c>
      <c r="EU72" s="12">
        <f>+EU70/EU74</f>
        <v>-0.49446441062254276</v>
      </c>
      <c r="EV72" s="12">
        <f>+EV70/EV74</f>
        <v>-0.32933578594780433</v>
      </c>
      <c r="EW72" s="12">
        <f>+EW70/EW74</f>
        <v>-0.47545177992223542</v>
      </c>
      <c r="EX72" s="12">
        <f>+SUM(ET72:EW72)</f>
        <v>-1.2952040490314425</v>
      </c>
    </row>
    <row r="73" spans="1:154" x14ac:dyDescent="0.3">
      <c r="A73" s="1" t="s">
        <v>3421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6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7">
        <v>77.415999999999997</v>
      </c>
      <c r="DQ73" s="7">
        <v>78.025999999999996</v>
      </c>
      <c r="DR73" s="7">
        <v>103.66500000000001</v>
      </c>
      <c r="DS73" s="7">
        <v>103.68</v>
      </c>
      <c r="DT73" s="5">
        <f>+DT70/DT71</f>
        <v>99.066173850665876</v>
      </c>
      <c r="DU73" s="7">
        <v>103.88500000000001</v>
      </c>
      <c r="DV73" s="7">
        <v>104.11799999999999</v>
      </c>
      <c r="DW73" s="7">
        <v>104.13500000000001</v>
      </c>
      <c r="DX73" s="7">
        <v>104.16500000000001</v>
      </c>
      <c r="DY73" s="5">
        <f>+DY70/DY71</f>
        <v>104.11684253391959</v>
      </c>
      <c r="DZ73" s="7">
        <v>104.363</v>
      </c>
      <c r="EA73" s="7">
        <v>104.52500000000001</v>
      </c>
      <c r="EB73" s="7">
        <v>104.866</v>
      </c>
      <c r="EC73" s="7">
        <v>104.489</v>
      </c>
      <c r="ED73" s="5">
        <f>+ED70/ED71</f>
        <v>104.43284808013168</v>
      </c>
      <c r="EE73" s="7">
        <v>104.556</v>
      </c>
      <c r="EF73" s="7">
        <v>188.51599999999999</v>
      </c>
      <c r="EG73" s="7">
        <v>244.40299999999999</v>
      </c>
      <c r="EH73" s="7">
        <v>244.30799999999999</v>
      </c>
      <c r="EI73" s="5">
        <f>+EI70/EI71</f>
        <v>189.42557404690987</v>
      </c>
      <c r="EJ73" s="7">
        <v>244.43299999999999</v>
      </c>
      <c r="EK73" s="7">
        <v>244.72300000000001</v>
      </c>
      <c r="EL73" s="7">
        <v>244.98400000000001</v>
      </c>
      <c r="EM73" s="7">
        <v>245.01</v>
      </c>
      <c r="EN73" s="5">
        <f>+EN70/EN71</f>
        <v>244.85197305884239</v>
      </c>
      <c r="EO73" s="7">
        <v>245.08099999999999</v>
      </c>
      <c r="EP73" s="7">
        <v>245.47399999999999</v>
      </c>
      <c r="EQ73" s="7">
        <v>245.761</v>
      </c>
      <c r="ER73" s="7">
        <v>245.79900000000001</v>
      </c>
      <c r="ES73" s="5">
        <f>+ES70/ES71</f>
        <v>245.73255195069063</v>
      </c>
      <c r="ET73" s="7">
        <v>246.30099999999999</v>
      </c>
      <c r="EU73" s="7">
        <v>248.75399999999999</v>
      </c>
      <c r="EV73" s="7">
        <v>248.98599999999999</v>
      </c>
      <c r="EW73" s="7">
        <v>248.185</v>
      </c>
      <c r="EX73" s="5">
        <f>+EX70/EX71</f>
        <v>248.61180732473289</v>
      </c>
    </row>
    <row r="74" spans="1:154" x14ac:dyDescent="0.3">
      <c r="A74" s="1" t="s">
        <v>3422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6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7">
        <v>77.415999999999997</v>
      </c>
      <c r="DQ74" s="7">
        <v>78.025999999999996</v>
      </c>
      <c r="DR74" s="7">
        <v>103.66500000000001</v>
      </c>
      <c r="DS74" s="7">
        <v>103.68</v>
      </c>
      <c r="DT74" s="460">
        <f>+DT70/DT72</f>
        <v>99.066173850665876</v>
      </c>
      <c r="DU74" s="7">
        <v>103.88500000000001</v>
      </c>
      <c r="DV74" s="7">
        <v>104.11799999999999</v>
      </c>
      <c r="DW74" s="7">
        <v>104.13500000000001</v>
      </c>
      <c r="DX74" s="7">
        <v>104.16500000000001</v>
      </c>
      <c r="DY74" s="460">
        <f>+DY70/DY72</f>
        <v>104.11684253391959</v>
      </c>
      <c r="DZ74" s="7">
        <v>104.363</v>
      </c>
      <c r="EA74" s="7">
        <v>104.52500000000001</v>
      </c>
      <c r="EB74" s="7">
        <v>104.526</v>
      </c>
      <c r="EC74" s="7">
        <v>104.489</v>
      </c>
      <c r="ED74" s="460">
        <f>+ED70/ED72</f>
        <v>104.44547251163831</v>
      </c>
      <c r="EE74" s="7">
        <v>104.896</v>
      </c>
      <c r="EF74" s="7">
        <v>188.51599999999999</v>
      </c>
      <c r="EG74" s="7">
        <v>245.667</v>
      </c>
      <c r="EH74" s="7">
        <v>244.84</v>
      </c>
      <c r="EI74" s="460">
        <f>+EI70/EI72</f>
        <v>189.47043569880157</v>
      </c>
      <c r="EJ74" s="7">
        <v>245.251</v>
      </c>
      <c r="EK74" s="7">
        <v>244.72300000000001</v>
      </c>
      <c r="EL74" s="7">
        <v>245.21199999999999</v>
      </c>
      <c r="EM74" s="7">
        <v>245.39500000000001</v>
      </c>
      <c r="EN74" s="460">
        <f>+EN70/EN72</f>
        <v>245.16980942843088</v>
      </c>
      <c r="EO74" s="7">
        <v>246.42500000000001</v>
      </c>
      <c r="EP74" s="7">
        <v>245.47399999999999</v>
      </c>
      <c r="EQ74" s="7">
        <v>247.447</v>
      </c>
      <c r="ER74" s="7">
        <v>249.57599999999999</v>
      </c>
      <c r="ES74" s="460">
        <f>+ES70/ES72</f>
        <v>248.72192330526576</v>
      </c>
      <c r="ET74" s="7">
        <v>247.04</v>
      </c>
      <c r="EU74" s="7">
        <v>248.75399999999999</v>
      </c>
      <c r="EV74" s="7">
        <v>248.98599999999999</v>
      </c>
      <c r="EW74" s="7">
        <v>248.185</v>
      </c>
      <c r="EX74" s="460">
        <f>+EX70/EX72</f>
        <v>248.60947604417433</v>
      </c>
    </row>
    <row r="75" spans="1:154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6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7"/>
      <c r="DQ75" s="7"/>
      <c r="DR75" s="7"/>
      <c r="DS75" s="7"/>
      <c r="DT75" s="460"/>
      <c r="DU75" s="7"/>
      <c r="DV75" s="7"/>
      <c r="DW75" s="7"/>
      <c r="DX75" s="7"/>
      <c r="DY75" s="460"/>
      <c r="DZ75" s="7"/>
      <c r="EA75" s="7"/>
      <c r="EB75" s="7"/>
      <c r="EC75" s="7"/>
      <c r="ED75" s="460"/>
      <c r="EE75" s="7"/>
      <c r="EF75" s="7"/>
      <c r="EG75" s="7"/>
      <c r="EH75" s="7"/>
      <c r="EI75" s="460"/>
      <c r="EJ75" s="7"/>
      <c r="EK75" s="7"/>
      <c r="EL75" s="7"/>
      <c r="EM75" s="7"/>
      <c r="EN75" s="460"/>
      <c r="EO75" s="7"/>
      <c r="EP75" s="7"/>
      <c r="EQ75" s="7"/>
    </row>
    <row r="76" spans="1:154" x14ac:dyDescent="0.3">
      <c r="A76" s="1" t="s">
        <v>3423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6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7"/>
      <c r="DQ76" s="7"/>
      <c r="DR76" s="7"/>
      <c r="DS76" s="7"/>
      <c r="DT76" s="460"/>
      <c r="DU76" s="7"/>
      <c r="DV76" s="7"/>
      <c r="DW76" s="7"/>
      <c r="DX76" s="7">
        <v>104.779</v>
      </c>
      <c r="DY76" s="8">
        <f>+DX76</f>
        <v>104.779</v>
      </c>
      <c r="DZ76" s="7">
        <v>104.988</v>
      </c>
      <c r="EA76" s="7">
        <v>104.988</v>
      </c>
      <c r="EB76" s="7">
        <v>104.79300000000001</v>
      </c>
      <c r="EC76" s="7">
        <v>104.779</v>
      </c>
      <c r="ED76" s="460"/>
      <c r="EE76" s="17">
        <v>104.779</v>
      </c>
      <c r="EF76" s="17">
        <v>244.40100000000001</v>
      </c>
      <c r="EG76" s="17">
        <v>244.40700000000001</v>
      </c>
      <c r="EH76" s="17">
        <v>244.416</v>
      </c>
      <c r="EI76" s="460"/>
      <c r="EJ76" s="17">
        <v>244.476</v>
      </c>
      <c r="EK76" s="24">
        <v>244.40100000000001</v>
      </c>
      <c r="EL76" s="24">
        <v>244.40100000000001</v>
      </c>
      <c r="EM76" s="24">
        <v>244.40100000000001</v>
      </c>
      <c r="EN76" s="460"/>
      <c r="EO76" s="24">
        <v>244.476</v>
      </c>
      <c r="EP76" s="24">
        <v>244.476</v>
      </c>
      <c r="EQ76" s="24">
        <v>244.476</v>
      </c>
      <c r="ER76" s="17">
        <v>245.81299999999999</v>
      </c>
      <c r="ES76" s="76">
        <f>ER76</f>
        <v>245.81299999999999</v>
      </c>
      <c r="ET76" s="17">
        <v>245.81299999999999</v>
      </c>
      <c r="EU76" s="17">
        <v>248.96199999999999</v>
      </c>
      <c r="EV76" s="17">
        <v>249.00700000000001</v>
      </c>
      <c r="EW76" s="17">
        <v>249.69499999999999</v>
      </c>
      <c r="EX76" s="76">
        <f>EW76</f>
        <v>249.69499999999999</v>
      </c>
    </row>
    <row r="77" spans="1:154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6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</row>
    <row r="78" spans="1:154" x14ac:dyDescent="0.3">
      <c r="A78" s="1" t="s">
        <v>84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6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7">
        <v>297</v>
      </c>
      <c r="DQ78" s="7">
        <v>321</v>
      </c>
      <c r="DR78" s="7">
        <v>329</v>
      </c>
      <c r="DS78" s="7">
        <v>245</v>
      </c>
      <c r="DT78" s="8">
        <f t="shared" si="21"/>
        <v>1192</v>
      </c>
      <c r="DU78" s="7">
        <v>305</v>
      </c>
      <c r="DV78" s="7">
        <v>275</v>
      </c>
      <c r="DW78" s="7">
        <v>318</v>
      </c>
      <c r="DX78" s="7">
        <v>328</v>
      </c>
      <c r="DY78" s="8">
        <f>+SUM(DU78:DX78)</f>
        <v>1226</v>
      </c>
      <c r="DZ78" s="7">
        <v>286</v>
      </c>
      <c r="EA78" s="7">
        <v>225</v>
      </c>
      <c r="EB78" s="7">
        <v>314</v>
      </c>
      <c r="EC78" s="7">
        <v>356</v>
      </c>
      <c r="ED78" s="8">
        <f>+SUM(DZ78:EC78)</f>
        <v>1181</v>
      </c>
      <c r="EE78" s="7">
        <v>384</v>
      </c>
      <c r="EF78" s="7">
        <v>385</v>
      </c>
      <c r="EG78" s="7">
        <v>377</v>
      </c>
      <c r="EH78" s="7">
        <v>559</v>
      </c>
      <c r="EI78" s="8">
        <f>+SUM(EE78:EH78)</f>
        <v>1705</v>
      </c>
      <c r="EJ78" s="7">
        <v>447</v>
      </c>
      <c r="EK78" s="7">
        <v>641</v>
      </c>
      <c r="EL78" s="7">
        <v>772</v>
      </c>
      <c r="EM78" s="7">
        <v>878</v>
      </c>
      <c r="EN78" s="8">
        <f>+SUM(EJ78:EM78)</f>
        <v>2738</v>
      </c>
      <c r="EO78" s="7">
        <v>1154</v>
      </c>
      <c r="EP78" s="7">
        <v>1057</v>
      </c>
      <c r="EQ78" s="7">
        <v>671</v>
      </c>
      <c r="ER78" s="7">
        <v>329</v>
      </c>
      <c r="ES78" s="8">
        <f>+SUM(EO78:ER78)</f>
        <v>3211</v>
      </c>
      <c r="ET78" s="7">
        <v>666</v>
      </c>
      <c r="EU78" s="7">
        <v>626</v>
      </c>
      <c r="EV78" s="7">
        <v>699</v>
      </c>
      <c r="EW78" s="7">
        <v>792</v>
      </c>
      <c r="EX78" s="8">
        <f>+SUM(ET78:EW78)</f>
        <v>2783</v>
      </c>
    </row>
    <row r="79" spans="1:154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6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I79" s="5"/>
      <c r="EN79" s="5"/>
    </row>
    <row r="80" spans="1:154" x14ac:dyDescent="0.3">
      <c r="A80" s="13" t="s">
        <v>3424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6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I80" s="5"/>
      <c r="EN80" s="5"/>
    </row>
    <row r="81" spans="1:154" x14ac:dyDescent="0.3">
      <c r="A81" s="1" t="s">
        <v>3425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6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9">
        <f>+DU70</f>
        <v>-87</v>
      </c>
      <c r="DV81" s="9">
        <f>+DV70</f>
        <v>-5317</v>
      </c>
      <c r="DW81" s="9">
        <f>+DW70</f>
        <v>-345</v>
      </c>
      <c r="DX81" s="9">
        <f>+DX70</f>
        <v>-162</v>
      </c>
      <c r="DY81" s="8">
        <f>+SUM(DU81:DX81)</f>
        <v>-5911</v>
      </c>
      <c r="DZ81" s="9">
        <f>+DZ70</f>
        <v>-186</v>
      </c>
      <c r="EA81" s="9">
        <f>+EA70</f>
        <v>-181</v>
      </c>
      <c r="EB81" s="9">
        <f>+EB70</f>
        <v>15</v>
      </c>
      <c r="EC81" s="9">
        <f>+EC70</f>
        <v>-50</v>
      </c>
      <c r="ED81" s="8">
        <f>+SUM(DZ81:EC81)</f>
        <v>-402</v>
      </c>
      <c r="EE81" s="9">
        <f>+EE70</f>
        <v>60</v>
      </c>
      <c r="EF81" s="1025">
        <f>+EF70</f>
        <v>4580</v>
      </c>
      <c r="EG81" s="1025">
        <f>+EG70</f>
        <v>126</v>
      </c>
      <c r="EH81" s="1025">
        <f>+EH70</f>
        <v>189</v>
      </c>
      <c r="EI81" s="8">
        <f>+SUM(EE81:EH81)</f>
        <v>4955</v>
      </c>
      <c r="EJ81" s="1025">
        <f>+EJ70</f>
        <v>65</v>
      </c>
      <c r="EK81" s="1025">
        <f>+EK70</f>
        <v>101</v>
      </c>
      <c r="EL81" s="1025">
        <f>+EL70</f>
        <v>120</v>
      </c>
      <c r="EM81" s="1025">
        <f>+EM70</f>
        <v>155</v>
      </c>
      <c r="EN81" s="8">
        <f>+SUM(EJ81:EM81)</f>
        <v>441</v>
      </c>
      <c r="EO81" s="1025">
        <f>+EO70</f>
        <v>3</v>
      </c>
      <c r="EP81" s="1025">
        <f>+EP70</f>
        <v>-2</v>
      </c>
      <c r="EQ81" s="1025">
        <f>+EQ70</f>
        <v>11</v>
      </c>
      <c r="ER81" s="1025">
        <f>+ER70</f>
        <v>17</v>
      </c>
      <c r="ES81" s="8">
        <f>+SUM(EO81:ER81)</f>
        <v>29</v>
      </c>
      <c r="ET81" s="1025">
        <f>+ET70</f>
        <v>1</v>
      </c>
      <c r="EU81" s="1025">
        <f>+EU70</f>
        <v>-123</v>
      </c>
      <c r="EV81" s="1025">
        <f>+EV70</f>
        <v>-82</v>
      </c>
      <c r="EW81" s="1025">
        <f>+EW70</f>
        <v>-118</v>
      </c>
      <c r="EX81" s="8">
        <f>+SUM(ET81:EW81)</f>
        <v>-322</v>
      </c>
    </row>
    <row r="82" spans="1:154" x14ac:dyDescent="0.3">
      <c r="A82" s="1" t="s">
        <v>3426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6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19"/>
      <c r="EG82" s="119"/>
      <c r="EH82" s="119"/>
      <c r="EI82" s="1"/>
      <c r="EJ82" s="119"/>
      <c r="EK82" s="119"/>
      <c r="EL82" s="119"/>
      <c r="EM82" s="119"/>
      <c r="EN82" s="1"/>
      <c r="EO82" s="119"/>
      <c r="EP82" s="119"/>
      <c r="EQ82" s="119"/>
      <c r="ER82" s="119"/>
      <c r="ET82" s="119"/>
      <c r="EU82" s="119"/>
      <c r="EV82" s="119"/>
      <c r="EW82" s="119"/>
    </row>
    <row r="83" spans="1:154" x14ac:dyDescent="0.3">
      <c r="A83" s="1" t="s">
        <v>3427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6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9">
        <f>+DU67</f>
        <v>18</v>
      </c>
      <c r="DV83" s="9">
        <f>+DV67</f>
        <v>-534</v>
      </c>
      <c r="DW83" s="9">
        <f>+DW67</f>
        <v>-21</v>
      </c>
      <c r="DX83" s="9">
        <f>+DX67</f>
        <v>-74</v>
      </c>
      <c r="DY83" s="8">
        <f t="shared" ref="DY83:DY90" si="38">+SUM(DU83:DX83)</f>
        <v>-611</v>
      </c>
      <c r="DZ83" s="9">
        <f>+DZ67</f>
        <v>-23</v>
      </c>
      <c r="EA83" s="9">
        <f>+EA67</f>
        <v>-57</v>
      </c>
      <c r="EB83" s="9">
        <f>+EB67</f>
        <v>-11</v>
      </c>
      <c r="EC83" s="9">
        <f>+EC67</f>
        <v>7</v>
      </c>
      <c r="ED83" s="8">
        <f t="shared" ref="ED83:ED90" si="39">+SUM(DZ83:EC83)</f>
        <v>-84</v>
      </c>
      <c r="EE83" s="9">
        <f>+EE67</f>
        <v>87</v>
      </c>
      <c r="EF83" s="1025">
        <f>+EF67</f>
        <v>-180</v>
      </c>
      <c r="EG83" s="1025">
        <f>+EG67</f>
        <v>31</v>
      </c>
      <c r="EH83" s="1025">
        <f>+EH67</f>
        <v>12</v>
      </c>
      <c r="EI83" s="8">
        <f t="shared" ref="EI83:EI90" si="40">+SUM(EE83:EH83)</f>
        <v>-50</v>
      </c>
      <c r="EJ83" s="1025">
        <f>+EJ67</f>
        <v>30</v>
      </c>
      <c r="EK83" s="1025">
        <f>+EK67</f>
        <v>69</v>
      </c>
      <c r="EL83" s="1025">
        <f>+EL67</f>
        <v>75</v>
      </c>
      <c r="EM83" s="1025">
        <f>+EM67</f>
        <v>-16</v>
      </c>
      <c r="EN83" s="8">
        <f t="shared" ref="EN83:EN90" si="41">+SUM(EJ83:EM83)</f>
        <v>158</v>
      </c>
      <c r="EO83" s="1025">
        <f>+EO67</f>
        <v>1</v>
      </c>
      <c r="EP83" s="1025">
        <f>+EP67</f>
        <v>0</v>
      </c>
      <c r="EQ83" s="1025">
        <f>+EQ67</f>
        <v>0</v>
      </c>
      <c r="ER83" s="1025">
        <f>+ER67</f>
        <v>87</v>
      </c>
      <c r="ES83" s="8">
        <f t="shared" ref="ES83:ES90" si="42">+SUM(EO83:ER83)</f>
        <v>88</v>
      </c>
      <c r="ET83" s="1025">
        <f>+ET67</f>
        <v>2</v>
      </c>
      <c r="EU83" s="1025">
        <f>+EU67</f>
        <v>-9</v>
      </c>
      <c r="EV83" s="1025">
        <f>+EV67</f>
        <v>-6</v>
      </c>
      <c r="EW83" s="1025">
        <f>+EW67</f>
        <v>-11</v>
      </c>
      <c r="EX83" s="8">
        <f t="shared" ref="EX83:EX90" si="43">+SUM(ET83:EW83)</f>
        <v>-24</v>
      </c>
    </row>
    <row r="84" spans="1:154" x14ac:dyDescent="0.3">
      <c r="A84" s="1" t="s">
        <v>56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6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9">
        <f>-DU65</f>
        <v>379</v>
      </c>
      <c r="DV84" s="9">
        <f>-DV65</f>
        <v>383</v>
      </c>
      <c r="DW84" s="9">
        <f>-DW65</f>
        <v>382</v>
      </c>
      <c r="DX84" s="9">
        <f>-DX65</f>
        <v>391</v>
      </c>
      <c r="DY84" s="8">
        <f t="shared" si="38"/>
        <v>1535</v>
      </c>
      <c r="DZ84" s="9">
        <f>-DZ65</f>
        <v>383</v>
      </c>
      <c r="EA84" s="9">
        <f>-EA65</f>
        <v>160</v>
      </c>
      <c r="EB84" s="9">
        <f>-EB65</f>
        <v>121</v>
      </c>
      <c r="EC84" s="9">
        <f>-EC65</f>
        <v>98</v>
      </c>
      <c r="ED84" s="8">
        <f t="shared" si="39"/>
        <v>762</v>
      </c>
      <c r="EE84" s="9">
        <f>-EE65</f>
        <v>89</v>
      </c>
      <c r="EF84" s="1025">
        <f>-EF65</f>
        <v>91</v>
      </c>
      <c r="EG84" s="1025">
        <f>-EG65</f>
        <v>90</v>
      </c>
      <c r="EH84" s="1025">
        <f>-EH65</f>
        <v>105</v>
      </c>
      <c r="EI84" s="8">
        <f t="shared" si="40"/>
        <v>375</v>
      </c>
      <c r="EJ84" s="1025">
        <f>-EJ65</f>
        <v>103</v>
      </c>
      <c r="EK84" s="1025">
        <f>-EK65</f>
        <v>118</v>
      </c>
      <c r="EL84" s="1025">
        <f>-EL65</f>
        <v>135</v>
      </c>
      <c r="EM84" s="1025">
        <f>-EM65</f>
        <v>136</v>
      </c>
      <c r="EN84" s="8">
        <f t="shared" si="41"/>
        <v>492</v>
      </c>
      <c r="EO84" s="1025">
        <f>-EO65</f>
        <v>141</v>
      </c>
      <c r="EP84" s="1025">
        <f>-EP65</f>
        <v>149</v>
      </c>
      <c r="EQ84" s="1025">
        <f>-EQ65</f>
        <v>170</v>
      </c>
      <c r="ER84" s="1025">
        <f>-ER65</f>
        <v>193</v>
      </c>
      <c r="ES84" s="8">
        <f t="shared" si="42"/>
        <v>653</v>
      </c>
      <c r="ET84" s="1025">
        <f>-ET65</f>
        <v>199</v>
      </c>
      <c r="EU84" s="1025">
        <f>-EU65</f>
        <v>199</v>
      </c>
      <c r="EV84" s="1025">
        <f>-EV65</f>
        <v>203</v>
      </c>
      <c r="EW84" s="1025">
        <f>-EW65</f>
        <v>203</v>
      </c>
      <c r="EX84" s="8">
        <f t="shared" si="43"/>
        <v>804</v>
      </c>
    </row>
    <row r="85" spans="1:154" x14ac:dyDescent="0.3">
      <c r="A85" s="1" t="s">
        <v>3428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6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9">
        <f t="shared" ref="DU85:DX88" si="44">+DU61*-1</f>
        <v>9</v>
      </c>
      <c r="DV85" s="9">
        <f t="shared" si="44"/>
        <v>9</v>
      </c>
      <c r="DW85" s="9">
        <f t="shared" si="44"/>
        <v>10</v>
      </c>
      <c r="DX85" s="9">
        <f t="shared" si="44"/>
        <v>9</v>
      </c>
      <c r="DY85" s="8">
        <f t="shared" si="38"/>
        <v>37</v>
      </c>
      <c r="DZ85" s="9">
        <f t="shared" ref="DZ85:EC88" si="45">+DZ61*-1</f>
        <v>-5</v>
      </c>
      <c r="EA85" s="9">
        <f t="shared" si="45"/>
        <v>20</v>
      </c>
      <c r="EB85" s="9">
        <f t="shared" si="45"/>
        <v>14</v>
      </c>
      <c r="EC85" s="9">
        <f t="shared" si="45"/>
        <v>14</v>
      </c>
      <c r="ED85" s="8">
        <f t="shared" si="39"/>
        <v>43</v>
      </c>
      <c r="EE85" s="9">
        <f t="shared" ref="EE85:EG88" si="46">+EE61*-1</f>
        <v>-2</v>
      </c>
      <c r="EF85" s="1025">
        <f t="shared" si="46"/>
        <v>3</v>
      </c>
      <c r="EG85" s="1025">
        <f t="shared" si="46"/>
        <v>37</v>
      </c>
      <c r="EH85" s="1025">
        <f t="shared" ref="EH85:EK85" si="47">+EH61*-1</f>
        <v>-34</v>
      </c>
      <c r="EI85" s="8">
        <f t="shared" si="40"/>
        <v>4</v>
      </c>
      <c r="EJ85" s="1025">
        <f t="shared" si="47"/>
        <v>-77</v>
      </c>
      <c r="EK85" s="1025">
        <f t="shared" si="47"/>
        <v>-122</v>
      </c>
      <c r="EL85" s="1025">
        <f t="shared" ref="EL85:EM85" si="48">+EL61*-1</f>
        <v>-211</v>
      </c>
      <c r="EM85" s="1025">
        <f t="shared" si="48"/>
        <v>-144</v>
      </c>
      <c r="EN85" s="8">
        <f t="shared" si="41"/>
        <v>-554</v>
      </c>
      <c r="EO85" s="1025">
        <f t="shared" ref="EO85:EP88" si="49">+EO61*-1</f>
        <v>-2</v>
      </c>
      <c r="EP85" s="1025">
        <f t="shared" si="49"/>
        <v>-32</v>
      </c>
      <c r="EQ85" s="1025">
        <f t="shared" ref="EQ85:ER85" si="50">+EQ61*-1</f>
        <v>-67</v>
      </c>
      <c r="ER85" s="1025">
        <f t="shared" si="50"/>
        <v>-177</v>
      </c>
      <c r="ES85" s="8">
        <f t="shared" si="42"/>
        <v>-278</v>
      </c>
      <c r="ET85" s="1025">
        <f t="shared" ref="ET85:EW85" si="51">+ET61*-1</f>
        <v>-112</v>
      </c>
      <c r="EU85" s="1025">
        <f t="shared" si="51"/>
        <v>24</v>
      </c>
      <c r="EV85" s="1025">
        <f t="shared" si="51"/>
        <v>-29</v>
      </c>
      <c r="EW85" s="1025">
        <f t="shared" si="51"/>
        <v>12</v>
      </c>
      <c r="EX85" s="8">
        <f t="shared" si="43"/>
        <v>-105</v>
      </c>
    </row>
    <row r="86" spans="1:154" x14ac:dyDescent="0.3">
      <c r="A86" s="1" t="s">
        <v>77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6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9">
        <f t="shared" si="44"/>
        <v>0</v>
      </c>
      <c r="DV86" s="9">
        <f t="shared" si="44"/>
        <v>0</v>
      </c>
      <c r="DW86" s="9">
        <f t="shared" si="44"/>
        <v>0</v>
      </c>
      <c r="DX86" s="9">
        <f t="shared" si="44"/>
        <v>57</v>
      </c>
      <c r="DY86" s="8">
        <f t="shared" si="38"/>
        <v>57</v>
      </c>
      <c r="DZ86" s="9">
        <f t="shared" si="45"/>
        <v>103</v>
      </c>
      <c r="EA86" s="9">
        <f t="shared" si="45"/>
        <v>56</v>
      </c>
      <c r="EB86" s="9">
        <f t="shared" si="45"/>
        <v>0</v>
      </c>
      <c r="EC86" s="9">
        <f t="shared" si="45"/>
        <v>0</v>
      </c>
      <c r="ED86" s="8">
        <f t="shared" si="39"/>
        <v>159</v>
      </c>
      <c r="EE86" s="9">
        <f t="shared" si="46"/>
        <v>0</v>
      </c>
      <c r="EF86" s="1025">
        <f t="shared" si="46"/>
        <v>0</v>
      </c>
      <c r="EG86" s="1025">
        <f t="shared" si="46"/>
        <v>0</v>
      </c>
      <c r="EH86" s="1025">
        <f t="shared" ref="EH86:EK86" si="52">+EH62*-1</f>
        <v>0</v>
      </c>
      <c r="EI86" s="8">
        <f t="shared" si="40"/>
        <v>0</v>
      </c>
      <c r="EJ86" s="1025">
        <f t="shared" si="52"/>
        <v>0</v>
      </c>
      <c r="EK86" s="1025">
        <f t="shared" si="52"/>
        <v>0</v>
      </c>
      <c r="EL86" s="1025">
        <f t="shared" ref="EL86:EM86" si="53">+EL62*-1</f>
        <v>50</v>
      </c>
      <c r="EM86" s="1025">
        <f t="shared" si="53"/>
        <v>5</v>
      </c>
      <c r="EN86" s="8">
        <f t="shared" si="41"/>
        <v>55</v>
      </c>
      <c r="EO86" s="1025">
        <f t="shared" si="49"/>
        <v>0</v>
      </c>
      <c r="EP86" s="1025">
        <f t="shared" si="49"/>
        <v>0</v>
      </c>
      <c r="EQ86" s="1025">
        <f t="shared" ref="EQ86:ER86" si="54">+EQ62*-1</f>
        <v>0</v>
      </c>
      <c r="ER86" s="1025">
        <f t="shared" si="54"/>
        <v>0</v>
      </c>
      <c r="ES86" s="8">
        <f t="shared" si="42"/>
        <v>0</v>
      </c>
      <c r="ET86" s="1025">
        <f t="shared" ref="ET86:EW86" si="55">+ET62*-1</f>
        <v>0</v>
      </c>
      <c r="EU86" s="1025">
        <f t="shared" si="55"/>
        <v>0</v>
      </c>
      <c r="EV86" s="1025">
        <f t="shared" si="55"/>
        <v>0</v>
      </c>
      <c r="EW86" s="1025">
        <f t="shared" si="55"/>
        <v>0</v>
      </c>
      <c r="EX86" s="8">
        <f t="shared" si="43"/>
        <v>0</v>
      </c>
    </row>
    <row r="87" spans="1:154" x14ac:dyDescent="0.3">
      <c r="A87" s="1" t="s">
        <v>3429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6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9">
        <f t="shared" si="44"/>
        <v>20</v>
      </c>
      <c r="DV87" s="9">
        <f t="shared" si="44"/>
        <v>0</v>
      </c>
      <c r="DW87" s="9">
        <f t="shared" si="44"/>
        <v>0</v>
      </c>
      <c r="DX87" s="9">
        <f t="shared" si="44"/>
        <v>0</v>
      </c>
      <c r="DY87" s="8">
        <f t="shared" si="38"/>
        <v>20</v>
      </c>
      <c r="DZ87" s="9">
        <f t="shared" si="45"/>
        <v>0</v>
      </c>
      <c r="EA87" s="9">
        <f t="shared" si="45"/>
        <v>0</v>
      </c>
      <c r="EB87" s="9">
        <f t="shared" si="45"/>
        <v>0</v>
      </c>
      <c r="EC87" s="9">
        <f t="shared" si="45"/>
        <v>72</v>
      </c>
      <c r="ED87" s="8">
        <f t="shared" si="39"/>
        <v>72</v>
      </c>
      <c r="EE87" s="9">
        <f t="shared" si="46"/>
        <v>0</v>
      </c>
      <c r="EF87" s="1025">
        <f t="shared" si="46"/>
        <v>0</v>
      </c>
      <c r="EG87" s="1025">
        <f t="shared" si="46"/>
        <v>0</v>
      </c>
      <c r="EH87" s="1025">
        <f t="shared" ref="EH87:EK87" si="56">+EH63*-1</f>
        <v>0</v>
      </c>
      <c r="EI87" s="8">
        <f t="shared" si="40"/>
        <v>0</v>
      </c>
      <c r="EJ87" s="1025">
        <f t="shared" si="56"/>
        <v>0</v>
      </c>
      <c r="EK87" s="1025">
        <f t="shared" si="56"/>
        <v>0</v>
      </c>
      <c r="EL87" s="1025">
        <f t="shared" ref="EL87:EM87" si="57">+EL63*-1</f>
        <v>0</v>
      </c>
      <c r="EM87" s="1025">
        <f t="shared" si="57"/>
        <v>0</v>
      </c>
      <c r="EN87" s="8">
        <f t="shared" si="41"/>
        <v>0</v>
      </c>
      <c r="EO87" s="1025">
        <f t="shared" si="49"/>
        <v>0</v>
      </c>
      <c r="EP87" s="1025">
        <f t="shared" si="49"/>
        <v>0</v>
      </c>
      <c r="EQ87" s="1025">
        <f t="shared" ref="EQ87:ER87" si="58">+EQ63*-1</f>
        <v>0</v>
      </c>
      <c r="ER87" s="1025">
        <f t="shared" si="58"/>
        <v>0</v>
      </c>
      <c r="ES87" s="8">
        <f t="shared" si="42"/>
        <v>0</v>
      </c>
      <c r="ET87" s="1025">
        <f t="shared" ref="ET87:EW87" si="59">+ET63*-1</f>
        <v>0</v>
      </c>
      <c r="EU87" s="1025">
        <f t="shared" si="59"/>
        <v>0</v>
      </c>
      <c r="EV87" s="1025">
        <f t="shared" si="59"/>
        <v>0</v>
      </c>
      <c r="EW87" s="1025">
        <f t="shared" si="59"/>
        <v>0</v>
      </c>
      <c r="EX87" s="8">
        <f t="shared" si="43"/>
        <v>0</v>
      </c>
    </row>
    <row r="88" spans="1:154" x14ac:dyDescent="0.3">
      <c r="A88" s="1" t="s">
        <v>3430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6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9">
        <f t="shared" si="44"/>
        <v>0</v>
      </c>
      <c r="DV88" s="9">
        <f t="shared" si="44"/>
        <v>0</v>
      </c>
      <c r="DW88" s="9">
        <f t="shared" si="44"/>
        <v>0</v>
      </c>
      <c r="DX88" s="9">
        <f t="shared" si="44"/>
        <v>0</v>
      </c>
      <c r="DY88" s="8">
        <f t="shared" si="38"/>
        <v>0</v>
      </c>
      <c r="DZ88" s="9">
        <f t="shared" si="45"/>
        <v>0</v>
      </c>
      <c r="EA88" s="9">
        <f t="shared" si="45"/>
        <v>142</v>
      </c>
      <c r="EB88" s="9">
        <f t="shared" si="45"/>
        <v>131</v>
      </c>
      <c r="EC88" s="9">
        <f t="shared" si="45"/>
        <v>136</v>
      </c>
      <c r="ED88" s="8">
        <f t="shared" si="39"/>
        <v>409</v>
      </c>
      <c r="EE88" s="9">
        <f t="shared" si="46"/>
        <v>25</v>
      </c>
      <c r="EF88" s="1025">
        <f t="shared" si="46"/>
        <v>-4196</v>
      </c>
      <c r="EG88" s="1025">
        <f t="shared" si="46"/>
        <v>0</v>
      </c>
      <c r="EH88" s="1025">
        <f t="shared" ref="EH88:EK88" si="60">+EH64*-1</f>
        <v>0</v>
      </c>
      <c r="EI88" s="8">
        <f t="shared" si="40"/>
        <v>-4171</v>
      </c>
      <c r="EJ88" s="1025">
        <f t="shared" si="60"/>
        <v>0</v>
      </c>
      <c r="EK88" s="1025">
        <f t="shared" si="60"/>
        <v>0</v>
      </c>
      <c r="EL88" s="1025">
        <f t="shared" ref="EL88:EM88" si="61">+EL64*-1</f>
        <v>0</v>
      </c>
      <c r="EM88" s="1025">
        <f t="shared" si="61"/>
        <v>0</v>
      </c>
      <c r="EN88" s="8">
        <f t="shared" si="41"/>
        <v>0</v>
      </c>
      <c r="EO88" s="1025">
        <f t="shared" si="49"/>
        <v>0</v>
      </c>
      <c r="EP88" s="1025">
        <f t="shared" si="49"/>
        <v>0</v>
      </c>
      <c r="EQ88" s="1025">
        <f t="shared" ref="EQ88:ER88" si="62">+EQ64*-1</f>
        <v>0</v>
      </c>
      <c r="ER88" s="1025">
        <f t="shared" si="62"/>
        <v>0</v>
      </c>
      <c r="ES88" s="8">
        <f t="shared" si="42"/>
        <v>0</v>
      </c>
      <c r="ET88" s="1025">
        <f t="shared" ref="ET88:EW88" si="63">+ET64*-1</f>
        <v>0</v>
      </c>
      <c r="EU88" s="1025">
        <f t="shared" si="63"/>
        <v>0</v>
      </c>
      <c r="EV88" s="1025">
        <f t="shared" si="63"/>
        <v>0</v>
      </c>
      <c r="EW88" s="1025">
        <f t="shared" si="63"/>
        <v>0</v>
      </c>
      <c r="EX88" s="8">
        <f t="shared" si="43"/>
        <v>0</v>
      </c>
    </row>
    <row r="89" spans="1:154" x14ac:dyDescent="0.3">
      <c r="A89" s="4" t="s">
        <v>3431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6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830">
        <f>+SUM(DU83:DU88,DU81)</f>
        <v>339</v>
      </c>
      <c r="DV89" s="830">
        <f t="shared" ref="DV89:EA89" si="64">+SUM(DV83:DV88,DV81)</f>
        <v>-5459</v>
      </c>
      <c r="DW89" s="830">
        <f t="shared" si="64"/>
        <v>26</v>
      </c>
      <c r="DX89" s="830">
        <f t="shared" si="64"/>
        <v>221</v>
      </c>
      <c r="DY89" s="830">
        <f t="shared" si="38"/>
        <v>-4873</v>
      </c>
      <c r="DZ89" s="830">
        <f t="shared" si="64"/>
        <v>272</v>
      </c>
      <c r="EA89" s="830">
        <f t="shared" si="64"/>
        <v>140</v>
      </c>
      <c r="EB89" s="830">
        <f>+SUM(EB83:EB88,EB81)</f>
        <v>270</v>
      </c>
      <c r="EC89" s="830">
        <f>+SUM(EC83:EC88,EC81)</f>
        <v>277</v>
      </c>
      <c r="ED89" s="830">
        <f t="shared" si="39"/>
        <v>959</v>
      </c>
      <c r="EE89" s="830">
        <f>+SUM(EE83:EE88,EE81)</f>
        <v>259</v>
      </c>
      <c r="EF89" s="1027">
        <f>+SUM(EF83:EF88,EF81)</f>
        <v>298</v>
      </c>
      <c r="EG89" s="1027">
        <f>+SUM(EG83:EG88,EG81)</f>
        <v>284</v>
      </c>
      <c r="EH89" s="1027">
        <f>+SUM(EH83:EH88,EH81)</f>
        <v>272</v>
      </c>
      <c r="EI89" s="830">
        <f t="shared" si="40"/>
        <v>1113</v>
      </c>
      <c r="EJ89" s="1027">
        <f>+SUM(EJ83:EJ88,EJ81)</f>
        <v>121</v>
      </c>
      <c r="EK89" s="1027">
        <f>+SUM(EK83:EK88,EK81)</f>
        <v>166</v>
      </c>
      <c r="EL89" s="1027">
        <f>+SUM(EL83:EL88,EL81)</f>
        <v>169</v>
      </c>
      <c r="EM89" s="1027">
        <f>+SUM(EM83:EM88,EM81)</f>
        <v>136</v>
      </c>
      <c r="EN89" s="830">
        <f t="shared" si="41"/>
        <v>592</v>
      </c>
      <c r="EO89" s="1027">
        <f>+SUM(EO83:EO88,EO81)</f>
        <v>143</v>
      </c>
      <c r="EP89" s="1027">
        <f>+SUM(EP83:EP88,EP81)</f>
        <v>115</v>
      </c>
      <c r="EQ89" s="1027">
        <f>+SUM(EQ83:EQ88,EQ81)</f>
        <v>114</v>
      </c>
      <c r="ER89" s="1027">
        <f>+SUM(ER83:ER88,ER81)</f>
        <v>120</v>
      </c>
      <c r="ES89" s="830">
        <f t="shared" si="42"/>
        <v>492</v>
      </c>
      <c r="ET89" s="1027">
        <f>+SUM(ET83:ET88,ET81)</f>
        <v>90</v>
      </c>
      <c r="EU89" s="1027">
        <f>+SUM(EU83:EU88,EU81)</f>
        <v>91</v>
      </c>
      <c r="EV89" s="1027">
        <f>+SUM(EV83:EV88,EV81)</f>
        <v>86</v>
      </c>
      <c r="EW89" s="1027">
        <f>+SUM(EW83:EW88,EW81)</f>
        <v>86</v>
      </c>
      <c r="EX89" s="830">
        <f t="shared" si="43"/>
        <v>353</v>
      </c>
    </row>
    <row r="90" spans="1:154" x14ac:dyDescent="0.3">
      <c r="A90" s="1" t="s">
        <v>3432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6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9">
        <f>+DU53</f>
        <v>484</v>
      </c>
      <c r="DV90" s="9">
        <f>+DV53</f>
        <v>454</v>
      </c>
      <c r="DW90" s="9">
        <f>+DW53</f>
        <v>422</v>
      </c>
      <c r="DX90" s="9">
        <f>+DX53</f>
        <v>420</v>
      </c>
      <c r="DY90" s="8">
        <f t="shared" si="38"/>
        <v>1780</v>
      </c>
      <c r="DZ90" s="9">
        <f>+DZ53</f>
        <v>415</v>
      </c>
      <c r="EA90" s="9">
        <f>+EA53</f>
        <v>397</v>
      </c>
      <c r="EB90" s="9">
        <f>+EB53</f>
        <v>392</v>
      </c>
      <c r="EC90" s="9">
        <f>+EC53</f>
        <v>394</v>
      </c>
      <c r="ED90" s="8">
        <f t="shared" si="39"/>
        <v>1598</v>
      </c>
      <c r="EE90" s="9">
        <f>+EE53</f>
        <v>387</v>
      </c>
      <c r="EF90" s="1025">
        <f>+EF53</f>
        <v>298</v>
      </c>
      <c r="EG90" s="1025">
        <f>+EG53</f>
        <v>273</v>
      </c>
      <c r="EH90" s="1025">
        <f>+EH53</f>
        <v>282</v>
      </c>
      <c r="EI90" s="8">
        <f t="shared" si="40"/>
        <v>1240</v>
      </c>
      <c r="EJ90" s="1025">
        <f>+EJ53</f>
        <v>284</v>
      </c>
      <c r="EK90" s="1025">
        <f>+EK53</f>
        <v>290</v>
      </c>
      <c r="EL90" s="1025">
        <f>+EL53</f>
        <v>296</v>
      </c>
      <c r="EM90" s="1025">
        <f>+EM53</f>
        <v>312</v>
      </c>
      <c r="EN90" s="8">
        <f t="shared" si="41"/>
        <v>1182</v>
      </c>
      <c r="EO90" s="1025">
        <f>+EO53</f>
        <v>330</v>
      </c>
      <c r="EP90" s="1025">
        <f>+EP53</f>
        <v>354</v>
      </c>
      <c r="EQ90" s="1025">
        <f>+EQ53</f>
        <v>356</v>
      </c>
      <c r="ER90" s="1025">
        <f>+ER53</f>
        <v>375</v>
      </c>
      <c r="ES90" s="8">
        <f t="shared" si="42"/>
        <v>1415</v>
      </c>
      <c r="ET90" s="1025">
        <f>+ET53</f>
        <v>388</v>
      </c>
      <c r="EU90" s="1025">
        <f>+EU53</f>
        <v>398</v>
      </c>
      <c r="EV90" s="1025">
        <f>+EV53</f>
        <v>410</v>
      </c>
      <c r="EW90" s="1025">
        <f>+EW53</f>
        <v>429</v>
      </c>
      <c r="EX90" s="8">
        <f t="shared" si="43"/>
        <v>1625</v>
      </c>
    </row>
    <row r="91" spans="1:154" x14ac:dyDescent="0.3">
      <c r="A91" s="4" t="s">
        <v>44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6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14">
        <f>+DU89+DU90</f>
        <v>823</v>
      </c>
      <c r="DV91" s="14">
        <f t="shared" ref="DV91:EA91" si="65">+DV89+DV90</f>
        <v>-5005</v>
      </c>
      <c r="DW91" s="14">
        <f t="shared" si="65"/>
        <v>448</v>
      </c>
      <c r="DX91" s="14">
        <f t="shared" si="65"/>
        <v>641</v>
      </c>
      <c r="DY91" s="14">
        <f>+SUM(DU91:DX91)</f>
        <v>-3093</v>
      </c>
      <c r="DZ91" s="14">
        <f t="shared" si="65"/>
        <v>687</v>
      </c>
      <c r="EA91" s="14">
        <f t="shared" si="65"/>
        <v>537</v>
      </c>
      <c r="EB91" s="14">
        <f>+EB89+EB90</f>
        <v>662</v>
      </c>
      <c r="EC91" s="14">
        <f>+EC89+EC90</f>
        <v>671</v>
      </c>
      <c r="ED91" s="14">
        <f>+SUM(DZ91:EC91)</f>
        <v>2557</v>
      </c>
      <c r="EE91" s="14">
        <f>+EE89+EE90</f>
        <v>646</v>
      </c>
      <c r="EF91" s="1056">
        <f>+EF89+EF90</f>
        <v>596</v>
      </c>
      <c r="EG91" s="1056">
        <f>+EG89+EG90</f>
        <v>557</v>
      </c>
      <c r="EH91" s="1056">
        <f>+EH89+EH90</f>
        <v>554</v>
      </c>
      <c r="EI91" s="14">
        <f>+SUM(EE91:EH91)</f>
        <v>2353</v>
      </c>
      <c r="EJ91" s="1056">
        <f>+EJ89+EJ90</f>
        <v>405</v>
      </c>
      <c r="EK91" s="1056">
        <f>+EK89+EK90</f>
        <v>456</v>
      </c>
      <c r="EL91" s="1056">
        <f>+EL89+EL90</f>
        <v>465</v>
      </c>
      <c r="EM91" s="1056">
        <f>+EM89+EM90</f>
        <v>448</v>
      </c>
      <c r="EN91" s="14">
        <f>+SUM(EJ91:EM91)</f>
        <v>1774</v>
      </c>
      <c r="EO91" s="1056">
        <f>+EO89+EO90</f>
        <v>473</v>
      </c>
      <c r="EP91" s="1056">
        <f>+EP89+EP90</f>
        <v>469</v>
      </c>
      <c r="EQ91" s="1056">
        <f>+EQ89+EQ90</f>
        <v>470</v>
      </c>
      <c r="ER91" s="1056">
        <f>+ER89+ER90</f>
        <v>495</v>
      </c>
      <c r="ES91" s="14">
        <f>+SUM(EO91:ER91)</f>
        <v>1907</v>
      </c>
      <c r="ET91" s="1056">
        <f>+ET89+ET90</f>
        <v>478</v>
      </c>
      <c r="EU91" s="1056">
        <f>+EU89+EU90</f>
        <v>489</v>
      </c>
      <c r="EV91" s="1056">
        <f>+EV89+EV90</f>
        <v>496</v>
      </c>
      <c r="EW91" s="1056">
        <f>+EW89+EW90</f>
        <v>515</v>
      </c>
      <c r="EX91" s="14">
        <f>+SUM(ET91:EW91)</f>
        <v>1978</v>
      </c>
    </row>
    <row r="92" spans="1:154" x14ac:dyDescent="0.3">
      <c r="A92" s="1" t="s">
        <v>3433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6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I92" s="8"/>
      <c r="EN92" s="8"/>
    </row>
    <row r="93" spans="1:154" x14ac:dyDescent="0.3">
      <c r="A93" s="1" t="s">
        <v>51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6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7">
        <v>20</v>
      </c>
      <c r="DV93" s="7">
        <v>19</v>
      </c>
      <c r="DW93" s="7">
        <v>20</v>
      </c>
      <c r="DX93" s="7">
        <v>19</v>
      </c>
      <c r="DY93" s="8">
        <f t="shared" ref="DY93:DY99" si="66">+SUM(DU93:DX93)</f>
        <v>78</v>
      </c>
      <c r="DZ93" s="7">
        <v>23</v>
      </c>
      <c r="EA93" s="7">
        <v>23</v>
      </c>
      <c r="EB93" s="7">
        <v>24</v>
      </c>
      <c r="EC93" s="7">
        <v>20</v>
      </c>
      <c r="ED93" s="8">
        <f t="shared" ref="ED93:ED99" si="67">+SUM(DZ93:EC93)</f>
        <v>90</v>
      </c>
      <c r="EE93" s="7">
        <v>23</v>
      </c>
      <c r="EF93" s="17">
        <v>21</v>
      </c>
      <c r="EG93" s="17">
        <v>18</v>
      </c>
      <c r="EH93" s="17">
        <v>19</v>
      </c>
      <c r="EI93" s="8">
        <f t="shared" ref="EI93:EI99" si="68">+SUM(EE93:EH93)</f>
        <v>81</v>
      </c>
      <c r="EJ93" s="17">
        <v>19</v>
      </c>
      <c r="EK93" s="17">
        <v>18</v>
      </c>
      <c r="EL93" s="17">
        <v>13</v>
      </c>
      <c r="EM93" s="17">
        <v>11</v>
      </c>
      <c r="EN93" s="8">
        <f t="shared" ref="EN93:EN99" si="69">+SUM(EJ93:EM93)</f>
        <v>61</v>
      </c>
      <c r="EO93" s="1268">
        <v>11</v>
      </c>
      <c r="EP93" s="1268">
        <v>11</v>
      </c>
      <c r="EQ93" s="1268">
        <v>9</v>
      </c>
      <c r="ER93" s="1268">
        <v>10</v>
      </c>
      <c r="ES93" s="8">
        <f t="shared" ref="ES93:ES99" si="70">+SUM(EO93:ER93)</f>
        <v>41</v>
      </c>
      <c r="ET93" s="1268">
        <v>9</v>
      </c>
      <c r="EU93" s="1268">
        <v>9</v>
      </c>
      <c r="EV93" s="1268">
        <v>8</v>
      </c>
      <c r="EW93" s="1268">
        <v>10</v>
      </c>
      <c r="EX93" s="8">
        <f t="shared" ref="EX93:EX99" si="71">+SUM(ET93:EW93)</f>
        <v>36</v>
      </c>
    </row>
    <row r="94" spans="1:154" x14ac:dyDescent="0.3">
      <c r="A94" s="1" t="s">
        <v>3434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6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15">
        <f>+DU56</f>
        <v>28</v>
      </c>
      <c r="DV94" s="15">
        <f>+DV56</f>
        <v>31</v>
      </c>
      <c r="DW94" s="15">
        <f>+DW56</f>
        <v>27</v>
      </c>
      <c r="DX94" s="15">
        <f>+DX56</f>
        <v>82</v>
      </c>
      <c r="DY94" s="8">
        <f t="shared" si="66"/>
        <v>168</v>
      </c>
      <c r="DZ94" s="15">
        <f>+DZ56</f>
        <v>48</v>
      </c>
      <c r="EA94" s="15">
        <f>+EA56</f>
        <v>36</v>
      </c>
      <c r="EB94" s="15">
        <f>+EB56</f>
        <v>3</v>
      </c>
      <c r="EC94" s="15">
        <f>+EC56</f>
        <v>2</v>
      </c>
      <c r="ED94" s="8">
        <f t="shared" si="67"/>
        <v>89</v>
      </c>
      <c r="EE94" s="15">
        <f>+EE56</f>
        <v>2</v>
      </c>
      <c r="EF94" s="15">
        <f>+EF56</f>
        <v>16</v>
      </c>
      <c r="EG94" s="15">
        <f>+EG56</f>
        <v>8</v>
      </c>
      <c r="EH94" s="15">
        <f>+EH56</f>
        <v>2</v>
      </c>
      <c r="EI94" s="8">
        <f t="shared" si="68"/>
        <v>28</v>
      </c>
      <c r="EJ94" s="7">
        <f>+EJ56+8+8</f>
        <v>70</v>
      </c>
      <c r="EK94" s="7">
        <f>+EK56+11</f>
        <v>41</v>
      </c>
      <c r="EL94" s="7">
        <f>+EL56+7</f>
        <v>11</v>
      </c>
      <c r="EM94" s="7">
        <f>+EM56+6+17</f>
        <v>34</v>
      </c>
      <c r="EN94" s="8">
        <f t="shared" si="69"/>
        <v>156</v>
      </c>
      <c r="EO94" s="1268">
        <v>8</v>
      </c>
      <c r="EP94" s="1268">
        <v>24</v>
      </c>
      <c r="EQ94" s="1268">
        <v>16</v>
      </c>
      <c r="ER94" s="1268">
        <f>25-8</f>
        <v>17</v>
      </c>
      <c r="ES94" s="8">
        <f t="shared" si="70"/>
        <v>65</v>
      </c>
      <c r="ET94" s="1268">
        <v>34</v>
      </c>
      <c r="EU94" s="1268">
        <f>26+25</f>
        <v>51</v>
      </c>
      <c r="EV94" s="1268">
        <v>28</v>
      </c>
      <c r="EW94" s="1268">
        <v>36</v>
      </c>
      <c r="EX94" s="8">
        <f t="shared" si="71"/>
        <v>149</v>
      </c>
    </row>
    <row r="95" spans="1:154" x14ac:dyDescent="0.3">
      <c r="A95" s="1" t="s">
        <v>78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6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7">
        <v>3</v>
      </c>
      <c r="DV95" s="7">
        <v>4</v>
      </c>
      <c r="DW95" s="7">
        <v>3</v>
      </c>
      <c r="DX95" s="7">
        <v>5</v>
      </c>
      <c r="DY95" s="8">
        <f t="shared" si="66"/>
        <v>15</v>
      </c>
      <c r="DZ95" s="7">
        <v>1</v>
      </c>
      <c r="EA95" s="7">
        <v>1</v>
      </c>
      <c r="EB95" s="7">
        <v>1</v>
      </c>
      <c r="EC95" s="7">
        <v>0</v>
      </c>
      <c r="ED95" s="8">
        <f t="shared" si="67"/>
        <v>3</v>
      </c>
      <c r="EE95" s="7">
        <v>-1</v>
      </c>
      <c r="EF95" s="17">
        <v>0</v>
      </c>
      <c r="EG95" s="17">
        <v>8</v>
      </c>
      <c r="EH95" s="17">
        <v>10</v>
      </c>
      <c r="EI95" s="8">
        <f t="shared" si="68"/>
        <v>17</v>
      </c>
      <c r="EJ95" s="17">
        <v>15</v>
      </c>
      <c r="EK95" s="17">
        <v>20</v>
      </c>
      <c r="EL95" s="17">
        <v>19</v>
      </c>
      <c r="EM95" s="17">
        <v>28</v>
      </c>
      <c r="EN95" s="8">
        <f t="shared" si="69"/>
        <v>82</v>
      </c>
      <c r="EO95" s="1268">
        <v>24</v>
      </c>
      <c r="EP95" s="1268">
        <v>27</v>
      </c>
      <c r="EQ95" s="1268">
        <v>30</v>
      </c>
      <c r="ER95" s="1268">
        <v>27</v>
      </c>
      <c r="ES95" s="8">
        <f t="shared" si="70"/>
        <v>108</v>
      </c>
      <c r="ET95" s="1268">
        <v>26</v>
      </c>
      <c r="EU95" s="1268">
        <v>11</v>
      </c>
      <c r="EV95" s="1268">
        <v>17</v>
      </c>
      <c r="EW95" s="1268">
        <v>14</v>
      </c>
      <c r="EX95" s="8">
        <f t="shared" si="71"/>
        <v>68</v>
      </c>
    </row>
    <row r="96" spans="1:154" x14ac:dyDescent="0.3">
      <c r="A96" s="1" t="s">
        <v>3435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6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7">
        <v>-1</v>
      </c>
      <c r="DV96" s="7">
        <v>0</v>
      </c>
      <c r="DW96" s="7">
        <v>0</v>
      </c>
      <c r="DX96" s="7">
        <v>-5</v>
      </c>
      <c r="DY96" s="8">
        <f t="shared" si="66"/>
        <v>-6</v>
      </c>
      <c r="DZ96" s="7">
        <v>0</v>
      </c>
      <c r="EA96" s="7">
        <v>-1</v>
      </c>
      <c r="EB96" s="7">
        <v>0</v>
      </c>
      <c r="EC96" s="7">
        <v>0</v>
      </c>
      <c r="ED96" s="8">
        <f t="shared" si="67"/>
        <v>-1</v>
      </c>
      <c r="EE96" s="7">
        <v>0</v>
      </c>
      <c r="EF96" s="17">
        <v>0</v>
      </c>
      <c r="EG96" s="17">
        <v>-4</v>
      </c>
      <c r="EH96" s="17">
        <v>0</v>
      </c>
      <c r="EI96" s="8">
        <f t="shared" si="68"/>
        <v>-4</v>
      </c>
      <c r="EJ96" s="17">
        <v>0</v>
      </c>
      <c r="EK96" s="17">
        <v>0</v>
      </c>
      <c r="EL96" s="17">
        <v>0</v>
      </c>
      <c r="EM96" s="17">
        <v>7</v>
      </c>
      <c r="EN96" s="8">
        <f t="shared" si="69"/>
        <v>7</v>
      </c>
      <c r="EO96" s="1268">
        <v>3</v>
      </c>
      <c r="EP96" s="1268">
        <v>2</v>
      </c>
      <c r="EQ96" s="1268">
        <v>1</v>
      </c>
      <c r="ER96" s="1268">
        <v>0</v>
      </c>
      <c r="ES96" s="8">
        <f t="shared" si="70"/>
        <v>6</v>
      </c>
      <c r="ET96" s="1268">
        <v>0</v>
      </c>
      <c r="EU96" s="1268">
        <v>0</v>
      </c>
      <c r="EV96" s="1268">
        <v>0</v>
      </c>
      <c r="EW96" s="1268">
        <v>20</v>
      </c>
      <c r="EX96" s="8">
        <f t="shared" si="71"/>
        <v>20</v>
      </c>
    </row>
    <row r="97" spans="1:154" x14ac:dyDescent="0.3">
      <c r="A97" s="1" t="s">
        <v>3436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6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15">
        <f>+DU55</f>
        <v>0</v>
      </c>
      <c r="DV97" s="15">
        <f>+DV55</f>
        <v>384</v>
      </c>
      <c r="DW97" s="15">
        <f>+DW55</f>
        <v>30</v>
      </c>
      <c r="DX97" s="15">
        <f>+DX55</f>
        <v>32</v>
      </c>
      <c r="DY97" s="8">
        <f t="shared" si="66"/>
        <v>446</v>
      </c>
      <c r="DZ97" s="15">
        <f>+DZ55</f>
        <v>24</v>
      </c>
      <c r="EA97" s="15">
        <f>+EA55</f>
        <v>136</v>
      </c>
      <c r="EB97" s="15">
        <f>+EB55</f>
        <v>0</v>
      </c>
      <c r="EC97" s="15">
        <f>+EC55</f>
        <v>0</v>
      </c>
      <c r="ED97" s="8">
        <f t="shared" si="67"/>
        <v>160</v>
      </c>
      <c r="EE97" s="15">
        <f>+EE55</f>
        <v>0</v>
      </c>
      <c r="EF97" s="18">
        <f>+EF55</f>
        <v>0</v>
      </c>
      <c r="EG97" s="18">
        <f>+EG55</f>
        <v>0</v>
      </c>
      <c r="EH97" s="18">
        <f>+EH55</f>
        <v>0</v>
      </c>
      <c r="EI97" s="8">
        <f t="shared" si="68"/>
        <v>0</v>
      </c>
      <c r="EJ97" s="18">
        <f>+EJ55</f>
        <v>0</v>
      </c>
      <c r="EK97" s="18">
        <f>+EK55</f>
        <v>0</v>
      </c>
      <c r="EL97" s="18">
        <f>+EL55</f>
        <v>0</v>
      </c>
      <c r="EM97" s="18">
        <f>+EM55</f>
        <v>0</v>
      </c>
      <c r="EN97" s="8">
        <f t="shared" si="69"/>
        <v>0</v>
      </c>
      <c r="EO97" s="18">
        <f>+EO55</f>
        <v>0</v>
      </c>
      <c r="EP97" s="18">
        <f>+EP55</f>
        <v>0</v>
      </c>
      <c r="EQ97" s="18">
        <f>+EQ55</f>
        <v>0</v>
      </c>
      <c r="ER97" s="18">
        <f>+ER55</f>
        <v>0</v>
      </c>
      <c r="ES97" s="8">
        <f t="shared" si="70"/>
        <v>0</v>
      </c>
      <c r="ET97" s="18">
        <f>+ET55</f>
        <v>0</v>
      </c>
      <c r="EU97" s="18">
        <f>+EU55</f>
        <v>0</v>
      </c>
      <c r="EV97" s="18">
        <f>+EV55</f>
        <v>0</v>
      </c>
      <c r="EW97" s="18">
        <f>+EW55</f>
        <v>0</v>
      </c>
      <c r="EX97" s="8">
        <f t="shared" si="71"/>
        <v>0</v>
      </c>
    </row>
    <row r="98" spans="1:154" x14ac:dyDescent="0.3">
      <c r="A98" s="1" t="s">
        <v>80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6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15">
        <f>+DU54</f>
        <v>0</v>
      </c>
      <c r="DV98" s="15">
        <f>+DV54</f>
        <v>5449</v>
      </c>
      <c r="DW98" s="15">
        <f>+DW54</f>
        <v>276</v>
      </c>
      <c r="DX98" s="15">
        <f>+DX54</f>
        <v>0</v>
      </c>
      <c r="DY98" s="8">
        <f t="shared" si="66"/>
        <v>5725</v>
      </c>
      <c r="DZ98" s="15">
        <f>+DZ54</f>
        <v>0</v>
      </c>
      <c r="EA98" s="15">
        <f>+EA54</f>
        <v>0</v>
      </c>
      <c r="EB98" s="15">
        <f>+EB54</f>
        <v>0</v>
      </c>
      <c r="EC98" s="15">
        <f>+EC54</f>
        <v>0</v>
      </c>
      <c r="ED98" s="8">
        <f t="shared" si="67"/>
        <v>0</v>
      </c>
      <c r="EE98" s="15">
        <f>+EE54</f>
        <v>0</v>
      </c>
      <c r="EF98" s="18">
        <f>+EF54</f>
        <v>0</v>
      </c>
      <c r="EG98" s="18">
        <f>+EG54</f>
        <v>0</v>
      </c>
      <c r="EH98" s="18">
        <f>+EH54</f>
        <v>0</v>
      </c>
      <c r="EI98" s="8">
        <f t="shared" si="68"/>
        <v>0</v>
      </c>
      <c r="EJ98" s="18">
        <f>+EJ54</f>
        <v>0</v>
      </c>
      <c r="EK98" s="18">
        <f>+EK54</f>
        <v>0</v>
      </c>
      <c r="EL98" s="18">
        <f>+EL54</f>
        <v>0</v>
      </c>
      <c r="EM98" s="18">
        <f>+EM54</f>
        <v>0</v>
      </c>
      <c r="EN98" s="8">
        <f t="shared" si="69"/>
        <v>0</v>
      </c>
      <c r="EO98" s="18">
        <f>+EO54</f>
        <v>0</v>
      </c>
      <c r="EP98" s="18">
        <f>+EP54</f>
        <v>0</v>
      </c>
      <c r="EQ98" s="18">
        <f>+EQ54</f>
        <v>0</v>
      </c>
      <c r="ER98" s="18">
        <f>+ER54</f>
        <v>0</v>
      </c>
      <c r="ES98" s="8">
        <f t="shared" si="70"/>
        <v>0</v>
      </c>
      <c r="ET98" s="18">
        <f>+ET54</f>
        <v>0</v>
      </c>
      <c r="EU98" s="18">
        <f>+EU54</f>
        <v>0</v>
      </c>
      <c r="EV98" s="18">
        <f>+EV54</f>
        <v>0</v>
      </c>
      <c r="EW98" s="18">
        <f>+EW54</f>
        <v>0</v>
      </c>
      <c r="EX98" s="8">
        <f t="shared" si="71"/>
        <v>0</v>
      </c>
    </row>
    <row r="99" spans="1:154" x14ac:dyDescent="0.3">
      <c r="A99" s="4" t="s">
        <v>106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6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14">
        <f>+SUM(DU93:DU98,DU91)</f>
        <v>873</v>
      </c>
      <c r="DV99" s="14">
        <f t="shared" ref="DV99:EA99" si="72">+SUM(DV93:DV98,DV91)</f>
        <v>882</v>
      </c>
      <c r="DW99" s="14">
        <f t="shared" si="72"/>
        <v>804</v>
      </c>
      <c r="DX99" s="14">
        <f t="shared" si="72"/>
        <v>774</v>
      </c>
      <c r="DY99" s="14">
        <f t="shared" si="66"/>
        <v>3333</v>
      </c>
      <c r="DZ99" s="14">
        <f t="shared" si="72"/>
        <v>783</v>
      </c>
      <c r="EA99" s="14">
        <f t="shared" si="72"/>
        <v>732</v>
      </c>
      <c r="EB99" s="14">
        <f>+SUM(EB93:EB98,EB91)</f>
        <v>690</v>
      </c>
      <c r="EC99" s="14">
        <f>+SUM(EC93:EC98,EC91)</f>
        <v>693</v>
      </c>
      <c r="ED99" s="14">
        <f t="shared" si="67"/>
        <v>2898</v>
      </c>
      <c r="EE99" s="14">
        <f>+SUM(EE93:EE98,EE91)</f>
        <v>670</v>
      </c>
      <c r="EF99" s="1056">
        <f>+SUM(EF93:EF98,EF91)</f>
        <v>633</v>
      </c>
      <c r="EG99" s="1056">
        <f>+SUM(EG93:EG98,EG91)</f>
        <v>587</v>
      </c>
      <c r="EH99" s="1056">
        <f>+SUM(EH93:EH98,EH91)</f>
        <v>585</v>
      </c>
      <c r="EI99" s="14">
        <f t="shared" si="68"/>
        <v>2475</v>
      </c>
      <c r="EJ99" s="1056">
        <f>+SUM(EJ93:EJ98,EJ91)</f>
        <v>509</v>
      </c>
      <c r="EK99" s="1056">
        <f>+SUM(EK93:EK98,EK91)</f>
        <v>535</v>
      </c>
      <c r="EL99" s="1056">
        <f>+SUM(EL93:EL98,EL91)</f>
        <v>508</v>
      </c>
      <c r="EM99" s="1056">
        <f>+SUM(EM93:EM98,EM91)</f>
        <v>528</v>
      </c>
      <c r="EN99" s="14">
        <f t="shared" si="69"/>
        <v>2080</v>
      </c>
      <c r="EO99" s="1056">
        <f>+SUM(EO93:EO98,EO91)</f>
        <v>519</v>
      </c>
      <c r="EP99" s="1056">
        <f>+SUM(EP93:EP98,EP91)</f>
        <v>533</v>
      </c>
      <c r="EQ99" s="1056">
        <f>+SUM(EQ93:EQ98,EQ91)</f>
        <v>526</v>
      </c>
      <c r="ER99" s="1056">
        <f>+SUM(ER93:ER98,ER91)</f>
        <v>549</v>
      </c>
      <c r="ES99" s="14">
        <f t="shared" si="70"/>
        <v>2127</v>
      </c>
      <c r="ET99" s="1056">
        <f>+SUM(ET93:ET98,ET91)</f>
        <v>547</v>
      </c>
      <c r="EU99" s="1056">
        <f>+SUM(EU93:EU98,EU91)</f>
        <v>560</v>
      </c>
      <c r="EV99" s="1056">
        <f>+SUM(EV93:EV98,EV91)</f>
        <v>549</v>
      </c>
      <c r="EW99" s="1056">
        <f>+SUM(EW93:EW98,EW91)</f>
        <v>595</v>
      </c>
      <c r="EX99" s="14">
        <f t="shared" si="71"/>
        <v>2251</v>
      </c>
    </row>
    <row r="100" spans="1:154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6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I100" s="1"/>
    </row>
    <row r="101" spans="1:154" hidden="1" outlineLevel="1" x14ac:dyDescent="0.3">
      <c r="A101" s="13" t="s">
        <v>3437</v>
      </c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6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I101" s="5"/>
    </row>
    <row r="102" spans="1:154" hidden="1" outlineLevel="1" x14ac:dyDescent="0.3">
      <c r="A102" s="1" t="s">
        <v>3425</v>
      </c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6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7">
        <v>-153</v>
      </c>
      <c r="DV102" s="7">
        <v>-5392</v>
      </c>
      <c r="DW102" s="7">
        <v>-444</v>
      </c>
      <c r="DX102" s="7">
        <v>-263</v>
      </c>
      <c r="DY102" s="8">
        <f>+SUM(DU102:DX102)</f>
        <v>-6252</v>
      </c>
      <c r="DZ102" s="7">
        <v>-283</v>
      </c>
      <c r="EA102" s="7">
        <v>-210</v>
      </c>
      <c r="EB102" s="16">
        <f>+EB81</f>
        <v>15</v>
      </c>
      <c r="EC102" s="16">
        <f>+EC81</f>
        <v>-50</v>
      </c>
      <c r="ED102" s="8">
        <f>+SUM(DZ102:EC102)</f>
        <v>-528</v>
      </c>
      <c r="EE102" s="16">
        <f>+EE81</f>
        <v>60</v>
      </c>
      <c r="EF102" s="81"/>
      <c r="EG102" s="81"/>
      <c r="EH102" s="81"/>
      <c r="EI102" s="8">
        <f>+SUM(EE102:EH102)</f>
        <v>60</v>
      </c>
      <c r="EK102" s="81"/>
      <c r="EL102" s="81"/>
      <c r="EM102" s="81"/>
    </row>
    <row r="103" spans="1:154" hidden="1" outlineLevel="1" x14ac:dyDescent="0.3">
      <c r="A103" s="1" t="s">
        <v>3426</v>
      </c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6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1021"/>
      <c r="EG103" s="1021"/>
      <c r="EH103" s="1021"/>
      <c r="EI103" s="5"/>
      <c r="EK103" s="1021"/>
      <c r="EL103" s="1021"/>
      <c r="EM103" s="1021"/>
    </row>
    <row r="104" spans="1:154" hidden="1" outlineLevel="1" x14ac:dyDescent="0.3">
      <c r="A104" s="1" t="s">
        <v>3427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6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16">
        <f>+DU67</f>
        <v>18</v>
      </c>
      <c r="DV104" s="16">
        <f>+DV67</f>
        <v>-534</v>
      </c>
      <c r="DW104" s="16">
        <f>+DW67</f>
        <v>-21</v>
      </c>
      <c r="DX104" s="16">
        <f>+DX67</f>
        <v>-74</v>
      </c>
      <c r="DY104" s="8">
        <f t="shared" ref="DY104:DY110" si="73">+SUM(DU104:DX104)</f>
        <v>-611</v>
      </c>
      <c r="DZ104" s="16">
        <f>+DZ67</f>
        <v>-23</v>
      </c>
      <c r="EA104" s="16">
        <f>+EA67</f>
        <v>-57</v>
      </c>
      <c r="EB104" s="16">
        <f>+EB67</f>
        <v>-11</v>
      </c>
      <c r="EC104" s="16">
        <f>+EC67</f>
        <v>7</v>
      </c>
      <c r="ED104" s="8">
        <f t="shared" ref="ED104:ED110" si="74">+SUM(DZ104:EC104)</f>
        <v>-84</v>
      </c>
      <c r="EE104" s="16">
        <f>+EE67</f>
        <v>87</v>
      </c>
      <c r="EF104" s="81"/>
      <c r="EG104" s="81"/>
      <c r="EH104" s="81"/>
      <c r="EI104" s="8">
        <f t="shared" ref="EI104:EI110" si="75">+SUM(EE104:EH104)</f>
        <v>87</v>
      </c>
      <c r="EK104" s="81"/>
      <c r="EL104" s="81"/>
      <c r="EM104" s="81"/>
    </row>
    <row r="105" spans="1:154" hidden="1" outlineLevel="1" x14ac:dyDescent="0.3">
      <c r="A105" s="1" t="s">
        <v>56</v>
      </c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6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16">
        <f>-DU65</f>
        <v>379</v>
      </c>
      <c r="DV105" s="16">
        <f>-DV65</f>
        <v>383</v>
      </c>
      <c r="DW105" s="16">
        <f>-DW65</f>
        <v>382</v>
      </c>
      <c r="DX105" s="16">
        <f>-DX65</f>
        <v>391</v>
      </c>
      <c r="DY105" s="8">
        <f t="shared" si="73"/>
        <v>1535</v>
      </c>
      <c r="DZ105" s="16">
        <f>-DZ65</f>
        <v>383</v>
      </c>
      <c r="EA105" s="16">
        <f>-EA65</f>
        <v>160</v>
      </c>
      <c r="EB105" s="16">
        <f>-EB65</f>
        <v>121</v>
      </c>
      <c r="EC105" s="16">
        <f>-EC65</f>
        <v>98</v>
      </c>
      <c r="ED105" s="8">
        <f t="shared" si="74"/>
        <v>762</v>
      </c>
      <c r="EE105" s="16">
        <f>-EE65</f>
        <v>89</v>
      </c>
      <c r="EF105" s="81"/>
      <c r="EG105" s="81"/>
      <c r="EH105" s="81"/>
      <c r="EI105" s="8">
        <f t="shared" si="75"/>
        <v>89</v>
      </c>
      <c r="EK105" s="81"/>
      <c r="EL105" s="81"/>
      <c r="EM105" s="81"/>
    </row>
    <row r="106" spans="1:154" hidden="1" outlineLevel="1" x14ac:dyDescent="0.3">
      <c r="A106" s="1" t="s">
        <v>3428</v>
      </c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6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16">
        <f>-DU61</f>
        <v>9</v>
      </c>
      <c r="DV106" s="16">
        <f>-DV61</f>
        <v>9</v>
      </c>
      <c r="DW106" s="16">
        <f>-DW61</f>
        <v>10</v>
      </c>
      <c r="DX106" s="16">
        <f>-DX61</f>
        <v>9</v>
      </c>
      <c r="DY106" s="8">
        <f t="shared" si="73"/>
        <v>37</v>
      </c>
      <c r="DZ106" s="16">
        <f>-DZ61</f>
        <v>-5</v>
      </c>
      <c r="EA106" s="16">
        <f>-EA61</f>
        <v>20</v>
      </c>
      <c r="EB106" s="16">
        <f>-EB61</f>
        <v>14</v>
      </c>
      <c r="EC106" s="16">
        <f>-EC61</f>
        <v>14</v>
      </c>
      <c r="ED106" s="8">
        <f t="shared" si="74"/>
        <v>43</v>
      </c>
      <c r="EE106" s="16">
        <f>-EE61</f>
        <v>-2</v>
      </c>
      <c r="EF106" s="81"/>
      <c r="EG106" s="81"/>
      <c r="EH106" s="81"/>
      <c r="EI106" s="8">
        <f t="shared" si="75"/>
        <v>-2</v>
      </c>
      <c r="EK106" s="81"/>
      <c r="EL106" s="81"/>
      <c r="EM106" s="81"/>
    </row>
    <row r="107" spans="1:154" hidden="1" outlineLevel="1" x14ac:dyDescent="0.3">
      <c r="A107" s="1" t="s">
        <v>77</v>
      </c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6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9">
        <f t="shared" ref="DU107:DX109" si="76">+DU62*-1</f>
        <v>0</v>
      </c>
      <c r="DV107" s="9">
        <f t="shared" si="76"/>
        <v>0</v>
      </c>
      <c r="DW107" s="9">
        <f t="shared" si="76"/>
        <v>0</v>
      </c>
      <c r="DX107" s="9">
        <f t="shared" si="76"/>
        <v>57</v>
      </c>
      <c r="DY107" s="8">
        <f t="shared" si="73"/>
        <v>57</v>
      </c>
      <c r="DZ107" s="9">
        <f t="shared" ref="DZ107:EC109" si="77">+DZ62*-1</f>
        <v>103</v>
      </c>
      <c r="EA107" s="9">
        <f t="shared" si="77"/>
        <v>56</v>
      </c>
      <c r="EB107" s="9">
        <f t="shared" si="77"/>
        <v>0</v>
      </c>
      <c r="EC107" s="9">
        <f t="shared" si="77"/>
        <v>0</v>
      </c>
      <c r="ED107" s="8">
        <f t="shared" si="74"/>
        <v>159</v>
      </c>
      <c r="EE107" s="9">
        <f>+EE62*-1</f>
        <v>0</v>
      </c>
      <c r="EF107" s="1022"/>
      <c r="EG107" s="1022"/>
      <c r="EH107" s="1022"/>
      <c r="EI107" s="8">
        <f t="shared" si="75"/>
        <v>0</v>
      </c>
      <c r="EK107" s="1022"/>
      <c r="EL107" s="1022"/>
      <c r="EM107" s="1022"/>
    </row>
    <row r="108" spans="1:154" hidden="1" outlineLevel="1" x14ac:dyDescent="0.3">
      <c r="A108" s="1" t="s">
        <v>3429</v>
      </c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6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9">
        <f t="shared" si="76"/>
        <v>20</v>
      </c>
      <c r="DV108" s="9">
        <f t="shared" si="76"/>
        <v>0</v>
      </c>
      <c r="DW108" s="9">
        <f t="shared" si="76"/>
        <v>0</v>
      </c>
      <c r="DX108" s="9">
        <f t="shared" si="76"/>
        <v>0</v>
      </c>
      <c r="DY108" s="8">
        <f t="shared" si="73"/>
        <v>20</v>
      </c>
      <c r="DZ108" s="9">
        <f t="shared" si="77"/>
        <v>0</v>
      </c>
      <c r="EA108" s="9">
        <f t="shared" si="77"/>
        <v>0</v>
      </c>
      <c r="EB108" s="9">
        <f t="shared" si="77"/>
        <v>0</v>
      </c>
      <c r="EC108" s="9">
        <f t="shared" si="77"/>
        <v>72</v>
      </c>
      <c r="ED108" s="8">
        <f t="shared" si="74"/>
        <v>72</v>
      </c>
      <c r="EE108" s="9">
        <f>+EE63*-1</f>
        <v>0</v>
      </c>
      <c r="EF108" s="1022"/>
      <c r="EG108" s="1022"/>
      <c r="EH108" s="1022"/>
      <c r="EI108" s="8">
        <f t="shared" si="75"/>
        <v>0</v>
      </c>
      <c r="EK108" s="1022"/>
      <c r="EL108" s="1022"/>
      <c r="EM108" s="1022"/>
    </row>
    <row r="109" spans="1:154" hidden="1" outlineLevel="1" x14ac:dyDescent="0.3">
      <c r="A109" s="1" t="s">
        <v>3430</v>
      </c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6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9">
        <f t="shared" si="76"/>
        <v>0</v>
      </c>
      <c r="DV109" s="9">
        <f t="shared" si="76"/>
        <v>0</v>
      </c>
      <c r="DW109" s="9">
        <f t="shared" si="76"/>
        <v>0</v>
      </c>
      <c r="DX109" s="9">
        <f t="shared" si="76"/>
        <v>0</v>
      </c>
      <c r="DY109" s="8">
        <f t="shared" si="73"/>
        <v>0</v>
      </c>
      <c r="DZ109" s="9">
        <f t="shared" si="77"/>
        <v>0</v>
      </c>
      <c r="EA109" s="9">
        <f t="shared" si="77"/>
        <v>142</v>
      </c>
      <c r="EB109" s="9">
        <f t="shared" si="77"/>
        <v>131</v>
      </c>
      <c r="EC109" s="9">
        <f t="shared" si="77"/>
        <v>136</v>
      </c>
      <c r="ED109" s="8">
        <f t="shared" si="74"/>
        <v>409</v>
      </c>
      <c r="EE109" s="9">
        <f>+EE64*-1</f>
        <v>25</v>
      </c>
      <c r="EF109" s="1022"/>
      <c r="EG109" s="1022"/>
      <c r="EH109" s="1022"/>
      <c r="EI109" s="8">
        <f t="shared" si="75"/>
        <v>25</v>
      </c>
      <c r="EK109" s="1022"/>
      <c r="EL109" s="1022"/>
      <c r="EM109" s="1022"/>
    </row>
    <row r="110" spans="1:154" hidden="1" outlineLevel="1" x14ac:dyDescent="0.3">
      <c r="A110" s="4" t="s">
        <v>3431</v>
      </c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6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830">
        <f>+SUM(DU104:DU109,DU102)</f>
        <v>273</v>
      </c>
      <c r="DV110" s="830">
        <f t="shared" ref="DV110:EA110" si="78">+SUM(DV104:DV109,DV102)</f>
        <v>-5534</v>
      </c>
      <c r="DW110" s="830">
        <f t="shared" si="78"/>
        <v>-73</v>
      </c>
      <c r="DX110" s="830">
        <f t="shared" si="78"/>
        <v>120</v>
      </c>
      <c r="DY110" s="830">
        <f t="shared" si="73"/>
        <v>-5214</v>
      </c>
      <c r="DZ110" s="830">
        <f t="shared" si="78"/>
        <v>175</v>
      </c>
      <c r="EA110" s="830">
        <f t="shared" si="78"/>
        <v>111</v>
      </c>
      <c r="EB110" s="830">
        <f>+SUM(EB104:EB109,EB102)</f>
        <v>270</v>
      </c>
      <c r="EC110" s="830">
        <f>+SUM(EC104:EC109,EC102)</f>
        <v>277</v>
      </c>
      <c r="ED110" s="830">
        <f t="shared" si="74"/>
        <v>833</v>
      </c>
      <c r="EE110" s="830">
        <f>+SUM(EE104:EE109,EE102)</f>
        <v>259</v>
      </c>
      <c r="EF110" s="1830"/>
      <c r="EG110" s="1830"/>
      <c r="EH110" s="1830"/>
      <c r="EI110" s="830">
        <f t="shared" si="75"/>
        <v>259</v>
      </c>
      <c r="EK110" s="1830"/>
      <c r="EL110" s="1830"/>
      <c r="EM110" s="1830"/>
    </row>
    <row r="111" spans="1:154" hidden="1" outlineLevel="1" x14ac:dyDescent="0.3">
      <c r="A111" s="1" t="s">
        <v>3432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6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7">
        <v>449</v>
      </c>
      <c r="DV111" s="7">
        <v>429</v>
      </c>
      <c r="DW111" s="9">
        <f>+DW53</f>
        <v>422</v>
      </c>
      <c r="DX111" s="9">
        <f>+DX53</f>
        <v>420</v>
      </c>
      <c r="DY111" s="8">
        <v>1720</v>
      </c>
      <c r="DZ111" s="9">
        <f>+DZ53</f>
        <v>415</v>
      </c>
      <c r="EA111" s="9">
        <f>+EA53</f>
        <v>397</v>
      </c>
      <c r="EB111" s="9">
        <f>+EB53</f>
        <v>392</v>
      </c>
      <c r="EC111" s="9">
        <f>+EC53</f>
        <v>394</v>
      </c>
      <c r="ED111" s="8">
        <v>1720</v>
      </c>
      <c r="EE111" s="9">
        <f>+EE53</f>
        <v>387</v>
      </c>
      <c r="EF111" s="1022"/>
      <c r="EG111" s="1022"/>
      <c r="EH111" s="1022"/>
      <c r="EI111" s="8">
        <v>1720</v>
      </c>
      <c r="EK111" s="1022"/>
      <c r="EL111" s="1022"/>
      <c r="EM111" s="1022"/>
    </row>
    <row r="112" spans="1:154" hidden="1" outlineLevel="1" x14ac:dyDescent="0.3">
      <c r="A112" s="4" t="s">
        <v>44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6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14">
        <f>+DU110+DU111</f>
        <v>722</v>
      </c>
      <c r="DV112" s="14">
        <f t="shared" ref="DV112:EA112" si="79">+DV110+DV111</f>
        <v>-5105</v>
      </c>
      <c r="DW112" s="14">
        <f t="shared" si="79"/>
        <v>349</v>
      </c>
      <c r="DX112" s="14">
        <f t="shared" si="79"/>
        <v>540</v>
      </c>
      <c r="DY112" s="14">
        <f t="shared" si="79"/>
        <v>-3494</v>
      </c>
      <c r="DZ112" s="14">
        <f>+DZ110+DZ111</f>
        <v>590</v>
      </c>
      <c r="EA112" s="14">
        <f t="shared" si="79"/>
        <v>508</v>
      </c>
      <c r="EB112" s="14">
        <f>+EB110+EB111</f>
        <v>662</v>
      </c>
      <c r="EC112" s="14">
        <f>+EC110+EC111</f>
        <v>671</v>
      </c>
      <c r="ED112" s="14">
        <f>+ED110+ED111</f>
        <v>2553</v>
      </c>
      <c r="EE112" s="14">
        <f>+EE110+EE111</f>
        <v>646</v>
      </c>
      <c r="EF112" s="1020"/>
      <c r="EG112" s="1020"/>
      <c r="EH112" s="1020"/>
      <c r="EI112" s="14">
        <f>+EI110+EI111</f>
        <v>1979</v>
      </c>
      <c r="EK112" s="1020"/>
      <c r="EL112" s="1020"/>
      <c r="EM112" s="1020"/>
    </row>
    <row r="113" spans="1:159" hidden="1" outlineLevel="1" x14ac:dyDescent="0.3">
      <c r="A113" s="1" t="s">
        <v>3433</v>
      </c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6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1021"/>
      <c r="EG113" s="1021"/>
      <c r="EH113" s="1021"/>
      <c r="EI113" s="5"/>
      <c r="EK113" s="1021"/>
      <c r="EL113" s="1021"/>
      <c r="EM113" s="1021"/>
    </row>
    <row r="114" spans="1:159" hidden="1" outlineLevel="1" x14ac:dyDescent="0.3">
      <c r="A114" s="1" t="s">
        <v>51</v>
      </c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6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7">
        <v>20</v>
      </c>
      <c r="DV114" s="7">
        <v>19</v>
      </c>
      <c r="DW114" s="7">
        <v>20</v>
      </c>
      <c r="DX114" s="7">
        <v>19</v>
      </c>
      <c r="DY114" s="8">
        <f t="shared" ref="DY114:DY120" si="80">+SUM(DU114:DX114)</f>
        <v>78</v>
      </c>
      <c r="DZ114" s="7">
        <v>23</v>
      </c>
      <c r="EA114" s="7">
        <v>23</v>
      </c>
      <c r="EB114" s="15">
        <f t="shared" ref="EB114:EC119" si="81">+EB93</f>
        <v>24</v>
      </c>
      <c r="EC114" s="15">
        <f t="shared" si="81"/>
        <v>20</v>
      </c>
      <c r="ED114" s="8">
        <f t="shared" ref="ED114:ED120" si="82">+SUM(DZ114:EC114)</f>
        <v>90</v>
      </c>
      <c r="EE114" s="15">
        <f t="shared" ref="EE114:EE119" si="83">+EE93</f>
        <v>23</v>
      </c>
      <c r="EF114" s="1019"/>
      <c r="EG114" s="1019"/>
      <c r="EH114" s="1019"/>
      <c r="EI114" s="8">
        <f t="shared" ref="EI114:EI120" si="84">+SUM(EE114:EH114)</f>
        <v>23</v>
      </c>
      <c r="EK114" s="1019"/>
      <c r="EL114" s="1019"/>
      <c r="EM114" s="1019"/>
    </row>
    <row r="115" spans="1:159" hidden="1" outlineLevel="1" x14ac:dyDescent="0.3">
      <c r="A115" s="1" t="s">
        <v>3434</v>
      </c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6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7">
        <v>27</v>
      </c>
      <c r="DV115" s="7">
        <v>30</v>
      </c>
      <c r="DW115" s="15">
        <f>+DW56</f>
        <v>27</v>
      </c>
      <c r="DX115" s="15">
        <f>+DX56</f>
        <v>82</v>
      </c>
      <c r="DY115" s="8">
        <v>166</v>
      </c>
      <c r="DZ115" s="15">
        <f>+DZ56</f>
        <v>48</v>
      </c>
      <c r="EA115" s="15">
        <f>+EA56</f>
        <v>36</v>
      </c>
      <c r="EB115" s="15">
        <f t="shared" si="81"/>
        <v>3</v>
      </c>
      <c r="EC115" s="15">
        <f t="shared" si="81"/>
        <v>2</v>
      </c>
      <c r="ED115" s="8">
        <v>166</v>
      </c>
      <c r="EE115" s="15">
        <f t="shared" si="83"/>
        <v>2</v>
      </c>
      <c r="EF115" s="1019"/>
      <c r="EG115" s="1019"/>
      <c r="EH115" s="1019"/>
      <c r="EI115" s="8">
        <v>166</v>
      </c>
      <c r="EK115" s="1019"/>
      <c r="EL115" s="1019"/>
      <c r="EM115" s="1019"/>
    </row>
    <row r="116" spans="1:159" hidden="1" outlineLevel="1" x14ac:dyDescent="0.3">
      <c r="A116" s="1" t="s">
        <v>78</v>
      </c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6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7">
        <v>3</v>
      </c>
      <c r="DV116" s="7">
        <v>4</v>
      </c>
      <c r="DW116" s="7">
        <v>3</v>
      </c>
      <c r="DX116" s="7">
        <v>5</v>
      </c>
      <c r="DY116" s="8">
        <f t="shared" si="80"/>
        <v>15</v>
      </c>
      <c r="DZ116" s="7">
        <v>1</v>
      </c>
      <c r="EA116" s="7">
        <v>1</v>
      </c>
      <c r="EB116" s="15">
        <f t="shared" si="81"/>
        <v>1</v>
      </c>
      <c r="EC116" s="15">
        <f t="shared" si="81"/>
        <v>0</v>
      </c>
      <c r="ED116" s="8">
        <f t="shared" si="82"/>
        <v>3</v>
      </c>
      <c r="EE116" s="15">
        <f t="shared" si="83"/>
        <v>-1</v>
      </c>
      <c r="EF116" s="1019"/>
      <c r="EG116" s="1019"/>
      <c r="EH116" s="1019"/>
      <c r="EI116" s="8">
        <f t="shared" si="84"/>
        <v>-1</v>
      </c>
      <c r="EK116" s="1019"/>
      <c r="EL116" s="1019"/>
      <c r="EM116" s="1019"/>
    </row>
    <row r="117" spans="1:159" hidden="1" outlineLevel="1" x14ac:dyDescent="0.3">
      <c r="A117" s="1" t="s">
        <v>3435</v>
      </c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6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7">
        <v>-1</v>
      </c>
      <c r="DV117" s="7">
        <v>0</v>
      </c>
      <c r="DW117" s="7">
        <v>0</v>
      </c>
      <c r="DX117" s="7">
        <v>-5</v>
      </c>
      <c r="DY117" s="8">
        <f t="shared" si="80"/>
        <v>-6</v>
      </c>
      <c r="DZ117" s="7">
        <v>0</v>
      </c>
      <c r="EA117" s="7">
        <v>-1</v>
      </c>
      <c r="EB117" s="15">
        <f t="shared" si="81"/>
        <v>0</v>
      </c>
      <c r="EC117" s="15">
        <f t="shared" si="81"/>
        <v>0</v>
      </c>
      <c r="ED117" s="8">
        <f t="shared" si="82"/>
        <v>-1</v>
      </c>
      <c r="EE117" s="15">
        <f t="shared" si="83"/>
        <v>0</v>
      </c>
      <c r="EF117" s="1019"/>
      <c r="EG117" s="1019"/>
      <c r="EH117" s="1019"/>
      <c r="EI117" s="8">
        <f t="shared" si="84"/>
        <v>0</v>
      </c>
      <c r="EK117" s="1019"/>
      <c r="EL117" s="1019"/>
      <c r="EM117" s="1019"/>
    </row>
    <row r="118" spans="1:159" hidden="1" outlineLevel="1" x14ac:dyDescent="0.3">
      <c r="A118" s="1" t="s">
        <v>3436</v>
      </c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6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15">
        <f>+DU55</f>
        <v>0</v>
      </c>
      <c r="DV118" s="15">
        <f>+DV55</f>
        <v>384</v>
      </c>
      <c r="DW118" s="15">
        <f>+DW55</f>
        <v>30</v>
      </c>
      <c r="DX118" s="15">
        <f>+DX55</f>
        <v>32</v>
      </c>
      <c r="DY118" s="8">
        <f t="shared" si="80"/>
        <v>446</v>
      </c>
      <c r="DZ118" s="15">
        <f>+DZ55</f>
        <v>24</v>
      </c>
      <c r="EA118" s="15">
        <f>+EA55</f>
        <v>136</v>
      </c>
      <c r="EB118" s="15">
        <f t="shared" si="81"/>
        <v>0</v>
      </c>
      <c r="EC118" s="15">
        <f t="shared" si="81"/>
        <v>0</v>
      </c>
      <c r="ED118" s="8">
        <f t="shared" si="82"/>
        <v>160</v>
      </c>
      <c r="EE118" s="15">
        <f t="shared" si="83"/>
        <v>0</v>
      </c>
      <c r="EF118" s="1019"/>
      <c r="EG118" s="1019"/>
      <c r="EH118" s="1019"/>
      <c r="EI118" s="8">
        <f t="shared" si="84"/>
        <v>0</v>
      </c>
      <c r="EK118" s="1019"/>
      <c r="EL118" s="1019"/>
      <c r="EM118" s="1019"/>
    </row>
    <row r="119" spans="1:159" hidden="1" outlineLevel="1" x14ac:dyDescent="0.3">
      <c r="A119" s="1" t="s">
        <v>80</v>
      </c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6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15">
        <f>+DU54</f>
        <v>0</v>
      </c>
      <c r="DV119" s="15">
        <f>+DV54</f>
        <v>5449</v>
      </c>
      <c r="DW119" s="15">
        <f>+DW54</f>
        <v>276</v>
      </c>
      <c r="DX119" s="15">
        <f>+DX54</f>
        <v>0</v>
      </c>
      <c r="DY119" s="8">
        <f t="shared" si="80"/>
        <v>5725</v>
      </c>
      <c r="DZ119" s="15">
        <f>+DZ54</f>
        <v>0</v>
      </c>
      <c r="EA119" s="15">
        <f>+EA54</f>
        <v>0</v>
      </c>
      <c r="EB119" s="15">
        <f t="shared" si="81"/>
        <v>0</v>
      </c>
      <c r="EC119" s="15">
        <f t="shared" si="81"/>
        <v>0</v>
      </c>
      <c r="ED119" s="8">
        <f t="shared" si="82"/>
        <v>0</v>
      </c>
      <c r="EE119" s="15">
        <f t="shared" si="83"/>
        <v>0</v>
      </c>
      <c r="EF119" s="1019"/>
      <c r="EG119" s="1019"/>
      <c r="EH119" s="1019"/>
      <c r="EI119" s="8">
        <f t="shared" si="84"/>
        <v>0</v>
      </c>
      <c r="EK119" s="1019"/>
      <c r="EL119" s="1019"/>
      <c r="EM119" s="1019"/>
    </row>
    <row r="120" spans="1:159" hidden="1" outlineLevel="1" x14ac:dyDescent="0.3">
      <c r="A120" s="4" t="s">
        <v>106</v>
      </c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6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14">
        <f>+SUM(DU114:DU119,DU112)</f>
        <v>771</v>
      </c>
      <c r="DV120" s="14">
        <f>+SUM(DV114:DV119,DV112)</f>
        <v>781</v>
      </c>
      <c r="DW120" s="14">
        <f>+SUM(DW114:DW119,DW112)</f>
        <v>705</v>
      </c>
      <c r="DX120" s="14">
        <f>+SUM(DX114:DX119,DX112)</f>
        <v>673</v>
      </c>
      <c r="DY120" s="14">
        <f t="shared" si="80"/>
        <v>2930</v>
      </c>
      <c r="DZ120" s="14">
        <f>+SUM(DZ114:DZ119,DZ112)</f>
        <v>686</v>
      </c>
      <c r="EA120" s="14">
        <f>+SUM(EA114:EA119,EA112)</f>
        <v>703</v>
      </c>
      <c r="EB120" s="14">
        <f>+SUM(EB114:EB119,EB112)</f>
        <v>690</v>
      </c>
      <c r="EC120" s="14">
        <f>+SUM(EC114:EC119,EC112)</f>
        <v>693</v>
      </c>
      <c r="ED120" s="14">
        <f t="shared" si="82"/>
        <v>2772</v>
      </c>
      <c r="EE120" s="14">
        <f>+SUM(EE114:EE119,EE112)</f>
        <v>670</v>
      </c>
      <c r="EF120" s="1020"/>
      <c r="EG120" s="1020"/>
      <c r="EH120" s="1020"/>
      <c r="EI120" s="14">
        <f t="shared" si="84"/>
        <v>670</v>
      </c>
      <c r="EK120" s="1020"/>
      <c r="EL120" s="1020"/>
      <c r="EM120" s="1020"/>
    </row>
    <row r="121" spans="1:159" collapsed="1" x14ac:dyDescent="0.3">
      <c r="A121" s="1052" t="s">
        <v>3438</v>
      </c>
      <c r="B121" s="1053"/>
      <c r="C121" s="1053"/>
      <c r="D121" s="1053"/>
      <c r="E121" s="1053"/>
      <c r="F121" s="1053"/>
      <c r="G121" s="1053"/>
      <c r="H121" s="1053"/>
      <c r="I121" s="1053"/>
      <c r="J121" s="1053"/>
      <c r="K121" s="1053"/>
      <c r="L121" s="1053"/>
      <c r="M121" s="1053"/>
      <c r="N121" s="1053"/>
      <c r="O121" s="1053"/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4"/>
      <c r="BD121" s="1054"/>
      <c r="BE121" s="1054"/>
      <c r="BF121" s="1054"/>
      <c r="BG121" s="1054"/>
      <c r="BH121" s="1054"/>
      <c r="BI121" s="1054"/>
      <c r="BJ121" s="1054"/>
      <c r="BK121" s="1054"/>
      <c r="BL121" s="1054"/>
      <c r="BM121" s="1054"/>
      <c r="BN121" s="1054"/>
      <c r="BO121" s="1054"/>
      <c r="BP121" s="1054"/>
      <c r="BQ121" s="1054"/>
      <c r="BR121" s="1054"/>
      <c r="BS121" s="1054"/>
      <c r="BT121" s="1054"/>
      <c r="BU121" s="1054"/>
      <c r="BV121" s="1054"/>
      <c r="BW121" s="1054"/>
      <c r="BX121" s="1054"/>
      <c r="BY121" s="1054"/>
      <c r="BZ121" s="1054"/>
      <c r="CA121" s="1054"/>
      <c r="CB121" s="1054"/>
      <c r="CC121" s="1054"/>
      <c r="CD121" s="1054"/>
      <c r="CE121" s="1054"/>
      <c r="CF121" s="1054"/>
      <c r="CG121" s="1054"/>
      <c r="CH121" s="1054"/>
      <c r="CI121" s="1054"/>
      <c r="CJ121" s="1054"/>
      <c r="CK121" s="1054"/>
      <c r="CL121" s="1054"/>
      <c r="CM121" s="1054"/>
      <c r="CN121" s="1054"/>
      <c r="CO121" s="1054"/>
      <c r="CP121" s="1054"/>
      <c r="CQ121" s="1054"/>
      <c r="CR121" s="1054"/>
      <c r="CS121" s="1054"/>
      <c r="CT121" s="1054"/>
      <c r="CU121" s="1054"/>
      <c r="CV121" s="1054"/>
      <c r="CW121" s="1054"/>
      <c r="CX121" s="1054"/>
      <c r="CY121" s="1054"/>
      <c r="CZ121" s="1054"/>
      <c r="DA121" s="1054"/>
      <c r="DB121" s="1054"/>
      <c r="DC121" s="1054"/>
      <c r="DD121" s="1054"/>
      <c r="DE121" s="1054"/>
      <c r="DF121" s="1054"/>
      <c r="DG121" s="1054"/>
      <c r="DH121" s="1054"/>
      <c r="DI121" s="1054"/>
      <c r="DJ121" s="1054"/>
      <c r="DK121" s="1054"/>
      <c r="DL121" s="1054"/>
      <c r="DM121" s="1054"/>
      <c r="DN121" s="1054"/>
      <c r="DO121" s="1054"/>
      <c r="DP121" s="1055"/>
      <c r="DQ121" s="1054"/>
      <c r="DR121" s="1054"/>
      <c r="DS121" s="1054"/>
      <c r="DT121" s="1054"/>
      <c r="DU121" s="1055"/>
      <c r="DV121" s="1053"/>
      <c r="DW121" s="1053"/>
      <c r="DX121" s="1053"/>
      <c r="DY121" s="1053"/>
      <c r="DZ121" s="1053"/>
      <c r="EA121" s="1053"/>
      <c r="EB121" s="1053"/>
      <c r="EC121" s="1053"/>
      <c r="ED121" s="1053"/>
      <c r="EE121" s="1053"/>
      <c r="EF121" s="1055"/>
      <c r="EG121" s="1055"/>
      <c r="EH121" s="1055"/>
      <c r="EI121" s="1053"/>
      <c r="EJ121" s="1053"/>
      <c r="EK121" s="1055"/>
      <c r="EL121" s="1055"/>
      <c r="EM121" s="1055"/>
      <c r="EN121" s="1055"/>
      <c r="EO121" s="1055"/>
      <c r="EP121" s="1055"/>
      <c r="EQ121" s="1055"/>
      <c r="ER121" s="1055"/>
      <c r="ES121" s="1055"/>
      <c r="ET121" s="1055"/>
      <c r="EU121" s="1055"/>
      <c r="EV121" s="1055"/>
      <c r="EW121" s="1055"/>
      <c r="EX121" s="1055"/>
      <c r="EY121" s="1055"/>
      <c r="EZ121" s="1055"/>
      <c r="FA121" s="1055"/>
      <c r="FB121" s="1055"/>
      <c r="FC121" s="1055"/>
    </row>
    <row r="122" spans="1:159" x14ac:dyDescent="0.3">
      <c r="A122" s="1" t="s">
        <v>31</v>
      </c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6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7">
        <v>852</v>
      </c>
      <c r="EA122" s="7">
        <v>846</v>
      </c>
      <c r="EB122" s="7">
        <v>836</v>
      </c>
      <c r="EC122" s="7">
        <v>832</v>
      </c>
      <c r="ED122" s="8">
        <f t="shared" ref="ED122:ED127" si="85">+SUM(DZ122:EC122)</f>
        <v>3366</v>
      </c>
      <c r="EE122" s="7">
        <v>840</v>
      </c>
      <c r="EF122" s="7">
        <v>839</v>
      </c>
      <c r="EG122" s="7">
        <v>834</v>
      </c>
      <c r="EH122" s="7">
        <v>834</v>
      </c>
      <c r="EI122" s="8">
        <f t="shared" ref="EI122:EI127" si="86">+SUM(EE122:EH122)</f>
        <v>3347</v>
      </c>
      <c r="EJ122" s="7">
        <v>836</v>
      </c>
      <c r="EK122" s="7">
        <v>847</v>
      </c>
      <c r="EL122" s="7">
        <v>848</v>
      </c>
      <c r="EM122" s="7">
        <v>859</v>
      </c>
      <c r="EN122" s="8">
        <f t="shared" ref="EN122:EN127" si="87">+SUM(EJ122:EM122)</f>
        <v>3390</v>
      </c>
      <c r="EO122" s="7">
        <v>862</v>
      </c>
      <c r="EP122" s="7">
        <v>880</v>
      </c>
      <c r="EQ122" s="7">
        <v>895</v>
      </c>
      <c r="ER122" s="7">
        <v>897</v>
      </c>
      <c r="ES122" s="8">
        <f t="shared" ref="ES122:ES127" si="88">+SUM(EO122:ER122)</f>
        <v>3534</v>
      </c>
      <c r="ET122" s="7">
        <v>947</v>
      </c>
      <c r="EU122" s="7">
        <v>983</v>
      </c>
      <c r="EV122" s="7">
        <v>1004</v>
      </c>
      <c r="EW122" s="7">
        <v>1029</v>
      </c>
      <c r="EX122" s="8">
        <f t="shared" ref="EX122:EX125" si="89">+SUM(ET122:EW122)</f>
        <v>3963</v>
      </c>
    </row>
    <row r="123" spans="1:159" x14ac:dyDescent="0.3">
      <c r="A123" s="1" t="s">
        <v>32</v>
      </c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6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7">
        <v>481</v>
      </c>
      <c r="EA123" s="7">
        <v>468</v>
      </c>
      <c r="EB123" s="7">
        <v>450</v>
      </c>
      <c r="EC123" s="7">
        <v>440</v>
      </c>
      <c r="ED123" s="8">
        <f t="shared" si="85"/>
        <v>1839</v>
      </c>
      <c r="EE123" s="7">
        <v>430</v>
      </c>
      <c r="EF123" s="7">
        <v>424</v>
      </c>
      <c r="EG123" s="7">
        <v>411</v>
      </c>
      <c r="EH123" s="7">
        <v>397</v>
      </c>
      <c r="EI123" s="8">
        <f t="shared" si="86"/>
        <v>1662</v>
      </c>
      <c r="EJ123" s="7">
        <v>386</v>
      </c>
      <c r="EK123" s="7">
        <v>381</v>
      </c>
      <c r="EL123" s="7">
        <v>369</v>
      </c>
      <c r="EM123" s="7">
        <v>362</v>
      </c>
      <c r="EN123" s="8">
        <f t="shared" si="87"/>
        <v>1498</v>
      </c>
      <c r="EO123" s="7">
        <v>356</v>
      </c>
      <c r="EP123" s="7">
        <v>347</v>
      </c>
      <c r="EQ123" s="7">
        <v>341</v>
      </c>
      <c r="ER123" s="7">
        <v>329</v>
      </c>
      <c r="ES123" s="8">
        <f t="shared" si="88"/>
        <v>1373</v>
      </c>
      <c r="ET123" s="7">
        <v>321</v>
      </c>
      <c r="EU123" s="7">
        <v>312</v>
      </c>
      <c r="EV123" s="7">
        <v>301</v>
      </c>
      <c r="EW123" s="7">
        <v>297</v>
      </c>
      <c r="EX123" s="8">
        <f t="shared" si="89"/>
        <v>1231</v>
      </c>
    </row>
    <row r="124" spans="1:159" x14ac:dyDescent="0.3">
      <c r="A124" s="1" t="s">
        <v>33</v>
      </c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6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7">
        <v>203</v>
      </c>
      <c r="EA124" s="7">
        <v>189</v>
      </c>
      <c r="EB124" s="7">
        <v>179</v>
      </c>
      <c r="EC124" s="7">
        <v>174</v>
      </c>
      <c r="ED124" s="8">
        <f t="shared" si="85"/>
        <v>745</v>
      </c>
      <c r="EE124" s="7">
        <v>163</v>
      </c>
      <c r="EF124" s="7">
        <v>157</v>
      </c>
      <c r="EG124" s="7">
        <v>149</v>
      </c>
      <c r="EH124" s="7">
        <v>143</v>
      </c>
      <c r="EI124" s="8">
        <f t="shared" si="86"/>
        <v>612</v>
      </c>
      <c r="EJ124" s="7">
        <v>137</v>
      </c>
      <c r="EK124" s="7">
        <v>134</v>
      </c>
      <c r="EL124" s="7">
        <v>127</v>
      </c>
      <c r="EM124" s="7">
        <v>122</v>
      </c>
      <c r="EN124" s="8">
        <f t="shared" si="87"/>
        <v>520</v>
      </c>
      <c r="EO124" s="7">
        <v>117</v>
      </c>
      <c r="EP124" s="7">
        <v>112</v>
      </c>
      <c r="EQ124" s="7">
        <v>104</v>
      </c>
      <c r="ER124" s="7">
        <v>97</v>
      </c>
      <c r="ES124" s="8">
        <f t="shared" si="88"/>
        <v>430</v>
      </c>
      <c r="ET124" s="7">
        <v>94</v>
      </c>
      <c r="EU124" s="7">
        <v>88</v>
      </c>
      <c r="EV124" s="7">
        <v>83</v>
      </c>
      <c r="EW124" s="7">
        <v>79</v>
      </c>
      <c r="EX124" s="8">
        <f t="shared" si="89"/>
        <v>344</v>
      </c>
    </row>
    <row r="125" spans="1:159" x14ac:dyDescent="0.3">
      <c r="A125" s="1" t="s">
        <v>34</v>
      </c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6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7">
        <v>110</v>
      </c>
      <c r="EA125" s="7">
        <v>106</v>
      </c>
      <c r="EB125" s="7">
        <v>110</v>
      </c>
      <c r="EC125" s="7">
        <v>105</v>
      </c>
      <c r="ED125" s="8">
        <f t="shared" si="85"/>
        <v>431</v>
      </c>
      <c r="EE125" s="7">
        <v>100</v>
      </c>
      <c r="EF125" s="7">
        <v>94</v>
      </c>
      <c r="EG125" s="7">
        <v>99</v>
      </c>
      <c r="EH125" s="7">
        <v>85</v>
      </c>
      <c r="EI125" s="8">
        <f t="shared" si="86"/>
        <v>378</v>
      </c>
      <c r="EJ125" s="7">
        <v>83</v>
      </c>
      <c r="EK125" s="7">
        <v>80</v>
      </c>
      <c r="EL125" s="7">
        <v>82</v>
      </c>
      <c r="EM125" s="7">
        <v>80</v>
      </c>
      <c r="EN125" s="8">
        <f t="shared" si="87"/>
        <v>325</v>
      </c>
      <c r="EO125" s="7">
        <v>83</v>
      </c>
      <c r="EP125" s="7">
        <v>89</v>
      </c>
      <c r="EQ125" s="7">
        <v>81</v>
      </c>
      <c r="ER125" s="7">
        <v>86</v>
      </c>
      <c r="ES125" s="8">
        <f t="shared" si="88"/>
        <v>339</v>
      </c>
      <c r="ET125" s="7">
        <v>84</v>
      </c>
      <c r="EU125" s="7">
        <v>83</v>
      </c>
      <c r="EV125" s="7">
        <v>83</v>
      </c>
      <c r="EW125" s="7">
        <v>85</v>
      </c>
      <c r="EX125" s="8">
        <f t="shared" si="89"/>
        <v>335</v>
      </c>
    </row>
    <row r="126" spans="1:159" x14ac:dyDescent="0.3">
      <c r="A126" s="4" t="s">
        <v>1894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6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830">
        <f t="shared" ref="DZ126:EG126" si="90">+SUM(DZ122:DZ125)</f>
        <v>1646</v>
      </c>
      <c r="EA126" s="830">
        <f t="shared" si="90"/>
        <v>1609</v>
      </c>
      <c r="EB126" s="830">
        <f t="shared" si="90"/>
        <v>1575</v>
      </c>
      <c r="EC126" s="830">
        <f t="shared" si="90"/>
        <v>1551</v>
      </c>
      <c r="ED126" s="830">
        <f t="shared" si="90"/>
        <v>6381</v>
      </c>
      <c r="EE126" s="830">
        <f t="shared" si="90"/>
        <v>1533</v>
      </c>
      <c r="EF126" s="830">
        <f t="shared" si="90"/>
        <v>1514</v>
      </c>
      <c r="EG126" s="830">
        <f t="shared" si="90"/>
        <v>1493</v>
      </c>
      <c r="EH126" s="830">
        <f t="shared" ref="EH126:EI126" si="91">+SUM(EH122:EH125)</f>
        <v>1459</v>
      </c>
      <c r="EI126" s="830">
        <f t="shared" si="91"/>
        <v>5999</v>
      </c>
      <c r="EJ126" s="830">
        <f t="shared" ref="EJ126:EK126" si="92">+SUM(EJ122:EJ125)</f>
        <v>1442</v>
      </c>
      <c r="EK126" s="830">
        <f t="shared" si="92"/>
        <v>1442</v>
      </c>
      <c r="EL126" s="830">
        <f t="shared" ref="EL126:EO126" si="93">+SUM(EL122:EL125)</f>
        <v>1426</v>
      </c>
      <c r="EM126" s="830">
        <f t="shared" si="93"/>
        <v>1423</v>
      </c>
      <c r="EN126" s="830">
        <f t="shared" si="93"/>
        <v>5733</v>
      </c>
      <c r="EO126" s="830">
        <f t="shared" si="93"/>
        <v>1418</v>
      </c>
      <c r="EP126" s="830">
        <f t="shared" ref="EP126:EQ126" si="94">+SUM(EP122:EP125)</f>
        <v>1428</v>
      </c>
      <c r="EQ126" s="830">
        <f t="shared" si="94"/>
        <v>1421</v>
      </c>
      <c r="ER126" s="830">
        <f t="shared" ref="ER126:ES126" si="95">+SUM(ER122:ER125)</f>
        <v>1409</v>
      </c>
      <c r="ES126" s="830">
        <f t="shared" si="95"/>
        <v>5676</v>
      </c>
      <c r="ET126" s="830">
        <f t="shared" ref="ET126:EU126" si="96">+SUM(ET122:ET125)</f>
        <v>1446</v>
      </c>
      <c r="EU126" s="830">
        <f t="shared" si="96"/>
        <v>1466</v>
      </c>
      <c r="EV126" s="830">
        <f t="shared" ref="EV126:EX126" si="97">+SUM(EV122:EV125)</f>
        <v>1471</v>
      </c>
      <c r="EW126" s="830">
        <f t="shared" ref="EW126" si="98">+SUM(EW122:EW125)</f>
        <v>1490</v>
      </c>
      <c r="EX126" s="830">
        <f t="shared" si="97"/>
        <v>5873</v>
      </c>
    </row>
    <row r="127" spans="1:159" x14ac:dyDescent="0.3">
      <c r="A127" s="1" t="s">
        <v>465</v>
      </c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6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7">
        <v>97</v>
      </c>
      <c r="EA127" s="7">
        <v>99</v>
      </c>
      <c r="EB127" s="7">
        <v>104</v>
      </c>
      <c r="EC127" s="7">
        <v>96</v>
      </c>
      <c r="ED127" s="8">
        <f t="shared" si="85"/>
        <v>396</v>
      </c>
      <c r="EE127" s="7">
        <v>87</v>
      </c>
      <c r="EF127" s="7">
        <v>84</v>
      </c>
      <c r="EG127" s="7">
        <v>83</v>
      </c>
      <c r="EH127" s="7">
        <v>84</v>
      </c>
      <c r="EI127" s="8">
        <f t="shared" si="86"/>
        <v>338</v>
      </c>
      <c r="EJ127" s="7">
        <v>5</v>
      </c>
      <c r="EK127" s="7">
        <v>17</v>
      </c>
      <c r="EL127" s="7">
        <v>18</v>
      </c>
      <c r="EM127" s="7">
        <v>14</v>
      </c>
      <c r="EN127" s="8">
        <f t="shared" si="87"/>
        <v>54</v>
      </c>
      <c r="EO127" s="7">
        <v>22</v>
      </c>
      <c r="EP127" s="7">
        <v>21</v>
      </c>
      <c r="EQ127" s="7">
        <v>15</v>
      </c>
      <c r="ER127" s="1103">
        <f>+ER128-ER126</f>
        <v>17</v>
      </c>
      <c r="ES127" s="8">
        <f t="shared" si="88"/>
        <v>75</v>
      </c>
      <c r="ET127" s="1103">
        <f>+ET128-ET126</f>
        <v>16</v>
      </c>
      <c r="EU127" s="1103">
        <f>+EU128-EU126</f>
        <v>14</v>
      </c>
      <c r="EV127" s="1103">
        <f>+EV128-EV126</f>
        <v>18</v>
      </c>
      <c r="EW127" s="1103">
        <f>+EW128-EW126</f>
        <v>16</v>
      </c>
      <c r="EX127" s="8">
        <f t="shared" ref="EX127" si="99">+SUM(ET127:EW127)</f>
        <v>64</v>
      </c>
    </row>
    <row r="128" spans="1:159" x14ac:dyDescent="0.3">
      <c r="A128" s="4" t="s">
        <v>19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6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830">
        <f t="shared" ref="DZ128:EG128" si="100">+DZ126+DZ127</f>
        <v>1743</v>
      </c>
      <c r="EA128" s="830">
        <f t="shared" si="100"/>
        <v>1708</v>
      </c>
      <c r="EB128" s="830">
        <f t="shared" si="100"/>
        <v>1679</v>
      </c>
      <c r="EC128" s="830">
        <f t="shared" si="100"/>
        <v>1647</v>
      </c>
      <c r="ED128" s="830">
        <f t="shared" si="100"/>
        <v>6777</v>
      </c>
      <c r="EE128" s="830">
        <f t="shared" si="100"/>
        <v>1620</v>
      </c>
      <c r="EF128" s="830">
        <f t="shared" si="100"/>
        <v>1598</v>
      </c>
      <c r="EG128" s="830">
        <f t="shared" si="100"/>
        <v>1576</v>
      </c>
      <c r="EH128" s="830">
        <f t="shared" ref="EH128:EI128" si="101">+EH126+EH127</f>
        <v>1543</v>
      </c>
      <c r="EI128" s="830">
        <f t="shared" si="101"/>
        <v>6337</v>
      </c>
      <c r="EJ128" s="830">
        <f t="shared" ref="EJ128:EK128" si="102">+EJ126+EJ127</f>
        <v>1447</v>
      </c>
      <c r="EK128" s="830">
        <f t="shared" si="102"/>
        <v>1459</v>
      </c>
      <c r="EL128" s="830">
        <f t="shared" ref="EL128:EO128" si="103">+EL126+EL127</f>
        <v>1444</v>
      </c>
      <c r="EM128" s="830">
        <f t="shared" si="103"/>
        <v>1437</v>
      </c>
      <c r="EN128" s="830">
        <f t="shared" si="103"/>
        <v>5787</v>
      </c>
      <c r="EO128" s="830">
        <f t="shared" si="103"/>
        <v>1440</v>
      </c>
      <c r="EP128" s="830">
        <f t="shared" ref="EP128:EQ128" si="104">+EP126+EP127</f>
        <v>1449</v>
      </c>
      <c r="EQ128" s="830">
        <f t="shared" si="104"/>
        <v>1436</v>
      </c>
      <c r="ER128" s="830">
        <f>ER47</f>
        <v>1426</v>
      </c>
      <c r="ES128" s="830">
        <f t="shared" ref="ES128" si="105">+ES126+ES127</f>
        <v>5751</v>
      </c>
      <c r="ET128" s="830">
        <f>ET47</f>
        <v>1462</v>
      </c>
      <c r="EU128" s="830">
        <f>EU47</f>
        <v>1480</v>
      </c>
      <c r="EV128" s="830">
        <f>EV47</f>
        <v>1489</v>
      </c>
      <c r="EW128" s="830">
        <f>EW47</f>
        <v>1506</v>
      </c>
      <c r="EX128" s="830">
        <f t="shared" ref="EX128" si="106">+EX126+EX127</f>
        <v>5937</v>
      </c>
    </row>
    <row r="129" spans="1:154" x14ac:dyDescent="0.3">
      <c r="A129" s="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6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7"/>
      <c r="EB129" s="5"/>
      <c r="EC129" s="5"/>
      <c r="ED129" s="5"/>
      <c r="EE129" s="5"/>
      <c r="EF129" s="7"/>
      <c r="EG129" s="7"/>
      <c r="EH129" s="7"/>
      <c r="EI129" s="5"/>
      <c r="EJ129" s="7"/>
      <c r="EK129" s="7"/>
      <c r="EL129" s="7"/>
      <c r="EM129" s="7"/>
      <c r="EN129" s="5"/>
      <c r="EO129" s="7"/>
      <c r="EP129" s="7"/>
      <c r="EQ129" s="7"/>
    </row>
    <row r="130" spans="1:154" x14ac:dyDescent="0.3">
      <c r="A130" s="4" t="s">
        <v>1895</v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6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7"/>
      <c r="EB130" s="5"/>
      <c r="EC130" s="5"/>
      <c r="ED130" s="5"/>
      <c r="EE130" s="5"/>
      <c r="EF130" s="7"/>
      <c r="EG130" s="7"/>
      <c r="EH130" s="7"/>
      <c r="EI130" s="5"/>
      <c r="EJ130" s="7"/>
      <c r="EK130" s="7"/>
      <c r="EL130" s="7"/>
      <c r="EM130" s="7"/>
      <c r="EN130" s="5"/>
      <c r="EO130" s="7"/>
      <c r="EP130" s="7"/>
      <c r="EQ130" s="7"/>
    </row>
    <row r="131" spans="1:154" x14ac:dyDescent="0.3">
      <c r="A131" s="1" t="s">
        <v>1786</v>
      </c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6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7">
        <v>424</v>
      </c>
      <c r="EA131" s="7">
        <v>411</v>
      </c>
      <c r="EB131" s="7">
        <v>406</v>
      </c>
      <c r="EC131" s="7">
        <v>412</v>
      </c>
      <c r="ED131" s="1113">
        <f>SUM(DZ131:EC131)</f>
        <v>1653</v>
      </c>
      <c r="EE131" s="7">
        <v>407</v>
      </c>
      <c r="EF131" s="7">
        <v>412</v>
      </c>
      <c r="EG131" s="7">
        <v>409</v>
      </c>
      <c r="EH131" s="7">
        <v>405</v>
      </c>
      <c r="EI131" s="1113">
        <f>SUM(EE131:EH131)</f>
        <v>1633</v>
      </c>
      <c r="EJ131" s="7">
        <v>407</v>
      </c>
      <c r="EK131" s="7">
        <v>421</v>
      </c>
      <c r="EL131" s="7">
        <v>424</v>
      </c>
      <c r="EM131" s="7">
        <v>436</v>
      </c>
      <c r="EN131" s="1113">
        <f>SUM(EJ131:EM131)</f>
        <v>1688</v>
      </c>
      <c r="EO131" s="7">
        <v>448</v>
      </c>
      <c r="EP131" s="7">
        <v>462</v>
      </c>
      <c r="EQ131" s="7">
        <v>479</v>
      </c>
      <c r="ER131" s="7">
        <v>484</v>
      </c>
      <c r="ES131" s="1113">
        <f>SUM(EO131:ER131)</f>
        <v>1873</v>
      </c>
      <c r="ET131" s="7">
        <v>505</v>
      </c>
      <c r="EU131" s="7">
        <v>523</v>
      </c>
      <c r="EV131" s="7">
        <v>537</v>
      </c>
      <c r="EW131" s="7">
        <v>557</v>
      </c>
      <c r="EX131" s="1113">
        <f>SUM(ET131:EW131)</f>
        <v>2122</v>
      </c>
    </row>
    <row r="132" spans="1:154" x14ac:dyDescent="0.3">
      <c r="A132" s="1" t="s">
        <v>3439</v>
      </c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6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7">
        <v>293</v>
      </c>
      <c r="EA132" s="7">
        <v>291</v>
      </c>
      <c r="EB132" s="7">
        <v>279</v>
      </c>
      <c r="EC132" s="7">
        <v>273</v>
      </c>
      <c r="ED132" s="1113">
        <f>SUM(DZ132:EC132)</f>
        <v>1136</v>
      </c>
      <c r="EE132" s="7">
        <v>268</v>
      </c>
      <c r="EF132" s="7">
        <v>267</v>
      </c>
      <c r="EG132" s="7">
        <v>275</v>
      </c>
      <c r="EH132" s="7">
        <v>270</v>
      </c>
      <c r="EI132" s="1113">
        <f>SUM(EE132:EH132)</f>
        <v>1080</v>
      </c>
      <c r="EJ132" s="7">
        <v>265</v>
      </c>
      <c r="EK132" s="7">
        <v>264</v>
      </c>
      <c r="EL132" s="7">
        <v>267</v>
      </c>
      <c r="EM132" s="7">
        <v>285</v>
      </c>
      <c r="EN132" s="1113">
        <f>SUM(EJ132:EM132)</f>
        <v>1081</v>
      </c>
      <c r="EO132" s="7">
        <v>281</v>
      </c>
      <c r="EP132" s="7">
        <v>284</v>
      </c>
      <c r="EQ132" s="7">
        <v>281</v>
      </c>
      <c r="ER132" s="7">
        <v>278</v>
      </c>
      <c r="ES132" s="1113">
        <f>SUM(EO132:ER132)</f>
        <v>1124</v>
      </c>
      <c r="ET132" s="7">
        <v>300</v>
      </c>
      <c r="EU132" s="7">
        <v>317</v>
      </c>
      <c r="EV132" s="7">
        <v>330</v>
      </c>
      <c r="EW132" s="7">
        <v>333</v>
      </c>
      <c r="EX132" s="1113">
        <f>SUM(ET132:EW132)</f>
        <v>1280</v>
      </c>
    </row>
    <row r="133" spans="1:154" x14ac:dyDescent="0.3">
      <c r="A133" s="4" t="s">
        <v>375</v>
      </c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6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830">
        <f t="shared" ref="DZ133:EG133" si="107">+DZ131+DZ132</f>
        <v>717</v>
      </c>
      <c r="EA133" s="830">
        <f t="shared" si="107"/>
        <v>702</v>
      </c>
      <c r="EB133" s="830">
        <f t="shared" si="107"/>
        <v>685</v>
      </c>
      <c r="EC133" s="830">
        <f t="shared" si="107"/>
        <v>685</v>
      </c>
      <c r="ED133" s="1829">
        <f t="shared" si="107"/>
        <v>2789</v>
      </c>
      <c r="EE133" s="830">
        <f t="shared" si="107"/>
        <v>675</v>
      </c>
      <c r="EF133" s="830">
        <f t="shared" si="107"/>
        <v>679</v>
      </c>
      <c r="EG133" s="830">
        <f t="shared" si="107"/>
        <v>684</v>
      </c>
      <c r="EH133" s="830">
        <f t="shared" ref="EH133:EI133" si="108">+EH131+EH132</f>
        <v>675</v>
      </c>
      <c r="EI133" s="1829">
        <f t="shared" si="108"/>
        <v>2713</v>
      </c>
      <c r="EJ133" s="830">
        <f t="shared" ref="EJ133:EK133" si="109">+EJ131+EJ132</f>
        <v>672</v>
      </c>
      <c r="EK133" s="830">
        <f t="shared" si="109"/>
        <v>685</v>
      </c>
      <c r="EL133" s="830">
        <f t="shared" ref="EL133:EO133" si="110">+EL131+EL132</f>
        <v>691</v>
      </c>
      <c r="EM133" s="830">
        <f t="shared" si="110"/>
        <v>721</v>
      </c>
      <c r="EN133" s="1829">
        <f t="shared" si="110"/>
        <v>2769</v>
      </c>
      <c r="EO133" s="830">
        <f t="shared" si="110"/>
        <v>729</v>
      </c>
      <c r="EP133" s="830">
        <f t="shared" ref="EP133:ES133" si="111">+EP131+EP132</f>
        <v>746</v>
      </c>
      <c r="EQ133" s="830">
        <f t="shared" si="111"/>
        <v>760</v>
      </c>
      <c r="ER133" s="830">
        <f t="shared" si="111"/>
        <v>762</v>
      </c>
      <c r="ES133" s="1829">
        <f t="shared" si="111"/>
        <v>2997</v>
      </c>
      <c r="ET133" s="830">
        <f t="shared" ref="ET133:EU133" si="112">+ET131+ET132</f>
        <v>805</v>
      </c>
      <c r="EU133" s="830">
        <f t="shared" si="112"/>
        <v>840</v>
      </c>
      <c r="EV133" s="830">
        <f t="shared" ref="EV133:EX133" si="113">+EV131+EV132</f>
        <v>867</v>
      </c>
      <c r="EW133" s="830">
        <f t="shared" ref="EW133" si="114">+EW131+EW132</f>
        <v>890</v>
      </c>
      <c r="EX133" s="1829">
        <f t="shared" si="113"/>
        <v>3402</v>
      </c>
    </row>
    <row r="134" spans="1:154" x14ac:dyDescent="0.3">
      <c r="A134" s="1" t="s">
        <v>1787</v>
      </c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6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7">
        <v>441</v>
      </c>
      <c r="EA134" s="7">
        <v>437</v>
      </c>
      <c r="EB134" s="7">
        <v>429</v>
      </c>
      <c r="EC134" s="7">
        <v>419</v>
      </c>
      <c r="ED134" s="1113">
        <f>SUM(DZ134:EC134)</f>
        <v>1726</v>
      </c>
      <c r="EE134" s="7">
        <v>409</v>
      </c>
      <c r="EF134" s="7">
        <v>403</v>
      </c>
      <c r="EG134" s="7">
        <v>391</v>
      </c>
      <c r="EH134" s="7">
        <v>377</v>
      </c>
      <c r="EI134" s="1113">
        <f>SUM(EE134:EH134)</f>
        <v>1580</v>
      </c>
      <c r="EJ134" s="7">
        <v>369</v>
      </c>
      <c r="EK134" s="7">
        <v>370</v>
      </c>
      <c r="EL134" s="7">
        <v>361</v>
      </c>
      <c r="EM134" s="7">
        <v>328</v>
      </c>
      <c r="EN134" s="1113">
        <f>SUM(EJ134:EM134)</f>
        <v>1428</v>
      </c>
      <c r="EO134" s="7">
        <v>313</v>
      </c>
      <c r="EP134" s="7">
        <v>313</v>
      </c>
      <c r="EQ134" s="7">
        <v>308</v>
      </c>
      <c r="ER134" s="7">
        <v>290</v>
      </c>
      <c r="ES134" s="1113">
        <f>SUM(EO134:ER134)</f>
        <v>1224</v>
      </c>
      <c r="ET134" s="7">
        <v>282</v>
      </c>
      <c r="EU134" s="7">
        <v>266</v>
      </c>
      <c r="EV134" s="7">
        <v>252</v>
      </c>
      <c r="EW134" s="7">
        <v>241</v>
      </c>
      <c r="EX134" s="1113">
        <f>SUM(ET134:EW134)</f>
        <v>1041</v>
      </c>
    </row>
    <row r="135" spans="1:154" x14ac:dyDescent="0.3">
      <c r="A135" s="1" t="s">
        <v>3440</v>
      </c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6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7">
        <v>488</v>
      </c>
      <c r="EA135" s="7">
        <v>470</v>
      </c>
      <c r="EB135" s="7">
        <v>462</v>
      </c>
      <c r="EC135" s="7">
        <v>447</v>
      </c>
      <c r="ED135" s="1113">
        <f>SUM(DZ135:EC135)</f>
        <v>1867</v>
      </c>
      <c r="EE135" s="7">
        <v>448</v>
      </c>
      <c r="EF135" s="7">
        <v>431</v>
      </c>
      <c r="EG135" s="7">
        <v>418</v>
      </c>
      <c r="EH135" s="7">
        <v>407</v>
      </c>
      <c r="EI135" s="1113">
        <f>SUM(EE135:EH135)</f>
        <v>1704</v>
      </c>
      <c r="EJ135" s="7">
        <v>401</v>
      </c>
      <c r="EK135" s="7">
        <v>387</v>
      </c>
      <c r="EL135" s="7">
        <v>374</v>
      </c>
      <c r="EM135" s="7">
        <v>374</v>
      </c>
      <c r="EN135" s="1113">
        <f>SUM(EJ135:EM135)</f>
        <v>1536</v>
      </c>
      <c r="EO135" s="7">
        <v>376</v>
      </c>
      <c r="EP135" s="7">
        <v>369</v>
      </c>
      <c r="EQ135" s="7">
        <v>353</v>
      </c>
      <c r="ER135" s="7">
        <v>357</v>
      </c>
      <c r="ES135" s="1113">
        <f>SUM(EO135:ER135)</f>
        <v>1455</v>
      </c>
      <c r="ET135" s="7">
        <v>359</v>
      </c>
      <c r="EU135" s="7">
        <v>360</v>
      </c>
      <c r="EV135" s="7">
        <v>352</v>
      </c>
      <c r="EW135" s="7">
        <v>359</v>
      </c>
      <c r="EX135" s="1113">
        <f>SUM(ET135:EW135)</f>
        <v>1430</v>
      </c>
    </row>
    <row r="136" spans="1:154" x14ac:dyDescent="0.3">
      <c r="A136" s="4" t="s">
        <v>433</v>
      </c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6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830">
        <f t="shared" ref="DZ136:EG136" si="115">SUM(DZ134:DZ135)</f>
        <v>929</v>
      </c>
      <c r="EA136" s="830">
        <f t="shared" si="115"/>
        <v>907</v>
      </c>
      <c r="EB136" s="830">
        <f t="shared" si="115"/>
        <v>891</v>
      </c>
      <c r="EC136" s="830">
        <f t="shared" si="115"/>
        <v>866</v>
      </c>
      <c r="ED136" s="1829">
        <f t="shared" si="115"/>
        <v>3593</v>
      </c>
      <c r="EE136" s="830">
        <f t="shared" si="115"/>
        <v>857</v>
      </c>
      <c r="EF136" s="830">
        <f t="shared" si="115"/>
        <v>834</v>
      </c>
      <c r="EG136" s="830">
        <f t="shared" si="115"/>
        <v>809</v>
      </c>
      <c r="EH136" s="830">
        <f t="shared" ref="EH136:EI136" si="116">SUM(EH134:EH135)</f>
        <v>784</v>
      </c>
      <c r="EI136" s="1829">
        <f t="shared" si="116"/>
        <v>3284</v>
      </c>
      <c r="EJ136" s="830">
        <f t="shared" ref="EJ136:EK136" si="117">SUM(EJ134:EJ135)</f>
        <v>770</v>
      </c>
      <c r="EK136" s="830">
        <f t="shared" si="117"/>
        <v>757</v>
      </c>
      <c r="EL136" s="830">
        <f t="shared" ref="EL136:EO136" si="118">SUM(EL134:EL135)</f>
        <v>735</v>
      </c>
      <c r="EM136" s="830">
        <f t="shared" si="118"/>
        <v>702</v>
      </c>
      <c r="EN136" s="1829">
        <f t="shared" si="118"/>
        <v>2964</v>
      </c>
      <c r="EO136" s="830">
        <f t="shared" si="118"/>
        <v>689</v>
      </c>
      <c r="EP136" s="830">
        <f t="shared" ref="EP136:EQ136" si="119">SUM(EP134:EP135)</f>
        <v>682</v>
      </c>
      <c r="EQ136" s="830">
        <f t="shared" si="119"/>
        <v>661</v>
      </c>
      <c r="ER136" s="830">
        <f t="shared" ref="ER136:ES136" si="120">SUM(ER134:ER135)</f>
        <v>647</v>
      </c>
      <c r="ES136" s="1829">
        <f t="shared" si="120"/>
        <v>2679</v>
      </c>
      <c r="ET136" s="830">
        <f t="shared" ref="ET136:EU136" si="121">SUM(ET134:ET135)</f>
        <v>641</v>
      </c>
      <c r="EU136" s="830">
        <f t="shared" si="121"/>
        <v>626</v>
      </c>
      <c r="EV136" s="830">
        <f t="shared" ref="EV136:EX136" si="122">SUM(EV134:EV135)</f>
        <v>604</v>
      </c>
      <c r="EW136" s="830">
        <f t="shared" ref="EW136" si="123">SUM(EW134:EW135)</f>
        <v>600</v>
      </c>
      <c r="EX136" s="1829">
        <f t="shared" si="122"/>
        <v>2471</v>
      </c>
    </row>
    <row r="137" spans="1:154" x14ac:dyDescent="0.3">
      <c r="A137" s="1" t="s">
        <v>3441</v>
      </c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6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7">
        <v>97</v>
      </c>
      <c r="EA137" s="7">
        <v>99</v>
      </c>
      <c r="EB137" s="7">
        <v>103</v>
      </c>
      <c r="EC137" s="7">
        <v>96</v>
      </c>
      <c r="ED137" s="1113">
        <f>SUM(DZ137:EC137)</f>
        <v>395</v>
      </c>
      <c r="EE137" s="7">
        <v>88</v>
      </c>
      <c r="EF137" s="7">
        <v>85</v>
      </c>
      <c r="EG137" s="1103">
        <f>EG127</f>
        <v>83</v>
      </c>
      <c r="EH137" s="1103">
        <f>EH127</f>
        <v>84</v>
      </c>
      <c r="EI137" s="1113">
        <f>SUM(EE137:EH137)</f>
        <v>340</v>
      </c>
      <c r="EJ137" s="1103">
        <f>EJ127</f>
        <v>5</v>
      </c>
      <c r="EK137" s="7">
        <v>17</v>
      </c>
      <c r="EL137" s="7">
        <v>18</v>
      </c>
      <c r="EM137" s="7">
        <v>14</v>
      </c>
      <c r="EN137" s="1113">
        <f>SUM(EJ137:EM137)</f>
        <v>54</v>
      </c>
      <c r="EO137" s="1103">
        <f>EO127</f>
        <v>22</v>
      </c>
      <c r="EP137" s="1103">
        <f>EP127</f>
        <v>21</v>
      </c>
      <c r="EQ137" s="1103">
        <f>EQ127</f>
        <v>15</v>
      </c>
      <c r="ER137" s="1103">
        <f>ER127</f>
        <v>17</v>
      </c>
      <c r="ES137" s="1113">
        <f>SUM(EO137:ER137)</f>
        <v>75</v>
      </c>
      <c r="ET137" s="1103">
        <f>ET127</f>
        <v>16</v>
      </c>
      <c r="EU137" s="1103">
        <f>EU127</f>
        <v>14</v>
      </c>
      <c r="EV137" s="1103">
        <f>EV127</f>
        <v>18</v>
      </c>
      <c r="EW137" s="1103">
        <f>EW127</f>
        <v>16</v>
      </c>
      <c r="EX137" s="1113">
        <f>SUM(ET137:EW137)</f>
        <v>64</v>
      </c>
    </row>
    <row r="138" spans="1:154" x14ac:dyDescent="0.3">
      <c r="A138" s="4" t="s">
        <v>3442</v>
      </c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6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830">
        <f t="shared" ref="DZ138:EG138" si="124">DZ137+DZ136+DZ133</f>
        <v>1743</v>
      </c>
      <c r="EA138" s="830">
        <f t="shared" si="124"/>
        <v>1708</v>
      </c>
      <c r="EB138" s="830">
        <f t="shared" si="124"/>
        <v>1679</v>
      </c>
      <c r="EC138" s="830">
        <f t="shared" si="124"/>
        <v>1647</v>
      </c>
      <c r="ED138" s="1829">
        <f t="shared" si="124"/>
        <v>6777</v>
      </c>
      <c r="EE138" s="830">
        <f t="shared" si="124"/>
        <v>1620</v>
      </c>
      <c r="EF138" s="830">
        <f t="shared" si="124"/>
        <v>1598</v>
      </c>
      <c r="EG138" s="830">
        <f t="shared" si="124"/>
        <v>1576</v>
      </c>
      <c r="EH138" s="830">
        <f t="shared" ref="EH138:EI138" si="125">EH137+EH136+EH133</f>
        <v>1543</v>
      </c>
      <c r="EI138" s="1829">
        <f t="shared" si="125"/>
        <v>6337</v>
      </c>
      <c r="EJ138" s="830">
        <f t="shared" ref="EJ138:EK138" si="126">EJ137+EJ136+EJ133</f>
        <v>1447</v>
      </c>
      <c r="EK138" s="830">
        <f t="shared" si="126"/>
        <v>1459</v>
      </c>
      <c r="EL138" s="830">
        <f t="shared" ref="EL138:EO138" si="127">EL137+EL136+EL133</f>
        <v>1444</v>
      </c>
      <c r="EM138" s="830">
        <f t="shared" si="127"/>
        <v>1437</v>
      </c>
      <c r="EN138" s="1829">
        <f t="shared" si="127"/>
        <v>5787</v>
      </c>
      <c r="EO138" s="830">
        <f t="shared" si="127"/>
        <v>1440</v>
      </c>
      <c r="EP138" s="830">
        <f t="shared" ref="EP138:EQ138" si="128">EP137+EP136+EP133</f>
        <v>1449</v>
      </c>
      <c r="EQ138" s="830">
        <f t="shared" si="128"/>
        <v>1436</v>
      </c>
      <c r="ER138" s="830">
        <f t="shared" ref="ER138:ES138" si="129">ER137+ER136+ER133</f>
        <v>1426</v>
      </c>
      <c r="ES138" s="1829">
        <f t="shared" si="129"/>
        <v>5751</v>
      </c>
      <c r="ET138" s="830">
        <f t="shared" ref="ET138:EU138" si="130">ET137+ET136+ET133</f>
        <v>1462</v>
      </c>
      <c r="EU138" s="830">
        <f t="shared" si="130"/>
        <v>1480</v>
      </c>
      <c r="EV138" s="830">
        <f t="shared" ref="EV138:EX138" si="131">EV137+EV136+EV133</f>
        <v>1489</v>
      </c>
      <c r="EW138" s="830">
        <f t="shared" ref="EW138" si="132">EW137+EW136+EW133</f>
        <v>1506</v>
      </c>
      <c r="EX138" s="1829">
        <f t="shared" si="131"/>
        <v>5937</v>
      </c>
    </row>
    <row r="139" spans="1:154" x14ac:dyDescent="0.3">
      <c r="A139" s="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6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8"/>
      <c r="EB139" s="5"/>
      <c r="EC139" s="5"/>
      <c r="ED139" s="5"/>
      <c r="EE139" s="5"/>
      <c r="EF139" s="8"/>
      <c r="EG139" s="8"/>
      <c r="EH139" s="8"/>
      <c r="EI139" s="5"/>
      <c r="EJ139" s="8"/>
      <c r="EK139" s="8"/>
      <c r="EL139" s="8"/>
      <c r="EM139" s="8"/>
      <c r="EN139" s="5"/>
      <c r="EO139" s="8"/>
      <c r="EP139" s="8"/>
      <c r="EQ139" s="8"/>
      <c r="ES139" s="5"/>
      <c r="EX139" s="5"/>
    </row>
    <row r="140" spans="1:154" x14ac:dyDescent="0.3">
      <c r="A140" s="1" t="s">
        <v>3443</v>
      </c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6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7">
        <v>170</v>
      </c>
      <c r="EA140" s="7">
        <v>155</v>
      </c>
      <c r="EB140" s="7">
        <v>136</v>
      </c>
      <c r="EC140" s="7">
        <v>116</v>
      </c>
      <c r="ED140" s="1113">
        <f>SUM(DZ140:EC140)</f>
        <v>577</v>
      </c>
      <c r="EE140" s="7">
        <v>111</v>
      </c>
      <c r="EF140" s="7">
        <v>108</v>
      </c>
      <c r="EG140" s="7">
        <v>95</v>
      </c>
      <c r="EH140" s="7">
        <v>93</v>
      </c>
      <c r="EI140" s="1113">
        <f>SUM(EE140:EH140)</f>
        <v>407</v>
      </c>
      <c r="EJ140" s="7">
        <v>92</v>
      </c>
      <c r="EK140" s="7">
        <v>87</v>
      </c>
      <c r="EL140" s="7">
        <v>81</v>
      </c>
      <c r="EM140" s="7">
        <v>76</v>
      </c>
      <c r="EN140" s="1113">
        <f>SUM(EJ140:EM140)</f>
        <v>336</v>
      </c>
      <c r="EO140" s="1268">
        <v>76</v>
      </c>
      <c r="EP140" s="1268">
        <v>71</v>
      </c>
      <c r="EQ140" s="1268">
        <v>65</v>
      </c>
      <c r="ER140" s="1268">
        <v>61</v>
      </c>
      <c r="ES140" s="1113">
        <f>SUM(EO140:ER140)</f>
        <v>273</v>
      </c>
      <c r="ET140" s="1268">
        <v>61</v>
      </c>
      <c r="EU140" s="1268">
        <v>57</v>
      </c>
      <c r="EV140" s="1268">
        <v>53</v>
      </c>
      <c r="EW140" s="1268">
        <v>47</v>
      </c>
      <c r="EX140" s="1113">
        <f>SUM(ET140:EW140)</f>
        <v>218</v>
      </c>
    </row>
    <row r="141" spans="1:154" x14ac:dyDescent="0.3">
      <c r="A141" s="1" t="s">
        <v>3444</v>
      </c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6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7">
        <v>106</v>
      </c>
      <c r="EA141" s="7">
        <v>96</v>
      </c>
      <c r="EB141" s="7">
        <v>90</v>
      </c>
      <c r="EC141" s="7">
        <v>92</v>
      </c>
      <c r="ED141" s="1113">
        <f>SUM(DZ141:EC141)</f>
        <v>384</v>
      </c>
      <c r="EE141" s="7">
        <v>87</v>
      </c>
      <c r="EF141" s="7">
        <v>85</v>
      </c>
      <c r="EG141" s="7">
        <v>82</v>
      </c>
      <c r="EH141" s="24">
        <v>82</v>
      </c>
      <c r="EI141" s="1113">
        <f>SUM(EE141:EH141)</f>
        <v>336</v>
      </c>
      <c r="EJ141" s="24">
        <v>82</v>
      </c>
      <c r="EK141" s="24">
        <v>82</v>
      </c>
      <c r="EL141" s="24">
        <v>82</v>
      </c>
      <c r="EM141" s="24">
        <v>82</v>
      </c>
      <c r="EN141" s="1113">
        <f>SUM(EJ141:EM141)</f>
        <v>328</v>
      </c>
      <c r="EO141" s="24">
        <v>82</v>
      </c>
      <c r="EP141" s="24">
        <v>82</v>
      </c>
      <c r="EQ141" s="24">
        <v>82</v>
      </c>
      <c r="ER141" s="24">
        <v>82</v>
      </c>
      <c r="ES141" s="1113">
        <f>SUM(EO141:ER141)</f>
        <v>328</v>
      </c>
      <c r="ET141" s="24">
        <v>82</v>
      </c>
      <c r="EU141" s="24">
        <v>82</v>
      </c>
      <c r="EV141" s="24">
        <v>82</v>
      </c>
      <c r="EW141" s="24">
        <v>82</v>
      </c>
      <c r="EX141" s="1113">
        <f>SUM(ET141:EW141)</f>
        <v>328</v>
      </c>
    </row>
    <row r="142" spans="1:154" x14ac:dyDescent="0.3">
      <c r="A142" s="1" t="s">
        <v>3445</v>
      </c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6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7">
        <f>554-DZ141</f>
        <v>448</v>
      </c>
      <c r="EA142" s="7">
        <f>554-EA141</f>
        <v>458</v>
      </c>
      <c r="EB142" s="7">
        <f>551-EB141</f>
        <v>461</v>
      </c>
      <c r="EC142" s="7">
        <f>535-EC141</f>
        <v>443</v>
      </c>
      <c r="ED142" s="1113">
        <f>SUM(DZ142:EC142)</f>
        <v>1810</v>
      </c>
      <c r="EE142" s="7">
        <f>524-EE141</f>
        <v>437</v>
      </c>
      <c r="EF142" s="7">
        <f>523-EF141</f>
        <v>438</v>
      </c>
      <c r="EG142" s="7">
        <f>540-EG141</f>
        <v>458</v>
      </c>
      <c r="EH142" s="24">
        <f>505-EH141</f>
        <v>423</v>
      </c>
      <c r="EI142" s="1113">
        <f>SUM(EE142:EH142)</f>
        <v>1756</v>
      </c>
      <c r="EJ142" s="24">
        <f>460-EJ141</f>
        <v>378</v>
      </c>
      <c r="EK142" s="24">
        <f>451-EK141</f>
        <v>369</v>
      </c>
      <c r="EL142" s="24">
        <f>459-EL141</f>
        <v>377</v>
      </c>
      <c r="EM142" s="24">
        <f>442-EM141</f>
        <v>360</v>
      </c>
      <c r="EN142" s="1113">
        <f>SUM(EJ142:EM142)</f>
        <v>1484</v>
      </c>
      <c r="EO142" s="1268">
        <f>467-EO141</f>
        <v>385</v>
      </c>
      <c r="EP142" s="1268">
        <f>460-EP141</f>
        <v>378</v>
      </c>
      <c r="EQ142" s="1268">
        <f>482-EQ141</f>
        <v>400</v>
      </c>
      <c r="ER142" s="1268">
        <f>453-ER141</f>
        <v>371</v>
      </c>
      <c r="ES142" s="1113">
        <f>SUM(EO142:ER142)</f>
        <v>1534</v>
      </c>
      <c r="ET142" s="1268">
        <f>453-ET141</f>
        <v>371</v>
      </c>
      <c r="EU142" s="1268">
        <f>453-EU141</f>
        <v>371</v>
      </c>
      <c r="EV142" s="1268">
        <f>477-EV141</f>
        <v>395</v>
      </c>
      <c r="EW142" s="1268">
        <f>461-EW141</f>
        <v>379</v>
      </c>
      <c r="EX142" s="1113">
        <f>SUM(ET142:EW142)</f>
        <v>1516</v>
      </c>
    </row>
    <row r="143" spans="1:154" x14ac:dyDescent="0.3">
      <c r="A143" s="1" t="s">
        <v>42</v>
      </c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6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7">
        <v>349</v>
      </c>
      <c r="EA143" s="7">
        <v>319</v>
      </c>
      <c r="EB143" s="7">
        <v>322</v>
      </c>
      <c r="EC143" s="7">
        <v>320</v>
      </c>
      <c r="ED143" s="1116">
        <f>SUM(DZ143:EC143)</f>
        <v>1310</v>
      </c>
      <c r="EE143" s="7">
        <v>331</v>
      </c>
      <c r="EF143" s="7">
        <v>339</v>
      </c>
      <c r="EG143" s="7">
        <v>354</v>
      </c>
      <c r="EH143" s="24">
        <v>360</v>
      </c>
      <c r="EI143" s="1116">
        <f>SUM(EE143:EH143)</f>
        <v>1384</v>
      </c>
      <c r="EJ143" s="24">
        <v>386</v>
      </c>
      <c r="EK143" s="7">
        <v>386</v>
      </c>
      <c r="EL143" s="7">
        <v>396</v>
      </c>
      <c r="EM143" s="7">
        <v>391</v>
      </c>
      <c r="EN143" s="1116">
        <f>SUM(EJ143:EM143)</f>
        <v>1559</v>
      </c>
      <c r="EO143" s="1268">
        <v>378</v>
      </c>
      <c r="EP143" s="1268">
        <v>385</v>
      </c>
      <c r="EQ143" s="1268">
        <v>363</v>
      </c>
      <c r="ER143" s="1268">
        <v>363</v>
      </c>
      <c r="ES143" s="1116">
        <f>SUM(EO143:ER143)</f>
        <v>1489</v>
      </c>
      <c r="ET143" s="1268">
        <v>401</v>
      </c>
      <c r="EU143" s="1268">
        <v>410</v>
      </c>
      <c r="EV143" s="1268">
        <v>410</v>
      </c>
      <c r="EW143" s="1268">
        <v>403</v>
      </c>
      <c r="EX143" s="1116">
        <f>SUM(ET143:EW143)</f>
        <v>1624</v>
      </c>
    </row>
    <row r="144" spans="1:154" x14ac:dyDescent="0.3">
      <c r="A144" s="4" t="s">
        <v>3446</v>
      </c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6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830">
        <f t="shared" ref="DZ144:EG144" si="133">SUM(DZ140:DZ143)</f>
        <v>1073</v>
      </c>
      <c r="EA144" s="830">
        <f t="shared" si="133"/>
        <v>1028</v>
      </c>
      <c r="EB144" s="830">
        <f t="shared" si="133"/>
        <v>1009</v>
      </c>
      <c r="EC144" s="830">
        <f t="shared" si="133"/>
        <v>971</v>
      </c>
      <c r="ED144" s="1113">
        <f t="shared" si="133"/>
        <v>4081</v>
      </c>
      <c r="EE144" s="830">
        <f t="shared" si="133"/>
        <v>966</v>
      </c>
      <c r="EF144" s="830">
        <f t="shared" si="133"/>
        <v>970</v>
      </c>
      <c r="EG144" s="830">
        <f t="shared" si="133"/>
        <v>989</v>
      </c>
      <c r="EH144" s="830">
        <f t="shared" ref="EH144:EI144" si="134">SUM(EH140:EH143)</f>
        <v>958</v>
      </c>
      <c r="EI144" s="1113">
        <f t="shared" si="134"/>
        <v>3883</v>
      </c>
      <c r="EJ144" s="830">
        <f t="shared" ref="EJ144:EK144" si="135">SUM(EJ140:EJ143)</f>
        <v>938</v>
      </c>
      <c r="EK144" s="830">
        <f t="shared" si="135"/>
        <v>924</v>
      </c>
      <c r="EL144" s="830">
        <f t="shared" ref="EL144:EO144" si="136">SUM(EL140:EL143)</f>
        <v>936</v>
      </c>
      <c r="EM144" s="830">
        <f t="shared" si="136"/>
        <v>909</v>
      </c>
      <c r="EN144" s="1113">
        <f t="shared" si="136"/>
        <v>3707</v>
      </c>
      <c r="EO144" s="830">
        <f t="shared" si="136"/>
        <v>921</v>
      </c>
      <c r="EP144" s="830">
        <f t="shared" ref="EP144:ES144" si="137">SUM(EP140:EP143)</f>
        <v>916</v>
      </c>
      <c r="EQ144" s="830">
        <f t="shared" si="137"/>
        <v>910</v>
      </c>
      <c r="ER144" s="830">
        <f t="shared" si="137"/>
        <v>877</v>
      </c>
      <c r="ES144" s="1113">
        <f t="shared" si="137"/>
        <v>3624</v>
      </c>
      <c r="ET144" s="830">
        <f t="shared" ref="ET144:EU144" si="138">SUM(ET140:ET143)</f>
        <v>915</v>
      </c>
      <c r="EU144" s="830">
        <f t="shared" si="138"/>
        <v>920</v>
      </c>
      <c r="EV144" s="830">
        <f t="shared" ref="EV144:EX144" si="139">SUM(EV140:EV143)</f>
        <v>940</v>
      </c>
      <c r="EW144" s="830">
        <f t="shared" ref="EW144" si="140">SUM(EW140:EW143)</f>
        <v>911</v>
      </c>
      <c r="EX144" s="1113">
        <f t="shared" si="139"/>
        <v>3686</v>
      </c>
    </row>
    <row r="145" spans="1:154" x14ac:dyDescent="0.3">
      <c r="A145" s="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6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8"/>
      <c r="EB145" s="5"/>
      <c r="EC145" s="5"/>
      <c r="ED145" s="5"/>
      <c r="EE145" s="5"/>
      <c r="EF145" s="8"/>
      <c r="EG145" s="8"/>
      <c r="EH145" s="8"/>
      <c r="EI145" s="5"/>
      <c r="EJ145" s="8"/>
      <c r="EK145" s="8"/>
      <c r="EL145" s="8"/>
      <c r="EM145" s="8"/>
      <c r="EN145" s="5"/>
      <c r="EO145" s="8"/>
      <c r="EP145" s="8"/>
      <c r="EQ145" s="8"/>
      <c r="ES145" s="5"/>
      <c r="EX145" s="5"/>
    </row>
    <row r="146" spans="1:154" x14ac:dyDescent="0.3">
      <c r="A146" s="1" t="s">
        <v>3443</v>
      </c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6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7">
        <v>170</v>
      </c>
      <c r="EA146" s="7">
        <v>155</v>
      </c>
      <c r="EB146" s="7">
        <v>136</v>
      </c>
      <c r="EC146" s="7">
        <v>116</v>
      </c>
      <c r="ED146" s="1113">
        <f>SUM(DZ146:EC146)</f>
        <v>577</v>
      </c>
      <c r="EE146" s="7">
        <v>111</v>
      </c>
      <c r="EF146" s="7">
        <v>108</v>
      </c>
      <c r="EG146" s="7">
        <v>95</v>
      </c>
      <c r="EH146" s="7">
        <v>93</v>
      </c>
      <c r="EI146" s="1113">
        <f>SUM(EE146:EH146)</f>
        <v>407</v>
      </c>
      <c r="EJ146" s="1103">
        <f>+EJ140</f>
        <v>92</v>
      </c>
      <c r="EK146" s="1103">
        <f>+EK140</f>
        <v>87</v>
      </c>
      <c r="EL146" s="1103">
        <f>+EL140</f>
        <v>81</v>
      </c>
      <c r="EM146" s="1103">
        <f>+EM140</f>
        <v>76</v>
      </c>
      <c r="EN146" s="1113">
        <f>SUM(EJ146:EM146)</f>
        <v>336</v>
      </c>
      <c r="EO146" s="1103">
        <f>+EO140</f>
        <v>76</v>
      </c>
      <c r="EP146" s="1103">
        <f>+EP140</f>
        <v>71</v>
      </c>
      <c r="EQ146" s="1103">
        <f>+EQ140</f>
        <v>65</v>
      </c>
      <c r="ER146" s="1103">
        <f>+ER140</f>
        <v>61</v>
      </c>
      <c r="ES146" s="1113">
        <f>SUM(EO146:ER146)</f>
        <v>273</v>
      </c>
      <c r="ET146" s="1103">
        <f>+ET140</f>
        <v>61</v>
      </c>
      <c r="EU146" s="1103">
        <f>+EU140</f>
        <v>57</v>
      </c>
      <c r="EV146" s="1103">
        <f>+EV140</f>
        <v>53</v>
      </c>
      <c r="EW146" s="1103">
        <f>+EW140</f>
        <v>47</v>
      </c>
      <c r="EX146" s="1113">
        <f>SUM(ET146:EW146)</f>
        <v>218</v>
      </c>
    </row>
    <row r="147" spans="1:154" x14ac:dyDescent="0.3">
      <c r="A147" s="1" t="s">
        <v>3447</v>
      </c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6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7">
        <v>469</v>
      </c>
      <c r="EA147" s="7">
        <v>465</v>
      </c>
      <c r="EB147" s="7">
        <v>458</v>
      </c>
      <c r="EC147" s="7">
        <v>453</v>
      </c>
      <c r="ED147" s="1113">
        <f>SUM(DZ147:EC147)</f>
        <v>1845</v>
      </c>
      <c r="EE147" s="7">
        <v>442</v>
      </c>
      <c r="EF147" s="7">
        <v>467</v>
      </c>
      <c r="EG147" s="7">
        <v>486</v>
      </c>
      <c r="EH147" s="17">
        <v>453</v>
      </c>
      <c r="EI147" s="1113">
        <f>SUM(EE147:EH147)</f>
        <v>1848</v>
      </c>
      <c r="EJ147" s="1103">
        <f>+EJ141+EJ142</f>
        <v>460</v>
      </c>
      <c r="EK147" s="1103">
        <f>+EK141+EK142</f>
        <v>451</v>
      </c>
      <c r="EL147" s="1103">
        <f>+EL141+EL142</f>
        <v>459</v>
      </c>
      <c r="EM147" s="1103">
        <f>+EM141+EM142</f>
        <v>442</v>
      </c>
      <c r="EN147" s="1113">
        <f>SUM(EJ147:EM147)</f>
        <v>1812</v>
      </c>
      <c r="EO147" s="1103">
        <f>+EO141+EO142</f>
        <v>467</v>
      </c>
      <c r="EP147" s="1103">
        <f>+EP141+EP142</f>
        <v>460</v>
      </c>
      <c r="EQ147" s="1103">
        <f>+EQ141+EQ142</f>
        <v>482</v>
      </c>
      <c r="ER147" s="1103">
        <f>+ER141+ER142</f>
        <v>453</v>
      </c>
      <c r="ES147" s="1113">
        <f>SUM(EO147:ER147)</f>
        <v>1862</v>
      </c>
      <c r="ET147" s="1103">
        <f>+ET141+ET142</f>
        <v>453</v>
      </c>
      <c r="EU147" s="1103">
        <f>+EU141+EU142</f>
        <v>453</v>
      </c>
      <c r="EV147" s="1103">
        <f>+EV141+EV142</f>
        <v>477</v>
      </c>
      <c r="EW147" s="1103">
        <f>+EW141+EW142</f>
        <v>461</v>
      </c>
      <c r="EX147" s="1113">
        <f>SUM(ET147:EW147)</f>
        <v>1844</v>
      </c>
    </row>
    <row r="148" spans="1:154" x14ac:dyDescent="0.3">
      <c r="A148" s="1" t="s">
        <v>42</v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6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7">
        <v>434</v>
      </c>
      <c r="EA148" s="7">
        <v>407</v>
      </c>
      <c r="EB148" s="7">
        <v>415</v>
      </c>
      <c r="EC148" s="7">
        <v>402</v>
      </c>
      <c r="ED148" s="1116">
        <f>SUM(DZ148:EC148)</f>
        <v>1658</v>
      </c>
      <c r="EE148" s="7">
        <v>413</v>
      </c>
      <c r="EF148" s="7">
        <v>395</v>
      </c>
      <c r="EG148" s="7">
        <v>408</v>
      </c>
      <c r="EH148" s="17">
        <v>412</v>
      </c>
      <c r="EI148" s="1116">
        <f>SUM(EE148:EH148)</f>
        <v>1628</v>
      </c>
      <c r="EJ148" s="1103">
        <f>+EJ143</f>
        <v>386</v>
      </c>
      <c r="EK148" s="1103">
        <f>+EK143</f>
        <v>386</v>
      </c>
      <c r="EL148" s="1103">
        <f>+EL143</f>
        <v>396</v>
      </c>
      <c r="EM148" s="1103">
        <f>+EM143</f>
        <v>391</v>
      </c>
      <c r="EN148" s="1116">
        <f>SUM(EJ148:EM148)</f>
        <v>1559</v>
      </c>
      <c r="EO148" s="1103">
        <f>+EO143</f>
        <v>378</v>
      </c>
      <c r="EP148" s="1103">
        <f>+EP143</f>
        <v>385</v>
      </c>
      <c r="EQ148" s="1103">
        <f>+EQ143</f>
        <v>363</v>
      </c>
      <c r="ER148" s="1103">
        <f>+ER143</f>
        <v>363</v>
      </c>
      <c r="ES148" s="1116">
        <f>SUM(EO148:ER148)</f>
        <v>1489</v>
      </c>
      <c r="ET148" s="1103">
        <f>+ET143</f>
        <v>401</v>
      </c>
      <c r="EU148" s="1103">
        <f>+EU143</f>
        <v>410</v>
      </c>
      <c r="EV148" s="1103">
        <f>+EV143</f>
        <v>410</v>
      </c>
      <c r="EW148" s="1103">
        <f>+EW143</f>
        <v>403</v>
      </c>
      <c r="EX148" s="1116">
        <f>SUM(ET148:EW148)</f>
        <v>1624</v>
      </c>
    </row>
    <row r="149" spans="1:154" x14ac:dyDescent="0.3">
      <c r="A149" s="4" t="s">
        <v>3446</v>
      </c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6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830">
        <f t="shared" ref="DZ149:EI149" si="141">SUM(DZ146:DZ148)</f>
        <v>1073</v>
      </c>
      <c r="EA149" s="830">
        <f t="shared" si="141"/>
        <v>1027</v>
      </c>
      <c r="EB149" s="830">
        <f t="shared" si="141"/>
        <v>1009</v>
      </c>
      <c r="EC149" s="830">
        <f t="shared" si="141"/>
        <v>971</v>
      </c>
      <c r="ED149" s="1113">
        <f t="shared" si="141"/>
        <v>4080</v>
      </c>
      <c r="EE149" s="830">
        <f t="shared" si="141"/>
        <v>966</v>
      </c>
      <c r="EF149" s="830">
        <f t="shared" si="141"/>
        <v>970</v>
      </c>
      <c r="EG149" s="830">
        <f t="shared" si="141"/>
        <v>989</v>
      </c>
      <c r="EH149" s="830">
        <f t="shared" si="141"/>
        <v>958</v>
      </c>
      <c r="EI149" s="1113">
        <f t="shared" si="141"/>
        <v>3883</v>
      </c>
      <c r="EJ149" s="830">
        <f t="shared" ref="EJ149:EK149" si="142">SUM(EJ146:EJ148)</f>
        <v>938</v>
      </c>
      <c r="EK149" s="830">
        <f t="shared" si="142"/>
        <v>924</v>
      </c>
      <c r="EL149" s="830">
        <f t="shared" ref="EL149:EO149" si="143">SUM(EL146:EL148)</f>
        <v>936</v>
      </c>
      <c r="EM149" s="830">
        <f t="shared" si="143"/>
        <v>909</v>
      </c>
      <c r="EN149" s="1113">
        <f t="shared" si="143"/>
        <v>3707</v>
      </c>
      <c r="EO149" s="830">
        <f t="shared" si="143"/>
        <v>921</v>
      </c>
      <c r="EP149" s="830">
        <f t="shared" ref="EP149:EQ149" si="144">SUM(EP146:EP148)</f>
        <v>916</v>
      </c>
      <c r="EQ149" s="830">
        <f t="shared" si="144"/>
        <v>910</v>
      </c>
      <c r="ER149" s="830">
        <f t="shared" ref="ER149:ES149" si="145">SUM(ER146:ER148)</f>
        <v>877</v>
      </c>
      <c r="ES149" s="1113">
        <f t="shared" si="145"/>
        <v>3624</v>
      </c>
      <c r="ET149" s="830">
        <f t="shared" ref="ET149:EU149" si="146">SUM(ET146:ET148)</f>
        <v>915</v>
      </c>
      <c r="EU149" s="830">
        <f t="shared" si="146"/>
        <v>920</v>
      </c>
      <c r="EV149" s="830">
        <f t="shared" ref="EV149:EX149" si="147">SUM(EV146:EV148)</f>
        <v>940</v>
      </c>
      <c r="EW149" s="830">
        <f t="shared" ref="EW149" si="148">SUM(EW146:EW148)</f>
        <v>911</v>
      </c>
      <c r="EX149" s="1113">
        <f t="shared" si="147"/>
        <v>3686</v>
      </c>
    </row>
    <row r="150" spans="1:154" x14ac:dyDescent="0.3">
      <c r="A150" s="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6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8"/>
      <c r="EB150" s="5"/>
      <c r="EC150" s="5"/>
      <c r="ED150" s="5"/>
      <c r="EE150" s="5"/>
      <c r="EF150" s="8"/>
      <c r="EG150" s="8"/>
      <c r="EH150" s="8"/>
      <c r="EI150" s="5"/>
      <c r="EJ150" s="8"/>
      <c r="EK150" s="8"/>
      <c r="EL150" s="8"/>
      <c r="EM150" s="8"/>
      <c r="EN150" s="5"/>
      <c r="EO150" s="8"/>
      <c r="EP150" s="8"/>
      <c r="EQ150" s="8"/>
      <c r="ES150" s="5"/>
      <c r="EX150" s="5"/>
    </row>
    <row r="151" spans="1:154" x14ac:dyDescent="0.3">
      <c r="A151" s="1" t="s">
        <v>298</v>
      </c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6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7">
        <v>261</v>
      </c>
      <c r="EA151" s="7">
        <v>280</v>
      </c>
      <c r="EB151" s="7">
        <v>260</v>
      </c>
      <c r="EC151" s="7">
        <v>275</v>
      </c>
      <c r="ED151" s="1113">
        <f>SUM(DZ151:EC151)</f>
        <v>1076</v>
      </c>
      <c r="EE151" s="7">
        <v>269</v>
      </c>
      <c r="EF151" s="7">
        <v>276</v>
      </c>
      <c r="EG151" s="7">
        <v>278</v>
      </c>
      <c r="EH151" s="7">
        <v>273</v>
      </c>
      <c r="EI151" s="1113">
        <f>SUM(EE151:EH151)</f>
        <v>1096</v>
      </c>
      <c r="EJ151" s="7">
        <v>274</v>
      </c>
      <c r="EK151" s="7">
        <v>292</v>
      </c>
      <c r="EL151" s="7">
        <v>276</v>
      </c>
      <c r="EM151" s="7">
        <v>326</v>
      </c>
      <c r="EN151" s="1113">
        <f>SUM(EJ151:EM151)</f>
        <v>1168</v>
      </c>
      <c r="EO151" s="1268">
        <v>322</v>
      </c>
      <c r="EP151" s="1268">
        <v>323</v>
      </c>
      <c r="EQ151" s="1268">
        <v>328</v>
      </c>
      <c r="ER151" s="1268">
        <v>356</v>
      </c>
      <c r="ES151" s="1113">
        <f>SUM(EO151:ER151)</f>
        <v>1329</v>
      </c>
      <c r="ET151" s="1268">
        <v>360</v>
      </c>
      <c r="EU151" s="1268">
        <v>382</v>
      </c>
      <c r="EV151" s="1268">
        <v>394</v>
      </c>
      <c r="EW151" s="1268">
        <v>438</v>
      </c>
      <c r="EX151" s="1113">
        <f>SUM(ET151:EW151)</f>
        <v>1574</v>
      </c>
    </row>
    <row r="152" spans="1:154" x14ac:dyDescent="0.3">
      <c r="A152" s="1" t="s">
        <v>299</v>
      </c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6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7">
        <v>312</v>
      </c>
      <c r="EA152" s="7">
        <v>302</v>
      </c>
      <c r="EB152" s="7">
        <v>306</v>
      </c>
      <c r="EC152" s="7">
        <v>303</v>
      </c>
      <c r="ED152" s="1113">
        <f>SUM(DZ152:EC152)</f>
        <v>1223</v>
      </c>
      <c r="EE152" s="7">
        <v>297</v>
      </c>
      <c r="EF152" s="7">
        <v>268</v>
      </c>
      <c r="EG152" s="7">
        <v>227</v>
      </c>
      <c r="EH152" s="7">
        <v>228</v>
      </c>
      <c r="EI152" s="1113">
        <f>SUM(EE152:EH152)</f>
        <v>1020</v>
      </c>
      <c r="EJ152" s="7">
        <v>230</v>
      </c>
      <c r="EK152" s="7">
        <v>227</v>
      </c>
      <c r="EL152" s="7">
        <v>215</v>
      </c>
      <c r="EM152" s="7">
        <v>187</v>
      </c>
      <c r="EN152" s="1113">
        <f>SUM(EJ152:EM152)</f>
        <v>859</v>
      </c>
      <c r="EO152" s="1268">
        <v>176</v>
      </c>
      <c r="EP152" s="1268">
        <v>189</v>
      </c>
      <c r="EQ152" s="1268">
        <v>183</v>
      </c>
      <c r="ER152" s="1268">
        <v>177</v>
      </c>
      <c r="ES152" s="1113">
        <f>SUM(EO152:ER152)</f>
        <v>725</v>
      </c>
      <c r="ET152" s="1268">
        <v>172</v>
      </c>
      <c r="EU152" s="1268">
        <v>165</v>
      </c>
      <c r="EV152" s="1268">
        <v>137</v>
      </c>
      <c r="EW152" s="1268">
        <v>142</v>
      </c>
      <c r="EX152" s="1113">
        <f>SUM(ET152:EW152)</f>
        <v>616</v>
      </c>
    </row>
    <row r="153" spans="1:154" x14ac:dyDescent="0.3">
      <c r="A153" s="1" t="s">
        <v>3448</v>
      </c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6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1103">
        <f>DZ154-SUM(DZ151:DZ152)</f>
        <v>97</v>
      </c>
      <c r="EA153" s="1103">
        <f>EA154-SUM(EA151:EA152)</f>
        <v>98</v>
      </c>
      <c r="EB153" s="1103">
        <f>EB154-SUM(EB151:EB152)</f>
        <v>104</v>
      </c>
      <c r="EC153" s="1103">
        <f>EC154-SUM(EC151:EC152)</f>
        <v>98</v>
      </c>
      <c r="ED153" s="1116">
        <f>SUM(DZ153:EC153)</f>
        <v>397</v>
      </c>
      <c r="EE153" s="1103">
        <f>EE154-SUM(EE151:EE152)</f>
        <v>88</v>
      </c>
      <c r="EF153" s="1103">
        <f>EF154-SUM(EF151:EF152)</f>
        <v>84</v>
      </c>
      <c r="EG153" s="1103">
        <f>EG154-SUM(EG151:EG152)</f>
        <v>82</v>
      </c>
      <c r="EH153" s="1103">
        <f>EH154-SUM(EH151:EH152)</f>
        <v>84</v>
      </c>
      <c r="EI153" s="1116">
        <f>SUM(EE153:EH153)</f>
        <v>338</v>
      </c>
      <c r="EJ153" s="1103">
        <f>EJ154-SUM(EJ151:EJ152)</f>
        <v>5</v>
      </c>
      <c r="EK153" s="1103">
        <f>EK154-SUM(EK151:EK152)</f>
        <v>16</v>
      </c>
      <c r="EL153" s="1103">
        <f>EL154-SUM(EL151:EL152)</f>
        <v>17</v>
      </c>
      <c r="EM153" s="1103">
        <f>EM154-SUM(EM151:EM152)</f>
        <v>15</v>
      </c>
      <c r="EN153" s="1116">
        <f>SUM(EJ153:EM153)</f>
        <v>53</v>
      </c>
      <c r="EO153" s="1103">
        <f>EO154-SUM(EO151:EO152)</f>
        <v>21</v>
      </c>
      <c r="EP153" s="1103">
        <f>EP154-SUM(EP151:EP152)</f>
        <v>21</v>
      </c>
      <c r="EQ153" s="1103">
        <f>EQ154-SUM(EQ151:EQ152)</f>
        <v>15</v>
      </c>
      <c r="ER153" s="1103">
        <f>ER154-SUM(ER151:ER152)</f>
        <v>16</v>
      </c>
      <c r="ES153" s="1116">
        <f>SUM(EO153:ER153)</f>
        <v>73</v>
      </c>
      <c r="ET153" s="1103">
        <f>ET154-SUM(ET151:ET152)</f>
        <v>15</v>
      </c>
      <c r="EU153" s="1103">
        <f>EU154-SUM(EU151:EU152)</f>
        <v>13</v>
      </c>
      <c r="EV153" s="1103">
        <f>EV154-SUM(EV151:EV152)</f>
        <v>18</v>
      </c>
      <c r="EW153" s="1103">
        <f>EW154-SUM(EW151:EW152)</f>
        <v>15</v>
      </c>
      <c r="EX153" s="1116">
        <f>SUM(ET153:EW153)</f>
        <v>61</v>
      </c>
    </row>
    <row r="154" spans="1:154" x14ac:dyDescent="0.3">
      <c r="A154" s="4" t="s">
        <v>106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6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830">
        <f t="shared" ref="DZ154:EI154" si="149">DZ138-DZ144</f>
        <v>670</v>
      </c>
      <c r="EA154" s="830">
        <f t="shared" si="149"/>
        <v>680</v>
      </c>
      <c r="EB154" s="830">
        <f t="shared" si="149"/>
        <v>670</v>
      </c>
      <c r="EC154" s="830">
        <f t="shared" si="149"/>
        <v>676</v>
      </c>
      <c r="ED154" s="1113">
        <f t="shared" si="149"/>
        <v>2696</v>
      </c>
      <c r="EE154" s="830">
        <f t="shared" si="149"/>
        <v>654</v>
      </c>
      <c r="EF154" s="830">
        <f t="shared" si="149"/>
        <v>628</v>
      </c>
      <c r="EG154" s="830">
        <f t="shared" si="149"/>
        <v>587</v>
      </c>
      <c r="EH154" s="830">
        <f t="shared" si="149"/>
        <v>585</v>
      </c>
      <c r="EI154" s="1113">
        <f t="shared" si="149"/>
        <v>2454</v>
      </c>
      <c r="EJ154" s="830">
        <f t="shared" ref="EJ154:EK154" si="150">EJ138-EJ144</f>
        <v>509</v>
      </c>
      <c r="EK154" s="830">
        <f t="shared" si="150"/>
        <v>535</v>
      </c>
      <c r="EL154" s="830">
        <f t="shared" ref="EL154:EP154" si="151">EL138-EL144</f>
        <v>508</v>
      </c>
      <c r="EM154" s="830">
        <f t="shared" si="151"/>
        <v>528</v>
      </c>
      <c r="EN154" s="1113">
        <f t="shared" si="151"/>
        <v>2080</v>
      </c>
      <c r="EO154" s="830">
        <f t="shared" si="151"/>
        <v>519</v>
      </c>
      <c r="EP154" s="830">
        <f t="shared" si="151"/>
        <v>533</v>
      </c>
      <c r="EQ154" s="830">
        <f t="shared" ref="EQ154:ES154" si="152">EQ138-EQ144</f>
        <v>526</v>
      </c>
      <c r="ER154" s="830">
        <f t="shared" si="152"/>
        <v>549</v>
      </c>
      <c r="ES154" s="1113">
        <f t="shared" si="152"/>
        <v>2127</v>
      </c>
      <c r="ET154" s="830">
        <f t="shared" ref="ET154:EU154" si="153">ET138-ET144</f>
        <v>547</v>
      </c>
      <c r="EU154" s="830">
        <f t="shared" si="153"/>
        <v>560</v>
      </c>
      <c r="EV154" s="830">
        <f t="shared" ref="EV154:EX154" si="154">EV138-EV144</f>
        <v>549</v>
      </c>
      <c r="EW154" s="830">
        <f t="shared" ref="EW154" si="155">EW138-EW144</f>
        <v>595</v>
      </c>
      <c r="EX154" s="1113">
        <f t="shared" si="154"/>
        <v>2251</v>
      </c>
    </row>
    <row r="155" spans="1:154" x14ac:dyDescent="0.3">
      <c r="A155" s="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6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8"/>
      <c r="EB155" s="5"/>
      <c r="EC155" s="5"/>
      <c r="ED155" s="5"/>
      <c r="EE155" s="5"/>
      <c r="EF155" s="8"/>
      <c r="EG155" s="8"/>
      <c r="EH155" s="8"/>
      <c r="EI155" s="5"/>
      <c r="EJ155" s="8"/>
      <c r="EK155" s="8"/>
      <c r="EL155" s="8"/>
      <c r="EM155" s="8"/>
      <c r="EO155" s="8"/>
      <c r="EP155" s="8"/>
      <c r="EQ155" s="8"/>
    </row>
    <row r="156" spans="1:154" collapsed="1" x14ac:dyDescent="0.3">
      <c r="A156" s="1052" t="s">
        <v>3449</v>
      </c>
      <c r="B156" s="1053"/>
      <c r="C156" s="1053"/>
      <c r="D156" s="1053"/>
      <c r="E156" s="1053"/>
      <c r="F156" s="1053"/>
      <c r="G156" s="1053"/>
      <c r="H156" s="1053"/>
      <c r="I156" s="1053"/>
      <c r="J156" s="1053"/>
      <c r="K156" s="1053"/>
      <c r="L156" s="1053"/>
      <c r="M156" s="1053"/>
      <c r="N156" s="1053"/>
      <c r="O156" s="1053"/>
      <c r="P156" s="1053"/>
      <c r="Q156" s="1053"/>
      <c r="R156" s="1053"/>
      <c r="S156" s="1053"/>
      <c r="T156" s="1053"/>
      <c r="U156" s="1053"/>
      <c r="V156" s="1053"/>
      <c r="W156" s="1053"/>
      <c r="X156" s="1053"/>
      <c r="Y156" s="1053"/>
      <c r="Z156" s="1053"/>
      <c r="AA156" s="1053"/>
      <c r="AB156" s="1053"/>
      <c r="AC156" s="1053"/>
      <c r="AD156" s="1053"/>
      <c r="AE156" s="1053"/>
      <c r="AF156" s="1053"/>
      <c r="AG156" s="1053"/>
      <c r="AH156" s="1053"/>
      <c r="AI156" s="1053"/>
      <c r="AJ156" s="1053"/>
      <c r="AK156" s="1053"/>
      <c r="AL156" s="1053"/>
      <c r="AM156" s="1053"/>
      <c r="AN156" s="1053"/>
      <c r="AO156" s="1053"/>
      <c r="AP156" s="1053"/>
      <c r="AQ156" s="1053"/>
      <c r="AR156" s="1053"/>
      <c r="AS156" s="1053"/>
      <c r="AT156" s="1053"/>
      <c r="AU156" s="1053"/>
      <c r="AV156" s="1053"/>
      <c r="AW156" s="1053"/>
      <c r="AX156" s="1053"/>
      <c r="AY156" s="1053"/>
      <c r="AZ156" s="1053"/>
      <c r="BA156" s="1053"/>
      <c r="BB156" s="1053"/>
      <c r="BC156" s="1054"/>
      <c r="BD156" s="1054"/>
      <c r="BE156" s="1054"/>
      <c r="BF156" s="1054"/>
      <c r="BG156" s="1054"/>
      <c r="BH156" s="1054"/>
      <c r="BI156" s="1054"/>
      <c r="BJ156" s="1054"/>
      <c r="BK156" s="1054"/>
      <c r="BL156" s="1054"/>
      <c r="BM156" s="1054"/>
      <c r="BN156" s="1054"/>
      <c r="BO156" s="1054"/>
      <c r="BP156" s="1054"/>
      <c r="BQ156" s="1054"/>
      <c r="BR156" s="1054"/>
      <c r="BS156" s="1054"/>
      <c r="BT156" s="1054"/>
      <c r="BU156" s="1054"/>
      <c r="BV156" s="1054"/>
      <c r="BW156" s="1054"/>
      <c r="BX156" s="1054"/>
      <c r="BY156" s="1054"/>
      <c r="BZ156" s="1054"/>
      <c r="CA156" s="1054"/>
      <c r="CB156" s="1054"/>
      <c r="CC156" s="1054"/>
      <c r="CD156" s="1054"/>
      <c r="CE156" s="1054"/>
      <c r="CF156" s="1054"/>
      <c r="CG156" s="1054"/>
      <c r="CH156" s="1054"/>
      <c r="CI156" s="1054"/>
      <c r="CJ156" s="1054"/>
      <c r="CK156" s="1054"/>
      <c r="CL156" s="1054"/>
      <c r="CM156" s="1054"/>
      <c r="CN156" s="1054"/>
      <c r="CO156" s="1054"/>
      <c r="CP156" s="1054"/>
      <c r="CQ156" s="1054"/>
      <c r="CR156" s="1054"/>
      <c r="CS156" s="1054"/>
      <c r="CT156" s="1054"/>
      <c r="CU156" s="1054"/>
      <c r="CV156" s="1054"/>
      <c r="CW156" s="1054"/>
      <c r="CX156" s="1054"/>
      <c r="CY156" s="1054"/>
      <c r="CZ156" s="1054"/>
      <c r="DA156" s="1054"/>
      <c r="DB156" s="1054"/>
      <c r="DC156" s="1054"/>
      <c r="DD156" s="1054"/>
      <c r="DE156" s="1054"/>
      <c r="DF156" s="1054"/>
      <c r="DG156" s="1054"/>
      <c r="DH156" s="1054"/>
      <c r="DI156" s="1054"/>
      <c r="DJ156" s="1054"/>
      <c r="DK156" s="1054"/>
      <c r="DL156" s="1054"/>
      <c r="DM156" s="1054"/>
      <c r="DN156" s="1054"/>
      <c r="DO156" s="1054"/>
      <c r="DP156" s="1055"/>
      <c r="DQ156" s="1054"/>
      <c r="DR156" s="1054"/>
      <c r="DS156" s="1054"/>
      <c r="DT156" s="1054"/>
      <c r="DU156" s="1055"/>
      <c r="DV156" s="1053"/>
      <c r="DW156" s="1053"/>
      <c r="DX156" s="1053"/>
      <c r="DY156" s="1053"/>
      <c r="DZ156" s="1053"/>
      <c r="EA156" s="1053"/>
      <c r="EB156" s="1053"/>
      <c r="EC156" s="1053"/>
      <c r="ED156" s="1053"/>
      <c r="EE156" s="1053"/>
      <c r="EF156" s="1055"/>
      <c r="EG156" s="1055"/>
      <c r="EH156" s="1055"/>
      <c r="EI156" s="1053"/>
      <c r="EJ156" s="1055"/>
      <c r="EK156" s="1055"/>
      <c r="EL156" s="1055"/>
      <c r="EM156" s="1055"/>
      <c r="EN156" s="1055"/>
      <c r="EO156" s="1055"/>
      <c r="EP156" s="1055"/>
      <c r="EQ156" s="1055"/>
      <c r="ER156" s="1055"/>
      <c r="ES156" s="1055"/>
      <c r="ET156" s="1055"/>
      <c r="EU156" s="1055"/>
      <c r="EV156" s="1055"/>
      <c r="EW156" s="1055"/>
      <c r="EX156" s="1055"/>
    </row>
    <row r="157" spans="1:154" x14ac:dyDescent="0.3">
      <c r="A157" s="1" t="s">
        <v>31</v>
      </c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6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7">
        <v>855</v>
      </c>
      <c r="EA157" s="7">
        <v>849</v>
      </c>
      <c r="EB157" s="7">
        <v>838</v>
      </c>
      <c r="EC157" s="7">
        <v>834</v>
      </c>
      <c r="ED157" s="8">
        <f>+SUM(DZ157:EC157)</f>
        <v>3376</v>
      </c>
      <c r="EE157" s="7">
        <v>842</v>
      </c>
      <c r="EF157" s="7">
        <v>839</v>
      </c>
      <c r="EG157" s="7">
        <v>834</v>
      </c>
      <c r="EH157" s="7">
        <v>834</v>
      </c>
      <c r="EI157" s="8">
        <f>+SUM(EE157:EH157)</f>
        <v>3349</v>
      </c>
      <c r="EJ157" s="7">
        <f>EJ122</f>
        <v>836</v>
      </c>
      <c r="EK157" s="1039">
        <f t="shared" ref="EJ157:EK162" si="156">EK122</f>
        <v>847</v>
      </c>
      <c r="EL157" s="1039">
        <f t="shared" ref="EL157:EM157" si="157">EL122</f>
        <v>848</v>
      </c>
      <c r="EM157" s="1039">
        <f t="shared" si="157"/>
        <v>859</v>
      </c>
      <c r="EN157" s="8">
        <f>+SUM(EJ157:EM157)</f>
        <v>3390</v>
      </c>
      <c r="EO157" s="1285">
        <f>EO122</f>
        <v>862</v>
      </c>
      <c r="EP157" s="1285">
        <f>EP122</f>
        <v>880</v>
      </c>
      <c r="EQ157" s="1285">
        <f>EQ122</f>
        <v>895</v>
      </c>
      <c r="ER157" s="1285">
        <f>ER122</f>
        <v>897</v>
      </c>
      <c r="ES157" s="8">
        <f>+SUM(EO157:ER157)</f>
        <v>3534</v>
      </c>
      <c r="ET157" s="1285">
        <f>ET122</f>
        <v>947</v>
      </c>
      <c r="EU157" s="1285">
        <f>EU122</f>
        <v>983</v>
      </c>
      <c r="EV157" s="1285">
        <f>EV122</f>
        <v>1004</v>
      </c>
      <c r="EW157" s="1285">
        <f>EW122</f>
        <v>1029</v>
      </c>
      <c r="EX157" s="8">
        <f>+SUM(ET157:EW157)</f>
        <v>3963</v>
      </c>
    </row>
    <row r="158" spans="1:154" x14ac:dyDescent="0.3">
      <c r="A158" s="1" t="s">
        <v>32</v>
      </c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6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7">
        <v>529</v>
      </c>
      <c r="EA158" s="7">
        <v>509</v>
      </c>
      <c r="EB158" s="7">
        <v>500</v>
      </c>
      <c r="EC158" s="7">
        <v>490</v>
      </c>
      <c r="ED158" s="8">
        <f>+SUM(DZ158:EC158)</f>
        <v>2028</v>
      </c>
      <c r="EE158" s="7">
        <v>487</v>
      </c>
      <c r="EF158" s="7">
        <v>443</v>
      </c>
      <c r="EG158" s="7">
        <v>411</v>
      </c>
      <c r="EH158" s="7">
        <v>397</v>
      </c>
      <c r="EI158" s="8">
        <f>+SUM(EE158:EH158)</f>
        <v>1738</v>
      </c>
      <c r="EJ158" s="7">
        <f t="shared" si="156"/>
        <v>386</v>
      </c>
      <c r="EK158" s="1039">
        <f t="shared" si="156"/>
        <v>381</v>
      </c>
      <c r="EL158" s="1039">
        <f t="shared" ref="EL158:EM158" si="158">EL123</f>
        <v>369</v>
      </c>
      <c r="EM158" s="1039">
        <f t="shared" si="158"/>
        <v>362</v>
      </c>
      <c r="EN158" s="8">
        <f>+SUM(EJ158:EM158)</f>
        <v>1498</v>
      </c>
      <c r="EO158" s="1285">
        <f t="shared" ref="EO158:EP160" si="159">EO123</f>
        <v>356</v>
      </c>
      <c r="EP158" s="1285">
        <f t="shared" si="159"/>
        <v>347</v>
      </c>
      <c r="EQ158" s="1285">
        <f t="shared" ref="EQ158:ER158" si="160">EQ123</f>
        <v>341</v>
      </c>
      <c r="ER158" s="1285">
        <f t="shared" si="160"/>
        <v>329</v>
      </c>
      <c r="ES158" s="8">
        <f>+SUM(EO158:ER158)</f>
        <v>1373</v>
      </c>
      <c r="ET158" s="1285">
        <f t="shared" ref="ET158:EU158" si="161">ET123</f>
        <v>321</v>
      </c>
      <c r="EU158" s="1285">
        <f t="shared" si="161"/>
        <v>312</v>
      </c>
      <c r="EV158" s="1285">
        <f t="shared" ref="EV158:EW158" si="162">EV123</f>
        <v>301</v>
      </c>
      <c r="EW158" s="1285">
        <f t="shared" si="162"/>
        <v>297</v>
      </c>
      <c r="EX158" s="8">
        <f>+SUM(ET158:EW158)</f>
        <v>1231</v>
      </c>
    </row>
    <row r="159" spans="1:154" x14ac:dyDescent="0.3">
      <c r="A159" s="1" t="s">
        <v>33</v>
      </c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6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7">
        <v>212</v>
      </c>
      <c r="EA159" s="7">
        <v>197</v>
      </c>
      <c r="EB159" s="7">
        <v>189</v>
      </c>
      <c r="EC159" s="7">
        <v>181</v>
      </c>
      <c r="ED159" s="8">
        <f>+SUM(DZ159:EC159)</f>
        <v>779</v>
      </c>
      <c r="EE159" s="7">
        <v>169</v>
      </c>
      <c r="EF159" s="7">
        <v>159</v>
      </c>
      <c r="EG159" s="7">
        <v>149</v>
      </c>
      <c r="EH159" s="7">
        <v>143</v>
      </c>
      <c r="EI159" s="8">
        <f>+SUM(EE159:EH159)</f>
        <v>620</v>
      </c>
      <c r="EJ159" s="7">
        <f t="shared" si="156"/>
        <v>137</v>
      </c>
      <c r="EK159" s="1039">
        <f t="shared" si="156"/>
        <v>134</v>
      </c>
      <c r="EL159" s="1039">
        <f t="shared" ref="EL159:EM159" si="163">EL124</f>
        <v>127</v>
      </c>
      <c r="EM159" s="1039">
        <f t="shared" si="163"/>
        <v>122</v>
      </c>
      <c r="EN159" s="8">
        <f>+SUM(EJ159:EM159)</f>
        <v>520</v>
      </c>
      <c r="EO159" s="1285">
        <f t="shared" si="159"/>
        <v>117</v>
      </c>
      <c r="EP159" s="1285">
        <f t="shared" si="159"/>
        <v>112</v>
      </c>
      <c r="EQ159" s="1285">
        <f t="shared" ref="EQ159:ER159" si="164">EQ124</f>
        <v>104</v>
      </c>
      <c r="ER159" s="1285">
        <f t="shared" si="164"/>
        <v>97</v>
      </c>
      <c r="ES159" s="8">
        <f>+SUM(EO159:ER159)</f>
        <v>430</v>
      </c>
      <c r="ET159" s="1285">
        <f t="shared" ref="ET159:EU159" si="165">ET124</f>
        <v>94</v>
      </c>
      <c r="EU159" s="1285">
        <f t="shared" si="165"/>
        <v>88</v>
      </c>
      <c r="EV159" s="1285">
        <f t="shared" ref="EV159:EW159" si="166">EV124</f>
        <v>83</v>
      </c>
      <c r="EW159" s="1285">
        <f t="shared" si="166"/>
        <v>79</v>
      </c>
      <c r="EX159" s="8">
        <f>+SUM(ET159:EW159)</f>
        <v>344</v>
      </c>
    </row>
    <row r="160" spans="1:154" x14ac:dyDescent="0.3">
      <c r="A160" s="1" t="s">
        <v>34</v>
      </c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6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7">
        <v>108</v>
      </c>
      <c r="EA160" s="7">
        <v>105</v>
      </c>
      <c r="EB160" s="7">
        <v>103</v>
      </c>
      <c r="EC160" s="7">
        <v>101</v>
      </c>
      <c r="ED160" s="8">
        <f>+SUM(DZ160:EC160)</f>
        <v>417</v>
      </c>
      <c r="EE160" s="7">
        <v>95</v>
      </c>
      <c r="EF160" s="7">
        <v>92</v>
      </c>
      <c r="EG160" s="7">
        <v>99</v>
      </c>
      <c r="EH160" s="7">
        <v>85</v>
      </c>
      <c r="EI160" s="8">
        <f>+SUM(EE160:EH160)</f>
        <v>371</v>
      </c>
      <c r="EJ160" s="7">
        <f t="shared" si="156"/>
        <v>83</v>
      </c>
      <c r="EK160" s="1039">
        <f t="shared" si="156"/>
        <v>80</v>
      </c>
      <c r="EL160" s="1039">
        <f t="shared" ref="EL160:EM160" si="167">EL125</f>
        <v>82</v>
      </c>
      <c r="EM160" s="1039">
        <f t="shared" si="167"/>
        <v>80</v>
      </c>
      <c r="EN160" s="8">
        <f>+SUM(EJ160:EM160)</f>
        <v>325</v>
      </c>
      <c r="EO160" s="1285">
        <f t="shared" si="159"/>
        <v>83</v>
      </c>
      <c r="EP160" s="1285">
        <f t="shared" si="159"/>
        <v>89</v>
      </c>
      <c r="EQ160" s="1285">
        <f t="shared" ref="EQ160:ER160" si="168">EQ125</f>
        <v>81</v>
      </c>
      <c r="ER160" s="1285">
        <f t="shared" si="168"/>
        <v>86</v>
      </c>
      <c r="ES160" s="8">
        <f>+SUM(EO160:ER160)</f>
        <v>339</v>
      </c>
      <c r="ET160" s="1285">
        <f t="shared" ref="ET160:EU160" si="169">ET125</f>
        <v>84</v>
      </c>
      <c r="EU160" s="1285">
        <f t="shared" si="169"/>
        <v>83</v>
      </c>
      <c r="EV160" s="1285">
        <f t="shared" ref="EV160:EW160" si="170">EV125</f>
        <v>83</v>
      </c>
      <c r="EW160" s="1285">
        <f t="shared" si="170"/>
        <v>85</v>
      </c>
      <c r="EX160" s="8">
        <f>+SUM(ET160:EW160)</f>
        <v>335</v>
      </c>
    </row>
    <row r="161" spans="1:154" x14ac:dyDescent="0.3">
      <c r="A161" s="4" t="s">
        <v>1894</v>
      </c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6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830">
        <f t="shared" ref="DZ161:EG161" si="171">+SUM(DZ157:DZ160)</f>
        <v>1704</v>
      </c>
      <c r="EA161" s="830">
        <f t="shared" si="171"/>
        <v>1660</v>
      </c>
      <c r="EB161" s="830">
        <f t="shared" si="171"/>
        <v>1630</v>
      </c>
      <c r="EC161" s="830">
        <f t="shared" si="171"/>
        <v>1606</v>
      </c>
      <c r="ED161" s="830">
        <f t="shared" si="171"/>
        <v>6600</v>
      </c>
      <c r="EE161" s="830">
        <f t="shared" si="171"/>
        <v>1593</v>
      </c>
      <c r="EF161" s="830">
        <f t="shared" si="171"/>
        <v>1533</v>
      </c>
      <c r="EG161" s="830">
        <f t="shared" si="171"/>
        <v>1493</v>
      </c>
      <c r="EH161" s="830">
        <f t="shared" ref="EH161:EI161" si="172">+SUM(EH157:EH160)</f>
        <v>1459</v>
      </c>
      <c r="EI161" s="830">
        <f t="shared" si="172"/>
        <v>6078</v>
      </c>
      <c r="EJ161" s="830">
        <f t="shared" ref="EJ161:EK161" si="173">+SUM(EJ157:EJ160)</f>
        <v>1442</v>
      </c>
      <c r="EK161" s="830">
        <f t="shared" si="173"/>
        <v>1442</v>
      </c>
      <c r="EL161" s="830">
        <f t="shared" ref="EL161:EO161" si="174">+SUM(EL157:EL160)</f>
        <v>1426</v>
      </c>
      <c r="EM161" s="830">
        <f t="shared" si="174"/>
        <v>1423</v>
      </c>
      <c r="EN161" s="830">
        <f t="shared" si="174"/>
        <v>5733</v>
      </c>
      <c r="EO161" s="830">
        <f t="shared" si="174"/>
        <v>1418</v>
      </c>
      <c r="EP161" s="830">
        <f t="shared" ref="EP161:EQ161" si="175">+SUM(EP157:EP160)</f>
        <v>1428</v>
      </c>
      <c r="EQ161" s="830">
        <f t="shared" si="175"/>
        <v>1421</v>
      </c>
      <c r="ER161" s="830">
        <f t="shared" ref="ER161:ES161" si="176">+SUM(ER157:ER160)</f>
        <v>1409</v>
      </c>
      <c r="ES161" s="830">
        <f t="shared" si="176"/>
        <v>5676</v>
      </c>
      <c r="ET161" s="830">
        <f t="shared" ref="ET161:EU161" si="177">+SUM(ET157:ET160)</f>
        <v>1446</v>
      </c>
      <c r="EU161" s="830">
        <f t="shared" si="177"/>
        <v>1466</v>
      </c>
      <c r="EV161" s="830">
        <f t="shared" ref="EV161:EX161" si="178">+SUM(EV157:EV160)</f>
        <v>1471</v>
      </c>
      <c r="EW161" s="830">
        <f t="shared" si="178"/>
        <v>1490</v>
      </c>
      <c r="EX161" s="830">
        <f t="shared" si="178"/>
        <v>5873</v>
      </c>
    </row>
    <row r="162" spans="1:154" x14ac:dyDescent="0.3">
      <c r="A162" s="1" t="s">
        <v>465</v>
      </c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6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7">
        <v>84</v>
      </c>
      <c r="EA162" s="7">
        <v>94</v>
      </c>
      <c r="EB162" s="7">
        <v>99</v>
      </c>
      <c r="EC162" s="7">
        <v>89</v>
      </c>
      <c r="ED162" s="8">
        <f>+SUM(DZ162:EC162)</f>
        <v>366</v>
      </c>
      <c r="EE162" s="7">
        <v>83</v>
      </c>
      <c r="EF162" s="7">
        <v>83</v>
      </c>
      <c r="EG162" s="7">
        <v>83</v>
      </c>
      <c r="EH162" s="7">
        <v>84</v>
      </c>
      <c r="EI162" s="8">
        <f>+SUM(EE162:EH162)</f>
        <v>333</v>
      </c>
      <c r="EJ162" s="7">
        <f t="shared" si="156"/>
        <v>5</v>
      </c>
      <c r="EK162" s="1039">
        <f t="shared" si="156"/>
        <v>17</v>
      </c>
      <c r="EL162" s="1039">
        <f t="shared" ref="EL162:EM162" si="179">EL127</f>
        <v>18</v>
      </c>
      <c r="EM162" s="1039">
        <f t="shared" si="179"/>
        <v>14</v>
      </c>
      <c r="EN162" s="8">
        <f>+SUM(EJ162:EM162)</f>
        <v>54</v>
      </c>
      <c r="EO162" s="1285">
        <f t="shared" ref="EO162:EP162" si="180">EO127</f>
        <v>22</v>
      </c>
      <c r="EP162" s="1285">
        <f t="shared" si="180"/>
        <v>21</v>
      </c>
      <c r="EQ162" s="1285">
        <f t="shared" ref="EQ162:ER162" si="181">EQ127</f>
        <v>15</v>
      </c>
      <c r="ER162" s="1285">
        <f t="shared" si="181"/>
        <v>17</v>
      </c>
      <c r="ES162" s="8">
        <f>+SUM(EO162:ER162)</f>
        <v>75</v>
      </c>
      <c r="ET162" s="1285">
        <f t="shared" ref="ET162:EU162" si="182">ET127</f>
        <v>16</v>
      </c>
      <c r="EU162" s="1285">
        <f t="shared" si="182"/>
        <v>14</v>
      </c>
      <c r="EV162" s="1285">
        <f t="shared" ref="EV162:EW162" si="183">EV127</f>
        <v>18</v>
      </c>
      <c r="EW162" s="1285">
        <f t="shared" si="183"/>
        <v>16</v>
      </c>
      <c r="EX162" s="8">
        <f>+SUM(ET162:EW162)</f>
        <v>64</v>
      </c>
    </row>
    <row r="163" spans="1:154" x14ac:dyDescent="0.3">
      <c r="A163" s="4" t="s">
        <v>19</v>
      </c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6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830">
        <f t="shared" ref="DZ163:EG163" si="184">+DZ161+DZ162</f>
        <v>1788</v>
      </c>
      <c r="EA163" s="830">
        <f t="shared" si="184"/>
        <v>1754</v>
      </c>
      <c r="EB163" s="830">
        <f t="shared" si="184"/>
        <v>1729</v>
      </c>
      <c r="EC163" s="830">
        <f t="shared" si="184"/>
        <v>1695</v>
      </c>
      <c r="ED163" s="830">
        <f t="shared" si="184"/>
        <v>6966</v>
      </c>
      <c r="EE163" s="830">
        <f t="shared" si="184"/>
        <v>1676</v>
      </c>
      <c r="EF163" s="830">
        <f t="shared" si="184"/>
        <v>1616</v>
      </c>
      <c r="EG163" s="830">
        <f t="shared" si="184"/>
        <v>1576</v>
      </c>
      <c r="EH163" s="830">
        <f t="shared" ref="EH163:EI163" si="185">+EH161+EH162</f>
        <v>1543</v>
      </c>
      <c r="EI163" s="830">
        <f t="shared" si="185"/>
        <v>6411</v>
      </c>
      <c r="EJ163" s="830">
        <f t="shared" ref="EJ163:EK163" si="186">+EJ161+EJ162</f>
        <v>1447</v>
      </c>
      <c r="EK163" s="830">
        <f t="shared" si="186"/>
        <v>1459</v>
      </c>
      <c r="EL163" s="830">
        <f t="shared" ref="EL163:EO163" si="187">+EL161+EL162</f>
        <v>1444</v>
      </c>
      <c r="EM163" s="830">
        <f t="shared" si="187"/>
        <v>1437</v>
      </c>
      <c r="EN163" s="830">
        <f t="shared" si="187"/>
        <v>5787</v>
      </c>
      <c r="EO163" s="830">
        <f t="shared" si="187"/>
        <v>1440</v>
      </c>
      <c r="EP163" s="830">
        <f t="shared" ref="EP163:EQ163" si="188">+EP161+EP162</f>
        <v>1449</v>
      </c>
      <c r="EQ163" s="830">
        <f t="shared" si="188"/>
        <v>1436</v>
      </c>
      <c r="ER163" s="830">
        <f t="shared" ref="ER163:ES163" si="189">+ER161+ER162</f>
        <v>1426</v>
      </c>
      <c r="ES163" s="830">
        <f t="shared" si="189"/>
        <v>5751</v>
      </c>
      <c r="ET163" s="830">
        <f t="shared" ref="ET163:EU163" si="190">+ET161+ET162</f>
        <v>1462</v>
      </c>
      <c r="EU163" s="830">
        <f t="shared" si="190"/>
        <v>1480</v>
      </c>
      <c r="EV163" s="830">
        <f t="shared" ref="EV163:EX163" si="191">+EV161+EV162</f>
        <v>1489</v>
      </c>
      <c r="EW163" s="830">
        <f t="shared" si="191"/>
        <v>1506</v>
      </c>
      <c r="EX163" s="830">
        <f t="shared" si="191"/>
        <v>5937</v>
      </c>
    </row>
    <row r="164" spans="1:154" x14ac:dyDescent="0.3">
      <c r="A164" s="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6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7"/>
      <c r="EB164" s="5"/>
      <c r="EC164" s="5"/>
      <c r="ED164" s="5"/>
      <c r="EE164" s="5"/>
      <c r="EF164" s="7"/>
      <c r="EG164" s="7"/>
      <c r="EH164" s="7"/>
      <c r="EI164" s="5"/>
      <c r="EJ164" s="7"/>
      <c r="EK164" s="7"/>
      <c r="EL164" s="7"/>
      <c r="EM164" s="7"/>
      <c r="EN164" s="5"/>
      <c r="EO164" s="7"/>
      <c r="EP164" s="7"/>
      <c r="EQ164" s="7"/>
      <c r="ER164" s="7"/>
      <c r="ES164" s="5"/>
      <c r="EW164" s="7"/>
      <c r="EX164" s="5"/>
    </row>
    <row r="165" spans="1:154" x14ac:dyDescent="0.3">
      <c r="A165" s="4" t="s">
        <v>1895</v>
      </c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6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7"/>
      <c r="EB165" s="5"/>
      <c r="EC165" s="5"/>
      <c r="ED165" s="5"/>
      <c r="EE165" s="5"/>
      <c r="EF165" s="7"/>
      <c r="EG165" s="7"/>
      <c r="EH165" s="7"/>
      <c r="EI165" s="5"/>
      <c r="EJ165" s="7"/>
      <c r="EK165" s="7"/>
      <c r="EL165" s="7"/>
      <c r="EM165" s="7"/>
      <c r="EN165" s="5"/>
      <c r="EO165" s="7"/>
      <c r="EP165" s="7"/>
      <c r="EQ165" s="7"/>
      <c r="ER165" s="7"/>
      <c r="ES165" s="5"/>
      <c r="EW165" s="7"/>
      <c r="EX165" s="5"/>
    </row>
    <row r="166" spans="1:154" x14ac:dyDescent="0.3">
      <c r="A166" s="1" t="s">
        <v>1786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6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7">
        <v>432</v>
      </c>
      <c r="EA166" s="7">
        <v>419</v>
      </c>
      <c r="EB166" s="7">
        <v>411</v>
      </c>
      <c r="EC166" s="7">
        <v>418</v>
      </c>
      <c r="ED166" s="1113">
        <f>SUM(DZ166:EC166)</f>
        <v>1680</v>
      </c>
      <c r="EE166" s="7">
        <v>411</v>
      </c>
      <c r="EF166" s="7">
        <v>413</v>
      </c>
      <c r="EG166" s="7">
        <v>409</v>
      </c>
      <c r="EH166" s="7">
        <v>405</v>
      </c>
      <c r="EI166" s="1113">
        <f>SUM(EE166:EH166)</f>
        <v>1638</v>
      </c>
      <c r="EJ166" s="7">
        <f t="shared" ref="EJ166:EK167" si="192">EJ131</f>
        <v>407</v>
      </c>
      <c r="EK166" s="1039">
        <f t="shared" si="192"/>
        <v>421</v>
      </c>
      <c r="EL166" s="1039">
        <f t="shared" ref="EL166:EM166" si="193">EL131</f>
        <v>424</v>
      </c>
      <c r="EM166" s="1039">
        <f t="shared" si="193"/>
        <v>436</v>
      </c>
      <c r="EN166" s="1113">
        <f>SUM(EJ166:EM166)</f>
        <v>1688</v>
      </c>
      <c r="EO166" s="1285">
        <f t="shared" ref="EO166:EP167" si="194">EO131</f>
        <v>448</v>
      </c>
      <c r="EP166" s="1285">
        <f t="shared" si="194"/>
        <v>462</v>
      </c>
      <c r="EQ166" s="1285">
        <f t="shared" ref="EQ166:ER166" si="195">EQ131</f>
        <v>479</v>
      </c>
      <c r="ER166" s="1285">
        <f t="shared" si="195"/>
        <v>484</v>
      </c>
      <c r="ES166" s="1113">
        <f>SUM(EO166:ER166)</f>
        <v>1873</v>
      </c>
      <c r="ET166" s="1285">
        <f t="shared" ref="ET166:EU166" si="196">ET131</f>
        <v>505</v>
      </c>
      <c r="EU166" s="1285">
        <f t="shared" si="196"/>
        <v>523</v>
      </c>
      <c r="EV166" s="1285">
        <f t="shared" ref="EV166:EW166" si="197">EV131</f>
        <v>537</v>
      </c>
      <c r="EW166" s="1285">
        <f t="shared" si="197"/>
        <v>557</v>
      </c>
      <c r="EX166" s="1113">
        <f>SUM(ET166:EW166)</f>
        <v>2122</v>
      </c>
    </row>
    <row r="167" spans="1:154" x14ac:dyDescent="0.3">
      <c r="A167" s="1" t="s">
        <v>3439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6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7">
        <v>292</v>
      </c>
      <c r="EA167" s="7">
        <v>291</v>
      </c>
      <c r="EB167" s="7">
        <v>278</v>
      </c>
      <c r="EC167" s="7">
        <v>272</v>
      </c>
      <c r="ED167" s="1113">
        <f>SUM(DZ167:EC167)</f>
        <v>1133</v>
      </c>
      <c r="EE167" s="7">
        <v>267</v>
      </c>
      <c r="EF167" s="7">
        <v>267</v>
      </c>
      <c r="EG167" s="7">
        <v>275</v>
      </c>
      <c r="EH167" s="7">
        <v>270</v>
      </c>
      <c r="EI167" s="1113">
        <f>SUM(EE167:EH167)</f>
        <v>1079</v>
      </c>
      <c r="EJ167" s="7">
        <f t="shared" si="192"/>
        <v>265</v>
      </c>
      <c r="EK167" s="1039">
        <f t="shared" si="192"/>
        <v>264</v>
      </c>
      <c r="EL167" s="1039">
        <f t="shared" ref="EL167:EM167" si="198">EL132</f>
        <v>267</v>
      </c>
      <c r="EM167" s="1039">
        <f t="shared" si="198"/>
        <v>285</v>
      </c>
      <c r="EN167" s="1113">
        <f>SUM(EJ167:EM167)</f>
        <v>1081</v>
      </c>
      <c r="EO167" s="1285">
        <f t="shared" si="194"/>
        <v>281</v>
      </c>
      <c r="EP167" s="1285">
        <f t="shared" si="194"/>
        <v>284</v>
      </c>
      <c r="EQ167" s="1285">
        <f t="shared" ref="EQ167:ER167" si="199">EQ132</f>
        <v>281</v>
      </c>
      <c r="ER167" s="1285">
        <f t="shared" si="199"/>
        <v>278</v>
      </c>
      <c r="ES167" s="1113">
        <f>SUM(EO167:ER167)</f>
        <v>1124</v>
      </c>
      <c r="ET167" s="1285">
        <f t="shared" ref="ET167:EU167" si="200">ET132</f>
        <v>300</v>
      </c>
      <c r="EU167" s="1285">
        <f t="shared" si="200"/>
        <v>317</v>
      </c>
      <c r="EV167" s="1285">
        <f t="shared" ref="EV167:EW167" si="201">EV132</f>
        <v>330</v>
      </c>
      <c r="EW167" s="1285">
        <f t="shared" si="201"/>
        <v>333</v>
      </c>
      <c r="EX167" s="1113">
        <f>SUM(ET167:EW167)</f>
        <v>1280</v>
      </c>
    </row>
    <row r="168" spans="1:154" x14ac:dyDescent="0.3">
      <c r="A168" s="4" t="s">
        <v>375</v>
      </c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6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830">
        <f t="shared" ref="DZ168:EG168" si="202">+DZ166+DZ167</f>
        <v>724</v>
      </c>
      <c r="EA168" s="830">
        <f t="shared" si="202"/>
        <v>710</v>
      </c>
      <c r="EB168" s="830">
        <f t="shared" si="202"/>
        <v>689</v>
      </c>
      <c r="EC168" s="830">
        <f t="shared" si="202"/>
        <v>690</v>
      </c>
      <c r="ED168" s="1829">
        <f t="shared" si="202"/>
        <v>2813</v>
      </c>
      <c r="EE168" s="830">
        <f t="shared" si="202"/>
        <v>678</v>
      </c>
      <c r="EF168" s="830">
        <f t="shared" si="202"/>
        <v>680</v>
      </c>
      <c r="EG168" s="830">
        <f t="shared" si="202"/>
        <v>684</v>
      </c>
      <c r="EH168" s="830">
        <f t="shared" ref="EH168:EI168" si="203">+EH166+EH167</f>
        <v>675</v>
      </c>
      <c r="EI168" s="1829">
        <f t="shared" si="203"/>
        <v>2717</v>
      </c>
      <c r="EJ168" s="830">
        <f t="shared" ref="EJ168:EK168" si="204">+EJ166+EJ167</f>
        <v>672</v>
      </c>
      <c r="EK168" s="830">
        <f t="shared" si="204"/>
        <v>685</v>
      </c>
      <c r="EL168" s="830">
        <f t="shared" ref="EL168:EO168" si="205">+EL166+EL167</f>
        <v>691</v>
      </c>
      <c r="EM168" s="830">
        <f t="shared" si="205"/>
        <v>721</v>
      </c>
      <c r="EN168" s="1829">
        <f t="shared" si="205"/>
        <v>2769</v>
      </c>
      <c r="EO168" s="830">
        <f t="shared" si="205"/>
        <v>729</v>
      </c>
      <c r="EP168" s="830">
        <f t="shared" ref="EP168:EQ168" si="206">+EP166+EP167</f>
        <v>746</v>
      </c>
      <c r="EQ168" s="830">
        <f t="shared" si="206"/>
        <v>760</v>
      </c>
      <c r="ER168" s="830">
        <f t="shared" ref="ER168:ES168" si="207">+ER166+ER167</f>
        <v>762</v>
      </c>
      <c r="ES168" s="1829">
        <f t="shared" si="207"/>
        <v>2997</v>
      </c>
      <c r="ET168" s="830">
        <f t="shared" ref="ET168:EU168" si="208">+ET166+ET167</f>
        <v>805</v>
      </c>
      <c r="EU168" s="830">
        <f t="shared" si="208"/>
        <v>840</v>
      </c>
      <c r="EV168" s="830">
        <f t="shared" ref="EV168:EX168" si="209">+EV166+EV167</f>
        <v>867</v>
      </c>
      <c r="EW168" s="830">
        <f t="shared" si="209"/>
        <v>890</v>
      </c>
      <c r="EX168" s="1829">
        <f t="shared" si="209"/>
        <v>3402</v>
      </c>
    </row>
    <row r="169" spans="1:154" x14ac:dyDescent="0.3">
      <c r="A169" s="1" t="s">
        <v>1787</v>
      </c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6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7">
        <v>448</v>
      </c>
      <c r="EA169" s="7">
        <v>440</v>
      </c>
      <c r="EB169" s="7">
        <v>428</v>
      </c>
      <c r="EC169" s="7">
        <v>420</v>
      </c>
      <c r="ED169" s="1113">
        <f>SUM(DZ169:EC169)</f>
        <v>1736</v>
      </c>
      <c r="EE169" s="7">
        <v>409</v>
      </c>
      <c r="EF169" s="7">
        <v>403</v>
      </c>
      <c r="EG169" s="7">
        <v>391</v>
      </c>
      <c r="EH169" s="7">
        <v>377</v>
      </c>
      <c r="EI169" s="1113">
        <f>SUM(EE169:EH169)</f>
        <v>1580</v>
      </c>
      <c r="EJ169" s="7">
        <f t="shared" ref="EJ169:EK172" si="210">EJ134</f>
        <v>369</v>
      </c>
      <c r="EK169" s="1039">
        <f t="shared" si="210"/>
        <v>370</v>
      </c>
      <c r="EL169" s="1039">
        <f t="shared" ref="EL169:EM169" si="211">EL134</f>
        <v>361</v>
      </c>
      <c r="EM169" s="1039">
        <f t="shared" si="211"/>
        <v>328</v>
      </c>
      <c r="EN169" s="1113">
        <f>SUM(EJ169:EM169)</f>
        <v>1428</v>
      </c>
      <c r="EO169" s="1285">
        <f t="shared" ref="EO169:EP170" si="212">EO134</f>
        <v>313</v>
      </c>
      <c r="EP169" s="1285">
        <f t="shared" si="212"/>
        <v>313</v>
      </c>
      <c r="EQ169" s="1285">
        <f t="shared" ref="EQ169:ER169" si="213">EQ134</f>
        <v>308</v>
      </c>
      <c r="ER169" s="1285">
        <f t="shared" si="213"/>
        <v>290</v>
      </c>
      <c r="ES169" s="1113">
        <f>SUM(EO169:ER169)</f>
        <v>1224</v>
      </c>
      <c r="ET169" s="1285">
        <f t="shared" ref="ET169:EU169" si="214">ET134</f>
        <v>282</v>
      </c>
      <c r="EU169" s="1285">
        <f t="shared" si="214"/>
        <v>266</v>
      </c>
      <c r="EV169" s="1285">
        <f t="shared" ref="EV169:EW169" si="215">EV134</f>
        <v>252</v>
      </c>
      <c r="EW169" s="1285">
        <f t="shared" si="215"/>
        <v>241</v>
      </c>
      <c r="EX169" s="1113">
        <f>SUM(ET169:EW169)</f>
        <v>1041</v>
      </c>
    </row>
    <row r="170" spans="1:154" x14ac:dyDescent="0.3">
      <c r="A170" s="1" t="s">
        <v>3440</v>
      </c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6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7">
        <v>489</v>
      </c>
      <c r="EA170" s="7">
        <v>471</v>
      </c>
      <c r="EB170" s="7">
        <v>461</v>
      </c>
      <c r="EC170" s="7">
        <v>447</v>
      </c>
      <c r="ED170" s="1113">
        <f>SUM(DZ170:EC170)</f>
        <v>1868</v>
      </c>
      <c r="EE170" s="7">
        <v>448</v>
      </c>
      <c r="EF170" s="7">
        <v>431</v>
      </c>
      <c r="EG170" s="7">
        <v>418</v>
      </c>
      <c r="EH170" s="7">
        <v>407</v>
      </c>
      <c r="EI170" s="1113">
        <f>SUM(EE170:EH170)</f>
        <v>1704</v>
      </c>
      <c r="EJ170" s="7">
        <f t="shared" si="210"/>
        <v>401</v>
      </c>
      <c r="EK170" s="1039">
        <f t="shared" si="210"/>
        <v>387</v>
      </c>
      <c r="EL170" s="1039">
        <f t="shared" ref="EL170:EM170" si="216">EL135</f>
        <v>374</v>
      </c>
      <c r="EM170" s="1039">
        <f t="shared" si="216"/>
        <v>374</v>
      </c>
      <c r="EN170" s="1113">
        <f>SUM(EJ170:EM170)</f>
        <v>1536</v>
      </c>
      <c r="EO170" s="1285">
        <f t="shared" si="212"/>
        <v>376</v>
      </c>
      <c r="EP170" s="1285">
        <f t="shared" si="212"/>
        <v>369</v>
      </c>
      <c r="EQ170" s="1285">
        <f t="shared" ref="EQ170:ER170" si="217">EQ135</f>
        <v>353</v>
      </c>
      <c r="ER170" s="1285">
        <f t="shared" si="217"/>
        <v>357</v>
      </c>
      <c r="ES170" s="1113">
        <f>SUM(EO170:ER170)</f>
        <v>1455</v>
      </c>
      <c r="ET170" s="1285">
        <f t="shared" ref="ET170:EU170" si="218">ET135</f>
        <v>359</v>
      </c>
      <c r="EU170" s="1285">
        <f t="shared" si="218"/>
        <v>360</v>
      </c>
      <c r="EV170" s="1285">
        <f t="shared" ref="EV170:EW170" si="219">EV135</f>
        <v>352</v>
      </c>
      <c r="EW170" s="1285">
        <f t="shared" si="219"/>
        <v>359</v>
      </c>
      <c r="EX170" s="1113">
        <f>SUM(ET170:EW170)</f>
        <v>1430</v>
      </c>
    </row>
    <row r="171" spans="1:154" x14ac:dyDescent="0.3">
      <c r="A171" s="4" t="s">
        <v>433</v>
      </c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6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830">
        <f t="shared" ref="DZ171:EG171" si="220">SUM(DZ169:DZ170)</f>
        <v>937</v>
      </c>
      <c r="EA171" s="830">
        <f t="shared" si="220"/>
        <v>911</v>
      </c>
      <c r="EB171" s="830">
        <f t="shared" si="220"/>
        <v>889</v>
      </c>
      <c r="EC171" s="830">
        <f t="shared" si="220"/>
        <v>867</v>
      </c>
      <c r="ED171" s="1829">
        <f t="shared" si="220"/>
        <v>3604</v>
      </c>
      <c r="EE171" s="830">
        <f t="shared" si="220"/>
        <v>857</v>
      </c>
      <c r="EF171" s="830">
        <f t="shared" si="220"/>
        <v>834</v>
      </c>
      <c r="EG171" s="830">
        <f t="shared" si="220"/>
        <v>809</v>
      </c>
      <c r="EH171" s="830">
        <f t="shared" ref="EH171:EI171" si="221">SUM(EH169:EH170)</f>
        <v>784</v>
      </c>
      <c r="EI171" s="1829">
        <f t="shared" si="221"/>
        <v>3284</v>
      </c>
      <c r="EJ171" s="830">
        <f t="shared" ref="EJ171:EK171" si="222">SUM(EJ169:EJ170)</f>
        <v>770</v>
      </c>
      <c r="EK171" s="830">
        <f t="shared" si="222"/>
        <v>757</v>
      </c>
      <c r="EL171" s="830">
        <f t="shared" ref="EL171:EO171" si="223">SUM(EL169:EL170)</f>
        <v>735</v>
      </c>
      <c r="EM171" s="830">
        <f t="shared" si="223"/>
        <v>702</v>
      </c>
      <c r="EN171" s="1829">
        <f t="shared" si="223"/>
        <v>2964</v>
      </c>
      <c r="EO171" s="830">
        <f t="shared" si="223"/>
        <v>689</v>
      </c>
      <c r="EP171" s="830">
        <f t="shared" ref="EP171:EQ171" si="224">SUM(EP169:EP170)</f>
        <v>682</v>
      </c>
      <c r="EQ171" s="830">
        <f t="shared" si="224"/>
        <v>661</v>
      </c>
      <c r="ER171" s="830">
        <f t="shared" ref="ER171:ES171" si="225">SUM(ER169:ER170)</f>
        <v>647</v>
      </c>
      <c r="ES171" s="1829">
        <f t="shared" si="225"/>
        <v>2679</v>
      </c>
      <c r="ET171" s="830">
        <f t="shared" ref="ET171:EU171" si="226">SUM(ET169:ET170)</f>
        <v>641</v>
      </c>
      <c r="EU171" s="830">
        <f t="shared" si="226"/>
        <v>626</v>
      </c>
      <c r="EV171" s="830">
        <f t="shared" ref="EV171:EX171" si="227">SUM(EV169:EV170)</f>
        <v>604</v>
      </c>
      <c r="EW171" s="830">
        <f t="shared" si="227"/>
        <v>600</v>
      </c>
      <c r="EX171" s="1829">
        <f t="shared" si="227"/>
        <v>2471</v>
      </c>
    </row>
    <row r="172" spans="1:154" x14ac:dyDescent="0.3">
      <c r="A172" s="1" t="s">
        <v>3441</v>
      </c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6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7">
        <v>128</v>
      </c>
      <c r="EA172" s="7">
        <v>133</v>
      </c>
      <c r="EB172" s="7">
        <v>149</v>
      </c>
      <c r="EC172" s="7">
        <v>139</v>
      </c>
      <c r="ED172" s="1113">
        <f>SUM(DZ172:EC172)</f>
        <v>549</v>
      </c>
      <c r="EE172" s="7">
        <v>140</v>
      </c>
      <c r="EF172" s="7">
        <v>103</v>
      </c>
      <c r="EG172" s="7">
        <v>83</v>
      </c>
      <c r="EH172" s="7">
        <v>84</v>
      </c>
      <c r="EI172" s="1113">
        <f>SUM(EE172:EH172)</f>
        <v>410</v>
      </c>
      <c r="EJ172" s="7">
        <f t="shared" ref="EJ172" si="228">EJ137</f>
        <v>5</v>
      </c>
      <c r="EK172" s="1039">
        <f t="shared" si="210"/>
        <v>17</v>
      </c>
      <c r="EL172" s="1039">
        <f t="shared" ref="EL172:EM172" si="229">EL137</f>
        <v>18</v>
      </c>
      <c r="EM172" s="1039">
        <f t="shared" si="229"/>
        <v>14</v>
      </c>
      <c r="EN172" s="1113">
        <f>SUM(EJ172:EM172)</f>
        <v>54</v>
      </c>
      <c r="EO172" s="1285">
        <f t="shared" ref="EO172:EP172" si="230">EO137</f>
        <v>22</v>
      </c>
      <c r="EP172" s="1285">
        <f t="shared" si="230"/>
        <v>21</v>
      </c>
      <c r="EQ172" s="1285">
        <f t="shared" ref="EQ172:ER172" si="231">EQ137</f>
        <v>15</v>
      </c>
      <c r="ER172" s="1285">
        <f t="shared" si="231"/>
        <v>17</v>
      </c>
      <c r="ES172" s="1113">
        <f>SUM(EO172:ER172)</f>
        <v>75</v>
      </c>
      <c r="ET172" s="1285">
        <f t="shared" ref="ET172:EU172" si="232">ET137</f>
        <v>16</v>
      </c>
      <c r="EU172" s="1285">
        <f t="shared" si="232"/>
        <v>14</v>
      </c>
      <c r="EV172" s="1285">
        <f t="shared" ref="EV172:EW172" si="233">EV137</f>
        <v>18</v>
      </c>
      <c r="EW172" s="1285">
        <f t="shared" si="233"/>
        <v>16</v>
      </c>
      <c r="EX172" s="1113">
        <f>SUM(ET172:EW172)</f>
        <v>64</v>
      </c>
    </row>
    <row r="173" spans="1:154" x14ac:dyDescent="0.3">
      <c r="A173" s="4" t="s">
        <v>3442</v>
      </c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6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830">
        <f t="shared" ref="DZ173:EG173" si="234">DZ172+DZ171+DZ168</f>
        <v>1789</v>
      </c>
      <c r="EA173" s="830">
        <f t="shared" si="234"/>
        <v>1754</v>
      </c>
      <c r="EB173" s="830">
        <f t="shared" si="234"/>
        <v>1727</v>
      </c>
      <c r="EC173" s="830">
        <f t="shared" si="234"/>
        <v>1696</v>
      </c>
      <c r="ED173" s="1829">
        <f t="shared" si="234"/>
        <v>6966</v>
      </c>
      <c r="EE173" s="830">
        <f t="shared" si="234"/>
        <v>1675</v>
      </c>
      <c r="EF173" s="830">
        <f t="shared" si="234"/>
        <v>1617</v>
      </c>
      <c r="EG173" s="830">
        <f t="shared" si="234"/>
        <v>1576</v>
      </c>
      <c r="EH173" s="830">
        <f t="shared" ref="EH173:EI173" si="235">EH172+EH171+EH168</f>
        <v>1543</v>
      </c>
      <c r="EI173" s="1829">
        <f t="shared" si="235"/>
        <v>6411</v>
      </c>
      <c r="EJ173" s="830">
        <f t="shared" ref="EJ173:EK173" si="236">EJ172+EJ171+EJ168</f>
        <v>1447</v>
      </c>
      <c r="EK173" s="830">
        <f t="shared" si="236"/>
        <v>1459</v>
      </c>
      <c r="EL173" s="830">
        <f t="shared" ref="EL173:EO173" si="237">EL172+EL171+EL168</f>
        <v>1444</v>
      </c>
      <c r="EM173" s="830">
        <f t="shared" si="237"/>
        <v>1437</v>
      </c>
      <c r="EN173" s="1829">
        <f t="shared" si="237"/>
        <v>5787</v>
      </c>
      <c r="EO173" s="830">
        <f t="shared" si="237"/>
        <v>1440</v>
      </c>
      <c r="EP173" s="830">
        <f t="shared" ref="EP173:EQ173" si="238">EP172+EP171+EP168</f>
        <v>1449</v>
      </c>
      <c r="EQ173" s="830">
        <f t="shared" si="238"/>
        <v>1436</v>
      </c>
      <c r="ER173" s="830">
        <f t="shared" ref="ER173:ES173" si="239">ER172+ER171+ER168</f>
        <v>1426</v>
      </c>
      <c r="ES173" s="1829">
        <f t="shared" si="239"/>
        <v>5751</v>
      </c>
      <c r="ET173" s="830">
        <f t="shared" ref="ET173:EU173" si="240">ET172+ET171+ET168</f>
        <v>1462</v>
      </c>
      <c r="EU173" s="830">
        <f t="shared" si="240"/>
        <v>1480</v>
      </c>
      <c r="EV173" s="830">
        <f t="shared" ref="EV173:EX173" si="241">EV172+EV171+EV168</f>
        <v>1489</v>
      </c>
      <c r="EW173" s="830">
        <f t="shared" si="241"/>
        <v>1506</v>
      </c>
      <c r="EX173" s="1829">
        <f t="shared" si="241"/>
        <v>5937</v>
      </c>
    </row>
    <row r="174" spans="1:154" x14ac:dyDescent="0.3">
      <c r="A174" s="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6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8"/>
      <c r="EB174" s="5"/>
      <c r="EC174" s="5"/>
      <c r="ED174" s="5"/>
      <c r="EE174" s="5"/>
      <c r="EF174" s="8"/>
      <c r="EG174" s="8"/>
      <c r="EH174" s="8"/>
      <c r="EI174" s="5"/>
      <c r="EJ174" s="8"/>
      <c r="EK174" s="8"/>
      <c r="EL174" s="8"/>
      <c r="EM174" s="8"/>
      <c r="EN174" s="5"/>
      <c r="EO174" s="8"/>
      <c r="EP174" s="8"/>
      <c r="EQ174" s="8"/>
      <c r="ER174" s="8"/>
      <c r="ES174" s="5"/>
      <c r="ET174" s="8"/>
      <c r="EU174" s="8"/>
      <c r="EV174" s="8"/>
      <c r="EW174" s="8"/>
      <c r="EX174" s="5"/>
    </row>
    <row r="175" spans="1:154" x14ac:dyDescent="0.3">
      <c r="A175" s="1" t="s">
        <v>3443</v>
      </c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6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7">
        <v>170</v>
      </c>
      <c r="EA175" s="7">
        <v>155</v>
      </c>
      <c r="EB175" s="7">
        <v>136</v>
      </c>
      <c r="EC175" s="7">
        <v>116</v>
      </c>
      <c r="ED175" s="1113">
        <f>SUM(DZ175:EC175)</f>
        <v>577</v>
      </c>
      <c r="EE175" s="7">
        <v>111</v>
      </c>
      <c r="EF175" s="7">
        <v>108</v>
      </c>
      <c r="EG175" s="7">
        <v>95</v>
      </c>
      <c r="EH175" s="7">
        <v>93</v>
      </c>
      <c r="EI175" s="1113">
        <f>SUM(EE175:EH175)</f>
        <v>407</v>
      </c>
      <c r="EJ175" s="17">
        <f t="shared" ref="EJ175:EK178" si="242">EJ140</f>
        <v>92</v>
      </c>
      <c r="EK175" s="1039">
        <f t="shared" si="242"/>
        <v>87</v>
      </c>
      <c r="EL175" s="1039">
        <f t="shared" ref="EL175:EM175" si="243">EL140</f>
        <v>81</v>
      </c>
      <c r="EM175" s="1039">
        <f t="shared" si="243"/>
        <v>76</v>
      </c>
      <c r="EN175" s="1113">
        <f>SUM(EJ175:EM175)</f>
        <v>336</v>
      </c>
      <c r="EO175" s="1286">
        <f t="shared" ref="EO175:EP178" si="244">EO140</f>
        <v>76</v>
      </c>
      <c r="EP175" s="1286">
        <f t="shared" si="244"/>
        <v>71</v>
      </c>
      <c r="EQ175" s="1286">
        <f t="shared" ref="EQ175:ER175" si="245">EQ140</f>
        <v>65</v>
      </c>
      <c r="ER175" s="1286">
        <f t="shared" si="245"/>
        <v>61</v>
      </c>
      <c r="ES175" s="1113">
        <f>SUM(EO175:ER175)</f>
        <v>273</v>
      </c>
      <c r="ET175" s="1286">
        <f t="shared" ref="ET175:EU175" si="246">ET140</f>
        <v>61</v>
      </c>
      <c r="EU175" s="1286">
        <f t="shared" si="246"/>
        <v>57</v>
      </c>
      <c r="EV175" s="1286">
        <f t="shared" ref="EV175:EW175" si="247">EV140</f>
        <v>53</v>
      </c>
      <c r="EW175" s="1286">
        <f t="shared" si="247"/>
        <v>47</v>
      </c>
      <c r="EX175" s="1113">
        <f>SUM(ET175:EW175)</f>
        <v>218</v>
      </c>
    </row>
    <row r="176" spans="1:154" x14ac:dyDescent="0.3">
      <c r="A176" s="1" t="s">
        <v>3444</v>
      </c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6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7">
        <v>106</v>
      </c>
      <c r="EA176" s="7">
        <v>96</v>
      </c>
      <c r="EB176" s="7">
        <v>90</v>
      </c>
      <c r="EC176" s="7">
        <v>92</v>
      </c>
      <c r="ED176" s="1113">
        <f>SUM(DZ176:EC176)</f>
        <v>384</v>
      </c>
      <c r="EE176" s="7">
        <v>87</v>
      </c>
      <c r="EF176" s="7">
        <v>85</v>
      </c>
      <c r="EG176" s="7">
        <v>82</v>
      </c>
      <c r="EH176" s="24">
        <v>82</v>
      </c>
      <c r="EI176" s="1113">
        <f>SUM(EE176:EH176)</f>
        <v>336</v>
      </c>
      <c r="EJ176" s="1039">
        <f t="shared" si="242"/>
        <v>82</v>
      </c>
      <c r="EK176" s="1039">
        <f t="shared" si="242"/>
        <v>82</v>
      </c>
      <c r="EL176" s="1039">
        <f t="shared" ref="EL176:EM176" si="248">EL141</f>
        <v>82</v>
      </c>
      <c r="EM176" s="1039">
        <f t="shared" si="248"/>
        <v>82</v>
      </c>
      <c r="EN176" s="1113">
        <f>SUM(EJ176:EM176)</f>
        <v>328</v>
      </c>
      <c r="EO176" s="1039">
        <f t="shared" si="244"/>
        <v>82</v>
      </c>
      <c r="EP176" s="1039">
        <f t="shared" si="244"/>
        <v>82</v>
      </c>
      <c r="EQ176" s="1039">
        <f t="shared" ref="EQ176:ER176" si="249">EQ141</f>
        <v>82</v>
      </c>
      <c r="ER176" s="1039">
        <f t="shared" si="249"/>
        <v>82</v>
      </c>
      <c r="ES176" s="1113">
        <f>SUM(EO176:ER176)</f>
        <v>328</v>
      </c>
      <c r="ET176" s="1039">
        <f t="shared" ref="ET176:EU176" si="250">ET141</f>
        <v>82</v>
      </c>
      <c r="EU176" s="1039">
        <f t="shared" si="250"/>
        <v>82</v>
      </c>
      <c r="EV176" s="1039">
        <f t="shared" ref="EV176:EW176" si="251">EV141</f>
        <v>82</v>
      </c>
      <c r="EW176" s="1039">
        <f t="shared" si="251"/>
        <v>82</v>
      </c>
      <c r="EX176" s="1113">
        <f>SUM(ET176:EW176)</f>
        <v>328</v>
      </c>
    </row>
    <row r="177" spans="1:154" x14ac:dyDescent="0.3">
      <c r="A177" s="1" t="s">
        <v>3445</v>
      </c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6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7">
        <f>583-DZ176</f>
        <v>477</v>
      </c>
      <c r="EA177" s="7">
        <f>580-EA176</f>
        <v>484</v>
      </c>
      <c r="EB177" s="7">
        <f>582-EB176</f>
        <v>492</v>
      </c>
      <c r="EC177" s="7">
        <f>570-EC176</f>
        <v>478</v>
      </c>
      <c r="ED177" s="1113">
        <f>SUM(DZ177:EC177)</f>
        <v>1931</v>
      </c>
      <c r="EE177" s="7">
        <f>567-EE176</f>
        <v>480</v>
      </c>
      <c r="EF177" s="7">
        <f>537-EF176</f>
        <v>452</v>
      </c>
      <c r="EG177" s="7">
        <f>540-EG176</f>
        <v>458</v>
      </c>
      <c r="EH177" s="24">
        <f>505-EH176</f>
        <v>423</v>
      </c>
      <c r="EI177" s="1113">
        <f>SUM(EE177:EH177)</f>
        <v>1813</v>
      </c>
      <c r="EJ177" s="1039">
        <f t="shared" si="242"/>
        <v>378</v>
      </c>
      <c r="EK177" s="1039">
        <f t="shared" si="242"/>
        <v>369</v>
      </c>
      <c r="EL177" s="1039">
        <f t="shared" ref="EL177:EM177" si="252">EL142</f>
        <v>377</v>
      </c>
      <c r="EM177" s="1039">
        <f t="shared" si="252"/>
        <v>360</v>
      </c>
      <c r="EN177" s="1113">
        <f>SUM(EJ177:EM177)</f>
        <v>1484</v>
      </c>
      <c r="EO177" s="1039">
        <f t="shared" si="244"/>
        <v>385</v>
      </c>
      <c r="EP177" s="1039">
        <f t="shared" si="244"/>
        <v>378</v>
      </c>
      <c r="EQ177" s="1039">
        <f t="shared" ref="EQ177:ER177" si="253">EQ142</f>
        <v>400</v>
      </c>
      <c r="ER177" s="1039">
        <f t="shared" si="253"/>
        <v>371</v>
      </c>
      <c r="ES177" s="1113">
        <f>SUM(EO177:ER177)</f>
        <v>1534</v>
      </c>
      <c r="ET177" s="1039">
        <f t="shared" ref="ET177:EU177" si="254">ET142</f>
        <v>371</v>
      </c>
      <c r="EU177" s="1039">
        <f t="shared" si="254"/>
        <v>371</v>
      </c>
      <c r="EV177" s="1039">
        <f t="shared" ref="EV177:EW177" si="255">EV142</f>
        <v>395</v>
      </c>
      <c r="EW177" s="1039">
        <f t="shared" si="255"/>
        <v>379</v>
      </c>
      <c r="EX177" s="1113">
        <f>SUM(ET177:EW177)</f>
        <v>1516</v>
      </c>
    </row>
    <row r="178" spans="1:154" x14ac:dyDescent="0.3">
      <c r="A178" s="1" t="s">
        <v>42</v>
      </c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6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7">
        <v>349</v>
      </c>
      <c r="EA178" s="7">
        <v>316</v>
      </c>
      <c r="EB178" s="7">
        <v>318</v>
      </c>
      <c r="EC178" s="7">
        <v>316</v>
      </c>
      <c r="ED178" s="1116">
        <f>SUM(DZ178:EC178)</f>
        <v>1299</v>
      </c>
      <c r="EE178" s="7">
        <v>328</v>
      </c>
      <c r="EF178" s="7">
        <v>338</v>
      </c>
      <c r="EG178" s="7">
        <v>354</v>
      </c>
      <c r="EH178" s="24">
        <v>360</v>
      </c>
      <c r="EI178" s="1116">
        <f>SUM(EE178:EH178)</f>
        <v>1380</v>
      </c>
      <c r="EJ178" s="1039">
        <f t="shared" si="242"/>
        <v>386</v>
      </c>
      <c r="EK178" s="1039">
        <f t="shared" si="242"/>
        <v>386</v>
      </c>
      <c r="EL178" s="1039">
        <f t="shared" ref="EL178:EM178" si="256">EL143</f>
        <v>396</v>
      </c>
      <c r="EM178" s="1039">
        <f t="shared" si="256"/>
        <v>391</v>
      </c>
      <c r="EN178" s="1116">
        <f>SUM(EJ178:EM178)</f>
        <v>1559</v>
      </c>
      <c r="EO178" s="1039">
        <f t="shared" si="244"/>
        <v>378</v>
      </c>
      <c r="EP178" s="1039">
        <f t="shared" si="244"/>
        <v>385</v>
      </c>
      <c r="EQ178" s="1039">
        <f t="shared" ref="EQ178:ER178" si="257">EQ143</f>
        <v>363</v>
      </c>
      <c r="ER178" s="1039">
        <f t="shared" si="257"/>
        <v>363</v>
      </c>
      <c r="ES178" s="1116">
        <f>SUM(EO178:ER178)</f>
        <v>1489</v>
      </c>
      <c r="ET178" s="1039">
        <f t="shared" ref="ET178:EU178" si="258">ET143</f>
        <v>401</v>
      </c>
      <c r="EU178" s="1039">
        <f t="shared" si="258"/>
        <v>410</v>
      </c>
      <c r="EV178" s="1039">
        <f t="shared" ref="EV178:EW178" si="259">EV143</f>
        <v>410</v>
      </c>
      <c r="EW178" s="1039">
        <f t="shared" si="259"/>
        <v>403</v>
      </c>
      <c r="EX178" s="1116">
        <f>SUM(ET178:EW178)</f>
        <v>1624</v>
      </c>
    </row>
    <row r="179" spans="1:154" x14ac:dyDescent="0.3">
      <c r="A179" s="4" t="s">
        <v>3446</v>
      </c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6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830">
        <f t="shared" ref="DZ179:EG179" si="260">SUM(DZ175:DZ178)</f>
        <v>1102</v>
      </c>
      <c r="EA179" s="830">
        <f t="shared" si="260"/>
        <v>1051</v>
      </c>
      <c r="EB179" s="830">
        <f t="shared" si="260"/>
        <v>1036</v>
      </c>
      <c r="EC179" s="830">
        <f t="shared" si="260"/>
        <v>1002</v>
      </c>
      <c r="ED179" s="1113">
        <f t="shared" si="260"/>
        <v>4191</v>
      </c>
      <c r="EE179" s="830">
        <f t="shared" si="260"/>
        <v>1006</v>
      </c>
      <c r="EF179" s="830">
        <f t="shared" si="260"/>
        <v>983</v>
      </c>
      <c r="EG179" s="830">
        <f t="shared" si="260"/>
        <v>989</v>
      </c>
      <c r="EH179" s="830">
        <f t="shared" ref="EH179:EI179" si="261">SUM(EH175:EH178)</f>
        <v>958</v>
      </c>
      <c r="EI179" s="1113">
        <f t="shared" si="261"/>
        <v>3936</v>
      </c>
      <c r="EJ179" s="830">
        <f t="shared" ref="EJ179:EK179" si="262">SUM(EJ175:EJ178)</f>
        <v>938</v>
      </c>
      <c r="EK179" s="830">
        <f t="shared" si="262"/>
        <v>924</v>
      </c>
      <c r="EL179" s="830">
        <f t="shared" ref="EL179:EO179" si="263">SUM(EL175:EL178)</f>
        <v>936</v>
      </c>
      <c r="EM179" s="830">
        <f t="shared" si="263"/>
        <v>909</v>
      </c>
      <c r="EN179" s="1113">
        <f t="shared" si="263"/>
        <v>3707</v>
      </c>
      <c r="EO179" s="830">
        <f t="shared" si="263"/>
        <v>921</v>
      </c>
      <c r="EP179" s="830">
        <f t="shared" ref="EP179:EQ179" si="264">SUM(EP175:EP178)</f>
        <v>916</v>
      </c>
      <c r="EQ179" s="830">
        <f t="shared" si="264"/>
        <v>910</v>
      </c>
      <c r="ER179" s="830">
        <f t="shared" ref="ER179:ES179" si="265">SUM(ER175:ER178)</f>
        <v>877</v>
      </c>
      <c r="ES179" s="1113">
        <f t="shared" si="265"/>
        <v>3624</v>
      </c>
      <c r="ET179" s="830">
        <f t="shared" ref="ET179:EU179" si="266">SUM(ET175:ET178)</f>
        <v>915</v>
      </c>
      <c r="EU179" s="830">
        <f t="shared" si="266"/>
        <v>920</v>
      </c>
      <c r="EV179" s="830">
        <f t="shared" ref="EV179:EX179" si="267">SUM(EV175:EV178)</f>
        <v>940</v>
      </c>
      <c r="EW179" s="830">
        <f t="shared" si="267"/>
        <v>911</v>
      </c>
      <c r="EX179" s="1113">
        <f t="shared" si="267"/>
        <v>3686</v>
      </c>
    </row>
    <row r="180" spans="1:154" x14ac:dyDescent="0.3">
      <c r="A180" s="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6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8"/>
      <c r="EB180" s="5"/>
      <c r="EC180" s="5"/>
      <c r="ED180" s="5"/>
      <c r="EE180" s="5"/>
      <c r="EF180" s="8"/>
      <c r="EG180" s="8"/>
      <c r="EH180" s="8"/>
      <c r="EI180" s="5"/>
      <c r="EJ180" s="8"/>
      <c r="EK180" s="8"/>
      <c r="EL180" s="8"/>
      <c r="EM180" s="8"/>
      <c r="EN180" s="5"/>
      <c r="EO180" s="8"/>
      <c r="EP180" s="8"/>
      <c r="EQ180" s="8"/>
      <c r="ER180" s="8"/>
      <c r="ES180" s="5"/>
      <c r="ET180" s="8"/>
      <c r="EU180" s="8"/>
      <c r="EV180" s="8"/>
      <c r="EW180" s="8"/>
      <c r="EX180" s="5"/>
    </row>
    <row r="181" spans="1:154" x14ac:dyDescent="0.3">
      <c r="A181" s="1" t="s">
        <v>3443</v>
      </c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6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7">
        <v>170</v>
      </c>
      <c r="EA181" s="7">
        <v>155</v>
      </c>
      <c r="EB181" s="7">
        <v>136</v>
      </c>
      <c r="EC181" s="7">
        <v>116</v>
      </c>
      <c r="ED181" s="1113">
        <f>SUM(DZ181:EC181)</f>
        <v>577</v>
      </c>
      <c r="EE181" s="7">
        <v>111</v>
      </c>
      <c r="EF181" s="7">
        <v>108</v>
      </c>
      <c r="EG181" s="7">
        <v>95</v>
      </c>
      <c r="EH181" s="7">
        <v>93</v>
      </c>
      <c r="EI181" s="1113">
        <f>SUM(EE181:EH181)</f>
        <v>407</v>
      </c>
      <c r="EJ181" s="17">
        <f t="shared" ref="EJ181:EJ183" si="268">EJ146</f>
        <v>92</v>
      </c>
      <c r="EK181" s="1103">
        <f>+EK146</f>
        <v>87</v>
      </c>
      <c r="EL181" s="1103">
        <f>+EL146</f>
        <v>81</v>
      </c>
      <c r="EM181" s="1103">
        <f>+EM146</f>
        <v>76</v>
      </c>
      <c r="EN181" s="1113">
        <f>SUM(EJ181:EM181)</f>
        <v>336</v>
      </c>
      <c r="EO181" s="1286">
        <f t="shared" ref="EO181:EP183" si="269">EO146</f>
        <v>76</v>
      </c>
      <c r="EP181" s="1286">
        <f t="shared" si="269"/>
        <v>71</v>
      </c>
      <c r="EQ181" s="1286">
        <f t="shared" ref="EQ181:ER181" si="270">EQ146</f>
        <v>65</v>
      </c>
      <c r="ER181" s="1286">
        <f t="shared" si="270"/>
        <v>61</v>
      </c>
      <c r="ES181" s="1113">
        <f>SUM(EO181:ER181)</f>
        <v>273</v>
      </c>
      <c r="ET181" s="1286">
        <f t="shared" ref="ET181:EU181" si="271">ET146</f>
        <v>61</v>
      </c>
      <c r="EU181" s="1286">
        <f t="shared" si="271"/>
        <v>57</v>
      </c>
      <c r="EV181" s="1286">
        <f t="shared" ref="EV181:EW181" si="272">EV146</f>
        <v>53</v>
      </c>
      <c r="EW181" s="1286">
        <f t="shared" si="272"/>
        <v>47</v>
      </c>
      <c r="EX181" s="1113">
        <f>SUM(ET181:EW181)</f>
        <v>218</v>
      </c>
    </row>
    <row r="182" spans="1:154" x14ac:dyDescent="0.3">
      <c r="A182" s="1" t="s">
        <v>3447</v>
      </c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6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7">
        <v>583</v>
      </c>
      <c r="EA182" s="7">
        <v>580</v>
      </c>
      <c r="EB182" s="7">
        <v>582</v>
      </c>
      <c r="EC182" s="7">
        <v>570</v>
      </c>
      <c r="ED182" s="1113">
        <f>SUM(DZ182:EC182)</f>
        <v>2315</v>
      </c>
      <c r="EE182" s="7">
        <v>567</v>
      </c>
      <c r="EF182" s="7">
        <v>537</v>
      </c>
      <c r="EG182" s="7">
        <f>540</f>
        <v>540</v>
      </c>
      <c r="EH182" s="17">
        <f>505</f>
        <v>505</v>
      </c>
      <c r="EI182" s="1113">
        <f>SUM(EE182:EH182)</f>
        <v>2149</v>
      </c>
      <c r="EJ182" s="17">
        <f t="shared" si="268"/>
        <v>460</v>
      </c>
      <c r="EK182" s="1103">
        <f t="shared" ref="EK182:EL183" si="273">+EK147</f>
        <v>451</v>
      </c>
      <c r="EL182" s="1103">
        <f t="shared" si="273"/>
        <v>459</v>
      </c>
      <c r="EM182" s="1103">
        <f t="shared" ref="EM182" si="274">+EM147</f>
        <v>442</v>
      </c>
      <c r="EN182" s="1113">
        <f>SUM(EJ182:EM182)</f>
        <v>1812</v>
      </c>
      <c r="EO182" s="1286">
        <f t="shared" si="269"/>
        <v>467</v>
      </c>
      <c r="EP182" s="1286">
        <f t="shared" si="269"/>
        <v>460</v>
      </c>
      <c r="EQ182" s="1286">
        <f t="shared" ref="EQ182:ER182" si="275">EQ147</f>
        <v>482</v>
      </c>
      <c r="ER182" s="1286">
        <f t="shared" si="275"/>
        <v>453</v>
      </c>
      <c r="ES182" s="1113">
        <f>SUM(EO182:ER182)</f>
        <v>1862</v>
      </c>
      <c r="ET182" s="1286">
        <f t="shared" ref="ET182:EU182" si="276">ET147</f>
        <v>453</v>
      </c>
      <c r="EU182" s="1286">
        <f t="shared" si="276"/>
        <v>453</v>
      </c>
      <c r="EV182" s="1286">
        <f t="shared" ref="EV182:EW182" si="277">EV147</f>
        <v>477</v>
      </c>
      <c r="EW182" s="1286">
        <f t="shared" si="277"/>
        <v>461</v>
      </c>
      <c r="EX182" s="1113">
        <f>SUM(ET182:EW182)</f>
        <v>1844</v>
      </c>
    </row>
    <row r="183" spans="1:154" x14ac:dyDescent="0.3">
      <c r="A183" s="1" t="s">
        <v>42</v>
      </c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6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7">
        <v>349</v>
      </c>
      <c r="EA183" s="7">
        <v>316</v>
      </c>
      <c r="EB183" s="7">
        <v>318</v>
      </c>
      <c r="EC183" s="7">
        <v>316</v>
      </c>
      <c r="ED183" s="1116">
        <f>SUM(DZ183:EC183)</f>
        <v>1299</v>
      </c>
      <c r="EE183" s="7">
        <v>328</v>
      </c>
      <c r="EF183" s="7">
        <v>338</v>
      </c>
      <c r="EG183" s="7">
        <v>354</v>
      </c>
      <c r="EH183" s="17">
        <v>360</v>
      </c>
      <c r="EI183" s="1116">
        <f>SUM(EE183:EH183)</f>
        <v>1380</v>
      </c>
      <c r="EJ183" s="17">
        <f t="shared" si="268"/>
        <v>386</v>
      </c>
      <c r="EK183" s="1103">
        <f t="shared" si="273"/>
        <v>386</v>
      </c>
      <c r="EL183" s="1103">
        <f t="shared" si="273"/>
        <v>396</v>
      </c>
      <c r="EM183" s="1103">
        <f t="shared" ref="EM183" si="278">+EM148</f>
        <v>391</v>
      </c>
      <c r="EN183" s="1116">
        <f>SUM(EJ183:EM183)</f>
        <v>1559</v>
      </c>
      <c r="EO183" s="1286">
        <f t="shared" si="269"/>
        <v>378</v>
      </c>
      <c r="EP183" s="1286">
        <f t="shared" si="269"/>
        <v>385</v>
      </c>
      <c r="EQ183" s="1286">
        <f t="shared" ref="EQ183:ER183" si="279">EQ148</f>
        <v>363</v>
      </c>
      <c r="ER183" s="1286">
        <f t="shared" si="279"/>
        <v>363</v>
      </c>
      <c r="ES183" s="1116">
        <f>SUM(EO183:ER183)</f>
        <v>1489</v>
      </c>
      <c r="ET183" s="1286">
        <f t="shared" ref="ET183:EU183" si="280">ET148</f>
        <v>401</v>
      </c>
      <c r="EU183" s="1286">
        <f t="shared" si="280"/>
        <v>410</v>
      </c>
      <c r="EV183" s="1286">
        <f t="shared" ref="EV183:EW183" si="281">EV148</f>
        <v>410</v>
      </c>
      <c r="EW183" s="1286">
        <f t="shared" si="281"/>
        <v>403</v>
      </c>
      <c r="EX183" s="1116">
        <f>SUM(ET183:EW183)</f>
        <v>1624</v>
      </c>
    </row>
    <row r="184" spans="1:154" x14ac:dyDescent="0.3">
      <c r="A184" s="4" t="s">
        <v>3446</v>
      </c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6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830">
        <f t="shared" ref="DZ184:EI184" si="282">SUM(DZ181:DZ183)</f>
        <v>1102</v>
      </c>
      <c r="EA184" s="830">
        <f t="shared" si="282"/>
        <v>1051</v>
      </c>
      <c r="EB184" s="830">
        <f t="shared" si="282"/>
        <v>1036</v>
      </c>
      <c r="EC184" s="830">
        <f t="shared" si="282"/>
        <v>1002</v>
      </c>
      <c r="ED184" s="1113">
        <f t="shared" si="282"/>
        <v>4191</v>
      </c>
      <c r="EE184" s="830">
        <f t="shared" si="282"/>
        <v>1006</v>
      </c>
      <c r="EF184" s="830">
        <f t="shared" si="282"/>
        <v>983</v>
      </c>
      <c r="EG184" s="830">
        <f t="shared" si="282"/>
        <v>989</v>
      </c>
      <c r="EH184" s="830">
        <f t="shared" si="282"/>
        <v>958</v>
      </c>
      <c r="EI184" s="1113">
        <f t="shared" si="282"/>
        <v>3936</v>
      </c>
      <c r="EJ184" s="830">
        <f t="shared" ref="EJ184:EK184" si="283">SUM(EJ181:EJ183)</f>
        <v>938</v>
      </c>
      <c r="EK184" s="830">
        <f t="shared" si="283"/>
        <v>924</v>
      </c>
      <c r="EL184" s="830">
        <f t="shared" ref="EL184:EO184" si="284">SUM(EL181:EL183)</f>
        <v>936</v>
      </c>
      <c r="EM184" s="830">
        <f t="shared" si="284"/>
        <v>909</v>
      </c>
      <c r="EN184" s="1113">
        <f t="shared" si="284"/>
        <v>3707</v>
      </c>
      <c r="EO184" s="830">
        <f t="shared" si="284"/>
        <v>921</v>
      </c>
      <c r="EP184" s="830">
        <f t="shared" ref="EP184:EQ184" si="285">SUM(EP181:EP183)</f>
        <v>916</v>
      </c>
      <c r="EQ184" s="830">
        <f t="shared" si="285"/>
        <v>910</v>
      </c>
      <c r="ER184" s="830">
        <f t="shared" ref="ER184:ES184" si="286">SUM(ER181:ER183)</f>
        <v>877</v>
      </c>
      <c r="ES184" s="1113">
        <f t="shared" si="286"/>
        <v>3624</v>
      </c>
      <c r="ET184" s="830">
        <f t="shared" ref="ET184:EU184" si="287">SUM(ET181:ET183)</f>
        <v>915</v>
      </c>
      <c r="EU184" s="830">
        <f t="shared" si="287"/>
        <v>920</v>
      </c>
      <c r="EV184" s="830">
        <f t="shared" ref="EV184:EX184" si="288">SUM(EV181:EV183)</f>
        <v>940</v>
      </c>
      <c r="EW184" s="830">
        <f t="shared" si="288"/>
        <v>911</v>
      </c>
      <c r="EX184" s="1113">
        <f t="shared" si="288"/>
        <v>3686</v>
      </c>
    </row>
    <row r="185" spans="1:154" x14ac:dyDescent="0.3">
      <c r="A185" s="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6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8"/>
      <c r="EB185" s="5"/>
      <c r="EC185" s="5"/>
      <c r="ED185" s="5"/>
      <c r="EE185" s="5"/>
      <c r="EF185" s="8"/>
      <c r="EG185" s="8"/>
      <c r="EH185" s="8"/>
      <c r="EI185" s="5"/>
      <c r="EJ185" s="8"/>
      <c r="EK185" s="8"/>
      <c r="EL185" s="8"/>
      <c r="EM185" s="8"/>
      <c r="EN185" s="5"/>
      <c r="EO185" s="8"/>
      <c r="EP185" s="8"/>
      <c r="EQ185" s="8"/>
      <c r="ER185" s="8"/>
      <c r="ES185" s="5"/>
      <c r="ET185" s="8"/>
      <c r="EU185" s="8"/>
      <c r="EV185" s="8"/>
      <c r="EW185" s="8"/>
      <c r="EX185" s="5"/>
    </row>
    <row r="186" spans="1:154" x14ac:dyDescent="0.3">
      <c r="A186" s="1" t="s">
        <v>298</v>
      </c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6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7">
        <v>271</v>
      </c>
      <c r="EA186" s="7">
        <v>289</v>
      </c>
      <c r="EB186" s="7">
        <v>269</v>
      </c>
      <c r="EC186" s="7">
        <v>283</v>
      </c>
      <c r="ED186" s="1113">
        <f>SUM(DZ186:EC186)</f>
        <v>1112</v>
      </c>
      <c r="EE186" s="7">
        <v>275</v>
      </c>
      <c r="EF186" s="7">
        <v>278</v>
      </c>
      <c r="EG186" s="7">
        <v>278</v>
      </c>
      <c r="EH186" s="7">
        <v>273</v>
      </c>
      <c r="EI186" s="1113">
        <f>SUM(EE186:EH186)</f>
        <v>1104</v>
      </c>
      <c r="EJ186" s="17">
        <f t="shared" ref="EJ186:EJ188" si="289">EJ151</f>
        <v>274</v>
      </c>
      <c r="EK186" s="1103">
        <f t="shared" ref="EK186:EM187" si="290">+EK151</f>
        <v>292</v>
      </c>
      <c r="EL186" s="1103">
        <f t="shared" si="290"/>
        <v>276</v>
      </c>
      <c r="EM186" s="1103">
        <f t="shared" si="290"/>
        <v>326</v>
      </c>
      <c r="EN186" s="1113">
        <f>SUM(EJ186:EM186)</f>
        <v>1168</v>
      </c>
      <c r="EO186" s="1286">
        <f t="shared" ref="EO186:EP188" si="291">EO151</f>
        <v>322</v>
      </c>
      <c r="EP186" s="1286">
        <f t="shared" si="291"/>
        <v>323</v>
      </c>
      <c r="EQ186" s="1286">
        <f t="shared" ref="EQ186:ER186" si="292">EQ151</f>
        <v>328</v>
      </c>
      <c r="ER186" s="1286">
        <f t="shared" si="292"/>
        <v>356</v>
      </c>
      <c r="ES186" s="1113">
        <f>SUM(EO186:ER186)</f>
        <v>1329</v>
      </c>
      <c r="ET186" s="1286">
        <f t="shared" ref="ET186:EU186" si="293">ET151</f>
        <v>360</v>
      </c>
      <c r="EU186" s="1286">
        <f t="shared" si="293"/>
        <v>382</v>
      </c>
      <c r="EV186" s="1286">
        <f t="shared" ref="EV186:EW186" si="294">EV151</f>
        <v>394</v>
      </c>
      <c r="EW186" s="1286">
        <f t="shared" si="294"/>
        <v>438</v>
      </c>
      <c r="EX186" s="1113">
        <f>SUM(ET186:EW186)</f>
        <v>1574</v>
      </c>
    </row>
    <row r="187" spans="1:154" x14ac:dyDescent="0.3">
      <c r="A187" s="1" t="s">
        <v>299</v>
      </c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6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7">
        <v>333</v>
      </c>
      <c r="EA187" s="7">
        <v>319</v>
      </c>
      <c r="EB187" s="7">
        <v>322</v>
      </c>
      <c r="EC187" s="7">
        <v>319</v>
      </c>
      <c r="ED187" s="1113">
        <f>SUM(DZ187:EC187)</f>
        <v>1293</v>
      </c>
      <c r="EE187" s="7">
        <v>311</v>
      </c>
      <c r="EF187" s="7">
        <v>272</v>
      </c>
      <c r="EG187" s="7">
        <v>227</v>
      </c>
      <c r="EH187" s="7">
        <v>228</v>
      </c>
      <c r="EI187" s="1113">
        <f>SUM(EE187:EH187)</f>
        <v>1038</v>
      </c>
      <c r="EJ187" s="17">
        <f t="shared" si="289"/>
        <v>230</v>
      </c>
      <c r="EK187" s="1103">
        <f t="shared" si="290"/>
        <v>227</v>
      </c>
      <c r="EL187" s="1103">
        <f t="shared" si="290"/>
        <v>215</v>
      </c>
      <c r="EM187" s="1103">
        <f t="shared" si="290"/>
        <v>187</v>
      </c>
      <c r="EN187" s="1113">
        <f>SUM(EJ187:EM187)</f>
        <v>859</v>
      </c>
      <c r="EO187" s="1286">
        <f t="shared" si="291"/>
        <v>176</v>
      </c>
      <c r="EP187" s="1286">
        <f t="shared" si="291"/>
        <v>189</v>
      </c>
      <c r="EQ187" s="1286">
        <f t="shared" ref="EQ187:ER187" si="295">EQ152</f>
        <v>183</v>
      </c>
      <c r="ER187" s="1286">
        <f t="shared" si="295"/>
        <v>177</v>
      </c>
      <c r="ES187" s="1113">
        <f>SUM(EO187:ER187)</f>
        <v>725</v>
      </c>
      <c r="ET187" s="1286">
        <f t="shared" ref="ET187:EU187" si="296">ET152</f>
        <v>172</v>
      </c>
      <c r="EU187" s="1286">
        <f t="shared" si="296"/>
        <v>165</v>
      </c>
      <c r="EV187" s="1286">
        <f t="shared" ref="EV187:EW187" si="297">EV152</f>
        <v>137</v>
      </c>
      <c r="EW187" s="1286">
        <f t="shared" si="297"/>
        <v>142</v>
      </c>
      <c r="EX187" s="1113">
        <f>SUM(ET187:EW187)</f>
        <v>616</v>
      </c>
    </row>
    <row r="188" spans="1:154" x14ac:dyDescent="0.3">
      <c r="A188" s="1" t="s">
        <v>3448</v>
      </c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6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1103">
        <f>DZ189-SUM(DZ186:DZ187)</f>
        <v>83</v>
      </c>
      <c r="EA188" s="1103">
        <f>EA189-SUM(EA186:EA187)</f>
        <v>95</v>
      </c>
      <c r="EB188" s="1103">
        <f>EB189-SUM(EB186:EB187)</f>
        <v>100</v>
      </c>
      <c r="EC188" s="1103">
        <f>EC189-SUM(EC186:EC187)</f>
        <v>92</v>
      </c>
      <c r="ED188" s="1116">
        <f>SUM(DZ188:EC188)</f>
        <v>370</v>
      </c>
      <c r="EE188" s="1103">
        <f>EE189-SUM(EE186:EE187)</f>
        <v>83</v>
      </c>
      <c r="EF188" s="1103">
        <f>EF189-SUM(EF186:EF187)</f>
        <v>84</v>
      </c>
      <c r="EG188" s="1103">
        <f>EG189-SUM(EG186:EG187)</f>
        <v>82</v>
      </c>
      <c r="EH188" s="1103">
        <f>EH189-SUM(EH186:EH187)</f>
        <v>84</v>
      </c>
      <c r="EI188" s="1116">
        <f>SUM(EE188:EH188)</f>
        <v>333</v>
      </c>
      <c r="EJ188" s="17">
        <f t="shared" si="289"/>
        <v>5</v>
      </c>
      <c r="EK188" s="1103">
        <f>EK189-SUM(EK186:EK187)</f>
        <v>16</v>
      </c>
      <c r="EL188" s="1103">
        <f>EL189-SUM(EL186:EL187)</f>
        <v>17</v>
      </c>
      <c r="EM188" s="1103">
        <f>EM189-SUM(EM186:EM187)</f>
        <v>15</v>
      </c>
      <c r="EN188" s="1116">
        <f>SUM(EJ188:EM188)</f>
        <v>53</v>
      </c>
      <c r="EO188" s="1286">
        <f t="shared" si="291"/>
        <v>21</v>
      </c>
      <c r="EP188" s="1286">
        <f t="shared" si="291"/>
        <v>21</v>
      </c>
      <c r="EQ188" s="1286">
        <f t="shared" ref="EQ188:ER188" si="298">EQ153</f>
        <v>15</v>
      </c>
      <c r="ER188" s="1286">
        <f t="shared" si="298"/>
        <v>16</v>
      </c>
      <c r="ES188" s="1116">
        <f>SUM(EO188:ER188)</f>
        <v>73</v>
      </c>
      <c r="ET188" s="1286">
        <f t="shared" ref="ET188:EU188" si="299">ET153</f>
        <v>15</v>
      </c>
      <c r="EU188" s="1286">
        <f t="shared" si="299"/>
        <v>13</v>
      </c>
      <c r="EV188" s="1286">
        <f t="shared" ref="EV188:EW188" si="300">EV153</f>
        <v>18</v>
      </c>
      <c r="EW188" s="1286">
        <f t="shared" si="300"/>
        <v>15</v>
      </c>
      <c r="EX188" s="1116">
        <f>SUM(ET188:EW188)</f>
        <v>61</v>
      </c>
    </row>
    <row r="189" spans="1:154" x14ac:dyDescent="0.3">
      <c r="A189" s="4" t="s">
        <v>106</v>
      </c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6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830">
        <f t="shared" ref="DZ189:EG189" si="301">DZ173-DZ179</f>
        <v>687</v>
      </c>
      <c r="EA189" s="830">
        <f t="shared" si="301"/>
        <v>703</v>
      </c>
      <c r="EB189" s="830">
        <f t="shared" si="301"/>
        <v>691</v>
      </c>
      <c r="EC189" s="830">
        <f t="shared" si="301"/>
        <v>694</v>
      </c>
      <c r="ED189" s="1113">
        <f t="shared" si="301"/>
        <v>2775</v>
      </c>
      <c r="EE189" s="830">
        <f t="shared" si="301"/>
        <v>669</v>
      </c>
      <c r="EF189" s="830">
        <f t="shared" si="301"/>
        <v>634</v>
      </c>
      <c r="EG189" s="830">
        <f t="shared" si="301"/>
        <v>587</v>
      </c>
      <c r="EH189" s="830">
        <f t="shared" ref="EH189:EI189" si="302">EH173-EH179</f>
        <v>585</v>
      </c>
      <c r="EI189" s="1113">
        <f t="shared" si="302"/>
        <v>2475</v>
      </c>
      <c r="EJ189" s="830">
        <f t="shared" ref="EJ189:EK189" si="303">EJ173-EJ179</f>
        <v>509</v>
      </c>
      <c r="EK189" s="830">
        <f t="shared" si="303"/>
        <v>535</v>
      </c>
      <c r="EL189" s="830">
        <f t="shared" ref="EL189:EO189" si="304">EL173-EL179</f>
        <v>508</v>
      </c>
      <c r="EM189" s="830">
        <f t="shared" si="304"/>
        <v>528</v>
      </c>
      <c r="EN189" s="1113">
        <f t="shared" si="304"/>
        <v>2080</v>
      </c>
      <c r="EO189" s="830">
        <f t="shared" si="304"/>
        <v>519</v>
      </c>
      <c r="EP189" s="830">
        <f t="shared" ref="EP189:EQ189" si="305">EP173-EP179</f>
        <v>533</v>
      </c>
      <c r="EQ189" s="830">
        <f t="shared" si="305"/>
        <v>526</v>
      </c>
      <c r="ER189" s="830">
        <f t="shared" ref="ER189:ES189" si="306">ER173-ER179</f>
        <v>549</v>
      </c>
      <c r="ES189" s="1113">
        <f t="shared" si="306"/>
        <v>2127</v>
      </c>
      <c r="ET189" s="830">
        <f t="shared" ref="ET189:EU189" si="307">ET173-ET179</f>
        <v>547</v>
      </c>
      <c r="EU189" s="830">
        <f t="shared" si="307"/>
        <v>560</v>
      </c>
      <c r="EV189" s="830">
        <f t="shared" ref="EV189:EX189" si="308">EV173-EV179</f>
        <v>549</v>
      </c>
      <c r="EW189" s="830">
        <f t="shared" si="308"/>
        <v>595</v>
      </c>
      <c r="EX189" s="1113">
        <f t="shared" si="308"/>
        <v>2251</v>
      </c>
    </row>
    <row r="190" spans="1:154" x14ac:dyDescent="0.3">
      <c r="A190" s="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6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8"/>
      <c r="EB190" s="5"/>
      <c r="EC190" s="5"/>
      <c r="ED190" s="5"/>
      <c r="EE190" s="5"/>
      <c r="EF190" s="8"/>
      <c r="EG190" s="8"/>
      <c r="EH190" s="8"/>
      <c r="EI190" s="5"/>
      <c r="EK190" s="8"/>
      <c r="EL190" s="8"/>
      <c r="EM190" s="8"/>
    </row>
    <row r="191" spans="1:154" x14ac:dyDescent="0.3">
      <c r="A191" s="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6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8"/>
      <c r="EB191" s="5"/>
      <c r="EC191" s="5"/>
      <c r="ED191" s="5"/>
      <c r="EE191" s="5"/>
      <c r="EF191" s="8"/>
      <c r="EG191" s="8"/>
      <c r="EH191" s="8"/>
      <c r="EI191" s="5"/>
      <c r="EK191" s="8"/>
      <c r="EL191" s="8"/>
      <c r="EM191" s="8"/>
    </row>
    <row r="192" spans="1:154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6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I192" s="5"/>
    </row>
    <row r="193" spans="1:164" x14ac:dyDescent="0.3">
      <c r="A193" s="1052" t="s">
        <v>3450</v>
      </c>
      <c r="B193" s="1053"/>
      <c r="C193" s="1053"/>
      <c r="D193" s="1053"/>
      <c r="E193" s="1053"/>
      <c r="F193" s="1053"/>
      <c r="G193" s="1053"/>
      <c r="H193" s="1053"/>
      <c r="I193" s="1053"/>
      <c r="J193" s="1053"/>
      <c r="K193" s="1053"/>
      <c r="L193" s="1053"/>
      <c r="M193" s="1053"/>
      <c r="N193" s="1053"/>
      <c r="O193" s="1053"/>
      <c r="P193" s="1053"/>
      <c r="Q193" s="1053"/>
      <c r="R193" s="1053"/>
      <c r="S193" s="1053"/>
      <c r="T193" s="1053"/>
      <c r="U193" s="1053"/>
      <c r="V193" s="1053"/>
      <c r="W193" s="1053"/>
      <c r="X193" s="1053"/>
      <c r="Y193" s="1053"/>
      <c r="Z193" s="1053"/>
      <c r="AA193" s="1053"/>
      <c r="AB193" s="1053"/>
      <c r="AC193" s="1053"/>
      <c r="AD193" s="1053"/>
      <c r="AE193" s="1053"/>
      <c r="AF193" s="1053"/>
      <c r="AG193" s="1053"/>
      <c r="AH193" s="1053"/>
      <c r="AI193" s="1053"/>
      <c r="AJ193" s="1053"/>
      <c r="AK193" s="1053"/>
      <c r="AL193" s="1053"/>
      <c r="AM193" s="1053"/>
      <c r="AN193" s="1053"/>
      <c r="AO193" s="1053"/>
      <c r="AP193" s="1053"/>
      <c r="AQ193" s="1053"/>
      <c r="AR193" s="1053"/>
      <c r="AS193" s="1053"/>
      <c r="AT193" s="1053"/>
      <c r="AU193" s="1053"/>
      <c r="AV193" s="1053"/>
      <c r="AW193" s="1053"/>
      <c r="AX193" s="1053"/>
      <c r="AY193" s="1053"/>
      <c r="AZ193" s="1053"/>
      <c r="BA193" s="1053"/>
      <c r="BB193" s="1053"/>
      <c r="BC193" s="1054"/>
      <c r="BD193" s="1054"/>
      <c r="BE193" s="1054"/>
      <c r="BF193" s="1054"/>
      <c r="BG193" s="1054"/>
      <c r="BH193" s="1054"/>
      <c r="BI193" s="1054"/>
      <c r="BJ193" s="1054"/>
      <c r="BK193" s="1054"/>
      <c r="BL193" s="1054"/>
      <c r="BM193" s="1054"/>
      <c r="BN193" s="1054"/>
      <c r="BO193" s="1054"/>
      <c r="BP193" s="1054"/>
      <c r="BQ193" s="1054"/>
      <c r="BR193" s="1054"/>
      <c r="BS193" s="1054"/>
      <c r="BT193" s="1054"/>
      <c r="BU193" s="1054"/>
      <c r="BV193" s="1054"/>
      <c r="BW193" s="1054"/>
      <c r="BX193" s="1054"/>
      <c r="BY193" s="1054"/>
      <c r="BZ193" s="1054"/>
      <c r="CA193" s="1054"/>
      <c r="CB193" s="1054"/>
      <c r="CC193" s="1054"/>
      <c r="CD193" s="1054"/>
      <c r="CE193" s="1054"/>
      <c r="CF193" s="1054"/>
      <c r="CG193" s="1054"/>
      <c r="CH193" s="1054"/>
      <c r="CI193" s="1054"/>
      <c r="CJ193" s="1054"/>
      <c r="CK193" s="1054"/>
      <c r="CL193" s="1054"/>
      <c r="CM193" s="1054"/>
      <c r="CN193" s="1054"/>
      <c r="CO193" s="1054"/>
      <c r="CP193" s="1054"/>
      <c r="CQ193" s="1054"/>
      <c r="CR193" s="1054"/>
      <c r="CS193" s="1054"/>
      <c r="CT193" s="1054"/>
      <c r="CU193" s="1054"/>
      <c r="CV193" s="1054"/>
      <c r="CW193" s="1054"/>
      <c r="CX193" s="1054"/>
      <c r="CY193" s="1054"/>
      <c r="CZ193" s="1054"/>
      <c r="DA193" s="1054"/>
      <c r="DB193" s="1054"/>
      <c r="DC193" s="1054"/>
      <c r="DD193" s="1054"/>
      <c r="DE193" s="1054"/>
      <c r="DF193" s="1054"/>
      <c r="DG193" s="1054"/>
      <c r="DH193" s="1054"/>
      <c r="DI193" s="1054"/>
      <c r="DJ193" s="1054"/>
      <c r="DK193" s="1054"/>
      <c r="DL193" s="1054"/>
      <c r="DM193" s="1054"/>
      <c r="DN193" s="1054"/>
      <c r="DO193" s="1054"/>
      <c r="DP193" s="1055"/>
      <c r="DQ193" s="1054"/>
      <c r="DR193" s="1054"/>
      <c r="DS193" s="1054"/>
      <c r="DT193" s="1054"/>
      <c r="DU193" s="1055"/>
      <c r="DV193" s="1053"/>
      <c r="DW193" s="1053"/>
      <c r="DX193" s="1053"/>
      <c r="DY193" s="1053"/>
      <c r="DZ193" s="1053"/>
      <c r="EA193" s="1053"/>
      <c r="EB193" s="1053"/>
      <c r="EC193" s="1053"/>
      <c r="ED193" s="1053"/>
      <c r="EE193" s="1053"/>
      <c r="EF193" s="1055"/>
      <c r="EG193" s="1055"/>
      <c r="EH193" s="1055"/>
      <c r="EI193" s="1053"/>
      <c r="EJ193" s="1055"/>
      <c r="EK193" s="1055"/>
      <c r="EL193" s="1055"/>
      <c r="EM193" s="1055"/>
      <c r="EN193" s="1055"/>
      <c r="EO193" s="1055"/>
      <c r="EP193" s="1055"/>
      <c r="EQ193" s="1055"/>
      <c r="ER193" s="1055"/>
      <c r="ES193" s="1055"/>
      <c r="ET193" s="1055"/>
      <c r="EU193" s="1055"/>
      <c r="EV193" s="1055"/>
      <c r="EW193" s="1055"/>
      <c r="EX193" s="1055"/>
      <c r="EY193" s="1055"/>
      <c r="EZ193" s="1055"/>
      <c r="FA193" s="1055"/>
      <c r="FB193" s="1055"/>
      <c r="FC193" s="1055"/>
      <c r="FD193" s="1055"/>
      <c r="FE193" s="1055"/>
      <c r="FF193" s="1055"/>
      <c r="FG193" s="1055"/>
      <c r="FH193" s="1055"/>
    </row>
    <row r="194" spans="1:164" x14ac:dyDescent="0.3">
      <c r="A194" s="1" t="s">
        <v>31</v>
      </c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6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7">
        <v>849</v>
      </c>
      <c r="EB194" s="5"/>
      <c r="EC194" s="5"/>
      <c r="ED194" s="5"/>
      <c r="EE194" s="5"/>
      <c r="EF194" s="7">
        <v>839</v>
      </c>
      <c r="EG194" s="7">
        <v>834</v>
      </c>
      <c r="EH194" s="7">
        <v>834</v>
      </c>
      <c r="EI194" s="5"/>
    </row>
    <row r="195" spans="1:164" x14ac:dyDescent="0.3">
      <c r="A195" s="1" t="s">
        <v>32</v>
      </c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6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7">
        <v>509</v>
      </c>
      <c r="EB195" s="5"/>
      <c r="EC195" s="5"/>
      <c r="ED195" s="5"/>
      <c r="EE195" s="5"/>
      <c r="EF195" s="7">
        <v>443</v>
      </c>
      <c r="EG195" s="7">
        <v>411</v>
      </c>
      <c r="EH195" s="7">
        <v>397</v>
      </c>
      <c r="EI195" s="5"/>
    </row>
    <row r="196" spans="1:164" x14ac:dyDescent="0.3">
      <c r="A196" s="1" t="s">
        <v>33</v>
      </c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6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7">
        <v>197</v>
      </c>
      <c r="EB196" s="5"/>
      <c r="EC196" s="5"/>
      <c r="ED196" s="5"/>
      <c r="EE196" s="5"/>
      <c r="EF196" s="7">
        <v>159</v>
      </c>
      <c r="EG196" s="7">
        <v>149</v>
      </c>
      <c r="EH196" s="7">
        <v>143</v>
      </c>
      <c r="EI196" s="5"/>
    </row>
    <row r="197" spans="1:164" x14ac:dyDescent="0.3">
      <c r="A197" s="1" t="s">
        <v>34</v>
      </c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6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7">
        <v>105</v>
      </c>
      <c r="EB197" s="5"/>
      <c r="EC197" s="5"/>
      <c r="ED197" s="5"/>
      <c r="EE197" s="5"/>
      <c r="EF197" s="7">
        <v>92</v>
      </c>
      <c r="EG197" s="7">
        <v>99</v>
      </c>
      <c r="EH197" s="7">
        <v>85</v>
      </c>
      <c r="EI197" s="5"/>
    </row>
    <row r="198" spans="1:164" x14ac:dyDescent="0.3">
      <c r="A198" s="4" t="s">
        <v>1894</v>
      </c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6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830">
        <f>+SUM(EA194:EA197)</f>
        <v>1660</v>
      </c>
      <c r="EB198" s="5"/>
      <c r="EC198" s="5"/>
      <c r="ED198" s="5"/>
      <c r="EE198" s="5"/>
      <c r="EF198" s="830">
        <f>+SUM(EF194:EF197)</f>
        <v>1533</v>
      </c>
      <c r="EG198" s="830">
        <f>+SUM(EG194:EG197)</f>
        <v>1493</v>
      </c>
      <c r="EH198" s="830">
        <f>+SUM(EH194:EH197)</f>
        <v>1459</v>
      </c>
      <c r="EI198" s="5"/>
    </row>
    <row r="199" spans="1:164" x14ac:dyDescent="0.3">
      <c r="A199" s="1" t="s">
        <v>465</v>
      </c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6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7">
        <v>94</v>
      </c>
      <c r="EB199" s="5"/>
      <c r="EC199" s="5"/>
      <c r="ED199" s="5"/>
      <c r="EE199" s="5"/>
      <c r="EF199" s="7">
        <v>83</v>
      </c>
      <c r="EG199" s="7">
        <v>83</v>
      </c>
      <c r="EH199" s="7">
        <v>84</v>
      </c>
      <c r="EI199" s="5"/>
    </row>
    <row r="200" spans="1:164" x14ac:dyDescent="0.3">
      <c r="A200" s="4" t="s">
        <v>19</v>
      </c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6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830">
        <f>+EA198+EA199</f>
        <v>1754</v>
      </c>
      <c r="EB200" s="5"/>
      <c r="EC200" s="5"/>
      <c r="ED200" s="5"/>
      <c r="EE200" s="5"/>
      <c r="EF200" s="830">
        <f>+EF198+EF199</f>
        <v>1616</v>
      </c>
      <c r="EG200" s="830">
        <f>+EG198+EG199</f>
        <v>1576</v>
      </c>
      <c r="EH200" s="830">
        <f>+EH198+EH199</f>
        <v>1543</v>
      </c>
      <c r="EI200" s="5"/>
    </row>
    <row r="201" spans="1:164" x14ac:dyDescent="0.3">
      <c r="A201" s="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6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7"/>
      <c r="EB201" s="5"/>
      <c r="EC201" s="5"/>
      <c r="ED201" s="5"/>
      <c r="EE201" s="5"/>
      <c r="EF201" s="7"/>
      <c r="EG201" s="7"/>
      <c r="EH201" s="7"/>
      <c r="EI201" s="5"/>
    </row>
    <row r="202" spans="1:164" x14ac:dyDescent="0.3">
      <c r="A202" s="4" t="s">
        <v>1895</v>
      </c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6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7"/>
      <c r="EB202" s="5"/>
      <c r="EC202" s="5"/>
      <c r="ED202" s="5"/>
      <c r="EE202" s="5"/>
      <c r="EF202" s="7"/>
      <c r="EG202" s="7"/>
      <c r="EH202" s="7"/>
      <c r="EI202" s="5"/>
    </row>
    <row r="203" spans="1:164" x14ac:dyDescent="0.3">
      <c r="A203" s="1" t="s">
        <v>38</v>
      </c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6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7">
        <v>879</v>
      </c>
      <c r="EB203" s="5"/>
      <c r="EC203" s="5"/>
      <c r="ED203" s="5"/>
      <c r="EE203" s="5"/>
      <c r="EF203" s="7">
        <v>826</v>
      </c>
      <c r="EG203" s="7">
        <v>800</v>
      </c>
      <c r="EH203" s="7">
        <v>782</v>
      </c>
      <c r="EI203" s="5"/>
    </row>
    <row r="204" spans="1:164" x14ac:dyDescent="0.3">
      <c r="A204" s="1" t="s">
        <v>1865</v>
      </c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6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7">
        <v>781</v>
      </c>
      <c r="EB204" s="5"/>
      <c r="EC204" s="5"/>
      <c r="ED204" s="5"/>
      <c r="EE204" s="5"/>
      <c r="EF204" s="7">
        <v>707</v>
      </c>
      <c r="EG204" s="7">
        <v>693</v>
      </c>
      <c r="EH204" s="7">
        <v>677</v>
      </c>
      <c r="EI204" s="5"/>
    </row>
    <row r="205" spans="1:164" x14ac:dyDescent="0.3">
      <c r="A205" s="4" t="s">
        <v>1894</v>
      </c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6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830">
        <f>+EA203+EA204</f>
        <v>1660</v>
      </c>
      <c r="EB205" s="5"/>
      <c r="EC205" s="5"/>
      <c r="ED205" s="5"/>
      <c r="EE205" s="5"/>
      <c r="EF205" s="830">
        <f>+EF203+EF204</f>
        <v>1533</v>
      </c>
      <c r="EG205" s="830">
        <f>+EG203+EG204</f>
        <v>1493</v>
      </c>
      <c r="EH205" s="830">
        <f>+EH203+EH204</f>
        <v>1459</v>
      </c>
      <c r="EI205" s="5"/>
    </row>
    <row r="206" spans="1:164" x14ac:dyDescent="0.3">
      <c r="A206" s="1" t="s">
        <v>465</v>
      </c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6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15">
        <f>+EA199</f>
        <v>94</v>
      </c>
      <c r="EB206" s="5"/>
      <c r="EC206" s="5"/>
      <c r="ED206" s="5"/>
      <c r="EE206" s="5"/>
      <c r="EF206" s="15">
        <f>+EF199</f>
        <v>83</v>
      </c>
      <c r="EG206" s="15">
        <f>+EG199</f>
        <v>83</v>
      </c>
      <c r="EH206" s="15">
        <f>+EH199</f>
        <v>84</v>
      </c>
      <c r="EI206" s="5"/>
    </row>
    <row r="207" spans="1:164" x14ac:dyDescent="0.3">
      <c r="A207" s="4" t="s">
        <v>19</v>
      </c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6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830">
        <f>+EA205+EA206</f>
        <v>1754</v>
      </c>
      <c r="EB207" s="5"/>
      <c r="EC207" s="5"/>
      <c r="ED207" s="5"/>
      <c r="EE207" s="5"/>
      <c r="EF207" s="830">
        <f>+EF205+EF206</f>
        <v>1616</v>
      </c>
      <c r="EG207" s="830">
        <f>+EG205+EG206</f>
        <v>1576</v>
      </c>
      <c r="EH207" s="830">
        <f>+EH205+EH206</f>
        <v>1543</v>
      </c>
      <c r="EI207" s="5"/>
    </row>
    <row r="208" spans="1:164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6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I208" s="5"/>
    </row>
    <row r="209" spans="1:166" x14ac:dyDescent="0.3">
      <c r="A209" s="25" t="s">
        <v>127</v>
      </c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</row>
    <row r="210" spans="1:166" x14ac:dyDescent="0.3">
      <c r="A210" s="26" t="s">
        <v>1</v>
      </c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6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I210" s="5"/>
    </row>
    <row r="211" spans="1:166" x14ac:dyDescent="0.3">
      <c r="A211" s="27" t="s">
        <v>128</v>
      </c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6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7">
        <v>119</v>
      </c>
      <c r="DV211" s="7">
        <v>267</v>
      </c>
      <c r="DW211" s="7">
        <v>683</v>
      </c>
      <c r="DX211" s="7">
        <v>760</v>
      </c>
      <c r="DY211" s="28">
        <f>+DX211</f>
        <v>760</v>
      </c>
      <c r="DZ211" s="7">
        <v>941</v>
      </c>
      <c r="EA211" s="7">
        <v>2290</v>
      </c>
      <c r="EB211" s="7">
        <v>1767</v>
      </c>
      <c r="EC211" s="7">
        <v>1829</v>
      </c>
      <c r="ED211" s="28">
        <f>+EC211</f>
        <v>1829</v>
      </c>
      <c r="EE211" s="7">
        <v>2107</v>
      </c>
      <c r="EF211" s="7">
        <v>993</v>
      </c>
      <c r="EG211" s="7">
        <v>1211</v>
      </c>
      <c r="EH211" s="7">
        <v>2127</v>
      </c>
      <c r="EI211" s="28">
        <f>+EH211</f>
        <v>2127</v>
      </c>
      <c r="EJ211" s="7">
        <f>1300</f>
        <v>1300</v>
      </c>
      <c r="EK211" s="7">
        <f>678</f>
        <v>678</v>
      </c>
      <c r="EL211" s="7">
        <f>230</f>
        <v>230</v>
      </c>
      <c r="EM211" s="7">
        <f>322</f>
        <v>322</v>
      </c>
      <c r="EN211" s="28">
        <f>+EM211</f>
        <v>322</v>
      </c>
      <c r="EO211" s="7">
        <f>1132</f>
        <v>1132</v>
      </c>
      <c r="EP211" s="7">
        <f>662</f>
        <v>662</v>
      </c>
      <c r="EQ211" s="7">
        <f>948</f>
        <v>948</v>
      </c>
      <c r="ER211" s="7">
        <v>1125</v>
      </c>
      <c r="ES211" s="28">
        <f>+ER211</f>
        <v>1125</v>
      </c>
      <c r="ET211" s="7">
        <v>1296</v>
      </c>
      <c r="EU211" s="7">
        <v>1197</v>
      </c>
      <c r="EV211" s="7">
        <v>1320</v>
      </c>
      <c r="EW211" s="7">
        <v>750</v>
      </c>
      <c r="EX211" s="28">
        <f>+EW211</f>
        <v>750</v>
      </c>
    </row>
    <row r="212" spans="1:166" x14ac:dyDescent="0.3">
      <c r="A212" s="27" t="s">
        <v>129</v>
      </c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6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7"/>
      <c r="DV212" s="7"/>
      <c r="DW212" s="7"/>
      <c r="DX212" s="7"/>
      <c r="DY212" s="28"/>
      <c r="DZ212" s="7"/>
      <c r="EA212" s="7"/>
      <c r="EB212" s="7"/>
      <c r="EC212" s="7"/>
      <c r="ED212" s="28"/>
      <c r="EE212" s="7"/>
      <c r="EF212" s="7"/>
      <c r="EG212" s="7"/>
      <c r="EH212" s="7"/>
      <c r="EI212" s="28"/>
      <c r="EJ212" s="7">
        <v>900</v>
      </c>
      <c r="EK212" s="7">
        <v>2300</v>
      </c>
      <c r="EL212" s="7">
        <v>2325</v>
      </c>
      <c r="EM212" s="7">
        <v>1750</v>
      </c>
      <c r="EN212" s="28">
        <f>+EM212</f>
        <v>1750</v>
      </c>
      <c r="EO212" s="7">
        <v>900</v>
      </c>
      <c r="EP212" s="7">
        <v>575</v>
      </c>
      <c r="EQ212" s="7">
        <v>1275</v>
      </c>
      <c r="ER212" s="7">
        <v>1075</v>
      </c>
      <c r="ES212" s="28">
        <f>+ER212</f>
        <v>1075</v>
      </c>
      <c r="ET212" s="7">
        <v>225</v>
      </c>
      <c r="EU212" s="7">
        <v>0</v>
      </c>
      <c r="EV212" s="7">
        <v>0</v>
      </c>
      <c r="EW212" s="7">
        <v>0</v>
      </c>
      <c r="EX212" s="28">
        <f>+EW212</f>
        <v>0</v>
      </c>
    </row>
    <row r="213" spans="1:166" x14ac:dyDescent="0.3">
      <c r="A213" s="27" t="s">
        <v>130</v>
      </c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6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7">
        <v>715</v>
      </c>
      <c r="DV213" s="7">
        <v>674</v>
      </c>
      <c r="DW213" s="7">
        <v>654</v>
      </c>
      <c r="DX213" s="7">
        <v>629</v>
      </c>
      <c r="DY213" s="28">
        <f t="shared" ref="DY213:DY225" si="309">+DX213</f>
        <v>629</v>
      </c>
      <c r="DZ213" s="7">
        <v>596</v>
      </c>
      <c r="EA213" s="7">
        <v>602</v>
      </c>
      <c r="EB213" s="7">
        <v>562</v>
      </c>
      <c r="EC213" s="7">
        <v>553</v>
      </c>
      <c r="ED213" s="28">
        <f t="shared" ref="ED213:ED225" si="310">+EC213</f>
        <v>553</v>
      </c>
      <c r="EE213" s="7">
        <v>519</v>
      </c>
      <c r="EF213" s="7">
        <v>504</v>
      </c>
      <c r="EG213" s="7">
        <v>452</v>
      </c>
      <c r="EH213" s="7">
        <v>458</v>
      </c>
      <c r="EI213" s="28">
        <f t="shared" ref="EI213:EI225" si="311">+EH213</f>
        <v>458</v>
      </c>
      <c r="EJ213" s="7">
        <v>397</v>
      </c>
      <c r="EK213" s="7">
        <v>420</v>
      </c>
      <c r="EL213" s="7">
        <v>422</v>
      </c>
      <c r="EM213" s="7">
        <v>438</v>
      </c>
      <c r="EN213" s="28">
        <f t="shared" ref="EN213:EN225" si="312">+EM213</f>
        <v>438</v>
      </c>
      <c r="EO213" s="7">
        <v>430</v>
      </c>
      <c r="EP213" s="7">
        <v>431</v>
      </c>
      <c r="EQ213" s="7">
        <v>449</v>
      </c>
      <c r="ER213" s="7">
        <v>446</v>
      </c>
      <c r="ES213" s="28">
        <f t="shared" ref="ES213:ES216" si="313">+ER213</f>
        <v>446</v>
      </c>
      <c r="ET213" s="7">
        <v>447</v>
      </c>
      <c r="EU213" s="7">
        <v>434</v>
      </c>
      <c r="EV213" s="7">
        <v>419</v>
      </c>
      <c r="EW213" s="7">
        <v>379</v>
      </c>
      <c r="EX213" s="28">
        <f t="shared" ref="EX213:EX216" si="314">+EW213</f>
        <v>379</v>
      </c>
    </row>
    <row r="214" spans="1:166" x14ac:dyDescent="0.3">
      <c r="A214" s="27" t="s">
        <v>131</v>
      </c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6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7">
        <v>0</v>
      </c>
      <c r="DV214" s="7">
        <v>1405</v>
      </c>
      <c r="DW214" s="7">
        <v>1402</v>
      </c>
      <c r="DX214" s="7">
        <v>1401</v>
      </c>
      <c r="DY214" s="28">
        <f t="shared" si="309"/>
        <v>1401</v>
      </c>
      <c r="DZ214" s="7">
        <v>1406</v>
      </c>
      <c r="EA214" s="7">
        <v>0</v>
      </c>
      <c r="EB214" s="7">
        <v>0</v>
      </c>
      <c r="EC214" s="7">
        <v>0</v>
      </c>
      <c r="ED214" s="28">
        <f t="shared" si="310"/>
        <v>0</v>
      </c>
      <c r="EE214" s="7">
        <v>0</v>
      </c>
      <c r="EF214" s="7">
        <v>0</v>
      </c>
      <c r="EG214" s="7">
        <v>0</v>
      </c>
      <c r="EH214" s="7">
        <v>0</v>
      </c>
      <c r="EI214" s="28">
        <f t="shared" si="311"/>
        <v>0</v>
      </c>
      <c r="EJ214" s="7">
        <v>0</v>
      </c>
      <c r="EK214" s="7">
        <v>0</v>
      </c>
      <c r="EL214" s="7">
        <v>0</v>
      </c>
      <c r="EM214" s="7">
        <v>0</v>
      </c>
      <c r="EN214" s="28">
        <f t="shared" si="312"/>
        <v>0</v>
      </c>
      <c r="EO214" s="7">
        <v>0</v>
      </c>
      <c r="EP214" s="7">
        <v>0</v>
      </c>
      <c r="EQ214" s="7">
        <v>0</v>
      </c>
      <c r="ER214" s="7">
        <v>0</v>
      </c>
      <c r="ES214" s="28">
        <f t="shared" si="313"/>
        <v>0</v>
      </c>
      <c r="ET214" s="7">
        <v>0</v>
      </c>
      <c r="EU214" s="7">
        <v>0</v>
      </c>
      <c r="EV214" s="7">
        <v>0</v>
      </c>
      <c r="EW214" s="7">
        <v>0</v>
      </c>
      <c r="EX214" s="28">
        <f t="shared" si="314"/>
        <v>0</v>
      </c>
    </row>
    <row r="215" spans="1:166" x14ac:dyDescent="0.3">
      <c r="A215" s="27" t="s">
        <v>132</v>
      </c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6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7">
        <v>276</v>
      </c>
      <c r="DV215" s="7">
        <v>268</v>
      </c>
      <c r="DW215" s="7">
        <v>270</v>
      </c>
      <c r="DX215" s="7">
        <v>247</v>
      </c>
      <c r="DY215" s="28">
        <f t="shared" si="309"/>
        <v>247</v>
      </c>
      <c r="DZ215" s="7">
        <v>259</v>
      </c>
      <c r="EA215" s="7">
        <v>327</v>
      </c>
      <c r="EB215" s="7">
        <v>309</v>
      </c>
      <c r="EC215" s="7">
        <v>272</v>
      </c>
      <c r="ED215" s="28">
        <f t="shared" si="310"/>
        <v>272</v>
      </c>
      <c r="EE215" s="7">
        <v>221</v>
      </c>
      <c r="EF215" s="7">
        <v>128</v>
      </c>
      <c r="EG215" s="7">
        <v>124</v>
      </c>
      <c r="EH215" s="7">
        <v>103</v>
      </c>
      <c r="EI215" s="28">
        <f t="shared" si="311"/>
        <v>103</v>
      </c>
      <c r="EJ215" s="7">
        <v>91</v>
      </c>
      <c r="EK215" s="7">
        <v>104</v>
      </c>
      <c r="EL215" s="7">
        <v>101</v>
      </c>
      <c r="EM215" s="7">
        <v>87</v>
      </c>
      <c r="EN215" s="28">
        <f t="shared" si="312"/>
        <v>87</v>
      </c>
      <c r="EO215" s="7">
        <v>82</v>
      </c>
      <c r="EP215" s="7">
        <v>93</v>
      </c>
      <c r="EQ215" s="7">
        <v>126</v>
      </c>
      <c r="ER215" s="7">
        <v>135</v>
      </c>
      <c r="ES215" s="28">
        <f t="shared" si="313"/>
        <v>135</v>
      </c>
      <c r="ET215" s="7">
        <v>113</v>
      </c>
      <c r="EU215" s="7">
        <v>124</v>
      </c>
      <c r="EV215" s="7">
        <v>147</v>
      </c>
      <c r="EW215" s="7">
        <v>131</v>
      </c>
      <c r="EX215" s="28">
        <f t="shared" si="314"/>
        <v>131</v>
      </c>
    </row>
    <row r="216" spans="1:166" x14ac:dyDescent="0.3">
      <c r="A216" s="29" t="s">
        <v>133</v>
      </c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6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830">
        <f>+SUM(DU211:DU215)</f>
        <v>1110</v>
      </c>
      <c r="DV216" s="830">
        <f>+SUM(DV211:DV215)</f>
        <v>2614</v>
      </c>
      <c r="DW216" s="830">
        <f>+SUM(DW211:DW215)</f>
        <v>3009</v>
      </c>
      <c r="DX216" s="830">
        <f>+SUM(DX211:DX215)</f>
        <v>3037</v>
      </c>
      <c r="DY216" s="1288">
        <f t="shared" si="309"/>
        <v>3037</v>
      </c>
      <c r="DZ216" s="830">
        <f>+SUM(DZ211:DZ215)</f>
        <v>3202</v>
      </c>
      <c r="EA216" s="830">
        <f>+SUM(EA211:EA215)</f>
        <v>3219</v>
      </c>
      <c r="EB216" s="830">
        <f>+SUM(EB211:EB215)</f>
        <v>2638</v>
      </c>
      <c r="EC216" s="830">
        <f>+SUM(EC211:EC215)</f>
        <v>2654</v>
      </c>
      <c r="ED216" s="1288">
        <f t="shared" si="310"/>
        <v>2654</v>
      </c>
      <c r="EE216" s="830">
        <f>+SUM(EE211:EE215)</f>
        <v>2847</v>
      </c>
      <c r="EF216" s="830">
        <f>+SUM(EF211:EF215)</f>
        <v>1625</v>
      </c>
      <c r="EG216" s="830">
        <f>+SUM(EG211:EG215)</f>
        <v>1787</v>
      </c>
      <c r="EH216" s="830">
        <f>+SUM(EH211:EH215)</f>
        <v>2688</v>
      </c>
      <c r="EI216" s="1288">
        <f t="shared" si="311"/>
        <v>2688</v>
      </c>
      <c r="EJ216" s="830">
        <f>+SUM(EJ211:EJ215)</f>
        <v>2688</v>
      </c>
      <c r="EK216" s="830">
        <f>+SUM(EK211:EK215)</f>
        <v>3502</v>
      </c>
      <c r="EL216" s="830">
        <f>+SUM(EL211:EL215)</f>
        <v>3078</v>
      </c>
      <c r="EM216" s="830">
        <f>+SUM(EM211:EM215)</f>
        <v>2597</v>
      </c>
      <c r="EN216" s="1288">
        <f t="shared" si="312"/>
        <v>2597</v>
      </c>
      <c r="EO216" s="830">
        <f>+SUM(EO211:EO215)</f>
        <v>2544</v>
      </c>
      <c r="EP216" s="830">
        <f>+SUM(EP211:EP215)</f>
        <v>1761</v>
      </c>
      <c r="EQ216" s="830">
        <f>+SUM(EQ211:EQ215)</f>
        <v>2798</v>
      </c>
      <c r="ER216" s="830">
        <f>+SUM(ER211:ER215)</f>
        <v>2781</v>
      </c>
      <c r="ES216" s="1288">
        <f t="shared" si="313"/>
        <v>2781</v>
      </c>
      <c r="ET216" s="830">
        <f>+SUM(ET211:ET215)</f>
        <v>2081</v>
      </c>
      <c r="EU216" s="830">
        <f>+SUM(EU211:EU215)</f>
        <v>1755</v>
      </c>
      <c r="EV216" s="830">
        <f>+SUM(EV211:EV215)</f>
        <v>1886</v>
      </c>
      <c r="EW216" s="830">
        <f>+SUM(EW211:EW215)</f>
        <v>1260</v>
      </c>
      <c r="EX216" s="1288">
        <f t="shared" si="314"/>
        <v>1260</v>
      </c>
    </row>
    <row r="217" spans="1:166" x14ac:dyDescent="0.3">
      <c r="A217" s="30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6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80"/>
      <c r="EB217" s="80"/>
      <c r="EC217" s="80"/>
      <c r="ED217" s="5"/>
      <c r="EE217" s="80"/>
      <c r="EF217" s="80"/>
      <c r="EG217" s="80"/>
      <c r="EH217" s="80"/>
      <c r="EI217" s="5"/>
      <c r="EJ217" s="80"/>
      <c r="EK217" s="80"/>
      <c r="EL217" s="80"/>
      <c r="EM217" s="80"/>
      <c r="EN217" s="5"/>
      <c r="EO217" s="80"/>
      <c r="EP217" s="80"/>
      <c r="EQ217" s="80"/>
    </row>
    <row r="218" spans="1:166" x14ac:dyDescent="0.3">
      <c r="A218" s="27" t="s">
        <v>134</v>
      </c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6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7">
        <v>14034</v>
      </c>
      <c r="DV218" s="7">
        <v>12999</v>
      </c>
      <c r="DW218" s="7">
        <v>12973</v>
      </c>
      <c r="DX218" s="7">
        <v>12963</v>
      </c>
      <c r="DY218" s="28">
        <f t="shared" si="309"/>
        <v>12963</v>
      </c>
      <c r="DZ218" s="7">
        <v>12890</v>
      </c>
      <c r="EA218" s="7">
        <v>12845</v>
      </c>
      <c r="EB218" s="7">
        <v>12858</v>
      </c>
      <c r="EC218" s="7">
        <v>12931</v>
      </c>
      <c r="ED218" s="28">
        <f t="shared" si="310"/>
        <v>12931</v>
      </c>
      <c r="EE218" s="7">
        <v>12987</v>
      </c>
      <c r="EF218" s="7">
        <v>8686</v>
      </c>
      <c r="EG218" s="7">
        <v>8918</v>
      </c>
      <c r="EH218" s="7">
        <v>9199</v>
      </c>
      <c r="EI218" s="28">
        <f t="shared" si="311"/>
        <v>9199</v>
      </c>
      <c r="EJ218" s="7">
        <v>9575</v>
      </c>
      <c r="EK218" s="7">
        <v>10108</v>
      </c>
      <c r="EL218" s="7">
        <v>10847</v>
      </c>
      <c r="EM218" s="7">
        <v>11850</v>
      </c>
      <c r="EN218" s="28">
        <f t="shared" si="312"/>
        <v>11850</v>
      </c>
      <c r="EO218" s="7">
        <v>12748</v>
      </c>
      <c r="EP218" s="7">
        <v>13353</v>
      </c>
      <c r="EQ218" s="7">
        <v>13621</v>
      </c>
      <c r="ER218" s="7">
        <v>13933</v>
      </c>
      <c r="ES218" s="28">
        <f t="shared" ref="ES218:ES220" si="315">+ER218</f>
        <v>13933</v>
      </c>
      <c r="ET218" s="7">
        <v>14296</v>
      </c>
      <c r="EU218" s="7">
        <v>14703</v>
      </c>
      <c r="EV218" s="7">
        <v>15226</v>
      </c>
      <c r="EW218" s="7">
        <v>15678</v>
      </c>
      <c r="EX218" s="28">
        <f t="shared" ref="EX218:EX220" si="316">+EW218</f>
        <v>15678</v>
      </c>
    </row>
    <row r="219" spans="1:166" x14ac:dyDescent="0.3">
      <c r="A219" s="27" t="s">
        <v>135</v>
      </c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6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7">
        <v>8218</v>
      </c>
      <c r="DV219" s="7">
        <v>1952</v>
      </c>
      <c r="DW219" s="7">
        <v>1579</v>
      </c>
      <c r="DX219" s="7">
        <v>1488</v>
      </c>
      <c r="DY219" s="28">
        <f t="shared" si="309"/>
        <v>1488</v>
      </c>
      <c r="DZ219" s="7">
        <v>1396</v>
      </c>
      <c r="EA219" s="7">
        <v>1403</v>
      </c>
      <c r="EB219" s="7">
        <v>1291</v>
      </c>
      <c r="EC219" s="7">
        <v>1210</v>
      </c>
      <c r="ED219" s="28">
        <f t="shared" si="310"/>
        <v>1210</v>
      </c>
      <c r="EE219" s="7">
        <v>1126</v>
      </c>
      <c r="EF219" s="7">
        <v>4791</v>
      </c>
      <c r="EG219" s="7">
        <v>4683</v>
      </c>
      <c r="EH219" s="7">
        <v>4594</v>
      </c>
      <c r="EI219" s="28">
        <f t="shared" si="311"/>
        <v>4594</v>
      </c>
      <c r="EJ219" s="7">
        <v>4492</v>
      </c>
      <c r="EK219" s="7">
        <v>4425</v>
      </c>
      <c r="EL219" s="7">
        <v>4348</v>
      </c>
      <c r="EM219" s="7">
        <v>4177</v>
      </c>
      <c r="EN219" s="28">
        <f t="shared" si="312"/>
        <v>4177</v>
      </c>
      <c r="EO219" s="7">
        <v>4106</v>
      </c>
      <c r="EP219" s="7">
        <v>4036</v>
      </c>
      <c r="EQ219" s="7">
        <v>4090</v>
      </c>
      <c r="ER219" s="7">
        <v>3979</v>
      </c>
      <c r="ES219" s="28">
        <f t="shared" si="315"/>
        <v>3979</v>
      </c>
      <c r="ET219" s="7">
        <v>3820</v>
      </c>
      <c r="EU219" s="7">
        <v>3736</v>
      </c>
      <c r="EV219" s="7">
        <v>3747</v>
      </c>
      <c r="EW219" s="7">
        <v>3676</v>
      </c>
      <c r="EX219" s="28">
        <f t="shared" si="316"/>
        <v>3676</v>
      </c>
    </row>
    <row r="220" spans="1:166" x14ac:dyDescent="0.3">
      <c r="A220" s="29" t="s">
        <v>136</v>
      </c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6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830">
        <f>+SUM(DU218:DU219,DU216)</f>
        <v>23362</v>
      </c>
      <c r="DV220" s="830">
        <f>+SUM(DV218:DV219,DV216)</f>
        <v>17565</v>
      </c>
      <c r="DW220" s="830">
        <f>+SUM(DW218:DW219,DW216)</f>
        <v>17561</v>
      </c>
      <c r="DX220" s="830">
        <f>+SUM(DX218:DX219,DX216)</f>
        <v>17488</v>
      </c>
      <c r="DY220" s="1288">
        <f t="shared" si="309"/>
        <v>17488</v>
      </c>
      <c r="DZ220" s="830">
        <f>+SUM(DZ218:DZ219,DZ216)</f>
        <v>17488</v>
      </c>
      <c r="EA220" s="830">
        <f>+SUM(EA218:EA219,EA216)</f>
        <v>17467</v>
      </c>
      <c r="EB220" s="830">
        <f>+SUM(EB218:EB219,EB216)</f>
        <v>16787</v>
      </c>
      <c r="EC220" s="830">
        <f>+SUM(EC218:EC219,EC216)</f>
        <v>16795</v>
      </c>
      <c r="ED220" s="1288">
        <f t="shared" si="310"/>
        <v>16795</v>
      </c>
      <c r="EE220" s="830">
        <f>+SUM(EE218:EE219,EE216)</f>
        <v>16960</v>
      </c>
      <c r="EF220" s="830">
        <f>+SUM(EF218:EF219,EF216)</f>
        <v>15102</v>
      </c>
      <c r="EG220" s="830">
        <f>+SUM(EG218:EG219,EG216)</f>
        <v>15388</v>
      </c>
      <c r="EH220" s="830">
        <f>+SUM(EH218:EH219,EH216)</f>
        <v>16481</v>
      </c>
      <c r="EI220" s="1288">
        <f t="shared" si="311"/>
        <v>16481</v>
      </c>
      <c r="EJ220" s="830">
        <f>+SUM(EJ218:EJ219,EJ216)</f>
        <v>16755</v>
      </c>
      <c r="EK220" s="830">
        <f>+SUM(EK218:EK219,EK216)</f>
        <v>18035</v>
      </c>
      <c r="EL220" s="830">
        <f>+SUM(EL218:EL219,EL216)</f>
        <v>18273</v>
      </c>
      <c r="EM220" s="830">
        <f>+SUM(EM218:EM219,EM216)</f>
        <v>18624</v>
      </c>
      <c r="EN220" s="1288">
        <f t="shared" si="312"/>
        <v>18624</v>
      </c>
      <c r="EO220" s="830">
        <f>+SUM(EO218:EO219,EO216)</f>
        <v>19398</v>
      </c>
      <c r="EP220" s="830">
        <f>+SUM(EP218:EP219,EP216)</f>
        <v>19150</v>
      </c>
      <c r="EQ220" s="830">
        <f>+SUM(EQ218:EQ219,EQ216)</f>
        <v>20509</v>
      </c>
      <c r="ER220" s="830">
        <f>+SUM(ER218:ER219,ER216)</f>
        <v>20693</v>
      </c>
      <c r="ES220" s="1288">
        <f t="shared" si="315"/>
        <v>20693</v>
      </c>
      <c r="ET220" s="830">
        <f>+SUM(ET218:ET219,ET216)</f>
        <v>20197</v>
      </c>
      <c r="EU220" s="830">
        <f>+SUM(EU218:EU219,EU216)</f>
        <v>20194</v>
      </c>
      <c r="EV220" s="830">
        <f>+SUM(EV218:EV219,EV216)</f>
        <v>20859</v>
      </c>
      <c r="EW220" s="830">
        <f>+SUM(EW218:EW219,EW216)</f>
        <v>20614</v>
      </c>
      <c r="EX220" s="1288">
        <f t="shared" si="316"/>
        <v>20614</v>
      </c>
    </row>
    <row r="221" spans="1:166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6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</row>
    <row r="222" spans="1:166" x14ac:dyDescent="0.3">
      <c r="A222" s="27" t="s">
        <v>137</v>
      </c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6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7">
        <v>393</v>
      </c>
      <c r="DV222" s="7">
        <v>440</v>
      </c>
      <c r="DW222" s="7">
        <v>994</v>
      </c>
      <c r="DX222" s="7">
        <v>994</v>
      </c>
      <c r="DY222" s="28">
        <f t="shared" si="309"/>
        <v>994</v>
      </c>
      <c r="DZ222" s="7">
        <v>17306</v>
      </c>
      <c r="EA222" s="7">
        <v>6446</v>
      </c>
      <c r="EB222" s="7">
        <v>5701</v>
      </c>
      <c r="EC222" s="7">
        <v>5781</v>
      </c>
      <c r="ED222" s="28">
        <f t="shared" si="310"/>
        <v>5781</v>
      </c>
      <c r="EE222" s="7">
        <v>5782</v>
      </c>
      <c r="EF222" s="7">
        <v>15</v>
      </c>
      <c r="EG222" s="7">
        <v>15</v>
      </c>
      <c r="EH222" s="7">
        <v>15</v>
      </c>
      <c r="EI222" s="28">
        <f t="shared" si="311"/>
        <v>15</v>
      </c>
      <c r="EJ222" s="7">
        <v>15</v>
      </c>
      <c r="EK222" s="7">
        <v>15</v>
      </c>
      <c r="EL222" s="7">
        <v>15</v>
      </c>
      <c r="EM222" s="7">
        <v>15</v>
      </c>
      <c r="EN222" s="28">
        <f t="shared" si="312"/>
        <v>15</v>
      </c>
      <c r="EO222" s="7">
        <v>15</v>
      </c>
      <c r="EP222" s="7">
        <v>15</v>
      </c>
      <c r="EQ222" s="7">
        <v>15</v>
      </c>
      <c r="ER222" s="7">
        <v>15</v>
      </c>
      <c r="ES222" s="28">
        <f t="shared" ref="ES222:ES225" si="317">+ER222</f>
        <v>15</v>
      </c>
      <c r="ET222" s="7">
        <v>15</v>
      </c>
      <c r="EU222" s="7">
        <v>15</v>
      </c>
      <c r="EV222" s="7">
        <v>10</v>
      </c>
      <c r="EW222" s="7">
        <v>10</v>
      </c>
      <c r="EX222" s="28">
        <f t="shared" ref="EX222:EX225" si="318">+EW222</f>
        <v>10</v>
      </c>
    </row>
    <row r="223" spans="1:166" x14ac:dyDescent="0.3">
      <c r="A223" s="27" t="s">
        <v>138</v>
      </c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6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7">
        <v>0</v>
      </c>
      <c r="DV223" s="7">
        <v>134</v>
      </c>
      <c r="DW223" s="7">
        <v>134</v>
      </c>
      <c r="DX223" s="7">
        <v>123</v>
      </c>
      <c r="DY223" s="28">
        <f t="shared" si="309"/>
        <v>123</v>
      </c>
      <c r="DZ223" s="7">
        <v>115</v>
      </c>
      <c r="EA223" s="7">
        <v>0</v>
      </c>
      <c r="EB223" s="7">
        <v>0</v>
      </c>
      <c r="EC223" s="7">
        <v>0</v>
      </c>
      <c r="ED223" s="28">
        <f t="shared" si="310"/>
        <v>0</v>
      </c>
      <c r="EE223" s="7">
        <v>0</v>
      </c>
      <c r="EF223" s="7">
        <v>0</v>
      </c>
      <c r="EG223" s="7">
        <v>0</v>
      </c>
      <c r="EH223" s="7">
        <v>0</v>
      </c>
      <c r="EI223" s="28">
        <f t="shared" si="311"/>
        <v>0</v>
      </c>
      <c r="EJ223" s="7">
        <v>0</v>
      </c>
      <c r="EK223" s="7">
        <v>0</v>
      </c>
      <c r="EL223" s="7">
        <v>0</v>
      </c>
      <c r="EM223" s="7">
        <v>0</v>
      </c>
      <c r="EN223" s="28">
        <f t="shared" si="312"/>
        <v>0</v>
      </c>
      <c r="EO223" s="7">
        <v>0</v>
      </c>
      <c r="EP223" s="7">
        <v>0</v>
      </c>
      <c r="EQ223" s="7">
        <v>0</v>
      </c>
      <c r="ER223" s="7">
        <v>0</v>
      </c>
      <c r="ES223" s="28">
        <f t="shared" si="317"/>
        <v>0</v>
      </c>
      <c r="ET223" s="7">
        <v>0</v>
      </c>
      <c r="EU223" s="7">
        <v>0</v>
      </c>
      <c r="EV223" s="7">
        <v>0</v>
      </c>
      <c r="EW223" s="7">
        <v>0</v>
      </c>
      <c r="EX223" s="28">
        <f t="shared" si="318"/>
        <v>0</v>
      </c>
    </row>
    <row r="224" spans="1:166" x14ac:dyDescent="0.3">
      <c r="A224" s="27" t="s">
        <v>139</v>
      </c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6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7">
        <v>1617</v>
      </c>
      <c r="DV224" s="7">
        <v>1726</v>
      </c>
      <c r="DW224" s="7">
        <v>1612</v>
      </c>
      <c r="DX224" s="7">
        <v>1687</v>
      </c>
      <c r="DY224" s="28">
        <f t="shared" si="309"/>
        <v>1687</v>
      </c>
      <c r="DZ224" s="7">
        <v>1808</v>
      </c>
      <c r="EA224" s="7">
        <v>1366</v>
      </c>
      <c r="EB224" s="7">
        <v>1411</v>
      </c>
      <c r="EC224" s="7">
        <v>1359</v>
      </c>
      <c r="ED224" s="28">
        <f t="shared" si="310"/>
        <v>1359</v>
      </c>
      <c r="EE224" s="7">
        <v>1369</v>
      </c>
      <c r="EF224" s="7">
        <v>1376</v>
      </c>
      <c r="EG224" s="7">
        <v>1465</v>
      </c>
      <c r="EH224" s="7">
        <v>1436</v>
      </c>
      <c r="EI224" s="28">
        <f t="shared" si="311"/>
        <v>1436</v>
      </c>
      <c r="EJ224" s="7">
        <v>1698</v>
      </c>
      <c r="EK224" s="7">
        <v>1764</v>
      </c>
      <c r="EL224" s="7">
        <v>1962</v>
      </c>
      <c r="EM224" s="7">
        <v>2280</v>
      </c>
      <c r="EN224" s="28">
        <f t="shared" si="312"/>
        <v>2280</v>
      </c>
      <c r="EO224" s="7">
        <v>2296</v>
      </c>
      <c r="EP224" s="7">
        <v>2052</v>
      </c>
      <c r="EQ224" s="7">
        <v>2036</v>
      </c>
      <c r="ER224" s="7">
        <v>2260</v>
      </c>
      <c r="ES224" s="28">
        <f t="shared" si="317"/>
        <v>2260</v>
      </c>
      <c r="ET224" s="7">
        <v>1925</v>
      </c>
      <c r="EU224" s="7">
        <v>2004</v>
      </c>
      <c r="EV224" s="7">
        <v>2443</v>
      </c>
      <c r="EW224" s="7">
        <v>2279</v>
      </c>
      <c r="EX224" s="28">
        <f t="shared" si="318"/>
        <v>2279</v>
      </c>
    </row>
    <row r="225" spans="1:167" x14ac:dyDescent="0.3">
      <c r="A225" s="29" t="s">
        <v>140</v>
      </c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6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830">
        <f>+SUM(DU222:DU224)</f>
        <v>2010</v>
      </c>
      <c r="DV225" s="830">
        <f>+SUM(DV222:DV224)</f>
        <v>2300</v>
      </c>
      <c r="DW225" s="830">
        <f>+SUM(DW222:DW224)</f>
        <v>2740</v>
      </c>
      <c r="DX225" s="830">
        <f>+SUM(DX222:DX224)</f>
        <v>2804</v>
      </c>
      <c r="DY225" s="1288">
        <f t="shared" si="309"/>
        <v>2804</v>
      </c>
      <c r="DZ225" s="830">
        <f>+SUM(DZ222:DZ224)</f>
        <v>19229</v>
      </c>
      <c r="EA225" s="830">
        <f>+SUM(EA222:EA224)</f>
        <v>7812</v>
      </c>
      <c r="EB225" s="830">
        <f>+SUM(EB222:EB224)</f>
        <v>7112</v>
      </c>
      <c r="EC225" s="830">
        <f>+SUM(EC222:EC224)</f>
        <v>7140</v>
      </c>
      <c r="ED225" s="1288">
        <f t="shared" si="310"/>
        <v>7140</v>
      </c>
      <c r="EE225" s="830">
        <f>+SUM(EE222:EE224)</f>
        <v>7151</v>
      </c>
      <c r="EF225" s="830">
        <f>+SUM(EF222:EF224)</f>
        <v>1391</v>
      </c>
      <c r="EG225" s="830">
        <f>+SUM(EG222:EG224)</f>
        <v>1480</v>
      </c>
      <c r="EH225" s="830">
        <f>+SUM(EH222:EH224)</f>
        <v>1451</v>
      </c>
      <c r="EI225" s="1288">
        <f t="shared" si="311"/>
        <v>1451</v>
      </c>
      <c r="EJ225" s="830">
        <f>+SUM(EJ222:EJ224)</f>
        <v>1713</v>
      </c>
      <c r="EK225" s="830">
        <f>+SUM(EK222:EK224)</f>
        <v>1779</v>
      </c>
      <c r="EL225" s="830">
        <f>+SUM(EL222:EL224)</f>
        <v>1977</v>
      </c>
      <c r="EM225" s="830">
        <f>+SUM(EM222:EM224)</f>
        <v>2295</v>
      </c>
      <c r="EN225" s="1288">
        <f t="shared" si="312"/>
        <v>2295</v>
      </c>
      <c r="EO225" s="830">
        <f>+SUM(EO222:EO224)</f>
        <v>2311</v>
      </c>
      <c r="EP225" s="830">
        <f>+SUM(EP222:EP224)</f>
        <v>2067</v>
      </c>
      <c r="EQ225" s="830">
        <f>+SUM(EQ222:EQ224)</f>
        <v>2051</v>
      </c>
      <c r="ER225" s="830">
        <f>+SUM(ER222:ER224)</f>
        <v>2275</v>
      </c>
      <c r="ES225" s="1288">
        <f t="shared" si="317"/>
        <v>2275</v>
      </c>
      <c r="ET225" s="830">
        <f>+SUM(ET222:ET224)</f>
        <v>1940</v>
      </c>
      <c r="EU225" s="830">
        <f>+SUM(EU222:EU224)</f>
        <v>2019</v>
      </c>
      <c r="EV225" s="830">
        <f>+SUM(EV222:EV224)</f>
        <v>2453</v>
      </c>
      <c r="EW225" s="830">
        <f>+SUM(EW222:EW224)</f>
        <v>2289</v>
      </c>
      <c r="EX225" s="1288">
        <f t="shared" si="318"/>
        <v>2289</v>
      </c>
    </row>
    <row r="226" spans="1:167" x14ac:dyDescent="0.3">
      <c r="A226" s="29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6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</row>
    <row r="227" spans="1:167" x14ac:dyDescent="0.3">
      <c r="A227" s="27" t="s">
        <v>141</v>
      </c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6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7">
        <v>3291</v>
      </c>
      <c r="DV227" s="7">
        <v>2679</v>
      </c>
      <c r="DW227" s="7">
        <v>2619</v>
      </c>
      <c r="DX227" s="7">
        <v>2770</v>
      </c>
      <c r="DY227" s="28">
        <f>+DX227</f>
        <v>2770</v>
      </c>
      <c r="DZ227" s="7">
        <v>2752</v>
      </c>
      <c r="EA227" s="7">
        <v>3155</v>
      </c>
      <c r="EB227" s="7">
        <v>3014</v>
      </c>
      <c r="EC227" s="7">
        <v>2990</v>
      </c>
      <c r="ED227" s="28">
        <f>+EC227</f>
        <v>2990</v>
      </c>
      <c r="EE227" s="7">
        <v>3069</v>
      </c>
      <c r="EF227" s="7">
        <v>2456</v>
      </c>
      <c r="EG227" s="7">
        <v>2527</v>
      </c>
      <c r="EH227" s="7">
        <v>2462</v>
      </c>
      <c r="EI227" s="28">
        <f>+EH227</f>
        <v>2462</v>
      </c>
      <c r="EJ227" s="7">
        <v>2407</v>
      </c>
      <c r="EK227" s="7">
        <v>2330</v>
      </c>
      <c r="EL227" s="7">
        <v>2243</v>
      </c>
      <c r="EM227" s="7">
        <v>2085</v>
      </c>
      <c r="EN227" s="28">
        <f>+EM227</f>
        <v>2085</v>
      </c>
      <c r="EO227" s="7">
        <v>2085</v>
      </c>
      <c r="EP227" s="7">
        <v>2062</v>
      </c>
      <c r="EQ227" s="7">
        <v>1960</v>
      </c>
      <c r="ER227" s="7">
        <v>1893</v>
      </c>
      <c r="ES227" s="28">
        <f>+ER227</f>
        <v>1893</v>
      </c>
      <c r="ET227" s="7">
        <v>1758</v>
      </c>
      <c r="EU227" s="7">
        <v>1804</v>
      </c>
      <c r="EV227" s="7">
        <v>1784</v>
      </c>
      <c r="EW227" s="7">
        <v>1833</v>
      </c>
      <c r="EX227" s="28">
        <f>+EW227</f>
        <v>1833</v>
      </c>
    </row>
    <row r="228" spans="1:167" x14ac:dyDescent="0.3">
      <c r="A228" s="27" t="s">
        <v>142</v>
      </c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6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7">
        <v>0</v>
      </c>
      <c r="DV228" s="7">
        <v>0</v>
      </c>
      <c r="DW228" s="7">
        <v>0</v>
      </c>
      <c r="DX228" s="7">
        <v>0</v>
      </c>
      <c r="DY228" s="28">
        <f>+DX228</f>
        <v>0</v>
      </c>
      <c r="DZ228" s="7">
        <v>0</v>
      </c>
      <c r="EA228" s="7">
        <v>11597</v>
      </c>
      <c r="EB228" s="7">
        <v>11587</v>
      </c>
      <c r="EC228" s="7">
        <v>11565</v>
      </c>
      <c r="ED228" s="28">
        <f>+EC228</f>
        <v>11565</v>
      </c>
      <c r="EE228" s="7">
        <v>11570</v>
      </c>
      <c r="EF228" s="7">
        <v>0</v>
      </c>
      <c r="EG228" s="7">
        <v>0</v>
      </c>
      <c r="EH228" s="7">
        <v>0</v>
      </c>
      <c r="EI228" s="28">
        <f>+EH228</f>
        <v>0</v>
      </c>
      <c r="EJ228" s="7">
        <v>0</v>
      </c>
      <c r="EK228" s="7">
        <v>0</v>
      </c>
      <c r="EL228" s="7">
        <v>0</v>
      </c>
      <c r="EM228" s="7">
        <v>0</v>
      </c>
      <c r="EN228" s="28">
        <f>+EM228</f>
        <v>0</v>
      </c>
      <c r="EO228" s="7">
        <v>0</v>
      </c>
      <c r="EP228" s="7">
        <v>0</v>
      </c>
      <c r="EQ228" s="7">
        <v>0</v>
      </c>
      <c r="ER228" s="7">
        <v>0</v>
      </c>
      <c r="ES228" s="28">
        <f>+ER228</f>
        <v>0</v>
      </c>
      <c r="ET228" s="7">
        <v>0</v>
      </c>
      <c r="EU228" s="7">
        <v>0</v>
      </c>
      <c r="EV228" s="7">
        <v>0</v>
      </c>
      <c r="EW228" s="7">
        <v>0</v>
      </c>
      <c r="EX228" s="28">
        <f>+EW228</f>
        <v>0</v>
      </c>
    </row>
    <row r="229" spans="1:167" x14ac:dyDescent="0.3">
      <c r="A229" s="27" t="s">
        <v>143</v>
      </c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6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7">
        <v>16526</v>
      </c>
      <c r="DV229" s="7">
        <v>16357</v>
      </c>
      <c r="DW229" s="7">
        <v>16305</v>
      </c>
      <c r="DX229" s="7">
        <v>16308</v>
      </c>
      <c r="DY229" s="28">
        <f>+DX229</f>
        <v>16308</v>
      </c>
      <c r="DZ229" s="7">
        <v>0</v>
      </c>
      <c r="EA229" s="7">
        <v>0</v>
      </c>
      <c r="EB229" s="7">
        <v>0</v>
      </c>
      <c r="EC229" s="7">
        <v>0</v>
      </c>
      <c r="ED229" s="28">
        <f>+EC229</f>
        <v>0</v>
      </c>
      <c r="EE229" s="7">
        <v>0</v>
      </c>
      <c r="EF229" s="7">
        <v>7007</v>
      </c>
      <c r="EG229" s="7">
        <v>6996</v>
      </c>
      <c r="EH229" s="7">
        <v>7968</v>
      </c>
      <c r="EI229" s="28">
        <f>+EH229</f>
        <v>7968</v>
      </c>
      <c r="EJ229" s="7">
        <v>7957</v>
      </c>
      <c r="EK229" s="7">
        <v>9130</v>
      </c>
      <c r="EL229" s="7">
        <v>9120</v>
      </c>
      <c r="EM229" s="7">
        <v>9110</v>
      </c>
      <c r="EN229" s="28">
        <f>+EM229</f>
        <v>9110</v>
      </c>
      <c r="EO229" s="7">
        <v>9839</v>
      </c>
      <c r="EP229" s="7">
        <v>9829</v>
      </c>
      <c r="EQ229" s="7">
        <v>11258</v>
      </c>
      <c r="ER229" s="7">
        <v>11246</v>
      </c>
      <c r="ES229" s="28">
        <f>+ER229</f>
        <v>11246</v>
      </c>
      <c r="ET229" s="7">
        <v>11240</v>
      </c>
      <c r="EU229" s="7">
        <v>11234</v>
      </c>
      <c r="EV229" s="7">
        <v>11556</v>
      </c>
      <c r="EW229" s="7">
        <v>11551</v>
      </c>
      <c r="EX229" s="28">
        <f>+EW229</f>
        <v>11551</v>
      </c>
    </row>
    <row r="230" spans="1:167" x14ac:dyDescent="0.3">
      <c r="A230" s="27" t="s">
        <v>144</v>
      </c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6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15">
        <f>+DU231-SUM(DU227:DU229,DU225)</f>
        <v>1535</v>
      </c>
      <c r="DV230" s="15">
        <f>+DV231-SUM(DV227:DV229,DV225)</f>
        <v>-3771</v>
      </c>
      <c r="DW230" s="15">
        <f>+DW231-SUM(DW227:DW229,DW225)</f>
        <v>-4103</v>
      </c>
      <c r="DX230" s="15">
        <f>+DX231-SUM(DX227:DX229,DX225)</f>
        <v>-4394</v>
      </c>
      <c r="DY230" s="28">
        <f>+DX230</f>
        <v>-4394</v>
      </c>
      <c r="DZ230" s="15">
        <f>+DZ231-SUM(DZ227:DZ229,DZ225)</f>
        <v>-4493</v>
      </c>
      <c r="EA230" s="15">
        <f>+EA231-SUM(EA227:EA229,EA225)</f>
        <v>-5097</v>
      </c>
      <c r="EB230" s="15">
        <f>+EB231-SUM(EB227:EB229,EB225)</f>
        <v>-4926</v>
      </c>
      <c r="EC230" s="15">
        <f>+EC231-SUM(EC227:EC229,EC225)</f>
        <v>-4900</v>
      </c>
      <c r="ED230" s="28">
        <f>+EC230</f>
        <v>-4900</v>
      </c>
      <c r="EE230" s="15">
        <f>+EE231-SUM(EE227:EE229,EE225)</f>
        <v>-4830</v>
      </c>
      <c r="EF230" s="15">
        <f>+EF231-SUM(EF227:EF229,EF225)</f>
        <v>4248</v>
      </c>
      <c r="EG230" s="15">
        <f>+EG231-SUM(EG227:EG229,EG225)</f>
        <v>4385</v>
      </c>
      <c r="EH230" s="15">
        <f>+EH231-SUM(EH227:EH229,EH225)</f>
        <v>4600</v>
      </c>
      <c r="EI230" s="28">
        <f>+EH230</f>
        <v>4600</v>
      </c>
      <c r="EJ230" s="7">
        <v>4678</v>
      </c>
      <c r="EK230" s="7">
        <v>4796</v>
      </c>
      <c r="EL230" s="7">
        <v>4933</v>
      </c>
      <c r="EM230" s="7">
        <v>5134</v>
      </c>
      <c r="EN230" s="28">
        <f>+EM230</f>
        <v>5134</v>
      </c>
      <c r="EO230" s="7">
        <v>5163</v>
      </c>
      <c r="EP230" s="7">
        <v>5192</v>
      </c>
      <c r="EQ230" s="7">
        <v>5240</v>
      </c>
      <c r="ER230" s="7">
        <v>5279</v>
      </c>
      <c r="ES230" s="28">
        <f>+ER230</f>
        <v>5279</v>
      </c>
      <c r="ET230" s="7">
        <v>5259</v>
      </c>
      <c r="EU230" s="7">
        <v>5137</v>
      </c>
      <c r="EV230" s="7">
        <v>5066</v>
      </c>
      <c r="EW230" s="7">
        <v>4941</v>
      </c>
      <c r="EX230" s="28">
        <f>+EW230</f>
        <v>4941</v>
      </c>
    </row>
    <row r="231" spans="1:167" ht="12.5" thickBot="1" x14ac:dyDescent="0.35">
      <c r="A231" s="4" t="s">
        <v>145</v>
      </c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6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31">
        <f>+DU220</f>
        <v>23362</v>
      </c>
      <c r="DV231" s="31">
        <f>+DV220</f>
        <v>17565</v>
      </c>
      <c r="DW231" s="31">
        <f>+DW220</f>
        <v>17561</v>
      </c>
      <c r="DX231" s="31">
        <f>+DX220</f>
        <v>17488</v>
      </c>
      <c r="DY231" s="32">
        <f>+DX231</f>
        <v>17488</v>
      </c>
      <c r="DZ231" s="31">
        <f>+DZ220</f>
        <v>17488</v>
      </c>
      <c r="EA231" s="31">
        <f>+EA220</f>
        <v>17467</v>
      </c>
      <c r="EB231" s="31">
        <f>+EB220</f>
        <v>16787</v>
      </c>
      <c r="EC231" s="31">
        <f>+EC220</f>
        <v>16795</v>
      </c>
      <c r="ED231" s="32">
        <f>+EC231</f>
        <v>16795</v>
      </c>
      <c r="EE231" s="31">
        <f>+EE220</f>
        <v>16960</v>
      </c>
      <c r="EF231" s="31">
        <f>+EF220</f>
        <v>15102</v>
      </c>
      <c r="EG231" s="31">
        <f>+EG220</f>
        <v>15388</v>
      </c>
      <c r="EH231" s="31">
        <f>+EH220</f>
        <v>16481</v>
      </c>
      <c r="EI231" s="32">
        <f>+EH231</f>
        <v>16481</v>
      </c>
      <c r="EJ231" s="31">
        <f t="shared" ref="EJ231:EL231" si="319">SUM(EJ227:EJ230,EJ225)</f>
        <v>16755</v>
      </c>
      <c r="EK231" s="31">
        <f t="shared" si="319"/>
        <v>18035</v>
      </c>
      <c r="EL231" s="31">
        <f t="shared" si="319"/>
        <v>18273</v>
      </c>
      <c r="EM231" s="31">
        <f>SUM(EM227:EM230,EM225)</f>
        <v>18624</v>
      </c>
      <c r="EN231" s="32">
        <f>+EM231</f>
        <v>18624</v>
      </c>
      <c r="EO231" s="31">
        <f t="shared" ref="EO231:EP231" si="320">SUM(EO227:EO230,EO225)</f>
        <v>19398</v>
      </c>
      <c r="EP231" s="31">
        <f t="shared" si="320"/>
        <v>19150</v>
      </c>
      <c r="EQ231" s="31">
        <f t="shared" ref="EQ231:ER231" si="321">SUM(EQ227:EQ230,EQ225)</f>
        <v>20509</v>
      </c>
      <c r="ER231" s="31">
        <f t="shared" si="321"/>
        <v>20693</v>
      </c>
      <c r="ES231" s="32">
        <f>+ER231</f>
        <v>20693</v>
      </c>
      <c r="ET231" s="31">
        <f t="shared" ref="ET231:EW231" si="322">SUM(ET227:ET230,ET225)</f>
        <v>20197</v>
      </c>
      <c r="EU231" s="31">
        <f t="shared" si="322"/>
        <v>20194</v>
      </c>
      <c r="EV231" s="31">
        <f t="shared" si="322"/>
        <v>20859</v>
      </c>
      <c r="EW231" s="31">
        <f t="shared" si="322"/>
        <v>20614</v>
      </c>
      <c r="EX231" s="32">
        <f>+EW231</f>
        <v>20614</v>
      </c>
    </row>
    <row r="232" spans="1:167" ht="12.5" thickTop="1" x14ac:dyDescent="0.3">
      <c r="A232" s="594" t="s">
        <v>3451</v>
      </c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6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I232" s="5"/>
      <c r="EJ232" s="7" t="str">
        <f t="shared" ref="EJ232" si="323">IF(EJ231=EJ220, "ok", "not ok")</f>
        <v>ok</v>
      </c>
      <c r="EK232" s="7" t="str">
        <f>IF(EK231=EK220, "ok", "not ok")</f>
        <v>ok</v>
      </c>
      <c r="EL232" s="7" t="str">
        <f>IF(EL231=EL220, "ok", "not ok")</f>
        <v>ok</v>
      </c>
      <c r="EM232" s="7" t="str">
        <f>IF(EM231=EM220, "ok", "not ok")</f>
        <v>ok</v>
      </c>
      <c r="EN232" s="7" t="str">
        <f>IF(EN231=EN220, "ok", "not ok")</f>
        <v>ok</v>
      </c>
      <c r="EO232" s="7" t="str">
        <f t="shared" ref="EO232:EP232" si="324">IF(EO231=EO220, "ok", "not ok")</f>
        <v>ok</v>
      </c>
      <c r="EP232" s="7" t="str">
        <f t="shared" si="324"/>
        <v>ok</v>
      </c>
      <c r="EQ232" s="7" t="str">
        <f t="shared" ref="EQ232:ER232" si="325">IF(EQ231=EQ220, "ok", "not ok")</f>
        <v>ok</v>
      </c>
      <c r="ER232" s="7" t="str">
        <f t="shared" si="325"/>
        <v>ok</v>
      </c>
      <c r="ES232" s="7" t="str">
        <f>IF(ES231=ES220, "ok", "not ok")</f>
        <v>ok</v>
      </c>
      <c r="ET232" s="7" t="str">
        <f t="shared" ref="ET232:EW232" si="326">IF(ET231=ET220, "ok", "not ok")</f>
        <v>ok</v>
      </c>
      <c r="EU232" s="7" t="str">
        <f t="shared" si="326"/>
        <v>ok</v>
      </c>
      <c r="EV232" s="7" t="str">
        <f t="shared" si="326"/>
        <v>ok</v>
      </c>
      <c r="EW232" s="7" t="str">
        <f t="shared" si="326"/>
        <v>ok</v>
      </c>
      <c r="EX232" s="7" t="str">
        <f>IF(EX231=EX220, "ok", "not ok")</f>
        <v>ok</v>
      </c>
    </row>
    <row r="233" spans="1:167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6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I233" s="5"/>
    </row>
    <row r="234" spans="1:167" x14ac:dyDescent="0.3">
      <c r="A234" s="25" t="s">
        <v>75</v>
      </c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</row>
    <row r="235" spans="1:167" x14ac:dyDescent="0.3">
      <c r="A235" s="26" t="s">
        <v>1</v>
      </c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6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I235" s="5"/>
    </row>
    <row r="236" spans="1:167" x14ac:dyDescent="0.3">
      <c r="A236" s="27" t="s">
        <v>59</v>
      </c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6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9">
        <f>+DU70</f>
        <v>-87</v>
      </c>
      <c r="DV236" s="9">
        <f>+DV70</f>
        <v>-5317</v>
      </c>
      <c r="DW236" s="9">
        <f>+DW70</f>
        <v>-345</v>
      </c>
      <c r="DX236" s="9">
        <f>+DX70</f>
        <v>-162</v>
      </c>
      <c r="DY236" s="8">
        <f>+SUM(DU236:DX236)</f>
        <v>-5911</v>
      </c>
      <c r="DZ236" s="16">
        <f>+DZ70</f>
        <v>-186</v>
      </c>
      <c r="EA236" s="16">
        <f>+EA70</f>
        <v>-181</v>
      </c>
      <c r="EB236" s="16">
        <f>+EB70</f>
        <v>15</v>
      </c>
      <c r="EC236" s="9">
        <f>+EC70</f>
        <v>-50</v>
      </c>
      <c r="ED236" s="8">
        <f>+SUM(DZ236:EC236)</f>
        <v>-402</v>
      </c>
      <c r="EE236" s="16">
        <f>+EE70</f>
        <v>60</v>
      </c>
      <c r="EF236" s="16">
        <f>+EF70</f>
        <v>4580</v>
      </c>
      <c r="EG236" s="16">
        <f>+EG70</f>
        <v>126</v>
      </c>
      <c r="EH236" s="16">
        <f>+EH70</f>
        <v>189</v>
      </c>
      <c r="EI236" s="8">
        <f>+SUM(EE236:EH236)</f>
        <v>4955</v>
      </c>
      <c r="EJ236" s="16">
        <f>+EJ70</f>
        <v>65</v>
      </c>
      <c r="EK236" s="16">
        <f>+EK70</f>
        <v>101</v>
      </c>
      <c r="EL236" s="16">
        <f>+EL70</f>
        <v>120</v>
      </c>
      <c r="EM236" s="16">
        <f>+EM70</f>
        <v>155</v>
      </c>
      <c r="EN236" s="8">
        <f>+SUM(EJ236:EM236)</f>
        <v>441</v>
      </c>
      <c r="EO236" s="16">
        <f>+EO70</f>
        <v>3</v>
      </c>
      <c r="EP236" s="16">
        <f>+EP70</f>
        <v>-2</v>
      </c>
      <c r="EQ236" s="16">
        <f>+EQ70</f>
        <v>11</v>
      </c>
      <c r="ER236" s="16">
        <f>+ER70</f>
        <v>17</v>
      </c>
      <c r="ES236" s="8">
        <f>+SUM(EO236:ER236)</f>
        <v>29</v>
      </c>
      <c r="ET236" s="16">
        <f>+ET70</f>
        <v>1</v>
      </c>
      <c r="EU236" s="16">
        <f>+EU70</f>
        <v>-123</v>
      </c>
      <c r="EV236" s="16">
        <f>+EV70</f>
        <v>-82</v>
      </c>
      <c r="EW236" s="16">
        <f>+EW70</f>
        <v>-118</v>
      </c>
      <c r="EX236" s="8">
        <f>+SUM(ET236:EW236)</f>
        <v>-322</v>
      </c>
    </row>
    <row r="237" spans="1:167" x14ac:dyDescent="0.3">
      <c r="A237" s="27" t="s">
        <v>76</v>
      </c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6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9">
        <f>+DU53</f>
        <v>484</v>
      </c>
      <c r="DV237" s="9">
        <f>+DV53</f>
        <v>454</v>
      </c>
      <c r="DW237" s="9">
        <f>+DW53</f>
        <v>422</v>
      </c>
      <c r="DX237" s="9">
        <f>+DX53</f>
        <v>420</v>
      </c>
      <c r="DY237" s="8">
        <f>+SUM(DU237:DX237)</f>
        <v>1780</v>
      </c>
      <c r="DZ237" s="16">
        <f>+DZ53</f>
        <v>415</v>
      </c>
      <c r="EA237" s="16">
        <f>+EA53</f>
        <v>397</v>
      </c>
      <c r="EB237" s="16">
        <f>+EB53</f>
        <v>392</v>
      </c>
      <c r="EC237" s="9">
        <f>+EC53</f>
        <v>394</v>
      </c>
      <c r="ED237" s="8">
        <f>+SUM(DZ237:EC237)</f>
        <v>1598</v>
      </c>
      <c r="EE237" s="16">
        <f>+EE53</f>
        <v>387</v>
      </c>
      <c r="EF237" s="16">
        <f>+EF53</f>
        <v>298</v>
      </c>
      <c r="EG237" s="16">
        <f>+EG53</f>
        <v>273</v>
      </c>
      <c r="EH237" s="16">
        <f>+EH53</f>
        <v>282</v>
      </c>
      <c r="EI237" s="8">
        <f t="shared" ref="EI237:EI250" si="327">+SUM(EE237:EH237)</f>
        <v>1240</v>
      </c>
      <c r="EJ237" s="16">
        <f>+EJ53</f>
        <v>284</v>
      </c>
      <c r="EK237" s="16">
        <f>+EK53</f>
        <v>290</v>
      </c>
      <c r="EL237" s="16">
        <f>+EL53</f>
        <v>296</v>
      </c>
      <c r="EM237" s="16">
        <f>+EM53</f>
        <v>312</v>
      </c>
      <c r="EN237" s="8">
        <f t="shared" ref="EN237:EN250" si="328">+SUM(EJ237:EM237)</f>
        <v>1182</v>
      </c>
      <c r="EO237" s="16">
        <f>+EO53</f>
        <v>330</v>
      </c>
      <c r="EP237" s="16">
        <f>+EP53</f>
        <v>354</v>
      </c>
      <c r="EQ237" s="16">
        <f>+EQ53</f>
        <v>356</v>
      </c>
      <c r="ER237" s="16">
        <f>+ER53</f>
        <v>375</v>
      </c>
      <c r="ES237" s="8">
        <f t="shared" ref="ES237:ES250" si="329">+SUM(EO237:ER237)</f>
        <v>1415</v>
      </c>
      <c r="ET237" s="16">
        <f>+ET53</f>
        <v>388</v>
      </c>
      <c r="EU237" s="16">
        <f>+EU53</f>
        <v>398</v>
      </c>
      <c r="EV237" s="16">
        <f>+EV53</f>
        <v>410</v>
      </c>
      <c r="EW237" s="16">
        <f>+EW53</f>
        <v>429</v>
      </c>
      <c r="EX237" s="8">
        <f t="shared" ref="EX237:EX250" si="330">+SUM(ET237:EW237)</f>
        <v>1625</v>
      </c>
    </row>
    <row r="238" spans="1:167" x14ac:dyDescent="0.3">
      <c r="A238" s="27" t="s">
        <v>3452</v>
      </c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6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7">
        <v>20</v>
      </c>
      <c r="DV238" s="7">
        <v>0</v>
      </c>
      <c r="DW238" s="7">
        <v>0</v>
      </c>
      <c r="DX238" s="9">
        <f t="shared" ref="DX238:DX266" si="331">+DY238-SUM(DU238:DW238)</f>
        <v>0</v>
      </c>
      <c r="DY238" s="34">
        <v>20</v>
      </c>
      <c r="DZ238" s="7">
        <v>0</v>
      </c>
      <c r="EA238" s="7">
        <v>0</v>
      </c>
      <c r="EB238" s="7">
        <v>0</v>
      </c>
      <c r="EC238" s="9">
        <f t="shared" ref="EC238:EC251" si="332">+ED238-SUM(DZ238:EB238)</f>
        <v>72</v>
      </c>
      <c r="ED238" s="34">
        <v>72</v>
      </c>
      <c r="EE238" s="7">
        <v>0</v>
      </c>
      <c r="EF238" s="7">
        <v>0</v>
      </c>
      <c r="EG238" s="7">
        <v>0</v>
      </c>
      <c r="EH238" s="7">
        <v>0</v>
      </c>
      <c r="EI238" s="1232">
        <f t="shared" si="327"/>
        <v>0</v>
      </c>
      <c r="EJ238" s="7">
        <v>0</v>
      </c>
      <c r="EK238" s="7">
        <v>0</v>
      </c>
      <c r="EL238" s="7">
        <v>0</v>
      </c>
      <c r="EM238" s="7">
        <v>0</v>
      </c>
      <c r="EN238" s="1232">
        <f t="shared" si="328"/>
        <v>0</v>
      </c>
      <c r="EO238" s="7">
        <v>0</v>
      </c>
      <c r="EP238" s="7">
        <v>0</v>
      </c>
      <c r="EQ238" s="7">
        <v>0</v>
      </c>
      <c r="ER238" s="7">
        <v>0</v>
      </c>
      <c r="ES238" s="1232">
        <f t="shared" si="329"/>
        <v>0</v>
      </c>
      <c r="ET238" s="7">
        <v>0</v>
      </c>
      <c r="EU238" s="7">
        <v>0</v>
      </c>
      <c r="EV238" s="7">
        <v>0</v>
      </c>
      <c r="EW238" s="7">
        <v>0</v>
      </c>
      <c r="EX238" s="1232">
        <f t="shared" si="330"/>
        <v>0</v>
      </c>
    </row>
    <row r="239" spans="1:167" x14ac:dyDescent="0.3">
      <c r="A239" s="27" t="s">
        <v>77</v>
      </c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6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7">
        <v>0</v>
      </c>
      <c r="DV239" s="7">
        <v>0</v>
      </c>
      <c r="DW239" s="7">
        <v>0</v>
      </c>
      <c r="DX239" s="9">
        <f t="shared" si="331"/>
        <v>101</v>
      </c>
      <c r="DY239" s="34">
        <f>57+44</f>
        <v>101</v>
      </c>
      <c r="DZ239" s="7">
        <v>103</v>
      </c>
      <c r="EA239" s="7">
        <f>159-DZ239</f>
        <v>56</v>
      </c>
      <c r="EB239" s="7">
        <f>159-SUM(DZ239:EA239)</f>
        <v>0</v>
      </c>
      <c r="EC239" s="9">
        <f t="shared" si="332"/>
        <v>0</v>
      </c>
      <c r="ED239" s="34">
        <v>159</v>
      </c>
      <c r="EE239" s="7">
        <v>0</v>
      </c>
      <c r="EF239" s="7">
        <v>0</v>
      </c>
      <c r="EG239" s="7">
        <v>0</v>
      </c>
      <c r="EH239" s="7">
        <v>0</v>
      </c>
      <c r="EI239" s="1232">
        <f t="shared" si="327"/>
        <v>0</v>
      </c>
      <c r="EJ239" s="7">
        <v>0</v>
      </c>
      <c r="EK239" s="7">
        <v>0</v>
      </c>
      <c r="EL239" s="7">
        <v>50</v>
      </c>
      <c r="EM239" s="7">
        <v>5</v>
      </c>
      <c r="EN239" s="1232">
        <f t="shared" si="328"/>
        <v>55</v>
      </c>
      <c r="EO239" s="7">
        <v>0</v>
      </c>
      <c r="EP239" s="7">
        <v>0</v>
      </c>
      <c r="EQ239" s="7">
        <v>0</v>
      </c>
      <c r="ER239" s="7">
        <v>0</v>
      </c>
      <c r="ES239" s="1232">
        <f t="shared" si="329"/>
        <v>0</v>
      </c>
      <c r="ET239" s="7">
        <v>7</v>
      </c>
      <c r="EU239" s="7">
        <v>3</v>
      </c>
      <c r="EV239" s="7">
        <v>1</v>
      </c>
      <c r="EW239" s="7">
        <v>1</v>
      </c>
      <c r="EX239" s="1232">
        <f t="shared" si="330"/>
        <v>12</v>
      </c>
    </row>
    <row r="240" spans="1:167" ht="12" customHeight="1" x14ac:dyDescent="0.3">
      <c r="A240" s="27" t="s">
        <v>78</v>
      </c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6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158">
        <f>+DU95</f>
        <v>3</v>
      </c>
      <c r="DV240" s="158">
        <f>+DV95</f>
        <v>4</v>
      </c>
      <c r="DW240" s="158">
        <f>+DW95</f>
        <v>3</v>
      </c>
      <c r="DX240" s="158">
        <f>+DX95</f>
        <v>5</v>
      </c>
      <c r="DY240" s="8">
        <f>+SUM(DU240:DX240)</f>
        <v>15</v>
      </c>
      <c r="DZ240" s="158">
        <f>+DZ95</f>
        <v>1</v>
      </c>
      <c r="EA240" s="158">
        <f>+EA95</f>
        <v>1</v>
      </c>
      <c r="EB240" s="158">
        <f>+EB95</f>
        <v>1</v>
      </c>
      <c r="EC240" s="158">
        <f>+EC95</f>
        <v>0</v>
      </c>
      <c r="ED240" s="8">
        <f>+SUM(DZ240:EC240)</f>
        <v>3</v>
      </c>
      <c r="EE240" s="158">
        <f>+EE95</f>
        <v>-1</v>
      </c>
      <c r="EF240" s="158">
        <v>0</v>
      </c>
      <c r="EG240" s="7">
        <v>8</v>
      </c>
      <c r="EH240" s="7">
        <v>10</v>
      </c>
      <c r="EI240" s="1232">
        <f t="shared" si="327"/>
        <v>17</v>
      </c>
      <c r="EJ240" s="158">
        <f>+EJ95</f>
        <v>15</v>
      </c>
      <c r="EK240" s="158">
        <f>+EK95</f>
        <v>20</v>
      </c>
      <c r="EL240" s="158">
        <f>+EL95</f>
        <v>19</v>
      </c>
      <c r="EM240" s="1268">
        <f>+EM95+1</f>
        <v>29</v>
      </c>
      <c r="EN240" s="1232">
        <f t="shared" si="328"/>
        <v>83</v>
      </c>
      <c r="EO240" s="158">
        <f>+EO95</f>
        <v>24</v>
      </c>
      <c r="EP240" s="158">
        <f>+EP95</f>
        <v>27</v>
      </c>
      <c r="EQ240" s="158">
        <f>+EQ95</f>
        <v>30</v>
      </c>
      <c r="ER240" s="158">
        <f>+ER95</f>
        <v>27</v>
      </c>
      <c r="ES240" s="1232">
        <f t="shared" si="329"/>
        <v>108</v>
      </c>
      <c r="ET240" s="158">
        <f>+ET95</f>
        <v>26</v>
      </c>
      <c r="EU240" s="158">
        <f>+EU95</f>
        <v>11</v>
      </c>
      <c r="EV240" s="158">
        <f>+EV95</f>
        <v>17</v>
      </c>
      <c r="EW240" s="158">
        <f>+EW95</f>
        <v>14</v>
      </c>
      <c r="EX240" s="1232">
        <f t="shared" si="330"/>
        <v>68</v>
      </c>
    </row>
    <row r="241" spans="1:154" x14ac:dyDescent="0.3">
      <c r="A241" s="27" t="s">
        <v>3453</v>
      </c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6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7">
        <v>9</v>
      </c>
      <c r="DV241" s="7">
        <v>6</v>
      </c>
      <c r="DW241" s="7">
        <v>8</v>
      </c>
      <c r="DX241" s="9">
        <f t="shared" si="331"/>
        <v>7</v>
      </c>
      <c r="DY241" s="34">
        <v>30</v>
      </c>
      <c r="DZ241" s="7">
        <v>8</v>
      </c>
      <c r="EA241" s="7">
        <f>11-DZ241</f>
        <v>3</v>
      </c>
      <c r="EB241" s="7">
        <f>13-SUM(DZ241:EA241)</f>
        <v>2</v>
      </c>
      <c r="EC241" s="9">
        <f t="shared" si="332"/>
        <v>2</v>
      </c>
      <c r="ED241" s="34">
        <v>15</v>
      </c>
      <c r="EE241" s="7">
        <v>0</v>
      </c>
      <c r="EF241" s="7">
        <v>0</v>
      </c>
      <c r="EG241" s="7">
        <v>0</v>
      </c>
      <c r="EH241" s="7">
        <v>0</v>
      </c>
      <c r="EI241" s="1232">
        <f t="shared" si="327"/>
        <v>0</v>
      </c>
      <c r="EJ241" s="7">
        <v>0</v>
      </c>
      <c r="EK241" s="7">
        <v>0</v>
      </c>
      <c r="EL241" s="7">
        <v>0</v>
      </c>
      <c r="EM241" s="7">
        <v>-7</v>
      </c>
      <c r="EN241" s="1232">
        <f t="shared" si="328"/>
        <v>-7</v>
      </c>
      <c r="EO241" s="7">
        <v>0</v>
      </c>
      <c r="EP241" s="7">
        <v>0</v>
      </c>
      <c r="EQ241" s="7">
        <v>0</v>
      </c>
      <c r="ER241" s="7">
        <v>-4</v>
      </c>
      <c r="ES241" s="1232">
        <f t="shared" si="329"/>
        <v>-4</v>
      </c>
      <c r="ET241" s="7">
        <v>0</v>
      </c>
      <c r="EU241" s="7">
        <v>0</v>
      </c>
      <c r="EV241" s="7">
        <v>-5</v>
      </c>
      <c r="EW241" s="7">
        <v>-5</v>
      </c>
      <c r="EX241" s="1232">
        <f t="shared" si="330"/>
        <v>-10</v>
      </c>
    </row>
    <row r="242" spans="1:154" x14ac:dyDescent="0.3">
      <c r="A242" s="27" t="s">
        <v>3454</v>
      </c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6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7">
        <v>0</v>
      </c>
      <c r="DV242" s="7">
        <v>0</v>
      </c>
      <c r="DW242" s="7">
        <v>0</v>
      </c>
      <c r="DX242" s="9">
        <f t="shared" si="331"/>
        <v>0</v>
      </c>
      <c r="DY242" s="34">
        <v>0</v>
      </c>
      <c r="DZ242" s="7">
        <v>0</v>
      </c>
      <c r="EA242" s="7">
        <f>85-DZ242</f>
        <v>85</v>
      </c>
      <c r="EB242" s="7">
        <f>85-EA242</f>
        <v>0</v>
      </c>
      <c r="EC242" s="9">
        <f t="shared" si="332"/>
        <v>8</v>
      </c>
      <c r="ED242" s="34">
        <v>93</v>
      </c>
      <c r="EE242" s="7">
        <v>0</v>
      </c>
      <c r="EF242" s="7">
        <v>-5467</v>
      </c>
      <c r="EG242" s="7">
        <v>0</v>
      </c>
      <c r="EH242" s="7">
        <v>0</v>
      </c>
      <c r="EI242" s="1232">
        <f t="shared" si="327"/>
        <v>-5467</v>
      </c>
      <c r="EJ242" s="7">
        <v>0</v>
      </c>
      <c r="EK242" s="7">
        <v>0</v>
      </c>
      <c r="EL242" s="7">
        <v>0</v>
      </c>
      <c r="EM242" s="7">
        <v>0</v>
      </c>
      <c r="EN242" s="1232">
        <f t="shared" si="328"/>
        <v>0</v>
      </c>
      <c r="EO242" s="7">
        <v>0</v>
      </c>
      <c r="EP242" s="7">
        <v>0</v>
      </c>
      <c r="EQ242" s="7">
        <v>0</v>
      </c>
      <c r="ER242" s="7">
        <v>0</v>
      </c>
      <c r="ES242" s="1232">
        <f t="shared" si="329"/>
        <v>0</v>
      </c>
      <c r="ET242" s="7">
        <v>0</v>
      </c>
      <c r="EU242" s="7">
        <v>0</v>
      </c>
      <c r="EV242" s="7">
        <v>0</v>
      </c>
      <c r="EW242" s="7">
        <v>0</v>
      </c>
      <c r="EX242" s="1232">
        <f t="shared" si="330"/>
        <v>0</v>
      </c>
    </row>
    <row r="243" spans="1:154" x14ac:dyDescent="0.3">
      <c r="A243" s="27" t="s">
        <v>3455</v>
      </c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6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7"/>
      <c r="DV243" s="7"/>
      <c r="DW243" s="7"/>
      <c r="DX243" s="9"/>
      <c r="DY243" s="34"/>
      <c r="DZ243" s="7"/>
      <c r="EA243" s="7"/>
      <c r="EB243" s="7"/>
      <c r="EC243" s="9"/>
      <c r="ED243" s="34"/>
      <c r="EE243" s="7"/>
      <c r="EF243" s="7"/>
      <c r="EG243" s="7"/>
      <c r="EH243" s="7"/>
      <c r="EI243" s="1232"/>
      <c r="EJ243" s="7">
        <v>7</v>
      </c>
      <c r="EK243" s="7">
        <v>14</v>
      </c>
      <c r="EL243" s="7">
        <v>5</v>
      </c>
      <c r="EM243" s="7">
        <v>7</v>
      </c>
      <c r="EN243" s="1232">
        <f t="shared" si="328"/>
        <v>33</v>
      </c>
      <c r="EO243" s="7">
        <v>7</v>
      </c>
      <c r="EP243" s="7">
        <v>9</v>
      </c>
      <c r="EQ243" s="7">
        <v>8</v>
      </c>
      <c r="ER243" s="7">
        <v>11</v>
      </c>
      <c r="ES243" s="1232">
        <f t="shared" si="329"/>
        <v>35</v>
      </c>
      <c r="ET243" s="7">
        <v>9</v>
      </c>
      <c r="EU243" s="7">
        <v>11</v>
      </c>
      <c r="EV243" s="7">
        <v>10</v>
      </c>
      <c r="EW243" s="7">
        <v>9</v>
      </c>
      <c r="EX243" s="1232">
        <f t="shared" si="330"/>
        <v>39</v>
      </c>
    </row>
    <row r="244" spans="1:154" x14ac:dyDescent="0.3">
      <c r="A244" s="27" t="s">
        <v>3456</v>
      </c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6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7">
        <v>0</v>
      </c>
      <c r="DV244" s="7">
        <v>1</v>
      </c>
      <c r="DW244" s="7">
        <v>1</v>
      </c>
      <c r="DX244" s="9">
        <f t="shared" si="331"/>
        <v>-2</v>
      </c>
      <c r="DY244" s="34">
        <v>0</v>
      </c>
      <c r="DZ244" s="7">
        <v>1</v>
      </c>
      <c r="EA244" s="7">
        <f>2-DZ244</f>
        <v>1</v>
      </c>
      <c r="EB244" s="7">
        <f>3-SUM(DZ244:EA244)</f>
        <v>1</v>
      </c>
      <c r="EC244" s="9">
        <f t="shared" si="332"/>
        <v>3</v>
      </c>
      <c r="ED244" s="34">
        <v>6</v>
      </c>
      <c r="EE244" s="7">
        <v>1</v>
      </c>
      <c r="EF244" s="7">
        <v>-5</v>
      </c>
      <c r="EG244" s="7">
        <v>-6</v>
      </c>
      <c r="EH244" s="7">
        <v>-7</v>
      </c>
      <c r="EI244" s="1232">
        <f t="shared" si="327"/>
        <v>-17</v>
      </c>
      <c r="EJ244" s="7">
        <f>-7+44-EJ243</f>
        <v>30</v>
      </c>
      <c r="EK244" s="7">
        <f>-6+14-EK243</f>
        <v>-6</v>
      </c>
      <c r="EL244" s="7">
        <f>-7-EL243</f>
        <v>-12</v>
      </c>
      <c r="EM244" s="7">
        <f>7-1-EM243</f>
        <v>-1</v>
      </c>
      <c r="EN244" s="1232">
        <f t="shared" si="328"/>
        <v>11</v>
      </c>
      <c r="EO244" s="7">
        <f>-7-EO243</f>
        <v>-14</v>
      </c>
      <c r="EP244" s="7">
        <f>-8+9+2-EP243</f>
        <v>-6</v>
      </c>
      <c r="EQ244" s="7">
        <v>8</v>
      </c>
      <c r="ER244" s="7">
        <v>3</v>
      </c>
      <c r="ES244" s="1232">
        <f t="shared" si="329"/>
        <v>-9</v>
      </c>
      <c r="ET244" s="7">
        <f>-5-ET243</f>
        <v>-14</v>
      </c>
      <c r="EU244" s="7">
        <f>-5+3+11-EU243</f>
        <v>-2</v>
      </c>
      <c r="EV244" s="7">
        <v>3</v>
      </c>
      <c r="EW244" s="7">
        <v>0</v>
      </c>
      <c r="EX244" s="1232">
        <f t="shared" si="330"/>
        <v>-13</v>
      </c>
    </row>
    <row r="245" spans="1:154" x14ac:dyDescent="0.3">
      <c r="A245" s="27" t="s">
        <v>79</v>
      </c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6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7">
        <v>16</v>
      </c>
      <c r="DV245" s="7">
        <f>+-519-DU245</f>
        <v>-535</v>
      </c>
      <c r="DW245" s="7">
        <f>-541-SUM(DU245:DV245)</f>
        <v>-22</v>
      </c>
      <c r="DX245" s="9">
        <f t="shared" si="331"/>
        <v>-78</v>
      </c>
      <c r="DY245" s="34">
        <v>-619</v>
      </c>
      <c r="DZ245" s="7">
        <v>-30</v>
      </c>
      <c r="EA245" s="7">
        <f>-92-DZ245</f>
        <v>-62</v>
      </c>
      <c r="EB245" s="7">
        <f>-100-SUM(DZ245:EA245)</f>
        <v>-8</v>
      </c>
      <c r="EC245" s="9">
        <f t="shared" si="332"/>
        <v>9</v>
      </c>
      <c r="ED245" s="34">
        <v>-91</v>
      </c>
      <c r="EE245" s="7">
        <v>84</v>
      </c>
      <c r="EF245" s="7">
        <v>-195</v>
      </c>
      <c r="EG245" s="7">
        <v>31</v>
      </c>
      <c r="EH245" s="7">
        <v>13</v>
      </c>
      <c r="EI245" s="1232">
        <f t="shared" si="327"/>
        <v>-67</v>
      </c>
      <c r="EJ245" s="7">
        <v>25</v>
      </c>
      <c r="EK245" s="7">
        <v>68</v>
      </c>
      <c r="EL245" s="7">
        <v>74</v>
      </c>
      <c r="EM245" s="7">
        <v>-3</v>
      </c>
      <c r="EN245" s="1232">
        <f t="shared" si="328"/>
        <v>164</v>
      </c>
      <c r="EO245" s="7">
        <v>1</v>
      </c>
      <c r="EP245" s="7">
        <v>0</v>
      </c>
      <c r="EQ245" s="7">
        <f>-1-EP245-EO245</f>
        <v>-2</v>
      </c>
      <c r="ER245" s="7">
        <v>79</v>
      </c>
      <c r="ES245" s="1232">
        <f t="shared" si="329"/>
        <v>78</v>
      </c>
      <c r="ET245" s="7">
        <v>4</v>
      </c>
      <c r="EU245" s="7">
        <v>-10</v>
      </c>
      <c r="EV245" s="7">
        <v>-8</v>
      </c>
      <c r="EW245" s="7">
        <v>-9</v>
      </c>
      <c r="EX245" s="1232">
        <f t="shared" si="330"/>
        <v>-23</v>
      </c>
    </row>
    <row r="246" spans="1:154" x14ac:dyDescent="0.3">
      <c r="A246" s="27" t="s">
        <v>80</v>
      </c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6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7">
        <v>0</v>
      </c>
      <c r="DV246" s="7">
        <v>5449</v>
      </c>
      <c r="DW246" s="7">
        <f>5725-DV246</f>
        <v>276</v>
      </c>
      <c r="DX246" s="9">
        <f t="shared" si="331"/>
        <v>0</v>
      </c>
      <c r="DY246" s="34">
        <v>5725</v>
      </c>
      <c r="DZ246" s="7">
        <v>0</v>
      </c>
      <c r="EA246" s="7">
        <f>0-DZ246</f>
        <v>0</v>
      </c>
      <c r="EB246" s="7">
        <f>0-EA246</f>
        <v>0</v>
      </c>
      <c r="EC246" s="9">
        <f t="shared" si="332"/>
        <v>0</v>
      </c>
      <c r="ED246" s="34">
        <v>0</v>
      </c>
      <c r="EE246" s="7">
        <v>0</v>
      </c>
      <c r="EF246" s="7">
        <v>0</v>
      </c>
      <c r="EG246" s="7">
        <v>0</v>
      </c>
      <c r="EH246" s="7">
        <v>0</v>
      </c>
      <c r="EI246" s="1232">
        <f t="shared" si="327"/>
        <v>0</v>
      </c>
      <c r="EJ246" s="7">
        <v>0</v>
      </c>
      <c r="EK246" s="7">
        <v>0</v>
      </c>
      <c r="EL246" s="7">
        <v>0</v>
      </c>
      <c r="EM246" s="7">
        <v>0</v>
      </c>
      <c r="EN246" s="1232">
        <f t="shared" si="328"/>
        <v>0</v>
      </c>
      <c r="EO246" s="7">
        <v>0</v>
      </c>
      <c r="EP246" s="7">
        <v>0</v>
      </c>
      <c r="EQ246" s="7">
        <v>0</v>
      </c>
      <c r="ER246" s="7">
        <v>0</v>
      </c>
      <c r="ES246" s="1232">
        <f t="shared" si="329"/>
        <v>0</v>
      </c>
      <c r="ET246" s="7">
        <v>0</v>
      </c>
      <c r="EU246" s="7">
        <v>0</v>
      </c>
      <c r="EV246" s="7">
        <v>0</v>
      </c>
      <c r="EW246" s="7">
        <v>0</v>
      </c>
      <c r="EX246" s="1232">
        <f t="shared" si="330"/>
        <v>0</v>
      </c>
    </row>
    <row r="247" spans="1:154" x14ac:dyDescent="0.3">
      <c r="A247" s="27" t="s">
        <v>81</v>
      </c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6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7">
        <v>0</v>
      </c>
      <c r="DV247" s="7">
        <f>384-DU247</f>
        <v>384</v>
      </c>
      <c r="DW247" s="7">
        <f>414-DV247</f>
        <v>30</v>
      </c>
      <c r="DX247" s="9">
        <f t="shared" si="331"/>
        <v>32</v>
      </c>
      <c r="DY247" s="34">
        <v>446</v>
      </c>
      <c r="DZ247" s="7">
        <v>24</v>
      </c>
      <c r="EA247" s="7">
        <f>160-DZ247</f>
        <v>136</v>
      </c>
      <c r="EB247" s="7">
        <f>160-SUM(DZ247:EA247)</f>
        <v>0</v>
      </c>
      <c r="EC247" s="9">
        <f t="shared" si="332"/>
        <v>2</v>
      </c>
      <c r="ED247" s="34">
        <v>162</v>
      </c>
      <c r="EE247" s="7">
        <v>0</v>
      </c>
      <c r="EF247" s="7">
        <v>0</v>
      </c>
      <c r="EG247" s="7">
        <v>0</v>
      </c>
      <c r="EH247" s="7">
        <v>0</v>
      </c>
      <c r="EI247" s="1232">
        <f t="shared" si="327"/>
        <v>0</v>
      </c>
      <c r="EJ247" s="7">
        <v>0</v>
      </c>
      <c r="EK247" s="7">
        <v>0</v>
      </c>
      <c r="EL247" s="7">
        <v>0</v>
      </c>
      <c r="EM247" s="7">
        <v>0</v>
      </c>
      <c r="EN247" s="1232">
        <f t="shared" si="328"/>
        <v>0</v>
      </c>
      <c r="EO247" s="7">
        <v>0</v>
      </c>
      <c r="EP247" s="7">
        <v>0</v>
      </c>
      <c r="EQ247" s="7">
        <v>0</v>
      </c>
      <c r="ER247" s="7">
        <v>0</v>
      </c>
      <c r="ES247" s="1232">
        <f t="shared" si="329"/>
        <v>0</v>
      </c>
      <c r="ET247" s="7">
        <v>0</v>
      </c>
      <c r="EU247" s="7">
        <v>0</v>
      </c>
      <c r="EV247" s="7">
        <v>0</v>
      </c>
      <c r="EW247" s="7">
        <v>0</v>
      </c>
      <c r="EX247" s="1232">
        <f t="shared" si="330"/>
        <v>0</v>
      </c>
    </row>
    <row r="248" spans="1:154" x14ac:dyDescent="0.3">
      <c r="A248" s="27" t="s">
        <v>3457</v>
      </c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6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7">
        <v>7</v>
      </c>
      <c r="DV248" s="7">
        <f>-1-DU248</f>
        <v>-8</v>
      </c>
      <c r="DW248" s="7">
        <v>18</v>
      </c>
      <c r="DX248" s="9">
        <f t="shared" si="331"/>
        <v>31</v>
      </c>
      <c r="DY248" s="34">
        <v>48</v>
      </c>
      <c r="DZ248" s="7">
        <v>29</v>
      </c>
      <c r="EA248" s="7">
        <f>23-DZ248</f>
        <v>-6</v>
      </c>
      <c r="EB248" s="7">
        <f>63-SUM(DZ248:EA248)</f>
        <v>40</v>
      </c>
      <c r="EC248" s="9">
        <f t="shared" si="332"/>
        <v>10</v>
      </c>
      <c r="ED248" s="34">
        <v>73</v>
      </c>
      <c r="EE248" s="7">
        <v>34</v>
      </c>
      <c r="EF248" s="7">
        <v>14</v>
      </c>
      <c r="EG248" s="7">
        <f>43+10</f>
        <v>53</v>
      </c>
      <c r="EH248" s="7">
        <v>-6</v>
      </c>
      <c r="EI248" s="1232">
        <f t="shared" si="327"/>
        <v>95</v>
      </c>
      <c r="EJ248" s="7">
        <v>61</v>
      </c>
      <c r="EK248" s="7">
        <v>-37</v>
      </c>
      <c r="EL248" s="7">
        <f>-8+5</f>
        <v>-3</v>
      </c>
      <c r="EM248" s="7">
        <v>-23</v>
      </c>
      <c r="EN248" s="1232">
        <f t="shared" si="328"/>
        <v>-2</v>
      </c>
      <c r="EO248" s="7">
        <v>9</v>
      </c>
      <c r="EP248" s="7">
        <v>-11</v>
      </c>
      <c r="EQ248" s="7">
        <f>-35-EP248-EO248</f>
        <v>-33</v>
      </c>
      <c r="ER248" s="7">
        <v>-8</v>
      </c>
      <c r="ES248" s="1232">
        <f t="shared" si="329"/>
        <v>-43</v>
      </c>
      <c r="ET248" s="7">
        <v>0</v>
      </c>
      <c r="EU248" s="7">
        <v>1</v>
      </c>
      <c r="EV248" s="7">
        <v>5</v>
      </c>
      <c r="EW248" s="7">
        <v>31</v>
      </c>
      <c r="EX248" s="1232">
        <f t="shared" si="330"/>
        <v>37</v>
      </c>
    </row>
    <row r="249" spans="1:154" x14ac:dyDescent="0.3">
      <c r="A249" s="27" t="s">
        <v>3458</v>
      </c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6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7">
        <v>-157</v>
      </c>
      <c r="DV249" s="7">
        <f>-14-DU249</f>
        <v>143</v>
      </c>
      <c r="DW249" s="7">
        <f>-153-SUM(DU249:DV249)</f>
        <v>-139</v>
      </c>
      <c r="DX249" s="9">
        <f t="shared" si="331"/>
        <v>31</v>
      </c>
      <c r="DY249" s="34">
        <v>-122</v>
      </c>
      <c r="DZ249" s="7">
        <v>110</v>
      </c>
      <c r="EA249" s="7">
        <f>278-DZ249</f>
        <v>168</v>
      </c>
      <c r="EB249" s="7">
        <f>334-SUM(DZ249:EA249)</f>
        <v>56</v>
      </c>
      <c r="EC249" s="9">
        <f t="shared" si="332"/>
        <v>8</v>
      </c>
      <c r="ED249" s="34">
        <v>342</v>
      </c>
      <c r="EE249" s="7">
        <v>48</v>
      </c>
      <c r="EF249" s="7">
        <v>-165</v>
      </c>
      <c r="EG249" s="7">
        <v>98</v>
      </c>
      <c r="EH249" s="7">
        <v>-34</v>
      </c>
      <c r="EI249" s="1232">
        <f t="shared" si="327"/>
        <v>-53</v>
      </c>
      <c r="EJ249" s="7">
        <v>26</v>
      </c>
      <c r="EK249" s="7">
        <f>-242+51</f>
        <v>-191</v>
      </c>
      <c r="EL249" s="7">
        <f>-285+17</f>
        <v>-268</v>
      </c>
      <c r="EM249" s="7">
        <f>-129-44</f>
        <v>-173</v>
      </c>
      <c r="EN249" s="1232">
        <f t="shared" si="328"/>
        <v>-606</v>
      </c>
      <c r="EO249" s="7">
        <f>30-7</f>
        <v>23</v>
      </c>
      <c r="EP249" s="7">
        <f>-44-43</f>
        <v>-87</v>
      </c>
      <c r="EQ249" s="7">
        <f>-149+101-EP249-EO249</f>
        <v>16</v>
      </c>
      <c r="ER249" s="7">
        <f>-176-46</f>
        <v>-222</v>
      </c>
      <c r="ES249" s="1232">
        <f t="shared" si="329"/>
        <v>-270</v>
      </c>
      <c r="ET249" s="7">
        <f>27-146</f>
        <v>-119</v>
      </c>
      <c r="EU249" s="7">
        <f>28+49</f>
        <v>77</v>
      </c>
      <c r="EV249" s="7">
        <f>316-38</f>
        <v>278</v>
      </c>
      <c r="EW249" s="7">
        <f>14-91</f>
        <v>-77</v>
      </c>
      <c r="EX249" s="1232">
        <f t="shared" si="330"/>
        <v>159</v>
      </c>
    </row>
    <row r="250" spans="1:154" x14ac:dyDescent="0.3">
      <c r="A250" s="27" t="s">
        <v>3459</v>
      </c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6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7">
        <v>-13</v>
      </c>
      <c r="DV250" s="7">
        <f>-19-DU250</f>
        <v>-6</v>
      </c>
      <c r="DW250" s="7">
        <f>-25-SUM(DU250:DV250)</f>
        <v>-6</v>
      </c>
      <c r="DX250" s="9">
        <f t="shared" si="331"/>
        <v>20</v>
      </c>
      <c r="DY250" s="34">
        <v>-5</v>
      </c>
      <c r="DZ250" s="7">
        <v>2</v>
      </c>
      <c r="EA250" s="7">
        <f>-123-DZ250</f>
        <v>-125</v>
      </c>
      <c r="EB250" s="7">
        <f>-80-SUM(DZ250:EA250)</f>
        <v>43</v>
      </c>
      <c r="EC250" s="9">
        <f t="shared" si="332"/>
        <v>39</v>
      </c>
      <c r="ED250" s="34">
        <v>-41</v>
      </c>
      <c r="EE250" s="7">
        <v>52</v>
      </c>
      <c r="EF250" s="7">
        <v>1</v>
      </c>
      <c r="EG250" s="7">
        <v>20</v>
      </c>
      <c r="EH250" s="7">
        <v>21</v>
      </c>
      <c r="EI250" s="1232">
        <f t="shared" si="327"/>
        <v>94</v>
      </c>
      <c r="EJ250" s="7">
        <v>15</v>
      </c>
      <c r="EK250" s="7">
        <v>-30</v>
      </c>
      <c r="EL250" s="7">
        <v>3</v>
      </c>
      <c r="EM250" s="7">
        <v>59</v>
      </c>
      <c r="EN250" s="1232">
        <f t="shared" si="328"/>
        <v>47</v>
      </c>
      <c r="EO250" s="7">
        <v>6</v>
      </c>
      <c r="EP250" s="7">
        <v>-8</v>
      </c>
      <c r="EQ250" s="7">
        <f>-13-EP250-EO250</f>
        <v>-11</v>
      </c>
      <c r="ER250" s="7">
        <v>18</v>
      </c>
      <c r="ES250" s="1232">
        <f t="shared" si="329"/>
        <v>5</v>
      </c>
      <c r="ET250" s="7">
        <v>33</v>
      </c>
      <c r="EU250" s="7">
        <v>8</v>
      </c>
      <c r="EV250" s="7">
        <v>-11</v>
      </c>
      <c r="EW250" s="7">
        <v>19</v>
      </c>
      <c r="EX250" s="1232">
        <f t="shared" si="330"/>
        <v>49</v>
      </c>
    </row>
    <row r="251" spans="1:154" x14ac:dyDescent="0.3">
      <c r="A251" s="35" t="s">
        <v>83</v>
      </c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6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830">
        <f>+SUM(DU236:DU250)</f>
        <v>282</v>
      </c>
      <c r="DV251" s="830">
        <f>+SUM(DV236:DV250)</f>
        <v>575</v>
      </c>
      <c r="DW251" s="830">
        <f>+SUM(DW236:DW250)</f>
        <v>246</v>
      </c>
      <c r="DX251" s="830">
        <f t="shared" si="331"/>
        <v>405</v>
      </c>
      <c r="DY251" s="830">
        <f>+SUM(DY236:DY250)</f>
        <v>1508</v>
      </c>
      <c r="DZ251" s="830">
        <f>+SUM(DZ236:DZ250)</f>
        <v>477</v>
      </c>
      <c r="EA251" s="830">
        <f>+SUM(EA236:EA250)</f>
        <v>473</v>
      </c>
      <c r="EB251" s="830">
        <f>+SUM(EB236:EB250)</f>
        <v>542</v>
      </c>
      <c r="EC251" s="830">
        <f t="shared" si="332"/>
        <v>497</v>
      </c>
      <c r="ED251" s="830">
        <f t="shared" ref="ED251:EI251" si="333">+SUM(ED236:ED250)</f>
        <v>1989</v>
      </c>
      <c r="EE251" s="830">
        <f t="shared" si="333"/>
        <v>665</v>
      </c>
      <c r="EF251" s="830">
        <f t="shared" si="333"/>
        <v>-939</v>
      </c>
      <c r="EG251" s="830">
        <f t="shared" si="333"/>
        <v>603</v>
      </c>
      <c r="EH251" s="830">
        <f t="shared" si="333"/>
        <v>468</v>
      </c>
      <c r="EI251" s="830">
        <f t="shared" si="333"/>
        <v>797</v>
      </c>
      <c r="EJ251" s="830">
        <f t="shared" ref="EJ251:EK251" si="334">+SUM(EJ236:EJ250)</f>
        <v>528</v>
      </c>
      <c r="EK251" s="830">
        <f t="shared" si="334"/>
        <v>229</v>
      </c>
      <c r="EL251" s="830">
        <f t="shared" ref="EL251:EO251" si="335">+SUM(EL236:EL250)</f>
        <v>284</v>
      </c>
      <c r="EM251" s="830">
        <f t="shared" si="335"/>
        <v>360</v>
      </c>
      <c r="EN251" s="830">
        <f t="shared" si="335"/>
        <v>1401</v>
      </c>
      <c r="EO251" s="830">
        <f t="shared" si="335"/>
        <v>389</v>
      </c>
      <c r="EP251" s="830">
        <f t="shared" ref="EP251:ET251" si="336">+SUM(EP236:EP250)</f>
        <v>276</v>
      </c>
      <c r="EQ251" s="830">
        <f t="shared" si="336"/>
        <v>383</v>
      </c>
      <c r="ER251" s="830">
        <f t="shared" si="336"/>
        <v>296</v>
      </c>
      <c r="ES251" s="830">
        <f t="shared" si="336"/>
        <v>1344</v>
      </c>
      <c r="ET251" s="830">
        <f t="shared" si="336"/>
        <v>335</v>
      </c>
      <c r="EU251" s="830">
        <f t="shared" ref="EU251:EX251" si="337">+SUM(EU236:EU250)</f>
        <v>374</v>
      </c>
      <c r="EV251" s="830">
        <f t="shared" si="337"/>
        <v>618</v>
      </c>
      <c r="EW251" s="830">
        <f t="shared" si="337"/>
        <v>294</v>
      </c>
      <c r="EX251" s="830">
        <f t="shared" si="337"/>
        <v>1621</v>
      </c>
    </row>
    <row r="252" spans="1:154" x14ac:dyDescent="0.3">
      <c r="A252" s="27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6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7"/>
      <c r="DV252" s="7"/>
      <c r="DW252" s="7"/>
      <c r="DX252" s="5"/>
      <c r="DY252" s="34"/>
      <c r="DZ252" s="7"/>
      <c r="EA252" s="7"/>
      <c r="EB252" s="7"/>
      <c r="EC252" s="7"/>
      <c r="ED252" s="34"/>
      <c r="EE252" s="7"/>
      <c r="EF252" s="7"/>
      <c r="EG252" s="7"/>
      <c r="EH252" s="7"/>
      <c r="EI252" s="34"/>
      <c r="EJ252" s="7"/>
      <c r="EK252" s="7"/>
      <c r="EL252" s="7"/>
      <c r="EM252" s="7"/>
      <c r="EN252" s="34"/>
      <c r="EO252" s="7"/>
      <c r="EP252" s="7"/>
      <c r="EQ252" s="7"/>
      <c r="ER252" s="16"/>
      <c r="EU252" s="7"/>
      <c r="EV252" s="7"/>
      <c r="EW252" s="16"/>
    </row>
    <row r="253" spans="1:154" x14ac:dyDescent="0.3">
      <c r="A253" s="27" t="s">
        <v>3460</v>
      </c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6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15">
        <f>-DU78</f>
        <v>-305</v>
      </c>
      <c r="DV253" s="15">
        <f>-DV78</f>
        <v>-275</v>
      </c>
      <c r="DW253" s="15">
        <f>-DW78</f>
        <v>-318</v>
      </c>
      <c r="DX253" s="9">
        <f t="shared" si="331"/>
        <v>-328</v>
      </c>
      <c r="DY253" s="28">
        <f>-DY78</f>
        <v>-1226</v>
      </c>
      <c r="DZ253" s="15">
        <f>-DZ78</f>
        <v>-286</v>
      </c>
      <c r="EA253" s="15">
        <f>-EA78</f>
        <v>-225</v>
      </c>
      <c r="EB253" s="15">
        <f>-EB78</f>
        <v>-314</v>
      </c>
      <c r="EC253" s="9">
        <f>+ED253-SUM(DZ253:EB253)</f>
        <v>-356</v>
      </c>
      <c r="ED253" s="28">
        <f>-ED78</f>
        <v>-1181</v>
      </c>
      <c r="EE253" s="15">
        <f>-EE78</f>
        <v>-384</v>
      </c>
      <c r="EF253" s="15">
        <f>-EF78</f>
        <v>-385</v>
      </c>
      <c r="EG253" s="15">
        <f>-EG78</f>
        <v>-377</v>
      </c>
      <c r="EH253" s="15">
        <f>-EH78</f>
        <v>-559</v>
      </c>
      <c r="EI253" s="28">
        <f t="shared" ref="EI253:EI255" si="338">+SUM(EE253:EH253)</f>
        <v>-1705</v>
      </c>
      <c r="EJ253" s="15">
        <f>-EJ78</f>
        <v>-447</v>
      </c>
      <c r="EK253" s="15">
        <f>-EK78</f>
        <v>-641</v>
      </c>
      <c r="EL253" s="15">
        <f>-EL78</f>
        <v>-772</v>
      </c>
      <c r="EM253" s="15">
        <f>-EM78</f>
        <v>-878</v>
      </c>
      <c r="EN253" s="28">
        <f t="shared" ref="EN253:EN255" si="339">+SUM(EJ253:EM253)</f>
        <v>-2738</v>
      </c>
      <c r="EO253" s="15">
        <f>-EO78</f>
        <v>-1154</v>
      </c>
      <c r="EP253" s="15">
        <f>-EP78</f>
        <v>-1057</v>
      </c>
      <c r="EQ253" s="15">
        <f>-EQ78</f>
        <v>-671</v>
      </c>
      <c r="ER253" s="15">
        <f>-ER78</f>
        <v>-329</v>
      </c>
      <c r="ES253" s="28">
        <f t="shared" ref="ES253:ES255" si="340">+SUM(EO253:ER253)</f>
        <v>-3211</v>
      </c>
      <c r="ET253" s="15">
        <f>-ET78</f>
        <v>-666</v>
      </c>
      <c r="EU253" s="15">
        <f>-EU78</f>
        <v>-626</v>
      </c>
      <c r="EV253" s="15">
        <f>-EV78</f>
        <v>-699</v>
      </c>
      <c r="EW253" s="15">
        <f>-EW78</f>
        <v>-792</v>
      </c>
      <c r="EX253" s="28">
        <f t="shared" ref="EX253:EX255" si="341">+SUM(ET253:EW253)</f>
        <v>-2783</v>
      </c>
    </row>
    <row r="254" spans="1:154" x14ac:dyDescent="0.3">
      <c r="A254" s="27" t="s">
        <v>85</v>
      </c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6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7">
        <v>74</v>
      </c>
      <c r="DV254" s="7">
        <v>0</v>
      </c>
      <c r="DW254" s="7">
        <v>2</v>
      </c>
      <c r="DX254" s="9">
        <f t="shared" si="331"/>
        <v>12</v>
      </c>
      <c r="DY254" s="34">
        <v>88</v>
      </c>
      <c r="DZ254" s="7">
        <v>2</v>
      </c>
      <c r="EA254" s="7">
        <f>1131+5-DZ254</f>
        <v>1134</v>
      </c>
      <c r="EB254" s="7">
        <f>1131-SUM(DZ254:EA254)</f>
        <v>-5</v>
      </c>
      <c r="EC254" s="9">
        <f>+ED254-SUM(DZ254:EB254)</f>
        <v>27</v>
      </c>
      <c r="ED254" s="34">
        <f>1131+27</f>
        <v>1158</v>
      </c>
      <c r="EE254" s="7">
        <v>2</v>
      </c>
      <c r="EF254" s="7">
        <v>0</v>
      </c>
      <c r="EG254" s="7">
        <v>0</v>
      </c>
      <c r="EH254" s="7">
        <v>7</v>
      </c>
      <c r="EI254" s="1232">
        <f t="shared" si="338"/>
        <v>9</v>
      </c>
      <c r="EJ254" s="7">
        <v>0</v>
      </c>
      <c r="EK254" s="7">
        <v>0</v>
      </c>
      <c r="EL254" s="7">
        <v>3</v>
      </c>
      <c r="EM254" s="7">
        <v>9</v>
      </c>
      <c r="EN254" s="1232">
        <f t="shared" si="339"/>
        <v>12</v>
      </c>
      <c r="EO254" s="7">
        <v>0</v>
      </c>
      <c r="EP254" s="7">
        <v>0</v>
      </c>
      <c r="EQ254" s="7">
        <v>18</v>
      </c>
      <c r="ER254" s="7">
        <v>18</v>
      </c>
      <c r="ES254" s="1232">
        <f t="shared" si="340"/>
        <v>36</v>
      </c>
      <c r="ET254" s="7">
        <v>0</v>
      </c>
      <c r="EU254" s="7">
        <v>4</v>
      </c>
      <c r="EV254" s="7">
        <v>8</v>
      </c>
      <c r="EW254" s="7">
        <v>8</v>
      </c>
      <c r="EX254" s="1232">
        <f t="shared" si="341"/>
        <v>20</v>
      </c>
    </row>
    <row r="255" spans="1:154" x14ac:dyDescent="0.3">
      <c r="A255" s="27" t="s">
        <v>34</v>
      </c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6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7">
        <v>0</v>
      </c>
      <c r="DV255" s="7">
        <v>1</v>
      </c>
      <c r="DW255" s="7">
        <v>1</v>
      </c>
      <c r="DX255" s="9">
        <f t="shared" si="331"/>
        <v>2</v>
      </c>
      <c r="DY255" s="34">
        <v>4</v>
      </c>
      <c r="DZ255" s="7">
        <v>2</v>
      </c>
      <c r="EA255" s="7">
        <f>3-DZ255</f>
        <v>1</v>
      </c>
      <c r="EB255" s="7">
        <f>9-SUM(DZ255:EA255)</f>
        <v>6</v>
      </c>
      <c r="EC255" s="9">
        <f>+ED255-SUM(DZ255:EB255)</f>
        <v>-5</v>
      </c>
      <c r="ED255" s="34">
        <v>4</v>
      </c>
      <c r="EE255" s="7">
        <v>2</v>
      </c>
      <c r="EF255" s="7">
        <f>7-1</f>
        <v>6</v>
      </c>
      <c r="EG255" s="7">
        <v>1</v>
      </c>
      <c r="EH255" s="7">
        <v>4</v>
      </c>
      <c r="EI255" s="1232">
        <f t="shared" si="338"/>
        <v>13</v>
      </c>
      <c r="EJ255" s="7">
        <f>-900+2</f>
        <v>-898</v>
      </c>
      <c r="EK255" s="7">
        <f>1-1700+300</f>
        <v>-1399</v>
      </c>
      <c r="EL255" s="7">
        <f>-625+600+1</f>
        <v>-24</v>
      </c>
      <c r="EM255" s="7">
        <f>4+1700-1125</f>
        <v>579</v>
      </c>
      <c r="EN255" s="1232">
        <f t="shared" si="339"/>
        <v>-1742</v>
      </c>
      <c r="EO255" s="7">
        <f>-225+1075</f>
        <v>850</v>
      </c>
      <c r="EP255" s="7">
        <f>675-350+4</f>
        <v>329</v>
      </c>
      <c r="EQ255" s="7">
        <f>-1850+2325-63+1-EP255-EO255</f>
        <v>-766</v>
      </c>
      <c r="ER255" s="7">
        <f>625-425+1+5</f>
        <v>206</v>
      </c>
      <c r="ES255" s="1232">
        <f t="shared" si="340"/>
        <v>619</v>
      </c>
      <c r="ET255" s="7">
        <v>852</v>
      </c>
      <c r="EU255" s="7">
        <f>225+4</f>
        <v>229</v>
      </c>
      <c r="EV255" s="7">
        <v>0</v>
      </c>
      <c r="EW255" s="7">
        <v>1</v>
      </c>
      <c r="EX255" s="1232">
        <f t="shared" si="341"/>
        <v>1082</v>
      </c>
    </row>
    <row r="256" spans="1:154" x14ac:dyDescent="0.3">
      <c r="A256" s="35" t="s">
        <v>86</v>
      </c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6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830">
        <f>+SUM(DU253:DU255)</f>
        <v>-231</v>
      </c>
      <c r="DV256" s="830">
        <f>+SUM(DV253:DV255)</f>
        <v>-274</v>
      </c>
      <c r="DW256" s="830">
        <f>+SUM(DW253:DW255)</f>
        <v>-315</v>
      </c>
      <c r="DX256" s="830">
        <f t="shared" si="331"/>
        <v>-314</v>
      </c>
      <c r="DY256" s="830">
        <f>+SUM(DY253:DY255)</f>
        <v>-1134</v>
      </c>
      <c r="DZ256" s="830">
        <f>+SUM(DZ253:DZ255)</f>
        <v>-282</v>
      </c>
      <c r="EA256" s="830">
        <f>+SUM(EA253:EA255)</f>
        <v>910</v>
      </c>
      <c r="EB256" s="830">
        <f>+SUM(EB253:EB255)</f>
        <v>-313</v>
      </c>
      <c r="EC256" s="830">
        <f>+ED256-SUM(DZ256:EB256)</f>
        <v>-334</v>
      </c>
      <c r="ED256" s="830">
        <f t="shared" ref="ED256:EI256" si="342">+SUM(ED253:ED255)</f>
        <v>-19</v>
      </c>
      <c r="EE256" s="830">
        <f t="shared" si="342"/>
        <v>-380</v>
      </c>
      <c r="EF256" s="830">
        <f t="shared" si="342"/>
        <v>-379</v>
      </c>
      <c r="EG256" s="830">
        <f t="shared" si="342"/>
        <v>-376</v>
      </c>
      <c r="EH256" s="830">
        <f t="shared" si="342"/>
        <v>-548</v>
      </c>
      <c r="EI256" s="830">
        <f t="shared" si="342"/>
        <v>-1683</v>
      </c>
      <c r="EJ256" s="830">
        <f t="shared" ref="EJ256" si="343">+SUM(EJ253:EJ255)</f>
        <v>-1345</v>
      </c>
      <c r="EK256" s="830">
        <f t="shared" ref="EK256:EL256" si="344">+SUM(EK253:EK255)</f>
        <v>-2040</v>
      </c>
      <c r="EL256" s="830">
        <f t="shared" si="344"/>
        <v>-793</v>
      </c>
      <c r="EM256" s="830">
        <f t="shared" ref="EM256" si="345">+SUM(EM253:EM255)</f>
        <v>-290</v>
      </c>
      <c r="EN256" s="830">
        <f t="shared" ref="EN256:EO256" si="346">+SUM(EN253:EN255)</f>
        <v>-4468</v>
      </c>
      <c r="EO256" s="830">
        <f t="shared" si="346"/>
        <v>-304</v>
      </c>
      <c r="EP256" s="830">
        <f t="shared" ref="EP256:EQ256" si="347">+SUM(EP253:EP255)</f>
        <v>-728</v>
      </c>
      <c r="EQ256" s="830">
        <f t="shared" si="347"/>
        <v>-1419</v>
      </c>
      <c r="ER256" s="830">
        <f t="shared" ref="ER256:ES256" si="348">+SUM(ER253:ER255)</f>
        <v>-105</v>
      </c>
      <c r="ES256" s="830">
        <f t="shared" si="348"/>
        <v>-2556</v>
      </c>
      <c r="ET256" s="830">
        <f t="shared" ref="ET256:EX256" si="349">+SUM(ET253:ET255)</f>
        <v>186</v>
      </c>
      <c r="EU256" s="830">
        <f t="shared" si="349"/>
        <v>-393</v>
      </c>
      <c r="EV256" s="830">
        <f t="shared" si="349"/>
        <v>-691</v>
      </c>
      <c r="EW256" s="830">
        <f t="shared" si="349"/>
        <v>-783</v>
      </c>
      <c r="EX256" s="830">
        <f t="shared" si="349"/>
        <v>-1681</v>
      </c>
    </row>
    <row r="257" spans="1:154" x14ac:dyDescent="0.3">
      <c r="A257" s="27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6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7"/>
      <c r="DV257" s="7"/>
      <c r="DW257" s="7"/>
      <c r="DX257" s="5"/>
      <c r="DY257" s="34"/>
      <c r="DZ257" s="7"/>
      <c r="EA257" s="7"/>
      <c r="EB257" s="7"/>
      <c r="EC257" s="7"/>
      <c r="ED257" s="34"/>
      <c r="EE257" s="7"/>
      <c r="EF257" s="7"/>
      <c r="EG257" s="7"/>
      <c r="EH257" s="7"/>
      <c r="EI257" s="34"/>
      <c r="EJ257" s="7"/>
      <c r="EK257" s="7"/>
      <c r="EL257" s="7"/>
      <c r="EM257" s="7"/>
      <c r="EN257" s="34"/>
      <c r="EO257" s="7"/>
      <c r="EP257" s="7"/>
      <c r="EQ257" s="7"/>
      <c r="EU257" s="7"/>
      <c r="EV257" s="7"/>
    </row>
    <row r="258" spans="1:154" x14ac:dyDescent="0.3">
      <c r="A258" s="27" t="s">
        <v>87</v>
      </c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6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7">
        <v>-1995</v>
      </c>
      <c r="DV258" s="7">
        <f>-1999-DU258</f>
        <v>-4</v>
      </c>
      <c r="DW258" s="7">
        <f>-2003-SUM(DU258:DV258)</f>
        <v>-4</v>
      </c>
      <c r="DX258" s="9">
        <f t="shared" si="331"/>
        <v>-5</v>
      </c>
      <c r="DY258" s="34">
        <v>-2008</v>
      </c>
      <c r="DZ258" s="7">
        <v>-5</v>
      </c>
      <c r="EA258" s="7">
        <v>0</v>
      </c>
      <c r="EB258" s="7">
        <v>0</v>
      </c>
      <c r="EC258" s="9">
        <f t="shared" ref="EC258:EC266" si="350">+ED258-SUM(DZ258:EB258)</f>
        <v>-4943</v>
      </c>
      <c r="ED258" s="34">
        <v>-4948</v>
      </c>
      <c r="EE258" s="7">
        <v>0</v>
      </c>
      <c r="EF258" s="7">
        <v>-5</v>
      </c>
      <c r="EG258" s="7">
        <v>-4</v>
      </c>
      <c r="EH258" s="7">
        <v>-9</v>
      </c>
      <c r="EI258" s="1232">
        <f t="shared" ref="EI258:EI265" si="351">+SUM(EE258:EH258)</f>
        <v>-18</v>
      </c>
      <c r="EJ258" s="7">
        <v>-3</v>
      </c>
      <c r="EK258" s="7">
        <v>-3</v>
      </c>
      <c r="EL258" s="7">
        <v>-4</v>
      </c>
      <c r="EM258" s="7">
        <v>-3</v>
      </c>
      <c r="EN258" s="1232">
        <f t="shared" ref="EN258:EN265" si="352">+SUM(EJ258:EM258)</f>
        <v>-13</v>
      </c>
      <c r="EO258" s="7">
        <v>-4</v>
      </c>
      <c r="EP258" s="7">
        <v>-4</v>
      </c>
      <c r="EQ258" s="7">
        <f>-64-EP258-EO258</f>
        <v>-56</v>
      </c>
      <c r="ER258" s="7">
        <v>-4</v>
      </c>
      <c r="ES258" s="1232">
        <f t="shared" ref="ES258:ES265" si="353">+SUM(EO258:ER258)</f>
        <v>-68</v>
      </c>
      <c r="ET258" s="7">
        <v>-4</v>
      </c>
      <c r="EU258" s="7">
        <v>-3</v>
      </c>
      <c r="EV258" s="7">
        <v>-403</v>
      </c>
      <c r="EW258" s="7">
        <v>-2</v>
      </c>
      <c r="EX258" s="1232">
        <f t="shared" ref="EX258:EX265" si="354">+SUM(ET258:EW258)</f>
        <v>-412</v>
      </c>
    </row>
    <row r="259" spans="1:154" x14ac:dyDescent="0.3">
      <c r="A259" s="27" t="s">
        <v>88</v>
      </c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6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7">
        <v>1650</v>
      </c>
      <c r="DV259" s="7">
        <f>1650-DU259</f>
        <v>0</v>
      </c>
      <c r="DW259" s="7">
        <v>0</v>
      </c>
      <c r="DX259" s="9">
        <f t="shared" si="331"/>
        <v>0</v>
      </c>
      <c r="DY259" s="34">
        <v>1650</v>
      </c>
      <c r="DZ259" s="7">
        <v>0</v>
      </c>
      <c r="EA259" s="7">
        <v>0</v>
      </c>
      <c r="EB259" s="7">
        <v>0</v>
      </c>
      <c r="EC259" s="9">
        <f t="shared" si="350"/>
        <v>4950</v>
      </c>
      <c r="ED259" s="34">
        <v>4950</v>
      </c>
      <c r="EE259" s="7">
        <v>0</v>
      </c>
      <c r="EF259" s="7">
        <v>225</v>
      </c>
      <c r="EG259" s="7">
        <v>0</v>
      </c>
      <c r="EH259" s="7">
        <v>1000</v>
      </c>
      <c r="EI259" s="1232">
        <f t="shared" si="351"/>
        <v>1225</v>
      </c>
      <c r="EJ259" s="7">
        <v>0</v>
      </c>
      <c r="EK259" s="7">
        <v>1200</v>
      </c>
      <c r="EL259" s="7">
        <v>0</v>
      </c>
      <c r="EM259" s="7">
        <v>0</v>
      </c>
      <c r="EN259" s="1232">
        <f t="shared" si="352"/>
        <v>1200</v>
      </c>
      <c r="EO259" s="7">
        <v>750</v>
      </c>
      <c r="EP259" s="7">
        <v>0</v>
      </c>
      <c r="EQ259" s="7">
        <f>2278-EP259-EO259</f>
        <v>1528</v>
      </c>
      <c r="ER259" s="7">
        <v>0</v>
      </c>
      <c r="ES259" s="1232">
        <f t="shared" si="353"/>
        <v>2278</v>
      </c>
      <c r="ET259" s="7">
        <v>0</v>
      </c>
      <c r="EU259" s="7">
        <v>0</v>
      </c>
      <c r="EV259" s="7">
        <v>750</v>
      </c>
      <c r="EW259" s="7">
        <v>0</v>
      </c>
      <c r="EX259" s="1232">
        <f t="shared" si="354"/>
        <v>750</v>
      </c>
    </row>
    <row r="260" spans="1:154" x14ac:dyDescent="0.3">
      <c r="A260" s="27" t="s">
        <v>89</v>
      </c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6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7">
        <v>375</v>
      </c>
      <c r="DV260" s="7">
        <f>450-DU260</f>
        <v>75</v>
      </c>
      <c r="DW260" s="7">
        <f>949-SUM(DU260:DV260)</f>
        <v>499</v>
      </c>
      <c r="DX260" s="9">
        <f t="shared" si="331"/>
        <v>0</v>
      </c>
      <c r="DY260" s="34">
        <v>949</v>
      </c>
      <c r="DZ260" s="7">
        <v>0</v>
      </c>
      <c r="EA260" s="7">
        <v>0</v>
      </c>
      <c r="EB260" s="7">
        <v>0</v>
      </c>
      <c r="EC260" s="9">
        <f t="shared" si="350"/>
        <v>0</v>
      </c>
      <c r="ED260" s="34">
        <v>0</v>
      </c>
      <c r="EE260" s="7">
        <v>0</v>
      </c>
      <c r="EF260" s="7">
        <v>0</v>
      </c>
      <c r="EG260" s="7">
        <v>0</v>
      </c>
      <c r="EH260" s="7">
        <v>0</v>
      </c>
      <c r="EI260" s="1232">
        <f t="shared" si="351"/>
        <v>0</v>
      </c>
      <c r="EJ260" s="7">
        <v>0</v>
      </c>
      <c r="EK260" s="7">
        <v>0</v>
      </c>
      <c r="EL260" s="7">
        <v>0</v>
      </c>
      <c r="EM260" s="7">
        <v>0</v>
      </c>
      <c r="EN260" s="1232">
        <f t="shared" si="352"/>
        <v>0</v>
      </c>
      <c r="EO260" s="7">
        <v>0</v>
      </c>
      <c r="EP260" s="7">
        <v>0</v>
      </c>
      <c r="EQ260" s="7">
        <v>0</v>
      </c>
      <c r="ER260" s="7">
        <v>0</v>
      </c>
      <c r="ES260" s="1232">
        <f t="shared" si="353"/>
        <v>0</v>
      </c>
      <c r="ET260" s="7">
        <v>0</v>
      </c>
      <c r="EU260" s="7">
        <v>0</v>
      </c>
      <c r="EV260" s="7">
        <v>0</v>
      </c>
      <c r="EW260" s="7">
        <v>0</v>
      </c>
      <c r="EX260" s="1232">
        <f t="shared" si="354"/>
        <v>0</v>
      </c>
    </row>
    <row r="261" spans="1:154" x14ac:dyDescent="0.3">
      <c r="A261" s="27" t="s">
        <v>90</v>
      </c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6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7">
        <v>-275</v>
      </c>
      <c r="DV261" s="7">
        <f>-475-DU261</f>
        <v>-200</v>
      </c>
      <c r="DW261" s="7">
        <f>-475-SUM(DU261:DV261)</f>
        <v>0</v>
      </c>
      <c r="DX261" s="9">
        <f t="shared" si="331"/>
        <v>0</v>
      </c>
      <c r="DY261" s="34">
        <v>-475</v>
      </c>
      <c r="DZ261" s="7">
        <v>0</v>
      </c>
      <c r="EA261" s="7">
        <v>0</v>
      </c>
      <c r="EB261" s="7">
        <f>-749-SUM(DZ261:EA261)</f>
        <v>-749</v>
      </c>
      <c r="EC261" s="9">
        <f t="shared" si="350"/>
        <v>0</v>
      </c>
      <c r="ED261" s="34">
        <v>-749</v>
      </c>
      <c r="EE261" s="7">
        <v>0</v>
      </c>
      <c r="EF261" s="7">
        <v>0</v>
      </c>
      <c r="EG261" s="7">
        <v>0</v>
      </c>
      <c r="EH261" s="7">
        <v>0</v>
      </c>
      <c r="EI261" s="1232">
        <f t="shared" si="351"/>
        <v>0</v>
      </c>
      <c r="EJ261" s="7">
        <v>0</v>
      </c>
      <c r="EK261" s="7">
        <v>0</v>
      </c>
      <c r="EL261" s="7">
        <v>0</v>
      </c>
      <c r="EM261" s="7">
        <v>0</v>
      </c>
      <c r="EN261" s="1232">
        <f t="shared" si="352"/>
        <v>0</v>
      </c>
      <c r="EO261" s="7">
        <v>0</v>
      </c>
      <c r="EP261" s="7">
        <v>0</v>
      </c>
      <c r="EQ261" s="7">
        <v>0</v>
      </c>
      <c r="ER261" s="7">
        <v>0</v>
      </c>
      <c r="ES261" s="1232">
        <f t="shared" si="353"/>
        <v>0</v>
      </c>
      <c r="ET261" s="7">
        <v>-363</v>
      </c>
      <c r="EU261" s="7">
        <v>0</v>
      </c>
      <c r="EV261" s="7">
        <v>0</v>
      </c>
      <c r="EW261" s="7">
        <v>0</v>
      </c>
      <c r="EX261" s="1232">
        <f t="shared" si="354"/>
        <v>-363</v>
      </c>
    </row>
    <row r="262" spans="1:154" x14ac:dyDescent="0.3">
      <c r="A262" s="27" t="s">
        <v>91</v>
      </c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6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7">
        <v>-30</v>
      </c>
      <c r="DV262" s="7">
        <f>-44-DU262</f>
        <v>-14</v>
      </c>
      <c r="DW262" s="7">
        <f>-44-SUM(DU262:DV262)</f>
        <v>0</v>
      </c>
      <c r="DX262" s="9">
        <f t="shared" si="331"/>
        <v>0</v>
      </c>
      <c r="DY262" s="34">
        <v>-44</v>
      </c>
      <c r="DZ262" s="7">
        <v>0</v>
      </c>
      <c r="EA262" s="7">
        <f>-19-DZ262</f>
        <v>-19</v>
      </c>
      <c r="EB262" s="7">
        <f>-19-SUM(DZ262:EA262)</f>
        <v>0</v>
      </c>
      <c r="EC262" s="9">
        <f t="shared" si="350"/>
        <v>-102</v>
      </c>
      <c r="ED262" s="34">
        <v>-121</v>
      </c>
      <c r="EE262" s="7">
        <v>0</v>
      </c>
      <c r="EF262" s="7">
        <v>-4</v>
      </c>
      <c r="EG262" s="7">
        <v>0</v>
      </c>
      <c r="EH262" s="7">
        <v>-13</v>
      </c>
      <c r="EI262" s="1232">
        <f t="shared" si="351"/>
        <v>-17</v>
      </c>
      <c r="EJ262" s="7">
        <v>0</v>
      </c>
      <c r="EK262" s="7">
        <v>-17</v>
      </c>
      <c r="EL262" s="7">
        <v>0</v>
      </c>
      <c r="EM262" s="7">
        <v>0</v>
      </c>
      <c r="EN262" s="1232">
        <f t="shared" si="352"/>
        <v>-17</v>
      </c>
      <c r="EO262" s="7">
        <v>-13</v>
      </c>
      <c r="EP262" s="7">
        <v>-7</v>
      </c>
      <c r="EQ262" s="7">
        <f>21-EP262-EO262</f>
        <v>41</v>
      </c>
      <c r="ER262" s="7">
        <v>-6</v>
      </c>
      <c r="ES262" s="1232">
        <f t="shared" si="353"/>
        <v>15</v>
      </c>
      <c r="ET262" s="7">
        <v>0</v>
      </c>
      <c r="EU262" s="7">
        <v>-8</v>
      </c>
      <c r="EV262" s="7">
        <v>-29</v>
      </c>
      <c r="EW262" s="7">
        <v>-2</v>
      </c>
      <c r="EX262" s="1232">
        <f t="shared" si="354"/>
        <v>-39</v>
      </c>
    </row>
    <row r="263" spans="1:154" x14ac:dyDescent="0.3">
      <c r="A263" s="27" t="s">
        <v>92</v>
      </c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6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7">
        <v>-8</v>
      </c>
      <c r="DV263" s="7">
        <f>-17-DU263</f>
        <v>-9</v>
      </c>
      <c r="DW263" s="7">
        <v>-9</v>
      </c>
      <c r="DX263" s="9">
        <f t="shared" si="331"/>
        <v>-9</v>
      </c>
      <c r="DY263" s="34">
        <v>-35</v>
      </c>
      <c r="DZ263" s="7">
        <v>-8</v>
      </c>
      <c r="EA263" s="7">
        <f>-13-DZ263</f>
        <v>-5</v>
      </c>
      <c r="EB263" s="7">
        <f>-18-SUM(DZ263:EA263)</f>
        <v>-5</v>
      </c>
      <c r="EC263" s="9">
        <f t="shared" si="350"/>
        <v>-5</v>
      </c>
      <c r="ED263" s="34">
        <v>-23</v>
      </c>
      <c r="EE263" s="7">
        <v>-5</v>
      </c>
      <c r="EF263" s="7">
        <v>-6</v>
      </c>
      <c r="EG263" s="7">
        <v>-5</v>
      </c>
      <c r="EH263" s="7">
        <v>-4</v>
      </c>
      <c r="EI263" s="1232">
        <f t="shared" si="351"/>
        <v>-20</v>
      </c>
      <c r="EJ263" s="7">
        <v>-5</v>
      </c>
      <c r="EK263" s="7">
        <v>-5</v>
      </c>
      <c r="EL263" s="7">
        <v>-5</v>
      </c>
      <c r="EM263" s="7">
        <v>-4</v>
      </c>
      <c r="EN263" s="1232">
        <f t="shared" si="352"/>
        <v>-19</v>
      </c>
      <c r="EO263" s="7">
        <v>-5</v>
      </c>
      <c r="EP263" s="7">
        <v>-4</v>
      </c>
      <c r="EQ263" s="7">
        <f>-18-EP263-EO263</f>
        <v>-9</v>
      </c>
      <c r="ER263" s="7">
        <v>-7</v>
      </c>
      <c r="ES263" s="1232">
        <f t="shared" si="353"/>
        <v>-25</v>
      </c>
      <c r="ET263" s="7">
        <v>-7</v>
      </c>
      <c r="EU263" s="7">
        <v>-6</v>
      </c>
      <c r="EV263" s="7">
        <v>-8</v>
      </c>
      <c r="EW263" s="7">
        <v>-8</v>
      </c>
      <c r="EX263" s="1232">
        <f t="shared" si="354"/>
        <v>-29</v>
      </c>
    </row>
    <row r="264" spans="1:154" x14ac:dyDescent="0.3">
      <c r="A264" s="27" t="s">
        <v>3461</v>
      </c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6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7"/>
      <c r="DV264" s="7"/>
      <c r="DW264" s="7"/>
      <c r="DX264" s="9"/>
      <c r="DY264" s="34"/>
      <c r="DZ264" s="7"/>
      <c r="EA264" s="7"/>
      <c r="EB264" s="7"/>
      <c r="EC264" s="9"/>
      <c r="ED264" s="34"/>
      <c r="EE264" s="7"/>
      <c r="EF264" s="7"/>
      <c r="EG264" s="7"/>
      <c r="EH264" s="7"/>
      <c r="EI264" s="1232"/>
      <c r="EJ264" s="7">
        <v>0</v>
      </c>
      <c r="EK264" s="7">
        <v>0</v>
      </c>
      <c r="EL264" s="7">
        <v>0</v>
      </c>
      <c r="EM264" s="7">
        <v>0</v>
      </c>
      <c r="EN264" s="1232">
        <f t="shared" si="352"/>
        <v>0</v>
      </c>
      <c r="EO264" s="7">
        <v>0</v>
      </c>
      <c r="EP264" s="7">
        <v>0</v>
      </c>
      <c r="EQ264" s="7">
        <v>0</v>
      </c>
      <c r="ER264" s="7">
        <v>-5</v>
      </c>
      <c r="ES264" s="1232">
        <f t="shared" si="353"/>
        <v>-5</v>
      </c>
      <c r="ET264" s="7">
        <v>0</v>
      </c>
      <c r="EU264" s="7">
        <v>-52</v>
      </c>
      <c r="EV264" s="7">
        <v>0</v>
      </c>
      <c r="EW264" s="7">
        <v>-48</v>
      </c>
      <c r="EX264" s="1232">
        <f t="shared" si="354"/>
        <v>-100</v>
      </c>
    </row>
    <row r="265" spans="1:154" x14ac:dyDescent="0.3">
      <c r="A265" s="27" t="s">
        <v>34</v>
      </c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6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7">
        <v>-3</v>
      </c>
      <c r="DV265" s="7">
        <f>-4-DU265</f>
        <v>-1</v>
      </c>
      <c r="DW265" s="7">
        <v>-1</v>
      </c>
      <c r="DX265" s="9">
        <f t="shared" si="331"/>
        <v>0</v>
      </c>
      <c r="DY265" s="34">
        <v>-5</v>
      </c>
      <c r="DZ265" s="7">
        <v>0</v>
      </c>
      <c r="EA265" s="7">
        <v>0</v>
      </c>
      <c r="EB265" s="7">
        <v>0</v>
      </c>
      <c r="EC265" s="9">
        <f t="shared" si="350"/>
        <v>-2</v>
      </c>
      <c r="ED265" s="34">
        <v>-2</v>
      </c>
      <c r="EE265" s="7">
        <v>-2</v>
      </c>
      <c r="EF265" s="7">
        <v>-13</v>
      </c>
      <c r="EG265" s="7">
        <v>-1</v>
      </c>
      <c r="EH265" s="7">
        <v>23</v>
      </c>
      <c r="EI265" s="1232">
        <f t="shared" si="351"/>
        <v>7</v>
      </c>
      <c r="EJ265" s="7">
        <v>-4</v>
      </c>
      <c r="EK265" s="7">
        <f>-6+1</f>
        <v>-5</v>
      </c>
      <c r="EL265" s="7">
        <v>70</v>
      </c>
      <c r="EM265" s="7">
        <v>-1</v>
      </c>
      <c r="EN265" s="1232">
        <f t="shared" si="352"/>
        <v>60</v>
      </c>
      <c r="EO265" s="7">
        <v>-3</v>
      </c>
      <c r="EP265" s="7">
        <v>-3</v>
      </c>
      <c r="EQ265" s="7">
        <f>-10-56-9-7-EP265-EO265</f>
        <v>-76</v>
      </c>
      <c r="ER265" s="7">
        <f>9+7</f>
        <v>16</v>
      </c>
      <c r="ES265" s="1232">
        <f t="shared" si="353"/>
        <v>-66</v>
      </c>
      <c r="ET265" s="7">
        <f>-43-6</f>
        <v>-49</v>
      </c>
      <c r="EU265" s="7">
        <v>-3</v>
      </c>
      <c r="EV265" s="7">
        <v>-3</v>
      </c>
      <c r="EW265" s="7">
        <f>-4-16</f>
        <v>-20</v>
      </c>
      <c r="EX265" s="1232">
        <f t="shared" si="354"/>
        <v>-75</v>
      </c>
    </row>
    <row r="266" spans="1:154" x14ac:dyDescent="0.3">
      <c r="A266" s="35" t="s">
        <v>94</v>
      </c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6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1287">
        <f>+SUM(DU258:DU265)</f>
        <v>-286</v>
      </c>
      <c r="DV266" s="1287">
        <f>+SUM(DV258:DV265)</f>
        <v>-153</v>
      </c>
      <c r="DW266" s="1287">
        <f>+SUM(DW258:DW265)</f>
        <v>485</v>
      </c>
      <c r="DX266" s="830">
        <f t="shared" si="331"/>
        <v>-14</v>
      </c>
      <c r="DY266" s="1287">
        <f>+SUM(DY258:DY265)</f>
        <v>32</v>
      </c>
      <c r="DZ266" s="1287">
        <f>+SUM(DZ258:DZ265)</f>
        <v>-13</v>
      </c>
      <c r="EA266" s="1287">
        <f>+SUM(EA258:EA265)</f>
        <v>-24</v>
      </c>
      <c r="EB266" s="1287">
        <f>+SUM(EB258:EB265)</f>
        <v>-754</v>
      </c>
      <c r="EC266" s="830">
        <f t="shared" si="350"/>
        <v>-102</v>
      </c>
      <c r="ED266" s="1287">
        <f t="shared" ref="ED266:EI266" si="355">+SUM(ED258:ED265)</f>
        <v>-893</v>
      </c>
      <c r="EE266" s="1287">
        <f t="shared" si="355"/>
        <v>-7</v>
      </c>
      <c r="EF266" s="1287">
        <f t="shared" si="355"/>
        <v>197</v>
      </c>
      <c r="EG266" s="1287">
        <f t="shared" si="355"/>
        <v>-10</v>
      </c>
      <c r="EH266" s="1287">
        <f t="shared" si="355"/>
        <v>997</v>
      </c>
      <c r="EI266" s="1287">
        <f t="shared" si="355"/>
        <v>1177</v>
      </c>
      <c r="EJ266" s="1287">
        <f t="shared" ref="EJ266:EK266" si="356">+SUM(EJ258:EJ265)</f>
        <v>-12</v>
      </c>
      <c r="EK266" s="1287">
        <f t="shared" si="356"/>
        <v>1170</v>
      </c>
      <c r="EL266" s="1287">
        <f t="shared" ref="EL266:EO266" si="357">+SUM(EL258:EL265)</f>
        <v>61</v>
      </c>
      <c r="EM266" s="1287">
        <f t="shared" si="357"/>
        <v>-8</v>
      </c>
      <c r="EN266" s="1287">
        <f t="shared" si="357"/>
        <v>1211</v>
      </c>
      <c r="EO266" s="1287">
        <f t="shared" si="357"/>
        <v>725</v>
      </c>
      <c r="EP266" s="1287">
        <f t="shared" ref="EP266:ET266" si="358">+SUM(EP258:EP265)</f>
        <v>-18</v>
      </c>
      <c r="EQ266" s="1287">
        <f t="shared" si="358"/>
        <v>1428</v>
      </c>
      <c r="ER266" s="1287">
        <f t="shared" si="358"/>
        <v>-6</v>
      </c>
      <c r="ES266" s="1287">
        <f t="shared" si="358"/>
        <v>2129</v>
      </c>
      <c r="ET266" s="1287">
        <f t="shared" si="358"/>
        <v>-423</v>
      </c>
      <c r="EU266" s="1287">
        <f t="shared" ref="EU266:EX266" si="359">+SUM(EU258:EU265)</f>
        <v>-72</v>
      </c>
      <c r="EV266" s="1287">
        <f t="shared" si="359"/>
        <v>307</v>
      </c>
      <c r="EW266" s="1287">
        <f t="shared" si="359"/>
        <v>-80</v>
      </c>
      <c r="EX266" s="1287">
        <f t="shared" si="359"/>
        <v>-268</v>
      </c>
    </row>
    <row r="267" spans="1:154" x14ac:dyDescent="0.3">
      <c r="A267" s="27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6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7"/>
      <c r="DV267" s="7"/>
      <c r="DW267" s="7"/>
      <c r="DX267" s="5"/>
      <c r="DY267" s="34"/>
      <c r="DZ267" s="7"/>
      <c r="EA267" s="7"/>
      <c r="EB267" s="7"/>
      <c r="EC267" s="7"/>
      <c r="ED267" s="34"/>
      <c r="EE267" s="7"/>
      <c r="EF267" s="7"/>
      <c r="EG267" s="7"/>
      <c r="EH267" s="7"/>
      <c r="EI267" s="34"/>
      <c r="EJ267" s="7"/>
      <c r="EK267" s="7"/>
      <c r="EL267" s="7"/>
      <c r="EM267" s="7"/>
      <c r="EN267" s="34"/>
      <c r="EO267" s="7"/>
      <c r="EP267" s="7"/>
      <c r="EQ267" s="7"/>
      <c r="ER267" s="15"/>
      <c r="ES267" s="15"/>
      <c r="ET267" s="15"/>
      <c r="EU267" s="7"/>
      <c r="EV267" s="7"/>
      <c r="EW267" s="15"/>
      <c r="EX267" s="15"/>
    </row>
    <row r="268" spans="1:154" x14ac:dyDescent="0.3">
      <c r="A268" s="27" t="s">
        <v>95</v>
      </c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6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1288">
        <f t="shared" ref="DU268:EA268" si="360">+SUM(DU266,DU256,DU251)</f>
        <v>-235</v>
      </c>
      <c r="DV268" s="1288">
        <f t="shared" si="360"/>
        <v>148</v>
      </c>
      <c r="DW268" s="1288">
        <f t="shared" si="360"/>
        <v>416</v>
      </c>
      <c r="DX268" s="1288">
        <f t="shared" si="360"/>
        <v>77</v>
      </c>
      <c r="DY268" s="1288">
        <f t="shared" si="360"/>
        <v>406</v>
      </c>
      <c r="DZ268" s="1288">
        <f t="shared" si="360"/>
        <v>182</v>
      </c>
      <c r="EA268" s="1288">
        <f t="shared" si="360"/>
        <v>1359</v>
      </c>
      <c r="EB268" s="1288">
        <f t="shared" ref="EB268:EG268" si="361">+SUM(EB266,EB256,EB251)</f>
        <v>-525</v>
      </c>
      <c r="EC268" s="1288">
        <f t="shared" si="361"/>
        <v>61</v>
      </c>
      <c r="ED268" s="1288">
        <f t="shared" si="361"/>
        <v>1077</v>
      </c>
      <c r="EE268" s="1288">
        <f t="shared" si="361"/>
        <v>278</v>
      </c>
      <c r="EF268" s="1288">
        <f t="shared" si="361"/>
        <v>-1121</v>
      </c>
      <c r="EG268" s="1288">
        <f t="shared" si="361"/>
        <v>217</v>
      </c>
      <c r="EH268" s="1288">
        <f t="shared" ref="EH268:EK268" si="362">+SUM(EH266,EH256,EH251)</f>
        <v>917</v>
      </c>
      <c r="EI268" s="1288">
        <f t="shared" si="362"/>
        <v>291</v>
      </c>
      <c r="EJ268" s="1288">
        <f t="shared" si="362"/>
        <v>-829</v>
      </c>
      <c r="EK268" s="1288">
        <f t="shared" si="362"/>
        <v>-641</v>
      </c>
      <c r="EL268" s="1288">
        <f t="shared" ref="EL268:EP268" si="363">+SUM(EL266,EL256,EL251)</f>
        <v>-448</v>
      </c>
      <c r="EM268" s="1288">
        <f t="shared" si="363"/>
        <v>62</v>
      </c>
      <c r="EN268" s="1288">
        <f t="shared" si="363"/>
        <v>-1856</v>
      </c>
      <c r="EO268" s="1288">
        <f t="shared" si="363"/>
        <v>810</v>
      </c>
      <c r="EP268" s="1288">
        <f t="shared" si="363"/>
        <v>-470</v>
      </c>
      <c r="EQ268" s="1288">
        <f t="shared" ref="EQ268:ES268" si="364">+SUM(EQ266,EQ256,EQ251)</f>
        <v>392</v>
      </c>
      <c r="ER268" s="1288">
        <f t="shared" si="364"/>
        <v>185</v>
      </c>
      <c r="ES268" s="1288">
        <f t="shared" si="364"/>
        <v>917</v>
      </c>
      <c r="ET268" s="1288">
        <f t="shared" ref="ET268:EX268" si="365">+SUM(ET266,ET256,ET251)</f>
        <v>98</v>
      </c>
      <c r="EU268" s="1288">
        <f t="shared" si="365"/>
        <v>-91</v>
      </c>
      <c r="EV268" s="1288">
        <f t="shared" si="365"/>
        <v>234</v>
      </c>
      <c r="EW268" s="1288">
        <f t="shared" si="365"/>
        <v>-569</v>
      </c>
      <c r="EX268" s="1288">
        <f t="shared" si="365"/>
        <v>-328</v>
      </c>
    </row>
    <row r="269" spans="1:154" x14ac:dyDescent="0.3">
      <c r="A269" s="27" t="s">
        <v>96</v>
      </c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6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7">
        <v>404</v>
      </c>
      <c r="DV269" s="36">
        <f>+DU270</f>
        <v>169</v>
      </c>
      <c r="DW269" s="36">
        <f>+DV270</f>
        <v>317</v>
      </c>
      <c r="DX269" s="36">
        <f>+DW270</f>
        <v>733</v>
      </c>
      <c r="DY269" s="36">
        <f>+DU269</f>
        <v>404</v>
      </c>
      <c r="DZ269" s="7">
        <v>809</v>
      </c>
      <c r="EA269" s="36">
        <f>+DZ270</f>
        <v>991</v>
      </c>
      <c r="EB269" s="36">
        <f>+EA270</f>
        <v>2350</v>
      </c>
      <c r="EC269" s="36">
        <f>+EB270</f>
        <v>1825</v>
      </c>
      <c r="ED269" s="36">
        <f>+DZ269</f>
        <v>809</v>
      </c>
      <c r="EE269" s="7">
        <v>1887</v>
      </c>
      <c r="EF269" s="36">
        <f>+EE270</f>
        <v>2165</v>
      </c>
      <c r="EG269" s="36">
        <f>+EF270</f>
        <v>1044</v>
      </c>
      <c r="EH269" s="36">
        <f>+EG270</f>
        <v>1261</v>
      </c>
      <c r="EI269" s="36">
        <f>+EE269</f>
        <v>1887</v>
      </c>
      <c r="EJ269" s="36">
        <f>+EI270</f>
        <v>2178</v>
      </c>
      <c r="EK269" s="36">
        <f>+EJ270</f>
        <v>1349</v>
      </c>
      <c r="EL269" s="36">
        <f>+EK270</f>
        <v>708</v>
      </c>
      <c r="EM269" s="36">
        <f>+EL270</f>
        <v>260</v>
      </c>
      <c r="EN269" s="36">
        <f>+EJ269</f>
        <v>2178</v>
      </c>
      <c r="EO269" s="36">
        <f>+EN270</f>
        <v>322</v>
      </c>
      <c r="EP269" s="36">
        <f>+EO270</f>
        <v>1132</v>
      </c>
      <c r="EQ269" s="36">
        <f>+EP270</f>
        <v>662</v>
      </c>
      <c r="ER269" s="36">
        <f>+EQ270</f>
        <v>1054</v>
      </c>
      <c r="ES269" s="36">
        <f>+EO269</f>
        <v>322</v>
      </c>
      <c r="ET269" s="36">
        <f>+ES270</f>
        <v>1239</v>
      </c>
      <c r="EU269" s="36">
        <f>+ET270</f>
        <v>1337</v>
      </c>
      <c r="EV269" s="36">
        <f>+EU270</f>
        <v>1246</v>
      </c>
      <c r="EW269" s="36">
        <f>+EV270</f>
        <v>1480</v>
      </c>
      <c r="EX269" s="36">
        <f>+ET269</f>
        <v>1239</v>
      </c>
    </row>
    <row r="270" spans="1:154" ht="12.5" thickBot="1" x14ac:dyDescent="0.35">
      <c r="A270" s="27" t="s">
        <v>97</v>
      </c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6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32">
        <f t="shared" ref="DU270:EA270" si="366">+DU268+DU269</f>
        <v>169</v>
      </c>
      <c r="DV270" s="37">
        <f t="shared" si="366"/>
        <v>317</v>
      </c>
      <c r="DW270" s="37">
        <f t="shared" si="366"/>
        <v>733</v>
      </c>
      <c r="DX270" s="37">
        <f t="shared" si="366"/>
        <v>810</v>
      </c>
      <c r="DY270" s="37">
        <f t="shared" si="366"/>
        <v>810</v>
      </c>
      <c r="DZ270" s="32">
        <f t="shared" si="366"/>
        <v>991</v>
      </c>
      <c r="EA270" s="37">
        <f t="shared" si="366"/>
        <v>2350</v>
      </c>
      <c r="EB270" s="37">
        <f t="shared" ref="EB270:EG270" si="367">+EB268+EB269</f>
        <v>1825</v>
      </c>
      <c r="EC270" s="37">
        <f t="shared" si="367"/>
        <v>1886</v>
      </c>
      <c r="ED270" s="37">
        <f t="shared" si="367"/>
        <v>1886</v>
      </c>
      <c r="EE270" s="32">
        <f t="shared" si="367"/>
        <v>2165</v>
      </c>
      <c r="EF270" s="37">
        <f t="shared" si="367"/>
        <v>1044</v>
      </c>
      <c r="EG270" s="37">
        <f t="shared" si="367"/>
        <v>1261</v>
      </c>
      <c r="EH270" s="37">
        <f t="shared" ref="EH270:EK270" si="368">+EH268+EH269</f>
        <v>2178</v>
      </c>
      <c r="EI270" s="37">
        <f t="shared" si="368"/>
        <v>2178</v>
      </c>
      <c r="EJ270" s="32">
        <f t="shared" si="368"/>
        <v>1349</v>
      </c>
      <c r="EK270" s="37">
        <f t="shared" si="368"/>
        <v>708</v>
      </c>
      <c r="EL270" s="37">
        <f t="shared" ref="EL270:EP270" si="369">+EL268+EL269</f>
        <v>260</v>
      </c>
      <c r="EM270" s="37">
        <f t="shared" si="369"/>
        <v>322</v>
      </c>
      <c r="EN270" s="37">
        <f t="shared" si="369"/>
        <v>322</v>
      </c>
      <c r="EO270" s="32">
        <f t="shared" si="369"/>
        <v>1132</v>
      </c>
      <c r="EP270" s="37">
        <f t="shared" si="369"/>
        <v>662</v>
      </c>
      <c r="EQ270" s="37">
        <f t="shared" ref="EQ270:ES270" si="370">+EQ268+EQ269</f>
        <v>1054</v>
      </c>
      <c r="ER270" s="37">
        <f t="shared" si="370"/>
        <v>1239</v>
      </c>
      <c r="ES270" s="37">
        <f t="shared" si="370"/>
        <v>1239</v>
      </c>
      <c r="ET270" s="37">
        <f t="shared" ref="ET270:EX270" si="371">+ET268+ET269</f>
        <v>1337</v>
      </c>
      <c r="EU270" s="37">
        <f t="shared" si="371"/>
        <v>1246</v>
      </c>
      <c r="EV270" s="37">
        <f t="shared" si="371"/>
        <v>1480</v>
      </c>
      <c r="EW270" s="37">
        <f t="shared" si="371"/>
        <v>911</v>
      </c>
      <c r="EX270" s="37">
        <f t="shared" si="371"/>
        <v>911</v>
      </c>
    </row>
    <row r="271" spans="1:154" ht="12.5" thickTop="1" x14ac:dyDescent="0.3">
      <c r="A271" s="27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6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7"/>
      <c r="DV271" s="7"/>
      <c r="DW271" s="7"/>
      <c r="DX271" s="5"/>
      <c r="DY271" s="34"/>
      <c r="DZ271" s="7"/>
      <c r="EA271" s="7"/>
      <c r="EB271" s="7"/>
      <c r="EC271" s="7"/>
      <c r="ED271" s="34"/>
      <c r="EE271" s="7"/>
      <c r="EF271" s="7"/>
      <c r="EG271" s="7"/>
      <c r="EH271" s="7"/>
      <c r="EI271" s="34"/>
      <c r="EJ271" s="7"/>
      <c r="EK271" s="7"/>
      <c r="EL271" s="7"/>
      <c r="EM271" s="7"/>
      <c r="EN271" s="34"/>
      <c r="EO271" s="7"/>
      <c r="EP271" s="7"/>
      <c r="EQ271" s="7"/>
      <c r="EU271" s="7"/>
      <c r="EV271" s="7"/>
    </row>
    <row r="272" spans="1:154" x14ac:dyDescent="0.3">
      <c r="A272" s="27" t="s">
        <v>3462</v>
      </c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6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7">
        <v>525</v>
      </c>
      <c r="DV272" s="7">
        <f>712-DU272</f>
        <v>187</v>
      </c>
      <c r="DW272" s="7">
        <f>712-DV272</f>
        <v>525</v>
      </c>
      <c r="DX272" s="9">
        <f>+DY272-SUM(DU272:DW272)</f>
        <v>232</v>
      </c>
      <c r="DY272" s="34">
        <v>1469</v>
      </c>
      <c r="DZ272" s="7">
        <v>163</v>
      </c>
      <c r="EA272" s="7">
        <f>427-DZ272</f>
        <v>264</v>
      </c>
      <c r="EB272" s="7">
        <f>548-SUM(DZ272:EA272)</f>
        <v>121</v>
      </c>
      <c r="EC272" s="9">
        <f>+ED272-SUM(DZ272:EB272)</f>
        <v>64</v>
      </c>
      <c r="ED272" s="34">
        <v>612</v>
      </c>
      <c r="EE272" s="7">
        <v>40</v>
      </c>
      <c r="EF272" s="7">
        <v>128</v>
      </c>
      <c r="EG272" s="7">
        <v>37</v>
      </c>
      <c r="EH272" s="7">
        <v>160</v>
      </c>
      <c r="EI272" s="1232">
        <f t="shared" ref="EI272:EI273" si="372">+SUM(EE272:EH272)</f>
        <v>365</v>
      </c>
      <c r="EJ272" s="7">
        <v>36</v>
      </c>
      <c r="EK272" s="7">
        <v>162</v>
      </c>
      <c r="EL272" s="7">
        <v>88</v>
      </c>
      <c r="EM272" s="7">
        <v>226</v>
      </c>
      <c r="EN272" s="1232">
        <f t="shared" ref="EN272:EN273" si="373">+SUM(EJ272:EM272)</f>
        <v>512</v>
      </c>
      <c r="EO272" s="7">
        <v>83</v>
      </c>
      <c r="EP272" s="7">
        <v>231</v>
      </c>
      <c r="EQ272" s="7">
        <f>449-EP272-EO272</f>
        <v>135</v>
      </c>
      <c r="ER272" s="7">
        <v>262</v>
      </c>
      <c r="ES272" s="1232">
        <f t="shared" ref="ES272:ES274" si="374">+SUM(EO272:ER272)</f>
        <v>711</v>
      </c>
      <c r="ET272" s="7">
        <v>149</v>
      </c>
      <c r="EU272" s="7">
        <v>263</v>
      </c>
      <c r="EV272" s="7">
        <v>153</v>
      </c>
      <c r="EW272" s="7">
        <v>270</v>
      </c>
      <c r="EX272" s="1232">
        <f t="shared" ref="EX272:EX274" si="375">+SUM(ET272:EW272)</f>
        <v>835</v>
      </c>
    </row>
    <row r="273" spans="1:167" x14ac:dyDescent="0.3">
      <c r="A273" s="27" t="s">
        <v>3463</v>
      </c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6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7">
        <v>0</v>
      </c>
      <c r="DV273" s="7">
        <v>5</v>
      </c>
      <c r="DW273" s="7">
        <v>5</v>
      </c>
      <c r="DX273" s="9">
        <f>+DY273-SUM(DU273:DW273)</f>
        <v>-6</v>
      </c>
      <c r="DY273" s="34">
        <v>4</v>
      </c>
      <c r="DZ273" s="7">
        <v>1</v>
      </c>
      <c r="EA273" s="7">
        <f>1-DZ273</f>
        <v>0</v>
      </c>
      <c r="EB273" s="7">
        <f>6-SUM(DZ273:EA273)</f>
        <v>5</v>
      </c>
      <c r="EC273" s="9">
        <f>+ED273-SUM(DZ273:EB273)</f>
        <v>2</v>
      </c>
      <c r="ED273" s="34">
        <v>8</v>
      </c>
      <c r="EE273" s="7">
        <v>0</v>
      </c>
      <c r="EF273" s="7">
        <v>33</v>
      </c>
      <c r="EG273" s="7">
        <v>3</v>
      </c>
      <c r="EH273" s="7">
        <v>3</v>
      </c>
      <c r="EI273" s="1232">
        <f t="shared" si="372"/>
        <v>39</v>
      </c>
      <c r="EJ273" s="7">
        <v>2</v>
      </c>
      <c r="EK273" s="7">
        <v>7</v>
      </c>
      <c r="EL273" s="7">
        <v>-2</v>
      </c>
      <c r="EM273" s="7">
        <v>1</v>
      </c>
      <c r="EN273" s="1232">
        <f t="shared" si="373"/>
        <v>8</v>
      </c>
      <c r="EO273" s="7">
        <v>5</v>
      </c>
      <c r="EP273" s="7">
        <v>-4</v>
      </c>
      <c r="EQ273" s="7">
        <f>1-EP273-EO273</f>
        <v>0</v>
      </c>
      <c r="ER273" s="7">
        <v>-1</v>
      </c>
      <c r="ES273" s="1232">
        <f t="shared" si="374"/>
        <v>0</v>
      </c>
      <c r="ET273" s="7">
        <v>13</v>
      </c>
      <c r="EU273" s="7">
        <v>4</v>
      </c>
      <c r="EV273" s="7">
        <v>1</v>
      </c>
      <c r="EW273" s="7">
        <v>-2</v>
      </c>
      <c r="EX273" s="1232">
        <f t="shared" si="375"/>
        <v>16</v>
      </c>
    </row>
    <row r="274" spans="1:167" x14ac:dyDescent="0.3">
      <c r="A274" s="27" t="s">
        <v>3418</v>
      </c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6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7"/>
      <c r="DV274" s="7"/>
      <c r="DW274" s="7"/>
      <c r="DX274" s="9"/>
      <c r="DY274" s="34"/>
      <c r="DZ274" s="7">
        <v>0</v>
      </c>
      <c r="EA274" s="7"/>
      <c r="EB274" s="7"/>
      <c r="EC274" s="7"/>
      <c r="ED274" s="34"/>
      <c r="EE274" s="7">
        <v>56</v>
      </c>
      <c r="EI274" s="34"/>
      <c r="EJ274" s="7">
        <v>0</v>
      </c>
      <c r="EK274" s="7">
        <v>0</v>
      </c>
      <c r="EL274" s="7">
        <v>0</v>
      </c>
      <c r="EM274" s="7">
        <v>0</v>
      </c>
      <c r="EN274" s="34"/>
      <c r="EO274" s="7">
        <v>0</v>
      </c>
      <c r="EP274" s="7">
        <v>0</v>
      </c>
      <c r="EQ274" s="7">
        <v>0</v>
      </c>
      <c r="ER274" s="7">
        <v>0</v>
      </c>
      <c r="ES274" s="1232">
        <f t="shared" si="374"/>
        <v>0</v>
      </c>
      <c r="ET274" s="7">
        <v>0</v>
      </c>
      <c r="EU274" s="7">
        <v>0</v>
      </c>
      <c r="EV274" s="7">
        <v>0</v>
      </c>
      <c r="EW274" s="7">
        <v>0</v>
      </c>
      <c r="EX274" s="1232">
        <f t="shared" si="375"/>
        <v>0</v>
      </c>
    </row>
    <row r="275" spans="1:167" x14ac:dyDescent="0.3">
      <c r="A275" s="27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6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7"/>
      <c r="DV275" s="7"/>
      <c r="DW275" s="7"/>
      <c r="DX275" s="9"/>
      <c r="DY275" s="34"/>
      <c r="DZ275" s="7"/>
      <c r="EA275" s="7"/>
      <c r="EB275" s="7"/>
      <c r="EC275" s="7"/>
      <c r="ED275" s="34"/>
      <c r="EE275" s="7"/>
      <c r="EI275" s="34"/>
      <c r="EJ275" s="7"/>
      <c r="EN275" s="34"/>
      <c r="EO275" s="7"/>
      <c r="EP275" s="7"/>
      <c r="EQ275" s="7"/>
      <c r="EU275" s="7"/>
      <c r="EV275" s="7"/>
    </row>
    <row r="276" spans="1:167" x14ac:dyDescent="0.3">
      <c r="A276" s="110" t="s">
        <v>148</v>
      </c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6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</row>
    <row r="277" spans="1:167" x14ac:dyDescent="0.3">
      <c r="A277" s="27" t="s">
        <v>3464</v>
      </c>
      <c r="DU277" s="7">
        <f>16526+393</f>
        <v>16919</v>
      </c>
      <c r="DV277" s="7">
        <f>16357+440</f>
        <v>16797</v>
      </c>
      <c r="DW277" s="7">
        <f>16305+994</f>
        <v>17299</v>
      </c>
      <c r="DZ277" s="7">
        <v>17306</v>
      </c>
      <c r="EA277" s="7">
        <v>17511</v>
      </c>
      <c r="EB277" s="15">
        <f>+EA277/SUM(EA228,EA222)*SUM(EB228,EB222)</f>
        <v>16778.261264756416</v>
      </c>
      <c r="EC277" s="15">
        <f>+EB277/SUM(EB228,EB222)*SUM(EC228,EC222)</f>
        <v>16834.551127861221</v>
      </c>
      <c r="ED277" s="76">
        <f>+EC277</f>
        <v>16834.551127861221</v>
      </c>
      <c r="EE277" s="15">
        <f>+ED277/SUM(ED228,ED222)*SUM(EE228,EE222)</f>
        <v>16840.374217147924</v>
      </c>
      <c r="EF277" s="7">
        <v>7022</v>
      </c>
      <c r="EG277" s="7">
        <v>7011</v>
      </c>
      <c r="EH277" s="7">
        <v>7983</v>
      </c>
      <c r="EI277" s="76">
        <f>+EH277</f>
        <v>7983</v>
      </c>
      <c r="EJ277" s="15">
        <f>+EI277/SUM(EI228,EI222)*SUM(EJ228,EJ222)</f>
        <v>7983.0000000000009</v>
      </c>
      <c r="EK277" s="7">
        <v>9145</v>
      </c>
      <c r="EL277" s="7">
        <v>9135</v>
      </c>
      <c r="EM277" s="7">
        <v>9125</v>
      </c>
      <c r="EN277" s="85">
        <f>+EM277</f>
        <v>9125</v>
      </c>
      <c r="EO277" s="7">
        <v>9854</v>
      </c>
      <c r="EP277" s="7">
        <v>9844</v>
      </c>
      <c r="EQ277" s="7">
        <v>11273</v>
      </c>
      <c r="ER277" s="7">
        <v>11261</v>
      </c>
      <c r="ES277" s="85">
        <f>+ER277</f>
        <v>11261</v>
      </c>
      <c r="ET277" s="7">
        <v>11255</v>
      </c>
      <c r="EU277" s="7">
        <v>11249</v>
      </c>
      <c r="EV277" s="7">
        <v>11566</v>
      </c>
      <c r="EW277" s="7">
        <v>11561</v>
      </c>
      <c r="EX277" s="85">
        <f>+EW277</f>
        <v>11561</v>
      </c>
    </row>
    <row r="278" spans="1:167" x14ac:dyDescent="0.3">
      <c r="A278" s="178" t="s">
        <v>3465</v>
      </c>
      <c r="DU278" s="76">
        <f>+DU211</f>
        <v>119</v>
      </c>
      <c r="DV278" s="76">
        <f>+DV211</f>
        <v>267</v>
      </c>
      <c r="DW278" s="76">
        <f>+DW211</f>
        <v>683</v>
      </c>
      <c r="DZ278" s="76">
        <f>+DZ211</f>
        <v>941</v>
      </c>
      <c r="EA278" s="76">
        <f>+EA211</f>
        <v>2290</v>
      </c>
      <c r="EB278" s="76">
        <f>+EB211</f>
        <v>1767</v>
      </c>
      <c r="EC278" s="76">
        <f>+EC211</f>
        <v>1829</v>
      </c>
      <c r="ED278" s="76">
        <f>+EC278</f>
        <v>1829</v>
      </c>
      <c r="EE278" s="76">
        <f>+EE211</f>
        <v>2107</v>
      </c>
      <c r="EF278" s="76">
        <f>+EF211</f>
        <v>993</v>
      </c>
      <c r="EG278" s="76">
        <f>+EG211</f>
        <v>1211</v>
      </c>
      <c r="EH278" s="76">
        <f>+EH211</f>
        <v>2127</v>
      </c>
      <c r="EI278" s="76">
        <f>+EH278</f>
        <v>2127</v>
      </c>
      <c r="EJ278" s="76">
        <f>+EJ211</f>
        <v>1300</v>
      </c>
      <c r="EK278" s="76">
        <f>+EK211</f>
        <v>678</v>
      </c>
      <c r="EL278" s="76">
        <f>+EL211</f>
        <v>230</v>
      </c>
      <c r="EM278" s="76">
        <f>+EM211</f>
        <v>322</v>
      </c>
      <c r="EN278" s="85">
        <f>+EM278</f>
        <v>322</v>
      </c>
      <c r="EO278" s="76">
        <f>+EO211</f>
        <v>1132</v>
      </c>
      <c r="EP278" s="76">
        <f>+EP211</f>
        <v>662</v>
      </c>
      <c r="EQ278" s="76">
        <f>+EQ211</f>
        <v>948</v>
      </c>
      <c r="ER278" s="76">
        <f>+ER211</f>
        <v>1125</v>
      </c>
      <c r="ES278" s="85">
        <f>+ER278</f>
        <v>1125</v>
      </c>
      <c r="ET278" s="76">
        <f>+ET211</f>
        <v>1296</v>
      </c>
      <c r="EU278" s="76">
        <f>+EU211</f>
        <v>1197</v>
      </c>
      <c r="EV278" s="76">
        <f>+EV211</f>
        <v>1320</v>
      </c>
      <c r="EW278" s="76">
        <f>+EW211</f>
        <v>750</v>
      </c>
      <c r="EX278" s="85">
        <f>+EW278</f>
        <v>750</v>
      </c>
    </row>
    <row r="279" spans="1:167" x14ac:dyDescent="0.3">
      <c r="A279" s="27" t="s">
        <v>866</v>
      </c>
      <c r="DU279" s="803">
        <f>+DU277-DU278</f>
        <v>16800</v>
      </c>
      <c r="DV279" s="803">
        <f>+DV277-DV278</f>
        <v>16530</v>
      </c>
      <c r="DW279" s="803">
        <f>+DW277-DW278</f>
        <v>16616</v>
      </c>
      <c r="DZ279" s="803">
        <f>+DZ277-DZ278</f>
        <v>16365</v>
      </c>
      <c r="EA279" s="803">
        <f>+EA277-EA278</f>
        <v>15221</v>
      </c>
      <c r="EB279" s="803">
        <f>+EB277-EB278</f>
        <v>15011.261264756416</v>
      </c>
      <c r="EC279" s="803">
        <f>+EC277-EC278</f>
        <v>15005.551127861221</v>
      </c>
      <c r="ED279" s="803">
        <f>+EC279</f>
        <v>15005.551127861221</v>
      </c>
      <c r="EE279" s="803">
        <f>+EE277-EE278</f>
        <v>14733.374217147924</v>
      </c>
      <c r="EF279" s="803">
        <f>+EF277-EF278</f>
        <v>6029</v>
      </c>
      <c r="EG279" s="803">
        <f>+EG277-EG278</f>
        <v>5800</v>
      </c>
      <c r="EH279" s="803">
        <f>+EH277-EH278</f>
        <v>5856</v>
      </c>
      <c r="EI279" s="803">
        <f>+EH279</f>
        <v>5856</v>
      </c>
      <c r="EJ279" s="803">
        <f>+EJ277-EJ278</f>
        <v>6683.0000000000009</v>
      </c>
      <c r="EK279" s="803">
        <f>+EK277-EK278</f>
        <v>8467</v>
      </c>
      <c r="EL279" s="803">
        <f>+EL277-EL278</f>
        <v>8905</v>
      </c>
      <c r="EM279" s="803">
        <f>+EM277-EM278</f>
        <v>8803</v>
      </c>
      <c r="EN279" s="803">
        <f>+EM279</f>
        <v>8803</v>
      </c>
      <c r="EO279" s="803">
        <f>+EO277-EO278</f>
        <v>8722</v>
      </c>
      <c r="EP279" s="803">
        <f>+EP277-EP278</f>
        <v>9182</v>
      </c>
      <c r="EQ279" s="803">
        <f>+EQ277-EQ278</f>
        <v>10325</v>
      </c>
      <c r="ER279" s="803">
        <f>+ER277-ER278</f>
        <v>10136</v>
      </c>
      <c r="ES279" s="803">
        <f>+ER279</f>
        <v>10136</v>
      </c>
      <c r="ET279" s="803">
        <f>+ET277-ET278</f>
        <v>9959</v>
      </c>
      <c r="EU279" s="803">
        <f>+EU277-EU278</f>
        <v>10052</v>
      </c>
      <c r="EV279" s="803">
        <f>+EV277-EV278</f>
        <v>10246</v>
      </c>
      <c r="EW279" s="803">
        <f>+EW277-EW278</f>
        <v>10811</v>
      </c>
      <c r="EX279" s="803">
        <f>+EW279</f>
        <v>10811</v>
      </c>
    </row>
    <row r="281" spans="1:167" x14ac:dyDescent="0.3">
      <c r="A281" t="s">
        <v>3466</v>
      </c>
      <c r="EN281" s="98">
        <v>33</v>
      </c>
      <c r="EO281" s="98">
        <v>17</v>
      </c>
      <c r="EP281" s="1069">
        <f>39-EO281</f>
        <v>22</v>
      </c>
      <c r="EQ281" s="1069">
        <f>65-EO281-EP281</f>
        <v>26</v>
      </c>
      <c r="ER281" s="1069">
        <f>ES281-EO281-EP281-EQ281</f>
        <v>18</v>
      </c>
      <c r="ES281" s="98">
        <v>83</v>
      </c>
      <c r="ET281" s="98">
        <v>12</v>
      </c>
      <c r="EU281" s="98">
        <f>22-ET281</f>
        <v>10</v>
      </c>
      <c r="EV281" s="98">
        <f>35-ET281-EU281</f>
        <v>13</v>
      </c>
      <c r="EW281" s="1069">
        <f>EX281-ET281-EU281-EV281</f>
        <v>14</v>
      </c>
      <c r="EX281" s="98">
        <v>49</v>
      </c>
    </row>
    <row r="283" spans="1:167" x14ac:dyDescent="0.3">
      <c r="A283" s="25" t="s">
        <v>3467</v>
      </c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</row>
    <row r="284" spans="1:167" x14ac:dyDescent="0.3">
      <c r="A284" s="164" t="s">
        <v>106</v>
      </c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6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1172">
        <v>783</v>
      </c>
      <c r="EA284" s="1172">
        <v>732</v>
      </c>
      <c r="EB284" s="1172">
        <v>690</v>
      </c>
      <c r="EC284" s="1172">
        <v>693</v>
      </c>
      <c r="ED284" s="1113">
        <f>SUM(DZ284:EC284)</f>
        <v>2898</v>
      </c>
      <c r="EE284" s="1172">
        <v>670</v>
      </c>
      <c r="EF284" s="1174">
        <v>633</v>
      </c>
      <c r="EG284" s="1174">
        <v>587</v>
      </c>
      <c r="EH284" s="1174">
        <v>585</v>
      </c>
      <c r="EI284" s="1113">
        <f>SUM(EE284:EH284)</f>
        <v>2475</v>
      </c>
      <c r="EJ284" s="1174">
        <v>509</v>
      </c>
      <c r="EK284" s="1240">
        <f>+EK99</f>
        <v>535</v>
      </c>
      <c r="EL284" s="1240">
        <f>+EL99</f>
        <v>508</v>
      </c>
      <c r="EM284" s="1240">
        <f>+EM99</f>
        <v>528</v>
      </c>
      <c r="EN284" s="1113">
        <f>SUM(EJ284:EM284)</f>
        <v>2080</v>
      </c>
      <c r="EO284" s="1240">
        <f>+EO99</f>
        <v>519</v>
      </c>
      <c r="EP284" s="1240">
        <f>+EP99</f>
        <v>533</v>
      </c>
      <c r="EQ284" s="1240">
        <f>+EQ99</f>
        <v>526</v>
      </c>
      <c r="ER284" s="1240">
        <f>+ER99</f>
        <v>549</v>
      </c>
      <c r="ES284" s="1113">
        <f>SUM(EO284:ER284)</f>
        <v>2127</v>
      </c>
      <c r="ET284" s="1240">
        <f>+ET99</f>
        <v>547</v>
      </c>
      <c r="EU284" s="1240">
        <f>+EU99</f>
        <v>560</v>
      </c>
      <c r="EV284" s="1240">
        <f>+EV99</f>
        <v>549</v>
      </c>
      <c r="EW284" s="1240">
        <f>+EW99</f>
        <v>595</v>
      </c>
      <c r="EX284" s="1113">
        <f>SUM(ET284:EW284)</f>
        <v>2251</v>
      </c>
    </row>
    <row r="285" spans="1:167" x14ac:dyDescent="0.3">
      <c r="A285" s="164" t="s">
        <v>51</v>
      </c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6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1172">
        <v>-23</v>
      </c>
      <c r="EA285" s="1172">
        <v>-23</v>
      </c>
      <c r="EB285" s="1172">
        <v>-24</v>
      </c>
      <c r="EC285" s="1172">
        <v>-20</v>
      </c>
      <c r="ED285" s="1113">
        <f>SUM(DZ285:EC285)</f>
        <v>-90</v>
      </c>
      <c r="EE285" s="1172">
        <v>-23</v>
      </c>
      <c r="EF285" s="1174">
        <v>-21</v>
      </c>
      <c r="EG285" s="1174">
        <v>-18</v>
      </c>
      <c r="EH285" s="1174">
        <v>-19</v>
      </c>
      <c r="EI285" s="1113">
        <f>SUM(EE285:EH285)</f>
        <v>-81</v>
      </c>
      <c r="EJ285" s="1174">
        <f>-19-18</f>
        <v>-37</v>
      </c>
      <c r="EK285" s="1174">
        <f>-18-32</f>
        <v>-50</v>
      </c>
      <c r="EL285" s="1174">
        <f>-13-91</f>
        <v>-104</v>
      </c>
      <c r="EM285" s="1240">
        <f>+EM93*-1+1</f>
        <v>-10</v>
      </c>
      <c r="EN285" s="1113">
        <f>SUM(EJ285:EM285)</f>
        <v>-201</v>
      </c>
      <c r="EO285" s="1240">
        <f>+EO93*-1</f>
        <v>-11</v>
      </c>
      <c r="EP285" s="1240">
        <f>+EP93*-1</f>
        <v>-11</v>
      </c>
      <c r="EQ285" s="1240">
        <f>+EQ93*-1</f>
        <v>-9</v>
      </c>
      <c r="ER285" s="1240">
        <f>+ER93*-1</f>
        <v>-10</v>
      </c>
      <c r="ES285" s="1113">
        <f>SUM(EO285:ER285)</f>
        <v>-41</v>
      </c>
      <c r="ET285" s="1240">
        <f>+ET93*-1</f>
        <v>-9</v>
      </c>
      <c r="EU285" s="1240">
        <f>+EU93*-1</f>
        <v>-9</v>
      </c>
      <c r="EV285" s="1240">
        <f>+EV93*-1</f>
        <v>-8</v>
      </c>
      <c r="EW285" s="1240">
        <f>+EW93*-1</f>
        <v>-10</v>
      </c>
      <c r="EX285" s="1113">
        <f>SUM(ET285:EW285)</f>
        <v>-36</v>
      </c>
      <c r="EY285" s="902"/>
      <c r="EZ285" s="902"/>
      <c r="FA285" s="902"/>
      <c r="FB285" s="902"/>
    </row>
    <row r="286" spans="1:167" x14ac:dyDescent="0.3">
      <c r="A286" s="164" t="s">
        <v>107</v>
      </c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6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1172">
        <v>-163</v>
      </c>
      <c r="EA286" s="1172">
        <v>-264</v>
      </c>
      <c r="EB286" s="1172">
        <v>-121</v>
      </c>
      <c r="EC286" s="1172">
        <v>-64</v>
      </c>
      <c r="ED286" s="1113">
        <f>SUM(DZ286:EC286)</f>
        <v>-612</v>
      </c>
      <c r="EE286" s="1172">
        <v>-40</v>
      </c>
      <c r="EF286" s="1174">
        <v>-128</v>
      </c>
      <c r="EG286" s="1174">
        <v>-37</v>
      </c>
      <c r="EH286" s="1174">
        <v>-160</v>
      </c>
      <c r="EI286" s="1113">
        <f>SUM(EE286:EH286)</f>
        <v>-365</v>
      </c>
      <c r="EJ286" s="1174">
        <v>-36</v>
      </c>
      <c r="EK286" s="1174">
        <v>-162</v>
      </c>
      <c r="EL286" s="1174">
        <v>-88</v>
      </c>
      <c r="EM286" s="1240">
        <f>+EM272*-1</f>
        <v>-226</v>
      </c>
      <c r="EN286" s="1113">
        <f>SUM(EJ286:EM286)</f>
        <v>-512</v>
      </c>
      <c r="EO286" s="1240">
        <f t="shared" ref="EO286:EQ287" si="376">+EO272*-1</f>
        <v>-83</v>
      </c>
      <c r="EP286" s="1240">
        <f t="shared" si="376"/>
        <v>-231</v>
      </c>
      <c r="EQ286" s="1240">
        <f t="shared" si="376"/>
        <v>-135</v>
      </c>
      <c r="ER286" s="1240">
        <f t="shared" ref="ER286:EV287" si="377">+ER272*-1</f>
        <v>-262</v>
      </c>
      <c r="ES286" s="1113">
        <f>SUM(EO286:ER286)</f>
        <v>-711</v>
      </c>
      <c r="ET286" s="1240">
        <f t="shared" si="377"/>
        <v>-149</v>
      </c>
      <c r="EU286" s="1240">
        <f t="shared" ref="EU286:EW287" si="378">+EU272*-1</f>
        <v>-263</v>
      </c>
      <c r="EV286" s="1240">
        <f t="shared" si="378"/>
        <v>-153</v>
      </c>
      <c r="EW286" s="1240">
        <f t="shared" si="378"/>
        <v>-270</v>
      </c>
      <c r="EX286" s="1113">
        <f>SUM(ET286:EW286)</f>
        <v>-835</v>
      </c>
    </row>
    <row r="287" spans="1:167" x14ac:dyDescent="0.3">
      <c r="A287" s="164" t="s">
        <v>108</v>
      </c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6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1172">
        <v>-1</v>
      </c>
      <c r="EA287" s="1172">
        <v>0</v>
      </c>
      <c r="EB287" s="1172">
        <v>-5</v>
      </c>
      <c r="EC287" s="1172">
        <v>-2</v>
      </c>
      <c r="ED287" s="1113">
        <f t="shared" ref="ED287:ED292" si="379">SUM(DZ287:EC287)</f>
        <v>-8</v>
      </c>
      <c r="EE287" s="1172">
        <v>0</v>
      </c>
      <c r="EF287" s="1174">
        <v>-33</v>
      </c>
      <c r="EG287" s="1174">
        <v>-3</v>
      </c>
      <c r="EH287" s="1174">
        <v>-1</v>
      </c>
      <c r="EI287" s="1113">
        <f t="shared" ref="EI287:EI292" si="380">SUM(EE287:EH287)</f>
        <v>-37</v>
      </c>
      <c r="EJ287" s="1174">
        <v>-2</v>
      </c>
      <c r="EK287" s="1174">
        <v>-7</v>
      </c>
      <c r="EL287" s="1174">
        <v>2</v>
      </c>
      <c r="EM287" s="1240">
        <f>+EM273*-1</f>
        <v>-1</v>
      </c>
      <c r="EN287" s="1113">
        <f t="shared" ref="EN287:EN292" si="381">SUM(EJ287:EM287)</f>
        <v>-8</v>
      </c>
      <c r="EO287" s="1240">
        <f t="shared" si="376"/>
        <v>-5</v>
      </c>
      <c r="EP287" s="1240">
        <f t="shared" si="376"/>
        <v>4</v>
      </c>
      <c r="EQ287" s="1240">
        <f t="shared" si="376"/>
        <v>0</v>
      </c>
      <c r="ER287" s="1240">
        <f t="shared" ref="ER287" si="382">+ER273*-1</f>
        <v>1</v>
      </c>
      <c r="ES287" s="1113">
        <f t="shared" ref="ES287:ES292" si="383">SUM(EO287:ER287)</f>
        <v>0</v>
      </c>
      <c r="ET287" s="1240">
        <f t="shared" si="377"/>
        <v>-13</v>
      </c>
      <c r="EU287" s="1240">
        <f t="shared" si="377"/>
        <v>-4</v>
      </c>
      <c r="EV287" s="1240">
        <f t="shared" si="377"/>
        <v>-1</v>
      </c>
      <c r="EW287" s="1240">
        <f t="shared" si="378"/>
        <v>2</v>
      </c>
      <c r="EX287" s="1113">
        <f t="shared" ref="EX287:EX290" si="384">SUM(ET287:EW287)</f>
        <v>-16</v>
      </c>
    </row>
    <row r="288" spans="1:167" x14ac:dyDescent="0.3">
      <c r="A288" s="164" t="s">
        <v>34</v>
      </c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6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1172">
        <v>-71</v>
      </c>
      <c r="EA288" s="1172">
        <v>121</v>
      </c>
      <c r="EB288" s="1172">
        <v>136</v>
      </c>
      <c r="EC288" s="1172">
        <v>18</v>
      </c>
      <c r="ED288" s="1113">
        <f t="shared" si="379"/>
        <v>204</v>
      </c>
      <c r="EE288" s="1172">
        <v>85</v>
      </c>
      <c r="EF288" s="1174">
        <v>-103</v>
      </c>
      <c r="EG288" s="1174">
        <v>82</v>
      </c>
      <c r="EH288" s="1174">
        <f>2+63</f>
        <v>65</v>
      </c>
      <c r="EI288" s="1113">
        <f t="shared" si="380"/>
        <v>129</v>
      </c>
      <c r="EJ288" s="1174">
        <f>148</f>
        <v>148</v>
      </c>
      <c r="EK288" s="1174">
        <f>-57</f>
        <v>-57</v>
      </c>
      <c r="EL288" s="1174">
        <f>-30</f>
        <v>-30</v>
      </c>
      <c r="EM288" s="1174">
        <f>80</f>
        <v>80</v>
      </c>
      <c r="EN288" s="1113">
        <f t="shared" si="381"/>
        <v>141</v>
      </c>
      <c r="EO288" s="1174">
        <f>-26+3</f>
        <v>-23</v>
      </c>
      <c r="EP288" s="1174">
        <f>-29+34</f>
        <v>5</v>
      </c>
      <c r="EQ288" s="1174">
        <f>-49+66</f>
        <v>17</v>
      </c>
      <c r="ER288" s="1174">
        <f>-12+55</f>
        <v>43</v>
      </c>
      <c r="ES288" s="1113">
        <f t="shared" si="383"/>
        <v>42</v>
      </c>
      <c r="ET288" s="1174">
        <f>-52+19</f>
        <v>-33</v>
      </c>
      <c r="EU288" s="1174">
        <f>-17+133</f>
        <v>116</v>
      </c>
      <c r="EV288" s="1174">
        <f>-28+287</f>
        <v>259</v>
      </c>
      <c r="EW288" s="1174">
        <f>-20+33</f>
        <v>13</v>
      </c>
      <c r="EX288" s="1113">
        <f t="shared" si="384"/>
        <v>355</v>
      </c>
    </row>
    <row r="289" spans="1:167" x14ac:dyDescent="0.3">
      <c r="A289" s="164" t="s">
        <v>109</v>
      </c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6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1172">
        <v>0</v>
      </c>
      <c r="EA289" s="1172">
        <v>-57</v>
      </c>
      <c r="EB289" s="1172">
        <v>-131</v>
      </c>
      <c r="EC289" s="1172">
        <v>-128</v>
      </c>
      <c r="ED289" s="1113">
        <f t="shared" si="379"/>
        <v>-316</v>
      </c>
      <c r="EE289" s="1172">
        <v>-25</v>
      </c>
      <c r="EF289" s="1174">
        <v>-1271</v>
      </c>
      <c r="EG289" s="1174">
        <v>0</v>
      </c>
      <c r="EH289" s="1174">
        <v>0</v>
      </c>
      <c r="EI289" s="1113">
        <f t="shared" si="380"/>
        <v>-1296</v>
      </c>
      <c r="EJ289" s="1174">
        <v>0</v>
      </c>
      <c r="EK289" s="1174">
        <v>0</v>
      </c>
      <c r="EL289" s="1174">
        <v>0</v>
      </c>
      <c r="EM289" s="1174">
        <v>0</v>
      </c>
      <c r="EN289" s="1113">
        <f t="shared" si="381"/>
        <v>0</v>
      </c>
      <c r="EO289" s="1174">
        <v>0</v>
      </c>
      <c r="EP289" s="1174">
        <v>0</v>
      </c>
      <c r="EQ289" s="1174">
        <v>0</v>
      </c>
      <c r="ER289" s="1174">
        <v>0</v>
      </c>
      <c r="ES289" s="1113">
        <f t="shared" si="383"/>
        <v>0</v>
      </c>
      <c r="ET289" s="1174">
        <v>0</v>
      </c>
      <c r="EU289" s="1174">
        <v>0</v>
      </c>
      <c r="EV289" s="1174">
        <v>0</v>
      </c>
      <c r="EW289" s="1174">
        <v>0</v>
      </c>
      <c r="EX289" s="1113">
        <f t="shared" si="384"/>
        <v>0</v>
      </c>
    </row>
    <row r="290" spans="1:167" x14ac:dyDescent="0.3">
      <c r="A290" s="164" t="s">
        <v>110</v>
      </c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6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1173">
        <v>-48</v>
      </c>
      <c r="EA290" s="1173">
        <v>-36</v>
      </c>
      <c r="EB290" s="1173">
        <v>-3</v>
      </c>
      <c r="EC290" s="1173">
        <v>0</v>
      </c>
      <c r="ED290" s="1116">
        <f t="shared" si="379"/>
        <v>-87</v>
      </c>
      <c r="EE290" s="1173">
        <v>-2</v>
      </c>
      <c r="EF290" s="1175">
        <v>-16</v>
      </c>
      <c r="EG290" s="1175">
        <v>-8</v>
      </c>
      <c r="EH290" s="1175">
        <v>-2</v>
      </c>
      <c r="EI290" s="1116">
        <f t="shared" si="380"/>
        <v>-28</v>
      </c>
      <c r="EJ290" s="1175">
        <v>-54</v>
      </c>
      <c r="EK290" s="1175">
        <v>-30</v>
      </c>
      <c r="EL290" s="1175">
        <v>-4</v>
      </c>
      <c r="EM290" s="1175">
        <v>-11</v>
      </c>
      <c r="EN290" s="1116">
        <f t="shared" si="381"/>
        <v>-99</v>
      </c>
      <c r="EO290" s="1269">
        <f>EO56*-1</f>
        <v>-8</v>
      </c>
      <c r="EP290" s="1269">
        <f>EP56*-1</f>
        <v>-24</v>
      </c>
      <c r="EQ290" s="1269">
        <f>EQ56*-1</f>
        <v>-16</v>
      </c>
      <c r="ER290" s="1269">
        <f>ER56*-1</f>
        <v>-25</v>
      </c>
      <c r="ES290" s="1116">
        <f t="shared" si="383"/>
        <v>-73</v>
      </c>
      <c r="ET290" s="1269">
        <f>ET56*-1</f>
        <v>-34</v>
      </c>
      <c r="EU290" s="1269">
        <f>EU56*-1</f>
        <v>-26</v>
      </c>
      <c r="EV290" s="1269">
        <f>EV56*-1</f>
        <v>-28</v>
      </c>
      <c r="EW290" s="1269">
        <f>EW56*-1</f>
        <v>-36</v>
      </c>
      <c r="EX290" s="1116">
        <f t="shared" si="384"/>
        <v>-124</v>
      </c>
    </row>
    <row r="291" spans="1:167" x14ac:dyDescent="0.3">
      <c r="A291" s="1171" t="s">
        <v>111</v>
      </c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6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1113">
        <f t="shared" ref="DZ291:EG291" si="385">SUM(DZ284:DZ290)</f>
        <v>477</v>
      </c>
      <c r="EA291" s="1113">
        <f t="shared" si="385"/>
        <v>473</v>
      </c>
      <c r="EB291" s="1113">
        <f t="shared" si="385"/>
        <v>542</v>
      </c>
      <c r="EC291" s="1113">
        <f t="shared" si="385"/>
        <v>497</v>
      </c>
      <c r="ED291" s="1113">
        <f t="shared" si="385"/>
        <v>1989</v>
      </c>
      <c r="EE291" s="1113">
        <f t="shared" si="385"/>
        <v>665</v>
      </c>
      <c r="EF291" s="900">
        <f t="shared" si="385"/>
        <v>-939</v>
      </c>
      <c r="EG291" s="900">
        <f t="shared" si="385"/>
        <v>603</v>
      </c>
      <c r="EH291" s="900">
        <f t="shared" ref="EH291:EI291" si="386">SUM(EH284:EH290)</f>
        <v>468</v>
      </c>
      <c r="EI291" s="1113">
        <f t="shared" si="386"/>
        <v>797</v>
      </c>
      <c r="EJ291" s="900">
        <f t="shared" ref="EJ291:EK291" si="387">SUM(EJ284:EJ290)</f>
        <v>528</v>
      </c>
      <c r="EK291" s="900">
        <f t="shared" si="387"/>
        <v>229</v>
      </c>
      <c r="EL291" s="900">
        <f t="shared" ref="EL291:EO291" si="388">SUM(EL284:EL290)</f>
        <v>284</v>
      </c>
      <c r="EM291" s="900">
        <f t="shared" si="388"/>
        <v>360</v>
      </c>
      <c r="EN291" s="1113">
        <f t="shared" si="388"/>
        <v>1401</v>
      </c>
      <c r="EO291" s="900">
        <f t="shared" si="388"/>
        <v>389</v>
      </c>
      <c r="EP291" s="900">
        <f t="shared" ref="EP291:ES291" si="389">SUM(EP284:EP290)</f>
        <v>276</v>
      </c>
      <c r="EQ291" s="900">
        <f t="shared" si="389"/>
        <v>383</v>
      </c>
      <c r="ER291" s="900">
        <f t="shared" si="389"/>
        <v>296</v>
      </c>
      <c r="ES291" s="1113">
        <f t="shared" si="389"/>
        <v>1344</v>
      </c>
      <c r="ET291" s="900">
        <f t="shared" ref="ET291:EU291" si="390">SUM(ET284:ET290)</f>
        <v>309</v>
      </c>
      <c r="EU291" s="900">
        <f t="shared" si="390"/>
        <v>374</v>
      </c>
      <c r="EV291" s="900">
        <f t="shared" ref="EV291:EX291" si="391">SUM(EV284:EV290)</f>
        <v>618</v>
      </c>
      <c r="EW291" s="900">
        <f t="shared" si="391"/>
        <v>294</v>
      </c>
      <c r="EX291" s="1113">
        <f t="shared" si="391"/>
        <v>1595</v>
      </c>
    </row>
    <row r="292" spans="1:167" x14ac:dyDescent="0.3">
      <c r="A292" s="187" t="s">
        <v>101</v>
      </c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6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1173">
        <v>-286</v>
      </c>
      <c r="EA292" s="1173">
        <v>-225</v>
      </c>
      <c r="EB292" s="1173">
        <v>-314</v>
      </c>
      <c r="EC292" s="1173">
        <v>-356</v>
      </c>
      <c r="ED292" s="1116">
        <f t="shared" si="379"/>
        <v>-1181</v>
      </c>
      <c r="EE292" s="1173">
        <v>-384</v>
      </c>
      <c r="EF292" s="1175">
        <v>-385</v>
      </c>
      <c r="EG292" s="1175">
        <v>-377</v>
      </c>
      <c r="EH292" s="1175">
        <v>-559</v>
      </c>
      <c r="EI292" s="1116">
        <f t="shared" si="380"/>
        <v>-1705</v>
      </c>
      <c r="EJ292" s="1175">
        <v>-447</v>
      </c>
      <c r="EK292" s="1175">
        <v>-641</v>
      </c>
      <c r="EL292" s="1175">
        <v>-772</v>
      </c>
      <c r="EM292" s="1269">
        <f>+EM78*-1</f>
        <v>-878</v>
      </c>
      <c r="EN292" s="1116">
        <f t="shared" si="381"/>
        <v>-2738</v>
      </c>
      <c r="EO292" s="1269">
        <f>+EO78*-1</f>
        <v>-1154</v>
      </c>
      <c r="EP292" s="1269">
        <f>+EP78*-1</f>
        <v>-1057</v>
      </c>
      <c r="EQ292" s="1269">
        <f>+EQ78*-1</f>
        <v>-671</v>
      </c>
      <c r="ER292" s="1269">
        <f>+ER302*-1</f>
        <v>-333</v>
      </c>
      <c r="ES292" s="1116">
        <f t="shared" si="383"/>
        <v>-3215</v>
      </c>
      <c r="ET292" s="1269">
        <f>+ET302*-1</f>
        <v>-1029</v>
      </c>
      <c r="EU292" s="1269">
        <f>+EU302*-1</f>
        <v>-678</v>
      </c>
      <c r="EV292" s="1269">
        <f>+EV302*-1</f>
        <v>-699</v>
      </c>
      <c r="EW292" s="1269">
        <f>+EW302*-1</f>
        <v>-840</v>
      </c>
      <c r="EX292" s="1116">
        <f t="shared" ref="EX292" si="392">SUM(ET292:EW292)</f>
        <v>-3246</v>
      </c>
    </row>
    <row r="293" spans="1:167" x14ac:dyDescent="0.3">
      <c r="A293" s="186" t="s">
        <v>103</v>
      </c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6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1113">
        <f t="shared" ref="DZ293:EG293" si="393">SUM(DZ291:DZ292)</f>
        <v>191</v>
      </c>
      <c r="EA293" s="1113">
        <f t="shared" si="393"/>
        <v>248</v>
      </c>
      <c r="EB293" s="1113">
        <f t="shared" si="393"/>
        <v>228</v>
      </c>
      <c r="EC293" s="1113">
        <f t="shared" si="393"/>
        <v>141</v>
      </c>
      <c r="ED293" s="1113">
        <f t="shared" si="393"/>
        <v>808</v>
      </c>
      <c r="EE293" s="1113">
        <f t="shared" si="393"/>
        <v>281</v>
      </c>
      <c r="EF293" s="900">
        <f t="shared" si="393"/>
        <v>-1324</v>
      </c>
      <c r="EG293" s="900">
        <f t="shared" si="393"/>
        <v>226</v>
      </c>
      <c r="EH293" s="900">
        <f t="shared" ref="EH293:EI293" si="394">SUM(EH291:EH292)</f>
        <v>-91</v>
      </c>
      <c r="EI293" s="1113">
        <f t="shared" si="394"/>
        <v>-908</v>
      </c>
      <c r="EJ293" s="900">
        <f t="shared" ref="EJ293:EK293" si="395">SUM(EJ291:EJ292)</f>
        <v>81</v>
      </c>
      <c r="EK293" s="900">
        <f t="shared" si="395"/>
        <v>-412</v>
      </c>
      <c r="EL293" s="900">
        <f t="shared" ref="EL293:EO293" si="396">SUM(EL291:EL292)</f>
        <v>-488</v>
      </c>
      <c r="EM293" s="900">
        <f t="shared" si="396"/>
        <v>-518</v>
      </c>
      <c r="EN293" s="1113">
        <f t="shared" si="396"/>
        <v>-1337</v>
      </c>
      <c r="EO293" s="900">
        <f t="shared" si="396"/>
        <v>-765</v>
      </c>
      <c r="EP293" s="900">
        <f t="shared" ref="EP293:ES293" si="397">SUM(EP291:EP292)</f>
        <v>-781</v>
      </c>
      <c r="EQ293" s="900">
        <f t="shared" si="397"/>
        <v>-288</v>
      </c>
      <c r="ER293" s="900">
        <f t="shared" si="397"/>
        <v>-37</v>
      </c>
      <c r="ES293" s="1113">
        <f t="shared" si="397"/>
        <v>-1871</v>
      </c>
      <c r="ET293" s="900">
        <f t="shared" ref="ET293:EU293" si="398">SUM(ET291:ET292)</f>
        <v>-720</v>
      </c>
      <c r="EU293" s="900">
        <f t="shared" si="398"/>
        <v>-304</v>
      </c>
      <c r="EV293" s="900">
        <f t="shared" ref="EV293:EX293" si="399">SUM(EV291:EV292)</f>
        <v>-81</v>
      </c>
      <c r="EW293" s="900">
        <f t="shared" si="399"/>
        <v>-546</v>
      </c>
      <c r="EX293" s="1113">
        <f t="shared" si="399"/>
        <v>-1651</v>
      </c>
    </row>
    <row r="294" spans="1:167" x14ac:dyDescent="0.3">
      <c r="A294" s="186" t="s">
        <v>3468</v>
      </c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6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1176">
        <v>245</v>
      </c>
      <c r="EA294" s="1176">
        <v>347</v>
      </c>
      <c r="EB294" s="1176">
        <v>376</v>
      </c>
      <c r="EC294" s="1176">
        <v>311</v>
      </c>
      <c r="ED294" s="1113">
        <f>SUM(DZ294:EC294)</f>
        <v>1279</v>
      </c>
      <c r="EE294" s="1176">
        <v>379</v>
      </c>
      <c r="EF294" s="1177">
        <v>62</v>
      </c>
      <c r="EG294" s="1177">
        <v>362</v>
      </c>
      <c r="EH294" s="1177">
        <v>72</v>
      </c>
      <c r="EI294" s="1113">
        <f>SUM(EE294:EH294)</f>
        <v>875</v>
      </c>
      <c r="EJ294" s="1245">
        <f>+EJ293-EJ295-EJ290</f>
        <v>368</v>
      </c>
      <c r="EK294" s="1245">
        <f>+EK293-EK295-EK290</f>
        <v>-57</v>
      </c>
      <c r="EL294" s="1245">
        <f>+EL293-EL295-EL290</f>
        <v>-42</v>
      </c>
      <c r="EM294" s="1245">
        <f>+EM293-EM295-EM290</f>
        <v>10</v>
      </c>
      <c r="EN294" s="1113">
        <f>SUM(EJ294:EM294)</f>
        <v>279</v>
      </c>
      <c r="EO294" s="1245">
        <f>+EO293-EO295-EO290</f>
        <v>-234</v>
      </c>
      <c r="EP294" s="1245">
        <f>+EP293-EP295-EP290</f>
        <v>-338</v>
      </c>
      <c r="EQ294" s="1245">
        <f>+EQ293-EQ295-EQ290</f>
        <v>-129</v>
      </c>
      <c r="ER294" s="1245">
        <f>+ER293-ER295-ER290</f>
        <v>147</v>
      </c>
      <c r="ES294" s="1113">
        <f>SUM(EO294:ER294)</f>
        <v>-554</v>
      </c>
      <c r="ET294" s="1245">
        <f>+ET293-ET295-ET290</f>
        <v>-454</v>
      </c>
      <c r="EU294" s="1245">
        <f>+EU293-EU295-EU290</f>
        <v>-26</v>
      </c>
      <c r="EV294" s="1245">
        <f>+EV293-EV295-EV290</f>
        <v>243</v>
      </c>
      <c r="EW294" s="1245">
        <f>+EW293-EW295-EW290</f>
        <v>-273</v>
      </c>
      <c r="EX294" s="1113">
        <f>SUM(ET294:EW294)</f>
        <v>-510</v>
      </c>
    </row>
    <row r="295" spans="1:167" x14ac:dyDescent="0.3">
      <c r="A295" s="1" t="s">
        <v>3469</v>
      </c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6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1172">
        <v>-6</v>
      </c>
      <c r="EA295" s="1172">
        <v>-6</v>
      </c>
      <c r="EB295" s="1172">
        <v>-14</v>
      </c>
      <c r="EC295" s="1172">
        <v>-42</v>
      </c>
      <c r="ED295" s="1113">
        <f>SUM(DZ295:EC295)</f>
        <v>-68</v>
      </c>
      <c r="EE295" s="1172">
        <v>-71</v>
      </c>
      <c r="EF295" s="1174">
        <v>-99</v>
      </c>
      <c r="EG295" s="1174">
        <v>-128</v>
      </c>
      <c r="EH295" s="1174">
        <v>-161</v>
      </c>
      <c r="EI295" s="1113">
        <f>SUM(EE295:EH295)</f>
        <v>-459</v>
      </c>
      <c r="EJ295" s="1174">
        <v>-233</v>
      </c>
      <c r="EK295" s="1174">
        <v>-325</v>
      </c>
      <c r="EL295" s="1174">
        <v>-442</v>
      </c>
      <c r="EM295" s="1174">
        <v>-517</v>
      </c>
      <c r="EN295" s="1113">
        <f>SUM(EJ295:EM295)</f>
        <v>-1517</v>
      </c>
      <c r="EO295" s="1174">
        <v>-523</v>
      </c>
      <c r="EP295" s="1174">
        <v>-419</v>
      </c>
      <c r="EQ295" s="1174">
        <v>-143</v>
      </c>
      <c r="ER295" s="1174">
        <v>-159</v>
      </c>
      <c r="ES295" s="1113">
        <f>SUM(EO295:ER295)</f>
        <v>-1244</v>
      </c>
      <c r="ET295" s="1174">
        <v>-232</v>
      </c>
      <c r="EU295" s="1174">
        <v>-252</v>
      </c>
      <c r="EV295" s="1174">
        <v>-296</v>
      </c>
      <c r="EW295" s="1174">
        <v>-237</v>
      </c>
      <c r="EX295" s="1113">
        <f>SUM(ET295:EW295)</f>
        <v>-1017</v>
      </c>
    </row>
    <row r="296" spans="1:167" x14ac:dyDescent="0.3">
      <c r="A296" s="1" t="s">
        <v>3470</v>
      </c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6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1174">
        <v>-45</v>
      </c>
      <c r="EA296" s="1174">
        <v>-63</v>
      </c>
      <c r="EB296" s="1174">
        <v>-82</v>
      </c>
      <c r="EC296" s="1174">
        <v>-80</v>
      </c>
      <c r="ED296" s="1113">
        <f>SUM(DZ296:EC296)</f>
        <v>-270</v>
      </c>
      <c r="EE296" s="1174">
        <v>-33</v>
      </c>
      <c r="EF296" s="1174">
        <v>-43</v>
      </c>
      <c r="EG296" s="1174">
        <v>-23</v>
      </c>
      <c r="EH296" s="1174">
        <v>-28</v>
      </c>
      <c r="EI296" s="1113">
        <f>SUM(EE296:EH296)</f>
        <v>-127</v>
      </c>
      <c r="EJ296" s="1174">
        <v>-3</v>
      </c>
      <c r="EK296" s="1174">
        <v>-8</v>
      </c>
      <c r="EL296" s="1174">
        <v>-18</v>
      </c>
      <c r="EM296" s="1174">
        <v>-33</v>
      </c>
      <c r="EN296" s="1113">
        <f>SUM(EJ296:EM296)</f>
        <v>-62</v>
      </c>
      <c r="EO296" s="1174">
        <v>-37</v>
      </c>
      <c r="EP296" s="1174">
        <v>-35</v>
      </c>
      <c r="EQ296" s="1174">
        <v>-25</v>
      </c>
      <c r="ER296" s="1174">
        <v>-29</v>
      </c>
      <c r="ES296" s="1113">
        <f>SUM(EO296:ER296)</f>
        <v>-126</v>
      </c>
      <c r="ET296" s="1174">
        <v>-29</v>
      </c>
      <c r="EU296" s="1174">
        <v>-44</v>
      </c>
      <c r="EV296" s="1174">
        <v>-43</v>
      </c>
      <c r="EW296" s="1174">
        <v>-48</v>
      </c>
      <c r="EX296" s="1113">
        <f>SUM(ET296:EW296)</f>
        <v>-164</v>
      </c>
    </row>
    <row r="297" spans="1:167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6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I297" s="5"/>
      <c r="EK297" s="887"/>
    </row>
    <row r="298" spans="1:167" x14ac:dyDescent="0.3">
      <c r="A298" s="25" t="s">
        <v>3471</v>
      </c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</row>
    <row r="300" spans="1:167" x14ac:dyDescent="0.3">
      <c r="A300" s="1" t="s">
        <v>506</v>
      </c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6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919">
        <f>+EE253*-1</f>
        <v>384</v>
      </c>
      <c r="EF300" s="919">
        <f>+EF253*-1</f>
        <v>385</v>
      </c>
      <c r="EG300" s="919">
        <f>+EG253*-1</f>
        <v>377</v>
      </c>
      <c r="EH300" s="919">
        <f>+EH253*-1</f>
        <v>559</v>
      </c>
      <c r="EI300" s="1113">
        <f t="shared" ref="EI300:EI306" si="400">SUM(EE300:EH300)</f>
        <v>1705</v>
      </c>
      <c r="EJ300" s="919">
        <f>+EJ253*-1</f>
        <v>447</v>
      </c>
      <c r="EK300" s="919">
        <f>+EK253*-1</f>
        <v>641</v>
      </c>
      <c r="EL300" s="919">
        <f>+EL253*-1</f>
        <v>772</v>
      </c>
      <c r="EM300" s="919">
        <f>+EM253*-1</f>
        <v>878</v>
      </c>
      <c r="EN300" s="1113">
        <f t="shared" ref="EN300:EN306" si="401">SUM(EJ300:EM300)</f>
        <v>2738</v>
      </c>
      <c r="EO300" s="919">
        <f>+EO253*-1</f>
        <v>1154</v>
      </c>
      <c r="EP300" s="919">
        <f>+EP253*-1</f>
        <v>1057</v>
      </c>
      <c r="EQ300" s="919">
        <f>+EQ253*-1</f>
        <v>671</v>
      </c>
      <c r="ER300" s="919">
        <f>+ER253*-1</f>
        <v>329</v>
      </c>
      <c r="ES300" s="1113">
        <f>SUM(EO300:ER300)</f>
        <v>3211</v>
      </c>
      <c r="ET300" s="919">
        <f>+ET253*-1</f>
        <v>666</v>
      </c>
      <c r="EU300" s="919">
        <f>+EU253*-1</f>
        <v>626</v>
      </c>
      <c r="EV300" s="919">
        <f>+EV253*-1</f>
        <v>699</v>
      </c>
      <c r="EW300" s="919">
        <f>+EW253*-1</f>
        <v>792</v>
      </c>
      <c r="EX300" s="1113">
        <f>SUM(ET300:EW300)</f>
        <v>2783</v>
      </c>
    </row>
    <row r="301" spans="1:167" x14ac:dyDescent="0.3">
      <c r="A301" s="1" t="s">
        <v>507</v>
      </c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6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918">
        <v>0</v>
      </c>
      <c r="EF301" s="918">
        <v>0</v>
      </c>
      <c r="EG301" s="918">
        <v>0</v>
      </c>
      <c r="EH301" s="918">
        <v>0</v>
      </c>
      <c r="EI301" s="1113">
        <f t="shared" si="400"/>
        <v>0</v>
      </c>
      <c r="EJ301" s="918">
        <v>0</v>
      </c>
      <c r="EK301" s="918">
        <v>0</v>
      </c>
      <c r="EL301" s="918">
        <v>0</v>
      </c>
      <c r="EM301" s="918">
        <v>0</v>
      </c>
      <c r="EN301" s="1113">
        <f t="shared" si="401"/>
        <v>0</v>
      </c>
      <c r="EO301" s="918">
        <v>0</v>
      </c>
      <c r="EP301" s="918">
        <v>0</v>
      </c>
      <c r="EQ301" s="918">
        <v>0</v>
      </c>
      <c r="ER301" s="918">
        <v>4</v>
      </c>
      <c r="ES301" s="1113">
        <f>SUM(EO301:ER301)</f>
        <v>4</v>
      </c>
      <c r="ET301" s="918">
        <v>363</v>
      </c>
      <c r="EU301" s="918">
        <v>52</v>
      </c>
      <c r="EV301" s="918">
        <v>0</v>
      </c>
      <c r="EW301" s="918">
        <v>48</v>
      </c>
      <c r="EX301" s="1113">
        <f>SUM(ET301:EW301)</f>
        <v>463</v>
      </c>
    </row>
    <row r="302" spans="1:167" x14ac:dyDescent="0.3">
      <c r="A302" s="4" t="s">
        <v>508</v>
      </c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6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886">
        <f t="shared" ref="EE302:EG302" si="402">SUM(EE300:EE301)</f>
        <v>384</v>
      </c>
      <c r="EF302" s="886">
        <f t="shared" si="402"/>
        <v>385</v>
      </c>
      <c r="EG302" s="886">
        <f t="shared" si="402"/>
        <v>377</v>
      </c>
      <c r="EH302" s="886">
        <f>SUM(EH300:EH301)</f>
        <v>559</v>
      </c>
      <c r="EI302" s="886">
        <f t="shared" si="400"/>
        <v>1705</v>
      </c>
      <c r="EJ302" s="886">
        <f t="shared" ref="EJ302:EL302" si="403">SUM(EJ300:EJ301)</f>
        <v>447</v>
      </c>
      <c r="EK302" s="886">
        <f t="shared" si="403"/>
        <v>641</v>
      </c>
      <c r="EL302" s="886">
        <f t="shared" si="403"/>
        <v>772</v>
      </c>
      <c r="EM302" s="886">
        <f>SUM(EM300:EM301)</f>
        <v>878</v>
      </c>
      <c r="EN302" s="886">
        <f t="shared" si="401"/>
        <v>2738</v>
      </c>
      <c r="EO302" s="886">
        <f t="shared" ref="EO302:EQ302" si="404">SUM(EO300:EO301)</f>
        <v>1154</v>
      </c>
      <c r="EP302" s="886">
        <f t="shared" si="404"/>
        <v>1057</v>
      </c>
      <c r="EQ302" s="886">
        <f t="shared" si="404"/>
        <v>671</v>
      </c>
      <c r="ER302" s="886">
        <f>SUM(ER300:ER301)</f>
        <v>333</v>
      </c>
      <c r="ES302" s="886">
        <f>SUM(EO302:ER302)</f>
        <v>3215</v>
      </c>
      <c r="ET302" s="886">
        <f>SUM(ET300:ET301)</f>
        <v>1029</v>
      </c>
      <c r="EU302" s="886">
        <f>SUM(EU300:EU301)</f>
        <v>678</v>
      </c>
      <c r="EV302" s="886">
        <f>SUM(EV300:EV301)</f>
        <v>699</v>
      </c>
      <c r="EW302" s="886">
        <f>SUM(EW300:EW301)</f>
        <v>840</v>
      </c>
      <c r="EX302" s="886">
        <f>SUM(ET302:EW302)</f>
        <v>3246</v>
      </c>
    </row>
    <row r="303" spans="1:167" x14ac:dyDescent="0.3">
      <c r="A303" s="1" t="s">
        <v>509</v>
      </c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6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1172">
        <v>-17</v>
      </c>
      <c r="EF303" s="918">
        <v>20</v>
      </c>
      <c r="EG303" s="918">
        <v>46</v>
      </c>
      <c r="EH303" s="1174">
        <v>-69</v>
      </c>
      <c r="EI303" s="1113">
        <f t="shared" si="400"/>
        <v>-20</v>
      </c>
      <c r="EJ303" s="1174">
        <v>146</v>
      </c>
      <c r="EK303" s="918">
        <v>103</v>
      </c>
      <c r="EL303" s="1174">
        <v>182</v>
      </c>
      <c r="EM303" s="1174">
        <v>366</v>
      </c>
      <c r="EN303" s="900">
        <f t="shared" si="401"/>
        <v>797</v>
      </c>
      <c r="EO303" s="919">
        <f>+EO310*-1</f>
        <v>-25</v>
      </c>
      <c r="EP303" s="919">
        <f>+EP310*-1</f>
        <v>-193</v>
      </c>
      <c r="EQ303" s="918">
        <v>-296</v>
      </c>
      <c r="ER303" s="918">
        <v>188</v>
      </c>
      <c r="ES303" s="1113">
        <f>SUM(EO303:ER303)</f>
        <v>-326</v>
      </c>
      <c r="ET303" s="918">
        <v>-156</v>
      </c>
      <c r="EU303" s="918">
        <v>85</v>
      </c>
      <c r="EV303" s="918">
        <v>68</v>
      </c>
      <c r="EW303" s="918">
        <v>-37</v>
      </c>
      <c r="EX303" s="1113">
        <f>SUM(ET303:EW303)</f>
        <v>-40</v>
      </c>
    </row>
    <row r="304" spans="1:167" x14ac:dyDescent="0.3">
      <c r="A304" s="1" t="s">
        <v>510</v>
      </c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6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919">
        <v>0</v>
      </c>
      <c r="EF304" s="919">
        <v>0</v>
      </c>
      <c r="EG304" s="919">
        <v>0</v>
      </c>
      <c r="EH304" s="919">
        <v>0</v>
      </c>
      <c r="EI304" s="1113">
        <f t="shared" si="400"/>
        <v>0</v>
      </c>
      <c r="EJ304" s="919">
        <v>0</v>
      </c>
      <c r="EK304" s="919">
        <v>0</v>
      </c>
      <c r="EL304" s="919">
        <v>0</v>
      </c>
      <c r="EM304" s="919">
        <v>0</v>
      </c>
      <c r="EN304" s="1113">
        <f t="shared" si="401"/>
        <v>0</v>
      </c>
      <c r="EO304" s="919">
        <v>0</v>
      </c>
      <c r="EP304" s="919">
        <v>0</v>
      </c>
      <c r="EQ304" s="918">
        <v>167</v>
      </c>
      <c r="ER304" s="918">
        <v>88</v>
      </c>
      <c r="ES304" s="1113">
        <f t="shared" ref="ES304:ES305" si="405">SUM(EO304:ER304)</f>
        <v>255</v>
      </c>
      <c r="ET304" s="918">
        <v>-205</v>
      </c>
      <c r="EU304" s="918">
        <v>-50</v>
      </c>
      <c r="EV304" s="918">
        <v>55</v>
      </c>
      <c r="EW304" s="918">
        <v>-39</v>
      </c>
      <c r="EX304" s="1113">
        <f t="shared" ref="EX304:EX305" si="406">SUM(ET304:EW304)</f>
        <v>-239</v>
      </c>
    </row>
    <row r="305" spans="1:167" x14ac:dyDescent="0.3">
      <c r="A305" s="1" t="s">
        <v>511</v>
      </c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6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1475">
        <v>-21</v>
      </c>
      <c r="EF305" s="1062">
        <v>-6</v>
      </c>
      <c r="EG305" s="1062">
        <v>-11</v>
      </c>
      <c r="EH305" s="1062">
        <v>-22</v>
      </c>
      <c r="EI305" s="1113">
        <f t="shared" si="400"/>
        <v>-60</v>
      </c>
      <c r="EJ305" s="1062">
        <v>-58</v>
      </c>
      <c r="EK305" s="1062">
        <v>-77</v>
      </c>
      <c r="EL305" s="1062">
        <v>-82</v>
      </c>
      <c r="EM305" s="1062">
        <v>-191</v>
      </c>
      <c r="EN305" s="900">
        <f t="shared" si="401"/>
        <v>-408</v>
      </c>
      <c r="EO305" s="919">
        <f>+EO311*-1</f>
        <v>-111</v>
      </c>
      <c r="EP305" s="919">
        <f>+EP311*-1</f>
        <v>56</v>
      </c>
      <c r="EQ305" s="919">
        <f>+EQ311*-1</f>
        <v>11</v>
      </c>
      <c r="ER305" s="918">
        <v>-8</v>
      </c>
      <c r="ES305" s="1113">
        <f t="shared" si="405"/>
        <v>-52</v>
      </c>
      <c r="ET305" s="918">
        <v>43</v>
      </c>
      <c r="EU305" s="918">
        <v>53</v>
      </c>
      <c r="EV305" s="918">
        <v>38</v>
      </c>
      <c r="EW305" s="918">
        <v>28</v>
      </c>
      <c r="EX305" s="1113">
        <f t="shared" si="406"/>
        <v>162</v>
      </c>
    </row>
    <row r="306" spans="1:167" x14ac:dyDescent="0.3">
      <c r="A306" s="4" t="s">
        <v>512</v>
      </c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6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886">
        <f>SUM(EE302:EE305)</f>
        <v>346</v>
      </c>
      <c r="EF306" s="886">
        <f>SUM(EF302:EF305)</f>
        <v>399</v>
      </c>
      <c r="EG306" s="886">
        <f t="shared" ref="EG306:EH306" si="407">SUM(EG302:EG305)</f>
        <v>412</v>
      </c>
      <c r="EH306" s="886">
        <f t="shared" si="407"/>
        <v>468</v>
      </c>
      <c r="EI306" s="886">
        <f t="shared" si="400"/>
        <v>1625</v>
      </c>
      <c r="EJ306" s="886">
        <f>SUM(EJ302:EJ305)</f>
        <v>535</v>
      </c>
      <c r="EK306" s="886">
        <f>SUM(EK302:EK305)</f>
        <v>667</v>
      </c>
      <c r="EL306" s="886">
        <f t="shared" ref="EL306:EM306" si="408">SUM(EL302:EL305)</f>
        <v>872</v>
      </c>
      <c r="EM306" s="886">
        <f t="shared" si="408"/>
        <v>1053</v>
      </c>
      <c r="EN306" s="886">
        <f t="shared" si="401"/>
        <v>3127</v>
      </c>
      <c r="EO306" s="886">
        <f>SUM(EO302:EO305)</f>
        <v>1018</v>
      </c>
      <c r="EP306" s="886">
        <f>SUM(EP302:EP305)</f>
        <v>920</v>
      </c>
      <c r="EQ306" s="886">
        <f t="shared" ref="EQ306:ER306" si="409">SUM(EQ302:EQ305)</f>
        <v>553</v>
      </c>
      <c r="ER306" s="886">
        <f t="shared" si="409"/>
        <v>601</v>
      </c>
      <c r="ES306" s="886">
        <f>SUM(EO306:ER306)</f>
        <v>3092</v>
      </c>
      <c r="ET306" s="886">
        <f t="shared" ref="ET306:EU306" si="410">SUM(ET302:ET305)</f>
        <v>711</v>
      </c>
      <c r="EU306" s="886">
        <f t="shared" si="410"/>
        <v>766</v>
      </c>
      <c r="EV306" s="886">
        <f t="shared" ref="EV306:EW306" si="411">SUM(EV302:EV305)</f>
        <v>860</v>
      </c>
      <c r="EW306" s="886">
        <f t="shared" si="411"/>
        <v>792</v>
      </c>
      <c r="EX306" s="886">
        <f>SUM(ET306:EW306)</f>
        <v>3129</v>
      </c>
    </row>
    <row r="307" spans="1:167" x14ac:dyDescent="0.3">
      <c r="A307" s="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6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1113"/>
      <c r="EF307" s="885"/>
      <c r="EG307" s="885"/>
      <c r="EH307" s="885"/>
      <c r="EI307" s="1113"/>
      <c r="EJ307" s="885"/>
      <c r="EK307" s="885"/>
      <c r="EL307" s="885"/>
      <c r="EM307" s="885"/>
      <c r="EN307" s="885"/>
      <c r="EO307" s="1079"/>
      <c r="EP307" s="1079"/>
      <c r="EQ307" s="1079"/>
      <c r="ER307" s="885"/>
      <c r="ES307" s="885"/>
      <c r="EW307" s="885"/>
      <c r="EX307" s="885"/>
    </row>
    <row r="308" spans="1:167" x14ac:dyDescent="0.3">
      <c r="A308" s="1" t="s">
        <v>3472</v>
      </c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6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1113"/>
      <c r="EF308" s="885"/>
      <c r="EG308" s="885"/>
      <c r="EH308" s="885"/>
      <c r="EI308" s="1113"/>
      <c r="EJ308" s="885"/>
      <c r="EK308" s="885"/>
      <c r="EL308" s="885"/>
      <c r="EM308" s="885"/>
      <c r="EN308" s="885"/>
      <c r="EO308" s="918">
        <v>561</v>
      </c>
      <c r="EP308" s="918">
        <v>454</v>
      </c>
      <c r="EQ308" s="918">
        <v>168</v>
      </c>
      <c r="ER308" s="919">
        <f>-ER295-ER296</f>
        <v>188</v>
      </c>
      <c r="ES308" s="1113">
        <f>SUM(EO308:ER308)</f>
        <v>1371</v>
      </c>
      <c r="ET308" s="919">
        <f>+ET312-ET311-ET310-ET309</f>
        <v>261</v>
      </c>
      <c r="EU308" s="919">
        <f>+EU312-EU311-EU310-EU309</f>
        <v>296</v>
      </c>
      <c r="EV308" s="919">
        <f t="shared" ref="EV308:EW308" si="412">-EV295-EV296</f>
        <v>339</v>
      </c>
      <c r="EW308" s="919">
        <f t="shared" si="412"/>
        <v>285</v>
      </c>
      <c r="EX308" s="1113">
        <f>SUM(ET308:EW308)</f>
        <v>1181</v>
      </c>
      <c r="EY308" s="816"/>
      <c r="EZ308" s="816"/>
      <c r="FA308" s="816"/>
      <c r="FB308" s="816"/>
    </row>
    <row r="309" spans="1:167" x14ac:dyDescent="0.3">
      <c r="A309" s="1" t="s">
        <v>3473</v>
      </c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6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1113"/>
      <c r="EF309" s="885"/>
      <c r="EG309" s="885"/>
      <c r="EH309" s="885"/>
      <c r="EI309" s="1113"/>
      <c r="EJ309" s="885"/>
      <c r="EK309" s="885"/>
      <c r="EL309" s="885"/>
      <c r="EM309" s="885"/>
      <c r="EN309" s="885"/>
      <c r="EO309" s="918">
        <v>457</v>
      </c>
      <c r="EP309" s="918">
        <v>466</v>
      </c>
      <c r="EQ309" s="918">
        <v>385</v>
      </c>
      <c r="ER309" s="919">
        <f>+ER312-ER311-ER310-ER308</f>
        <v>413</v>
      </c>
      <c r="ES309" s="1113">
        <f>SUM(EO309:ER309)</f>
        <v>1721</v>
      </c>
      <c r="ET309" s="918">
        <v>450</v>
      </c>
      <c r="EU309" s="918">
        <v>470</v>
      </c>
      <c r="EV309" s="1292">
        <v>470</v>
      </c>
      <c r="EW309" s="919">
        <f>+EW312-EW311-EW310-EW308</f>
        <v>507</v>
      </c>
      <c r="EX309" s="1113">
        <f>SUM(ET309:EW309)</f>
        <v>1897</v>
      </c>
    </row>
    <row r="310" spans="1:167" x14ac:dyDescent="0.3">
      <c r="A310" s="1" t="s">
        <v>3474</v>
      </c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6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1113"/>
      <c r="EF310" s="885"/>
      <c r="EG310" s="885"/>
      <c r="EH310" s="885"/>
      <c r="EI310" s="1113"/>
      <c r="EJ310" s="885"/>
      <c r="EK310" s="885"/>
      <c r="EL310" s="885"/>
      <c r="EM310" s="885"/>
      <c r="EN310" s="885"/>
      <c r="EO310" s="918">
        <v>25</v>
      </c>
      <c r="EP310" s="918">
        <v>193</v>
      </c>
      <c r="EQ310" s="919">
        <f>SUM(EQ303:EQ304)*-1</f>
        <v>129</v>
      </c>
      <c r="ER310" s="919">
        <f>SUM(ER303:ER304)*-1</f>
        <v>-276</v>
      </c>
      <c r="ES310" s="1113">
        <f>SUM(EO310:ER310)</f>
        <v>71</v>
      </c>
      <c r="ET310" s="919">
        <f>SUM(ET303:ET304)*-1</f>
        <v>361</v>
      </c>
      <c r="EU310" s="919">
        <f>SUM(EU303:EU304)*-1</f>
        <v>-35</v>
      </c>
      <c r="EV310" s="1730">
        <f>SUM(EV303:EV304)*-1</f>
        <v>-123</v>
      </c>
      <c r="EW310" s="919">
        <f>SUM(EW303:EW304)*-1</f>
        <v>76</v>
      </c>
      <c r="EX310" s="1113">
        <f>SUM(ET310:EW310)</f>
        <v>279</v>
      </c>
    </row>
    <row r="311" spans="1:167" x14ac:dyDescent="0.3">
      <c r="A311" s="1" t="s">
        <v>3475</v>
      </c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6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1113"/>
      <c r="EF311" s="885"/>
      <c r="EG311" s="885"/>
      <c r="EH311" s="885"/>
      <c r="EI311" s="1113"/>
      <c r="EJ311" s="885"/>
      <c r="EK311" s="885"/>
      <c r="EL311" s="885"/>
      <c r="EM311" s="885"/>
      <c r="EN311" s="885"/>
      <c r="EO311" s="918">
        <v>111</v>
      </c>
      <c r="EP311" s="918">
        <v>-56</v>
      </c>
      <c r="EQ311" s="918">
        <v>-11</v>
      </c>
      <c r="ER311" s="919">
        <f>+ER305*-1</f>
        <v>8</v>
      </c>
      <c r="ES311" s="1113">
        <f>SUM(EO311:ER311)</f>
        <v>52</v>
      </c>
      <c r="ET311" s="919">
        <f>+ET305*-1</f>
        <v>-43</v>
      </c>
      <c r="EU311" s="919">
        <f>+EU305*-1</f>
        <v>-53</v>
      </c>
      <c r="EV311" s="1730">
        <f>+EV305*-1</f>
        <v>-38</v>
      </c>
      <c r="EW311" s="919">
        <f>+EW305*-1</f>
        <v>-28</v>
      </c>
      <c r="EX311" s="1113">
        <f>SUM(ET311:EW311)</f>
        <v>-162</v>
      </c>
    </row>
    <row r="312" spans="1:167" x14ac:dyDescent="0.3">
      <c r="A312" s="4" t="s">
        <v>1426</v>
      </c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6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1113"/>
      <c r="EF312" s="885"/>
      <c r="EG312" s="885"/>
      <c r="EH312" s="885"/>
      <c r="EI312" s="1113"/>
      <c r="EJ312" s="885"/>
      <c r="EK312" s="885"/>
      <c r="EL312" s="885"/>
      <c r="EM312" s="885"/>
      <c r="EN312" s="885"/>
      <c r="EO312" s="886">
        <f>SUM(EO308:EO311)</f>
        <v>1154</v>
      </c>
      <c r="EP312" s="886">
        <f>SUM(EP308:EP311)</f>
        <v>1057</v>
      </c>
      <c r="EQ312" s="886">
        <f>SUM(EQ308:EQ311)</f>
        <v>671</v>
      </c>
      <c r="ER312" s="886">
        <f>+ER302</f>
        <v>333</v>
      </c>
      <c r="ES312" s="886">
        <f>SUM(EO312:ER312)</f>
        <v>3215</v>
      </c>
      <c r="ET312" s="886">
        <f>+ET302</f>
        <v>1029</v>
      </c>
      <c r="EU312" s="886">
        <f>+EU302</f>
        <v>678</v>
      </c>
      <c r="EV312" s="1779">
        <f>+EV302</f>
        <v>699</v>
      </c>
      <c r="EW312" s="886">
        <f>+EW302</f>
        <v>840</v>
      </c>
      <c r="EX312" s="886">
        <f>SUM(ET312:EW312)</f>
        <v>3246</v>
      </c>
    </row>
    <row r="313" spans="1:167" x14ac:dyDescent="0.3">
      <c r="A313" s="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6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I313" s="5"/>
      <c r="EK313" s="887"/>
      <c r="EO313" s="1079"/>
      <c r="EP313" s="1079"/>
      <c r="EQ313" s="1079"/>
    </row>
    <row r="314" spans="1:167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6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I314" s="5"/>
      <c r="EK314" s="887"/>
    </row>
    <row r="315" spans="1:167" x14ac:dyDescent="0.3">
      <c r="A315" s="25" t="s">
        <v>3476</v>
      </c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</row>
    <row r="316" spans="1:167" x14ac:dyDescent="0.3">
      <c r="A316" s="1" t="s">
        <v>3477</v>
      </c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6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I316" s="5"/>
      <c r="EK316" s="887"/>
      <c r="EO316" s="918"/>
      <c r="EP316" s="918"/>
      <c r="EQ316" s="918">
        <v>169</v>
      </c>
    </row>
    <row r="317" spans="1:167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6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I317" s="5"/>
      <c r="EK317" s="887"/>
      <c r="EO317" s="918"/>
      <c r="EP317" s="918"/>
      <c r="EQ317" s="918"/>
    </row>
    <row r="318" spans="1:167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6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I318" s="5"/>
      <c r="EK318" s="887"/>
      <c r="EO318" s="918"/>
      <c r="EP318" s="918"/>
      <c r="EQ318" s="918"/>
    </row>
    <row r="319" spans="1:167" x14ac:dyDescent="0.3">
      <c r="A319" s="25" t="s">
        <v>3478</v>
      </c>
      <c r="B319" s="25"/>
      <c r="C319" s="25"/>
      <c r="D319" s="25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</row>
    <row r="320" spans="1:167" x14ac:dyDescent="0.3">
      <c r="A320" s="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6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8"/>
      <c r="DQ320" s="8"/>
      <c r="DR320" s="8"/>
      <c r="DS320" s="8"/>
      <c r="DT320" s="5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I320" s="8"/>
    </row>
    <row r="321" spans="1:153" x14ac:dyDescent="0.3">
      <c r="A321" s="4" t="s">
        <v>3479</v>
      </c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6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8"/>
      <c r="DQ321" s="8"/>
      <c r="DR321" s="8"/>
      <c r="DS321" s="8"/>
      <c r="DT321" s="5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I321" s="8"/>
    </row>
    <row r="322" spans="1:153" x14ac:dyDescent="0.3">
      <c r="A322" s="1" t="s">
        <v>1398</v>
      </c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031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  <c r="CY322" s="16"/>
      <c r="CZ322" s="16"/>
      <c r="DA322" s="16"/>
      <c r="DB322" s="16"/>
      <c r="DC322" s="16"/>
      <c r="DD322" s="16"/>
      <c r="DE322" s="16"/>
      <c r="DF322" s="16"/>
      <c r="DG322" s="16"/>
      <c r="DH322" s="16"/>
      <c r="DI322" s="16"/>
      <c r="DJ322" s="16"/>
      <c r="DK322" s="16"/>
      <c r="DL322" s="16"/>
      <c r="DM322" s="16"/>
      <c r="DN322" s="16"/>
      <c r="DO322" s="16"/>
      <c r="DP322" s="9"/>
      <c r="DQ322" s="9"/>
      <c r="DR322" s="9"/>
      <c r="DS322" s="9"/>
      <c r="DT322" s="16"/>
      <c r="DU322" s="9"/>
      <c r="DV322" s="9"/>
      <c r="DW322" s="9"/>
      <c r="DX322" s="9"/>
      <c r="DY322" s="9"/>
      <c r="DZ322" s="918"/>
      <c r="EA322" s="918">
        <v>3342</v>
      </c>
      <c r="EB322" s="918">
        <v>3306</v>
      </c>
      <c r="EC322" s="9"/>
      <c r="ED322" s="9"/>
      <c r="EE322" s="918">
        <v>3234</v>
      </c>
      <c r="EF322" s="918">
        <v>3196</v>
      </c>
      <c r="EG322" s="918">
        <v>3173</v>
      </c>
      <c r="EH322" s="918">
        <v>3165</v>
      </c>
      <c r="EI322" s="9"/>
      <c r="EJ322" s="918">
        <v>3169</v>
      </c>
      <c r="EK322" s="918">
        <v>3159</v>
      </c>
      <c r="EL322" s="918">
        <v>3142</v>
      </c>
      <c r="EM322" s="918">
        <v>3133</v>
      </c>
      <c r="EO322" s="918">
        <v>3140</v>
      </c>
      <c r="EP322" s="918">
        <v>3127</v>
      </c>
      <c r="EQ322" s="918">
        <v>3118</v>
      </c>
      <c r="ER322" s="918">
        <v>3129</v>
      </c>
      <c r="ET322" s="918">
        <v>3140</v>
      </c>
      <c r="EU322" s="918">
        <v>3154</v>
      </c>
      <c r="EV322" s="918">
        <v>3176</v>
      </c>
      <c r="EW322" s="918">
        <v>3193</v>
      </c>
    </row>
    <row r="323" spans="1:153" x14ac:dyDescent="0.3">
      <c r="A323" s="1" t="s">
        <v>3480</v>
      </c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  <c r="CA323" s="16"/>
      <c r="CB323" s="1031"/>
      <c r="CC323" s="16"/>
      <c r="CD323" s="16"/>
      <c r="CE323" s="16"/>
      <c r="CF323" s="16"/>
      <c r="CG323" s="16"/>
      <c r="CH323" s="16"/>
      <c r="CI323" s="16"/>
      <c r="CJ323" s="16"/>
      <c r="CK323" s="16"/>
      <c r="CL323" s="16"/>
      <c r="CM323" s="16"/>
      <c r="CN323" s="16"/>
      <c r="CO323" s="16"/>
      <c r="CP323" s="16"/>
      <c r="CQ323" s="16"/>
      <c r="CR323" s="16"/>
      <c r="CS323" s="16"/>
      <c r="CT323" s="16"/>
      <c r="CU323" s="16"/>
      <c r="CV323" s="16"/>
      <c r="CW323" s="16"/>
      <c r="CX323" s="16"/>
      <c r="CY323" s="16"/>
      <c r="CZ323" s="16"/>
      <c r="DA323" s="16"/>
      <c r="DB323" s="16"/>
      <c r="DC323" s="16"/>
      <c r="DD323" s="16"/>
      <c r="DE323" s="16"/>
      <c r="DF323" s="16"/>
      <c r="DG323" s="16"/>
      <c r="DH323" s="16"/>
      <c r="DI323" s="16"/>
      <c r="DJ323" s="16"/>
      <c r="DK323" s="16"/>
      <c r="DL323" s="16"/>
      <c r="DM323" s="16"/>
      <c r="DN323" s="16"/>
      <c r="DO323" s="16"/>
      <c r="DP323" s="9"/>
      <c r="DQ323" s="9"/>
      <c r="DR323" s="9"/>
      <c r="DS323" s="9"/>
      <c r="DT323" s="16"/>
      <c r="DU323" s="9"/>
      <c r="DV323" s="9"/>
      <c r="DW323" s="9"/>
      <c r="DX323" s="9"/>
      <c r="DY323" s="9"/>
      <c r="DZ323" s="918"/>
      <c r="EA323" s="918">
        <v>-32</v>
      </c>
      <c r="EB323" s="918">
        <v>-36</v>
      </c>
      <c r="EC323" s="9"/>
      <c r="ED323" s="9"/>
      <c r="EE323" s="918">
        <v>-30</v>
      </c>
      <c r="EF323" s="918">
        <v>-38</v>
      </c>
      <c r="EG323" s="918">
        <v>-23</v>
      </c>
      <c r="EH323" s="918">
        <v>-8</v>
      </c>
      <c r="EI323" s="9"/>
      <c r="EJ323" s="918">
        <v>4</v>
      </c>
      <c r="EK323" s="918">
        <v>-10</v>
      </c>
      <c r="EL323" s="918">
        <v>-17</v>
      </c>
      <c r="EM323" s="918">
        <v>-9</v>
      </c>
      <c r="EO323" s="918">
        <v>7</v>
      </c>
      <c r="EP323" s="918">
        <v>-13</v>
      </c>
      <c r="EQ323" s="918">
        <v>-9</v>
      </c>
      <c r="ER323" s="918">
        <v>11</v>
      </c>
      <c r="ET323" s="918">
        <v>11</v>
      </c>
      <c r="EU323" s="918">
        <v>14</v>
      </c>
      <c r="EV323" s="918">
        <v>22</v>
      </c>
      <c r="EW323" s="918">
        <v>17</v>
      </c>
    </row>
    <row r="324" spans="1:153" x14ac:dyDescent="0.3">
      <c r="A324" s="1" t="s">
        <v>3481</v>
      </c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031"/>
      <c r="CC324" s="16"/>
      <c r="CD324" s="16"/>
      <c r="CE324" s="16"/>
      <c r="CF324" s="16"/>
      <c r="CG324" s="16"/>
      <c r="CH324" s="16"/>
      <c r="CI324" s="16"/>
      <c r="CJ324" s="16"/>
      <c r="CK324" s="16"/>
      <c r="CL324" s="16"/>
      <c r="CM324" s="16"/>
      <c r="CN324" s="16"/>
      <c r="CO324" s="16"/>
      <c r="CP324" s="16"/>
      <c r="CQ324" s="16"/>
      <c r="CR324" s="16"/>
      <c r="CS324" s="16"/>
      <c r="CT324" s="16"/>
      <c r="CU324" s="16"/>
      <c r="CV324" s="16"/>
      <c r="CW324" s="16"/>
      <c r="CX324" s="16"/>
      <c r="CY324" s="16"/>
      <c r="CZ324" s="16"/>
      <c r="DA324" s="16"/>
      <c r="DB324" s="16"/>
      <c r="DC324" s="16"/>
      <c r="DD324" s="16"/>
      <c r="DE324" s="16"/>
      <c r="DF324" s="16"/>
      <c r="DG324" s="16"/>
      <c r="DH324" s="16"/>
      <c r="DI324" s="16"/>
      <c r="DJ324" s="16"/>
      <c r="DK324" s="16"/>
      <c r="DL324" s="16"/>
      <c r="DM324" s="16"/>
      <c r="DN324" s="16"/>
      <c r="DO324" s="16"/>
      <c r="DP324" s="9"/>
      <c r="DQ324" s="9"/>
      <c r="DR324" s="9"/>
      <c r="DS324" s="9"/>
      <c r="DT324" s="16"/>
      <c r="DU324" s="9"/>
      <c r="DV324" s="9"/>
      <c r="DW324" s="9"/>
      <c r="DX324" s="9"/>
      <c r="DY324" s="9"/>
      <c r="DZ324" s="98"/>
      <c r="EA324" s="98">
        <v>87.22</v>
      </c>
      <c r="EB324" s="98">
        <v>86.75</v>
      </c>
      <c r="EC324" s="9"/>
      <c r="ED324" s="9"/>
      <c r="EE324" s="98">
        <v>87.16</v>
      </c>
      <c r="EF324" s="98">
        <v>85.65</v>
      </c>
      <c r="EG324" s="98">
        <v>83.77</v>
      </c>
      <c r="EH324" s="98">
        <v>82.29</v>
      </c>
      <c r="EI324" s="9"/>
      <c r="EJ324" s="98">
        <v>82.32</v>
      </c>
      <c r="EK324" s="98">
        <v>83.35</v>
      </c>
      <c r="EL324" s="98">
        <v>83.05</v>
      </c>
      <c r="EM324" s="98">
        <v>81.13</v>
      </c>
      <c r="EO324" s="98">
        <v>80.87</v>
      </c>
      <c r="EP324" s="98">
        <v>82.48</v>
      </c>
      <c r="EQ324" s="98">
        <v>83.99</v>
      </c>
      <c r="ER324" s="98">
        <v>82.54</v>
      </c>
      <c r="ET324" s="98">
        <v>83.65</v>
      </c>
      <c r="EU324" s="98">
        <v>83.57</v>
      </c>
      <c r="EV324" s="98">
        <v>83.12</v>
      </c>
      <c r="EW324" s="98">
        <v>83.58</v>
      </c>
    </row>
    <row r="325" spans="1:153" x14ac:dyDescent="0.3">
      <c r="A325" s="1" t="s">
        <v>3482</v>
      </c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031"/>
      <c r="CC325" s="16"/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  <c r="CY325" s="16"/>
      <c r="CZ325" s="16"/>
      <c r="DA325" s="16"/>
      <c r="DB325" s="16"/>
      <c r="DC325" s="16"/>
      <c r="DD325" s="16"/>
      <c r="DE325" s="16"/>
      <c r="DF325" s="16"/>
      <c r="DG325" s="16"/>
      <c r="DH325" s="16"/>
      <c r="DI325" s="16"/>
      <c r="DJ325" s="16"/>
      <c r="DK325" s="16"/>
      <c r="DL325" s="16"/>
      <c r="DM325" s="16"/>
      <c r="DN325" s="16"/>
      <c r="DO325" s="16"/>
      <c r="DP325" s="9"/>
      <c r="DQ325" s="9"/>
      <c r="DR325" s="9"/>
      <c r="DS325" s="9"/>
      <c r="DT325" s="16"/>
      <c r="DU325" s="9"/>
      <c r="DV325" s="9"/>
      <c r="DW325" s="9"/>
      <c r="DX325" s="9"/>
      <c r="DY325" s="9"/>
      <c r="DZ325" s="482"/>
      <c r="EA325" s="482">
        <v>1.6299999999999999E-2</v>
      </c>
      <c r="EB325" s="482">
        <v>1.8100000000000002E-2</v>
      </c>
      <c r="EC325" s="9"/>
      <c r="ED325" s="9"/>
      <c r="EE325" s="482">
        <v>1.4500000000000001E-2</v>
      </c>
      <c r="EF325" s="482">
        <v>1.54E-2</v>
      </c>
      <c r="EG325" s="482">
        <v>1.6400000000000001E-2</v>
      </c>
      <c r="EH325" s="482">
        <v>1.4500000000000001E-2</v>
      </c>
      <c r="EI325" s="9"/>
      <c r="EJ325" s="1241">
        <v>1.35E-2</v>
      </c>
      <c r="EK325" s="482">
        <v>1.5299999999999999E-2</v>
      </c>
      <c r="EL325" s="482">
        <v>1.7600000000000001E-2</v>
      </c>
      <c r="EM325" s="482">
        <v>1.5299999999999999E-2</v>
      </c>
      <c r="EO325" s="482">
        <v>1.43E-2</v>
      </c>
      <c r="EP325" s="482">
        <v>1.5299999999999999E-2</v>
      </c>
      <c r="EQ325" s="482">
        <v>1.7000000000000001E-2</v>
      </c>
      <c r="ER325" s="482">
        <v>1.43E-2</v>
      </c>
      <c r="ET325" s="482">
        <v>1.47E-2</v>
      </c>
      <c r="EU325" s="482">
        <v>1.6500000000000001E-2</v>
      </c>
      <c r="EV325" s="482">
        <v>1.7999999999999999E-2</v>
      </c>
      <c r="EW325" s="482">
        <v>1.6799999999999999E-2</v>
      </c>
    </row>
    <row r="326" spans="1:153" x14ac:dyDescent="0.3">
      <c r="A326" s="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6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8"/>
      <c r="DQ326" s="8"/>
      <c r="DR326" s="8"/>
      <c r="DS326" s="8"/>
      <c r="DT326" s="5"/>
      <c r="DU326" s="8"/>
      <c r="DV326" s="8"/>
      <c r="DW326" s="8"/>
      <c r="DX326" s="8"/>
      <c r="DY326" s="8"/>
      <c r="EB326" s="8"/>
      <c r="EC326" s="8"/>
      <c r="ED326" s="8"/>
      <c r="EI326" s="8"/>
    </row>
    <row r="327" spans="1:153" x14ac:dyDescent="0.3">
      <c r="A327" s="4" t="s">
        <v>3483</v>
      </c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6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8"/>
      <c r="DQ327" s="8"/>
      <c r="DR327" s="8"/>
      <c r="DS327" s="8"/>
      <c r="DT327" s="5"/>
      <c r="DU327" s="8"/>
      <c r="DV327" s="8"/>
      <c r="DW327" s="8"/>
      <c r="DX327" s="8"/>
      <c r="DY327" s="8"/>
      <c r="EB327" s="8"/>
      <c r="EC327" s="8"/>
      <c r="ED327" s="8"/>
      <c r="EI327" s="8"/>
    </row>
    <row r="328" spans="1:153" x14ac:dyDescent="0.3">
      <c r="A328" s="1" t="s">
        <v>3484</v>
      </c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6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8"/>
      <c r="DQ328" s="8"/>
      <c r="DR328" s="8"/>
      <c r="DS328" s="8"/>
      <c r="DT328" s="5"/>
      <c r="DU328" s="8"/>
      <c r="DV328" s="8"/>
      <c r="DW328" s="8"/>
      <c r="DX328" s="8"/>
      <c r="DY328" s="8"/>
      <c r="DZ328" s="918"/>
      <c r="EA328" s="918">
        <v>2881</v>
      </c>
      <c r="EB328" s="918">
        <v>2861</v>
      </c>
      <c r="EC328" s="8"/>
      <c r="ED328" s="8"/>
      <c r="EE328" s="918">
        <v>2820</v>
      </c>
      <c r="EF328" s="918">
        <v>2798</v>
      </c>
      <c r="EG328" s="918">
        <v>2789</v>
      </c>
      <c r="EH328" s="918">
        <v>2799</v>
      </c>
      <c r="EI328" s="8"/>
      <c r="EJ328" s="1238">
        <f>2592+227</f>
        <v>2819</v>
      </c>
      <c r="EK328" s="918">
        <v>2827</v>
      </c>
      <c r="EL328" s="918">
        <v>2831</v>
      </c>
      <c r="EM328" s="918">
        <v>2839</v>
      </c>
      <c r="EO328" s="1238">
        <f>2646+217</f>
        <v>2863</v>
      </c>
      <c r="EP328" s="1238">
        <v>2865</v>
      </c>
      <c r="EQ328" s="1238">
        <v>2881</v>
      </c>
    </row>
    <row r="329" spans="1:153" x14ac:dyDescent="0.3">
      <c r="A329" s="1" t="s">
        <v>3485</v>
      </c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6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8"/>
      <c r="DQ329" s="8"/>
      <c r="DR329" s="8"/>
      <c r="DS329" s="8"/>
      <c r="DT329" s="5"/>
      <c r="DU329" s="8"/>
      <c r="DV329" s="8"/>
      <c r="DW329" s="8"/>
      <c r="DX329" s="8"/>
      <c r="DY329" s="8"/>
      <c r="DZ329" s="918"/>
      <c r="EA329" s="918"/>
      <c r="EB329" s="918"/>
      <c r="EC329" s="8"/>
      <c r="ED329" s="8"/>
      <c r="EE329" s="918"/>
      <c r="EF329" s="918"/>
      <c r="EG329" s="918"/>
      <c r="EH329" s="918"/>
      <c r="EI329" s="8"/>
      <c r="EJ329" s="1238"/>
      <c r="EK329" s="918"/>
      <c r="EL329" s="918"/>
      <c r="EM329" s="1238">
        <f>+EM330-EM328</f>
        <v>29</v>
      </c>
      <c r="EO329" s="1238"/>
      <c r="EP329" s="1238"/>
      <c r="EQ329" s="1465">
        <f>+EQ330-EQ328</f>
        <v>32</v>
      </c>
    </row>
    <row r="330" spans="1:153" x14ac:dyDescent="0.3">
      <c r="A330" s="4" t="s">
        <v>3486</v>
      </c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6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8"/>
      <c r="DQ330" s="8"/>
      <c r="DR330" s="8"/>
      <c r="DS330" s="8"/>
      <c r="DT330" s="5"/>
      <c r="DU330" s="8"/>
      <c r="DV330" s="8"/>
      <c r="DW330" s="8"/>
      <c r="DX330" s="8"/>
      <c r="DY330" s="8"/>
      <c r="DZ330" s="918"/>
      <c r="EA330" s="918"/>
      <c r="EB330" s="918"/>
      <c r="EC330" s="8"/>
      <c r="ED330" s="8"/>
      <c r="EE330" s="918"/>
      <c r="EF330" s="918"/>
      <c r="EG330" s="918"/>
      <c r="EH330" s="918"/>
      <c r="EI330" s="8"/>
      <c r="EJ330" s="1238"/>
      <c r="EK330" s="918"/>
      <c r="EL330" s="918"/>
      <c r="EM330" s="1238">
        <v>2868</v>
      </c>
      <c r="EO330" s="1238"/>
      <c r="EP330" s="1238"/>
      <c r="EQ330" s="1466">
        <v>2913</v>
      </c>
      <c r="ER330" s="1466">
        <v>2943</v>
      </c>
      <c r="ET330" s="1466">
        <v>2974</v>
      </c>
      <c r="EU330" s="1466">
        <v>3010</v>
      </c>
      <c r="EV330" s="1466">
        <v>3057</v>
      </c>
      <c r="EW330" s="1466">
        <v>3094</v>
      </c>
    </row>
    <row r="331" spans="1:153" x14ac:dyDescent="0.3">
      <c r="A331" s="1" t="s">
        <v>3487</v>
      </c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6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8"/>
      <c r="DQ331" s="8"/>
      <c r="DR331" s="8"/>
      <c r="DS331" s="8"/>
      <c r="DT331" s="5"/>
      <c r="DU331" s="8"/>
      <c r="DV331" s="8"/>
      <c r="DW331" s="8"/>
      <c r="DX331" s="8"/>
      <c r="DY331" s="8"/>
      <c r="DZ331" s="918"/>
      <c r="EA331" s="918">
        <v>-18</v>
      </c>
      <c r="EB331" s="918">
        <v>-20</v>
      </c>
      <c r="EC331" s="8"/>
      <c r="ED331" s="8"/>
      <c r="EE331" s="918">
        <v>-14</v>
      </c>
      <c r="EF331" s="918">
        <v>-22</v>
      </c>
      <c r="EG331" s="918">
        <v>-9</v>
      </c>
      <c r="EH331" s="918">
        <v>10</v>
      </c>
      <c r="EI331" s="8"/>
      <c r="EJ331" s="1238">
        <f>22-2</f>
        <v>20</v>
      </c>
      <c r="EK331" s="918">
        <v>8</v>
      </c>
      <c r="EL331" s="918">
        <v>4</v>
      </c>
      <c r="EM331" s="918">
        <v>8</v>
      </c>
      <c r="EO331" s="1238">
        <f>28-4</f>
        <v>24</v>
      </c>
      <c r="EP331" s="1238">
        <v>2</v>
      </c>
      <c r="EQ331" s="1238">
        <v>16</v>
      </c>
      <c r="ET331" s="1238"/>
      <c r="EU331" s="1238"/>
      <c r="EV331" s="1238"/>
      <c r="EW331" s="1238"/>
    </row>
    <row r="332" spans="1:153" x14ac:dyDescent="0.3">
      <c r="A332" s="1" t="s">
        <v>3488</v>
      </c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6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8"/>
      <c r="DQ332" s="8"/>
      <c r="DR332" s="8"/>
      <c r="DS332" s="8"/>
      <c r="DT332" s="5"/>
      <c r="DU332" s="8"/>
      <c r="DV332" s="8"/>
      <c r="DW332" s="8"/>
      <c r="DX332" s="8"/>
      <c r="DY332" s="8"/>
      <c r="DZ332" s="918"/>
      <c r="EA332" s="918"/>
      <c r="EB332" s="918"/>
      <c r="EC332" s="8"/>
      <c r="ED332" s="8"/>
      <c r="EE332" s="918"/>
      <c r="EF332" s="918"/>
      <c r="EG332" s="918"/>
      <c r="EH332" s="918"/>
      <c r="EI332" s="8"/>
      <c r="EJ332" s="1238"/>
      <c r="EK332" s="918"/>
      <c r="EL332" s="918"/>
      <c r="EM332" s="918"/>
      <c r="EO332" s="1238"/>
      <c r="EP332" s="1238"/>
      <c r="EQ332" s="1465">
        <f>+EQ331-EQ333</f>
        <v>1</v>
      </c>
    </row>
    <row r="333" spans="1:153" x14ac:dyDescent="0.3">
      <c r="A333" s="4" t="s">
        <v>3489</v>
      </c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6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8"/>
      <c r="DQ333" s="8"/>
      <c r="DR333" s="8"/>
      <c r="DS333" s="8"/>
      <c r="DT333" s="5"/>
      <c r="DU333" s="8"/>
      <c r="DV333" s="8"/>
      <c r="DW333" s="8"/>
      <c r="DX333" s="8"/>
      <c r="DY333" s="8"/>
      <c r="DZ333" s="918"/>
      <c r="EA333" s="918"/>
      <c r="EB333" s="918"/>
      <c r="EC333" s="8"/>
      <c r="ED333" s="8"/>
      <c r="EE333" s="918"/>
      <c r="EF333" s="918"/>
      <c r="EG333" s="918"/>
      <c r="EH333" s="918"/>
      <c r="EI333" s="8"/>
      <c r="EJ333" s="1238"/>
      <c r="EK333" s="918"/>
      <c r="EL333" s="918"/>
      <c r="EM333" s="1238">
        <v>8</v>
      </c>
      <c r="EO333" s="1238"/>
      <c r="EP333" s="1238"/>
      <c r="EQ333" s="1466">
        <v>15</v>
      </c>
      <c r="ER333" s="1466">
        <v>30</v>
      </c>
      <c r="ET333" s="1466">
        <v>31</v>
      </c>
      <c r="EU333" s="1466">
        <v>36</v>
      </c>
      <c r="EV333" s="1466">
        <v>47</v>
      </c>
      <c r="EW333" s="1466">
        <v>37</v>
      </c>
    </row>
    <row r="334" spans="1:153" x14ac:dyDescent="0.3">
      <c r="A334" s="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6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8"/>
      <c r="DQ334" s="8"/>
      <c r="DR334" s="8"/>
      <c r="DS334" s="8"/>
      <c r="DT334" s="5"/>
      <c r="DU334" s="8"/>
      <c r="DV334" s="8"/>
      <c r="DW334" s="8"/>
      <c r="DX334" s="8"/>
      <c r="DY334" s="8"/>
      <c r="DZ334" s="885"/>
      <c r="EA334" s="885"/>
      <c r="EB334" s="885"/>
      <c r="EC334" s="8"/>
      <c r="ED334" s="8"/>
      <c r="EE334" s="885"/>
      <c r="EF334" s="885"/>
      <c r="EG334" s="885"/>
      <c r="EH334" s="885"/>
      <c r="EI334" s="8"/>
      <c r="EJ334" s="885"/>
      <c r="EK334" s="885"/>
      <c r="EL334" s="885"/>
      <c r="EM334" s="885"/>
      <c r="EO334" s="885"/>
      <c r="EP334" s="885"/>
      <c r="EQ334" s="885"/>
    </row>
    <row r="335" spans="1:153" x14ac:dyDescent="0.3">
      <c r="A335" s="4" t="s">
        <v>3490</v>
      </c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6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8"/>
      <c r="DQ335" s="8"/>
      <c r="DR335" s="8"/>
      <c r="DS335" s="8"/>
      <c r="DT335" s="5"/>
      <c r="DU335" s="8"/>
      <c r="DV335" s="8"/>
      <c r="DW335" s="8"/>
      <c r="DX335" s="8"/>
      <c r="DY335" s="8"/>
      <c r="DZ335" s="918"/>
      <c r="EA335" s="918">
        <v>16420</v>
      </c>
      <c r="EB335" s="918">
        <v>16302</v>
      </c>
      <c r="EC335" s="8"/>
      <c r="ED335" s="8"/>
      <c r="EE335" s="918">
        <v>16201</v>
      </c>
      <c r="EF335" s="918">
        <v>16005</v>
      </c>
      <c r="EG335" s="918">
        <v>15803</v>
      </c>
      <c r="EH335" s="918">
        <v>15640</v>
      </c>
      <c r="EI335" s="8"/>
      <c r="EJ335" s="1238">
        <v>15373</v>
      </c>
      <c r="EK335" s="918">
        <v>15074</v>
      </c>
      <c r="EL335" s="918">
        <v>14746</v>
      </c>
      <c r="EM335" s="918">
        <v>14708</v>
      </c>
      <c r="EO335" s="1238">
        <v>14523</v>
      </c>
      <c r="EP335" s="1238">
        <v>14099</v>
      </c>
      <c r="EQ335" s="1238">
        <v>13756</v>
      </c>
      <c r="ER335" s="1238">
        <v>13297</v>
      </c>
      <c r="ET335" s="1238">
        <v>13227</v>
      </c>
      <c r="EU335" s="1238">
        <v>12960</v>
      </c>
      <c r="EV335" s="1238">
        <v>12950</v>
      </c>
      <c r="EW335" s="1238">
        <v>13025</v>
      </c>
    </row>
    <row r="336" spans="1:153" x14ac:dyDescent="0.3">
      <c r="A336" s="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6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8"/>
      <c r="DQ336" s="8"/>
      <c r="DR336" s="8"/>
      <c r="DS336" s="8"/>
      <c r="DT336" s="5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I336" s="8"/>
    </row>
    <row r="337" spans="1:153" x14ac:dyDescent="0.3">
      <c r="A337" s="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6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8"/>
      <c r="DQ337" s="8"/>
      <c r="DR337" s="8"/>
      <c r="DS337" s="8"/>
      <c r="DT337" s="5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I337" s="8"/>
    </row>
    <row r="338" spans="1:153" x14ac:dyDescent="0.3">
      <c r="A338" s="4" t="s">
        <v>3041</v>
      </c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6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8"/>
      <c r="DQ338" s="8"/>
      <c r="DR338" s="8"/>
      <c r="DS338" s="8"/>
      <c r="DT338" s="5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I338" s="8"/>
    </row>
    <row r="339" spans="1:153" x14ac:dyDescent="0.3">
      <c r="A339" s="1" t="s">
        <v>3069</v>
      </c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BV339" s="16"/>
      <c r="BW339" s="16"/>
      <c r="BX339" s="16"/>
      <c r="BY339" s="16"/>
      <c r="BZ339" s="16"/>
      <c r="CA339" s="16"/>
      <c r="CB339" s="1031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  <c r="CX339" s="16"/>
      <c r="CY339" s="16"/>
      <c r="CZ339" s="16"/>
      <c r="DA339" s="16"/>
      <c r="DB339" s="16"/>
      <c r="DC339" s="16"/>
      <c r="DD339" s="16"/>
      <c r="DE339" s="16"/>
      <c r="DF339" s="16"/>
      <c r="DG339" s="16"/>
      <c r="DH339" s="16"/>
      <c r="DI339" s="16"/>
      <c r="DJ339" s="16"/>
      <c r="DK339" s="16"/>
      <c r="DL339" s="16"/>
      <c r="DM339" s="16"/>
      <c r="DN339" s="16"/>
      <c r="DO339" s="16"/>
      <c r="DP339" s="9"/>
      <c r="DQ339" s="9"/>
      <c r="DR339" s="9"/>
      <c r="DS339" s="9"/>
      <c r="DT339" s="16"/>
      <c r="DU339" s="9"/>
      <c r="DV339" s="9"/>
      <c r="DW339" s="9"/>
      <c r="DX339" s="9"/>
      <c r="DY339" s="9"/>
      <c r="DZ339" s="9"/>
      <c r="EA339" s="9"/>
      <c r="EB339" s="7">
        <v>240</v>
      </c>
      <c r="EC339" s="7">
        <v>250</v>
      </c>
      <c r="ED339" s="9"/>
      <c r="EE339" s="7">
        <v>256</v>
      </c>
      <c r="EF339" s="7">
        <v>268</v>
      </c>
      <c r="EG339" s="7">
        <v>274</v>
      </c>
      <c r="EH339" s="7">
        <v>277</v>
      </c>
      <c r="EI339" s="9"/>
      <c r="EJ339" s="7">
        <v>286</v>
      </c>
      <c r="EK339" s="7">
        <v>302</v>
      </c>
      <c r="EL339" s="7">
        <v>312</v>
      </c>
      <c r="EM339" s="7">
        <v>318</v>
      </c>
      <c r="EO339" s="1268">
        <v>334</v>
      </c>
      <c r="EP339" s="1268">
        <v>356</v>
      </c>
      <c r="EQ339" s="1268">
        <v>377</v>
      </c>
      <c r="ER339" s="1268">
        <v>391</v>
      </c>
      <c r="ET339" s="1268">
        <v>414</v>
      </c>
      <c r="EU339" s="1268">
        <v>432</v>
      </c>
      <c r="EV339" s="1268">
        <v>454</v>
      </c>
      <c r="EW339" s="1268">
        <v>478</v>
      </c>
    </row>
    <row r="340" spans="1:153" x14ac:dyDescent="0.3">
      <c r="A340" s="1" t="s">
        <v>3070</v>
      </c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BV340" s="16"/>
      <c r="BW340" s="16"/>
      <c r="BX340" s="16"/>
      <c r="BY340" s="16"/>
      <c r="BZ340" s="16"/>
      <c r="CA340" s="16"/>
      <c r="CB340" s="1031"/>
      <c r="CC340" s="16"/>
      <c r="CD340" s="16"/>
      <c r="CE340" s="16"/>
      <c r="CF340" s="16"/>
      <c r="CG340" s="16"/>
      <c r="CH340" s="16"/>
      <c r="CI340" s="16"/>
      <c r="CJ340" s="16"/>
      <c r="CK340" s="16"/>
      <c r="CL340" s="16"/>
      <c r="CM340" s="16"/>
      <c r="CN340" s="16"/>
      <c r="CO340" s="16"/>
      <c r="CP340" s="16"/>
      <c r="CQ340" s="16"/>
      <c r="CR340" s="16"/>
      <c r="CS340" s="16"/>
      <c r="CT340" s="16"/>
      <c r="CU340" s="16"/>
      <c r="CV340" s="16"/>
      <c r="CW340" s="16"/>
      <c r="CX340" s="16"/>
      <c r="CY340" s="16"/>
      <c r="CZ340" s="16"/>
      <c r="DA340" s="16"/>
      <c r="DB340" s="16"/>
      <c r="DC340" s="16"/>
      <c r="DD340" s="16"/>
      <c r="DE340" s="16"/>
      <c r="DF340" s="16"/>
      <c r="DG340" s="16"/>
      <c r="DH340" s="16"/>
      <c r="DI340" s="16"/>
      <c r="DJ340" s="16"/>
      <c r="DK340" s="16"/>
      <c r="DL340" s="16"/>
      <c r="DM340" s="16"/>
      <c r="DN340" s="16"/>
      <c r="DO340" s="16"/>
      <c r="DP340" s="9"/>
      <c r="DQ340" s="9"/>
      <c r="DR340" s="9"/>
      <c r="DS340" s="9"/>
      <c r="DT340" s="16"/>
      <c r="DU340" s="9"/>
      <c r="DV340" s="9"/>
      <c r="DW340" s="9"/>
      <c r="DX340" s="9"/>
      <c r="DY340" s="9"/>
      <c r="DZ340" s="9"/>
      <c r="EA340" s="9"/>
      <c r="EB340" s="10">
        <v>211</v>
      </c>
      <c r="EC340" s="10">
        <v>209</v>
      </c>
      <c r="ED340" s="1032"/>
      <c r="EE340" s="10">
        <v>207</v>
      </c>
      <c r="EF340" s="10">
        <v>207</v>
      </c>
      <c r="EG340" s="10">
        <v>204</v>
      </c>
      <c r="EH340" s="10">
        <v>197</v>
      </c>
      <c r="EI340" s="1032"/>
      <c r="EJ340" s="10">
        <v>195</v>
      </c>
      <c r="EK340" s="10">
        <v>197</v>
      </c>
      <c r="EL340" s="10">
        <v>195</v>
      </c>
      <c r="EM340" s="10">
        <v>182</v>
      </c>
      <c r="EO340" s="1289">
        <v>173</v>
      </c>
      <c r="EP340" s="1289">
        <v>173</v>
      </c>
      <c r="EQ340" s="1289">
        <v>169</v>
      </c>
      <c r="ER340" s="1289">
        <v>159</v>
      </c>
      <c r="ET340" s="1289">
        <v>155</v>
      </c>
      <c r="EU340" s="1289">
        <v>151</v>
      </c>
      <c r="EV340" s="1289">
        <v>141</v>
      </c>
      <c r="EW340" s="1289">
        <v>138</v>
      </c>
    </row>
    <row r="341" spans="1:153" x14ac:dyDescent="0.3">
      <c r="A341" s="4" t="s">
        <v>266</v>
      </c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6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8"/>
      <c r="DQ341" s="8"/>
      <c r="DR341" s="8"/>
      <c r="DS341" s="8"/>
      <c r="DT341" s="5"/>
      <c r="DU341" s="8"/>
      <c r="DV341" s="8"/>
      <c r="DW341" s="8"/>
      <c r="DX341" s="8"/>
      <c r="DY341" s="8"/>
      <c r="DZ341" s="8"/>
      <c r="EA341" s="8"/>
      <c r="EB341" s="8">
        <f>SUM(EB339:EB340)</f>
        <v>451</v>
      </c>
      <c r="EC341" s="8">
        <f>SUM(EC339:EC340)</f>
        <v>459</v>
      </c>
      <c r="ED341" s="8"/>
      <c r="EE341" s="8">
        <f>SUM(EE339:EE340)</f>
        <v>463</v>
      </c>
      <c r="EF341" s="85">
        <f>SUM(EF339:EF340)</f>
        <v>475</v>
      </c>
      <c r="EG341" s="85">
        <f>SUM(EG339:EG340)</f>
        <v>478</v>
      </c>
      <c r="EH341" s="85">
        <f>SUM(EH339:EH340)</f>
        <v>474</v>
      </c>
      <c r="EI341" s="8"/>
      <c r="EJ341" s="85">
        <f>SUM(EJ339:EJ340)</f>
        <v>481</v>
      </c>
      <c r="EK341" s="85">
        <f>SUM(EK339:EK340)</f>
        <v>499</v>
      </c>
      <c r="EL341" s="85">
        <f>SUM(EL339:EL340)</f>
        <v>507</v>
      </c>
      <c r="EM341" s="85">
        <f>SUM(EM339:EM340)</f>
        <v>500</v>
      </c>
      <c r="EO341" s="85">
        <f>SUM(EO339:EO340)</f>
        <v>507</v>
      </c>
      <c r="EP341" s="85">
        <f>SUM(EP339:EP340)</f>
        <v>529</v>
      </c>
      <c r="EQ341" s="85">
        <f>SUM(EQ339:EQ340)</f>
        <v>546</v>
      </c>
      <c r="ER341" s="85">
        <f>SUM(ER339:ER340)</f>
        <v>550</v>
      </c>
      <c r="ET341" s="85">
        <f>SUM(ET339:ET340)</f>
        <v>569</v>
      </c>
      <c r="EU341" s="85">
        <f>SUM(EU339:EU340)</f>
        <v>583</v>
      </c>
      <c r="EV341" s="85">
        <f>SUM(EV339:EV340)</f>
        <v>595</v>
      </c>
      <c r="EW341" s="85">
        <f>SUM(EW339:EW340)</f>
        <v>616</v>
      </c>
    </row>
    <row r="342" spans="1:153" x14ac:dyDescent="0.3">
      <c r="A342" s="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6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8"/>
      <c r="DQ342" s="8"/>
      <c r="DR342" s="8"/>
      <c r="DS342" s="8"/>
      <c r="DT342" s="5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I342" s="8"/>
    </row>
    <row r="343" spans="1:153" x14ac:dyDescent="0.3">
      <c r="A343" s="4" t="s">
        <v>1880</v>
      </c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6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8"/>
      <c r="DQ343" s="8"/>
      <c r="DR343" s="8"/>
      <c r="DS343" s="8"/>
      <c r="DT343" s="5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I343" s="8"/>
    </row>
    <row r="344" spans="1:153" x14ac:dyDescent="0.3">
      <c r="A344" s="1" t="s">
        <v>325</v>
      </c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6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1023"/>
      <c r="DQ344" s="1023"/>
      <c r="DR344" s="1023"/>
      <c r="DS344" s="1023"/>
      <c r="DT344" s="1024"/>
      <c r="DU344" s="1023"/>
      <c r="DV344" s="1023"/>
      <c r="DW344" s="1023"/>
      <c r="DX344" s="1025"/>
      <c r="DY344" s="17"/>
      <c r="DZ344" s="1035">
        <v>3.2</v>
      </c>
      <c r="EA344" s="1035">
        <v>3.2</v>
      </c>
      <c r="EB344" s="1035">
        <v>3.2</v>
      </c>
      <c r="EC344" s="1035">
        <v>3.2</v>
      </c>
      <c r="ED344" s="1036"/>
      <c r="EE344" s="1035">
        <v>3.2</v>
      </c>
      <c r="EF344" s="1035">
        <v>3.2</v>
      </c>
      <c r="EG344" s="1035">
        <v>3.2</v>
      </c>
      <c r="EH344" s="1035">
        <v>3.2</v>
      </c>
      <c r="EI344" s="1036"/>
      <c r="EJ344" s="1035">
        <v>3.2</v>
      </c>
      <c r="EK344" s="1035">
        <v>3.2</v>
      </c>
      <c r="EL344" s="1035">
        <v>3.2</v>
      </c>
      <c r="EM344" s="1035">
        <v>3.2</v>
      </c>
      <c r="EO344" s="1035">
        <v>3.2</v>
      </c>
      <c r="EP344" s="1035">
        <v>3.2</v>
      </c>
      <c r="EQ344" s="1035">
        <v>3.2</v>
      </c>
      <c r="ER344" s="1035">
        <v>3.2</v>
      </c>
      <c r="ET344" s="1035">
        <v>3.2</v>
      </c>
      <c r="EU344" s="1035">
        <v>3.2</v>
      </c>
      <c r="EV344" s="1035">
        <v>3.2</v>
      </c>
      <c r="EW344" s="1035">
        <v>3.2</v>
      </c>
    </row>
    <row r="345" spans="1:153" x14ac:dyDescent="0.3">
      <c r="A345" s="1" t="s">
        <v>3491</v>
      </c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6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1023"/>
      <c r="DQ345" s="1023"/>
      <c r="DR345" s="1023"/>
      <c r="DS345" s="1023"/>
      <c r="DT345" s="1024"/>
      <c r="DU345" s="1023"/>
      <c r="DV345" s="1023"/>
      <c r="DW345" s="1023"/>
      <c r="DX345" s="1025"/>
      <c r="DY345" s="17"/>
      <c r="DZ345" s="1035">
        <v>0</v>
      </c>
      <c r="EA345" s="1035">
        <v>0</v>
      </c>
      <c r="EB345" s="1035">
        <v>0</v>
      </c>
      <c r="EC345" s="1035">
        <v>0.1</v>
      </c>
      <c r="ED345" s="1036"/>
      <c r="EE345" s="1035">
        <v>0.1</v>
      </c>
      <c r="EF345" s="1035">
        <v>0.1</v>
      </c>
      <c r="EG345" s="1035">
        <v>0.1</v>
      </c>
      <c r="EH345" s="1035">
        <v>0.1</v>
      </c>
      <c r="EI345" s="1036"/>
      <c r="EJ345" s="1035">
        <v>0.1</v>
      </c>
      <c r="EK345" s="1035">
        <v>0.1</v>
      </c>
      <c r="EL345" s="1035">
        <v>0.1</v>
      </c>
      <c r="EM345" s="1035">
        <v>0.1</v>
      </c>
      <c r="EO345" s="1035">
        <v>0.1</v>
      </c>
      <c r="EP345" s="1035">
        <v>0.1</v>
      </c>
      <c r="EQ345" s="1035">
        <v>0.1</v>
      </c>
      <c r="ER345" s="1035">
        <v>0.1</v>
      </c>
      <c r="ET345" s="1035">
        <v>0.1</v>
      </c>
      <c r="EU345" s="1035">
        <v>0.1</v>
      </c>
      <c r="EV345" s="1035">
        <v>0.1</v>
      </c>
      <c r="EW345" s="1035">
        <v>0.1</v>
      </c>
    </row>
    <row r="346" spans="1:153" x14ac:dyDescent="0.3">
      <c r="A346" s="1" t="s">
        <v>3492</v>
      </c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6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1023"/>
      <c r="DQ346" s="1023"/>
      <c r="DR346" s="1023"/>
      <c r="DS346" s="1023"/>
      <c r="DT346" s="1024"/>
      <c r="DU346" s="1023"/>
      <c r="DV346" s="1023"/>
      <c r="DW346" s="1023"/>
      <c r="DX346" s="1025"/>
      <c r="DY346" s="17"/>
      <c r="DZ346" s="1035">
        <v>0</v>
      </c>
      <c r="EA346" s="1035">
        <v>0</v>
      </c>
      <c r="EB346" s="1035">
        <v>0</v>
      </c>
      <c r="EC346" s="1035">
        <v>0</v>
      </c>
      <c r="ED346" s="1036"/>
      <c r="EE346" s="1035">
        <v>0.3</v>
      </c>
      <c r="EF346" s="1035">
        <v>0.3</v>
      </c>
      <c r="EG346" s="1035">
        <v>0.4</v>
      </c>
      <c r="EH346" s="1035">
        <v>0.6</v>
      </c>
      <c r="EI346" s="1036"/>
      <c r="EJ346" s="1035">
        <v>0.6</v>
      </c>
      <c r="EK346" s="1035">
        <v>0.6</v>
      </c>
      <c r="EL346" s="1035">
        <v>0.6</v>
      </c>
      <c r="EM346" s="1035">
        <v>0.6</v>
      </c>
      <c r="EO346" s="1035">
        <v>0.6</v>
      </c>
      <c r="EP346" s="1035">
        <v>0.6</v>
      </c>
      <c r="EQ346" s="1035">
        <v>0.6</v>
      </c>
      <c r="ER346" s="1035">
        <v>0.6</v>
      </c>
      <c r="ET346" s="1035">
        <v>0.6</v>
      </c>
      <c r="EU346" s="1035">
        <v>0.6</v>
      </c>
      <c r="EV346" s="1035">
        <v>0.6</v>
      </c>
      <c r="EW346" s="1035">
        <v>0.6</v>
      </c>
    </row>
    <row r="347" spans="1:153" x14ac:dyDescent="0.3">
      <c r="A347" s="1" t="s">
        <v>3493</v>
      </c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6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1023"/>
      <c r="DQ347" s="1023"/>
      <c r="DR347" s="1023"/>
      <c r="DS347" s="1023"/>
      <c r="DT347" s="1024"/>
      <c r="DU347" s="1023"/>
      <c r="DV347" s="1023"/>
      <c r="DW347" s="1023"/>
      <c r="DX347" s="1025"/>
      <c r="DY347" s="17"/>
      <c r="DZ347" s="1035"/>
      <c r="EA347" s="1035"/>
      <c r="EB347" s="1035"/>
      <c r="EC347" s="1035"/>
      <c r="ED347" s="1036"/>
      <c r="EE347" s="1035"/>
      <c r="EF347" s="1035"/>
      <c r="EG347" s="1035"/>
      <c r="EH347" s="1035"/>
      <c r="EI347" s="1036"/>
      <c r="EJ347" s="1341">
        <f>EJ354/1000</f>
        <v>0.21099999999999999</v>
      </c>
      <c r="EK347" s="1341">
        <f>+EJ347+EK354/1000</f>
        <v>0.49199999999999999</v>
      </c>
      <c r="EL347" s="1341">
        <f>+EK347+EL354/1000</f>
        <v>0.84299999999999997</v>
      </c>
      <c r="EM347" s="1341">
        <f>+EL347+EM354/1000</f>
        <v>1.224</v>
      </c>
      <c r="EN347" s="1341"/>
      <c r="EO347" s="1341">
        <f>+EM347</f>
        <v>1.224</v>
      </c>
      <c r="EP347" s="1341">
        <f>+EO347</f>
        <v>1.224</v>
      </c>
      <c r="EQ347" s="1341">
        <f>+EP347</f>
        <v>1.224</v>
      </c>
      <c r="ER347" s="1341">
        <f>+EQ347</f>
        <v>1.224</v>
      </c>
      <c r="ET347" s="1341">
        <f>+ER347</f>
        <v>1.224</v>
      </c>
      <c r="EU347" s="1341">
        <f t="shared" ref="EU347:EW348" si="413">ET347</f>
        <v>1.224</v>
      </c>
      <c r="EV347" s="1341">
        <f t="shared" si="413"/>
        <v>1.224</v>
      </c>
      <c r="EW347" s="1341">
        <f t="shared" si="413"/>
        <v>1.224</v>
      </c>
    </row>
    <row r="348" spans="1:153" x14ac:dyDescent="0.3">
      <c r="A348" s="1" t="s">
        <v>3494</v>
      </c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6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1023"/>
      <c r="DQ348" s="1023"/>
      <c r="DR348" s="1023"/>
      <c r="DS348" s="1023"/>
      <c r="DT348" s="1024"/>
      <c r="DU348" s="1023"/>
      <c r="DV348" s="1023"/>
      <c r="DW348" s="1023"/>
      <c r="DX348" s="1025"/>
      <c r="DY348" s="17"/>
      <c r="DZ348" s="1035"/>
      <c r="EA348" s="1035"/>
      <c r="EB348" s="1035"/>
      <c r="EC348" s="1035"/>
      <c r="ED348" s="1036"/>
      <c r="EE348" s="1035"/>
      <c r="EF348" s="1035"/>
      <c r="EG348" s="1035"/>
      <c r="EH348" s="1035"/>
      <c r="EI348" s="1036"/>
      <c r="EJ348" s="1035"/>
      <c r="EK348" s="1035"/>
      <c r="EL348" s="1035"/>
      <c r="EM348" s="1035"/>
      <c r="EO348" s="1341">
        <f>+EO354/1000</f>
        <v>0.33900000000000002</v>
      </c>
      <c r="EP348" s="1341">
        <f>EO348+(EP354/1000)</f>
        <v>0.65500000000000003</v>
      </c>
      <c r="EQ348" s="1341">
        <f>EP348+(EQ354/1000)</f>
        <v>0.9870000000000001</v>
      </c>
      <c r="ER348" s="1341">
        <f>EQ348+(ER354/1000)</f>
        <v>1.32</v>
      </c>
      <c r="ET348" s="1341">
        <f>+ER348</f>
        <v>1.32</v>
      </c>
      <c r="EU348" s="1341">
        <f t="shared" si="413"/>
        <v>1.32</v>
      </c>
      <c r="EV348" s="1341">
        <f t="shared" si="413"/>
        <v>1.32</v>
      </c>
      <c r="EW348" s="1341">
        <f t="shared" si="413"/>
        <v>1.32</v>
      </c>
    </row>
    <row r="349" spans="1:153" x14ac:dyDescent="0.3">
      <c r="A349" s="1" t="s">
        <v>3495</v>
      </c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6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1023"/>
      <c r="DQ349" s="1023"/>
      <c r="DR349" s="1023"/>
      <c r="DS349" s="1023"/>
      <c r="DT349" s="1024"/>
      <c r="DU349" s="1023"/>
      <c r="DV349" s="1023"/>
      <c r="DW349" s="1023"/>
      <c r="DX349" s="1025"/>
      <c r="DY349" s="17"/>
      <c r="DZ349" s="1035"/>
      <c r="EA349" s="1035"/>
      <c r="EB349" s="1035"/>
      <c r="EC349" s="1035"/>
      <c r="ED349" s="1036"/>
      <c r="EE349" s="1035"/>
      <c r="EF349" s="1035"/>
      <c r="EG349" s="1035"/>
      <c r="EH349" s="1035"/>
      <c r="EI349" s="1036"/>
      <c r="EJ349" s="1035"/>
      <c r="EK349" s="1035"/>
      <c r="EL349" s="1035"/>
      <c r="EM349" s="1035"/>
      <c r="EO349" s="1341"/>
      <c r="EP349" s="1341"/>
      <c r="EQ349" s="1341"/>
      <c r="ER349" s="1341"/>
      <c r="ET349" s="1341">
        <f>+ET354/1000</f>
        <v>0.32200000000000001</v>
      </c>
      <c r="EU349" s="1341">
        <f>ET349+EU354/1000</f>
        <v>0.71</v>
      </c>
      <c r="EV349" s="1341">
        <f>EU349+EV354/1000</f>
        <v>1.091</v>
      </c>
      <c r="EW349" s="1341">
        <f>EV349+EW354/1000</f>
        <v>1.3319999999999999</v>
      </c>
    </row>
    <row r="350" spans="1:153" x14ac:dyDescent="0.3">
      <c r="A350" t="s">
        <v>328</v>
      </c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6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1023"/>
      <c r="DQ350" s="1023"/>
      <c r="DR350" s="1023"/>
      <c r="DS350" s="1023"/>
      <c r="DT350" s="1024"/>
      <c r="DU350" s="1023"/>
      <c r="DV350" s="1023"/>
      <c r="DW350" s="1023"/>
      <c r="DX350" s="1023"/>
      <c r="DY350" s="1023"/>
      <c r="DZ350" s="1035">
        <v>3.2</v>
      </c>
      <c r="EA350" s="1035">
        <v>3.2</v>
      </c>
      <c r="EB350" s="1035">
        <v>3.3</v>
      </c>
      <c r="EC350" s="1035">
        <v>3.3</v>
      </c>
      <c r="ED350" s="1036"/>
      <c r="EE350" s="1035">
        <v>3.4</v>
      </c>
      <c r="EF350" s="1035">
        <v>3.6</v>
      </c>
      <c r="EG350" s="1035">
        <v>3.8</v>
      </c>
      <c r="EH350" s="1035">
        <v>4</v>
      </c>
      <c r="EI350" s="1036"/>
      <c r="EJ350" s="1035">
        <v>4.2</v>
      </c>
      <c r="EK350" s="1035">
        <v>4.4000000000000004</v>
      </c>
      <c r="EL350" s="1035">
        <v>4.8</v>
      </c>
      <c r="EM350" s="1035">
        <v>5.2</v>
      </c>
      <c r="EO350" s="1467">
        <v>5.5</v>
      </c>
      <c r="EP350" s="1468">
        <f>SUM(EP344:EP348)</f>
        <v>5.7790000000000008</v>
      </c>
      <c r="EQ350" s="1468">
        <f>SUM(EQ344:EQ348)</f>
        <v>6.1110000000000007</v>
      </c>
      <c r="ER350" s="1468">
        <f>SUM(ER344:ER348)</f>
        <v>6.4440000000000008</v>
      </c>
      <c r="ET350" s="1468">
        <f>SUM(ET344:ET349)</f>
        <v>6.7660000000000009</v>
      </c>
      <c r="EU350" s="1468">
        <f>SUM(EU344:EU349)</f>
        <v>7.1540000000000008</v>
      </c>
      <c r="EV350" s="1468">
        <f>SUM(EV344:EV349)</f>
        <v>7.535000000000001</v>
      </c>
      <c r="EW350" s="1468">
        <f>SUM(EW344:EW349)</f>
        <v>7.7760000000000007</v>
      </c>
    </row>
    <row r="351" spans="1:153" x14ac:dyDescent="0.3">
      <c r="A351" t="s">
        <v>2631</v>
      </c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6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1023"/>
      <c r="DQ351" s="1023"/>
      <c r="DR351" s="1023"/>
      <c r="DS351" s="1023"/>
      <c r="DT351" s="1024"/>
      <c r="DU351" s="1023"/>
      <c r="DV351" s="1023"/>
      <c r="DW351" s="1023"/>
      <c r="DX351" s="1023"/>
      <c r="DY351" s="1023"/>
      <c r="DZ351" s="1035">
        <v>11.9</v>
      </c>
      <c r="EA351" s="1035">
        <v>11.9</v>
      </c>
      <c r="EB351" s="1035">
        <v>11.9</v>
      </c>
      <c r="EC351" s="1035">
        <v>11.9</v>
      </c>
      <c r="ED351" s="1104"/>
      <c r="EE351" s="1035">
        <v>11.8</v>
      </c>
      <c r="EF351" s="1035">
        <v>11.7</v>
      </c>
      <c r="EG351" s="1035">
        <v>11.5</v>
      </c>
      <c r="EH351" s="1035">
        <v>11.4</v>
      </c>
      <c r="EI351" s="1104"/>
      <c r="EJ351" s="1035">
        <v>11.2</v>
      </c>
      <c r="EK351" s="1035">
        <v>10.9</v>
      </c>
      <c r="EL351" s="1035">
        <v>10.5</v>
      </c>
      <c r="EM351" s="1035">
        <v>10.199999999999999</v>
      </c>
      <c r="EO351" s="1035">
        <v>9.9</v>
      </c>
      <c r="EP351" s="1341">
        <f>+EP352-EP350</f>
        <v>9.6209999999999987</v>
      </c>
      <c r="EQ351" s="1341">
        <f>+EQ352-EQ350</f>
        <v>9.2889999999999997</v>
      </c>
      <c r="ER351" s="1341">
        <f>+ER352-ER350</f>
        <v>8.9559999999999995</v>
      </c>
      <c r="ET351" s="1341">
        <f>+ET352-ET350</f>
        <v>8.6340000000000003</v>
      </c>
      <c r="EU351" s="1341">
        <f>+EU352-EU350</f>
        <v>8.2459999999999987</v>
      </c>
      <c r="EV351" s="1341">
        <f>+EV352-EV350</f>
        <v>7.8649999999999993</v>
      </c>
      <c r="EW351" s="1341">
        <f>+EW352-EW350</f>
        <v>7.7239999999999993</v>
      </c>
    </row>
    <row r="352" spans="1:153" x14ac:dyDescent="0.3">
      <c r="A352" t="s">
        <v>331</v>
      </c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6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1023"/>
      <c r="DQ352" s="1023"/>
      <c r="DR352" s="1023"/>
      <c r="DS352" s="1023"/>
      <c r="DT352" s="1024"/>
      <c r="DU352" s="1023"/>
      <c r="DV352" s="1023"/>
      <c r="DW352" s="1023"/>
      <c r="DX352" s="1023"/>
      <c r="DY352" s="1023"/>
      <c r="DZ352" s="1035">
        <v>15.1</v>
      </c>
      <c r="EA352" s="1035">
        <v>15.1</v>
      </c>
      <c r="EB352" s="1035">
        <v>15.2</v>
      </c>
      <c r="EC352" s="1035">
        <v>15.2</v>
      </c>
      <c r="ED352" s="1104"/>
      <c r="EE352" s="1035">
        <v>15.2</v>
      </c>
      <c r="EF352" s="1035">
        <v>15.3</v>
      </c>
      <c r="EG352" s="1035">
        <v>15.3</v>
      </c>
      <c r="EH352" s="1035">
        <v>15.3</v>
      </c>
      <c r="EI352" s="1104"/>
      <c r="EJ352" s="1035">
        <v>15.3</v>
      </c>
      <c r="EK352" s="1035">
        <v>15.3</v>
      </c>
      <c r="EL352" s="1035">
        <v>15.3</v>
      </c>
      <c r="EM352" s="1035">
        <v>15.4</v>
      </c>
      <c r="EO352" s="1035">
        <v>15.4</v>
      </c>
      <c r="EP352" s="1035">
        <v>15.4</v>
      </c>
      <c r="EQ352" s="1035">
        <v>15.4</v>
      </c>
      <c r="ER352" s="1035">
        <v>15.4</v>
      </c>
      <c r="ET352" s="1035">
        <v>15.4</v>
      </c>
      <c r="EU352" s="1035">
        <v>15.4</v>
      </c>
      <c r="EV352" s="1035">
        <v>15.4</v>
      </c>
      <c r="EW352" s="1035">
        <v>15.5</v>
      </c>
    </row>
    <row r="353" spans="1:164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6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1023"/>
      <c r="DQ353" s="1023"/>
      <c r="DR353" s="1023"/>
      <c r="DS353" s="1023"/>
      <c r="DT353" s="1024"/>
      <c r="DU353" s="1023"/>
      <c r="DV353" s="1023"/>
      <c r="DW353" s="1023"/>
      <c r="DX353" s="1023"/>
      <c r="DY353" s="1023"/>
      <c r="DZ353" s="17"/>
      <c r="EA353" s="17"/>
      <c r="EB353" s="17"/>
      <c r="EC353" s="17"/>
      <c r="ED353" s="1023"/>
      <c r="EE353" s="17"/>
      <c r="EF353" s="17"/>
      <c r="EG353" s="17"/>
      <c r="EH353" s="17"/>
      <c r="EI353" s="1023"/>
      <c r="EJ353" s="17"/>
      <c r="EK353" s="17"/>
      <c r="EL353" s="17"/>
      <c r="EM353" s="17"/>
      <c r="EO353" s="17"/>
      <c r="EP353" s="17"/>
      <c r="EQ353" s="17"/>
    </row>
    <row r="354" spans="1:164" x14ac:dyDescent="0.3">
      <c r="A354" t="s">
        <v>3496</v>
      </c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6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1023"/>
      <c r="DQ354" s="1023"/>
      <c r="DR354" s="1023"/>
      <c r="DS354" s="1023"/>
      <c r="DT354" s="1024"/>
      <c r="DU354" s="1023"/>
      <c r="DV354" s="1023"/>
      <c r="DW354" s="1023"/>
      <c r="DX354" s="1023"/>
      <c r="DY354" s="1023"/>
      <c r="DZ354" s="17"/>
      <c r="EA354" s="17"/>
      <c r="EB354" s="17"/>
      <c r="EC354" s="17"/>
      <c r="ED354" s="1023"/>
      <c r="EE354" s="17">
        <v>104</v>
      </c>
      <c r="EF354" s="17">
        <v>157</v>
      </c>
      <c r="EG354" s="17">
        <v>185</v>
      </c>
      <c r="EH354" s="17">
        <v>192</v>
      </c>
      <c r="EI354" s="1023"/>
      <c r="EJ354" s="17">
        <v>211</v>
      </c>
      <c r="EK354" s="17">
        <v>281</v>
      </c>
      <c r="EL354" s="17">
        <v>351</v>
      </c>
      <c r="EM354" s="17">
        <v>381</v>
      </c>
      <c r="EO354" s="17">
        <v>339</v>
      </c>
      <c r="EP354" s="17">
        <v>316</v>
      </c>
      <c r="EQ354" s="17">
        <v>332</v>
      </c>
      <c r="ER354" s="17">
        <v>333</v>
      </c>
      <c r="ET354" s="17">
        <v>322</v>
      </c>
      <c r="EU354" s="17">
        <v>388</v>
      </c>
      <c r="EV354" s="17">
        <v>381</v>
      </c>
      <c r="EW354" s="17">
        <v>241</v>
      </c>
    </row>
    <row r="355" spans="1:164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6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1023"/>
      <c r="DQ355" s="1023"/>
      <c r="DR355" s="1023"/>
      <c r="DS355" s="1023"/>
      <c r="DT355" s="1024"/>
      <c r="DU355" s="1023"/>
      <c r="DV355" s="1023"/>
      <c r="DW355" s="1023"/>
      <c r="DX355" s="1023"/>
      <c r="DY355" s="1023"/>
      <c r="DZ355" s="17"/>
      <c r="EA355" s="17"/>
      <c r="EB355" s="17"/>
      <c r="EC355" s="17"/>
      <c r="ED355" s="1023"/>
      <c r="EE355" s="17"/>
      <c r="EF355" s="17"/>
      <c r="EG355" s="17"/>
      <c r="EH355" s="17"/>
      <c r="EI355" s="1023"/>
      <c r="EJ355" s="17"/>
      <c r="EK355" s="17"/>
      <c r="EL355" s="17"/>
      <c r="EM355" s="17"/>
      <c r="EO355" s="17"/>
      <c r="EP355" s="17"/>
      <c r="EQ355" s="17"/>
    </row>
    <row r="356" spans="1:164" x14ac:dyDescent="0.3">
      <c r="A356" s="90" t="s">
        <v>3497</v>
      </c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6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1023"/>
      <c r="DQ356" s="1023"/>
      <c r="DR356" s="1023"/>
      <c r="DS356" s="1023"/>
      <c r="DT356" s="1024"/>
      <c r="DU356" s="1023"/>
      <c r="DV356" s="1023"/>
      <c r="DW356" s="1023"/>
      <c r="DX356" s="1023"/>
      <c r="DY356" s="1023"/>
      <c r="DZ356" s="17"/>
      <c r="EA356" s="17"/>
      <c r="EB356" s="17"/>
      <c r="EC356" s="17"/>
      <c r="ED356" s="1023"/>
      <c r="EE356" s="17"/>
      <c r="EF356" s="17"/>
      <c r="EG356" s="17"/>
      <c r="EH356" s="17"/>
      <c r="EI356" s="1023"/>
      <c r="EJ356" s="17"/>
      <c r="EK356" s="17"/>
      <c r="EL356" s="17"/>
      <c r="EM356" s="17"/>
      <c r="EO356" s="17"/>
      <c r="EP356" s="17"/>
      <c r="EQ356" s="17"/>
    </row>
    <row r="357" spans="1:164" x14ac:dyDescent="0.3">
      <c r="A357" t="s">
        <v>463</v>
      </c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6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1023"/>
      <c r="DQ357" s="1023"/>
      <c r="DR357" s="1023"/>
      <c r="DS357" s="1023"/>
      <c r="DT357" s="1024"/>
      <c r="DU357" s="1023"/>
      <c r="DV357" s="1023"/>
      <c r="DW357" s="1023"/>
      <c r="DX357" s="1023"/>
      <c r="DY357" s="1023"/>
      <c r="DZ357" s="17">
        <v>3374</v>
      </c>
      <c r="EA357" s="17">
        <v>3342</v>
      </c>
      <c r="EB357" s="17">
        <v>3306</v>
      </c>
      <c r="EC357" s="17">
        <v>3264</v>
      </c>
      <c r="ED357" s="1023"/>
      <c r="EE357" s="17">
        <v>3235</v>
      </c>
      <c r="EF357" s="17">
        <v>3196</v>
      </c>
      <c r="EG357" s="17">
        <v>3173</v>
      </c>
      <c r="EH357" s="1039">
        <f>+EH322</f>
        <v>3165</v>
      </c>
      <c r="EI357" s="1023"/>
      <c r="EJ357" s="1039">
        <f t="shared" ref="EJ357:EM358" si="414">+EJ322</f>
        <v>3169</v>
      </c>
      <c r="EK357" s="1039">
        <f t="shared" si="414"/>
        <v>3159</v>
      </c>
      <c r="EL357" s="1039">
        <f t="shared" si="414"/>
        <v>3142</v>
      </c>
      <c r="EM357" s="1039">
        <f t="shared" si="414"/>
        <v>3133</v>
      </c>
      <c r="EO357" s="1039">
        <f t="shared" ref="EO357:ER358" si="415">+EO322</f>
        <v>3140</v>
      </c>
      <c r="EP357" s="1039">
        <f t="shared" si="415"/>
        <v>3127</v>
      </c>
      <c r="EQ357" s="1039">
        <f t="shared" si="415"/>
        <v>3118</v>
      </c>
      <c r="ER357" s="1039">
        <f t="shared" si="415"/>
        <v>3129</v>
      </c>
      <c r="ET357" s="1039">
        <f t="shared" ref="ET357:EV358" si="416">+ET322</f>
        <v>3140</v>
      </c>
      <c r="EU357" s="1039">
        <f t="shared" si="416"/>
        <v>3154</v>
      </c>
      <c r="EV357" s="1039">
        <f t="shared" si="416"/>
        <v>3176</v>
      </c>
      <c r="EW357" s="1039">
        <f t="shared" ref="EW357" si="417">+EW322</f>
        <v>3193</v>
      </c>
    </row>
    <row r="358" spans="1:164" x14ac:dyDescent="0.3">
      <c r="A358" t="s">
        <v>3498</v>
      </c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6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1023"/>
      <c r="DQ358" s="1023"/>
      <c r="DR358" s="1023"/>
      <c r="DS358" s="1023"/>
      <c r="DT358" s="1024"/>
      <c r="DU358" s="1023"/>
      <c r="DV358" s="1023"/>
      <c r="DW358" s="1023"/>
      <c r="DX358" s="1023"/>
      <c r="DY358" s="1023"/>
      <c r="DZ358" s="17">
        <v>-39</v>
      </c>
      <c r="EA358" s="17">
        <v>-32</v>
      </c>
      <c r="EB358" s="17">
        <v>-36</v>
      </c>
      <c r="EC358" s="17">
        <v>-42</v>
      </c>
      <c r="ED358" s="1023"/>
      <c r="EE358" s="17">
        <v>-30</v>
      </c>
      <c r="EF358" s="17">
        <v>-38</v>
      </c>
      <c r="EG358" s="17">
        <v>-24</v>
      </c>
      <c r="EH358" s="1039">
        <f>+EH323</f>
        <v>-8</v>
      </c>
      <c r="EI358" s="1023"/>
      <c r="EJ358" s="1039">
        <f t="shared" si="414"/>
        <v>4</v>
      </c>
      <c r="EK358" s="1039">
        <f t="shared" si="414"/>
        <v>-10</v>
      </c>
      <c r="EL358" s="1039">
        <f t="shared" si="414"/>
        <v>-17</v>
      </c>
      <c r="EM358" s="1039">
        <f t="shared" si="414"/>
        <v>-9</v>
      </c>
      <c r="EO358" s="1039">
        <f t="shared" si="415"/>
        <v>7</v>
      </c>
      <c r="EP358" s="1039">
        <f t="shared" si="415"/>
        <v>-13</v>
      </c>
      <c r="EQ358" s="1039">
        <f t="shared" si="415"/>
        <v>-9</v>
      </c>
      <c r="ER358" s="1039">
        <f t="shared" si="415"/>
        <v>11</v>
      </c>
      <c r="ET358" s="1039">
        <f t="shared" si="416"/>
        <v>11</v>
      </c>
      <c r="EU358" s="1039">
        <f t="shared" si="416"/>
        <v>14</v>
      </c>
      <c r="EV358" s="1039">
        <f t="shared" si="416"/>
        <v>22</v>
      </c>
      <c r="EW358" s="1039">
        <f t="shared" ref="EW358" si="418">+EW323</f>
        <v>17</v>
      </c>
    </row>
    <row r="359" spans="1:164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6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1023"/>
      <c r="DQ359" s="1023"/>
      <c r="DR359" s="1023"/>
      <c r="DS359" s="1023"/>
      <c r="DT359" s="1024"/>
      <c r="DU359" s="1023"/>
      <c r="DV359" s="1023"/>
      <c r="DW359" s="1023"/>
      <c r="DX359" s="1023"/>
      <c r="DY359" s="1023"/>
      <c r="DZ359" s="17"/>
      <c r="EA359" s="17"/>
      <c r="EB359" s="17"/>
      <c r="EC359" s="17"/>
      <c r="ED359" s="1023"/>
      <c r="EE359" s="17"/>
      <c r="EF359" s="17"/>
      <c r="EG359" s="17"/>
      <c r="EH359" s="17"/>
      <c r="EI359" s="1023"/>
      <c r="EJ359" s="17"/>
      <c r="EK359" s="17"/>
      <c r="EL359" s="17"/>
      <c r="EM359" s="17"/>
      <c r="EO359" s="17"/>
      <c r="EP359" s="17"/>
      <c r="EQ359" s="17"/>
    </row>
    <row r="360" spans="1:164" x14ac:dyDescent="0.3">
      <c r="A360" s="4" t="s">
        <v>1883</v>
      </c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6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1023"/>
      <c r="DQ360" s="1023"/>
      <c r="DR360" s="1023"/>
      <c r="DS360" s="1023"/>
      <c r="DT360" s="1024"/>
      <c r="DU360" s="1023"/>
      <c r="DV360" s="1023"/>
      <c r="DW360" s="1023"/>
      <c r="DX360" s="1023"/>
      <c r="DY360" s="1023"/>
      <c r="DZ360" s="17"/>
      <c r="EA360" s="17"/>
      <c r="EB360" s="17"/>
      <c r="EC360" s="17"/>
      <c r="ED360" s="1023"/>
      <c r="EE360" s="1222">
        <f t="shared" ref="EE360:EF360" si="419">EE363/EA363-1</f>
        <v>1.225490196078427E-2</v>
      </c>
      <c r="EF360" s="1222">
        <f t="shared" si="419"/>
        <v>4.8780487804878092E-3</v>
      </c>
      <c r="EG360" s="1222">
        <f>EG363/EC363-1</f>
        <v>7.2815533980581382E-3</v>
      </c>
      <c r="EH360" s="1222"/>
      <c r="EI360" s="1023"/>
      <c r="EJ360" s="1222"/>
      <c r="EK360" s="1222"/>
      <c r="EL360" s="1222"/>
      <c r="EM360" s="1222"/>
      <c r="EO360" s="1222"/>
      <c r="EP360" s="1222"/>
      <c r="EQ360" s="1222"/>
    </row>
    <row r="361" spans="1:164" x14ac:dyDescent="0.3">
      <c r="A361" s="1" t="s">
        <v>1725</v>
      </c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6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1023"/>
      <c r="DQ361" s="1023"/>
      <c r="DR361" s="1023"/>
      <c r="DS361" s="1023"/>
      <c r="DT361" s="1024"/>
      <c r="DU361" s="1023"/>
      <c r="DV361" s="1023"/>
      <c r="DW361" s="1023"/>
      <c r="DX361" s="1023"/>
      <c r="DY361" s="1023"/>
      <c r="DZ361" s="1037">
        <v>0.40699999999999997</v>
      </c>
      <c r="EA361" s="1037">
        <v>0.40799999999999997</v>
      </c>
      <c r="EB361" s="1037">
        <v>0.41</v>
      </c>
      <c r="EC361" s="1037">
        <v>0.41199999999999998</v>
      </c>
      <c r="ED361" s="1038"/>
      <c r="EE361" s="1037">
        <v>0.41299999999999998</v>
      </c>
      <c r="EF361" s="1037">
        <v>0.41199999999999998</v>
      </c>
      <c r="EG361" s="1037">
        <v>0.41499999999999998</v>
      </c>
      <c r="EH361" s="1037">
        <v>0.41899999999999998</v>
      </c>
      <c r="EI361" s="1038"/>
      <c r="EJ361" s="1037">
        <v>0.42399999999999999</v>
      </c>
      <c r="EK361" s="1037">
        <v>0.42599999999999999</v>
      </c>
      <c r="EL361" s="1037">
        <v>0.42899999999999999</v>
      </c>
      <c r="EM361" s="1037">
        <v>0.432</v>
      </c>
      <c r="EN361" s="1223">
        <f t="shared" ref="EN361" si="420">(EB350-EB344)*1000</f>
        <v>99.999999999999645</v>
      </c>
      <c r="EO361" s="1037">
        <v>0.435</v>
      </c>
      <c r="EP361" s="1037">
        <v>0.434</v>
      </c>
      <c r="EQ361" s="1037">
        <v>0.439</v>
      </c>
      <c r="ER361" s="1037">
        <v>0.44500000000000001</v>
      </c>
      <c r="ES361" s="1223"/>
      <c r="ET361" s="1037">
        <v>0.44900000000000001</v>
      </c>
      <c r="EU361" s="1037">
        <v>0.45300000000000001</v>
      </c>
      <c r="EV361" s="1037">
        <v>0.45700000000000002</v>
      </c>
      <c r="EW361" s="1037">
        <v>0.46200000000000002</v>
      </c>
      <c r="EX361" s="1223"/>
      <c r="EY361" s="1223"/>
      <c r="EZ361" s="1223"/>
      <c r="FA361" s="1223"/>
      <c r="FB361" s="1223"/>
      <c r="FC361" s="1223"/>
      <c r="FD361" s="1223"/>
      <c r="FE361" s="1223"/>
      <c r="FF361" s="1223"/>
    </row>
    <row r="362" spans="1:164" x14ac:dyDescent="0.3">
      <c r="A362" t="s">
        <v>1727</v>
      </c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6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1023"/>
      <c r="DQ362" s="1023"/>
      <c r="DR362" s="1023"/>
      <c r="DS362" s="1023"/>
      <c r="DT362" s="1024"/>
      <c r="DU362" s="1023"/>
      <c r="DV362" s="1023"/>
      <c r="DW362" s="1023"/>
      <c r="DX362" s="1023"/>
      <c r="DY362" s="1023"/>
      <c r="DZ362" s="1037">
        <v>0.40600000000000003</v>
      </c>
      <c r="EA362" s="1037">
        <v>0.40699999999999997</v>
      </c>
      <c r="EB362" s="1037">
        <v>0.40799999999999997</v>
      </c>
      <c r="EC362" s="1037">
        <v>0.40300000000000002</v>
      </c>
      <c r="ED362" s="1038"/>
      <c r="EE362" s="1037">
        <v>0.39500000000000002</v>
      </c>
      <c r="EF362" s="1037">
        <v>0.38100000000000001</v>
      </c>
      <c r="EG362" s="1037">
        <v>0.37</v>
      </c>
      <c r="EH362" s="1037">
        <v>0.36399999999999999</v>
      </c>
      <c r="EI362" s="1038"/>
      <c r="EJ362" s="1037">
        <v>0.35799999999999998</v>
      </c>
      <c r="EK362" s="1037">
        <v>0.34799999999999998</v>
      </c>
      <c r="EL362" s="1037">
        <v>0.33600000000000002</v>
      </c>
      <c r="EM362" s="1037">
        <v>0.32600000000000001</v>
      </c>
      <c r="EO362" s="1037">
        <v>0.32200000000000001</v>
      </c>
      <c r="EP362" s="1037">
        <v>0.316</v>
      </c>
      <c r="EQ362" s="1037">
        <v>0.312</v>
      </c>
      <c r="ER362" s="1037">
        <v>0.309</v>
      </c>
      <c r="ET362" s="1037">
        <v>0.307</v>
      </c>
      <c r="EU362" s="1037">
        <v>0.30399999999999999</v>
      </c>
      <c r="EV362" s="1037">
        <v>0.30199999999999999</v>
      </c>
      <c r="EW362" s="1037">
        <v>0.30599999999999999</v>
      </c>
    </row>
    <row r="363" spans="1:164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6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1023"/>
      <c r="DQ363" s="1023"/>
      <c r="DR363" s="1023"/>
      <c r="DS363" s="1023"/>
      <c r="DT363" s="1024"/>
      <c r="DU363" s="1023"/>
      <c r="DV363" s="1023"/>
      <c r="DW363" s="1023"/>
      <c r="DX363" s="1023"/>
      <c r="DY363" s="1023"/>
      <c r="DZ363" s="17">
        <f t="shared" ref="DZ363:EC363" si="421">DZ361*DZ344*1000</f>
        <v>1302.4000000000001</v>
      </c>
      <c r="EA363" s="17">
        <f t="shared" si="421"/>
        <v>1305.6000000000001</v>
      </c>
      <c r="EB363" s="17">
        <f t="shared" si="421"/>
        <v>1312</v>
      </c>
      <c r="EC363" s="17">
        <f t="shared" si="421"/>
        <v>1318.4</v>
      </c>
      <c r="ED363" s="1023"/>
      <c r="EE363" s="17">
        <f t="shared" ref="EE363:EF363" si="422">EE361*EE344*1000</f>
        <v>1321.6000000000001</v>
      </c>
      <c r="EF363" s="17">
        <f t="shared" si="422"/>
        <v>1318.4</v>
      </c>
      <c r="EG363" s="17">
        <f>EG361*EG344*1000</f>
        <v>1328</v>
      </c>
      <c r="EH363" s="17">
        <f>EH361*EH344*1000</f>
        <v>1340.8</v>
      </c>
      <c r="EI363" s="1023"/>
      <c r="EJ363" s="17">
        <f>EJ361*EJ344*1000</f>
        <v>1356.8</v>
      </c>
      <c r="EK363" s="17">
        <f t="shared" ref="EK363:EL363" si="423">EK361*EK344*1000</f>
        <v>1363.2</v>
      </c>
      <c r="EL363" s="17">
        <f t="shared" si="423"/>
        <v>1372.8</v>
      </c>
      <c r="EM363" s="17">
        <f t="shared" ref="EM363" si="424">EM361*EM344*1000</f>
        <v>1382.4</v>
      </c>
      <c r="EN363" s="76">
        <f t="shared" ref="EN363" si="425">EB365+EB375</f>
        <v>1323</v>
      </c>
      <c r="EO363" s="1286">
        <f>EO361*EO344*1000</f>
        <v>1392.0000000000002</v>
      </c>
      <c r="EP363" s="1286">
        <f>EP361*EP344*1000</f>
        <v>1388.8</v>
      </c>
      <c r="EQ363" s="1286">
        <f>EQ361*EQ344*1000</f>
        <v>1404.8</v>
      </c>
      <c r="ER363" s="1286">
        <f>ER361*ER344*1000</f>
        <v>1424.0000000000002</v>
      </c>
      <c r="ES363" s="76"/>
      <c r="ET363" s="1286">
        <f>ET361*ET344*1000</f>
        <v>1436.8000000000002</v>
      </c>
      <c r="EU363" s="1286">
        <f>EU361*EU344*1000</f>
        <v>1449.6000000000001</v>
      </c>
      <c r="EV363" s="1286">
        <f>EV361*EV344*1000</f>
        <v>1462.4</v>
      </c>
      <c r="EW363" s="1286">
        <f>EW361*EW344*1000</f>
        <v>1478.4</v>
      </c>
      <c r="EX363" s="76"/>
      <c r="EY363" s="76"/>
      <c r="EZ363" s="76"/>
      <c r="FA363" s="76"/>
      <c r="FB363" s="76"/>
      <c r="FC363" s="76"/>
      <c r="FD363" s="76"/>
      <c r="FE363" s="76"/>
      <c r="FF363" s="76"/>
      <c r="FG363" s="76"/>
      <c r="FH363" s="76"/>
    </row>
    <row r="364" spans="1:164" x14ac:dyDescent="0.3">
      <c r="A364" s="90" t="s">
        <v>3499</v>
      </c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6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1023"/>
      <c r="DQ364" s="1023"/>
      <c r="DR364" s="1023"/>
      <c r="DS364" s="1023"/>
      <c r="DT364" s="1024"/>
      <c r="DU364" s="1023"/>
      <c r="DV364" s="1023"/>
      <c r="DW364" s="1023"/>
      <c r="DX364" s="1023"/>
      <c r="DY364" s="1023"/>
      <c r="DZ364" s="17"/>
      <c r="EA364" s="17">
        <f>EA363-DZ363</f>
        <v>3.2000000000000455</v>
      </c>
      <c r="EB364" s="17">
        <f t="shared" ref="EB364:EC364" si="426">EB363-EA363</f>
        <v>6.3999999999998636</v>
      </c>
      <c r="EC364" s="17">
        <f t="shared" si="426"/>
        <v>6.4000000000000909</v>
      </c>
      <c r="ED364" s="1023"/>
      <c r="EE364" s="17">
        <f>EE363-EC363</f>
        <v>3.2000000000000455</v>
      </c>
      <c r="EF364" s="17">
        <f t="shared" ref="EF364:EM364" si="427">EF363-EE363</f>
        <v>-3.2000000000000455</v>
      </c>
      <c r="EG364" s="17">
        <f t="shared" si="427"/>
        <v>9.5999999999999091</v>
      </c>
      <c r="EH364" s="17">
        <f t="shared" si="427"/>
        <v>12.799999999999955</v>
      </c>
      <c r="EI364" s="1023"/>
      <c r="EJ364" s="17">
        <f>+EJ363-EH363</f>
        <v>16</v>
      </c>
      <c r="EK364" s="17">
        <f t="shared" si="427"/>
        <v>6.4000000000000909</v>
      </c>
      <c r="EL364" s="17">
        <f t="shared" si="427"/>
        <v>9.5999999999999091</v>
      </c>
      <c r="EM364" s="17">
        <f t="shared" si="427"/>
        <v>9.6000000000001364</v>
      </c>
      <c r="EN364" s="76">
        <f t="shared" ref="EN364" si="428">EB363</f>
        <v>1312</v>
      </c>
      <c r="EO364" s="1286">
        <f>+EO363-EM363</f>
        <v>9.6000000000001364</v>
      </c>
      <c r="EP364" s="1286">
        <f>+EP363-EO363</f>
        <v>-3.2000000000002728</v>
      </c>
      <c r="EQ364" s="1286">
        <f>+EQ363-EP363</f>
        <v>16</v>
      </c>
      <c r="ER364" s="1286">
        <f>+ER363-EQ363</f>
        <v>19.200000000000273</v>
      </c>
      <c r="ES364" s="76"/>
      <c r="ET364" s="1286">
        <f>+ET363-ES363</f>
        <v>1436.8000000000002</v>
      </c>
      <c r="EU364" s="1286">
        <f>+EU363-ET363</f>
        <v>12.799999999999955</v>
      </c>
      <c r="EV364" s="1286">
        <f>+EV363-EU363</f>
        <v>12.799999999999955</v>
      </c>
      <c r="EW364" s="1286">
        <f>+EW363-EV363</f>
        <v>16</v>
      </c>
      <c r="EX364" s="76"/>
      <c r="EY364" s="76"/>
      <c r="EZ364" s="76"/>
      <c r="FA364" s="76"/>
      <c r="FB364" s="76"/>
      <c r="FC364" s="76"/>
      <c r="FD364" s="76"/>
      <c r="FE364" s="76"/>
    </row>
    <row r="365" spans="1:164" x14ac:dyDescent="0.3">
      <c r="A365" s="1" t="s">
        <v>3500</v>
      </c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  <c r="CA365" s="16"/>
      <c r="CB365" s="1031"/>
      <c r="CC365" s="16"/>
      <c r="CD365" s="16"/>
      <c r="CE365" s="16"/>
      <c r="CF365" s="16"/>
      <c r="CG365" s="16"/>
      <c r="CH365" s="16"/>
      <c r="CI365" s="16"/>
      <c r="CJ365" s="16"/>
      <c r="CK365" s="16"/>
      <c r="CL365" s="16"/>
      <c r="CM365" s="16"/>
      <c r="CN365" s="16"/>
      <c r="CO365" s="16"/>
      <c r="CP365" s="16"/>
      <c r="CQ365" s="16"/>
      <c r="CR365" s="16"/>
      <c r="CS365" s="16"/>
      <c r="CT365" s="16"/>
      <c r="CU365" s="16"/>
      <c r="CV365" s="16"/>
      <c r="CW365" s="16"/>
      <c r="CX365" s="16"/>
      <c r="CY365" s="16"/>
      <c r="CZ365" s="16"/>
      <c r="DA365" s="16"/>
      <c r="DB365" s="16"/>
      <c r="DC365" s="16"/>
      <c r="DD365" s="16"/>
      <c r="DE365" s="16"/>
      <c r="DF365" s="16"/>
      <c r="DG365" s="16"/>
      <c r="DH365" s="16"/>
      <c r="DI365" s="16"/>
      <c r="DJ365" s="16"/>
      <c r="DK365" s="16"/>
      <c r="DL365" s="16"/>
      <c r="DM365" s="16"/>
      <c r="DN365" s="16"/>
      <c r="DO365" s="16"/>
      <c r="DP365" s="1025"/>
      <c r="DQ365" s="1025"/>
      <c r="DR365" s="1025"/>
      <c r="DS365" s="1025"/>
      <c r="DT365" s="1029"/>
      <c r="DU365" s="17">
        <v>1211</v>
      </c>
      <c r="DV365" s="17">
        <v>1201</v>
      </c>
      <c r="DW365" s="17">
        <v>1201</v>
      </c>
      <c r="DX365" s="17">
        <v>1205</v>
      </c>
      <c r="DY365" s="1039"/>
      <c r="DZ365" s="17">
        <v>1215</v>
      </c>
      <c r="EA365" s="17">
        <v>1223</v>
      </c>
      <c r="EB365" s="17">
        <v>1229</v>
      </c>
      <c r="EC365" s="17">
        <v>1238</v>
      </c>
      <c r="ED365" s="1039"/>
      <c r="EE365" s="17">
        <v>1251</v>
      </c>
      <c r="EF365" s="17">
        <v>1263</v>
      </c>
      <c r="EG365" s="17">
        <v>1292</v>
      </c>
      <c r="EH365" s="17">
        <v>1336</v>
      </c>
      <c r="EI365" s="1039"/>
      <c r="EJ365" s="17">
        <v>1388</v>
      </c>
      <c r="EK365" s="17">
        <v>1438</v>
      </c>
      <c r="EL365" s="17">
        <v>1502</v>
      </c>
      <c r="EM365" s="17">
        <v>1575</v>
      </c>
      <c r="EN365" s="76">
        <f t="shared" ref="EN365" si="429">EN363-EN364</f>
        <v>11</v>
      </c>
      <c r="EO365" s="17">
        <v>1659</v>
      </c>
      <c r="EP365" s="17">
        <v>1722</v>
      </c>
      <c r="EQ365" s="17">
        <v>1797</v>
      </c>
      <c r="ER365" s="17">
        <v>1878</v>
      </c>
      <c r="ES365" s="76"/>
      <c r="ET365" s="17">
        <v>1963</v>
      </c>
      <c r="EU365" s="17">
        <v>2053</v>
      </c>
      <c r="EV365" s="17">
        <v>2157</v>
      </c>
      <c r="EW365" s="17">
        <v>2249</v>
      </c>
      <c r="FC365" s="76"/>
      <c r="FD365" s="76"/>
      <c r="FE365" s="76"/>
      <c r="FF365" s="76"/>
    </row>
    <row r="366" spans="1:164" x14ac:dyDescent="0.3">
      <c r="A366" s="1" t="s">
        <v>3501</v>
      </c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  <c r="CA366" s="16"/>
      <c r="CB366" s="1031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  <c r="DJ366" s="16"/>
      <c r="DK366" s="16"/>
      <c r="DL366" s="16"/>
      <c r="DM366" s="16"/>
      <c r="DN366" s="16"/>
      <c r="DO366" s="16"/>
      <c r="DP366" s="1025"/>
      <c r="DQ366" s="1025"/>
      <c r="DR366" s="1025"/>
      <c r="DS366" s="1025"/>
      <c r="DT366" s="1029"/>
      <c r="DU366" s="1040">
        <v>1565</v>
      </c>
      <c r="DV366" s="1040">
        <v>1523</v>
      </c>
      <c r="DW366" s="1040">
        <v>1475</v>
      </c>
      <c r="DX366" s="1040">
        <v>1442</v>
      </c>
      <c r="DY366" s="1025"/>
      <c r="DZ366" s="1040">
        <v>1419</v>
      </c>
      <c r="EA366" s="1040">
        <v>1401</v>
      </c>
      <c r="EB366" s="1040">
        <v>1381</v>
      </c>
      <c r="EC366" s="1040">
        <v>1349</v>
      </c>
      <c r="ED366" s="1025"/>
      <c r="EE366" s="1040">
        <v>1327</v>
      </c>
      <c r="EF366" s="1040">
        <v>1297</v>
      </c>
      <c r="EG366" s="1040">
        <v>1264</v>
      </c>
      <c r="EH366" s="1040">
        <v>1234</v>
      </c>
      <c r="EI366" s="1025"/>
      <c r="EJ366" s="1040">
        <v>1204</v>
      </c>
      <c r="EK366" s="1040">
        <v>1163</v>
      </c>
      <c r="EL366" s="1040">
        <v>1105</v>
      </c>
      <c r="EM366" s="1040">
        <v>1043</v>
      </c>
      <c r="EN366" s="76">
        <f t="shared" ref="EN366" si="430">EN365-EM365</f>
        <v>-1564</v>
      </c>
      <c r="EO366" s="1040">
        <v>987</v>
      </c>
      <c r="EP366" s="1040">
        <v>928</v>
      </c>
      <c r="EQ366" s="1040">
        <v>870</v>
      </c>
      <c r="ER366" s="1040">
        <v>822</v>
      </c>
      <c r="ES366" s="76"/>
      <c r="ET366" s="1040">
        <v>771</v>
      </c>
      <c r="EU366" s="1040">
        <v>721</v>
      </c>
      <c r="EV366" s="1040">
        <v>666</v>
      </c>
      <c r="EW366" s="1040">
        <v>612</v>
      </c>
      <c r="FC366" s="76"/>
      <c r="FD366" s="76"/>
      <c r="FE366" s="76"/>
      <c r="FF366" s="76"/>
    </row>
    <row r="367" spans="1:164" s="90" customFormat="1" x14ac:dyDescent="0.3">
      <c r="A367" s="4" t="s">
        <v>23</v>
      </c>
      <c r="DP367" s="538"/>
      <c r="DQ367" s="538"/>
      <c r="DR367" s="538"/>
      <c r="DS367" s="538"/>
      <c r="DT367" s="538"/>
      <c r="DU367" s="121">
        <f>SUM(DU365:DU366)</f>
        <v>2776</v>
      </c>
      <c r="DV367" s="121">
        <f>SUM(DV365:DV366)</f>
        <v>2724</v>
      </c>
      <c r="DW367" s="121">
        <f>SUM(DW365:DW366)</f>
        <v>2676</v>
      </c>
      <c r="DX367" s="121">
        <f>SUM(DX365:DX366)</f>
        <v>2647</v>
      </c>
      <c r="DY367" s="538"/>
      <c r="DZ367" s="121">
        <f>SUM(DZ365:DZ366)</f>
        <v>2634</v>
      </c>
      <c r="EA367" s="121">
        <f>SUM(EA365:EA366)</f>
        <v>2624</v>
      </c>
      <c r="EB367" s="121">
        <f>SUM(EB365:EB366)</f>
        <v>2610</v>
      </c>
      <c r="EC367" s="121">
        <f>SUM(EC365:EC366)</f>
        <v>2587</v>
      </c>
      <c r="ED367" s="121"/>
      <c r="EE367" s="121">
        <f>SUM(EE365:EE366)</f>
        <v>2578</v>
      </c>
      <c r="EF367" s="121">
        <f>SUM(EF365:EF366)</f>
        <v>2560</v>
      </c>
      <c r="EG367" s="121">
        <f>SUM(EG365:EG366)</f>
        <v>2556</v>
      </c>
      <c r="EH367" s="121">
        <f>SUM(EH365:EH366)</f>
        <v>2570</v>
      </c>
      <c r="EI367" s="121"/>
      <c r="EJ367" s="121">
        <f>SUM(EJ365:EJ366)</f>
        <v>2592</v>
      </c>
      <c r="EK367" s="121">
        <f>SUM(EK365:EK366)</f>
        <v>2601</v>
      </c>
      <c r="EL367" s="121">
        <f>SUM(EL365:EL366)</f>
        <v>2607</v>
      </c>
      <c r="EM367" s="121">
        <f>SUM(EM365:EM366)</f>
        <v>2618</v>
      </c>
      <c r="EO367" s="121">
        <f>SUM(EO365:EO366)</f>
        <v>2646</v>
      </c>
      <c r="EP367" s="121">
        <f>SUM(EP365:EP366)</f>
        <v>2650</v>
      </c>
      <c r="EQ367" s="121">
        <f>SUM(EQ365:EQ366)</f>
        <v>2667</v>
      </c>
      <c r="ER367" s="121">
        <f>SUM(ER365:ER366)</f>
        <v>2700</v>
      </c>
      <c r="ET367" s="121">
        <f>SUM(ET365:ET366)</f>
        <v>2734</v>
      </c>
      <c r="EU367" s="121">
        <f>SUM(EU365:EU366)</f>
        <v>2774</v>
      </c>
      <c r="EV367" s="121">
        <f>SUM(EV365:EV366)</f>
        <v>2823</v>
      </c>
      <c r="EW367" s="121">
        <f>SUM(EW365:EW366)</f>
        <v>2861</v>
      </c>
      <c r="FE367" s="1224"/>
      <c r="FF367" s="1224"/>
    </row>
    <row r="368" spans="1:164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6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1023"/>
      <c r="DQ368" s="1023"/>
      <c r="DR368" s="1023"/>
      <c r="DS368" s="1023"/>
      <c r="DT368" s="1024"/>
      <c r="DU368" s="1023"/>
      <c r="DV368" s="1023"/>
      <c r="DW368" s="1023"/>
      <c r="DX368" s="1023"/>
      <c r="DY368" s="1023"/>
      <c r="DZ368" s="1025"/>
      <c r="EA368" s="1025"/>
      <c r="EB368" s="1025"/>
      <c r="EC368" s="1025"/>
      <c r="ED368" s="121"/>
      <c r="EE368" s="1025"/>
      <c r="EF368" s="1025"/>
      <c r="EG368" s="1025"/>
      <c r="EH368" s="1025"/>
      <c r="EI368" s="121"/>
      <c r="EJ368" s="1025"/>
      <c r="EK368" s="1025"/>
      <c r="EL368" s="1025"/>
      <c r="EM368" s="1025"/>
      <c r="EN368" s="76">
        <f t="shared" ref="EN368" si="431">EB370+EB390</f>
        <v>7</v>
      </c>
      <c r="EO368" s="1025"/>
      <c r="EP368" s="1025"/>
      <c r="EQ368" s="1025"/>
      <c r="ER368" s="76"/>
      <c r="ES368" s="76"/>
      <c r="ET368" s="76"/>
      <c r="EU368" s="76"/>
      <c r="EV368" s="76"/>
      <c r="EW368" s="76"/>
      <c r="FC368" s="76"/>
      <c r="FD368" s="76"/>
      <c r="FE368" s="76"/>
    </row>
    <row r="369" spans="1:162" x14ac:dyDescent="0.3">
      <c r="A369" s="90" t="s">
        <v>3502</v>
      </c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6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1023"/>
      <c r="DQ369" s="1023"/>
      <c r="DR369" s="1023"/>
      <c r="DS369" s="1023"/>
      <c r="DT369" s="1024"/>
      <c r="DU369" s="1023"/>
      <c r="DV369" s="1023"/>
      <c r="DW369" s="1023"/>
      <c r="DX369" s="1023"/>
      <c r="DY369" s="1023"/>
      <c r="DZ369" s="1023"/>
      <c r="EA369" s="1023"/>
      <c r="EB369" s="1023"/>
      <c r="EC369" s="1023"/>
      <c r="ED369" s="1023"/>
      <c r="EE369" s="1023"/>
      <c r="EF369" s="1023"/>
      <c r="EG369" s="1023"/>
      <c r="EH369" s="1023"/>
      <c r="EI369" s="1023"/>
      <c r="EJ369" s="1023"/>
      <c r="EK369" s="1023"/>
      <c r="EL369" s="1023"/>
      <c r="EM369" s="1023"/>
      <c r="EN369" s="76">
        <f t="shared" ref="EN369" si="432">EB364</f>
        <v>6.3999999999998636</v>
      </c>
      <c r="EO369" s="1023"/>
      <c r="EP369" s="1023"/>
      <c r="EQ369" s="1023"/>
      <c r="ER369" s="76"/>
      <c r="ES369" s="76"/>
      <c r="ET369" s="76"/>
      <c r="EU369" s="76"/>
      <c r="EV369" s="76"/>
      <c r="EW369" s="76"/>
      <c r="EX369" s="76"/>
      <c r="EY369" s="76"/>
      <c r="EZ369" s="76"/>
      <c r="FA369" s="76"/>
      <c r="FB369" s="76"/>
      <c r="FC369" s="76"/>
      <c r="FD369" s="76"/>
      <c r="FE369" s="76"/>
      <c r="FF369" s="76"/>
    </row>
    <row r="370" spans="1:162" x14ac:dyDescent="0.3">
      <c r="A370" s="1" t="s">
        <v>3500</v>
      </c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BV370" s="16"/>
      <c r="BW370" s="16"/>
      <c r="BX370" s="16"/>
      <c r="BY370" s="16"/>
      <c r="BZ370" s="16"/>
      <c r="CA370" s="16"/>
      <c r="CB370" s="1031"/>
      <c r="CC370" s="16"/>
      <c r="CD370" s="16"/>
      <c r="CE370" s="16"/>
      <c r="CF370" s="16"/>
      <c r="CG370" s="16"/>
      <c r="CH370" s="16"/>
      <c r="CI370" s="16"/>
      <c r="CJ370" s="16"/>
      <c r="CK370" s="16"/>
      <c r="CL370" s="16"/>
      <c r="CM370" s="16"/>
      <c r="CN370" s="16"/>
      <c r="CO370" s="16"/>
      <c r="CP370" s="16"/>
      <c r="CQ370" s="16"/>
      <c r="CR370" s="16"/>
      <c r="CS370" s="16"/>
      <c r="CT370" s="16"/>
      <c r="CU370" s="16"/>
      <c r="CV370" s="16"/>
      <c r="CW370" s="16"/>
      <c r="CX370" s="16"/>
      <c r="CY370" s="16"/>
      <c r="CZ370" s="16"/>
      <c r="DA370" s="16"/>
      <c r="DB370" s="16"/>
      <c r="DC370" s="16"/>
      <c r="DD370" s="16"/>
      <c r="DE370" s="16"/>
      <c r="DF370" s="16"/>
      <c r="DG370" s="16"/>
      <c r="DH370" s="16"/>
      <c r="DI370" s="16"/>
      <c r="DJ370" s="16"/>
      <c r="DK370" s="16"/>
      <c r="DL370" s="16"/>
      <c r="DM370" s="16"/>
      <c r="DN370" s="16"/>
      <c r="DO370" s="16"/>
      <c r="DP370" s="1025"/>
      <c r="DQ370" s="1025"/>
      <c r="DR370" s="1025"/>
      <c r="DS370" s="1025"/>
      <c r="DT370" s="1029"/>
      <c r="DU370" s="17">
        <v>-7</v>
      </c>
      <c r="DV370" s="17">
        <v>-10</v>
      </c>
      <c r="DW370" s="17">
        <v>0</v>
      </c>
      <c r="DX370" s="17">
        <v>4</v>
      </c>
      <c r="DY370" s="1039"/>
      <c r="DZ370" s="17">
        <v>10</v>
      </c>
      <c r="EA370" s="17">
        <v>8</v>
      </c>
      <c r="EB370" s="17">
        <v>6</v>
      </c>
      <c r="EC370" s="17">
        <v>9</v>
      </c>
      <c r="ED370" s="1039"/>
      <c r="EE370" s="17">
        <v>13</v>
      </c>
      <c r="EF370" s="17">
        <v>12</v>
      </c>
      <c r="EG370" s="17">
        <v>29</v>
      </c>
      <c r="EH370" s="17">
        <v>44</v>
      </c>
      <c r="EI370" s="1039"/>
      <c r="EJ370" s="17">
        <v>52</v>
      </c>
      <c r="EK370" s="17">
        <v>50</v>
      </c>
      <c r="EL370" s="17">
        <v>64</v>
      </c>
      <c r="EM370" s="17">
        <v>73</v>
      </c>
      <c r="EN370" s="76">
        <f t="shared" ref="EN370" si="433">EN368-EN369</f>
        <v>0.60000000000013642</v>
      </c>
      <c r="EO370" s="17">
        <v>84</v>
      </c>
      <c r="EP370" s="17">
        <v>63</v>
      </c>
      <c r="EQ370" s="17">
        <v>75</v>
      </c>
      <c r="ER370" s="17">
        <v>81</v>
      </c>
      <c r="ES370" s="76"/>
      <c r="ET370" s="17">
        <v>85</v>
      </c>
      <c r="EU370" s="17">
        <v>90</v>
      </c>
      <c r="EV370" s="17">
        <v>104</v>
      </c>
      <c r="EW370" s="17">
        <v>92</v>
      </c>
      <c r="EX370" s="76"/>
      <c r="EY370" s="76"/>
      <c r="EZ370" s="76"/>
      <c r="FA370" s="76"/>
      <c r="FB370" s="76"/>
      <c r="FC370" s="76"/>
      <c r="FD370" s="76"/>
      <c r="FE370" s="76"/>
      <c r="FF370" s="76"/>
    </row>
    <row r="371" spans="1:162" x14ac:dyDescent="0.3">
      <c r="A371" s="1" t="s">
        <v>3501</v>
      </c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  <c r="BY371" s="16"/>
      <c r="BZ371" s="16"/>
      <c r="CA371" s="16"/>
      <c r="CB371" s="1031"/>
      <c r="CC371" s="16"/>
      <c r="CD371" s="16"/>
      <c r="CE371" s="16"/>
      <c r="CF371" s="16"/>
      <c r="CG371" s="16"/>
      <c r="CH371" s="16"/>
      <c r="CI371" s="16"/>
      <c r="CJ371" s="16"/>
      <c r="CK371" s="16"/>
      <c r="CL371" s="16"/>
      <c r="CM371" s="16"/>
      <c r="CN371" s="16"/>
      <c r="CO371" s="16"/>
      <c r="CP371" s="16"/>
      <c r="CQ371" s="16"/>
      <c r="CR371" s="16"/>
      <c r="CS371" s="16"/>
      <c r="CT371" s="16"/>
      <c r="CU371" s="16"/>
      <c r="CV371" s="16"/>
      <c r="CW371" s="16"/>
      <c r="CX371" s="16"/>
      <c r="CY371" s="16"/>
      <c r="CZ371" s="16"/>
      <c r="DA371" s="16"/>
      <c r="DB371" s="16"/>
      <c r="DC371" s="16"/>
      <c r="DD371" s="16"/>
      <c r="DE371" s="16"/>
      <c r="DF371" s="16"/>
      <c r="DG371" s="16"/>
      <c r="DH371" s="16"/>
      <c r="DI371" s="16"/>
      <c r="DJ371" s="16"/>
      <c r="DK371" s="16"/>
      <c r="DL371" s="16"/>
      <c r="DM371" s="16"/>
      <c r="DN371" s="16"/>
      <c r="DO371" s="16"/>
      <c r="DP371" s="1025"/>
      <c r="DQ371" s="1025"/>
      <c r="DR371" s="1025"/>
      <c r="DS371" s="1025"/>
      <c r="DT371" s="1029"/>
      <c r="DU371" s="1040">
        <v>-19</v>
      </c>
      <c r="DV371" s="1040">
        <v>-42</v>
      </c>
      <c r="DW371" s="1040">
        <v>-48</v>
      </c>
      <c r="DX371" s="1040">
        <v>-33</v>
      </c>
      <c r="DY371" s="1025"/>
      <c r="DZ371" s="1040">
        <v>-23</v>
      </c>
      <c r="EA371" s="1040">
        <v>-18</v>
      </c>
      <c r="EB371" s="1040">
        <v>-20</v>
      </c>
      <c r="EC371" s="1040">
        <v>-32</v>
      </c>
      <c r="ED371" s="1025"/>
      <c r="EE371" s="1040">
        <v>-22</v>
      </c>
      <c r="EF371" s="1040">
        <v>-30</v>
      </c>
      <c r="EG371" s="1040">
        <v>-33</v>
      </c>
      <c r="EH371" s="1040">
        <v>-30</v>
      </c>
      <c r="EI371" s="1025"/>
      <c r="EJ371" s="1040">
        <v>-30</v>
      </c>
      <c r="EK371" s="1040">
        <v>-41</v>
      </c>
      <c r="EL371" s="1040">
        <v>-58</v>
      </c>
      <c r="EM371" s="1040">
        <v>-62</v>
      </c>
      <c r="EN371" s="146">
        <f t="shared" ref="EN371" si="434">EN370/AVERAGE(EM361:EN361)</f>
        <v>1.1948382985505388E-2</v>
      </c>
      <c r="EO371" s="1040">
        <v>-56</v>
      </c>
      <c r="EP371" s="1040">
        <v>-59</v>
      </c>
      <c r="EQ371" s="1040">
        <v>-58</v>
      </c>
      <c r="ER371" s="1040">
        <v>-48</v>
      </c>
      <c r="ES371" s="146"/>
      <c r="ET371" s="1040">
        <v>-51</v>
      </c>
      <c r="EU371" s="1040">
        <v>-50</v>
      </c>
      <c r="EV371" s="1040">
        <v>-55</v>
      </c>
      <c r="EW371" s="1040">
        <v>-54</v>
      </c>
      <c r="FC371" s="146"/>
      <c r="FD371" s="146"/>
      <c r="FE371" s="146"/>
      <c r="FF371" s="146"/>
    </row>
    <row r="372" spans="1:162" s="90" customFormat="1" x14ac:dyDescent="0.3">
      <c r="A372" s="4" t="s">
        <v>3503</v>
      </c>
      <c r="DP372" s="538"/>
      <c r="DQ372" s="538"/>
      <c r="DR372" s="538"/>
      <c r="DS372" s="538"/>
      <c r="DT372" s="538"/>
      <c r="DU372" s="121">
        <f>SUM(DU370:DU371)</f>
        <v>-26</v>
      </c>
      <c r="DV372" s="121">
        <f>SUM(DV370:DV371)</f>
        <v>-52</v>
      </c>
      <c r="DW372" s="121">
        <f>SUM(DW370:DW371)</f>
        <v>-48</v>
      </c>
      <c r="DX372" s="121">
        <f>SUM(DX370:DX371)</f>
        <v>-29</v>
      </c>
      <c r="DY372" s="538"/>
      <c r="DZ372" s="121">
        <f>SUM(DZ370:DZ371)</f>
        <v>-13</v>
      </c>
      <c r="EA372" s="121">
        <f>SUM(EA370:EA371)</f>
        <v>-10</v>
      </c>
      <c r="EB372" s="121">
        <f>SUM(EB370:EB371)</f>
        <v>-14</v>
      </c>
      <c r="EC372" s="121">
        <f>SUM(EC370:EC371)</f>
        <v>-23</v>
      </c>
      <c r="ED372" s="121"/>
      <c r="EE372" s="121">
        <f>SUM(EE370:EE371)</f>
        <v>-9</v>
      </c>
      <c r="EF372" s="121">
        <f>SUM(EF370:EF371)</f>
        <v>-18</v>
      </c>
      <c r="EG372" s="121">
        <f>SUM(EG370:EG371)</f>
        <v>-4</v>
      </c>
      <c r="EH372" s="121">
        <f>SUM(EH370:EH371)</f>
        <v>14</v>
      </c>
      <c r="EI372" s="121"/>
      <c r="EJ372" s="121">
        <f>SUM(EJ370:EJ371)</f>
        <v>22</v>
      </c>
      <c r="EK372" s="121">
        <f>SUM(EK370:EK371)</f>
        <v>9</v>
      </c>
      <c r="EL372" s="121">
        <f>SUM(EL370:EL371)</f>
        <v>6</v>
      </c>
      <c r="EM372" s="121">
        <f>SUM(EM370:EM371)</f>
        <v>11</v>
      </c>
      <c r="EO372" s="121">
        <f>SUM(EO370:EO371)</f>
        <v>28</v>
      </c>
      <c r="EP372" s="121">
        <f>SUM(EP370:EP371)</f>
        <v>4</v>
      </c>
      <c r="EQ372" s="121">
        <f>SUM(EQ370:EQ371)</f>
        <v>17</v>
      </c>
      <c r="ER372" s="121">
        <f>SUM(ER370:ER371)</f>
        <v>33</v>
      </c>
      <c r="ET372" s="121">
        <f>SUM(ET370:ET371)</f>
        <v>34</v>
      </c>
      <c r="EU372" s="121">
        <f>SUM(EU370:EU371)</f>
        <v>40</v>
      </c>
      <c r="EV372" s="121">
        <f>SUM(EV370:EV371)</f>
        <v>49</v>
      </c>
      <c r="EW372" s="121">
        <f>SUM(EW370:EW371)</f>
        <v>38</v>
      </c>
    </row>
    <row r="373" spans="1:162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6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1023"/>
      <c r="DQ373" s="1023"/>
      <c r="DR373" s="1023"/>
      <c r="DS373" s="1023"/>
      <c r="DT373" s="1024"/>
      <c r="DU373" s="1023"/>
      <c r="DV373" s="1023"/>
      <c r="DW373" s="1023"/>
      <c r="DX373" s="1023"/>
      <c r="DY373" s="1023"/>
      <c r="DZ373" s="1025"/>
      <c r="EA373" s="1025"/>
      <c r="EB373" s="1025"/>
      <c r="EC373" s="1025"/>
      <c r="ED373" s="121"/>
      <c r="EE373" s="1025"/>
      <c r="EF373" s="1025"/>
      <c r="EG373" s="1025"/>
      <c r="EH373" s="1025"/>
      <c r="EI373" s="121"/>
      <c r="EJ373" s="1025"/>
      <c r="EK373" s="1025"/>
      <c r="EL373" s="1025"/>
      <c r="EM373" s="1025"/>
      <c r="EO373" s="1025"/>
      <c r="EP373" s="1025"/>
      <c r="EQ373" s="1025"/>
      <c r="FF373" s="146"/>
    </row>
    <row r="374" spans="1:162" outlineLevel="1" x14ac:dyDescent="0.3">
      <c r="A374" s="90" t="s">
        <v>3504</v>
      </c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6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1023"/>
      <c r="DQ374" s="1023"/>
      <c r="DR374" s="1023"/>
      <c r="DS374" s="1023"/>
      <c r="DT374" s="1024"/>
      <c r="DU374" s="1023"/>
      <c r="DV374" s="1023"/>
      <c r="DW374" s="1023"/>
      <c r="DX374" s="1023"/>
      <c r="DY374" s="1023"/>
      <c r="DZ374" s="17"/>
      <c r="EA374" s="17"/>
      <c r="EB374" s="17"/>
      <c r="EC374" s="17"/>
      <c r="ED374" s="1023"/>
      <c r="EE374" s="17"/>
      <c r="EF374" s="17"/>
      <c r="EG374" s="17"/>
      <c r="EH374" s="17"/>
      <c r="EI374" s="1023"/>
      <c r="EJ374" s="17"/>
      <c r="EK374" s="17"/>
      <c r="EL374" s="17"/>
      <c r="EM374" s="17"/>
      <c r="EO374" s="17"/>
      <c r="EP374" s="17"/>
      <c r="EQ374" s="17"/>
    </row>
    <row r="375" spans="1:162" outlineLevel="1" x14ac:dyDescent="0.3">
      <c r="A375" s="1" t="s">
        <v>3505</v>
      </c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6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1023"/>
      <c r="DQ375" s="1023"/>
      <c r="DR375" s="1023"/>
      <c r="DS375" s="1023"/>
      <c r="DT375" s="1024"/>
      <c r="DU375" s="17">
        <v>96</v>
      </c>
      <c r="DV375" s="17">
        <v>96</v>
      </c>
      <c r="DW375" s="17">
        <v>95</v>
      </c>
      <c r="DX375" s="17">
        <v>95</v>
      </c>
      <c r="DY375" s="1039"/>
      <c r="DZ375" s="17">
        <v>94</v>
      </c>
      <c r="EA375" s="17">
        <v>93</v>
      </c>
      <c r="EB375" s="17">
        <v>94</v>
      </c>
      <c r="EC375" s="17">
        <v>95</v>
      </c>
      <c r="ED375" s="1039"/>
      <c r="EE375" s="17">
        <v>95</v>
      </c>
      <c r="EF375" s="17">
        <v>95</v>
      </c>
      <c r="EG375" s="17">
        <v>95</v>
      </c>
      <c r="EH375" s="17">
        <v>96</v>
      </c>
      <c r="EI375" s="1039"/>
      <c r="EJ375" s="17">
        <v>98</v>
      </c>
      <c r="EK375" s="17">
        <v>102</v>
      </c>
      <c r="EL375" s="17">
        <v>104</v>
      </c>
      <c r="EM375" s="17">
        <v>107</v>
      </c>
      <c r="EO375" s="17">
        <v>110</v>
      </c>
      <c r="EP375" s="17">
        <v>113</v>
      </c>
      <c r="EQ375" s="17">
        <v>117</v>
      </c>
    </row>
    <row r="376" spans="1:162" outlineLevel="1" x14ac:dyDescent="0.3">
      <c r="A376" s="1" t="s">
        <v>3506</v>
      </c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6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1023"/>
      <c r="DQ376" s="1023"/>
      <c r="DR376" s="1023"/>
      <c r="DS376" s="1023"/>
      <c r="DT376" s="1024"/>
      <c r="DU376" s="1040">
        <v>196</v>
      </c>
      <c r="DV376" s="1040">
        <v>189</v>
      </c>
      <c r="DW376" s="1040">
        <v>183</v>
      </c>
      <c r="DX376" s="1040">
        <v>177</v>
      </c>
      <c r="DY376" s="1025"/>
      <c r="DZ376" s="1040">
        <v>170</v>
      </c>
      <c r="EA376" s="1040">
        <v>164</v>
      </c>
      <c r="EB376" s="1040">
        <v>157</v>
      </c>
      <c r="EC376" s="1040">
        <v>152</v>
      </c>
      <c r="ED376" s="1025"/>
      <c r="EE376" s="1040">
        <v>147</v>
      </c>
      <c r="EF376" s="1040">
        <v>143</v>
      </c>
      <c r="EG376" s="1040">
        <v>138</v>
      </c>
      <c r="EH376" s="1040">
        <v>133</v>
      </c>
      <c r="EI376" s="1025"/>
      <c r="EJ376" s="1040">
        <v>129</v>
      </c>
      <c r="EK376" s="1040">
        <v>124</v>
      </c>
      <c r="EL376" s="1040">
        <v>120</v>
      </c>
      <c r="EM376" s="1040">
        <v>114</v>
      </c>
      <c r="EO376" s="1040">
        <v>107</v>
      </c>
      <c r="EP376" s="1040">
        <v>102</v>
      </c>
      <c r="EQ376" s="1040">
        <v>97</v>
      </c>
    </row>
    <row r="377" spans="1:162" outlineLevel="1" x14ac:dyDescent="0.3">
      <c r="A377" s="4" t="s">
        <v>3507</v>
      </c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6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1023"/>
      <c r="DQ377" s="1023"/>
      <c r="DR377" s="1023"/>
      <c r="DS377" s="1023"/>
      <c r="DT377" s="1024"/>
      <c r="DU377" s="121">
        <f>SUM(DU375:DU376)</f>
        <v>292</v>
      </c>
      <c r="DV377" s="121">
        <f>SUM(DV375:DV376)</f>
        <v>285</v>
      </c>
      <c r="DW377" s="121">
        <f>SUM(DW375:DW376)</f>
        <v>278</v>
      </c>
      <c r="DX377" s="121">
        <f>SUM(DX375:DX376)</f>
        <v>272</v>
      </c>
      <c r="DY377" s="538"/>
      <c r="DZ377" s="121">
        <f>SUM(DZ375:DZ376)</f>
        <v>264</v>
      </c>
      <c r="EA377" s="121">
        <f>SUM(EA375:EA376)</f>
        <v>257</v>
      </c>
      <c r="EB377" s="121">
        <f>SUM(EB375:EB376)</f>
        <v>251</v>
      </c>
      <c r="EC377" s="121">
        <f>SUM(EC375:EC376)</f>
        <v>247</v>
      </c>
      <c r="ED377" s="121"/>
      <c r="EE377" s="121">
        <f>SUM(EE375:EE376)</f>
        <v>242</v>
      </c>
      <c r="EF377" s="121">
        <f>SUM(EF375:EF376)</f>
        <v>238</v>
      </c>
      <c r="EG377" s="121">
        <f>SUM(EG375:EG376)</f>
        <v>233</v>
      </c>
      <c r="EH377" s="121">
        <f>SUM(EH375:EH376)</f>
        <v>229</v>
      </c>
      <c r="EI377" s="121"/>
      <c r="EJ377" s="121">
        <f>SUM(EJ375:EJ376)</f>
        <v>227</v>
      </c>
      <c r="EK377" s="121">
        <f>SUM(EK375:EK376)</f>
        <v>226</v>
      </c>
      <c r="EL377" s="121">
        <f>SUM(EL375:EL376)</f>
        <v>224</v>
      </c>
      <c r="EM377" s="121">
        <f>SUM(EM375:EM376)</f>
        <v>221</v>
      </c>
      <c r="EO377" s="121">
        <f>SUM(EO375:EO376)</f>
        <v>217</v>
      </c>
      <c r="EP377" s="121">
        <f>SUM(EP375:EP376)</f>
        <v>215</v>
      </c>
      <c r="EQ377" s="121">
        <f>SUM(EQ375:EQ376)</f>
        <v>214</v>
      </c>
    </row>
    <row r="378" spans="1:162" outlineLevel="1" x14ac:dyDescent="0.3">
      <c r="A378" s="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6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1023"/>
      <c r="DQ378" s="1023"/>
      <c r="DR378" s="1023"/>
      <c r="DS378" s="1023"/>
      <c r="DT378" s="1024"/>
      <c r="DU378" s="121"/>
      <c r="DV378" s="121"/>
      <c r="DW378" s="121"/>
      <c r="DX378" s="121"/>
      <c r="DY378" s="538"/>
      <c r="DZ378" s="121"/>
      <c r="EA378" s="121"/>
      <c r="EB378" s="121"/>
      <c r="EC378" s="121"/>
      <c r="ED378" s="121"/>
      <c r="EE378" s="121"/>
      <c r="EF378" s="121"/>
      <c r="EG378" s="121"/>
      <c r="EH378" s="121"/>
      <c r="EI378" s="121"/>
      <c r="EJ378" s="121"/>
      <c r="EK378" s="121"/>
      <c r="EL378" s="121"/>
      <c r="EM378" s="121"/>
      <c r="EO378" s="121"/>
      <c r="EP378" s="121"/>
      <c r="EQ378" s="121"/>
    </row>
    <row r="379" spans="1:162" outlineLevel="1" x14ac:dyDescent="0.3">
      <c r="A379" s="90" t="s">
        <v>3508</v>
      </c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6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1023"/>
      <c r="DQ379" s="1023"/>
      <c r="DR379" s="1023"/>
      <c r="DS379" s="1023"/>
      <c r="DT379" s="1024"/>
      <c r="DU379" s="121"/>
      <c r="DV379" s="121"/>
      <c r="DW379" s="121"/>
      <c r="DX379" s="121"/>
      <c r="DY379" s="538"/>
      <c r="DZ379" s="121"/>
      <c r="EA379" s="121"/>
      <c r="EB379" s="121"/>
      <c r="EC379" s="121"/>
      <c r="ED379" s="121"/>
      <c r="EE379" s="121"/>
      <c r="EF379" s="121"/>
      <c r="EG379" s="121"/>
      <c r="EH379" s="121"/>
      <c r="EI379" s="121"/>
      <c r="EJ379" s="121"/>
      <c r="EK379" s="121"/>
      <c r="EL379" s="121"/>
      <c r="EM379" s="121"/>
      <c r="EO379" s="121"/>
      <c r="EP379" s="121"/>
      <c r="EQ379" s="121"/>
    </row>
    <row r="380" spans="1:162" outlineLevel="1" x14ac:dyDescent="0.3">
      <c r="A380" s="1" t="s">
        <v>3509</v>
      </c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6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1023"/>
      <c r="DQ380" s="1023"/>
      <c r="DR380" s="1023"/>
      <c r="DS380" s="1023"/>
      <c r="DT380" s="1024"/>
      <c r="DU380" s="1039">
        <f t="shared" ref="DU380:DW381" si="435">DV380*0.975</f>
        <v>3.266607214649047</v>
      </c>
      <c r="DV380" s="1039">
        <f t="shared" si="435"/>
        <v>3.3503663739990226</v>
      </c>
      <c r="DW380" s="1039">
        <f t="shared" si="435"/>
        <v>3.4362732041015618</v>
      </c>
      <c r="DX380" s="1039">
        <f>DZ380*0.975</f>
        <v>3.5243827734374995</v>
      </c>
      <c r="DY380" s="538"/>
      <c r="DZ380" s="1039">
        <f t="shared" ref="DZ380:EB381" si="436">EA380*0.975</f>
        <v>3.6147515624999995</v>
      </c>
      <c r="EA380" s="1039">
        <f t="shared" si="436"/>
        <v>3.7074374999999997</v>
      </c>
      <c r="EB380" s="1039">
        <f t="shared" si="436"/>
        <v>3.8024999999999998</v>
      </c>
      <c r="EC380" s="1039">
        <f>EE380*0.975</f>
        <v>3.9</v>
      </c>
      <c r="ED380" s="121"/>
      <c r="EE380" s="1039">
        <f>+EE385-EE375</f>
        <v>4</v>
      </c>
      <c r="EF380" s="1039">
        <f t="shared" ref="EF380:EH381" si="437">+EF385-EF375</f>
        <v>5</v>
      </c>
      <c r="EG380" s="1039">
        <f t="shared" si="437"/>
        <v>5</v>
      </c>
      <c r="EH380" s="1039">
        <f t="shared" si="437"/>
        <v>5</v>
      </c>
      <c r="EI380" s="121"/>
      <c r="EJ380" s="1039">
        <f>+EJ385-EJ375</f>
        <v>6</v>
      </c>
      <c r="EK380" s="1039">
        <f t="shared" ref="EK380:EM380" si="438">+EK385-EK375</f>
        <v>6</v>
      </c>
      <c r="EL380" s="1039">
        <f t="shared" si="438"/>
        <v>6</v>
      </c>
      <c r="EM380" s="1039">
        <f t="shared" si="438"/>
        <v>7</v>
      </c>
      <c r="EO380" s="1039">
        <f>+EO385-EO375</f>
        <v>8</v>
      </c>
      <c r="EP380" s="1039">
        <f t="shared" ref="EP380:EQ380" si="439">+EP385-EP375</f>
        <v>9</v>
      </c>
      <c r="EQ380" s="1039">
        <f t="shared" si="439"/>
        <v>9</v>
      </c>
    </row>
    <row r="381" spans="1:162" outlineLevel="1" x14ac:dyDescent="0.3">
      <c r="A381" s="1" t="s">
        <v>3510</v>
      </c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6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1023"/>
      <c r="DQ381" s="1023"/>
      <c r="DR381" s="1023"/>
      <c r="DS381" s="1023"/>
      <c r="DT381" s="1024"/>
      <c r="DU381" s="1469">
        <f t="shared" si="435"/>
        <v>18.782991484232024</v>
      </c>
      <c r="DV381" s="1469">
        <f t="shared" si="435"/>
        <v>19.264606650494382</v>
      </c>
      <c r="DW381" s="1469">
        <f t="shared" si="435"/>
        <v>19.758570923583981</v>
      </c>
      <c r="DX381" s="1469">
        <f>DZ381*0.975</f>
        <v>20.265200947265622</v>
      </c>
      <c r="DY381" s="538"/>
      <c r="DZ381" s="1469">
        <f t="shared" si="436"/>
        <v>20.784821484374998</v>
      </c>
      <c r="EA381" s="1469">
        <f t="shared" si="436"/>
        <v>21.317765625</v>
      </c>
      <c r="EB381" s="1469">
        <f t="shared" si="436"/>
        <v>21.864374999999999</v>
      </c>
      <c r="EC381" s="1469">
        <f>EE381*0.975</f>
        <v>22.425000000000001</v>
      </c>
      <c r="ED381" s="121"/>
      <c r="EE381" s="1469">
        <f>+EE386-EE376</f>
        <v>23</v>
      </c>
      <c r="EF381" s="1469">
        <f t="shared" si="437"/>
        <v>24</v>
      </c>
      <c r="EG381" s="1469">
        <f t="shared" si="437"/>
        <v>25</v>
      </c>
      <c r="EH381" s="1469">
        <f t="shared" si="437"/>
        <v>23</v>
      </c>
      <c r="EI381" s="121"/>
      <c r="EJ381" s="1469">
        <f>+EJ386-EJ376</f>
        <v>24</v>
      </c>
      <c r="EK381" s="1469">
        <f t="shared" ref="EK381:EM381" si="440">+EK386-EK376</f>
        <v>24</v>
      </c>
      <c r="EL381" s="1469">
        <f t="shared" si="440"/>
        <v>23</v>
      </c>
      <c r="EM381" s="1469">
        <f t="shared" si="440"/>
        <v>22</v>
      </c>
      <c r="EO381" s="1469">
        <f>+EO386-EO376</f>
        <v>23</v>
      </c>
      <c r="EP381" s="1469">
        <f t="shared" ref="EP381:EQ381" si="441">+EP386-EP376</f>
        <v>24</v>
      </c>
      <c r="EQ381" s="1469">
        <f t="shared" si="441"/>
        <v>23</v>
      </c>
    </row>
    <row r="382" spans="1:162" outlineLevel="1" x14ac:dyDescent="0.3">
      <c r="A382" s="4" t="s">
        <v>3511</v>
      </c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6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1023"/>
      <c r="DQ382" s="1023"/>
      <c r="DR382" s="1023"/>
      <c r="DS382" s="1023"/>
      <c r="DT382" s="1024"/>
      <c r="DU382" s="1216">
        <f>SUM(DU380:DU381)</f>
        <v>22.04959869888107</v>
      </c>
      <c r="DV382" s="1216">
        <f>SUM(DV380:DV381)</f>
        <v>22.614973024493406</v>
      </c>
      <c r="DW382" s="1216">
        <f>SUM(DW380:DW381)</f>
        <v>23.194844127685542</v>
      </c>
      <c r="DX382" s="1216">
        <f>SUM(DX380:DX381)</f>
        <v>23.789583720703121</v>
      </c>
      <c r="DY382" s="538"/>
      <c r="DZ382" s="1216">
        <f>SUM(DZ380:DZ381)</f>
        <v>24.399573046874998</v>
      </c>
      <c r="EA382" s="1216">
        <f>SUM(EA380:EA381)</f>
        <v>25.025203125000001</v>
      </c>
      <c r="EB382" s="1216">
        <f>SUM(EB380:EB381)</f>
        <v>25.666874999999997</v>
      </c>
      <c r="EC382" s="1216">
        <f>SUM(EC380:EC381)</f>
        <v>26.324999999999999</v>
      </c>
      <c r="ED382" s="121"/>
      <c r="EE382" s="1216">
        <f>SUM(EE380:EE381)</f>
        <v>27</v>
      </c>
      <c r="EF382" s="1216">
        <f>SUM(EF380:EF381)</f>
        <v>29</v>
      </c>
      <c r="EG382" s="1216">
        <f>SUM(EG380:EG381)</f>
        <v>30</v>
      </c>
      <c r="EH382" s="1216">
        <f>SUM(EH380:EH381)</f>
        <v>28</v>
      </c>
      <c r="EI382" s="121"/>
      <c r="EJ382" s="1216">
        <f>SUM(EJ380:EJ381)</f>
        <v>30</v>
      </c>
      <c r="EK382" s="1216">
        <f>SUM(EK380:EK381)</f>
        <v>30</v>
      </c>
      <c r="EL382" s="1216">
        <f>SUM(EL380:EL381)</f>
        <v>29</v>
      </c>
      <c r="EM382" s="1216">
        <f>SUM(EM380:EM381)</f>
        <v>29</v>
      </c>
      <c r="EO382" s="1216">
        <f>SUM(EO380:EO381)</f>
        <v>31</v>
      </c>
      <c r="EP382" s="1216">
        <f>SUM(EP380:EP381)</f>
        <v>33</v>
      </c>
      <c r="EQ382" s="1216">
        <f>SUM(EQ380:EQ381)</f>
        <v>32</v>
      </c>
    </row>
    <row r="383" spans="1:162" outlineLevel="1" x14ac:dyDescent="0.3">
      <c r="A383" s="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6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1023"/>
      <c r="DQ383" s="1023"/>
      <c r="DR383" s="1023"/>
      <c r="DS383" s="1023"/>
      <c r="DT383" s="1024"/>
      <c r="DU383" s="121"/>
      <c r="DV383" s="121"/>
      <c r="DW383" s="121"/>
      <c r="DX383" s="121"/>
      <c r="DY383" s="538"/>
      <c r="DZ383" s="121"/>
      <c r="EA383" s="121"/>
      <c r="EB383" s="121"/>
      <c r="EC383" s="121"/>
      <c r="ED383" s="121"/>
      <c r="EE383" s="121"/>
      <c r="EF383" s="121"/>
      <c r="EG383" s="121"/>
      <c r="EH383" s="121"/>
      <c r="EI383" s="121"/>
      <c r="EJ383" s="121"/>
      <c r="EK383" s="121"/>
      <c r="EL383" s="121"/>
      <c r="EM383" s="121"/>
      <c r="EO383" s="121"/>
      <c r="EP383" s="121"/>
      <c r="EQ383" s="121"/>
    </row>
    <row r="384" spans="1:162" x14ac:dyDescent="0.3">
      <c r="A384" s="90" t="s">
        <v>3512</v>
      </c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6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1023"/>
      <c r="DQ384" s="1023"/>
      <c r="DR384" s="1023"/>
      <c r="DS384" s="1023"/>
      <c r="DT384" s="1024"/>
      <c r="DU384" s="121"/>
      <c r="DV384" s="121"/>
      <c r="DW384" s="121"/>
      <c r="DX384" s="121"/>
      <c r="DY384" s="538"/>
      <c r="DZ384" s="121"/>
      <c r="EA384" s="121"/>
      <c r="EB384" s="121"/>
      <c r="EC384" s="121"/>
      <c r="ED384" s="121"/>
      <c r="EE384" s="121"/>
      <c r="EF384" s="121"/>
      <c r="EG384" s="121"/>
      <c r="EH384" s="121"/>
      <c r="EI384" s="121"/>
      <c r="EJ384" s="121"/>
      <c r="EK384" s="121"/>
      <c r="EL384" s="121"/>
      <c r="EM384" s="121"/>
      <c r="EO384" s="121"/>
      <c r="EP384" s="121"/>
      <c r="EQ384" s="121"/>
    </row>
    <row r="385" spans="1:153" x14ac:dyDescent="0.3">
      <c r="A385" s="1" t="s">
        <v>3513</v>
      </c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6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1023"/>
      <c r="DQ385" s="1023"/>
      <c r="DR385" s="1023"/>
      <c r="DS385" s="1023"/>
      <c r="DT385" s="1024"/>
      <c r="DU385" s="120">
        <f>DU375+DU380</f>
        <v>99.266607214649042</v>
      </c>
      <c r="DV385" s="120">
        <f t="shared" ref="DV385:DX385" si="442">DV375+DV380</f>
        <v>99.350366373999023</v>
      </c>
      <c r="DW385" s="120">
        <f t="shared" si="442"/>
        <v>98.436273204101568</v>
      </c>
      <c r="DX385" s="120">
        <f t="shared" si="442"/>
        <v>98.524382773437495</v>
      </c>
      <c r="DY385" s="538"/>
      <c r="DZ385" s="120">
        <f>DZ375+DZ380</f>
        <v>97.614751562500004</v>
      </c>
      <c r="EA385" s="120">
        <f t="shared" ref="EA385:EC386" si="443">EA375+EA380</f>
        <v>96.707437499999997</v>
      </c>
      <c r="EB385" s="120">
        <f t="shared" si="443"/>
        <v>97.802499999999995</v>
      </c>
      <c r="EC385" s="120">
        <f t="shared" si="443"/>
        <v>98.9</v>
      </c>
      <c r="ED385" s="121"/>
      <c r="EE385" s="17">
        <v>99</v>
      </c>
      <c r="EF385" s="17">
        <v>100</v>
      </c>
      <c r="EG385" s="17">
        <v>100</v>
      </c>
      <c r="EH385" s="17">
        <v>101</v>
      </c>
      <c r="EI385" s="121"/>
      <c r="EJ385" s="17">
        <v>104</v>
      </c>
      <c r="EK385" s="17">
        <v>108</v>
      </c>
      <c r="EL385" s="17">
        <v>110</v>
      </c>
      <c r="EM385" s="17">
        <v>114</v>
      </c>
      <c r="EO385" s="17">
        <v>118</v>
      </c>
      <c r="EP385" s="17">
        <v>122</v>
      </c>
      <c r="EQ385" s="17">
        <v>126</v>
      </c>
      <c r="ER385" s="17">
        <v>129</v>
      </c>
      <c r="ET385" s="17">
        <v>132</v>
      </c>
      <c r="EU385" s="17">
        <v>134</v>
      </c>
      <c r="EV385" s="17">
        <v>138</v>
      </c>
      <c r="EW385" s="17">
        <v>143</v>
      </c>
    </row>
    <row r="386" spans="1:153" x14ac:dyDescent="0.3">
      <c r="A386" s="1" t="s">
        <v>3514</v>
      </c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6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1023"/>
      <c r="DQ386" s="1023"/>
      <c r="DR386" s="1023"/>
      <c r="DS386" s="1023"/>
      <c r="DT386" s="1024"/>
      <c r="DU386" s="1471">
        <f>DU376+DU381</f>
        <v>214.78299148423201</v>
      </c>
      <c r="DV386" s="1471">
        <f t="shared" ref="DV386:DX386" si="444">DV376+DV381</f>
        <v>208.26460665049439</v>
      </c>
      <c r="DW386" s="1471">
        <f t="shared" si="444"/>
        <v>202.75857092358399</v>
      </c>
      <c r="DX386" s="1471">
        <f t="shared" si="444"/>
        <v>197.26520094726561</v>
      </c>
      <c r="DY386" s="538"/>
      <c r="DZ386" s="1471">
        <f>DZ376+DZ381</f>
        <v>190.78482148437499</v>
      </c>
      <c r="EA386" s="1471">
        <f t="shared" si="443"/>
        <v>185.31776562499999</v>
      </c>
      <c r="EB386" s="1471">
        <f t="shared" si="443"/>
        <v>178.864375</v>
      </c>
      <c r="EC386" s="1471">
        <f t="shared" si="443"/>
        <v>174.42500000000001</v>
      </c>
      <c r="ED386" s="121"/>
      <c r="EE386" s="1040">
        <v>170</v>
      </c>
      <c r="EF386" s="1040">
        <v>167</v>
      </c>
      <c r="EG386" s="1040">
        <v>163</v>
      </c>
      <c r="EH386" s="1040">
        <v>156</v>
      </c>
      <c r="EI386" s="121"/>
      <c r="EJ386" s="1040">
        <v>153</v>
      </c>
      <c r="EK386" s="1040">
        <v>148</v>
      </c>
      <c r="EL386" s="1040">
        <v>143</v>
      </c>
      <c r="EM386" s="1040">
        <v>136</v>
      </c>
      <c r="EO386" s="1040">
        <v>130</v>
      </c>
      <c r="EP386" s="1040">
        <v>126</v>
      </c>
      <c r="EQ386" s="1040">
        <v>120</v>
      </c>
      <c r="ER386" s="1040">
        <v>114</v>
      </c>
      <c r="ET386" s="1040">
        <v>108</v>
      </c>
      <c r="EU386" s="1040">
        <v>102</v>
      </c>
      <c r="EV386" s="1040">
        <v>96</v>
      </c>
      <c r="EW386" s="1040">
        <v>90</v>
      </c>
    </row>
    <row r="387" spans="1:153" x14ac:dyDescent="0.3">
      <c r="A387" s="4" t="s">
        <v>3515</v>
      </c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6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1023"/>
      <c r="DQ387" s="1023"/>
      <c r="DR387" s="1023"/>
      <c r="DS387" s="1023"/>
      <c r="DT387" s="1024"/>
      <c r="DU387" s="121">
        <f>SUM(DU385:DU386)</f>
        <v>314.04959869888103</v>
      </c>
      <c r="DV387" s="121">
        <f>SUM(DV385:DV386)</f>
        <v>307.61497302449339</v>
      </c>
      <c r="DW387" s="121">
        <f>SUM(DW385:DW386)</f>
        <v>301.19484412768554</v>
      </c>
      <c r="DX387" s="121">
        <f>SUM(DX385:DX386)</f>
        <v>295.78958372070309</v>
      </c>
      <c r="DY387" s="538"/>
      <c r="DZ387" s="121">
        <f>SUM(DZ385:DZ386)</f>
        <v>288.39957304687499</v>
      </c>
      <c r="EA387" s="121">
        <f>SUM(EA385:EA386)</f>
        <v>282.02520312499996</v>
      </c>
      <c r="EB387" s="121">
        <f>SUM(EB385:EB386)</f>
        <v>276.666875</v>
      </c>
      <c r="EC387" s="121">
        <f>SUM(EC385:EC386)</f>
        <v>273.32500000000005</v>
      </c>
      <c r="ED387" s="121"/>
      <c r="EE387" s="121">
        <f>SUM(EE385:EE386)</f>
        <v>269</v>
      </c>
      <c r="EF387" s="121">
        <f>SUM(EF385:EF386)</f>
        <v>267</v>
      </c>
      <c r="EG387" s="121">
        <f>SUM(EG385:EG386)</f>
        <v>263</v>
      </c>
      <c r="EH387" s="121">
        <f>SUM(EH385:EH386)</f>
        <v>257</v>
      </c>
      <c r="EI387" s="121"/>
      <c r="EJ387" s="121">
        <f>SUM(EJ385:EJ386)</f>
        <v>257</v>
      </c>
      <c r="EK387" s="121">
        <f>SUM(EK385:EK386)</f>
        <v>256</v>
      </c>
      <c r="EL387" s="121">
        <f>SUM(EL385:EL386)</f>
        <v>253</v>
      </c>
      <c r="EM387" s="121">
        <f>SUM(EM385:EM386)</f>
        <v>250</v>
      </c>
      <c r="EO387" s="121">
        <f t="shared" ref="EO387:EP387" si="445">SUM(EO385:EO386)</f>
        <v>248</v>
      </c>
      <c r="EP387" s="121">
        <f t="shared" si="445"/>
        <v>248</v>
      </c>
      <c r="EQ387" s="121">
        <f>SUM(EQ385:EQ386)</f>
        <v>246</v>
      </c>
      <c r="ER387" s="121">
        <f>SUM(ER385:ER386)</f>
        <v>243</v>
      </c>
      <c r="ET387" s="121">
        <f>SUM(ET385:ET386)</f>
        <v>240</v>
      </c>
      <c r="EU387" s="121">
        <f>SUM(EU385:EU386)</f>
        <v>236</v>
      </c>
      <c r="EV387" s="121">
        <f>SUM(EV385:EV386)</f>
        <v>234</v>
      </c>
      <c r="EW387" s="121">
        <f>SUM(EW385:EW386)</f>
        <v>233</v>
      </c>
    </row>
    <row r="388" spans="1:153" x14ac:dyDescent="0.3">
      <c r="A388" s="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6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1024"/>
      <c r="DQ388" s="1024"/>
      <c r="DR388" s="1024"/>
      <c r="DS388" s="1024"/>
      <c r="DT388" s="1024"/>
      <c r="DU388" s="1024"/>
      <c r="DV388" s="1024"/>
      <c r="DW388" s="1024"/>
      <c r="DX388" s="1024"/>
      <c r="DY388" s="1024"/>
      <c r="DZ388" s="1024"/>
      <c r="EA388" s="17"/>
      <c r="EB388" s="17"/>
      <c r="EC388" s="17"/>
      <c r="ED388" s="1024"/>
      <c r="EE388" s="17"/>
      <c r="EF388" s="17"/>
      <c r="EG388" s="17"/>
      <c r="EH388" s="17"/>
      <c r="EI388" s="1024"/>
      <c r="EJ388" s="17"/>
      <c r="EK388" s="17"/>
      <c r="EL388" s="17"/>
      <c r="EM388" s="17"/>
      <c r="EO388" s="17"/>
      <c r="EP388" s="17"/>
      <c r="EQ388" s="17"/>
    </row>
    <row r="389" spans="1:153" outlineLevel="1" x14ac:dyDescent="0.3">
      <c r="A389" s="90" t="s">
        <v>3516</v>
      </c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6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1023"/>
      <c r="DQ389" s="1023"/>
      <c r="DR389" s="1023"/>
      <c r="DS389" s="1023"/>
      <c r="DT389" s="1024"/>
      <c r="DU389" s="1023"/>
      <c r="DV389" s="1023"/>
      <c r="DW389" s="1023"/>
      <c r="DX389" s="1023"/>
      <c r="DY389" s="1023"/>
      <c r="DZ389" s="1023"/>
      <c r="EA389" s="1023"/>
      <c r="EB389" s="1023"/>
      <c r="EC389" s="1023"/>
      <c r="ED389" s="1023"/>
      <c r="EE389" s="1023"/>
      <c r="EF389" s="1023"/>
      <c r="EG389" s="1023"/>
      <c r="EH389" s="1023"/>
      <c r="EI389" s="1023"/>
      <c r="EJ389" s="1023"/>
      <c r="EK389" s="1023"/>
      <c r="EL389" s="1023"/>
      <c r="EM389" s="1023"/>
      <c r="EO389" s="1023"/>
      <c r="EP389" s="1023"/>
      <c r="EQ389" s="1023"/>
    </row>
    <row r="390" spans="1:153" outlineLevel="1" x14ac:dyDescent="0.3">
      <c r="A390" s="1" t="s">
        <v>3505</v>
      </c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6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1023"/>
      <c r="DQ390" s="1023"/>
      <c r="DR390" s="1023"/>
      <c r="DS390" s="1023"/>
      <c r="DT390" s="1024"/>
      <c r="DU390" s="17">
        <v>0</v>
      </c>
      <c r="DV390" s="17">
        <v>0</v>
      </c>
      <c r="DW390" s="17">
        <v>-1</v>
      </c>
      <c r="DX390" s="17">
        <v>0</v>
      </c>
      <c r="DY390" s="1039"/>
      <c r="DZ390" s="17">
        <v>-1</v>
      </c>
      <c r="EA390" s="17">
        <v>-1</v>
      </c>
      <c r="EB390" s="17">
        <v>1</v>
      </c>
      <c r="EC390" s="17">
        <v>1</v>
      </c>
      <c r="ED390" s="1039"/>
      <c r="EE390" s="17">
        <v>0</v>
      </c>
      <c r="EF390" s="17">
        <v>0</v>
      </c>
      <c r="EG390" s="17">
        <v>0</v>
      </c>
      <c r="EH390" s="17">
        <v>1</v>
      </c>
      <c r="EI390" s="1039"/>
      <c r="EJ390" s="17">
        <v>2</v>
      </c>
      <c r="EK390" s="17">
        <v>4</v>
      </c>
      <c r="EL390" s="17">
        <v>2</v>
      </c>
      <c r="EM390" s="17">
        <v>3</v>
      </c>
      <c r="EO390" s="17">
        <v>3</v>
      </c>
      <c r="EP390" s="17">
        <v>3</v>
      </c>
      <c r="EQ390" s="17">
        <v>4</v>
      </c>
    </row>
    <row r="391" spans="1:153" outlineLevel="1" x14ac:dyDescent="0.3">
      <c r="A391" s="1" t="s">
        <v>3506</v>
      </c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6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1023"/>
      <c r="DQ391" s="1023"/>
      <c r="DR391" s="1023"/>
      <c r="DS391" s="1023"/>
      <c r="DT391" s="1024"/>
      <c r="DU391" s="1040">
        <v>-7</v>
      </c>
      <c r="DV391" s="1040">
        <v>-7</v>
      </c>
      <c r="DW391" s="1040">
        <v>-6</v>
      </c>
      <c r="DX391" s="1040">
        <v>-6</v>
      </c>
      <c r="DY391" s="1025"/>
      <c r="DZ391" s="1040">
        <v>-7</v>
      </c>
      <c r="EA391" s="1040">
        <v>-6</v>
      </c>
      <c r="EB391" s="1040">
        <v>-7</v>
      </c>
      <c r="EC391" s="1040">
        <v>-5</v>
      </c>
      <c r="ED391" s="1025"/>
      <c r="EE391" s="1040">
        <v>-5</v>
      </c>
      <c r="EF391" s="1040">
        <v>-4</v>
      </c>
      <c r="EG391" s="1040">
        <v>-4</v>
      </c>
      <c r="EH391" s="1040">
        <v>-5</v>
      </c>
      <c r="EI391" s="1025"/>
      <c r="EJ391" s="1040">
        <v>-4</v>
      </c>
      <c r="EK391" s="1040">
        <v>-5</v>
      </c>
      <c r="EL391" s="1040">
        <v>-4</v>
      </c>
      <c r="EM391" s="1040">
        <v>-6</v>
      </c>
      <c r="EO391" s="1040">
        <v>-7</v>
      </c>
      <c r="EP391" s="1040">
        <v>-5</v>
      </c>
      <c r="EQ391" s="1040">
        <v>-5</v>
      </c>
    </row>
    <row r="392" spans="1:153" outlineLevel="1" x14ac:dyDescent="0.3">
      <c r="A392" s="4" t="s">
        <v>3517</v>
      </c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6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1023"/>
      <c r="DQ392" s="1023"/>
      <c r="DR392" s="1023"/>
      <c r="DS392" s="1023"/>
      <c r="DT392" s="1024"/>
      <c r="DU392" s="121">
        <f>SUM(DU390:DU391)</f>
        <v>-7</v>
      </c>
      <c r="DV392" s="121">
        <f>SUM(DV390:DV391)</f>
        <v>-7</v>
      </c>
      <c r="DW392" s="121">
        <f>SUM(DW390:DW391)</f>
        <v>-7</v>
      </c>
      <c r="DX392" s="121">
        <f>SUM(DX390:DX391)</f>
        <v>-6</v>
      </c>
      <c r="DY392" s="538"/>
      <c r="DZ392" s="121">
        <f>SUM(DZ390:DZ391)</f>
        <v>-8</v>
      </c>
      <c r="EA392" s="121">
        <f>SUM(EA390:EA391)</f>
        <v>-7</v>
      </c>
      <c r="EB392" s="121">
        <f>SUM(EB390:EB391)</f>
        <v>-6</v>
      </c>
      <c r="EC392" s="121">
        <f>SUM(EC390:EC391)</f>
        <v>-4</v>
      </c>
      <c r="ED392" s="121"/>
      <c r="EE392" s="121">
        <f>SUM(EE390:EE391)</f>
        <v>-5</v>
      </c>
      <c r="EF392" s="121">
        <f>SUM(EF390:EF391)</f>
        <v>-4</v>
      </c>
      <c r="EG392" s="121">
        <f>SUM(EG390:EG391)</f>
        <v>-4</v>
      </c>
      <c r="EH392" s="121">
        <f>SUM(EH390:EH391)</f>
        <v>-4</v>
      </c>
      <c r="EI392" s="121"/>
      <c r="EJ392" s="121">
        <f>SUM(EJ390:EJ391)</f>
        <v>-2</v>
      </c>
      <c r="EK392" s="121">
        <f>SUM(EK390:EK391)</f>
        <v>-1</v>
      </c>
      <c r="EL392" s="121">
        <f>SUM(EL390:EL391)</f>
        <v>-2</v>
      </c>
      <c r="EM392" s="121">
        <f>SUM(EM390:EM391)</f>
        <v>-3</v>
      </c>
      <c r="EO392" s="121">
        <f>SUM(EO390:EO391)</f>
        <v>-4</v>
      </c>
      <c r="EP392" s="121">
        <f>SUM(EP390:EP391)</f>
        <v>-2</v>
      </c>
      <c r="EQ392" s="121">
        <f>SUM(EQ390:EQ391)</f>
        <v>-1</v>
      </c>
    </row>
    <row r="393" spans="1:153" outlineLevel="1" x14ac:dyDescent="0.3">
      <c r="A393" s="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6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1023"/>
      <c r="DQ393" s="1023"/>
      <c r="DR393" s="1023"/>
      <c r="DS393" s="1023"/>
      <c r="DT393" s="1024"/>
      <c r="DU393" s="121"/>
      <c r="DV393" s="121"/>
      <c r="DW393" s="121"/>
      <c r="DX393" s="121"/>
      <c r="DY393" s="538"/>
      <c r="DZ393" s="121"/>
      <c r="EA393" s="121"/>
      <c r="EB393" s="121"/>
      <c r="EC393" s="121"/>
      <c r="ED393" s="121"/>
      <c r="EE393" s="121"/>
      <c r="EF393" s="121"/>
      <c r="EG393" s="121"/>
      <c r="EH393" s="121"/>
      <c r="EI393" s="121"/>
      <c r="EJ393" s="121"/>
      <c r="EK393" s="121"/>
      <c r="EL393" s="121"/>
      <c r="EM393" s="121"/>
      <c r="EO393" s="121"/>
      <c r="EP393" s="121"/>
      <c r="EQ393" s="121"/>
    </row>
    <row r="394" spans="1:153" outlineLevel="1" x14ac:dyDescent="0.3">
      <c r="A394" s="90" t="s">
        <v>3518</v>
      </c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6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1023"/>
      <c r="DQ394" s="1023"/>
      <c r="DR394" s="1023"/>
      <c r="DS394" s="1023"/>
      <c r="DT394" s="1024"/>
      <c r="DU394" s="121"/>
      <c r="DV394" s="121"/>
      <c r="DW394" s="121"/>
      <c r="DX394" s="121"/>
      <c r="DY394" s="538"/>
      <c r="DZ394" s="121"/>
      <c r="EA394" s="121"/>
      <c r="EB394" s="121"/>
      <c r="EC394" s="121"/>
      <c r="ED394" s="121"/>
      <c r="EE394" s="121"/>
      <c r="EF394" s="121"/>
      <c r="EG394" s="121"/>
      <c r="EH394" s="121"/>
      <c r="EI394" s="121"/>
      <c r="EJ394" s="121"/>
      <c r="EK394" s="121"/>
      <c r="EL394" s="121"/>
      <c r="EM394" s="121"/>
      <c r="EO394" s="121"/>
      <c r="EP394" s="121"/>
      <c r="EQ394" s="121"/>
    </row>
    <row r="395" spans="1:153" outlineLevel="1" x14ac:dyDescent="0.3">
      <c r="A395" s="1" t="s">
        <v>3509</v>
      </c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6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1023"/>
      <c r="DQ395" s="1023"/>
      <c r="DR395" s="1023"/>
      <c r="DS395" s="1023"/>
      <c r="DT395" s="1024"/>
      <c r="DU395" s="121"/>
      <c r="DV395" s="121"/>
      <c r="DW395" s="121"/>
      <c r="DX395" s="121"/>
      <c r="DY395" s="538"/>
      <c r="DZ395" s="121"/>
      <c r="EA395" s="121"/>
      <c r="EB395" s="121"/>
      <c r="EC395" s="121"/>
      <c r="ED395" s="121"/>
      <c r="EE395" s="121"/>
      <c r="EF395" s="121"/>
      <c r="EG395" s="121"/>
      <c r="EH395" s="121"/>
      <c r="EI395" s="121"/>
      <c r="EJ395" s="1039">
        <f>+EJ400-EJ390</f>
        <v>1</v>
      </c>
      <c r="EK395" s="1039">
        <f t="shared" ref="EK395:EM395" si="446">+EK400-EK390</f>
        <v>0</v>
      </c>
      <c r="EL395" s="1039">
        <f t="shared" si="446"/>
        <v>0</v>
      </c>
      <c r="EM395" s="1039">
        <f t="shared" si="446"/>
        <v>1</v>
      </c>
      <c r="EO395" s="1039">
        <f>+EO400-EO390</f>
        <v>1</v>
      </c>
      <c r="EP395" s="1039">
        <f t="shared" ref="EP395:EQ395" si="447">+EP400-EP390</f>
        <v>1</v>
      </c>
      <c r="EQ395" s="1039">
        <f t="shared" si="447"/>
        <v>0</v>
      </c>
    </row>
    <row r="396" spans="1:153" outlineLevel="1" x14ac:dyDescent="0.3">
      <c r="A396" s="1" t="s">
        <v>3510</v>
      </c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6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1023"/>
      <c r="DQ396" s="1023"/>
      <c r="DR396" s="1023"/>
      <c r="DS396" s="1023"/>
      <c r="DT396" s="1024"/>
      <c r="DU396" s="121"/>
      <c r="DV396" s="121"/>
      <c r="DW396" s="121"/>
      <c r="DX396" s="121"/>
      <c r="DY396" s="538"/>
      <c r="DZ396" s="121"/>
      <c r="EA396" s="121"/>
      <c r="EB396" s="121"/>
      <c r="EC396" s="121"/>
      <c r="ED396" s="121"/>
      <c r="EE396" s="121"/>
      <c r="EF396" s="121"/>
      <c r="EG396" s="121"/>
      <c r="EH396" s="121"/>
      <c r="EI396" s="121"/>
      <c r="EJ396" s="1469">
        <f>+EJ401-EJ391</f>
        <v>1</v>
      </c>
      <c r="EK396" s="1469">
        <f t="shared" ref="EK396:EM396" si="448">+EK401-EK391</f>
        <v>0</v>
      </c>
      <c r="EL396" s="1469">
        <f t="shared" si="448"/>
        <v>-1</v>
      </c>
      <c r="EM396" s="1469">
        <f t="shared" si="448"/>
        <v>-1</v>
      </c>
      <c r="EO396" s="1469">
        <f>+EO401-EO391</f>
        <v>1</v>
      </c>
      <c r="EP396" s="1469">
        <f t="shared" ref="EP396:EQ396" si="449">+EP401-EP391</f>
        <v>1</v>
      </c>
      <c r="EQ396" s="1469">
        <f t="shared" si="449"/>
        <v>-1</v>
      </c>
    </row>
    <row r="397" spans="1:153" outlineLevel="1" x14ac:dyDescent="0.3">
      <c r="A397" s="4" t="s">
        <v>3511</v>
      </c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6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1023"/>
      <c r="DQ397" s="1023"/>
      <c r="DR397" s="1023"/>
      <c r="DS397" s="1023"/>
      <c r="DT397" s="1024"/>
      <c r="DU397" s="121"/>
      <c r="DV397" s="121"/>
      <c r="DW397" s="121"/>
      <c r="DX397" s="121"/>
      <c r="DY397" s="538"/>
      <c r="DZ397" s="121"/>
      <c r="EA397" s="121"/>
      <c r="EB397" s="121"/>
      <c r="EC397" s="121"/>
      <c r="ED397" s="121"/>
      <c r="EE397" s="121"/>
      <c r="EF397" s="121"/>
      <c r="EG397" s="121"/>
      <c r="EH397" s="121"/>
      <c r="EI397" s="121"/>
      <c r="EJ397" s="1216">
        <f>SUM(EJ395:EJ396)</f>
        <v>2</v>
      </c>
      <c r="EK397" s="1216">
        <f>SUM(EK395:EK396)</f>
        <v>0</v>
      </c>
      <c r="EL397" s="1216">
        <f>SUM(EL395:EL396)</f>
        <v>-1</v>
      </c>
      <c r="EM397" s="1216">
        <f>SUM(EM395:EM396)</f>
        <v>0</v>
      </c>
      <c r="EO397" s="1216">
        <f>SUM(EO395:EO396)</f>
        <v>2</v>
      </c>
      <c r="EP397" s="1216">
        <f>SUM(EP395:EP396)</f>
        <v>2</v>
      </c>
      <c r="EQ397" s="1216">
        <f>SUM(EQ395:EQ396)</f>
        <v>-1</v>
      </c>
    </row>
    <row r="398" spans="1:153" outlineLevel="1" x14ac:dyDescent="0.3">
      <c r="A398" s="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6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1023"/>
      <c r="DQ398" s="1023"/>
      <c r="DR398" s="1023"/>
      <c r="DS398" s="1023"/>
      <c r="DT398" s="1024"/>
      <c r="DU398" s="121"/>
      <c r="DV398" s="121"/>
      <c r="DW398" s="121"/>
      <c r="DX398" s="121"/>
      <c r="DY398" s="538"/>
      <c r="DZ398" s="121"/>
      <c r="EA398" s="121"/>
      <c r="EB398" s="121"/>
      <c r="EC398" s="121"/>
      <c r="ED398" s="121"/>
      <c r="EE398" s="121"/>
      <c r="EF398" s="121"/>
      <c r="EG398" s="121"/>
      <c r="EH398" s="121"/>
      <c r="EI398" s="121"/>
      <c r="EJ398" s="121"/>
      <c r="EK398" s="121"/>
      <c r="EL398" s="121"/>
      <c r="EM398" s="121"/>
      <c r="EO398" s="121"/>
      <c r="EP398" s="121"/>
      <c r="EQ398" s="121"/>
    </row>
    <row r="399" spans="1:153" x14ac:dyDescent="0.3">
      <c r="A399" s="90" t="s">
        <v>3519</v>
      </c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6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1023"/>
      <c r="DQ399" s="1023"/>
      <c r="DR399" s="1023"/>
      <c r="DS399" s="1023"/>
      <c r="DT399" s="1024"/>
      <c r="DU399" s="121"/>
      <c r="DV399" s="121"/>
      <c r="DW399" s="121"/>
      <c r="DX399" s="121"/>
      <c r="DY399" s="538"/>
      <c r="DZ399" s="121"/>
      <c r="EA399" s="121"/>
      <c r="EB399" s="121"/>
      <c r="EC399" s="121"/>
      <c r="ED399" s="121"/>
      <c r="EE399" s="121"/>
      <c r="EF399" s="121"/>
      <c r="EG399" s="121"/>
      <c r="EH399" s="121"/>
      <c r="EI399" s="121"/>
      <c r="EJ399" s="121"/>
      <c r="EK399" s="121"/>
      <c r="EL399" s="121"/>
      <c r="EM399" s="121"/>
      <c r="EO399" s="121"/>
      <c r="EP399" s="121"/>
      <c r="EQ399" s="121"/>
    </row>
    <row r="400" spans="1:153" x14ac:dyDescent="0.3">
      <c r="A400" s="1" t="s">
        <v>3513</v>
      </c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6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1023"/>
      <c r="DQ400" s="1023"/>
      <c r="DR400" s="1023"/>
      <c r="DS400" s="1023"/>
      <c r="DT400" s="1024"/>
      <c r="DU400" s="121"/>
      <c r="DV400" s="121"/>
      <c r="DW400" s="121"/>
      <c r="DX400" s="121"/>
      <c r="DY400" s="538"/>
      <c r="DZ400" s="121"/>
      <c r="EA400" s="121"/>
      <c r="EB400" s="121"/>
      <c r="EC400" s="121"/>
      <c r="ED400" s="121"/>
      <c r="EE400" s="17">
        <v>0</v>
      </c>
      <c r="EF400" s="17">
        <v>1</v>
      </c>
      <c r="EG400" s="17">
        <v>0</v>
      </c>
      <c r="EH400" s="17">
        <v>1</v>
      </c>
      <c r="EI400" s="121"/>
      <c r="EJ400" s="17">
        <v>3</v>
      </c>
      <c r="EK400" s="17">
        <v>4</v>
      </c>
      <c r="EL400" s="17">
        <v>2</v>
      </c>
      <c r="EM400" s="17">
        <v>4</v>
      </c>
      <c r="EO400" s="17">
        <v>4</v>
      </c>
      <c r="EP400" s="17">
        <v>4</v>
      </c>
      <c r="EQ400" s="17">
        <v>4</v>
      </c>
      <c r="ER400" s="17">
        <v>3</v>
      </c>
      <c r="ET400" s="17">
        <v>3</v>
      </c>
      <c r="EU400" s="17">
        <v>2</v>
      </c>
      <c r="EV400" s="17">
        <v>4</v>
      </c>
      <c r="EW400" s="17">
        <v>5</v>
      </c>
    </row>
    <row r="401" spans="1:153" x14ac:dyDescent="0.3">
      <c r="A401" s="1" t="s">
        <v>3514</v>
      </c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6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1023"/>
      <c r="DQ401" s="1023"/>
      <c r="DR401" s="1023"/>
      <c r="DS401" s="1023"/>
      <c r="DT401" s="1024"/>
      <c r="DU401" s="121"/>
      <c r="DV401" s="121"/>
      <c r="DW401" s="121"/>
      <c r="DX401" s="121"/>
      <c r="DY401" s="538"/>
      <c r="DZ401" s="121"/>
      <c r="EA401" s="121"/>
      <c r="EB401" s="121"/>
      <c r="EC401" s="121"/>
      <c r="ED401" s="121"/>
      <c r="EE401" s="1040">
        <v>-6</v>
      </c>
      <c r="EF401" s="1040">
        <v>-3</v>
      </c>
      <c r="EG401" s="1040">
        <v>-4</v>
      </c>
      <c r="EH401" s="1040">
        <v>-7</v>
      </c>
      <c r="EI401" s="121"/>
      <c r="EJ401" s="1040">
        <v>-3</v>
      </c>
      <c r="EK401" s="1040">
        <v>-5</v>
      </c>
      <c r="EL401" s="1040">
        <v>-5</v>
      </c>
      <c r="EM401" s="1040">
        <v>-7</v>
      </c>
      <c r="EO401" s="1040">
        <v>-6</v>
      </c>
      <c r="EP401" s="1040">
        <v>-4</v>
      </c>
      <c r="EQ401" s="1040">
        <v>-6</v>
      </c>
      <c r="ER401" s="1040">
        <v>-6</v>
      </c>
      <c r="ET401" s="1040">
        <v>-6</v>
      </c>
      <c r="EU401" s="1040">
        <v>-6</v>
      </c>
      <c r="EV401" s="1040">
        <v>-6</v>
      </c>
      <c r="EW401" s="1040">
        <v>-6</v>
      </c>
    </row>
    <row r="402" spans="1:153" x14ac:dyDescent="0.3">
      <c r="A402" s="4" t="s">
        <v>3520</v>
      </c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6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17"/>
      <c r="DQ402" s="17"/>
      <c r="DR402" s="17"/>
      <c r="DS402" s="17"/>
      <c r="DT402" s="1023"/>
      <c r="DU402" s="17"/>
      <c r="DV402" s="17"/>
      <c r="DW402" s="17"/>
      <c r="DX402" s="17"/>
      <c r="DY402" s="1023"/>
      <c r="DZ402" s="17"/>
      <c r="EA402" s="17"/>
      <c r="EB402" s="17"/>
      <c r="EC402" s="17"/>
      <c r="ED402" s="1023"/>
      <c r="EE402" s="121">
        <f>SUM(EE400:EE401)</f>
        <v>-6</v>
      </c>
      <c r="EF402" s="121">
        <f>SUM(EF400:EF401)</f>
        <v>-2</v>
      </c>
      <c r="EG402" s="121">
        <f>SUM(EG400:EG401)</f>
        <v>-4</v>
      </c>
      <c r="EH402" s="121">
        <f>SUM(EH400:EH401)</f>
        <v>-6</v>
      </c>
      <c r="EI402" s="1023"/>
      <c r="EJ402" s="121">
        <f>SUM(EJ400:EJ401)</f>
        <v>0</v>
      </c>
      <c r="EK402" s="121">
        <f>SUM(EK400:EK401)</f>
        <v>-1</v>
      </c>
      <c r="EL402" s="121">
        <f>SUM(EL400:EL401)</f>
        <v>-3</v>
      </c>
      <c r="EM402" s="121">
        <f>SUM(EM400:EM401)</f>
        <v>-3</v>
      </c>
      <c r="EO402" s="121">
        <f t="shared" ref="EO402:EP402" si="450">SUM(EO400:EO401)</f>
        <v>-2</v>
      </c>
      <c r="EP402" s="121">
        <f t="shared" si="450"/>
        <v>0</v>
      </c>
      <c r="EQ402" s="121">
        <f>SUM(EQ400:EQ401)</f>
        <v>-2</v>
      </c>
      <c r="ER402" s="121">
        <f>SUM(ER400:ER401)</f>
        <v>-3</v>
      </c>
      <c r="ET402" s="121">
        <f>SUM(ET400:ET401)</f>
        <v>-3</v>
      </c>
      <c r="EU402" s="121">
        <f>SUM(EU400:EU401)</f>
        <v>-4</v>
      </c>
      <c r="EV402" s="121">
        <f>SUM(EV400:EV401)</f>
        <v>-2</v>
      </c>
      <c r="EW402" s="121">
        <f>SUM(EW400:EW401)</f>
        <v>-1</v>
      </c>
    </row>
    <row r="403" spans="1:153" x14ac:dyDescent="0.3">
      <c r="A403" s="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6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17"/>
      <c r="DQ403" s="17"/>
      <c r="DR403" s="17"/>
      <c r="DS403" s="17"/>
      <c r="DT403" s="1023"/>
      <c r="DU403" s="17"/>
      <c r="DV403" s="17"/>
      <c r="DW403" s="17"/>
      <c r="DX403" s="17"/>
      <c r="DY403" s="1023"/>
      <c r="DZ403" s="17"/>
      <c r="EA403" s="17"/>
      <c r="EB403" s="17"/>
      <c r="EC403" s="17"/>
      <c r="ED403" s="1023"/>
      <c r="EE403" s="17"/>
      <c r="EF403" s="18"/>
      <c r="EG403" s="18"/>
      <c r="EH403" s="18"/>
      <c r="EI403" s="1023"/>
      <c r="EJ403" s="18"/>
      <c r="EK403" s="18"/>
      <c r="EL403" s="18"/>
      <c r="EM403" s="18"/>
      <c r="EO403" s="18"/>
      <c r="EP403" s="18"/>
      <c r="EQ403" s="18"/>
    </row>
    <row r="404" spans="1:153" x14ac:dyDescent="0.3">
      <c r="A404" s="90" t="s">
        <v>3521</v>
      </c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6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1024"/>
      <c r="DQ404" s="1024"/>
      <c r="DR404" s="1024"/>
      <c r="DS404" s="1024"/>
      <c r="DT404" s="1024"/>
      <c r="DU404" s="1024"/>
      <c r="DV404" s="1024"/>
      <c r="DW404" s="1024"/>
      <c r="DX404" s="1024"/>
      <c r="DY404" s="1024"/>
      <c r="DZ404" s="1024"/>
      <c r="EA404" s="17"/>
      <c r="EB404" s="17"/>
      <c r="EC404" s="17"/>
      <c r="ED404" s="1024"/>
      <c r="EE404" s="17"/>
      <c r="EF404" s="17"/>
      <c r="EG404" s="17"/>
      <c r="EH404" s="17"/>
      <c r="EI404" s="1024"/>
      <c r="EJ404" s="17"/>
      <c r="EK404" s="17"/>
      <c r="EL404" s="17"/>
      <c r="EM404" s="17"/>
      <c r="EO404" s="17"/>
      <c r="EP404" s="17"/>
      <c r="EQ404" s="17"/>
    </row>
    <row r="405" spans="1:153" x14ac:dyDescent="0.3">
      <c r="A405" s="1" t="s">
        <v>3522</v>
      </c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6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1023"/>
      <c r="DQ405" s="1023"/>
      <c r="DR405" s="1023"/>
      <c r="DS405" s="1023"/>
      <c r="DT405" s="1024"/>
      <c r="DU405" s="17"/>
      <c r="DV405" s="17"/>
      <c r="DW405" s="17"/>
      <c r="DX405" s="17"/>
      <c r="DY405" s="1039"/>
      <c r="DZ405" s="17">
        <v>489</v>
      </c>
      <c r="EA405" s="17">
        <v>461</v>
      </c>
      <c r="EB405" s="17">
        <v>426</v>
      </c>
      <c r="EC405" s="17">
        <v>400</v>
      </c>
      <c r="ED405" s="1039"/>
      <c r="EE405" s="17">
        <v>373</v>
      </c>
      <c r="EF405" s="17">
        <v>349</v>
      </c>
      <c r="EG405" s="17">
        <v>329</v>
      </c>
      <c r="EH405" s="17">
        <v>315</v>
      </c>
      <c r="EI405" s="1039"/>
      <c r="EJ405" s="17">
        <v>302</v>
      </c>
      <c r="EK405" s="17">
        <v>283</v>
      </c>
      <c r="EL405" s="17">
        <v>270</v>
      </c>
      <c r="EM405" s="17">
        <v>259</v>
      </c>
      <c r="EO405" s="17">
        <v>244</v>
      </c>
      <c r="EP405" s="17">
        <v>230</v>
      </c>
      <c r="EQ405" s="17">
        <v>215</v>
      </c>
      <c r="ER405" s="17">
        <v>203</v>
      </c>
      <c r="ET405" s="17">
        <v>193</v>
      </c>
      <c r="EU405" s="17">
        <v>180</v>
      </c>
      <c r="EV405" s="17">
        <v>167</v>
      </c>
      <c r="EW405" s="17">
        <v>156</v>
      </c>
    </row>
    <row r="406" spans="1:153" x14ac:dyDescent="0.3">
      <c r="A406" s="1" t="s">
        <v>3523</v>
      </c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6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1023"/>
      <c r="DQ406" s="1023"/>
      <c r="DR406" s="1023"/>
      <c r="DS406" s="1023"/>
      <c r="DT406" s="1024"/>
      <c r="DU406" s="1040"/>
      <c r="DV406" s="1040"/>
      <c r="DW406" s="1040"/>
      <c r="DX406" s="1040"/>
      <c r="DY406" s="1025"/>
      <c r="DZ406" s="1040">
        <v>87</v>
      </c>
      <c r="EA406" s="1040">
        <v>82</v>
      </c>
      <c r="EB406" s="1040">
        <v>75</v>
      </c>
      <c r="EC406" s="1040">
        <v>69</v>
      </c>
      <c r="ED406" s="1025"/>
      <c r="EE406" s="1040">
        <v>64</v>
      </c>
      <c r="EF406" s="1040">
        <v>60</v>
      </c>
      <c r="EG406" s="1040">
        <v>57</v>
      </c>
      <c r="EH406" s="1040">
        <v>53</v>
      </c>
      <c r="EI406" s="1025"/>
      <c r="EJ406" s="1040">
        <v>49</v>
      </c>
      <c r="EK406" s="1040">
        <v>48</v>
      </c>
      <c r="EL406" s="1040">
        <v>40</v>
      </c>
      <c r="EM406" s="1040">
        <v>35</v>
      </c>
      <c r="EO406" s="1040">
        <v>32</v>
      </c>
      <c r="EP406" s="1040">
        <v>25</v>
      </c>
      <c r="EQ406" s="1040">
        <v>21</v>
      </c>
      <c r="ER406" s="1040">
        <v>19</v>
      </c>
      <c r="ET406" s="1040">
        <v>14</v>
      </c>
      <c r="EU406" s="1040">
        <v>13</v>
      </c>
      <c r="EV406" s="1040">
        <v>12</v>
      </c>
      <c r="EW406" s="1040">
        <v>11</v>
      </c>
    </row>
    <row r="407" spans="1:153" x14ac:dyDescent="0.3">
      <c r="A407" s="4" t="s">
        <v>3524</v>
      </c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6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1023"/>
      <c r="DQ407" s="1023"/>
      <c r="DR407" s="1023"/>
      <c r="DS407" s="1023"/>
      <c r="DT407" s="1024"/>
      <c r="DU407" s="121"/>
      <c r="DV407" s="121"/>
      <c r="DW407" s="121"/>
      <c r="DX407" s="121"/>
      <c r="DY407" s="538"/>
      <c r="DZ407" s="121">
        <f>SUM(DZ405:DZ406)</f>
        <v>576</v>
      </c>
      <c r="EA407" s="121">
        <f>SUM(EA405:EA406)</f>
        <v>543</v>
      </c>
      <c r="EB407" s="121">
        <f>SUM(EB405:EB406)</f>
        <v>501</v>
      </c>
      <c r="EC407" s="121">
        <f>SUM(EC405:EC406)</f>
        <v>469</v>
      </c>
      <c r="ED407" s="121"/>
      <c r="EE407" s="121">
        <f>SUM(EE405:EE406)</f>
        <v>437</v>
      </c>
      <c r="EF407" s="121">
        <f>SUM(EF405:EF406)</f>
        <v>409</v>
      </c>
      <c r="EG407" s="121">
        <f>SUM(EG405:EG406)</f>
        <v>386</v>
      </c>
      <c r="EH407" s="121">
        <f>SUM(EH405:EH406)</f>
        <v>368</v>
      </c>
      <c r="EI407" s="121"/>
      <c r="EJ407" s="121">
        <f>SUM(EJ405:EJ406)</f>
        <v>351</v>
      </c>
      <c r="EK407" s="121">
        <f>SUM(EK405:EK406)</f>
        <v>331</v>
      </c>
      <c r="EL407" s="121">
        <f>SUM(EL405:EL406)</f>
        <v>310</v>
      </c>
      <c r="EM407" s="121">
        <f>SUM(EM405:EM406)</f>
        <v>294</v>
      </c>
      <c r="EO407" s="121">
        <f>SUM(EO405:EO406)</f>
        <v>276</v>
      </c>
      <c r="EP407" s="121">
        <f>SUM(EP405:EP406)</f>
        <v>255</v>
      </c>
      <c r="EQ407" s="121">
        <f>SUM(EQ405:EQ406)</f>
        <v>236</v>
      </c>
      <c r="ER407" s="121">
        <f>SUM(ER405:ER406)</f>
        <v>222</v>
      </c>
      <c r="ET407" s="121">
        <f>SUM(ET405:ET406)</f>
        <v>207</v>
      </c>
      <c r="EU407" s="121">
        <f>SUM(EU405:EU406)</f>
        <v>193</v>
      </c>
      <c r="EV407" s="121">
        <f>SUM(EV405:EV406)</f>
        <v>179</v>
      </c>
      <c r="EW407" s="121">
        <f>SUM(EW405:EW406)</f>
        <v>167</v>
      </c>
    </row>
    <row r="408" spans="1:153" x14ac:dyDescent="0.3">
      <c r="A408" s="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6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1024"/>
      <c r="DQ408" s="1024"/>
      <c r="DR408" s="1024"/>
      <c r="DS408" s="1024"/>
      <c r="DT408" s="1024"/>
      <c r="DU408" s="1024"/>
      <c r="DV408" s="1024"/>
      <c r="DW408" s="1024"/>
      <c r="DX408" s="1024"/>
      <c r="DY408" s="1024"/>
      <c r="DZ408" s="1024"/>
      <c r="EA408" s="17"/>
      <c r="EB408" s="17"/>
      <c r="EC408" s="17"/>
      <c r="ED408" s="1024"/>
      <c r="EE408" s="17"/>
      <c r="EF408" s="17"/>
      <c r="EG408" s="17"/>
      <c r="EH408" s="17"/>
      <c r="EI408" s="1024"/>
      <c r="EJ408" s="17"/>
      <c r="EK408" s="17"/>
      <c r="EL408" s="17"/>
      <c r="EM408" s="17"/>
      <c r="EO408" s="17"/>
      <c r="EP408" s="17"/>
      <c r="EQ408" s="17"/>
    </row>
    <row r="409" spans="1:153" x14ac:dyDescent="0.3">
      <c r="A409" s="90" t="s">
        <v>3525</v>
      </c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6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1024"/>
      <c r="DQ409" s="1024"/>
      <c r="DR409" s="1024"/>
      <c r="DS409" s="1024"/>
      <c r="DT409" s="1024"/>
      <c r="DU409" s="1024"/>
      <c r="DV409" s="1024"/>
      <c r="DW409" s="1024"/>
      <c r="DX409" s="1024"/>
      <c r="DY409" s="1024"/>
      <c r="DZ409" s="1024"/>
      <c r="EA409" s="17"/>
      <c r="EB409" s="17"/>
      <c r="EC409" s="17"/>
      <c r="ED409" s="1024"/>
      <c r="EE409" s="17"/>
      <c r="EF409" s="17"/>
      <c r="EG409" s="17"/>
      <c r="EH409" s="17"/>
      <c r="EI409" s="1024"/>
      <c r="EJ409" s="17"/>
      <c r="EK409" s="17"/>
      <c r="EL409" s="17"/>
      <c r="EM409" s="17"/>
      <c r="EO409" s="17"/>
      <c r="EP409" s="17"/>
      <c r="EQ409" s="17"/>
    </row>
    <row r="410" spans="1:153" x14ac:dyDescent="0.3">
      <c r="A410" s="1" t="s">
        <v>3526</v>
      </c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6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1024"/>
      <c r="DQ410" s="1024"/>
      <c r="DR410" s="1024"/>
      <c r="DS410" s="1024"/>
      <c r="DT410" s="1024"/>
      <c r="DU410" s="1024"/>
      <c r="DV410" s="1024"/>
      <c r="DW410" s="1024"/>
      <c r="DX410" s="1024"/>
      <c r="DY410" s="1024"/>
      <c r="DZ410" s="17">
        <v>-30</v>
      </c>
      <c r="EA410" s="17">
        <v>-29</v>
      </c>
      <c r="EB410" s="17">
        <v>-34</v>
      </c>
      <c r="EC410" s="17">
        <v>-27</v>
      </c>
      <c r="ED410" s="1039"/>
      <c r="EE410" s="17">
        <v>-27</v>
      </c>
      <c r="EF410" s="17">
        <v>-24</v>
      </c>
      <c r="EG410" s="17">
        <v>-20</v>
      </c>
      <c r="EH410" s="17">
        <v>-14</v>
      </c>
      <c r="EI410" s="1039"/>
      <c r="EJ410" s="17">
        <v>-13</v>
      </c>
      <c r="EK410" s="17">
        <v>-19</v>
      </c>
      <c r="EL410" s="17">
        <v>-13</v>
      </c>
      <c r="EM410" s="17">
        <v>-11</v>
      </c>
      <c r="EO410" s="17">
        <v>-15</v>
      </c>
      <c r="EP410" s="17">
        <v>-14</v>
      </c>
      <c r="EQ410" s="17">
        <v>-15</v>
      </c>
      <c r="ER410" s="17">
        <v>-12</v>
      </c>
      <c r="ET410" s="17">
        <v>-10</v>
      </c>
      <c r="EU410" s="17">
        <v>-13</v>
      </c>
      <c r="EV410" s="17">
        <v>-13</v>
      </c>
      <c r="EW410" s="17">
        <v>-11</v>
      </c>
    </row>
    <row r="411" spans="1:153" x14ac:dyDescent="0.3">
      <c r="A411" s="1" t="s">
        <v>3527</v>
      </c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6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1024"/>
      <c r="DQ411" s="1024"/>
      <c r="DR411" s="1024"/>
      <c r="DS411" s="1024"/>
      <c r="DT411" s="1024"/>
      <c r="DU411" s="1024"/>
      <c r="DV411" s="1024"/>
      <c r="DW411" s="1024"/>
      <c r="DX411" s="1024"/>
      <c r="DY411" s="1024"/>
      <c r="DZ411" s="1040">
        <v>-6</v>
      </c>
      <c r="EA411" s="1040">
        <v>-5</v>
      </c>
      <c r="EB411" s="1040">
        <v>-7</v>
      </c>
      <c r="EC411" s="1040">
        <v>-6</v>
      </c>
      <c r="ED411" s="1025"/>
      <c r="EE411" s="1040">
        <v>-5</v>
      </c>
      <c r="EF411" s="1040">
        <v>-4</v>
      </c>
      <c r="EG411" s="1040">
        <v>-4</v>
      </c>
      <c r="EH411" s="1040">
        <v>-4</v>
      </c>
      <c r="EI411" s="1025"/>
      <c r="EJ411" s="1040">
        <v>-4</v>
      </c>
      <c r="EK411" s="1040">
        <v>-1</v>
      </c>
      <c r="EL411" s="1040">
        <v>-8</v>
      </c>
      <c r="EM411" s="1040">
        <v>-5</v>
      </c>
      <c r="EO411" s="1040">
        <v>-3</v>
      </c>
      <c r="EP411" s="1040">
        <v>-7</v>
      </c>
      <c r="EQ411" s="1040">
        <v>-4</v>
      </c>
      <c r="ER411" s="1040">
        <v>-2</v>
      </c>
      <c r="ET411" s="1040">
        <v>-5</v>
      </c>
      <c r="EU411" s="1040">
        <v>-1</v>
      </c>
      <c r="EV411" s="1040">
        <v>-1</v>
      </c>
      <c r="EW411" s="1040">
        <v>-1</v>
      </c>
    </row>
    <row r="412" spans="1:153" x14ac:dyDescent="0.3">
      <c r="A412" s="4" t="s">
        <v>3528</v>
      </c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6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1024"/>
      <c r="DQ412" s="1024"/>
      <c r="DR412" s="1024"/>
      <c r="DS412" s="1024"/>
      <c r="DT412" s="1024"/>
      <c r="DU412" s="1024"/>
      <c r="DV412" s="1024"/>
      <c r="DW412" s="1024"/>
      <c r="DX412" s="1024"/>
      <c r="DY412" s="1024"/>
      <c r="DZ412" s="121">
        <f>SUM(DZ410:DZ411)</f>
        <v>-36</v>
      </c>
      <c r="EA412" s="121">
        <f>SUM(EA410:EA411)</f>
        <v>-34</v>
      </c>
      <c r="EB412" s="121">
        <f>SUM(EB410:EB411)</f>
        <v>-41</v>
      </c>
      <c r="EC412" s="121">
        <f>SUM(EC410:EC411)</f>
        <v>-33</v>
      </c>
      <c r="ED412" s="121"/>
      <c r="EE412" s="121">
        <f>SUM(EE410:EE411)</f>
        <v>-32</v>
      </c>
      <c r="EF412" s="121">
        <f>SUM(EF410:EF411)</f>
        <v>-28</v>
      </c>
      <c r="EG412" s="121">
        <f>SUM(EG410:EG411)</f>
        <v>-24</v>
      </c>
      <c r="EH412" s="121">
        <f>SUM(EH410:EH411)</f>
        <v>-18</v>
      </c>
      <c r="EI412" s="121"/>
      <c r="EJ412" s="121">
        <f>SUM(EJ410:EJ411)</f>
        <v>-17</v>
      </c>
      <c r="EK412" s="121">
        <f>SUM(EK410:EK411)</f>
        <v>-20</v>
      </c>
      <c r="EL412" s="121">
        <f>SUM(EL410:EL411)</f>
        <v>-21</v>
      </c>
      <c r="EM412" s="121">
        <f>SUM(EM410:EM411)</f>
        <v>-16</v>
      </c>
      <c r="EO412" s="121">
        <f>SUM(EO410:EO411)</f>
        <v>-18</v>
      </c>
      <c r="EP412" s="121">
        <f>SUM(EP410:EP411)</f>
        <v>-21</v>
      </c>
      <c r="EQ412" s="121">
        <f>SUM(EQ410:EQ411)</f>
        <v>-19</v>
      </c>
      <c r="ER412" s="121">
        <f>SUM(ER410:ER411)</f>
        <v>-14</v>
      </c>
      <c r="ET412" s="121">
        <f>SUM(ET410:ET411)</f>
        <v>-15</v>
      </c>
      <c r="EU412" s="121">
        <f>SUM(EU410:EU411)</f>
        <v>-14</v>
      </c>
      <c r="EV412" s="121">
        <f>SUM(EV410:EV411)</f>
        <v>-14</v>
      </c>
      <c r="EW412" s="121">
        <f>SUM(EW410:EW411)</f>
        <v>-12</v>
      </c>
    </row>
    <row r="413" spans="1:153" x14ac:dyDescent="0.3">
      <c r="A413" s="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6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1024"/>
      <c r="DQ413" s="1024"/>
      <c r="DR413" s="1024"/>
      <c r="DS413" s="1024"/>
      <c r="DT413" s="1024"/>
      <c r="DU413" s="1024"/>
      <c r="DV413" s="1024"/>
      <c r="DW413" s="1024"/>
      <c r="DX413" s="1024"/>
      <c r="DY413" s="1024"/>
      <c r="DZ413" s="1024"/>
      <c r="EA413" s="17"/>
      <c r="EB413" s="17"/>
      <c r="EC413" s="17"/>
      <c r="ED413" s="1024"/>
      <c r="EE413" s="17"/>
      <c r="EF413" s="17"/>
      <c r="EG413" s="17"/>
      <c r="EH413" s="17"/>
      <c r="EI413" s="1024"/>
      <c r="EJ413" s="17"/>
      <c r="EK413" s="17"/>
      <c r="EL413" s="17"/>
      <c r="EM413" s="17"/>
      <c r="EO413" s="17"/>
      <c r="EP413" s="17"/>
      <c r="EQ413" s="17"/>
    </row>
    <row r="414" spans="1:153" x14ac:dyDescent="0.3">
      <c r="A414" s="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6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1024"/>
      <c r="DQ414" s="1024"/>
      <c r="DR414" s="1024"/>
      <c r="DS414" s="1024"/>
      <c r="DT414" s="1024"/>
      <c r="DU414" s="1024"/>
      <c r="DV414" s="1024"/>
      <c r="DW414" s="1024"/>
      <c r="DX414" s="1024"/>
      <c r="DY414" s="1024"/>
      <c r="DZ414" s="1024"/>
      <c r="EA414" s="17"/>
      <c r="EB414" s="17"/>
      <c r="EC414" s="17"/>
      <c r="ED414" s="1024"/>
      <c r="EE414" s="17"/>
      <c r="EF414" s="17"/>
      <c r="EG414" s="17"/>
      <c r="EH414" s="17"/>
      <c r="EI414" s="1024"/>
      <c r="EJ414" s="17"/>
      <c r="EK414" s="17"/>
      <c r="EL414" s="17"/>
      <c r="EM414" s="17"/>
      <c r="EO414" s="17"/>
      <c r="EP414" s="17"/>
      <c r="EQ414" s="17"/>
    </row>
    <row r="415" spans="1:153" x14ac:dyDescent="0.3">
      <c r="A415" s="90" t="s">
        <v>1891</v>
      </c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6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1024"/>
      <c r="DQ415" s="1028"/>
      <c r="DR415" s="1028"/>
      <c r="DS415" s="1028"/>
      <c r="DT415" s="1028"/>
      <c r="DU415" s="1028"/>
      <c r="DV415" s="1028"/>
      <c r="DW415" s="1028"/>
      <c r="DX415" s="1028"/>
      <c r="DY415" s="1029"/>
      <c r="DZ415" s="1028"/>
      <c r="EA415" s="1029"/>
      <c r="EB415" s="1029"/>
      <c r="EC415" s="1029"/>
      <c r="ED415" s="1029"/>
      <c r="EE415" s="1029"/>
      <c r="EF415" s="1029"/>
      <c r="EG415" s="1029"/>
      <c r="EH415" s="1029"/>
      <c r="EI415" s="1029"/>
      <c r="EJ415" s="1029"/>
      <c r="EK415" s="1029"/>
      <c r="EL415" s="1029"/>
      <c r="EM415" s="1029"/>
      <c r="EO415" s="1029"/>
      <c r="EP415" s="1029"/>
      <c r="EQ415" s="1029"/>
    </row>
    <row r="416" spans="1:153" x14ac:dyDescent="0.3">
      <c r="A416" s="1" t="s">
        <v>3500</v>
      </c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6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1024"/>
      <c r="DQ416" s="1029"/>
      <c r="DR416" s="1029"/>
      <c r="DS416" s="1029"/>
      <c r="DT416" s="1029"/>
      <c r="DU416" s="1043">
        <v>2.7300000000000001E-2</v>
      </c>
      <c r="DV416" s="1043">
        <v>2.76E-2</v>
      </c>
      <c r="DW416" s="1043">
        <v>2.64E-2</v>
      </c>
      <c r="DX416" s="1043">
        <v>2.2100000000000002E-2</v>
      </c>
      <c r="DY416" s="1041"/>
      <c r="DZ416" s="1043">
        <v>1.9400000000000001E-2</v>
      </c>
      <c r="EA416" s="1043">
        <v>1.52E-2</v>
      </c>
      <c r="EB416" s="1043">
        <v>1.7999999999999999E-2</v>
      </c>
      <c r="EC416" s="1043">
        <v>1.5599999999999999E-2</v>
      </c>
      <c r="ED416" s="1041"/>
      <c r="EE416" s="1043">
        <v>1.41E-2</v>
      </c>
      <c r="EF416" s="1043">
        <v>1.5299999999999999E-2</v>
      </c>
      <c r="EG416" s="1043">
        <v>1.5599999999999999E-2</v>
      </c>
      <c r="EH416" s="1043">
        <v>1.32E-2</v>
      </c>
      <c r="EI416" s="1041"/>
      <c r="EJ416" s="1043">
        <v>1.1900000000000001E-2</v>
      </c>
      <c r="EK416" s="1043">
        <v>1.43E-2</v>
      </c>
      <c r="EL416" s="1043">
        <v>1.6E-2</v>
      </c>
      <c r="EM416" s="1043">
        <v>1.32E-2</v>
      </c>
      <c r="EO416" s="1043">
        <v>1.2E-2</v>
      </c>
      <c r="EP416" s="1043">
        <v>1.41E-2</v>
      </c>
      <c r="EQ416" s="1043">
        <v>1.47E-2</v>
      </c>
      <c r="ER416" s="1043">
        <v>1.2E-2</v>
      </c>
      <c r="ET416" s="1043">
        <v>1.24E-2</v>
      </c>
      <c r="EU416" s="1043">
        <v>1.4E-2</v>
      </c>
      <c r="EV416" s="1043">
        <v>1.49E-2</v>
      </c>
      <c r="EW416" s="1043">
        <v>1.3100000000000001E-2</v>
      </c>
    </row>
    <row r="417" spans="1:153" x14ac:dyDescent="0.3">
      <c r="A417" s="1" t="s">
        <v>3501</v>
      </c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6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1025"/>
      <c r="DQ417" s="1025"/>
      <c r="DR417" s="1025"/>
      <c r="DS417" s="1025"/>
      <c r="DT417" s="1023"/>
      <c r="DU417" s="1046">
        <v>2.3800000000000002E-2</v>
      </c>
      <c r="DV417" s="1046">
        <v>2.63E-2</v>
      </c>
      <c r="DW417" s="1046">
        <v>2.9000000000000001E-2</v>
      </c>
      <c r="DX417" s="1046">
        <v>2.53E-2</v>
      </c>
      <c r="DY417" s="1042"/>
      <c r="DZ417" s="1046">
        <v>2.3599999999999999E-2</v>
      </c>
      <c r="EA417" s="1046">
        <v>2.0299999999999999E-2</v>
      </c>
      <c r="EB417" s="1046">
        <v>2.1100000000000001E-2</v>
      </c>
      <c r="EC417" s="1046">
        <v>1.9599999999999999E-2</v>
      </c>
      <c r="ED417" s="1042"/>
      <c r="EE417" s="1046">
        <v>1.6199999999999999E-2</v>
      </c>
      <c r="EF417" s="1046">
        <v>1.67E-2</v>
      </c>
      <c r="EG417" s="1046">
        <v>1.89E-2</v>
      </c>
      <c r="EH417" s="1046">
        <v>1.6899999999999998E-2</v>
      </c>
      <c r="EI417" s="1042"/>
      <c r="EJ417" s="1046">
        <v>1.5299999999999999E-2</v>
      </c>
      <c r="EK417" s="1046">
        <v>1.7299999999999999E-2</v>
      </c>
      <c r="EL417" s="1046">
        <v>2.0199999999999999E-2</v>
      </c>
      <c r="EM417" s="1046">
        <v>1.8800000000000001E-2</v>
      </c>
      <c r="EO417" s="1046">
        <v>1.7100000000000001E-2</v>
      </c>
      <c r="EP417" s="1046">
        <v>1.84E-2</v>
      </c>
      <c r="EQ417" s="1046">
        <v>2.18E-2</v>
      </c>
      <c r="ER417" s="1046">
        <v>1.8599999999999998E-2</v>
      </c>
      <c r="ET417" s="1046">
        <v>1.9300000000000001E-2</v>
      </c>
      <c r="EU417" s="1046">
        <v>2.0199999999999999E-2</v>
      </c>
      <c r="EV417" s="1046">
        <v>2.3699999999999999E-2</v>
      </c>
      <c r="EW417" s="1046">
        <v>2.5399999999999999E-2</v>
      </c>
    </row>
    <row r="418" spans="1:153" x14ac:dyDescent="0.3">
      <c r="A418" s="4" t="s">
        <v>3529</v>
      </c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6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838"/>
      <c r="DN418" s="5"/>
      <c r="DO418" s="5"/>
      <c r="DP418" s="1024"/>
      <c r="DQ418" s="1029"/>
      <c r="DR418" s="1029"/>
      <c r="DS418" s="1029"/>
      <c r="DT418" s="1029"/>
      <c r="DU418" s="1047">
        <v>2.53E-2</v>
      </c>
      <c r="DV418" s="1047">
        <v>2.69E-2</v>
      </c>
      <c r="DW418" s="1047">
        <v>2.7900000000000001E-2</v>
      </c>
      <c r="DX418" s="1047">
        <v>2.3800000000000002E-2</v>
      </c>
      <c r="DY418" s="1042"/>
      <c r="DZ418" s="1047">
        <v>2.1700000000000001E-2</v>
      </c>
      <c r="EA418" s="1047">
        <v>1.7899999999999999E-2</v>
      </c>
      <c r="EB418" s="1047">
        <v>1.9699999999999999E-2</v>
      </c>
      <c r="EC418" s="1047">
        <v>1.77E-2</v>
      </c>
      <c r="ED418" s="1042"/>
      <c r="EE418" s="1047">
        <v>1.52E-2</v>
      </c>
      <c r="EF418" s="1047">
        <v>1.6E-2</v>
      </c>
      <c r="EG418" s="1047">
        <v>1.7299999999999999E-2</v>
      </c>
      <c r="EH418" s="1047">
        <v>1.4999999999999999E-2</v>
      </c>
      <c r="EI418" s="1042"/>
      <c r="EJ418" s="1047">
        <v>1.35E-2</v>
      </c>
      <c r="EK418" s="1047">
        <v>1.5699999999999999E-2</v>
      </c>
      <c r="EL418" s="1047">
        <v>1.7899999999999999E-2</v>
      </c>
      <c r="EM418" s="1047">
        <v>1.55E-2</v>
      </c>
      <c r="EO418" s="1290">
        <v>1.4E-2</v>
      </c>
      <c r="EP418" s="1290">
        <v>1.5699999999999999E-2</v>
      </c>
      <c r="EQ418" s="1290">
        <v>1.72E-2</v>
      </c>
      <c r="ER418" s="1290">
        <v>1.41E-2</v>
      </c>
      <c r="ET418" s="1290">
        <v>1.4500000000000001E-2</v>
      </c>
      <c r="EU418" s="1290">
        <v>1.5699999999999999E-2</v>
      </c>
      <c r="EV418" s="1290">
        <v>1.7100000000000001E-2</v>
      </c>
      <c r="EW418" s="1290">
        <v>1.5900000000000001E-2</v>
      </c>
    </row>
    <row r="419" spans="1:153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6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1024"/>
      <c r="DQ419" s="1029"/>
      <c r="DR419" s="1029"/>
      <c r="DS419" s="1029"/>
      <c r="DT419" s="1029"/>
      <c r="DU419" s="1041"/>
      <c r="DV419" s="1041"/>
      <c r="DW419" s="1041"/>
      <c r="DX419" s="1041"/>
      <c r="DY419" s="1041"/>
      <c r="DZ419" s="1041"/>
      <c r="EA419" s="1041"/>
      <c r="EB419" s="1041"/>
      <c r="EC419" s="1041"/>
      <c r="ED419" s="1041"/>
      <c r="EE419" s="1041"/>
      <c r="EF419" s="1041"/>
      <c r="EG419" s="1041"/>
      <c r="EH419" s="1041"/>
      <c r="EI419" s="1041"/>
      <c r="EJ419" s="1041"/>
      <c r="EK419" s="1041"/>
      <c r="EL419" s="1041"/>
      <c r="EM419" s="1041"/>
      <c r="EO419" s="1041"/>
      <c r="EP419" s="1041"/>
      <c r="EQ419" s="1041"/>
    </row>
    <row r="420" spans="1:153" x14ac:dyDescent="0.3">
      <c r="A420" s="1" t="s">
        <v>3505</v>
      </c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6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17"/>
      <c r="DQ420" s="17"/>
      <c r="DR420" s="17"/>
      <c r="DS420" s="17"/>
      <c r="DT420" s="1024"/>
      <c r="DU420" s="1043">
        <v>2.3300000000000001E-2</v>
      </c>
      <c r="DV420" s="1043">
        <v>2.3800000000000002E-2</v>
      </c>
      <c r="DW420" s="1043">
        <v>2.4299999999999999E-2</v>
      </c>
      <c r="DX420" s="1043">
        <v>2.1499999999999998E-2</v>
      </c>
      <c r="DY420" s="1041"/>
      <c r="DZ420" s="1043">
        <v>2.2499999999999999E-2</v>
      </c>
      <c r="EA420" s="1043">
        <v>1.9900000000000001E-2</v>
      </c>
      <c r="EB420" s="1043">
        <v>1.6199999999999999E-2</v>
      </c>
      <c r="EC420" s="1043">
        <v>1.43E-2</v>
      </c>
      <c r="ED420" s="1041"/>
      <c r="EE420" s="1043">
        <v>1.32E-2</v>
      </c>
      <c r="EF420" s="1043">
        <v>1.2200000000000001E-2</v>
      </c>
      <c r="EG420" s="1043">
        <v>1.26E-2</v>
      </c>
      <c r="EH420" s="1043">
        <v>1.23E-2</v>
      </c>
      <c r="EI420" s="1041"/>
      <c r="EJ420" s="1043">
        <v>1.24E-2</v>
      </c>
      <c r="EK420" s="1043">
        <v>1.2800000000000001E-2</v>
      </c>
      <c r="EL420" s="1043">
        <v>1.3599999999999999E-2</v>
      </c>
      <c r="EM420" s="1043">
        <v>1.3299999999999999E-2</v>
      </c>
      <c r="EO420" s="1043">
        <v>1.4500000000000001E-2</v>
      </c>
      <c r="EP420" s="1043">
        <v>1.3100000000000001E-2</v>
      </c>
      <c r="EQ420" s="1043">
        <v>1.26E-2</v>
      </c>
      <c r="ER420" s="1043"/>
    </row>
    <row r="421" spans="1:153" x14ac:dyDescent="0.3">
      <c r="A421" s="1" t="s">
        <v>3506</v>
      </c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6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1028"/>
      <c r="DQ421" s="1029"/>
      <c r="DR421" s="1029"/>
      <c r="DS421" s="1029"/>
      <c r="DT421" s="1024"/>
      <c r="DU421" s="1046">
        <v>2.2499999999999999E-2</v>
      </c>
      <c r="DV421" s="1046">
        <v>2.1999999999999999E-2</v>
      </c>
      <c r="DW421" s="1046">
        <v>2.2800000000000001E-2</v>
      </c>
      <c r="DX421" s="1046">
        <v>2.18E-2</v>
      </c>
      <c r="DY421" s="1042"/>
      <c r="DZ421" s="1046">
        <v>2.1600000000000001E-2</v>
      </c>
      <c r="EA421" s="1046">
        <v>1.9E-2</v>
      </c>
      <c r="EB421" s="1046">
        <v>2.0299999999999999E-2</v>
      </c>
      <c r="EC421" s="1046">
        <v>1.78E-2</v>
      </c>
      <c r="ED421" s="1042"/>
      <c r="EE421" s="1046">
        <v>1.72E-2</v>
      </c>
      <c r="EF421" s="1046">
        <v>1.6899999999999998E-2</v>
      </c>
      <c r="EG421" s="1046">
        <v>1.6199999999999999E-2</v>
      </c>
      <c r="EH421" s="1046">
        <v>1.6400000000000001E-2</v>
      </c>
      <c r="EI421" s="1042"/>
      <c r="EJ421" s="1046">
        <v>1.5800000000000002E-2</v>
      </c>
      <c r="EK421" s="1046">
        <v>1.6299999999999999E-2</v>
      </c>
      <c r="EL421" s="1046">
        <v>1.8200000000000001E-2</v>
      </c>
      <c r="EM421" s="1046">
        <v>1.8499999999999999E-2</v>
      </c>
      <c r="EO421" s="1046">
        <v>1.9800000000000002E-2</v>
      </c>
      <c r="EP421" s="1046">
        <v>1.83E-2</v>
      </c>
      <c r="EQ421" s="1046">
        <v>1.84E-2</v>
      </c>
    </row>
    <row r="422" spans="1:153" x14ac:dyDescent="0.3">
      <c r="A422" s="4" t="s">
        <v>3530</v>
      </c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6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1024"/>
      <c r="DQ422" s="1024"/>
      <c r="DR422" s="1024"/>
      <c r="DS422" s="1024"/>
      <c r="DT422" s="1024"/>
      <c r="DU422" s="1047">
        <v>2.2800000000000001E-2</v>
      </c>
      <c r="DV422" s="1047">
        <v>2.2599999999999999E-2</v>
      </c>
      <c r="DW422" s="1047">
        <v>2.3300000000000001E-2</v>
      </c>
      <c r="DX422" s="1047">
        <v>2.1700000000000001E-2</v>
      </c>
      <c r="DY422" s="1042"/>
      <c r="DZ422" s="1047">
        <v>2.1899999999999999E-2</v>
      </c>
      <c r="EA422" s="1047">
        <v>1.9300000000000001E-2</v>
      </c>
      <c r="EB422" s="1047">
        <v>1.8800000000000001E-2</v>
      </c>
      <c r="EC422" s="1047">
        <v>1.6500000000000001E-2</v>
      </c>
      <c r="ED422" s="1042"/>
      <c r="EE422" s="1047">
        <v>1.5699999999999999E-2</v>
      </c>
      <c r="EF422" s="1047">
        <v>1.4999999999999999E-2</v>
      </c>
      <c r="EG422" s="1047">
        <v>1.4800000000000001E-2</v>
      </c>
      <c r="EH422" s="1047">
        <v>1.47E-2</v>
      </c>
      <c r="EI422" s="1042"/>
      <c r="EJ422" s="1047">
        <v>1.44E-2</v>
      </c>
      <c r="EK422" s="1047">
        <v>1.4800000000000001E-2</v>
      </c>
      <c r="EL422" s="1047">
        <v>1.61E-2</v>
      </c>
      <c r="EM422" s="1047">
        <v>1.61E-2</v>
      </c>
      <c r="EO422" s="1290">
        <v>1.72E-2</v>
      </c>
      <c r="EP422" s="1290">
        <v>1.5599999999999999E-2</v>
      </c>
      <c r="EQ422" s="1290">
        <v>1.5299999999999999E-2</v>
      </c>
    </row>
    <row r="423" spans="1:153" x14ac:dyDescent="0.3">
      <c r="A423" s="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6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1024"/>
      <c r="DQ423" s="1024"/>
      <c r="DR423" s="1024"/>
      <c r="DS423" s="1024"/>
      <c r="DT423" s="1024"/>
      <c r="DU423" s="1047"/>
      <c r="DV423" s="1047"/>
      <c r="DW423" s="1047"/>
      <c r="DX423" s="1047"/>
      <c r="DY423" s="1042"/>
      <c r="DZ423" s="1047"/>
      <c r="EA423" s="1047"/>
      <c r="EB423" s="1047"/>
      <c r="EC423" s="1047"/>
      <c r="ED423" s="1042"/>
      <c r="EE423" s="1047"/>
      <c r="EF423" s="1047"/>
      <c r="EG423" s="1047"/>
      <c r="EH423" s="1047"/>
      <c r="EI423" s="1042"/>
      <c r="EJ423" s="1047"/>
      <c r="EK423" s="1047"/>
      <c r="EL423" s="1047"/>
      <c r="EM423" s="1047"/>
      <c r="EO423" s="1290"/>
      <c r="EP423" s="1290"/>
      <c r="EQ423" s="1290"/>
    </row>
    <row r="424" spans="1:153" x14ac:dyDescent="0.3">
      <c r="A424" s="1" t="s">
        <v>3513</v>
      </c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6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1024"/>
      <c r="DQ424" s="1024"/>
      <c r="DR424" s="1024"/>
      <c r="DS424" s="1024"/>
      <c r="DT424" s="1024"/>
      <c r="DU424" s="1024"/>
      <c r="DV424" s="1024"/>
      <c r="DW424" s="1024"/>
      <c r="DX424" s="1024"/>
      <c r="DY424" s="1024"/>
      <c r="DZ424" s="1024"/>
      <c r="EA424" s="1024"/>
      <c r="EB424" s="1024"/>
      <c r="EC424" s="1024"/>
      <c r="ED424" s="1024"/>
      <c r="EE424" s="1043">
        <v>1.2999999999999999E-2</v>
      </c>
      <c r="EF424" s="1043">
        <v>1.21E-2</v>
      </c>
      <c r="EG424" s="1043">
        <v>1.2699999999999999E-2</v>
      </c>
      <c r="EH424" s="1043">
        <v>1.2800000000000001E-2</v>
      </c>
      <c r="EI424" s="1024"/>
      <c r="EJ424" s="1043">
        <v>1.24E-2</v>
      </c>
      <c r="EK424" s="1043">
        <v>1.2699999999999999E-2</v>
      </c>
      <c r="EL424" s="1043">
        <v>1.34E-2</v>
      </c>
      <c r="EM424" s="1043">
        <v>1.3100000000000001E-2</v>
      </c>
      <c r="EO424" s="1043">
        <v>1.43E-2</v>
      </c>
      <c r="EP424" s="1043">
        <v>1.29E-2</v>
      </c>
      <c r="EQ424" s="1043">
        <v>1.24E-2</v>
      </c>
      <c r="ER424" s="1043">
        <v>1.17E-2</v>
      </c>
      <c r="ET424" s="1043">
        <v>1.32E-2</v>
      </c>
      <c r="EU424" s="1043">
        <v>1.3100000000000001E-2</v>
      </c>
      <c r="EV424" s="1043">
        <v>1.4999999999999999E-2</v>
      </c>
      <c r="EW424" s="1043">
        <v>1.3100000000000001E-2</v>
      </c>
    </row>
    <row r="425" spans="1:153" x14ac:dyDescent="0.3">
      <c r="A425" s="1" t="s">
        <v>3514</v>
      </c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6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1024"/>
      <c r="DQ425" s="1024"/>
      <c r="DR425" s="1024"/>
      <c r="DS425" s="1024"/>
      <c r="DT425" s="1024"/>
      <c r="DU425" s="1024"/>
      <c r="DV425" s="1024"/>
      <c r="DW425" s="1024"/>
      <c r="DX425" s="1024"/>
      <c r="DY425" s="1024"/>
      <c r="DZ425" s="1024"/>
      <c r="EA425" s="1024"/>
      <c r="EB425" s="1024"/>
      <c r="EC425" s="1024"/>
      <c r="ED425" s="1024"/>
      <c r="EE425" s="1046">
        <v>1.7100000000000001E-2</v>
      </c>
      <c r="EF425" s="1046">
        <v>1.6500000000000001E-2</v>
      </c>
      <c r="EG425" s="1046">
        <v>1.5900000000000001E-2</v>
      </c>
      <c r="EH425" s="1046">
        <v>1.61E-2</v>
      </c>
      <c r="EI425" s="1024"/>
      <c r="EJ425" s="1046">
        <v>1.5299999999999999E-2</v>
      </c>
      <c r="EK425" s="1046">
        <v>1.55E-2</v>
      </c>
      <c r="EL425" s="1046">
        <v>1.7399999999999999E-2</v>
      </c>
      <c r="EM425" s="1046">
        <v>1.8100000000000002E-2</v>
      </c>
      <c r="EO425" s="1046">
        <v>1.8800000000000001E-2</v>
      </c>
      <c r="EP425" s="1046">
        <v>1.6899999999999998E-2</v>
      </c>
      <c r="EQ425" s="1046">
        <v>1.6799999999999999E-2</v>
      </c>
      <c r="ER425" s="1046">
        <v>1.7299999999999999E-2</v>
      </c>
      <c r="ET425" s="1046">
        <v>2.01E-2</v>
      </c>
      <c r="EU425" s="1046">
        <v>1.9900000000000001E-2</v>
      </c>
      <c r="EV425" s="1046">
        <v>2.0500000000000001E-2</v>
      </c>
      <c r="EW425" s="1046">
        <v>2.0899999999999998E-2</v>
      </c>
    </row>
    <row r="426" spans="1:153" x14ac:dyDescent="0.3">
      <c r="A426" s="4" t="s">
        <v>3531</v>
      </c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6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1024"/>
      <c r="DQ426" s="1024"/>
      <c r="DR426" s="1024"/>
      <c r="DS426" s="1024"/>
      <c r="DT426" s="1024"/>
      <c r="DU426" s="1024"/>
      <c r="DV426" s="1024"/>
      <c r="DW426" s="1024"/>
      <c r="DX426" s="1024"/>
      <c r="DY426" s="1024"/>
      <c r="DZ426" s="1024"/>
      <c r="EA426" s="1024"/>
      <c r="EB426" s="1024"/>
      <c r="EC426" s="1024"/>
      <c r="ED426" s="1024"/>
      <c r="EE426" s="1024"/>
      <c r="EF426" s="1024"/>
      <c r="EG426" s="1024"/>
      <c r="EH426" s="1024"/>
      <c r="EI426" s="1024"/>
      <c r="EJ426" s="1024"/>
      <c r="EK426" s="1024"/>
      <c r="EL426" s="1024"/>
      <c r="EM426" s="1290">
        <v>1.5900000000000001E-2</v>
      </c>
      <c r="EO426" s="1024"/>
      <c r="EP426" s="1290"/>
      <c r="EQ426" s="1290">
        <v>1.46E-2</v>
      </c>
      <c r="ER426" s="1290">
        <v>1.44E-2</v>
      </c>
      <c r="ET426" s="1290">
        <v>1.6400000000000001E-2</v>
      </c>
      <c r="EU426" s="1290">
        <v>1.61E-2</v>
      </c>
      <c r="EV426" s="1290">
        <v>1.7299999999999999E-2</v>
      </c>
      <c r="EW426" s="1290">
        <v>1.6299999999999999E-2</v>
      </c>
    </row>
    <row r="427" spans="1:153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6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1024"/>
      <c r="DQ427" s="1024"/>
      <c r="DR427" s="1024"/>
      <c r="DS427" s="1024"/>
      <c r="DT427" s="1024"/>
      <c r="DU427" s="1024"/>
      <c r="DV427" s="1024"/>
      <c r="DW427" s="1024"/>
      <c r="DX427" s="1024"/>
      <c r="DY427" s="1024"/>
      <c r="DZ427" s="1024"/>
      <c r="EA427" s="1024"/>
      <c r="EB427" s="1024"/>
      <c r="EC427" s="1024"/>
      <c r="ED427" s="1024"/>
      <c r="EE427" s="1024"/>
      <c r="EF427" s="1024"/>
      <c r="EG427" s="1024"/>
      <c r="EH427" s="1024"/>
      <c r="EI427" s="1024"/>
      <c r="EJ427" s="1024"/>
      <c r="EK427" s="1024"/>
      <c r="EL427" s="1024"/>
      <c r="EM427" s="1024"/>
      <c r="EO427" s="1024"/>
      <c r="EP427" s="1024"/>
      <c r="EQ427" s="1024"/>
    </row>
    <row r="428" spans="1:153" x14ac:dyDescent="0.3">
      <c r="A428" s="90" t="s">
        <v>3532</v>
      </c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6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1024"/>
      <c r="DQ428" s="1024"/>
      <c r="DR428" s="1024"/>
      <c r="DS428" s="1024"/>
      <c r="DT428" s="1024"/>
      <c r="DU428" s="1024"/>
      <c r="DV428" s="1024"/>
      <c r="DW428" s="1024"/>
      <c r="DX428" s="1024"/>
      <c r="DY428" s="1024"/>
      <c r="DZ428" s="1024"/>
      <c r="EA428" s="1024"/>
      <c r="EB428" s="1024"/>
      <c r="EC428" s="1024"/>
      <c r="ED428" s="1024"/>
      <c r="EE428" s="1030"/>
      <c r="EF428" s="1030"/>
      <c r="EG428" s="1030"/>
      <c r="EH428" s="1030"/>
      <c r="EI428" s="1024"/>
      <c r="EJ428" s="1030"/>
      <c r="EK428" s="1030"/>
      <c r="EL428" s="1030"/>
      <c r="EM428" s="1030"/>
      <c r="EO428" s="1030"/>
      <c r="EP428" s="1030"/>
      <c r="EQ428" s="1030"/>
    </row>
    <row r="429" spans="1:153" x14ac:dyDescent="0.3">
      <c r="A429" s="1" t="s">
        <v>3500</v>
      </c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6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1024"/>
      <c r="DQ429" s="1024"/>
      <c r="DR429" s="1024"/>
      <c r="DS429" s="1024"/>
      <c r="DT429" s="1024"/>
      <c r="DU429" s="1034">
        <v>57.66</v>
      </c>
      <c r="DV429" s="1034">
        <v>56.62</v>
      </c>
      <c r="DW429" s="1034">
        <v>56.37</v>
      </c>
      <c r="DX429" s="1034">
        <v>56.69</v>
      </c>
      <c r="DY429" s="1033"/>
      <c r="DZ429" s="1034">
        <v>56.8</v>
      </c>
      <c r="EA429" s="1034">
        <v>56.92</v>
      </c>
      <c r="EB429" s="1034">
        <v>57.58</v>
      </c>
      <c r="EC429" s="1034">
        <v>59.72</v>
      </c>
      <c r="ED429" s="1033"/>
      <c r="EE429" s="1034">
        <v>60.73</v>
      </c>
      <c r="EF429" s="1034">
        <v>63.1</v>
      </c>
      <c r="EG429" s="1034">
        <v>63.35</v>
      </c>
      <c r="EH429" s="1034">
        <v>62.21</v>
      </c>
      <c r="EI429" s="1034">
        <v>62.34</v>
      </c>
      <c r="EJ429" s="1034">
        <v>62.1</v>
      </c>
      <c r="EK429" s="1034">
        <v>63.35</v>
      </c>
      <c r="EL429" s="1034">
        <v>62.97</v>
      </c>
      <c r="EM429" s="1034">
        <v>61.2</v>
      </c>
      <c r="EN429" s="1034">
        <v>62.45</v>
      </c>
      <c r="EO429" s="1034">
        <v>61.44</v>
      </c>
      <c r="EP429" s="1034">
        <v>63.12</v>
      </c>
      <c r="EQ429" s="1034">
        <v>64.489999999999995</v>
      </c>
      <c r="ER429" s="1034">
        <v>64.16</v>
      </c>
      <c r="ES429" s="1034">
        <v>63.39</v>
      </c>
      <c r="ET429" s="1034">
        <v>65.180000000000007</v>
      </c>
      <c r="EU429" s="1034">
        <v>65.319999999999993</v>
      </c>
      <c r="EV429" s="1034">
        <v>65.400000000000006</v>
      </c>
      <c r="EW429" s="1034">
        <v>65.98</v>
      </c>
    </row>
    <row r="430" spans="1:153" x14ac:dyDescent="0.3">
      <c r="A430" s="1" t="s">
        <v>3501</v>
      </c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6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7"/>
      <c r="DG430" s="7"/>
      <c r="DH430" s="7"/>
      <c r="DI430" s="7"/>
      <c r="DJ430" s="8"/>
      <c r="DK430" s="7"/>
      <c r="DL430" s="7"/>
      <c r="DM430" s="7"/>
      <c r="DN430" s="7"/>
      <c r="DO430" s="8"/>
      <c r="DP430" s="17"/>
      <c r="DQ430" s="17"/>
      <c r="DR430" s="17"/>
      <c r="DS430" s="17"/>
      <c r="DT430" s="1023"/>
      <c r="DU430" s="1045">
        <v>39.53</v>
      </c>
      <c r="DV430" s="1045">
        <v>40.18</v>
      </c>
      <c r="DW430" s="1045">
        <v>40.75</v>
      </c>
      <c r="DX430" s="1045">
        <v>40.97</v>
      </c>
      <c r="DY430" s="1044"/>
      <c r="DZ430" s="1045">
        <v>41.15</v>
      </c>
      <c r="EA430" s="1045">
        <v>41.93</v>
      </c>
      <c r="EB430" s="1045">
        <v>42.16</v>
      </c>
      <c r="EC430" s="1045">
        <v>42.61</v>
      </c>
      <c r="ED430" s="1044"/>
      <c r="EE430" s="1045">
        <v>43.23</v>
      </c>
      <c r="EF430" s="1045">
        <v>44.8</v>
      </c>
      <c r="EG430" s="1045">
        <v>45.44</v>
      </c>
      <c r="EH430" s="1045">
        <v>45.33</v>
      </c>
      <c r="EI430" s="1044"/>
      <c r="EJ430" s="1045">
        <v>45.72</v>
      </c>
      <c r="EK430" s="1045">
        <v>48.47</v>
      </c>
      <c r="EL430" s="1045">
        <v>49.65</v>
      </c>
      <c r="EM430" s="1045">
        <v>48.7</v>
      </c>
      <c r="EN430" s="1045">
        <v>48.13</v>
      </c>
      <c r="EO430" s="1045">
        <v>48.88</v>
      </c>
      <c r="EP430" s="1045">
        <v>51.9</v>
      </c>
      <c r="EQ430" s="1045">
        <v>54.62</v>
      </c>
      <c r="ER430" s="1045">
        <v>54.22</v>
      </c>
      <c r="ES430" s="1045">
        <v>52.43</v>
      </c>
      <c r="ET430" s="1045">
        <v>56.16</v>
      </c>
      <c r="EU430" s="1045">
        <v>58.26</v>
      </c>
      <c r="EV430" s="1045">
        <v>59.16</v>
      </c>
      <c r="EW430" s="1045">
        <v>62.12</v>
      </c>
    </row>
    <row r="431" spans="1:153" x14ac:dyDescent="0.3">
      <c r="A431" s="4" t="s">
        <v>3533</v>
      </c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6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1024"/>
      <c r="DQ431" s="1024"/>
      <c r="DR431" s="1024"/>
      <c r="DS431" s="1024"/>
      <c r="DT431" s="1024"/>
      <c r="DU431" s="1034">
        <v>47.42</v>
      </c>
      <c r="DV431" s="1034">
        <v>47.38</v>
      </c>
      <c r="DW431" s="1034">
        <v>47.69</v>
      </c>
      <c r="DX431" s="1034">
        <v>48.08</v>
      </c>
      <c r="DY431" s="1033"/>
      <c r="DZ431" s="1034">
        <v>48.33</v>
      </c>
      <c r="EA431" s="1034">
        <v>48.88</v>
      </c>
      <c r="EB431" s="1034">
        <v>49.38</v>
      </c>
      <c r="EC431" s="1034">
        <v>50.73</v>
      </c>
      <c r="ED431" s="1033"/>
      <c r="EE431" s="1034">
        <v>51.66</v>
      </c>
      <c r="EF431" s="1034">
        <v>53.75</v>
      </c>
      <c r="EG431" s="1034">
        <v>54.38</v>
      </c>
      <c r="EH431" s="1034">
        <v>53.99</v>
      </c>
      <c r="EI431" s="1033"/>
      <c r="EJ431" s="1034">
        <v>54.36</v>
      </c>
      <c r="EK431" s="1034">
        <v>56.57</v>
      </c>
      <c r="EL431" s="1034">
        <v>57.17</v>
      </c>
      <c r="EM431" s="1034">
        <v>56.06</v>
      </c>
      <c r="EN431" s="1034"/>
      <c r="EO431" s="1291">
        <v>56.59</v>
      </c>
      <c r="EP431" s="1291">
        <v>59.06</v>
      </c>
      <c r="EQ431" s="1291">
        <v>61.15</v>
      </c>
      <c r="ER431" s="1291">
        <v>61.02</v>
      </c>
      <c r="ET431" s="1291">
        <v>62.53</v>
      </c>
      <c r="EU431" s="1291">
        <v>63.41</v>
      </c>
      <c r="EV431" s="1291">
        <v>63.85</v>
      </c>
      <c r="EW431" s="1291">
        <v>65.11</v>
      </c>
    </row>
    <row r="432" spans="1:153" x14ac:dyDescent="0.3">
      <c r="A432" s="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6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1024"/>
      <c r="DQ432" s="1024"/>
      <c r="DR432" s="1024"/>
      <c r="DS432" s="1024"/>
      <c r="DT432" s="1024"/>
      <c r="DU432" s="1034"/>
      <c r="DV432" s="1034"/>
      <c r="DW432" s="1034"/>
      <c r="DX432" s="1034"/>
      <c r="DY432" s="1033"/>
      <c r="DZ432" s="1034"/>
      <c r="EA432" s="1034"/>
      <c r="EB432" s="1034"/>
      <c r="EC432" s="1034"/>
      <c r="ED432" s="1033"/>
      <c r="EE432" s="1034"/>
      <c r="EF432" s="1034"/>
      <c r="EG432" s="1034"/>
      <c r="EH432" s="1034"/>
      <c r="EI432" s="1033"/>
      <c r="EJ432" s="1034"/>
      <c r="EK432" s="1034"/>
      <c r="EL432" s="1034"/>
      <c r="EM432" s="1034"/>
      <c r="EO432" s="1034"/>
      <c r="EP432" s="1034"/>
      <c r="EQ432" s="1034"/>
    </row>
    <row r="433" spans="1:153" x14ac:dyDescent="0.3">
      <c r="A433" s="1" t="s">
        <v>3534</v>
      </c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6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1024"/>
      <c r="DQ433" s="1024"/>
      <c r="DR433" s="1024"/>
      <c r="DS433" s="1024"/>
      <c r="DT433" s="1024"/>
      <c r="DU433" s="1034"/>
      <c r="DV433" s="1034"/>
      <c r="DW433" s="1034"/>
      <c r="DX433" s="1034"/>
      <c r="DY433" s="1033"/>
      <c r="DZ433" s="1034"/>
      <c r="EA433" s="1034"/>
      <c r="EB433" s="1034"/>
      <c r="EC433" s="1034"/>
      <c r="ED433" s="1033"/>
      <c r="EE433" s="1428">
        <f>EE429</f>
        <v>60.73</v>
      </c>
      <c r="EF433" s="1428">
        <f t="shared" ref="EF433:EI433" si="451">EF429</f>
        <v>63.1</v>
      </c>
      <c r="EG433" s="1428">
        <f t="shared" si="451"/>
        <v>63.35</v>
      </c>
      <c r="EH433" s="1428">
        <f t="shared" si="451"/>
        <v>62.21</v>
      </c>
      <c r="EI433" s="1428">
        <f t="shared" si="451"/>
        <v>62.34</v>
      </c>
      <c r="EJ433" s="1428">
        <f>EJ429</f>
        <v>62.1</v>
      </c>
      <c r="EK433" s="1428">
        <f t="shared" ref="EK433:EN433" si="452">EK429</f>
        <v>63.35</v>
      </c>
      <c r="EL433" s="1428">
        <f t="shared" si="452"/>
        <v>62.97</v>
      </c>
      <c r="EM433" s="1428">
        <f t="shared" si="452"/>
        <v>61.2</v>
      </c>
      <c r="EN433" s="1428">
        <f t="shared" si="452"/>
        <v>62.45</v>
      </c>
      <c r="EO433" s="1428">
        <f>EO429</f>
        <v>61.44</v>
      </c>
      <c r="EP433" s="1428">
        <f t="shared" ref="EP433:ET433" si="453">EP429</f>
        <v>63.12</v>
      </c>
      <c r="EQ433" s="1428">
        <f t="shared" si="453"/>
        <v>64.489999999999995</v>
      </c>
      <c r="ER433" s="1428">
        <f t="shared" si="453"/>
        <v>64.16</v>
      </c>
      <c r="ES433" s="1428">
        <f t="shared" si="453"/>
        <v>63.39</v>
      </c>
      <c r="ET433" s="1428">
        <f t="shared" si="453"/>
        <v>65.180000000000007</v>
      </c>
      <c r="EU433" s="1731">
        <f t="shared" ref="EU433:EV433" si="454">EU429</f>
        <v>65.319999999999993</v>
      </c>
      <c r="EV433" s="1731">
        <f t="shared" si="454"/>
        <v>65.400000000000006</v>
      </c>
      <c r="EW433" s="1731">
        <f t="shared" ref="EW433" si="455">EW429</f>
        <v>65.98</v>
      </c>
    </row>
    <row r="434" spans="1:153" x14ac:dyDescent="0.3">
      <c r="A434" s="1" t="s">
        <v>3535</v>
      </c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6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1024"/>
      <c r="DQ434" s="1024"/>
      <c r="DR434" s="1024"/>
      <c r="DS434" s="1024"/>
      <c r="DT434" s="1024"/>
      <c r="DU434" s="1034"/>
      <c r="DV434" s="1034"/>
      <c r="DW434" s="1034"/>
      <c r="DX434" s="1034"/>
      <c r="DY434" s="1033"/>
      <c r="DZ434" s="1034"/>
      <c r="EA434" s="1034"/>
      <c r="EB434" s="1034"/>
      <c r="EC434" s="1034"/>
      <c r="ED434" s="1033"/>
      <c r="EE434" s="1045">
        <v>0</v>
      </c>
      <c r="EF434" s="1045">
        <v>0</v>
      </c>
      <c r="EG434" s="1045">
        <v>0.24</v>
      </c>
      <c r="EH434" s="1045">
        <v>0.54</v>
      </c>
      <c r="EI434" s="1045">
        <v>0.19</v>
      </c>
      <c r="EJ434" s="1045">
        <v>1.1100000000000001</v>
      </c>
      <c r="EK434" s="1045">
        <v>1.38</v>
      </c>
      <c r="EL434" s="1045">
        <v>1.66</v>
      </c>
      <c r="EM434" s="1045">
        <v>2.1</v>
      </c>
      <c r="EN434" s="1045">
        <v>1.56</v>
      </c>
      <c r="EO434" s="1045">
        <v>1.68</v>
      </c>
      <c r="EP434" s="1045">
        <v>1.34</v>
      </c>
      <c r="EQ434" s="1045">
        <v>0.16</v>
      </c>
      <c r="ER434" s="1045">
        <v>0.17</v>
      </c>
      <c r="ES434" s="1045">
        <v>0.83</v>
      </c>
      <c r="ET434" s="1045">
        <v>0.17</v>
      </c>
      <c r="EU434" s="1732">
        <v>0.17</v>
      </c>
      <c r="EV434" s="1732">
        <v>0.17</v>
      </c>
      <c r="EW434" s="1732">
        <v>0.17</v>
      </c>
    </row>
    <row r="435" spans="1:153" x14ac:dyDescent="0.3">
      <c r="A435" s="1" t="s">
        <v>3536</v>
      </c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6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1024"/>
      <c r="DQ435" s="1024"/>
      <c r="DR435" s="1024"/>
      <c r="DS435" s="1024"/>
      <c r="DT435" s="1024"/>
      <c r="DU435" s="1034"/>
      <c r="DV435" s="1034"/>
      <c r="DW435" s="1034"/>
      <c r="DX435" s="1034"/>
      <c r="DY435" s="1033"/>
      <c r="DZ435" s="1034"/>
      <c r="EA435" s="1034"/>
      <c r="EB435" s="1034"/>
      <c r="EC435" s="1034"/>
      <c r="ED435" s="1033"/>
      <c r="EE435" s="1428">
        <f t="shared" ref="EE435:ET435" si="456">SUM(EE433:EE434)</f>
        <v>60.73</v>
      </c>
      <c r="EF435" s="1428">
        <f t="shared" si="456"/>
        <v>63.1</v>
      </c>
      <c r="EG435" s="1428">
        <f t="shared" si="456"/>
        <v>63.59</v>
      </c>
      <c r="EH435" s="1428">
        <f t="shared" si="456"/>
        <v>62.75</v>
      </c>
      <c r="EI435" s="1688">
        <f t="shared" si="456"/>
        <v>62.53</v>
      </c>
      <c r="EJ435" s="1428">
        <f t="shared" si="456"/>
        <v>63.21</v>
      </c>
      <c r="EK435" s="1428">
        <f t="shared" si="456"/>
        <v>64.73</v>
      </c>
      <c r="EL435" s="1428">
        <f t="shared" si="456"/>
        <v>64.63</v>
      </c>
      <c r="EM435" s="1428">
        <f t="shared" si="456"/>
        <v>63.300000000000004</v>
      </c>
      <c r="EN435" s="1688">
        <f t="shared" si="456"/>
        <v>64.010000000000005</v>
      </c>
      <c r="EO435" s="1428">
        <f t="shared" si="456"/>
        <v>63.12</v>
      </c>
      <c r="EP435" s="1428">
        <f t="shared" si="456"/>
        <v>64.459999999999994</v>
      </c>
      <c r="EQ435" s="1428">
        <f t="shared" si="456"/>
        <v>64.649999999999991</v>
      </c>
      <c r="ER435" s="1428">
        <f t="shared" si="456"/>
        <v>64.33</v>
      </c>
      <c r="ES435" s="1688">
        <f t="shared" si="456"/>
        <v>64.22</v>
      </c>
      <c r="ET435" s="1688">
        <f t="shared" si="456"/>
        <v>65.350000000000009</v>
      </c>
      <c r="EU435" s="1733">
        <f t="shared" ref="EU435:EV435" si="457">SUM(EU433:EU434)</f>
        <v>65.489999999999995</v>
      </c>
      <c r="EV435" s="1733">
        <f t="shared" si="457"/>
        <v>65.570000000000007</v>
      </c>
      <c r="EW435" s="1733">
        <f t="shared" ref="EW435" si="458">SUM(EW433:EW434)</f>
        <v>66.150000000000006</v>
      </c>
    </row>
    <row r="436" spans="1:153" x14ac:dyDescent="0.3">
      <c r="A436" s="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6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1024"/>
      <c r="DQ436" s="1024"/>
      <c r="DR436" s="1024"/>
      <c r="DS436" s="1024"/>
      <c r="DT436" s="1024"/>
      <c r="DU436" s="1034"/>
      <c r="DV436" s="1034"/>
      <c r="DW436" s="1034"/>
      <c r="DX436" s="1034"/>
      <c r="DY436" s="1033"/>
      <c r="DZ436" s="1034"/>
      <c r="EA436" s="1034"/>
      <c r="EB436" s="1034"/>
      <c r="EC436" s="1034"/>
      <c r="ED436" s="1033"/>
      <c r="EE436" s="1034"/>
      <c r="EF436" s="1034"/>
      <c r="EG436" s="1034"/>
      <c r="EH436" s="1034"/>
      <c r="EI436" s="1033"/>
      <c r="EJ436" s="1034"/>
      <c r="EK436" s="1034"/>
      <c r="EL436" s="1034"/>
      <c r="EM436" s="1034"/>
      <c r="EO436" s="1034"/>
      <c r="EP436" s="1034"/>
      <c r="EQ436" s="1034"/>
    </row>
    <row r="437" spans="1:153" x14ac:dyDescent="0.3">
      <c r="A437" s="90" t="s">
        <v>3537</v>
      </c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6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1024"/>
      <c r="DQ437" s="1024"/>
      <c r="DR437" s="1024"/>
      <c r="DS437" s="1024"/>
      <c r="DT437" s="1024"/>
      <c r="DU437" s="1024"/>
      <c r="DV437" s="1024"/>
      <c r="DW437" s="1024"/>
      <c r="DX437" s="1024"/>
      <c r="DY437" s="1024"/>
      <c r="DZ437" s="1024"/>
      <c r="EA437" s="1024"/>
      <c r="EB437" s="1024"/>
      <c r="EC437" s="1024"/>
      <c r="ED437" s="1024"/>
      <c r="EE437" s="1030"/>
      <c r="EF437" s="1030"/>
      <c r="EG437" s="1030"/>
      <c r="EH437" s="1030"/>
      <c r="EI437" s="1024"/>
      <c r="EJ437" s="1030"/>
      <c r="EK437" s="1030"/>
      <c r="EL437" s="1030"/>
      <c r="EM437" s="1030"/>
      <c r="EO437" s="1030"/>
      <c r="EP437" s="1030"/>
      <c r="EQ437" s="1030"/>
    </row>
    <row r="438" spans="1:153" x14ac:dyDescent="0.3">
      <c r="A438" s="1" t="s">
        <v>3538</v>
      </c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6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1024"/>
      <c r="DQ438" s="1024"/>
      <c r="DR438" s="1024"/>
      <c r="DS438" s="1024"/>
      <c r="DT438" s="1024"/>
      <c r="DU438" s="1034"/>
      <c r="DV438" s="1034"/>
      <c r="DW438" s="1034"/>
      <c r="DX438" s="1034"/>
      <c r="DY438" s="1033"/>
      <c r="DZ438" s="1034">
        <v>105.46</v>
      </c>
      <c r="EA438" s="1034">
        <v>104.59</v>
      </c>
      <c r="EB438" s="1034">
        <v>105.21</v>
      </c>
      <c r="EC438" s="1034">
        <v>107.33</v>
      </c>
      <c r="ED438" s="1033"/>
      <c r="EE438" s="1034">
        <v>110.21</v>
      </c>
      <c r="EF438" s="1034">
        <v>114.41</v>
      </c>
      <c r="EG438" s="1034">
        <v>115.47</v>
      </c>
      <c r="EH438" s="1034">
        <v>116.48</v>
      </c>
      <c r="EI438" s="1033"/>
      <c r="EJ438" s="1034">
        <v>117.84</v>
      </c>
      <c r="EK438" s="1034">
        <v>121.55</v>
      </c>
      <c r="EL438" s="1034">
        <v>121.63</v>
      </c>
      <c r="EM438" s="1034">
        <v>122.2</v>
      </c>
      <c r="EO438" s="1034">
        <v>127.92</v>
      </c>
      <c r="EP438" s="1034">
        <v>131.15</v>
      </c>
      <c r="EQ438" s="1034">
        <v>131.66</v>
      </c>
      <c r="ER438" s="1034">
        <v>132.05000000000001</v>
      </c>
      <c r="ET438" s="1034">
        <v>135.63</v>
      </c>
      <c r="EU438" s="1034">
        <v>137.33000000000001</v>
      </c>
      <c r="EV438" s="1034">
        <v>138.01</v>
      </c>
      <c r="EW438" s="1034">
        <v>139.53</v>
      </c>
    </row>
    <row r="439" spans="1:153" x14ac:dyDescent="0.3">
      <c r="A439" s="1" t="s">
        <v>415</v>
      </c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6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7"/>
      <c r="DG439" s="7"/>
      <c r="DH439" s="7"/>
      <c r="DI439" s="7"/>
      <c r="DJ439" s="8"/>
      <c r="DK439" s="7"/>
      <c r="DL439" s="7"/>
      <c r="DM439" s="7"/>
      <c r="DN439" s="7"/>
      <c r="DO439" s="8"/>
      <c r="DP439" s="17"/>
      <c r="DQ439" s="17"/>
      <c r="DR439" s="17"/>
      <c r="DS439" s="17"/>
      <c r="DT439" s="1023"/>
      <c r="DU439" s="1045"/>
      <c r="DV439" s="1045"/>
      <c r="DW439" s="1045"/>
      <c r="DX439" s="1045"/>
      <c r="DY439" s="1044"/>
      <c r="DZ439" s="1045">
        <v>110</v>
      </c>
      <c r="EA439" s="1045">
        <v>109.98</v>
      </c>
      <c r="EB439" s="1045">
        <v>111.88</v>
      </c>
      <c r="EC439" s="1045">
        <v>112.41</v>
      </c>
      <c r="ED439" s="1044"/>
      <c r="EE439" s="1045">
        <v>115.76</v>
      </c>
      <c r="EF439" s="1045">
        <v>117.46</v>
      </c>
      <c r="EG439" s="1045">
        <v>118.98</v>
      </c>
      <c r="EH439" s="1045">
        <v>119.01</v>
      </c>
      <c r="EI439" s="1044"/>
      <c r="EJ439" s="1045">
        <v>119.54</v>
      </c>
      <c r="EK439" s="1045">
        <v>124.29</v>
      </c>
      <c r="EL439" s="1045">
        <v>125.52</v>
      </c>
      <c r="EM439" s="1045">
        <v>124.89</v>
      </c>
      <c r="EO439" s="1045">
        <v>130.65</v>
      </c>
      <c r="EP439" s="1045">
        <v>134.86000000000001</v>
      </c>
      <c r="EQ439" s="1045">
        <v>135.04</v>
      </c>
      <c r="ER439" s="1045">
        <v>128.84</v>
      </c>
      <c r="ET439" s="1045">
        <v>133.18</v>
      </c>
      <c r="EU439" s="1045">
        <v>123.1</v>
      </c>
      <c r="EV439" s="1045">
        <v>106.42</v>
      </c>
      <c r="EW439" s="1045">
        <v>97.73</v>
      </c>
    </row>
    <row r="440" spans="1:153" x14ac:dyDescent="0.3">
      <c r="A440" s="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6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1024"/>
      <c r="DQ440" s="1024"/>
      <c r="DR440" s="1024"/>
      <c r="DS440" s="1024"/>
      <c r="DT440" s="1024"/>
      <c r="DU440" s="1034"/>
      <c r="DV440" s="1034"/>
      <c r="DW440" s="1034"/>
      <c r="DX440" s="1034"/>
      <c r="DY440" s="1033"/>
      <c r="DZ440" s="1034"/>
      <c r="EA440" s="1034"/>
      <c r="EB440" s="1034"/>
      <c r="EC440" s="1034"/>
      <c r="ED440" s="1033"/>
      <c r="EE440" s="1034"/>
      <c r="EF440" s="1034"/>
      <c r="EG440" s="1034"/>
      <c r="EH440" s="1034"/>
      <c r="EI440" s="1033"/>
      <c r="EJ440" s="1034"/>
      <c r="EK440" s="1034"/>
      <c r="EL440" s="1034"/>
      <c r="EM440" s="1034"/>
      <c r="EO440" s="1034"/>
      <c r="EP440" s="1034"/>
      <c r="EQ440" s="1034"/>
    </row>
    <row r="441" spans="1:153" x14ac:dyDescent="0.3">
      <c r="A441" s="90" t="s">
        <v>3539</v>
      </c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6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1024"/>
      <c r="DQ441" s="1024"/>
      <c r="DR441" s="1024"/>
      <c r="DS441" s="1024"/>
      <c r="DT441" s="1024"/>
      <c r="DU441" s="1034"/>
      <c r="DV441" s="1034"/>
      <c r="DW441" s="1034"/>
      <c r="DX441" s="1034"/>
      <c r="DY441" s="1033"/>
      <c r="DZ441" s="1034"/>
      <c r="EA441" s="1034"/>
      <c r="EB441" s="1034"/>
      <c r="EC441" s="1034"/>
      <c r="ED441" s="1033"/>
      <c r="EE441" s="1034"/>
      <c r="EF441" s="1034"/>
      <c r="EG441" s="1034"/>
      <c r="EH441" s="1034"/>
      <c r="EI441" s="1033"/>
      <c r="EJ441" s="1034"/>
      <c r="EK441" s="1034"/>
      <c r="EL441" s="1034"/>
      <c r="EM441" s="1034"/>
      <c r="EO441" s="1034"/>
      <c r="EP441" s="1034"/>
      <c r="EQ441" s="1034"/>
    </row>
    <row r="442" spans="1:153" x14ac:dyDescent="0.3">
      <c r="A442" s="1" t="s">
        <v>3505</v>
      </c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6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1024"/>
      <c r="DQ442" s="1024"/>
      <c r="DR442" s="1024"/>
      <c r="DS442" s="1024"/>
      <c r="DT442" s="1024"/>
      <c r="DU442" s="1034">
        <v>98.16</v>
      </c>
      <c r="DV442" s="1034">
        <v>100.89</v>
      </c>
      <c r="DW442" s="1034">
        <v>100.47</v>
      </c>
      <c r="DX442" s="1034">
        <v>99.58</v>
      </c>
      <c r="DY442" s="1033"/>
      <c r="DZ442" s="1034">
        <v>100.3</v>
      </c>
      <c r="EA442" s="1034">
        <v>100.27</v>
      </c>
      <c r="EB442" s="1034">
        <v>100.85</v>
      </c>
      <c r="EC442" s="1034">
        <v>101.56</v>
      </c>
      <c r="ED442" s="1033"/>
      <c r="EE442" s="1034">
        <v>101.34</v>
      </c>
      <c r="EF442" s="1034">
        <v>104.66</v>
      </c>
      <c r="EG442" s="1034">
        <v>104.76</v>
      </c>
      <c r="EH442" s="1034">
        <v>106.87</v>
      </c>
      <c r="EI442" s="1033"/>
      <c r="EJ442" s="1034">
        <v>105.6</v>
      </c>
      <c r="EK442" s="1034">
        <v>107.19</v>
      </c>
      <c r="EL442" s="1034">
        <v>107.28</v>
      </c>
      <c r="EM442" s="1034">
        <v>107.68</v>
      </c>
      <c r="EO442" s="1034">
        <v>104.38</v>
      </c>
      <c r="EP442" s="1034">
        <v>102.89</v>
      </c>
      <c r="EQ442" s="1034">
        <v>101.36</v>
      </c>
    </row>
    <row r="443" spans="1:153" x14ac:dyDescent="0.3">
      <c r="A443" s="1" t="s">
        <v>3506</v>
      </c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6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1024"/>
      <c r="DQ443" s="1024"/>
      <c r="DR443" s="1024"/>
      <c r="DS443" s="1024"/>
      <c r="DT443" s="1024"/>
      <c r="DU443" s="1045">
        <v>61.95</v>
      </c>
      <c r="DV443" s="1045">
        <v>64.069999999999993</v>
      </c>
      <c r="DW443" s="1045">
        <v>63.53</v>
      </c>
      <c r="DX443" s="1045">
        <v>64.09</v>
      </c>
      <c r="DY443" s="1033"/>
      <c r="DZ443" s="1045">
        <v>65.209999999999994</v>
      </c>
      <c r="EA443" s="1045">
        <v>64.739999999999995</v>
      </c>
      <c r="EB443" s="1045">
        <v>64.92</v>
      </c>
      <c r="EC443" s="1045">
        <v>66.12</v>
      </c>
      <c r="ED443" s="1033"/>
      <c r="EE443" s="1045">
        <v>65.739999999999995</v>
      </c>
      <c r="EF443" s="1045">
        <v>64.2</v>
      </c>
      <c r="EG443" s="1045">
        <v>64.03</v>
      </c>
      <c r="EH443" s="1045">
        <v>62.54</v>
      </c>
      <c r="EI443" s="1033"/>
      <c r="EJ443" s="1045">
        <v>65</v>
      </c>
      <c r="EK443" s="1045">
        <v>63</v>
      </c>
      <c r="EL443" s="1045">
        <v>65.260000000000005</v>
      </c>
      <c r="EM443" s="1045">
        <v>66.569999999999993</v>
      </c>
      <c r="EO443" s="1045">
        <v>67.209999999999994</v>
      </c>
      <c r="EP443" s="1045">
        <v>68.2</v>
      </c>
      <c r="EQ443" s="1045">
        <v>66.87</v>
      </c>
    </row>
    <row r="444" spans="1:153" x14ac:dyDescent="0.3">
      <c r="A444" s="4" t="s">
        <v>3540</v>
      </c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6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1024"/>
      <c r="DQ444" s="1024"/>
      <c r="DR444" s="1024"/>
      <c r="DS444" s="1024"/>
      <c r="DT444" s="1024"/>
      <c r="DU444" s="1034">
        <v>73.7</v>
      </c>
      <c r="DV444" s="1034">
        <v>76.27</v>
      </c>
      <c r="DW444" s="1034">
        <v>76.02</v>
      </c>
      <c r="DX444" s="1034">
        <v>76.34</v>
      </c>
      <c r="DY444" s="1033"/>
      <c r="DZ444" s="1034">
        <v>77.599999999999994</v>
      </c>
      <c r="EA444" s="1034">
        <v>77.53</v>
      </c>
      <c r="EB444" s="1034">
        <v>78.11</v>
      </c>
      <c r="EC444" s="1034">
        <v>79.5</v>
      </c>
      <c r="ED444" s="1033"/>
      <c r="EE444" s="1034">
        <v>79.52</v>
      </c>
      <c r="EF444" s="1034">
        <v>80.2</v>
      </c>
      <c r="EG444" s="1034">
        <v>80.47</v>
      </c>
      <c r="EH444" s="1034">
        <v>80.87</v>
      </c>
      <c r="EI444" s="1033"/>
      <c r="EJ444" s="1034">
        <v>82.32</v>
      </c>
      <c r="EK444" s="1034">
        <v>82.53</v>
      </c>
      <c r="EL444" s="1034">
        <v>84.49</v>
      </c>
      <c r="EM444" s="1034">
        <v>86.05</v>
      </c>
      <c r="EO444" s="1291">
        <v>85.57</v>
      </c>
      <c r="EP444" s="1291">
        <v>85.57</v>
      </c>
      <c r="EQ444" s="1291">
        <v>85.33</v>
      </c>
    </row>
    <row r="445" spans="1:153" x14ac:dyDescent="0.3">
      <c r="A445" s="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6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1024"/>
      <c r="DQ445" s="1024"/>
      <c r="DR445" s="1024"/>
      <c r="DS445" s="1024"/>
      <c r="DT445" s="1024"/>
      <c r="DU445" s="1034"/>
      <c r="DV445" s="1034"/>
      <c r="DW445" s="1034"/>
      <c r="DX445" s="1034"/>
      <c r="DY445" s="1033"/>
      <c r="DZ445" s="1034"/>
      <c r="EA445" s="1034"/>
      <c r="EB445" s="1034"/>
      <c r="EC445" s="1034"/>
      <c r="ED445" s="1033"/>
      <c r="EE445" s="1034"/>
      <c r="EF445" s="1034"/>
      <c r="EG445" s="1034"/>
      <c r="EH445" s="1034"/>
      <c r="EI445" s="1033"/>
      <c r="EJ445" s="1034"/>
      <c r="EK445" s="1034"/>
      <c r="EL445" s="1034"/>
      <c r="EM445" s="1034"/>
      <c r="EO445" s="1291"/>
      <c r="EP445" s="1291"/>
      <c r="EQ445" s="1291"/>
    </row>
    <row r="446" spans="1:153" x14ac:dyDescent="0.3">
      <c r="A446" s="90" t="s">
        <v>3541</v>
      </c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6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1024"/>
      <c r="DQ446" s="1024"/>
      <c r="DR446" s="1024"/>
      <c r="DS446" s="1024"/>
      <c r="DT446" s="1024"/>
      <c r="DU446" s="1034"/>
      <c r="DV446" s="1034"/>
      <c r="DW446" s="1034"/>
      <c r="DX446" s="1034"/>
      <c r="DY446" s="1033"/>
      <c r="DZ446" s="1034"/>
      <c r="EA446" s="1034"/>
      <c r="EB446" s="1034"/>
      <c r="EC446" s="1034"/>
      <c r="ED446" s="1033"/>
      <c r="EE446" s="1034"/>
      <c r="EF446" s="1034"/>
      <c r="EG446" s="1034"/>
      <c r="EH446" s="1034"/>
      <c r="EI446" s="1033"/>
      <c r="EJ446" s="1034"/>
      <c r="EK446" s="1034"/>
      <c r="EL446" s="1034"/>
    </row>
    <row r="447" spans="1:153" x14ac:dyDescent="0.3">
      <c r="A447" s="1" t="s">
        <v>3513</v>
      </c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6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1024"/>
      <c r="DQ447" s="1024"/>
      <c r="DR447" s="1024"/>
      <c r="DS447" s="1024"/>
      <c r="DT447" s="1024"/>
      <c r="DU447" s="1034"/>
      <c r="DV447" s="1034"/>
      <c r="DW447" s="1034"/>
      <c r="DX447" s="1034"/>
      <c r="DY447" s="1033"/>
      <c r="DZ447" s="1034"/>
      <c r="EA447" s="1034"/>
      <c r="EB447" s="1034"/>
      <c r="EC447" s="1034"/>
      <c r="ED447" s="1033"/>
      <c r="EE447" s="1034">
        <v>96.72</v>
      </c>
      <c r="EF447" s="1034">
        <v>101.63</v>
      </c>
      <c r="EG447" s="1034">
        <v>102.82</v>
      </c>
      <c r="EH447" s="1034">
        <v>105.3</v>
      </c>
      <c r="EI447" s="1033"/>
      <c r="EJ447" s="1034">
        <v>103.84</v>
      </c>
      <c r="EK447" s="1034">
        <v>105.03</v>
      </c>
      <c r="EL447" s="1034">
        <v>105.21</v>
      </c>
      <c r="EM447" s="1034">
        <v>105.34</v>
      </c>
      <c r="EN447" s="1044">
        <v>104.99</v>
      </c>
      <c r="EO447" s="1034">
        <v>101.92</v>
      </c>
      <c r="EP447" s="1034">
        <v>100.3</v>
      </c>
      <c r="EQ447" s="1034">
        <v>98.54</v>
      </c>
      <c r="ER447" s="1034">
        <v>98.86</v>
      </c>
      <c r="ES447" s="1044">
        <v>99.86</v>
      </c>
      <c r="ET447" s="1034">
        <v>98.4</v>
      </c>
      <c r="EU447" s="1034">
        <v>97.83</v>
      </c>
      <c r="EV447" s="1034">
        <v>98.71</v>
      </c>
      <c r="EW447" s="1034">
        <v>100.08</v>
      </c>
    </row>
    <row r="448" spans="1:153" x14ac:dyDescent="0.3">
      <c r="A448" s="1" t="s">
        <v>3514</v>
      </c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6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1024"/>
      <c r="DQ448" s="1024"/>
      <c r="DR448" s="1024"/>
      <c r="DS448" s="1024"/>
      <c r="DT448" s="1024"/>
      <c r="DU448" s="1034"/>
      <c r="DV448" s="1034"/>
      <c r="DW448" s="1034"/>
      <c r="DX448" s="1034"/>
      <c r="DY448" s="1033"/>
      <c r="DZ448" s="1034"/>
      <c r="EA448" s="1034"/>
      <c r="EB448" s="1034"/>
      <c r="EC448" s="1034"/>
      <c r="ED448" s="1033"/>
      <c r="EE448" s="1045">
        <v>63.8</v>
      </c>
      <c r="EF448" s="1045">
        <v>61.07</v>
      </c>
      <c r="EG448" s="1045">
        <v>59.15</v>
      </c>
      <c r="EH448" s="1045">
        <v>57.76</v>
      </c>
      <c r="EI448" s="1033"/>
      <c r="EJ448" s="1045">
        <v>59.35</v>
      </c>
      <c r="EK448" s="1045">
        <v>57.35</v>
      </c>
      <c r="EL448" s="1045">
        <v>59.25</v>
      </c>
      <c r="EM448" s="1045">
        <v>60.18</v>
      </c>
      <c r="EN448" s="1470">
        <v>59.03</v>
      </c>
      <c r="EO448" s="1045">
        <v>60.59</v>
      </c>
      <c r="EP448" s="1045">
        <v>61.26</v>
      </c>
      <c r="EQ448" s="1045">
        <v>59.87</v>
      </c>
      <c r="ER448" s="1045">
        <v>59.87</v>
      </c>
      <c r="ES448" s="1470">
        <v>60.39</v>
      </c>
      <c r="ET448" s="1045">
        <v>60.81</v>
      </c>
      <c r="EU448" s="1045">
        <v>63.83</v>
      </c>
      <c r="EV448" s="1045">
        <v>64.98</v>
      </c>
      <c r="EW448" s="1045">
        <v>64.94</v>
      </c>
    </row>
    <row r="449" spans="1:153" x14ac:dyDescent="0.3">
      <c r="A449" s="4" t="s">
        <v>3542</v>
      </c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6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1024"/>
      <c r="DQ449" s="1024"/>
      <c r="DR449" s="1024"/>
      <c r="DS449" s="1024"/>
      <c r="DT449" s="1024"/>
      <c r="DU449" s="1034"/>
      <c r="DV449" s="1034"/>
      <c r="DW449" s="1034"/>
      <c r="DX449" s="1034"/>
      <c r="DY449" s="1033"/>
      <c r="DZ449" s="1034"/>
      <c r="EA449" s="1034"/>
      <c r="EB449" s="1034"/>
      <c r="EC449" s="1034"/>
      <c r="ED449" s="1033"/>
      <c r="EE449" s="1034"/>
      <c r="EF449" s="1034"/>
      <c r="EG449" s="1034"/>
      <c r="EH449" s="1034"/>
      <c r="EI449" s="1033"/>
      <c r="EJ449" s="1034"/>
      <c r="EK449" s="1034"/>
      <c r="EL449" s="1034"/>
      <c r="EM449" s="1291">
        <v>80.28</v>
      </c>
      <c r="EN449" s="1291">
        <v>78.39</v>
      </c>
      <c r="EO449" s="1291"/>
      <c r="EP449" s="1291"/>
      <c r="EQ449" s="1291">
        <v>79.349999999999994</v>
      </c>
      <c r="ER449" s="1291">
        <v>80.17</v>
      </c>
      <c r="ES449" s="1291">
        <v>79.849999999999994</v>
      </c>
      <c r="ET449" s="1291">
        <v>81.069999999999993</v>
      </c>
      <c r="EU449" s="1291">
        <v>85.57</v>
      </c>
      <c r="EV449" s="1291">
        <v>84.52</v>
      </c>
      <c r="EW449" s="1291">
        <v>86.09</v>
      </c>
    </row>
    <row r="450" spans="1:153" x14ac:dyDescent="0.3">
      <c r="A450" s="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6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1024"/>
      <c r="DQ450" s="1024"/>
      <c r="DR450" s="1024"/>
      <c r="DS450" s="1024"/>
      <c r="DT450" s="1024"/>
      <c r="DU450" s="1034"/>
      <c r="DV450" s="1034"/>
      <c r="DW450" s="1034"/>
      <c r="DX450" s="1034"/>
      <c r="DY450" s="1033"/>
      <c r="DZ450" s="1034"/>
      <c r="EA450" s="1034"/>
      <c r="EB450" s="1034"/>
      <c r="EC450" s="1034"/>
      <c r="ED450" s="1033"/>
      <c r="EE450" s="1034"/>
      <c r="EF450" s="1034"/>
      <c r="EG450" s="1034"/>
      <c r="EH450" s="1034"/>
      <c r="EI450" s="1033"/>
      <c r="EJ450" s="1034"/>
      <c r="EK450" s="1034"/>
      <c r="EL450" s="1034"/>
      <c r="EM450" s="1034"/>
      <c r="EO450" s="1291"/>
      <c r="EP450" s="1291"/>
      <c r="EQ450" s="1291"/>
    </row>
    <row r="451" spans="1:153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6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43"/>
      <c r="CQ451" s="5"/>
      <c r="CR451" s="5"/>
      <c r="CS451" s="5"/>
      <c r="CT451" s="5"/>
      <c r="CU451" s="543"/>
      <c r="CV451" s="5"/>
      <c r="CW451" s="5"/>
      <c r="CX451" s="5"/>
      <c r="CY451" s="5"/>
      <c r="CZ451" s="543"/>
      <c r="DA451" s="5"/>
      <c r="DB451" s="5"/>
      <c r="DC451" s="5"/>
      <c r="DD451" s="5"/>
      <c r="DE451" s="543"/>
      <c r="DF451" s="7"/>
      <c r="DG451" s="7"/>
      <c r="DH451" s="7"/>
      <c r="DI451" s="7"/>
      <c r="DJ451" s="8"/>
      <c r="DK451" s="7"/>
      <c r="DL451" s="7"/>
      <c r="DM451" s="7"/>
      <c r="DN451" s="7"/>
      <c r="DO451" s="8"/>
      <c r="DP451" s="17"/>
      <c r="DQ451" s="17"/>
      <c r="DR451" s="17"/>
      <c r="DS451" s="17"/>
      <c r="DT451" s="1023"/>
      <c r="DU451" s="17"/>
      <c r="DV451" s="17"/>
      <c r="DW451" s="17"/>
      <c r="DX451" s="17"/>
      <c r="DY451" s="1023"/>
      <c r="DZ451" s="17"/>
      <c r="EA451" s="18"/>
      <c r="EB451" s="18"/>
      <c r="EC451" s="18"/>
      <c r="ED451" s="1023"/>
      <c r="EE451" s="18"/>
      <c r="EF451" s="18"/>
      <c r="EG451" s="18"/>
      <c r="EH451" s="18"/>
      <c r="EI451" s="1023"/>
      <c r="EK451" s="18"/>
      <c r="EL451" s="18"/>
      <c r="EM451" s="18"/>
    </row>
    <row r="452" spans="1:153" x14ac:dyDescent="0.3">
      <c r="A452" s="25" t="s">
        <v>3543</v>
      </c>
      <c r="B452" s="25"/>
      <c r="C452" s="25"/>
      <c r="D452" s="25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</row>
    <row r="453" spans="1:153" x14ac:dyDescent="0.3">
      <c r="A453" s="1" t="s">
        <v>3544</v>
      </c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6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43"/>
      <c r="CQ453" s="5"/>
      <c r="CR453" s="5"/>
      <c r="CS453" s="5"/>
      <c r="CT453" s="5"/>
      <c r="CU453" s="543"/>
      <c r="CV453" s="5"/>
      <c r="CW453" s="5"/>
      <c r="CX453" s="5"/>
      <c r="CY453" s="5"/>
      <c r="CZ453" s="543"/>
      <c r="DA453" s="5"/>
      <c r="DB453" s="5"/>
      <c r="DC453" s="5"/>
      <c r="DD453" s="5"/>
      <c r="DE453" s="543"/>
      <c r="DF453" s="7"/>
      <c r="DG453" s="7"/>
      <c r="DH453" s="7"/>
      <c r="DI453" s="7"/>
      <c r="DJ453" s="8"/>
      <c r="DK453" s="7"/>
      <c r="DL453" s="7"/>
      <c r="DM453" s="7"/>
      <c r="DN453" s="7"/>
      <c r="DO453" s="8"/>
      <c r="DP453" s="17"/>
      <c r="DQ453" s="17"/>
      <c r="DR453" s="17"/>
      <c r="DS453" s="17"/>
      <c r="DT453" s="1023"/>
      <c r="DU453" s="17"/>
      <c r="DV453" s="17"/>
      <c r="DW453" s="17"/>
      <c r="DX453" s="17"/>
      <c r="DY453" s="1023"/>
      <c r="DZ453" s="17"/>
      <c r="EA453" s="18"/>
      <c r="EB453" s="18"/>
      <c r="EC453" s="18"/>
      <c r="ED453" s="1023"/>
      <c r="EE453" s="1037">
        <v>0.28699999999999998</v>
      </c>
      <c r="EF453" s="1037">
        <v>0.29599999999999999</v>
      </c>
      <c r="EG453" s="1037">
        <v>0.3</v>
      </c>
      <c r="EH453" s="1037">
        <v>0.22</v>
      </c>
      <c r="EI453" s="1023"/>
      <c r="EJ453" s="1037">
        <v>0.22</v>
      </c>
      <c r="EK453" s="1037">
        <v>0.22</v>
      </c>
      <c r="EL453" s="1037">
        <v>0.22</v>
      </c>
      <c r="EM453" s="1037">
        <v>0.22</v>
      </c>
      <c r="EO453" s="1037">
        <v>0.22</v>
      </c>
      <c r="EP453" s="1037">
        <v>0.22</v>
      </c>
      <c r="EQ453" s="1037">
        <v>0.22</v>
      </c>
      <c r="ER453" s="1037">
        <v>0.22</v>
      </c>
    </row>
    <row r="454" spans="1:153" x14ac:dyDescent="0.3">
      <c r="A454" s="1" t="s">
        <v>3545</v>
      </c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6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43"/>
      <c r="CQ454" s="5"/>
      <c r="CR454" s="5"/>
      <c r="CS454" s="5"/>
      <c r="CT454" s="5"/>
      <c r="CU454" s="543"/>
      <c r="CV454" s="5"/>
      <c r="CW454" s="5"/>
      <c r="CX454" s="5"/>
      <c r="CY454" s="5"/>
      <c r="CZ454" s="543"/>
      <c r="DA454" s="5"/>
      <c r="DB454" s="5"/>
      <c r="DC454" s="5"/>
      <c r="DD454" s="5"/>
      <c r="DE454" s="543"/>
      <c r="DF454" s="7"/>
      <c r="DG454" s="7"/>
      <c r="DH454" s="7"/>
      <c r="DI454" s="7"/>
      <c r="DJ454" s="8"/>
      <c r="DK454" s="7"/>
      <c r="DL454" s="7"/>
      <c r="DM454" s="7"/>
      <c r="DN454" s="7"/>
      <c r="DO454" s="8"/>
      <c r="DP454" s="17"/>
      <c r="DQ454" s="17"/>
      <c r="DR454" s="17"/>
      <c r="DS454" s="17"/>
      <c r="DT454" s="1023"/>
      <c r="DU454" s="17"/>
      <c r="DV454" s="17"/>
      <c r="DW454" s="17"/>
      <c r="DX454" s="17"/>
      <c r="DY454" s="1023"/>
      <c r="DZ454" s="17"/>
      <c r="EA454" s="18"/>
      <c r="EB454" s="18"/>
      <c r="EC454" s="18"/>
      <c r="ED454" s="1023"/>
      <c r="EE454" s="1037"/>
      <c r="EF454" s="1037"/>
      <c r="EG454" s="1037"/>
      <c r="EH454" s="1037"/>
      <c r="EI454" s="1023"/>
      <c r="EJ454" s="1037">
        <v>0.44</v>
      </c>
      <c r="EK454" s="1037">
        <v>0.44</v>
      </c>
      <c r="EL454" s="1037">
        <v>0.42</v>
      </c>
      <c r="EM454" s="1037">
        <v>0.31</v>
      </c>
      <c r="EO454" s="1037">
        <v>0.31</v>
      </c>
      <c r="EP454" s="1037">
        <v>0.31</v>
      </c>
      <c r="EQ454" s="1037">
        <v>0.31</v>
      </c>
      <c r="ER454" s="1037">
        <v>0.31</v>
      </c>
    </row>
    <row r="455" spans="1:153" x14ac:dyDescent="0.3">
      <c r="A455" s="1" t="s">
        <v>3546</v>
      </c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6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43"/>
      <c r="CQ455" s="5"/>
      <c r="CR455" s="5"/>
      <c r="CS455" s="5"/>
      <c r="CT455" s="5"/>
      <c r="CU455" s="543"/>
      <c r="CV455" s="5"/>
      <c r="CW455" s="5"/>
      <c r="CX455" s="5"/>
      <c r="CY455" s="5"/>
      <c r="CZ455" s="543"/>
      <c r="DA455" s="5"/>
      <c r="DB455" s="5"/>
      <c r="DC455" s="5"/>
      <c r="DD455" s="5"/>
      <c r="DE455" s="543"/>
      <c r="DF455" s="7"/>
      <c r="DG455" s="7"/>
      <c r="DH455" s="7"/>
      <c r="DI455" s="7"/>
      <c r="DJ455" s="8"/>
      <c r="DK455" s="7"/>
      <c r="DL455" s="7"/>
      <c r="DM455" s="7"/>
      <c r="DN455" s="7"/>
      <c r="DO455" s="8"/>
      <c r="DP455" s="17"/>
      <c r="DQ455" s="17"/>
      <c r="DR455" s="17"/>
      <c r="DS455" s="17"/>
      <c r="DT455" s="1023"/>
      <c r="DU455" s="17"/>
      <c r="DV455" s="17"/>
      <c r="DW455" s="17"/>
      <c r="DX455" s="17"/>
      <c r="DY455" s="1023"/>
      <c r="DZ455" s="17"/>
      <c r="EA455" s="18"/>
      <c r="EB455" s="18"/>
      <c r="EC455" s="18"/>
      <c r="ED455" s="1023"/>
      <c r="EE455" s="1037"/>
      <c r="EF455" s="1037"/>
      <c r="EG455" s="1037"/>
      <c r="EH455" s="1037"/>
      <c r="EI455" s="1023"/>
      <c r="EJ455" s="1037"/>
      <c r="EK455" s="1037"/>
      <c r="EL455" s="1037"/>
      <c r="EM455" s="1037"/>
      <c r="EO455" s="1037"/>
      <c r="EP455" s="1037"/>
      <c r="EQ455" s="1037"/>
      <c r="ER455" s="1037">
        <v>0.35</v>
      </c>
    </row>
    <row r="456" spans="1:153" x14ac:dyDescent="0.3">
      <c r="A456" s="1" t="s">
        <v>3547</v>
      </c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6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43"/>
      <c r="CQ456" s="5"/>
      <c r="CR456" s="5"/>
      <c r="CS456" s="5"/>
      <c r="CT456" s="5"/>
      <c r="CU456" s="543"/>
      <c r="CV456" s="5"/>
      <c r="CW456" s="5"/>
      <c r="CX456" s="5"/>
      <c r="CY456" s="5"/>
      <c r="CZ456" s="543"/>
      <c r="DA456" s="5"/>
      <c r="DB456" s="5"/>
      <c r="DC456" s="5"/>
      <c r="DD456" s="5"/>
      <c r="DE456" s="543"/>
      <c r="DF456" s="7"/>
      <c r="DG456" s="7"/>
      <c r="DH456" s="7"/>
      <c r="DI456" s="7"/>
      <c r="DJ456" s="8"/>
      <c r="DK456" s="7"/>
      <c r="DL456" s="7"/>
      <c r="DM456" s="7"/>
      <c r="DN456" s="7"/>
      <c r="DO456" s="8"/>
      <c r="DP456" s="17"/>
      <c r="DQ456" s="17"/>
      <c r="DR456" s="17"/>
      <c r="DS456" s="17"/>
      <c r="DT456" s="1023"/>
      <c r="DU456" s="17"/>
      <c r="DV456" s="17"/>
      <c r="DW456" s="17"/>
      <c r="DX456" s="17"/>
      <c r="DY456" s="1023"/>
      <c r="DZ456" s="17"/>
      <c r="EA456" s="18"/>
      <c r="EB456" s="18"/>
      <c r="EC456" s="18"/>
      <c r="ED456" s="1023"/>
      <c r="EE456" s="1037">
        <v>0.28699999999999998</v>
      </c>
      <c r="EF456" s="1037">
        <v>0.29599999999999999</v>
      </c>
      <c r="EG456" s="1037">
        <v>0.3</v>
      </c>
      <c r="EH456" s="1037">
        <v>0.22</v>
      </c>
      <c r="EI456" s="1023"/>
      <c r="EJ456" s="1037">
        <v>0.18</v>
      </c>
      <c r="EK456" s="1037">
        <v>0.17</v>
      </c>
      <c r="EL456" s="1037">
        <v>0.17</v>
      </c>
      <c r="EM456" s="1037">
        <v>0.18</v>
      </c>
      <c r="EO456" s="1037">
        <v>0.18</v>
      </c>
      <c r="EP456" s="1037">
        <v>0.18</v>
      </c>
      <c r="EQ456" s="1037">
        <v>0.18</v>
      </c>
      <c r="ER456" s="1037">
        <v>0.18</v>
      </c>
    </row>
    <row r="457" spans="1:153" x14ac:dyDescent="0.3">
      <c r="A457" s="1" t="s">
        <v>3548</v>
      </c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6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43"/>
      <c r="CQ457" s="5"/>
      <c r="CR457" s="5"/>
      <c r="CS457" s="5"/>
      <c r="CT457" s="5"/>
      <c r="CU457" s="543"/>
      <c r="CV457" s="5"/>
      <c r="CW457" s="5"/>
      <c r="CX457" s="5"/>
      <c r="CY457" s="5"/>
      <c r="CZ457" s="543"/>
      <c r="DA457" s="5"/>
      <c r="DB457" s="5"/>
      <c r="DC457" s="5"/>
      <c r="DD457" s="5"/>
      <c r="DE457" s="543"/>
      <c r="DF457" s="7"/>
      <c r="DG457" s="7"/>
      <c r="DH457" s="7"/>
      <c r="DI457" s="7"/>
      <c r="DJ457" s="8"/>
      <c r="DK457" s="7"/>
      <c r="DL457" s="7"/>
      <c r="DM457" s="7"/>
      <c r="DN457" s="7"/>
      <c r="DO457" s="8"/>
      <c r="DP457" s="17"/>
      <c r="DQ457" s="17"/>
      <c r="DR457" s="17"/>
      <c r="DS457" s="17"/>
      <c r="DT457" s="1023"/>
      <c r="DU457" s="17"/>
      <c r="DV457" s="17"/>
      <c r="DW457" s="17"/>
      <c r="DX457" s="17"/>
      <c r="DY457" s="1023"/>
      <c r="DZ457" s="17"/>
      <c r="EA457" s="18"/>
      <c r="EB457" s="18"/>
      <c r="EC457" s="18"/>
      <c r="ED457" s="1023"/>
      <c r="EE457" s="1037"/>
      <c r="EF457" s="1037"/>
      <c r="EG457" s="1037"/>
      <c r="EH457" s="1037"/>
      <c r="EI457" s="1023"/>
      <c r="EJ457" s="1037"/>
      <c r="EK457" s="1037"/>
      <c r="EL457" s="1037"/>
      <c r="EM457" s="1037"/>
      <c r="EO457" s="1037">
        <v>0.25</v>
      </c>
      <c r="EP457" s="1037">
        <v>0.24</v>
      </c>
      <c r="EQ457" s="1037">
        <v>0.25</v>
      </c>
      <c r="ER457" s="1037">
        <v>0.25</v>
      </c>
    </row>
    <row r="458" spans="1:153" x14ac:dyDescent="0.3">
      <c r="A458" s="1" t="s">
        <v>3549</v>
      </c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6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43"/>
      <c r="CQ458" s="5"/>
      <c r="CR458" s="5"/>
      <c r="CS458" s="5"/>
      <c r="CT458" s="5"/>
      <c r="CU458" s="543"/>
      <c r="CV458" s="5"/>
      <c r="CW458" s="5"/>
      <c r="CX458" s="5"/>
      <c r="CY458" s="5"/>
      <c r="CZ458" s="543"/>
      <c r="DA458" s="5"/>
      <c r="DB458" s="5"/>
      <c r="DC458" s="5"/>
      <c r="DD458" s="5"/>
      <c r="DE458" s="543"/>
      <c r="DF458" s="7"/>
      <c r="DG458" s="7"/>
      <c r="DH458" s="7"/>
      <c r="DI458" s="7"/>
      <c r="DJ458" s="8"/>
      <c r="DK458" s="7"/>
      <c r="DL458" s="7"/>
      <c r="DM458" s="7"/>
      <c r="DN458" s="7"/>
      <c r="DO458" s="8"/>
      <c r="DP458" s="17"/>
      <c r="DQ458" s="17"/>
      <c r="DR458" s="17"/>
      <c r="DS458" s="17"/>
      <c r="DT458" s="1023"/>
      <c r="DU458" s="17"/>
      <c r="DV458" s="17"/>
      <c r="DW458" s="17"/>
      <c r="DX458" s="17"/>
      <c r="DY458" s="1023"/>
      <c r="DZ458" s="17"/>
      <c r="EA458" s="18"/>
      <c r="EB458" s="18"/>
      <c r="EC458" s="18"/>
      <c r="ED458" s="1023"/>
      <c r="EE458" s="1037"/>
      <c r="EF458" s="1037"/>
      <c r="EG458" s="1037"/>
      <c r="EH458" s="1037"/>
      <c r="EI458" s="1023"/>
      <c r="EJ458" s="1037"/>
      <c r="EK458" s="1037"/>
      <c r="EL458" s="1037"/>
      <c r="EM458" s="1037"/>
      <c r="EO458" s="1037">
        <v>0.2</v>
      </c>
      <c r="EP458" s="1037">
        <v>0.19</v>
      </c>
      <c r="EQ458" s="1037">
        <v>0.18</v>
      </c>
      <c r="ER458" s="1037">
        <v>0.18</v>
      </c>
    </row>
    <row r="459" spans="1:153" x14ac:dyDescent="0.3">
      <c r="A459" s="1" t="s">
        <v>3550</v>
      </c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6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43"/>
      <c r="CQ459" s="5"/>
      <c r="CR459" s="5"/>
      <c r="CS459" s="5"/>
      <c r="CT459" s="5"/>
      <c r="CU459" s="543"/>
      <c r="CV459" s="5"/>
      <c r="CW459" s="5"/>
      <c r="CX459" s="5"/>
      <c r="CY459" s="5"/>
      <c r="CZ459" s="543"/>
      <c r="DA459" s="5"/>
      <c r="DB459" s="5"/>
      <c r="DC459" s="5"/>
      <c r="DD459" s="5"/>
      <c r="DE459" s="543"/>
      <c r="DF459" s="7"/>
      <c r="DG459" s="7"/>
      <c r="DH459" s="7"/>
      <c r="DI459" s="7"/>
      <c r="DJ459" s="8"/>
      <c r="DK459" s="7"/>
      <c r="DL459" s="7"/>
      <c r="DM459" s="7"/>
      <c r="DN459" s="7"/>
      <c r="DO459" s="8"/>
      <c r="DP459" s="17"/>
      <c r="DQ459" s="17"/>
      <c r="DR459" s="17"/>
      <c r="DS459" s="17"/>
      <c r="DT459" s="1023"/>
      <c r="DU459" s="17"/>
      <c r="DV459" s="17"/>
      <c r="DW459" s="17"/>
      <c r="DX459" s="17"/>
      <c r="DY459" s="1023"/>
      <c r="DZ459" s="17"/>
      <c r="EA459" s="18"/>
      <c r="EB459" s="18"/>
      <c r="EC459" s="18"/>
      <c r="ED459" s="1023"/>
      <c r="EE459" s="1037"/>
      <c r="EF459" s="1037"/>
      <c r="EG459" s="1037"/>
      <c r="EH459" s="1037"/>
      <c r="EI459" s="1023"/>
      <c r="EJ459" s="1037"/>
      <c r="EK459" s="1037"/>
      <c r="EL459" s="1037"/>
      <c r="EM459" s="1037"/>
      <c r="EO459" s="1037"/>
      <c r="EP459" s="1037"/>
      <c r="EQ459" s="1037"/>
      <c r="ER459" s="1037"/>
      <c r="ET459" s="1037">
        <v>0.26</v>
      </c>
      <c r="EU459" s="1037"/>
    </row>
    <row r="460" spans="1:153" x14ac:dyDescent="0.3">
      <c r="A460" s="1" t="s">
        <v>3551</v>
      </c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6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43"/>
      <c r="CQ460" s="5"/>
      <c r="CR460" s="5"/>
      <c r="CS460" s="5"/>
      <c r="CT460" s="5"/>
      <c r="CU460" s="543"/>
      <c r="CV460" s="5"/>
      <c r="CW460" s="5"/>
      <c r="CX460" s="5"/>
      <c r="CY460" s="5"/>
      <c r="CZ460" s="543"/>
      <c r="DA460" s="5"/>
      <c r="DB460" s="5"/>
      <c r="DC460" s="5"/>
      <c r="DD460" s="5"/>
      <c r="DE460" s="543"/>
      <c r="DF460" s="7"/>
      <c r="DG460" s="7"/>
      <c r="DH460" s="7"/>
      <c r="DI460" s="7"/>
      <c r="DJ460" s="8"/>
      <c r="DK460" s="7"/>
      <c r="DL460" s="7"/>
      <c r="DM460" s="7"/>
      <c r="DN460" s="7"/>
      <c r="DO460" s="8"/>
      <c r="DP460" s="17"/>
      <c r="DQ460" s="17"/>
      <c r="DR460" s="17"/>
      <c r="DS460" s="17"/>
      <c r="DT460" s="1023"/>
      <c r="DU460" s="17"/>
      <c r="DV460" s="17"/>
      <c r="DW460" s="17"/>
      <c r="DX460" s="17"/>
      <c r="DY460" s="1023"/>
      <c r="DZ460" s="17"/>
      <c r="EA460" s="18"/>
      <c r="EB460" s="18"/>
      <c r="EC460" s="18"/>
      <c r="ED460" s="1023"/>
      <c r="EE460" s="1037"/>
      <c r="EF460" s="1037"/>
      <c r="EG460" s="1037"/>
      <c r="EH460" s="1037"/>
      <c r="EI460" s="1023"/>
      <c r="EJ460" s="1037"/>
      <c r="EK460" s="1037"/>
      <c r="EL460" s="1037"/>
      <c r="EM460" s="1037"/>
      <c r="EO460" s="1037"/>
      <c r="EP460" s="1037"/>
      <c r="EQ460" s="1037"/>
      <c r="ER460" s="1037"/>
      <c r="ET460" s="1037">
        <v>0.18</v>
      </c>
      <c r="EU460" s="1037"/>
    </row>
    <row r="461" spans="1:153" x14ac:dyDescent="0.3">
      <c r="A461" s="1" t="s">
        <v>3552</v>
      </c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6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43"/>
      <c r="CQ461" s="5"/>
      <c r="CR461" s="5"/>
      <c r="CS461" s="5"/>
      <c r="CT461" s="5"/>
      <c r="CU461" s="543"/>
      <c r="CV461" s="5"/>
      <c r="CW461" s="5"/>
      <c r="CX461" s="5"/>
      <c r="CY461" s="5"/>
      <c r="CZ461" s="543"/>
      <c r="DA461" s="5"/>
      <c r="DB461" s="5"/>
      <c r="DC461" s="5"/>
      <c r="DD461" s="5"/>
      <c r="DE461" s="543"/>
      <c r="DF461" s="7"/>
      <c r="DG461" s="7"/>
      <c r="DH461" s="7"/>
      <c r="DI461" s="7"/>
      <c r="DJ461" s="8"/>
      <c r="DK461" s="7"/>
      <c r="DL461" s="7"/>
      <c r="DM461" s="7"/>
      <c r="DN461" s="7"/>
      <c r="DO461" s="8"/>
      <c r="DP461" s="17"/>
      <c r="DQ461" s="17"/>
      <c r="DR461" s="17"/>
      <c r="DS461" s="17"/>
      <c r="DT461" s="1023"/>
      <c r="DU461" s="17"/>
      <c r="DV461" s="17"/>
      <c r="DW461" s="17"/>
      <c r="DX461" s="17"/>
      <c r="DY461" s="1023"/>
      <c r="DZ461" s="17"/>
      <c r="EA461" s="18"/>
      <c r="EB461" s="18"/>
      <c r="EC461" s="18"/>
      <c r="ED461" s="1023"/>
      <c r="EE461" s="1093">
        <v>9</v>
      </c>
      <c r="EF461" s="1093">
        <v>17</v>
      </c>
      <c r="EG461" s="1093">
        <v>26</v>
      </c>
      <c r="EH461" s="1093">
        <v>86</v>
      </c>
      <c r="EI461" s="1023"/>
      <c r="EJ461" s="1094">
        <f>EH461</f>
        <v>86</v>
      </c>
      <c r="EK461" s="1094">
        <f>EJ461</f>
        <v>86</v>
      </c>
      <c r="EL461" s="1094">
        <f>EK461</f>
        <v>86</v>
      </c>
      <c r="EM461" s="1094">
        <f>EL461</f>
        <v>86</v>
      </c>
    </row>
    <row r="462" spans="1:153" x14ac:dyDescent="0.3">
      <c r="A462" s="1" t="s">
        <v>3553</v>
      </c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6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43"/>
      <c r="CQ462" s="5"/>
      <c r="CR462" s="5"/>
      <c r="CS462" s="5"/>
      <c r="CT462" s="5"/>
      <c r="CU462" s="543"/>
      <c r="CV462" s="5"/>
      <c r="CW462" s="5"/>
      <c r="CX462" s="5"/>
      <c r="CY462" s="5"/>
      <c r="CZ462" s="543"/>
      <c r="DA462" s="5"/>
      <c r="DB462" s="5"/>
      <c r="DC462" s="5"/>
      <c r="DD462" s="5"/>
      <c r="DE462" s="543"/>
      <c r="DF462" s="7"/>
      <c r="DG462" s="7"/>
      <c r="DH462" s="7"/>
      <c r="DI462" s="7"/>
      <c r="DJ462" s="8"/>
      <c r="DK462" s="7"/>
      <c r="DL462" s="7"/>
      <c r="DM462" s="7"/>
      <c r="DN462" s="7"/>
      <c r="DO462" s="8"/>
      <c r="DP462" s="17"/>
      <c r="DQ462" s="17"/>
      <c r="DR462" s="17"/>
      <c r="DS462" s="17"/>
      <c r="DT462" s="1023"/>
      <c r="DU462" s="17"/>
      <c r="DV462" s="17"/>
      <c r="DW462" s="17"/>
      <c r="DX462" s="17"/>
      <c r="DY462" s="1023"/>
      <c r="DZ462" s="17"/>
      <c r="EA462" s="18"/>
      <c r="EB462" s="18"/>
      <c r="EC462" s="18"/>
      <c r="ED462" s="1023"/>
      <c r="EE462" s="1093"/>
      <c r="EF462" s="1093"/>
      <c r="EG462" s="1093"/>
      <c r="EH462" s="1093"/>
      <c r="EI462" s="1023"/>
      <c r="EJ462" s="1093">
        <v>104</v>
      </c>
      <c r="EK462" s="1093">
        <v>261</v>
      </c>
      <c r="EL462" s="1093">
        <v>446</v>
      </c>
      <c r="EM462" s="1093">
        <v>638</v>
      </c>
      <c r="EO462" s="887">
        <f>EM462</f>
        <v>638</v>
      </c>
      <c r="EP462" s="887">
        <f t="shared" ref="EP462:ER463" si="459">+EO462</f>
        <v>638</v>
      </c>
      <c r="EQ462" s="887">
        <f t="shared" si="459"/>
        <v>638</v>
      </c>
      <c r="ER462" s="887">
        <f t="shared" si="459"/>
        <v>638</v>
      </c>
      <c r="ET462" s="887">
        <f>+ER462</f>
        <v>638</v>
      </c>
      <c r="EU462" s="887"/>
    </row>
    <row r="463" spans="1:153" x14ac:dyDescent="0.3">
      <c r="A463" s="1" t="s">
        <v>3554</v>
      </c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6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43"/>
      <c r="CQ463" s="5"/>
      <c r="CR463" s="5"/>
      <c r="CS463" s="5"/>
      <c r="CT463" s="5"/>
      <c r="CU463" s="543"/>
      <c r="CV463" s="5"/>
      <c r="CW463" s="5"/>
      <c r="CX463" s="5"/>
      <c r="CY463" s="5"/>
      <c r="CZ463" s="543"/>
      <c r="DA463" s="5"/>
      <c r="DB463" s="5"/>
      <c r="DC463" s="5"/>
      <c r="DD463" s="5"/>
      <c r="DE463" s="543"/>
      <c r="DF463" s="7"/>
      <c r="DG463" s="7"/>
      <c r="DH463" s="7"/>
      <c r="DI463" s="7"/>
      <c r="DJ463" s="8"/>
      <c r="DK463" s="7"/>
      <c r="DL463" s="7"/>
      <c r="DM463" s="7"/>
      <c r="DN463" s="7"/>
      <c r="DO463" s="8"/>
      <c r="DP463" s="17"/>
      <c r="DQ463" s="17"/>
      <c r="DR463" s="17"/>
      <c r="DS463" s="17"/>
      <c r="DT463" s="1023"/>
      <c r="DU463" s="17"/>
      <c r="DV463" s="17"/>
      <c r="DW463" s="17"/>
      <c r="DX463" s="17"/>
      <c r="DY463" s="1023"/>
      <c r="DZ463" s="17"/>
      <c r="EA463" s="18"/>
      <c r="EB463" s="18"/>
      <c r="EC463" s="18"/>
      <c r="ED463" s="1023"/>
      <c r="EE463" s="1093"/>
      <c r="EF463" s="1093"/>
      <c r="EG463" s="1093"/>
      <c r="EH463" s="1093"/>
      <c r="EI463" s="1023"/>
      <c r="EJ463" s="1093">
        <v>211</v>
      </c>
      <c r="EK463" s="1093">
        <v>493</v>
      </c>
      <c r="EL463" s="1093">
        <v>844</v>
      </c>
      <c r="EM463" s="1093">
        <v>1225</v>
      </c>
      <c r="EO463" s="887">
        <f>EM463</f>
        <v>1225</v>
      </c>
      <c r="EP463" s="887">
        <f t="shared" si="459"/>
        <v>1225</v>
      </c>
      <c r="EQ463" s="887">
        <f t="shared" si="459"/>
        <v>1225</v>
      </c>
      <c r="ER463" s="887">
        <f t="shared" si="459"/>
        <v>1225</v>
      </c>
      <c r="ET463" s="887">
        <f>+ER463</f>
        <v>1225</v>
      </c>
      <c r="EU463" s="887"/>
    </row>
    <row r="464" spans="1:153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6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43"/>
      <c r="CQ464" s="5"/>
      <c r="CR464" s="5"/>
      <c r="CS464" s="5"/>
      <c r="CT464" s="5"/>
      <c r="CU464" s="543"/>
      <c r="CV464" s="5"/>
      <c r="CW464" s="5"/>
      <c r="CX464" s="5"/>
      <c r="CY464" s="5"/>
      <c r="CZ464" s="543"/>
      <c r="DA464" s="5"/>
      <c r="DB464" s="5"/>
      <c r="DC464" s="5"/>
      <c r="DD464" s="5"/>
      <c r="DE464" s="543"/>
      <c r="DF464" s="7"/>
      <c r="DG464" s="7"/>
      <c r="DH464" s="7"/>
      <c r="DI464" s="7"/>
      <c r="DJ464" s="8"/>
      <c r="DK464" s="7"/>
      <c r="DL464" s="7"/>
      <c r="DM464" s="7"/>
      <c r="DN464" s="7"/>
      <c r="DO464" s="8"/>
      <c r="DP464" s="17"/>
      <c r="DQ464" s="17"/>
      <c r="DR464" s="17"/>
      <c r="DS464" s="17"/>
      <c r="DT464" s="1023"/>
      <c r="DU464" s="17"/>
      <c r="DV464" s="17"/>
      <c r="DW464" s="17"/>
      <c r="DX464" s="17"/>
      <c r="DY464" s="1023"/>
      <c r="DZ464" s="17"/>
      <c r="EA464" s="18"/>
      <c r="EB464" s="18"/>
      <c r="EC464" s="18"/>
      <c r="ED464" s="1023"/>
      <c r="EE464" s="1093"/>
      <c r="EF464" s="1093"/>
      <c r="EG464" s="1093"/>
      <c r="EH464" s="1093"/>
      <c r="EI464" s="1023"/>
      <c r="EJ464" s="1093"/>
      <c r="EK464" s="1093"/>
      <c r="EL464" s="1093"/>
      <c r="EM464" s="1093"/>
      <c r="EO464" s="887"/>
      <c r="EP464" s="887"/>
      <c r="EQ464" s="887"/>
    </row>
    <row r="465" spans="1:153" x14ac:dyDescent="0.3">
      <c r="A465" s="1" t="s">
        <v>3555</v>
      </c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6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43"/>
      <c r="CQ465" s="5"/>
      <c r="CR465" s="5"/>
      <c r="CS465" s="5"/>
      <c r="CT465" s="5"/>
      <c r="CU465" s="543"/>
      <c r="CV465" s="5"/>
      <c r="CW465" s="5"/>
      <c r="CX465" s="5"/>
      <c r="CY465" s="5"/>
      <c r="CZ465" s="543"/>
      <c r="DA465" s="5"/>
      <c r="DB465" s="5"/>
      <c r="DC465" s="5"/>
      <c r="DD465" s="5"/>
      <c r="DE465" s="543"/>
      <c r="DF465" s="7"/>
      <c r="DG465" s="7"/>
      <c r="DH465" s="7"/>
      <c r="DI465" s="7"/>
      <c r="DJ465" s="8"/>
      <c r="DK465" s="7"/>
      <c r="DL465" s="7"/>
      <c r="DM465" s="7"/>
      <c r="DN465" s="7"/>
      <c r="DO465" s="8"/>
      <c r="DP465" s="17"/>
      <c r="DQ465" s="17"/>
      <c r="DR465" s="17"/>
      <c r="DS465" s="17"/>
      <c r="DT465" s="1023"/>
      <c r="DU465" s="17"/>
      <c r="DV465" s="17"/>
      <c r="DW465" s="17"/>
      <c r="DX465" s="17"/>
      <c r="DY465" s="1023"/>
      <c r="DZ465" s="17"/>
      <c r="EA465" s="18"/>
      <c r="EB465" s="18"/>
      <c r="EC465" s="18"/>
      <c r="ED465" s="1023"/>
      <c r="EE465" s="1093"/>
      <c r="EF465" s="1093"/>
      <c r="EG465" s="1093"/>
      <c r="EH465" s="1093"/>
      <c r="EI465" s="1023"/>
      <c r="EJ465" s="1093"/>
      <c r="EK465" s="1093"/>
      <c r="EL465" s="1093"/>
      <c r="EM465" s="1093"/>
      <c r="EO465" s="887"/>
      <c r="EP465" s="887"/>
      <c r="EQ465" s="887">
        <f>AVERAGE(EP365:EQ365)</f>
        <v>1759.5</v>
      </c>
      <c r="ER465" s="887">
        <f>AVERAGE(EQ365:ER365)</f>
        <v>1837.5</v>
      </c>
      <c r="ET465" s="887">
        <f>AVERAGE(ES365:ET365)</f>
        <v>1963</v>
      </c>
      <c r="EU465" s="887">
        <f>AVERAGE(ET365:EU365)</f>
        <v>2008</v>
      </c>
      <c r="EV465" s="887">
        <f>AVERAGE(EU365:EV365)</f>
        <v>2105</v>
      </c>
      <c r="EW465" s="887">
        <f>AVERAGE(EV365:EW365)</f>
        <v>2203</v>
      </c>
    </row>
    <row r="466" spans="1:153" x14ac:dyDescent="0.3">
      <c r="A466" s="1" t="s">
        <v>3556</v>
      </c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6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43"/>
      <c r="CQ466" s="5"/>
      <c r="CR466" s="5"/>
      <c r="CS466" s="5"/>
      <c r="CT466" s="5"/>
      <c r="CU466" s="543"/>
      <c r="CV466" s="5"/>
      <c r="CW466" s="5"/>
      <c r="CX466" s="5"/>
      <c r="CY466" s="5"/>
      <c r="CZ466" s="543"/>
      <c r="DA466" s="5"/>
      <c r="DB466" s="5"/>
      <c r="DC466" s="5"/>
      <c r="DD466" s="5"/>
      <c r="DE466" s="543"/>
      <c r="DF466" s="7"/>
      <c r="DG466" s="7"/>
      <c r="DH466" s="7"/>
      <c r="DI466" s="7"/>
      <c r="DJ466" s="8"/>
      <c r="DK466" s="7"/>
      <c r="DL466" s="7"/>
      <c r="DM466" s="7"/>
      <c r="DN466" s="7"/>
      <c r="DO466" s="8"/>
      <c r="DP466" s="17"/>
      <c r="DQ466" s="17"/>
      <c r="DR466" s="17"/>
      <c r="DS466" s="17"/>
      <c r="DT466" s="1023"/>
      <c r="DU466" s="17"/>
      <c r="DV466" s="17"/>
      <c r="DW466" s="17"/>
      <c r="DX466" s="17"/>
      <c r="DY466" s="1023"/>
      <c r="DZ466" s="17"/>
      <c r="EA466" s="18"/>
      <c r="EB466" s="18"/>
      <c r="EC466" s="18"/>
      <c r="ED466" s="1023"/>
      <c r="EE466" s="1093"/>
      <c r="EF466" s="1093"/>
      <c r="EG466" s="1093"/>
      <c r="EH466" s="1093"/>
      <c r="EI466" s="1023"/>
      <c r="EJ466" s="1093"/>
      <c r="EK466" s="1093"/>
      <c r="EL466" s="1093"/>
      <c r="EM466" s="1093"/>
      <c r="EO466" s="887"/>
      <c r="EP466" s="887"/>
      <c r="EQ466" s="1428">
        <f>+EQ429</f>
        <v>64.489999999999995</v>
      </c>
      <c r="ER466" s="1428">
        <f>+ER429</f>
        <v>64.16</v>
      </c>
      <c r="ET466" s="1428">
        <f>+ET429</f>
        <v>65.180000000000007</v>
      </c>
      <c r="EU466" s="1428">
        <f>+EU429</f>
        <v>65.319999999999993</v>
      </c>
      <c r="EV466" s="1428">
        <f>+EV429</f>
        <v>65.400000000000006</v>
      </c>
      <c r="EW466" s="1428">
        <f>+EW429</f>
        <v>65.98</v>
      </c>
    </row>
    <row r="467" spans="1:153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6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43"/>
      <c r="CQ467" s="5"/>
      <c r="CR467" s="5"/>
      <c r="CS467" s="5"/>
      <c r="CT467" s="5"/>
      <c r="CU467" s="543"/>
      <c r="CV467" s="5"/>
      <c r="CW467" s="5"/>
      <c r="CX467" s="5"/>
      <c r="CY467" s="5"/>
      <c r="CZ467" s="543"/>
      <c r="DA467" s="5"/>
      <c r="DB467" s="5"/>
      <c r="DC467" s="5"/>
      <c r="DD467" s="5"/>
      <c r="DE467" s="543"/>
      <c r="DF467" s="7"/>
      <c r="DG467" s="7"/>
      <c r="DH467" s="7"/>
      <c r="DI467" s="7"/>
      <c r="DJ467" s="8"/>
      <c r="DK467" s="7"/>
      <c r="DL467" s="7"/>
      <c r="DM467" s="7"/>
      <c r="DN467" s="7"/>
      <c r="DO467" s="8"/>
      <c r="DP467" s="17"/>
      <c r="DQ467" s="17"/>
      <c r="DR467" s="17"/>
      <c r="DS467" s="17"/>
      <c r="DT467" s="1023"/>
      <c r="DU467" s="17"/>
      <c r="DV467" s="17"/>
      <c r="DW467" s="17"/>
      <c r="DX467" s="17"/>
      <c r="DY467" s="1023"/>
      <c r="DZ467" s="17"/>
      <c r="EA467" s="18"/>
      <c r="EB467" s="18"/>
      <c r="EC467" s="18"/>
      <c r="ED467" s="1023"/>
      <c r="EE467" s="1093"/>
      <c r="EF467" s="1093"/>
      <c r="EG467" s="1093"/>
      <c r="EH467" s="1093"/>
      <c r="EI467" s="1023"/>
      <c r="EJ467" s="1093"/>
      <c r="EK467" s="1093"/>
      <c r="EL467" s="1093"/>
      <c r="EM467" s="1093"/>
      <c r="EO467" s="887"/>
      <c r="EP467" s="887"/>
    </row>
    <row r="468" spans="1:153" x14ac:dyDescent="0.3">
      <c r="A468" s="1" t="s">
        <v>3557</v>
      </c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6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43"/>
      <c r="CQ468" s="5"/>
      <c r="CR468" s="5"/>
      <c r="CS468" s="5"/>
      <c r="CT468" s="5"/>
      <c r="CU468" s="543"/>
      <c r="CV468" s="5"/>
      <c r="CW468" s="5"/>
      <c r="CX468" s="5"/>
      <c r="CY468" s="5"/>
      <c r="CZ468" s="543"/>
      <c r="DA468" s="5"/>
      <c r="DB468" s="5"/>
      <c r="DC468" s="5"/>
      <c r="DD468" s="5"/>
      <c r="DE468" s="543"/>
      <c r="DF468" s="7"/>
      <c r="DG468" s="7"/>
      <c r="DH468" s="7"/>
      <c r="DI468" s="7"/>
      <c r="DJ468" s="8"/>
      <c r="DK468" s="7"/>
      <c r="DL468" s="7"/>
      <c r="DM468" s="7"/>
      <c r="DN468" s="7"/>
      <c r="DO468" s="8"/>
      <c r="DP468" s="17"/>
      <c r="DQ468" s="17"/>
      <c r="DR468" s="17"/>
      <c r="DS468" s="17"/>
      <c r="DT468" s="1023"/>
      <c r="DU468" s="17"/>
      <c r="DV468" s="17"/>
      <c r="DW468" s="17"/>
      <c r="DX468" s="17"/>
      <c r="DY468" s="1023"/>
      <c r="DZ468" s="17"/>
      <c r="EA468" s="18"/>
      <c r="EB468" s="18"/>
      <c r="EC468" s="18"/>
      <c r="ED468" s="1023"/>
      <c r="EE468" s="1093"/>
      <c r="EF468" s="1093"/>
      <c r="EG468" s="1093"/>
      <c r="EH468" s="1093"/>
      <c r="EI468" s="1023"/>
      <c r="EJ468" s="1093"/>
      <c r="EK468" s="1093"/>
      <c r="EL468" s="1093"/>
      <c r="EM468" s="1093"/>
      <c r="EO468" s="887"/>
      <c r="EP468" s="887"/>
      <c r="EQ468" s="887">
        <f>AVERAGE(EP366:EQ366)</f>
        <v>899</v>
      </c>
      <c r="ER468" s="887">
        <f>AVERAGE(EQ366:ER366)</f>
        <v>846</v>
      </c>
      <c r="ET468" s="887">
        <f>AVERAGE(ES366:ET366)</f>
        <v>771</v>
      </c>
      <c r="EU468" s="887">
        <f>AVERAGE(ET366:EU366)</f>
        <v>746</v>
      </c>
      <c r="EV468" s="887">
        <f>AVERAGE(EU366:EV366)</f>
        <v>693.5</v>
      </c>
      <c r="EW468" s="887">
        <f>AVERAGE(EV366:EW366)</f>
        <v>639</v>
      </c>
    </row>
    <row r="469" spans="1:153" x14ac:dyDescent="0.3">
      <c r="A469" s="1" t="s">
        <v>3558</v>
      </c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6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43"/>
      <c r="CQ469" s="5"/>
      <c r="CR469" s="5"/>
      <c r="CS469" s="5"/>
      <c r="CT469" s="5"/>
      <c r="CU469" s="543"/>
      <c r="CV469" s="5"/>
      <c r="CW469" s="5"/>
      <c r="CX469" s="5"/>
      <c r="CY469" s="5"/>
      <c r="CZ469" s="543"/>
      <c r="DA469" s="5"/>
      <c r="DB469" s="5"/>
      <c r="DC469" s="5"/>
      <c r="DD469" s="5"/>
      <c r="DE469" s="543"/>
      <c r="DF469" s="7"/>
      <c r="DG469" s="7"/>
      <c r="DH469" s="7"/>
      <c r="DI469" s="7"/>
      <c r="DJ469" s="8"/>
      <c r="DK469" s="7"/>
      <c r="DL469" s="7"/>
      <c r="DM469" s="7"/>
      <c r="DN469" s="7"/>
      <c r="DO469" s="8"/>
      <c r="DP469" s="17"/>
      <c r="DQ469" s="17"/>
      <c r="DR469" s="17"/>
      <c r="DS469" s="17"/>
      <c r="DT469" s="1023"/>
      <c r="DU469" s="17"/>
      <c r="DV469" s="17"/>
      <c r="DW469" s="17"/>
      <c r="DX469" s="17"/>
      <c r="DY469" s="1023"/>
      <c r="DZ469" s="17"/>
      <c r="EA469" s="18"/>
      <c r="EB469" s="18"/>
      <c r="EC469" s="18"/>
      <c r="ED469" s="1023"/>
      <c r="EE469" s="1093"/>
      <c r="EF469" s="1093"/>
      <c r="EG469" s="1093"/>
      <c r="EH469" s="1093"/>
      <c r="EI469" s="1023"/>
      <c r="EJ469" s="1093"/>
      <c r="EK469" s="1093"/>
      <c r="EL469" s="1093"/>
      <c r="EM469" s="1093"/>
      <c r="EO469" s="887"/>
      <c r="EP469" s="887"/>
      <c r="EQ469" s="1428">
        <f>+EQ430</f>
        <v>54.62</v>
      </c>
      <c r="ER469" s="1428">
        <f>+ER430</f>
        <v>54.22</v>
      </c>
      <c r="ET469" s="1428">
        <f>+ET430</f>
        <v>56.16</v>
      </c>
      <c r="EU469" s="1428">
        <f>+EU430</f>
        <v>58.26</v>
      </c>
      <c r="EV469" s="1428">
        <f>+EV430</f>
        <v>59.16</v>
      </c>
      <c r="EW469" s="1428">
        <f>+EW430</f>
        <v>62.12</v>
      </c>
    </row>
    <row r="470" spans="1:153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6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43"/>
      <c r="CQ470" s="5"/>
      <c r="CR470" s="5"/>
      <c r="CS470" s="5"/>
      <c r="CT470" s="5"/>
      <c r="CU470" s="543"/>
      <c r="CV470" s="5"/>
      <c r="CW470" s="5"/>
      <c r="CX470" s="5"/>
      <c r="CY470" s="5"/>
      <c r="CZ470" s="543"/>
      <c r="DA470" s="5"/>
      <c r="DB470" s="5"/>
      <c r="DC470" s="5"/>
      <c r="DD470" s="5"/>
      <c r="DE470" s="543"/>
      <c r="DF470" s="7"/>
      <c r="DG470" s="7"/>
      <c r="DH470" s="7"/>
      <c r="DI470" s="7"/>
      <c r="DJ470" s="8"/>
      <c r="DK470" s="7"/>
      <c r="DL470" s="7"/>
      <c r="DM470" s="7"/>
      <c r="DN470" s="7"/>
      <c r="DO470" s="8"/>
      <c r="DP470" s="17"/>
      <c r="DQ470" s="17"/>
      <c r="DR470" s="17"/>
      <c r="DS470" s="17"/>
      <c r="DT470" s="1023"/>
      <c r="DU470" s="17"/>
      <c r="DV470" s="17"/>
      <c r="DW470" s="17"/>
      <c r="DX470" s="17"/>
      <c r="DY470" s="1023"/>
      <c r="DZ470" s="17"/>
      <c r="EA470" s="18"/>
      <c r="EB470" s="18"/>
      <c r="EC470" s="18"/>
      <c r="ED470" s="1023"/>
      <c r="EE470" s="1093"/>
      <c r="EF470" s="1093"/>
      <c r="EG470" s="1093"/>
      <c r="EH470" s="1093"/>
      <c r="EI470" s="1023"/>
      <c r="EJ470" s="1093"/>
      <c r="EK470" s="1093"/>
      <c r="EL470" s="1093"/>
      <c r="EM470" s="1093"/>
      <c r="EO470" s="887"/>
      <c r="EP470" s="887"/>
    </row>
    <row r="471" spans="1:153" x14ac:dyDescent="0.3">
      <c r="A471" s="1" t="s">
        <v>368</v>
      </c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6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43"/>
      <c r="CQ471" s="5"/>
      <c r="CR471" s="5"/>
      <c r="CS471" s="5"/>
      <c r="CT471" s="5"/>
      <c r="CU471" s="543"/>
      <c r="CV471" s="5"/>
      <c r="CW471" s="5"/>
      <c r="CX471" s="5"/>
      <c r="CY471" s="5"/>
      <c r="CZ471" s="543"/>
      <c r="DA471" s="5"/>
      <c r="DB471" s="5"/>
      <c r="DC471" s="5"/>
      <c r="DD471" s="5"/>
      <c r="DE471" s="543"/>
      <c r="DF471" s="7"/>
      <c r="DG471" s="7"/>
      <c r="DH471" s="7"/>
      <c r="DI471" s="7"/>
      <c r="DJ471" s="8"/>
      <c r="DK471" s="7"/>
      <c r="DL471" s="7"/>
      <c r="DM471" s="7"/>
      <c r="DN471" s="7"/>
      <c r="DO471" s="8"/>
      <c r="DP471" s="17"/>
      <c r="DQ471" s="17"/>
      <c r="DR471" s="17"/>
      <c r="DS471" s="17"/>
      <c r="DT471" s="1023"/>
      <c r="DU471" s="17"/>
      <c r="DV471" s="17"/>
      <c r="DW471" s="17"/>
      <c r="DX471" s="17"/>
      <c r="DY471" s="1023"/>
      <c r="DZ471" s="17"/>
      <c r="EA471" s="18"/>
      <c r="EB471" s="18"/>
      <c r="EC471" s="18"/>
      <c r="ED471" s="1023"/>
      <c r="EE471" s="1093"/>
      <c r="EF471" s="1093"/>
      <c r="EG471" s="1093"/>
      <c r="EH471" s="1093"/>
      <c r="EI471" s="1023"/>
      <c r="EJ471" s="1093"/>
      <c r="EK471" s="1093"/>
      <c r="EL471" s="1093"/>
      <c r="EM471" s="1093"/>
      <c r="EO471" s="887"/>
      <c r="EP471" s="887"/>
      <c r="EQ471" s="887">
        <f>(EQ465/1000)*EQ466*3</f>
        <v>340.41046499999999</v>
      </c>
      <c r="ER471" s="887">
        <f>(ER465/1000)*ER466*3</f>
        <v>353.68199999999996</v>
      </c>
      <c r="ET471" s="887">
        <f>(ET465/1000)*ET466*3</f>
        <v>383.84502000000003</v>
      </c>
      <c r="EU471" s="887">
        <f>(EU465/1000)*EU466*3</f>
        <v>393.48767999999995</v>
      </c>
      <c r="EV471" s="887">
        <f>(EV465/1000)*EV466*3</f>
        <v>413.00099999999998</v>
      </c>
      <c r="EW471" s="887">
        <f>(EW465/1000)*EW466*3</f>
        <v>436.06182000000001</v>
      </c>
    </row>
    <row r="472" spans="1:153" x14ac:dyDescent="0.3">
      <c r="A472" s="1" t="s">
        <v>3559</v>
      </c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6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43"/>
      <c r="CQ472" s="5"/>
      <c r="CR472" s="5"/>
      <c r="CS472" s="5"/>
      <c r="CT472" s="5"/>
      <c r="CU472" s="543"/>
      <c r="CV472" s="5"/>
      <c r="CW472" s="5"/>
      <c r="CX472" s="5"/>
      <c r="CY472" s="5"/>
      <c r="CZ472" s="543"/>
      <c r="DA472" s="5"/>
      <c r="DB472" s="5"/>
      <c r="DC472" s="5"/>
      <c r="DD472" s="5"/>
      <c r="DE472" s="543"/>
      <c r="DF472" s="7"/>
      <c r="DG472" s="7"/>
      <c r="DH472" s="7"/>
      <c r="DI472" s="7"/>
      <c r="DJ472" s="8"/>
      <c r="DK472" s="7"/>
      <c r="DL472" s="7"/>
      <c r="DM472" s="7"/>
      <c r="DN472" s="7"/>
      <c r="DO472" s="8"/>
      <c r="DP472" s="17"/>
      <c r="DQ472" s="17"/>
      <c r="DR472" s="17"/>
      <c r="DS472" s="17"/>
      <c r="DT472" s="1023"/>
      <c r="DU472" s="17"/>
      <c r="DV472" s="17"/>
      <c r="DW472" s="17"/>
      <c r="DX472" s="17"/>
      <c r="DY472" s="1023"/>
      <c r="DZ472" s="17"/>
      <c r="EA472" s="18"/>
      <c r="EB472" s="18"/>
      <c r="EC472" s="18"/>
      <c r="ED472" s="1023"/>
      <c r="EE472" s="1093"/>
      <c r="EF472" s="1093"/>
      <c r="EG472" s="1093"/>
      <c r="EH472" s="1093"/>
      <c r="EI472" s="1023"/>
      <c r="EJ472" s="1093"/>
      <c r="EK472" s="1093"/>
      <c r="EL472" s="1093"/>
      <c r="EM472" s="1093"/>
      <c r="EO472" s="887"/>
      <c r="EP472" s="887"/>
      <c r="EQ472" s="17">
        <v>90</v>
      </c>
      <c r="ER472" s="17">
        <v>83</v>
      </c>
      <c r="ET472" s="17">
        <v>81</v>
      </c>
      <c r="EU472" s="24">
        <v>81</v>
      </c>
      <c r="EV472" s="24">
        <v>81</v>
      </c>
      <c r="EW472" s="24">
        <v>81</v>
      </c>
    </row>
    <row r="473" spans="1:153" x14ac:dyDescent="0.3">
      <c r="A473" s="1" t="s">
        <v>3560</v>
      </c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6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43"/>
      <c r="CQ473" s="5"/>
      <c r="CR473" s="5"/>
      <c r="CS473" s="5"/>
      <c r="CT473" s="5"/>
      <c r="CU473" s="543"/>
      <c r="CV473" s="5"/>
      <c r="CW473" s="5"/>
      <c r="CX473" s="5"/>
      <c r="CY473" s="5"/>
      <c r="CZ473" s="543"/>
      <c r="DA473" s="5"/>
      <c r="DB473" s="5"/>
      <c r="DC473" s="5"/>
      <c r="DD473" s="5"/>
      <c r="DE473" s="543"/>
      <c r="DF473" s="7"/>
      <c r="DG473" s="7"/>
      <c r="DH473" s="7"/>
      <c r="DI473" s="7"/>
      <c r="DJ473" s="8"/>
      <c r="DK473" s="7"/>
      <c r="DL473" s="7"/>
      <c r="DM473" s="7"/>
      <c r="DN473" s="7"/>
      <c r="DO473" s="8"/>
      <c r="DP473" s="17"/>
      <c r="DQ473" s="17"/>
      <c r="DR473" s="17"/>
      <c r="DS473" s="17"/>
      <c r="DT473" s="1023"/>
      <c r="DU473" s="17"/>
      <c r="DV473" s="17"/>
      <c r="DW473" s="17"/>
      <c r="DX473" s="17"/>
      <c r="DY473" s="1023"/>
      <c r="DZ473" s="17"/>
      <c r="EA473" s="18"/>
      <c r="EB473" s="18"/>
      <c r="EC473" s="18"/>
      <c r="ED473" s="1023"/>
      <c r="EE473" s="1093"/>
      <c r="EF473" s="1093"/>
      <c r="EG473" s="1093"/>
      <c r="EH473" s="1093"/>
      <c r="EI473" s="1023"/>
      <c r="EJ473" s="1093"/>
      <c r="EK473" s="1093"/>
      <c r="EL473" s="1093"/>
      <c r="EM473" s="1093"/>
      <c r="EO473" s="887"/>
      <c r="EP473" s="887"/>
      <c r="EQ473" s="1039">
        <f>+EQ474-EQ472-EQ471</f>
        <v>48.589535000000012</v>
      </c>
      <c r="ER473" s="1039">
        <f>+ER474-ER472-ER471</f>
        <v>47.31800000000004</v>
      </c>
      <c r="ET473" s="1039">
        <f>+ET474-ET472-ET471</f>
        <v>40.154979999999966</v>
      </c>
      <c r="EU473" s="1039">
        <f>+EU474-EU472-EU471</f>
        <v>48.512320000000045</v>
      </c>
      <c r="EV473" s="1039">
        <f>+EV474-EV472-EV471</f>
        <v>42.999000000000024</v>
      </c>
      <c r="EW473" s="1039">
        <f>+EW474-EW472-EW471</f>
        <v>39.938179999999988</v>
      </c>
    </row>
    <row r="474" spans="1:153" x14ac:dyDescent="0.3">
      <c r="A474" s="4" t="s">
        <v>1786</v>
      </c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6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43"/>
      <c r="CQ474" s="5"/>
      <c r="CR474" s="5"/>
      <c r="CS474" s="5"/>
      <c r="CT474" s="5"/>
      <c r="CU474" s="543"/>
      <c r="CV474" s="5"/>
      <c r="CW474" s="5"/>
      <c r="CX474" s="5"/>
      <c r="CY474" s="5"/>
      <c r="CZ474" s="543"/>
      <c r="DA474" s="5"/>
      <c r="DB474" s="5"/>
      <c r="DC474" s="5"/>
      <c r="DD474" s="5"/>
      <c r="DE474" s="543"/>
      <c r="DF474" s="7"/>
      <c r="DG474" s="7"/>
      <c r="DH474" s="7"/>
      <c r="DI474" s="7"/>
      <c r="DJ474" s="8"/>
      <c r="DK474" s="7"/>
      <c r="DL474" s="7"/>
      <c r="DM474" s="7"/>
      <c r="DN474" s="7"/>
      <c r="DO474" s="8"/>
      <c r="DP474" s="17"/>
      <c r="DQ474" s="17"/>
      <c r="DR474" s="17"/>
      <c r="DS474" s="17"/>
      <c r="DT474" s="1023"/>
      <c r="DU474" s="17"/>
      <c r="DV474" s="17"/>
      <c r="DW474" s="17"/>
      <c r="DX474" s="17"/>
      <c r="DY474" s="1023"/>
      <c r="DZ474" s="17"/>
      <c r="EA474" s="18"/>
      <c r="EB474" s="18"/>
      <c r="EC474" s="18"/>
      <c r="ED474" s="1023"/>
      <c r="EE474" s="1093"/>
      <c r="EF474" s="1093"/>
      <c r="EG474" s="1093"/>
      <c r="EH474" s="1093"/>
      <c r="EI474" s="1023"/>
      <c r="EJ474" s="1093"/>
      <c r="EK474" s="1093"/>
      <c r="EL474" s="1093"/>
      <c r="EM474" s="1093"/>
      <c r="EO474" s="887"/>
      <c r="EP474" s="887"/>
      <c r="EQ474" s="1427">
        <f>EQ166</f>
        <v>479</v>
      </c>
      <c r="ER474" s="1427">
        <f>ER166</f>
        <v>484</v>
      </c>
      <c r="ET474" s="1427">
        <f>ET166</f>
        <v>505</v>
      </c>
      <c r="EU474" s="1427">
        <f>EU166</f>
        <v>523</v>
      </c>
      <c r="EV474" s="1427">
        <f>EV166</f>
        <v>537</v>
      </c>
      <c r="EW474" s="1427">
        <f>EW166</f>
        <v>557</v>
      </c>
    </row>
    <row r="475" spans="1:153" x14ac:dyDescent="0.3">
      <c r="A475" s="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6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43"/>
      <c r="CQ475" s="5"/>
      <c r="CR475" s="5"/>
      <c r="CS475" s="5"/>
      <c r="CT475" s="5"/>
      <c r="CU475" s="543"/>
      <c r="CV475" s="5"/>
      <c r="CW475" s="5"/>
      <c r="CX475" s="5"/>
      <c r="CY475" s="5"/>
      <c r="CZ475" s="543"/>
      <c r="DA475" s="5"/>
      <c r="DB475" s="5"/>
      <c r="DC475" s="5"/>
      <c r="DD475" s="5"/>
      <c r="DE475" s="543"/>
      <c r="DF475" s="7"/>
      <c r="DG475" s="7"/>
      <c r="DH475" s="7"/>
      <c r="DI475" s="7"/>
      <c r="DJ475" s="8"/>
      <c r="DK475" s="7"/>
      <c r="DL475" s="7"/>
      <c r="DM475" s="7"/>
      <c r="DN475" s="7"/>
      <c r="DO475" s="8"/>
      <c r="DP475" s="17"/>
      <c r="DQ475" s="17"/>
      <c r="DR475" s="17"/>
      <c r="DS475" s="17"/>
      <c r="DT475" s="1023"/>
      <c r="DU475" s="17"/>
      <c r="DV475" s="17"/>
      <c r="DW475" s="17"/>
      <c r="DX475" s="17"/>
      <c r="DY475" s="1023"/>
      <c r="DZ475" s="17"/>
      <c r="EA475" s="18"/>
      <c r="EB475" s="18"/>
      <c r="EC475" s="18"/>
      <c r="ED475" s="1023"/>
      <c r="EE475" s="1093"/>
      <c r="EF475" s="1093"/>
      <c r="EG475" s="1093"/>
      <c r="EH475" s="1093"/>
      <c r="EI475" s="1023"/>
      <c r="EJ475" s="1093"/>
      <c r="EK475" s="1093"/>
      <c r="EL475" s="1093"/>
      <c r="EM475" s="1093"/>
      <c r="EO475" s="887"/>
      <c r="EP475" s="887"/>
      <c r="EQ475" s="1427"/>
    </row>
    <row r="476" spans="1:153" x14ac:dyDescent="0.3">
      <c r="A476" s="1" t="s">
        <v>427</v>
      </c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6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43"/>
      <c r="CQ476" s="5"/>
      <c r="CR476" s="5"/>
      <c r="CS476" s="5"/>
      <c r="CT476" s="5"/>
      <c r="CU476" s="543"/>
      <c r="CV476" s="5"/>
      <c r="CW476" s="5"/>
      <c r="CX476" s="5"/>
      <c r="CY476" s="5"/>
      <c r="CZ476" s="543"/>
      <c r="DA476" s="5"/>
      <c r="DB476" s="5"/>
      <c r="DC476" s="5"/>
      <c r="DD476" s="5"/>
      <c r="DE476" s="543"/>
      <c r="DF476" s="7"/>
      <c r="DG476" s="7"/>
      <c r="DH476" s="7"/>
      <c r="DI476" s="7"/>
      <c r="DJ476" s="8"/>
      <c r="DK476" s="7"/>
      <c r="DL476" s="7"/>
      <c r="DM476" s="7"/>
      <c r="DN476" s="7"/>
      <c r="DO476" s="8"/>
      <c r="DP476" s="17"/>
      <c r="DQ476" s="17"/>
      <c r="DR476" s="17"/>
      <c r="DS476" s="17"/>
      <c r="DT476" s="1023"/>
      <c r="DU476" s="17"/>
      <c r="DV476" s="17"/>
      <c r="DW476" s="17"/>
      <c r="DX476" s="17"/>
      <c r="DY476" s="1023"/>
      <c r="DZ476" s="17"/>
      <c r="EA476" s="18"/>
      <c r="EB476" s="18"/>
      <c r="EC476" s="18"/>
      <c r="ED476" s="1023"/>
      <c r="EE476" s="1093"/>
      <c r="EF476" s="1093"/>
      <c r="EG476" s="1093"/>
      <c r="EH476" s="1093"/>
      <c r="EI476" s="1023"/>
      <c r="EJ476" s="1093"/>
      <c r="EK476" s="1093"/>
      <c r="EL476" s="1093"/>
      <c r="EM476" s="1093"/>
      <c r="EO476" s="887"/>
      <c r="EP476" s="887"/>
      <c r="EQ476" s="887">
        <f>(EQ468/1000)*EQ469*3</f>
        <v>147.31013999999999</v>
      </c>
      <c r="ER476" s="887">
        <f>(ER468/1000)*ER469*3</f>
        <v>137.61036000000001</v>
      </c>
      <c r="ET476" s="887">
        <f>(ET468/1000)*ET469*3</f>
        <v>129.89807999999999</v>
      </c>
      <c r="EU476" s="887">
        <f>(EU468/1000)*EU469*3</f>
        <v>130.38587999999999</v>
      </c>
      <c r="EV476" s="887">
        <f>(EV468/1000)*EV469*3</f>
        <v>123.08238</v>
      </c>
      <c r="EW476" s="887">
        <f>(EW468/1000)*EW469*3</f>
        <v>119.08403999999999</v>
      </c>
    </row>
    <row r="477" spans="1:153" x14ac:dyDescent="0.3">
      <c r="A477" s="1" t="s">
        <v>3561</v>
      </c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6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43"/>
      <c r="CQ477" s="5"/>
      <c r="CR477" s="5"/>
      <c r="CS477" s="5"/>
      <c r="CT477" s="5"/>
      <c r="CU477" s="543"/>
      <c r="CV477" s="5"/>
      <c r="CW477" s="5"/>
      <c r="CX477" s="5"/>
      <c r="CY477" s="5"/>
      <c r="CZ477" s="543"/>
      <c r="DA477" s="5"/>
      <c r="DB477" s="5"/>
      <c r="DC477" s="5"/>
      <c r="DD477" s="5"/>
      <c r="DE477" s="543"/>
      <c r="DF477" s="7"/>
      <c r="DG477" s="7"/>
      <c r="DH477" s="7"/>
      <c r="DI477" s="7"/>
      <c r="DJ477" s="8"/>
      <c r="DK477" s="7"/>
      <c r="DL477" s="7"/>
      <c r="DM477" s="7"/>
      <c r="DN477" s="7"/>
      <c r="DO477" s="8"/>
      <c r="DP477" s="17"/>
      <c r="DQ477" s="17"/>
      <c r="DR477" s="17"/>
      <c r="DS477" s="17"/>
      <c r="DT477" s="1023"/>
      <c r="DU477" s="17"/>
      <c r="DV477" s="17"/>
      <c r="DW477" s="17"/>
      <c r="DX477" s="17"/>
      <c r="DY477" s="1023"/>
      <c r="DZ477" s="17"/>
      <c r="EA477" s="18"/>
      <c r="EB477" s="18"/>
      <c r="EC477" s="18"/>
      <c r="ED477" s="1023"/>
      <c r="EE477" s="1093"/>
      <c r="EF477" s="1093"/>
      <c r="EG477" s="1093"/>
      <c r="EH477" s="1093"/>
      <c r="EI477" s="1023"/>
      <c r="EJ477" s="1093"/>
      <c r="EK477" s="1093"/>
      <c r="EL477" s="1093"/>
      <c r="EM477" s="1093"/>
      <c r="EO477" s="887"/>
      <c r="EP477" s="887"/>
      <c r="EQ477" s="17">
        <v>8</v>
      </c>
      <c r="ER477" s="17">
        <f>91-ER472</f>
        <v>8</v>
      </c>
      <c r="ET477" s="17">
        <f>87-ET472</f>
        <v>6</v>
      </c>
      <c r="EU477" s="24">
        <f>87-EU472</f>
        <v>6</v>
      </c>
      <c r="EV477" s="24">
        <f>87-EV472</f>
        <v>6</v>
      </c>
      <c r="EW477" s="24">
        <f>87-EW472</f>
        <v>6</v>
      </c>
    </row>
    <row r="478" spans="1:153" x14ac:dyDescent="0.3">
      <c r="A478" s="1" t="s">
        <v>3562</v>
      </c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6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43"/>
      <c r="CQ478" s="5"/>
      <c r="CR478" s="5"/>
      <c r="CS478" s="5"/>
      <c r="CT478" s="5"/>
      <c r="CU478" s="543"/>
      <c r="CV478" s="5"/>
      <c r="CW478" s="5"/>
      <c r="CX478" s="5"/>
      <c r="CY478" s="5"/>
      <c r="CZ478" s="543"/>
      <c r="DA478" s="5"/>
      <c r="DB478" s="5"/>
      <c r="DC478" s="5"/>
      <c r="DD478" s="5"/>
      <c r="DE478" s="543"/>
      <c r="DF478" s="7"/>
      <c r="DG478" s="7"/>
      <c r="DH478" s="7"/>
      <c r="DI478" s="7"/>
      <c r="DJ478" s="8"/>
      <c r="DK478" s="7"/>
      <c r="DL478" s="7"/>
      <c r="DM478" s="7"/>
      <c r="DN478" s="7"/>
      <c r="DO478" s="8"/>
      <c r="DP478" s="17"/>
      <c r="DQ478" s="17"/>
      <c r="DR478" s="17"/>
      <c r="DS478" s="17"/>
      <c r="DT478" s="1023"/>
      <c r="DU478" s="17"/>
      <c r="DV478" s="17"/>
      <c r="DW478" s="17"/>
      <c r="DX478" s="17"/>
      <c r="DY478" s="1023"/>
      <c r="DZ478" s="17"/>
      <c r="EA478" s="18"/>
      <c r="EB478" s="18"/>
      <c r="EC478" s="18"/>
      <c r="ED478" s="1023"/>
      <c r="EE478" s="1093"/>
      <c r="EF478" s="1093"/>
      <c r="EG478" s="1093"/>
      <c r="EH478" s="1093"/>
      <c r="EI478" s="1023"/>
      <c r="EJ478" s="1093"/>
      <c r="EK478" s="1093"/>
      <c r="EL478" s="1093"/>
      <c r="EM478" s="1093"/>
      <c r="EO478" s="887"/>
      <c r="EP478" s="887"/>
      <c r="EQ478" s="1039">
        <f>+EQ479-EQ477-EQ476</f>
        <v>152.68986000000001</v>
      </c>
      <c r="ER478" s="1039">
        <f>+ER479-ER477-ER476</f>
        <v>144.38963999999999</v>
      </c>
      <c r="ET478" s="1039">
        <f>+ET479-ET477-ET476</f>
        <v>146.10192000000001</v>
      </c>
      <c r="EU478" s="1039">
        <f>+EU479-EU477-EU476</f>
        <v>129.61412000000001</v>
      </c>
      <c r="EV478" s="1039">
        <f>+EV479-EV477-EV476</f>
        <v>122.91762</v>
      </c>
      <c r="EW478" s="1039">
        <f>+EW479-EW477-EW476</f>
        <v>115.91596000000001</v>
      </c>
    </row>
    <row r="479" spans="1:153" x14ac:dyDescent="0.3">
      <c r="A479" s="4" t="s">
        <v>1787</v>
      </c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6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43"/>
      <c r="CQ479" s="5"/>
      <c r="CR479" s="5"/>
      <c r="CS479" s="5"/>
      <c r="CT479" s="5"/>
      <c r="CU479" s="543"/>
      <c r="CV479" s="5"/>
      <c r="CW479" s="5"/>
      <c r="CX479" s="5"/>
      <c r="CY479" s="5"/>
      <c r="CZ479" s="543"/>
      <c r="DA479" s="5"/>
      <c r="DB479" s="5"/>
      <c r="DC479" s="5"/>
      <c r="DD479" s="5"/>
      <c r="DE479" s="543"/>
      <c r="DF479" s="7"/>
      <c r="DG479" s="7"/>
      <c r="DH479" s="7"/>
      <c r="DI479" s="7"/>
      <c r="DJ479" s="8"/>
      <c r="DK479" s="7"/>
      <c r="DL479" s="7"/>
      <c r="DM479" s="7"/>
      <c r="DN479" s="7"/>
      <c r="DO479" s="8"/>
      <c r="DP479" s="17"/>
      <c r="DQ479" s="17"/>
      <c r="DR479" s="17"/>
      <c r="DS479" s="17"/>
      <c r="DT479" s="1023"/>
      <c r="DU479" s="17"/>
      <c r="DV479" s="17"/>
      <c r="DW479" s="17"/>
      <c r="DX479" s="17"/>
      <c r="DY479" s="1023"/>
      <c r="DZ479" s="17"/>
      <c r="EA479" s="18"/>
      <c r="EB479" s="18"/>
      <c r="EC479" s="18"/>
      <c r="ED479" s="1023"/>
      <c r="EE479" s="1093"/>
      <c r="EF479" s="1093"/>
      <c r="EG479" s="1093"/>
      <c r="EH479" s="1093"/>
      <c r="EI479" s="1023"/>
      <c r="EJ479" s="1093"/>
      <c r="EK479" s="1093"/>
      <c r="EL479" s="1093"/>
      <c r="EM479" s="1093"/>
      <c r="EO479" s="887"/>
      <c r="EP479" s="887"/>
      <c r="EQ479" s="1427">
        <f>EQ134</f>
        <v>308</v>
      </c>
      <c r="ER479" s="1427">
        <f>ER134</f>
        <v>290</v>
      </c>
      <c r="ET479" s="1427">
        <f>ET134</f>
        <v>282</v>
      </c>
      <c r="EU479" s="1427">
        <f>EU134</f>
        <v>266</v>
      </c>
      <c r="EV479" s="1427">
        <f>EV134</f>
        <v>252</v>
      </c>
      <c r="EW479" s="1427">
        <f>EW134</f>
        <v>241</v>
      </c>
    </row>
    <row r="480" spans="1:153" x14ac:dyDescent="0.3">
      <c r="A480" s="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6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43"/>
      <c r="CQ480" s="5"/>
      <c r="CR480" s="5"/>
      <c r="CS480" s="5"/>
      <c r="CT480" s="5"/>
      <c r="CU480" s="543"/>
      <c r="CV480" s="5"/>
      <c r="CW480" s="5"/>
      <c r="CX480" s="5"/>
      <c r="CY480" s="5"/>
      <c r="CZ480" s="543"/>
      <c r="DA480" s="5"/>
      <c r="DB480" s="5"/>
      <c r="DC480" s="5"/>
      <c r="DD480" s="5"/>
      <c r="DE480" s="543"/>
      <c r="DF480" s="7"/>
      <c r="DG480" s="7"/>
      <c r="DH480" s="7"/>
      <c r="DI480" s="7"/>
      <c r="DJ480" s="8"/>
      <c r="DK480" s="7"/>
      <c r="DL480" s="7"/>
      <c r="DM480" s="7"/>
      <c r="DN480" s="7"/>
      <c r="DO480" s="8"/>
      <c r="DP480" s="17"/>
      <c r="DQ480" s="17"/>
      <c r="DR480" s="17"/>
      <c r="DS480" s="17"/>
      <c r="DT480" s="1023"/>
      <c r="DU480" s="17"/>
      <c r="DV480" s="17"/>
      <c r="DW480" s="17"/>
      <c r="DX480" s="17"/>
      <c r="DY480" s="1023"/>
      <c r="DZ480" s="17"/>
      <c r="EA480" s="18"/>
      <c r="EB480" s="18"/>
      <c r="EC480" s="18"/>
      <c r="ED480" s="1023"/>
      <c r="EE480" s="1093"/>
      <c r="EF480" s="1093"/>
      <c r="EG480" s="1093"/>
      <c r="EH480" s="1093"/>
      <c r="EI480" s="1023"/>
      <c r="EJ480" s="1093"/>
      <c r="EK480" s="1093"/>
      <c r="EL480" s="1093"/>
      <c r="EM480" s="1093"/>
      <c r="EO480" s="887"/>
      <c r="EP480" s="887"/>
      <c r="EQ480" s="1427"/>
    </row>
    <row r="481" spans="1:147" x14ac:dyDescent="0.3">
      <c r="A481" s="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6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43"/>
      <c r="CQ481" s="5"/>
      <c r="CR481" s="5"/>
      <c r="CS481" s="5"/>
      <c r="CT481" s="5"/>
      <c r="CU481" s="543"/>
      <c r="CV481" s="5"/>
      <c r="CW481" s="5"/>
      <c r="CX481" s="5"/>
      <c r="CY481" s="5"/>
      <c r="CZ481" s="543"/>
      <c r="DA481" s="5"/>
      <c r="DB481" s="5"/>
      <c r="DC481" s="5"/>
      <c r="DD481" s="5"/>
      <c r="DE481" s="543"/>
      <c r="DF481" s="7"/>
      <c r="DG481" s="7"/>
      <c r="DH481" s="7"/>
      <c r="DI481" s="7"/>
      <c r="DJ481" s="8"/>
      <c r="DK481" s="7"/>
      <c r="DL481" s="7"/>
      <c r="DM481" s="7"/>
      <c r="DN481" s="7"/>
      <c r="DO481" s="8"/>
      <c r="DP481" s="17"/>
      <c r="DQ481" s="17"/>
      <c r="DR481" s="17"/>
      <c r="DS481" s="17"/>
      <c r="DT481" s="1023"/>
      <c r="DU481" s="17"/>
      <c r="DV481" s="17"/>
      <c r="DW481" s="17"/>
      <c r="DX481" s="17"/>
      <c r="DY481" s="1023"/>
      <c r="DZ481" s="17"/>
      <c r="EA481" s="18"/>
      <c r="EB481" s="18"/>
      <c r="EC481" s="18"/>
      <c r="ED481" s="1023"/>
      <c r="EE481" s="1093"/>
      <c r="EF481" s="1093"/>
      <c r="EG481" s="1093"/>
      <c r="EH481" s="1093"/>
      <c r="EI481" s="1023"/>
      <c r="EJ481" s="1093"/>
      <c r="EK481" s="1093"/>
      <c r="EL481" s="1093"/>
      <c r="EM481" s="1093"/>
      <c r="EO481" s="887"/>
      <c r="EP481" s="887"/>
      <c r="EQ481" s="1427"/>
    </row>
    <row r="482" spans="1:147" x14ac:dyDescent="0.3">
      <c r="A482" s="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6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43"/>
      <c r="CQ482" s="5"/>
      <c r="CR482" s="5"/>
      <c r="CS482" s="5"/>
      <c r="CT482" s="5"/>
      <c r="CU482" s="543"/>
      <c r="CV482" s="5"/>
      <c r="CW482" s="5"/>
      <c r="CX482" s="5"/>
      <c r="CY482" s="5"/>
      <c r="CZ482" s="543"/>
      <c r="DA482" s="5"/>
      <c r="DB482" s="5"/>
      <c r="DC482" s="5"/>
      <c r="DD482" s="5"/>
      <c r="DE482" s="543"/>
      <c r="DF482" s="7"/>
      <c r="DG482" s="7"/>
      <c r="DH482" s="7"/>
      <c r="DI482" s="7"/>
      <c r="DJ482" s="8"/>
      <c r="DK482" s="7"/>
      <c r="DL482" s="7"/>
      <c r="DM482" s="7"/>
      <c r="DN482" s="7"/>
      <c r="DO482" s="8"/>
      <c r="DP482" s="17"/>
      <c r="DQ482" s="17"/>
      <c r="DR482" s="17"/>
      <c r="DS482" s="17"/>
      <c r="DT482" s="1023"/>
      <c r="DU482" s="17"/>
      <c r="DV482" s="17"/>
      <c r="DW482" s="17"/>
      <c r="DX482" s="17"/>
      <c r="DY482" s="1023"/>
      <c r="DZ482" s="17"/>
      <c r="EA482" s="18"/>
      <c r="EB482" s="18"/>
      <c r="EC482" s="18"/>
      <c r="ED482" s="1023"/>
      <c r="EE482" s="1093"/>
      <c r="EF482" s="1093"/>
      <c r="EG482" s="1093"/>
      <c r="EH482" s="1093"/>
      <c r="EI482" s="1023"/>
      <c r="EJ482" s="1093"/>
      <c r="EK482" s="1093"/>
      <c r="EL482" s="1093"/>
      <c r="EM482" s="1093"/>
      <c r="EO482" s="887"/>
      <c r="EP482" s="887"/>
      <c r="EQ482" s="1427"/>
    </row>
    <row r="483" spans="1:147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6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43"/>
      <c r="CQ483" s="5"/>
      <c r="CR483" s="5"/>
      <c r="CS483" s="5"/>
      <c r="CT483" s="5"/>
      <c r="CU483" s="543"/>
      <c r="CV483" s="5"/>
      <c r="CW483" s="5"/>
      <c r="CX483" s="5"/>
      <c r="CY483" s="5"/>
      <c r="CZ483" s="543"/>
      <c r="DA483" s="5"/>
      <c r="DB483" s="5"/>
      <c r="DC483" s="5"/>
      <c r="DD483" s="5"/>
      <c r="DE483" s="543"/>
      <c r="DF483" s="7"/>
      <c r="DG483" s="7"/>
      <c r="DH483" s="7"/>
      <c r="DI483" s="7"/>
      <c r="DJ483" s="8"/>
      <c r="DK483" s="7"/>
      <c r="DL483" s="7"/>
      <c r="DM483" s="7"/>
      <c r="DN483" s="7"/>
      <c r="DO483" s="8"/>
      <c r="DP483" s="17"/>
      <c r="DQ483" s="17"/>
      <c r="DR483" s="17"/>
      <c r="DS483" s="17"/>
      <c r="DT483" s="1023"/>
      <c r="DU483" s="17"/>
      <c r="DV483" s="17"/>
      <c r="DW483" s="17"/>
      <c r="DX483" s="17"/>
      <c r="DY483" s="1023"/>
      <c r="DZ483" s="17"/>
      <c r="EA483" s="18"/>
      <c r="EB483" s="18"/>
      <c r="EC483" s="18"/>
      <c r="ED483" s="1023"/>
      <c r="EE483" s="1093"/>
      <c r="EF483" s="1093"/>
      <c r="EG483" s="1093"/>
      <c r="EH483" s="1093"/>
      <c r="EI483" s="1023"/>
      <c r="EJ483" s="1093"/>
      <c r="EK483" s="1093"/>
      <c r="EL483" s="1093"/>
      <c r="EM483" s="1093"/>
      <c r="EO483" s="887"/>
      <c r="EP483" s="887"/>
      <c r="EQ483" s="17"/>
    </row>
    <row r="484" spans="1:147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6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43"/>
      <c r="CQ484" s="5"/>
      <c r="CR484" s="5"/>
      <c r="CS484" s="5"/>
      <c r="CT484" s="5"/>
      <c r="CU484" s="543"/>
      <c r="CV484" s="5"/>
      <c r="CW484" s="5"/>
      <c r="CX484" s="5"/>
      <c r="CY484" s="5"/>
      <c r="CZ484" s="543"/>
      <c r="DA484" s="5"/>
      <c r="DB484" s="5"/>
      <c r="DC484" s="5"/>
      <c r="DD484" s="5"/>
      <c r="DE484" s="543"/>
      <c r="DF484" s="7"/>
      <c r="DG484" s="7"/>
      <c r="DH484" s="7"/>
      <c r="DI484" s="7"/>
      <c r="DJ484" s="8"/>
      <c r="DK484" s="7"/>
      <c r="DL484" s="7"/>
      <c r="DM484" s="7"/>
      <c r="DN484" s="7"/>
      <c r="DO484" s="8"/>
      <c r="DP484" s="17"/>
      <c r="DQ484" s="17"/>
      <c r="DR484" s="17"/>
      <c r="DS484" s="17"/>
      <c r="DT484" s="1023"/>
      <c r="DU484" s="17"/>
      <c r="DV484" s="17"/>
      <c r="DW484" s="17"/>
      <c r="DX484" s="17"/>
      <c r="DY484" s="1023"/>
      <c r="DZ484" s="17"/>
      <c r="EA484" s="18"/>
      <c r="EB484" s="18"/>
      <c r="EC484" s="18"/>
      <c r="ED484" s="1023"/>
      <c r="EE484" s="1093"/>
      <c r="EF484" s="1093"/>
      <c r="EG484" s="1093"/>
      <c r="EH484" s="1093"/>
      <c r="EI484" s="1023"/>
      <c r="EJ484" s="1093"/>
      <c r="EK484" s="1093"/>
      <c r="EL484" s="1093"/>
      <c r="EM484" s="1093"/>
      <c r="EO484" s="887"/>
      <c r="EP484" s="887"/>
      <c r="EQ484" s="887"/>
    </row>
    <row r="485" spans="1:147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6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43"/>
      <c r="CQ485" s="5"/>
      <c r="CR485" s="5"/>
      <c r="CS485" s="5"/>
      <c r="CT485" s="5"/>
      <c r="CU485" s="543"/>
      <c r="CV485" s="5"/>
      <c r="CW485" s="5"/>
      <c r="CX485" s="5"/>
      <c r="CY485" s="5"/>
      <c r="CZ485" s="543"/>
      <c r="DA485" s="5"/>
      <c r="DB485" s="5"/>
      <c r="DC485" s="5"/>
      <c r="DD485" s="5"/>
      <c r="DE485" s="543"/>
      <c r="DF485" s="7"/>
      <c r="DG485" s="7"/>
      <c r="DH485" s="7"/>
      <c r="DI485" s="7"/>
      <c r="DJ485" s="8"/>
      <c r="DK485" s="7"/>
      <c r="DL485" s="7"/>
      <c r="DM485" s="7"/>
      <c r="DN485" s="7"/>
      <c r="DO485" s="8"/>
      <c r="DP485" s="17"/>
      <c r="DQ485" s="17"/>
      <c r="DR485" s="17"/>
      <c r="DS485" s="17"/>
      <c r="DT485" s="1023"/>
      <c r="DU485" s="17"/>
      <c r="DV485" s="17"/>
      <c r="DW485" s="17"/>
      <c r="DX485" s="17"/>
      <c r="DY485" s="1023"/>
      <c r="DZ485" s="17"/>
      <c r="EA485" s="18"/>
      <c r="EB485" s="18"/>
      <c r="EC485" s="18"/>
      <c r="ED485" s="1023"/>
      <c r="EE485" s="1093"/>
      <c r="EF485" s="1093"/>
      <c r="EG485" s="1093"/>
      <c r="EH485" s="1093"/>
      <c r="EI485" s="1023"/>
      <c r="EJ485" s="1093"/>
      <c r="EK485" s="1093"/>
      <c r="EL485" s="1093"/>
      <c r="EM485" s="1093"/>
      <c r="EO485" s="887"/>
      <c r="EP485" s="887"/>
      <c r="EQ485" s="887"/>
    </row>
    <row r="486" spans="1:147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6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43"/>
      <c r="CQ486" s="5"/>
      <c r="CR486" s="5"/>
      <c r="CS486" s="5"/>
      <c r="CT486" s="5"/>
      <c r="CU486" s="543"/>
      <c r="CV486" s="5"/>
      <c r="CW486" s="5"/>
      <c r="CX486" s="5"/>
      <c r="CY486" s="5"/>
      <c r="CZ486" s="543"/>
      <c r="DA486" s="5"/>
      <c r="DB486" s="5"/>
      <c r="DC486" s="5"/>
      <c r="DD486" s="5"/>
      <c r="DE486" s="543"/>
      <c r="DF486" s="7"/>
      <c r="DG486" s="7"/>
      <c r="DH486" s="7"/>
      <c r="DI486" s="7"/>
      <c r="DJ486" s="8"/>
      <c r="DK486" s="7"/>
      <c r="DL486" s="7"/>
      <c r="DM486" s="7"/>
      <c r="DN486" s="7"/>
      <c r="DO486" s="8"/>
      <c r="DP486" s="17"/>
      <c r="DQ486" s="17"/>
      <c r="DR486" s="17"/>
      <c r="DS486" s="17"/>
      <c r="DT486" s="1023"/>
      <c r="DU486" s="17"/>
      <c r="DV486" s="17"/>
      <c r="DW486" s="17"/>
      <c r="DX486" s="17"/>
      <c r="DY486" s="1023"/>
      <c r="DZ486" s="17"/>
      <c r="EA486" s="18"/>
      <c r="EB486" s="18"/>
      <c r="EC486" s="18"/>
      <c r="ED486" s="1023"/>
      <c r="EE486" s="1093"/>
      <c r="EF486" s="1093"/>
      <c r="EG486" s="1093"/>
      <c r="EH486" s="1093"/>
      <c r="EI486" s="1023"/>
      <c r="EJ486" s="1093"/>
      <c r="EK486" s="1093"/>
      <c r="EL486" s="1093"/>
      <c r="EM486" s="1093"/>
      <c r="EO486" s="887"/>
      <c r="EP486" s="887"/>
      <c r="EQ486" s="887"/>
    </row>
    <row r="487" spans="1:147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6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43"/>
      <c r="CQ487" s="5"/>
      <c r="CR487" s="5"/>
      <c r="CS487" s="5"/>
      <c r="CT487" s="5"/>
      <c r="CU487" s="543"/>
      <c r="CV487" s="5"/>
      <c r="CW487" s="5"/>
      <c r="CX487" s="5"/>
      <c r="CY487" s="5"/>
      <c r="CZ487" s="543"/>
      <c r="DA487" s="5"/>
      <c r="DB487" s="5"/>
      <c r="DC487" s="5"/>
      <c r="DD487" s="5"/>
      <c r="DE487" s="543"/>
      <c r="DF487" s="7"/>
      <c r="DG487" s="7"/>
      <c r="DH487" s="7"/>
      <c r="DI487" s="7"/>
      <c r="DJ487" s="8"/>
      <c r="DK487" s="7"/>
      <c r="DL487" s="7"/>
      <c r="DM487" s="7"/>
      <c r="DN487" s="7"/>
      <c r="DO487" s="8"/>
      <c r="DP487" s="17"/>
      <c r="DQ487" s="17"/>
      <c r="DR487" s="17"/>
      <c r="DS487" s="17"/>
      <c r="DT487" s="1023"/>
      <c r="DU487" s="17"/>
      <c r="DV487" s="17"/>
      <c r="DW487" s="17"/>
      <c r="DX487" s="17"/>
      <c r="DY487" s="1023"/>
      <c r="DZ487" s="17"/>
      <c r="EA487" s="18"/>
      <c r="EB487" s="18"/>
      <c r="EC487" s="18"/>
      <c r="ED487" s="1023"/>
      <c r="EE487" s="18"/>
      <c r="EF487" s="18"/>
      <c r="EG487" s="18"/>
      <c r="EH487" s="18"/>
      <c r="EI487" s="1023"/>
      <c r="EJ487" s="18"/>
      <c r="EK487" s="18"/>
      <c r="EL487" s="18"/>
      <c r="EM487" s="18"/>
    </row>
    <row r="488" spans="1:147" x14ac:dyDescent="0.3">
      <c r="A488" s="4" t="s">
        <v>284</v>
      </c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6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43"/>
      <c r="CQ488" s="5"/>
      <c r="CR488" s="5"/>
      <c r="CS488" s="5"/>
      <c r="CT488" s="5"/>
      <c r="CU488" s="543"/>
      <c r="CV488" s="5"/>
      <c r="CW488" s="5"/>
      <c r="CX488" s="5"/>
      <c r="CY488" s="5"/>
      <c r="CZ488" s="543"/>
      <c r="DA488" s="5"/>
      <c r="DB488" s="5"/>
      <c r="DC488" s="5"/>
      <c r="DD488" s="5"/>
      <c r="DE488" s="543"/>
      <c r="DF488" s="7"/>
      <c r="DG488" s="7"/>
      <c r="DH488" s="7"/>
      <c r="DI488" s="7"/>
      <c r="DJ488" s="8"/>
      <c r="DK488" s="7"/>
      <c r="DL488" s="7"/>
      <c r="DM488" s="7"/>
      <c r="DN488" s="7"/>
      <c r="DO488" s="8"/>
      <c r="DP488" s="17"/>
      <c r="DQ488" s="17"/>
      <c r="DR488" s="17"/>
      <c r="DS488" s="17"/>
      <c r="DT488" s="1023"/>
      <c r="DU488" s="17"/>
      <c r="DV488" s="17"/>
      <c r="DW488" s="17"/>
      <c r="DX488" s="17"/>
      <c r="DY488" s="1023"/>
      <c r="DZ488" s="17"/>
      <c r="EA488" s="18"/>
      <c r="EB488" s="18"/>
      <c r="EC488" s="18"/>
      <c r="ED488" s="1023"/>
      <c r="EE488" s="18"/>
      <c r="EF488" s="18"/>
      <c r="EG488" s="18"/>
      <c r="EH488" s="18"/>
      <c r="EI488" s="1023"/>
      <c r="EJ488" s="18"/>
      <c r="EK488" s="18"/>
      <c r="EL488" s="18"/>
      <c r="EM488" s="18"/>
    </row>
    <row r="489" spans="1:147" x14ac:dyDescent="0.3">
      <c r="A489" s="1" t="s">
        <v>1866</v>
      </c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6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43"/>
      <c r="CQ489" s="5"/>
      <c r="CR489" s="5"/>
      <c r="CS489" s="5"/>
      <c r="CT489" s="5"/>
      <c r="CU489" s="543"/>
      <c r="CV489" s="5"/>
      <c r="CW489" s="5"/>
      <c r="CX489" s="5"/>
      <c r="CY489" s="5"/>
      <c r="CZ489" s="543"/>
      <c r="DA489" s="5"/>
      <c r="DB489" s="5"/>
      <c r="DC489" s="5"/>
      <c r="DD489" s="5"/>
      <c r="DE489" s="543"/>
      <c r="DF489" s="7"/>
      <c r="DG489" s="7"/>
      <c r="DH489" s="7"/>
      <c r="DI489" s="7"/>
      <c r="DJ489" s="8"/>
      <c r="DK489" s="7"/>
      <c r="DL489" s="7"/>
      <c r="DM489" s="7"/>
      <c r="DN489" s="7"/>
      <c r="DO489" s="8"/>
      <c r="DP489" s="17"/>
      <c r="DQ489" s="17"/>
      <c r="DR489" s="17"/>
      <c r="DS489" s="17"/>
      <c r="DT489" s="1023"/>
      <c r="DU489" s="17"/>
      <c r="DV489" s="17"/>
      <c r="DW489" s="17"/>
      <c r="DX489" s="17"/>
      <c r="DY489" s="1023"/>
      <c r="DZ489" s="1093">
        <v>432</v>
      </c>
      <c r="EA489" s="1093">
        <v>419</v>
      </c>
      <c r="EB489" s="1093">
        <v>411</v>
      </c>
      <c r="EC489" s="1093">
        <v>418</v>
      </c>
      <c r="ED489" s="1023">
        <f>SUM(DZ489:EC489)</f>
        <v>1680</v>
      </c>
      <c r="EE489" s="1093">
        <v>411</v>
      </c>
      <c r="EF489" s="1093">
        <v>413</v>
      </c>
      <c r="EG489" s="1093">
        <v>409</v>
      </c>
      <c r="EH489" s="1093">
        <v>405</v>
      </c>
      <c r="EI489" s="1023">
        <f>SUM(EE489:EH489)</f>
        <v>1638</v>
      </c>
      <c r="EJ489" s="1093"/>
      <c r="EK489" s="18"/>
      <c r="EL489" s="18"/>
      <c r="EM489" s="18"/>
    </row>
    <row r="490" spans="1:147" x14ac:dyDescent="0.3">
      <c r="A490" s="1" t="s">
        <v>374</v>
      </c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6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43"/>
      <c r="CQ490" s="5"/>
      <c r="CR490" s="5"/>
      <c r="CS490" s="5"/>
      <c r="CT490" s="5"/>
      <c r="CU490" s="543"/>
      <c r="CV490" s="5"/>
      <c r="CW490" s="5"/>
      <c r="CX490" s="5"/>
      <c r="CY490" s="5"/>
      <c r="CZ490" s="543"/>
      <c r="DA490" s="5"/>
      <c r="DB490" s="5"/>
      <c r="DC490" s="5"/>
      <c r="DD490" s="5"/>
      <c r="DE490" s="543"/>
      <c r="DF490" s="7"/>
      <c r="DG490" s="7"/>
      <c r="DH490" s="7"/>
      <c r="DI490" s="7"/>
      <c r="DJ490" s="8"/>
      <c r="DK490" s="7"/>
      <c r="DL490" s="7"/>
      <c r="DM490" s="7"/>
      <c r="DN490" s="7"/>
      <c r="DO490" s="8"/>
      <c r="DP490" s="17"/>
      <c r="DQ490" s="17"/>
      <c r="DR490" s="17"/>
      <c r="DS490" s="17"/>
      <c r="DT490" s="1023"/>
      <c r="DU490" s="17"/>
      <c r="DV490" s="17"/>
      <c r="DW490" s="17"/>
      <c r="DX490" s="17"/>
      <c r="DY490" s="1023"/>
      <c r="DZ490" s="1097">
        <v>292</v>
      </c>
      <c r="EA490" s="1097">
        <v>291</v>
      </c>
      <c r="EB490" s="1097">
        <v>278</v>
      </c>
      <c r="EC490" s="1097">
        <v>272</v>
      </c>
      <c r="ED490" s="1098">
        <f>SUM(DZ490:EC490)</f>
        <v>1133</v>
      </c>
      <c r="EE490" s="1097">
        <v>267</v>
      </c>
      <c r="EF490" s="1097">
        <v>267</v>
      </c>
      <c r="EG490" s="1097">
        <v>275</v>
      </c>
      <c r="EH490" s="1097">
        <v>270</v>
      </c>
      <c r="EI490" s="1098">
        <f>SUM(EE490:EH490)</f>
        <v>1079</v>
      </c>
      <c r="EJ490" s="1097"/>
      <c r="EK490" s="18"/>
      <c r="EL490" s="18"/>
      <c r="EM490" s="18"/>
    </row>
    <row r="491" spans="1:147" x14ac:dyDescent="0.3">
      <c r="A491" s="1" t="s">
        <v>1743</v>
      </c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6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43"/>
      <c r="CQ491" s="5"/>
      <c r="CR491" s="5"/>
      <c r="CS491" s="5"/>
      <c r="CT491" s="5"/>
      <c r="CU491" s="543"/>
      <c r="CV491" s="5"/>
      <c r="CW491" s="5"/>
      <c r="CX491" s="5"/>
      <c r="CY491" s="5"/>
      <c r="CZ491" s="543"/>
      <c r="DA491" s="5"/>
      <c r="DB491" s="5"/>
      <c r="DC491" s="5"/>
      <c r="DD491" s="5"/>
      <c r="DE491" s="543"/>
      <c r="DF491" s="7"/>
      <c r="DG491" s="7"/>
      <c r="DH491" s="7"/>
      <c r="DI491" s="7"/>
      <c r="DJ491" s="8"/>
      <c r="DK491" s="7"/>
      <c r="DL491" s="7"/>
      <c r="DM491" s="7"/>
      <c r="DN491" s="7"/>
      <c r="DO491" s="8"/>
      <c r="DP491" s="17"/>
      <c r="DQ491" s="17"/>
      <c r="DR491" s="17"/>
      <c r="DS491" s="17"/>
      <c r="DT491" s="1023"/>
      <c r="DU491" s="17"/>
      <c r="DV491" s="17"/>
      <c r="DW491" s="17"/>
      <c r="DX491" s="17"/>
      <c r="DY491" s="1023"/>
      <c r="DZ491" s="1094">
        <f t="shared" ref="DZ491:EF491" si="460">SUM(DZ489:DZ490)</f>
        <v>724</v>
      </c>
      <c r="EA491" s="1094">
        <f t="shared" si="460"/>
        <v>710</v>
      </c>
      <c r="EB491" s="1094">
        <f t="shared" si="460"/>
        <v>689</v>
      </c>
      <c r="EC491" s="1094">
        <f t="shared" si="460"/>
        <v>690</v>
      </c>
      <c r="ED491" s="1095">
        <f t="shared" si="460"/>
        <v>2813</v>
      </c>
      <c r="EE491" s="1094">
        <f t="shared" si="460"/>
        <v>678</v>
      </c>
      <c r="EF491" s="1094">
        <f t="shared" si="460"/>
        <v>680</v>
      </c>
      <c r="EG491" s="1094">
        <f>SUM(EG489:EG490)</f>
        <v>684</v>
      </c>
      <c r="EH491" s="1094">
        <f>SUM(EH489:EH490)</f>
        <v>675</v>
      </c>
      <c r="EI491" s="1095">
        <f t="shared" ref="EI491" si="461">SUM(EI489:EI490)</f>
        <v>2717</v>
      </c>
      <c r="EJ491" s="1094"/>
      <c r="EK491" s="18"/>
      <c r="EL491" s="18"/>
      <c r="EM491" s="18"/>
    </row>
    <row r="492" spans="1:147" x14ac:dyDescent="0.3">
      <c r="A492" s="1" t="s">
        <v>2326</v>
      </c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6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43"/>
      <c r="CQ492" s="5"/>
      <c r="CR492" s="5"/>
      <c r="CS492" s="5"/>
      <c r="CT492" s="5"/>
      <c r="CU492" s="543"/>
      <c r="CV492" s="5"/>
      <c r="CW492" s="5"/>
      <c r="CX492" s="5"/>
      <c r="CY492" s="5"/>
      <c r="CZ492" s="543"/>
      <c r="DA492" s="5"/>
      <c r="DB492" s="5"/>
      <c r="DC492" s="5"/>
      <c r="DD492" s="5"/>
      <c r="DE492" s="543"/>
      <c r="DF492" s="7"/>
      <c r="DG492" s="7"/>
      <c r="DH492" s="7"/>
      <c r="DI492" s="7"/>
      <c r="DJ492" s="8"/>
      <c r="DK492" s="7"/>
      <c r="DL492" s="7"/>
      <c r="DM492" s="7"/>
      <c r="DN492" s="7"/>
      <c r="DO492" s="8"/>
      <c r="DP492" s="17"/>
      <c r="DQ492" s="17"/>
      <c r="DR492" s="17"/>
      <c r="DS492" s="17"/>
      <c r="DT492" s="1023"/>
      <c r="DU492" s="17"/>
      <c r="DV492" s="17"/>
      <c r="DW492" s="17"/>
      <c r="DX492" s="17"/>
      <c r="DY492" s="1023"/>
      <c r="DZ492" s="1093">
        <v>937</v>
      </c>
      <c r="EA492" s="1093">
        <v>910</v>
      </c>
      <c r="EB492" s="1093">
        <v>889</v>
      </c>
      <c r="EC492" s="1093">
        <v>867</v>
      </c>
      <c r="ED492" s="1023">
        <f>SUM(DZ492:EC492)</f>
        <v>3603</v>
      </c>
      <c r="EE492" s="1093">
        <v>857</v>
      </c>
      <c r="EF492" s="1093">
        <v>834</v>
      </c>
      <c r="EG492" s="1093">
        <f>391+418</f>
        <v>809</v>
      </c>
      <c r="EH492" s="1093">
        <f>407+377</f>
        <v>784</v>
      </c>
      <c r="EI492" s="1023">
        <f>SUM(EE492:EH492)</f>
        <v>3284</v>
      </c>
      <c r="EJ492" s="1093"/>
      <c r="EK492" s="18"/>
      <c r="EL492" s="18"/>
      <c r="EM492" s="18"/>
    </row>
    <row r="493" spans="1:147" x14ac:dyDescent="0.3">
      <c r="A493" s="1" t="s">
        <v>3563</v>
      </c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6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43"/>
      <c r="CQ493" s="5"/>
      <c r="CR493" s="5"/>
      <c r="CS493" s="5"/>
      <c r="CT493" s="5"/>
      <c r="CU493" s="543"/>
      <c r="CV493" s="5"/>
      <c r="CW493" s="5"/>
      <c r="CX493" s="5"/>
      <c r="CY493" s="5"/>
      <c r="CZ493" s="543"/>
      <c r="DA493" s="5"/>
      <c r="DB493" s="5"/>
      <c r="DC493" s="5"/>
      <c r="DD493" s="5"/>
      <c r="DE493" s="543"/>
      <c r="DF493" s="7"/>
      <c r="DG493" s="7"/>
      <c r="DH493" s="7"/>
      <c r="DI493" s="7"/>
      <c r="DJ493" s="8"/>
      <c r="DK493" s="7"/>
      <c r="DL493" s="7"/>
      <c r="DM493" s="7"/>
      <c r="DN493" s="7"/>
      <c r="DO493" s="8"/>
      <c r="DP493" s="17"/>
      <c r="DQ493" s="17"/>
      <c r="DR493" s="17"/>
      <c r="DS493" s="17"/>
      <c r="DT493" s="1023"/>
      <c r="DU493" s="17"/>
      <c r="DV493" s="17"/>
      <c r="DW493" s="17"/>
      <c r="DX493" s="17"/>
      <c r="DY493" s="1023"/>
      <c r="DZ493" s="1093">
        <v>128</v>
      </c>
      <c r="EA493" s="1093">
        <v>133</v>
      </c>
      <c r="EB493" s="1093">
        <v>149</v>
      </c>
      <c r="EC493" s="1093">
        <v>139</v>
      </c>
      <c r="ED493" s="1023">
        <f>SUM(DZ493:EC493)</f>
        <v>549</v>
      </c>
      <c r="EE493" s="1093">
        <v>140</v>
      </c>
      <c r="EF493" s="1093">
        <v>103</v>
      </c>
      <c r="EG493" s="1093">
        <v>83</v>
      </c>
      <c r="EH493" s="1093">
        <v>84</v>
      </c>
      <c r="EI493" s="1023">
        <f>SUM(EE493:EH493)</f>
        <v>410</v>
      </c>
      <c r="EJ493" s="1093"/>
      <c r="EK493" s="18"/>
      <c r="EL493" s="18"/>
      <c r="EM493" s="18"/>
    </row>
    <row r="494" spans="1:147" x14ac:dyDescent="0.3">
      <c r="A494" s="4" t="s">
        <v>19</v>
      </c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6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43"/>
      <c r="CQ494" s="5"/>
      <c r="CR494" s="5"/>
      <c r="CS494" s="5"/>
      <c r="CT494" s="5"/>
      <c r="CU494" s="543"/>
      <c r="CV494" s="5"/>
      <c r="CW494" s="5"/>
      <c r="CX494" s="5"/>
      <c r="CY494" s="5"/>
      <c r="CZ494" s="543"/>
      <c r="DA494" s="5"/>
      <c r="DB494" s="5"/>
      <c r="DC494" s="5"/>
      <c r="DD494" s="5"/>
      <c r="DE494" s="543"/>
      <c r="DF494" s="7"/>
      <c r="DG494" s="7"/>
      <c r="DH494" s="7"/>
      <c r="DI494" s="7"/>
      <c r="DJ494" s="8"/>
      <c r="DK494" s="7"/>
      <c r="DL494" s="7"/>
      <c r="DM494" s="7"/>
      <c r="DN494" s="7"/>
      <c r="DO494" s="8"/>
      <c r="DP494" s="17"/>
      <c r="DQ494" s="17"/>
      <c r="DR494" s="17"/>
      <c r="DS494" s="17"/>
      <c r="DT494" s="1023"/>
      <c r="DU494" s="17"/>
      <c r="DV494" s="17"/>
      <c r="DW494" s="17"/>
      <c r="DX494" s="17"/>
      <c r="DY494" s="1023"/>
      <c r="DZ494" s="1096">
        <f>SUM(DZ491:DZ493)</f>
        <v>1789</v>
      </c>
      <c r="EA494" s="1096">
        <f t="shared" ref="EA494:EF494" si="462">SUM(EA491:EA493)</f>
        <v>1753</v>
      </c>
      <c r="EB494" s="1096">
        <f t="shared" si="462"/>
        <v>1727</v>
      </c>
      <c r="EC494" s="1096">
        <f t="shared" si="462"/>
        <v>1696</v>
      </c>
      <c r="ED494" s="1096">
        <f t="shared" si="462"/>
        <v>6965</v>
      </c>
      <c r="EE494" s="1096">
        <f t="shared" si="462"/>
        <v>1675</v>
      </c>
      <c r="EF494" s="1096">
        <f t="shared" si="462"/>
        <v>1617</v>
      </c>
      <c r="EG494" s="1096">
        <f>SUM(EG491:EG493)</f>
        <v>1576</v>
      </c>
      <c r="EH494" s="1096">
        <f>SUM(EH491:EH493)</f>
        <v>1543</v>
      </c>
      <c r="EI494" s="1096">
        <f t="shared" ref="EI494" si="463">SUM(EI491:EI493)</f>
        <v>6411</v>
      </c>
      <c r="EJ494" s="1096"/>
      <c r="EK494" s="18"/>
      <c r="EL494" s="18"/>
      <c r="EM494" s="18"/>
    </row>
    <row r="495" spans="1:147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6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43"/>
      <c r="CQ495" s="5"/>
      <c r="CR495" s="5"/>
      <c r="CS495" s="5"/>
      <c r="CT495" s="5"/>
      <c r="CU495" s="543"/>
      <c r="CV495" s="5"/>
      <c r="CW495" s="5"/>
      <c r="CX495" s="5"/>
      <c r="CY495" s="5"/>
      <c r="CZ495" s="543"/>
      <c r="DA495" s="5"/>
      <c r="DB495" s="5"/>
      <c r="DC495" s="5"/>
      <c r="DD495" s="5"/>
      <c r="DE495" s="543"/>
      <c r="DF495" s="7"/>
      <c r="DG495" s="7"/>
      <c r="DH495" s="7"/>
      <c r="DI495" s="7"/>
      <c r="DJ495" s="8"/>
      <c r="DK495" s="7"/>
      <c r="DL495" s="7"/>
      <c r="DM495" s="7"/>
      <c r="DN495" s="7"/>
      <c r="DO495" s="8"/>
      <c r="DP495" s="17"/>
      <c r="DQ495" s="17"/>
      <c r="DR495" s="17"/>
      <c r="DS495" s="17"/>
      <c r="DT495" s="1023"/>
      <c r="DU495" s="17"/>
      <c r="DV495" s="17"/>
      <c r="DW495" s="17"/>
      <c r="DX495" s="17"/>
      <c r="DY495" s="1023"/>
      <c r="DZ495" s="17"/>
      <c r="EA495" s="18"/>
      <c r="EB495" s="18"/>
      <c r="EC495" s="18"/>
      <c r="ED495" s="1023"/>
      <c r="EE495" s="18"/>
      <c r="EF495" s="18"/>
      <c r="EG495" s="18"/>
      <c r="EH495" s="18"/>
      <c r="EI495" s="1023"/>
      <c r="EJ495" s="18"/>
      <c r="EK495" s="18"/>
      <c r="EL495" s="18"/>
      <c r="EM495" s="18"/>
    </row>
    <row r="496" spans="1:147" x14ac:dyDescent="0.3">
      <c r="A496" s="4" t="s">
        <v>106</v>
      </c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6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43"/>
      <c r="CQ496" s="5"/>
      <c r="CR496" s="5"/>
      <c r="CS496" s="5"/>
      <c r="CT496" s="5"/>
      <c r="CU496" s="543"/>
      <c r="CV496" s="5"/>
      <c r="CW496" s="5"/>
      <c r="CX496" s="5"/>
      <c r="CY496" s="5"/>
      <c r="CZ496" s="543"/>
      <c r="DA496" s="5"/>
      <c r="DB496" s="5"/>
      <c r="DC496" s="5"/>
      <c r="DD496" s="5"/>
      <c r="DE496" s="543"/>
      <c r="DF496" s="7"/>
      <c r="DG496" s="7"/>
      <c r="DH496" s="7"/>
      <c r="DI496" s="7"/>
      <c r="DJ496" s="8"/>
      <c r="DK496" s="7"/>
      <c r="DL496" s="7"/>
      <c r="DM496" s="7"/>
      <c r="DN496" s="7"/>
      <c r="DO496" s="8"/>
      <c r="DP496" s="17"/>
      <c r="DQ496" s="17"/>
      <c r="DR496" s="17"/>
      <c r="DS496" s="17"/>
      <c r="DT496" s="1023"/>
      <c r="DU496" s="17"/>
      <c r="DV496" s="17"/>
      <c r="DW496" s="17"/>
      <c r="DX496" s="17"/>
      <c r="DY496" s="1023"/>
      <c r="DZ496" s="17"/>
      <c r="EA496" s="18"/>
      <c r="EB496" s="18"/>
      <c r="EC496" s="18"/>
      <c r="ED496" s="1023"/>
      <c r="EE496" s="18"/>
      <c r="EF496" s="18"/>
      <c r="EG496" s="18"/>
      <c r="EH496" s="18"/>
      <c r="EI496" s="1023"/>
      <c r="EJ496" s="18"/>
      <c r="EK496" s="18"/>
      <c r="EL496" s="18"/>
      <c r="EM496" s="18"/>
    </row>
    <row r="497" spans="1:143" x14ac:dyDescent="0.3">
      <c r="A497" s="1" t="s">
        <v>628</v>
      </c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6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43"/>
      <c r="CQ497" s="5"/>
      <c r="CR497" s="5"/>
      <c r="CS497" s="5"/>
      <c r="CT497" s="5"/>
      <c r="CU497" s="543"/>
      <c r="CV497" s="5"/>
      <c r="CW497" s="5"/>
      <c r="CX497" s="5"/>
      <c r="CY497" s="5"/>
      <c r="CZ497" s="543"/>
      <c r="DA497" s="5"/>
      <c r="DB497" s="5"/>
      <c r="DC497" s="5"/>
      <c r="DD497" s="5"/>
      <c r="DE497" s="543"/>
      <c r="DF497" s="7"/>
      <c r="DG497" s="7"/>
      <c r="DH497" s="7"/>
      <c r="DI497" s="7"/>
      <c r="DJ497" s="8"/>
      <c r="DK497" s="7"/>
      <c r="DL497" s="7"/>
      <c r="DM497" s="7"/>
      <c r="DN497" s="7"/>
      <c r="DO497" s="8"/>
      <c r="DP497" s="17"/>
      <c r="DQ497" s="17"/>
      <c r="DR497" s="17"/>
      <c r="DS497" s="17"/>
      <c r="DT497" s="1023"/>
      <c r="DU497" s="17"/>
      <c r="DV497" s="17"/>
      <c r="DW497" s="17"/>
      <c r="DX497" s="17"/>
      <c r="DY497" s="1023"/>
      <c r="DZ497" s="1093">
        <v>271</v>
      </c>
      <c r="EA497" s="1093">
        <v>289</v>
      </c>
      <c r="EB497" s="1093">
        <v>269</v>
      </c>
      <c r="EC497" s="1093">
        <v>283</v>
      </c>
      <c r="ED497" s="1023">
        <f>SUM(DZ497:EC497)</f>
        <v>1112</v>
      </c>
      <c r="EE497" s="1093">
        <v>275</v>
      </c>
      <c r="EF497" s="1093">
        <v>278</v>
      </c>
      <c r="EG497" s="1093">
        <v>278</v>
      </c>
      <c r="EH497" s="1093">
        <v>273</v>
      </c>
      <c r="EI497" s="1023">
        <f>SUM(EE497:EH497)</f>
        <v>1104</v>
      </c>
      <c r="EJ497" s="1093"/>
      <c r="EK497" s="18"/>
      <c r="EL497" s="18"/>
      <c r="EM497" s="18"/>
    </row>
    <row r="498" spans="1:143" x14ac:dyDescent="0.3">
      <c r="A498" s="1" t="s">
        <v>629</v>
      </c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6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43"/>
      <c r="CQ498" s="5"/>
      <c r="CR498" s="5"/>
      <c r="CS498" s="5"/>
      <c r="CT498" s="5"/>
      <c r="CU498" s="543"/>
      <c r="CV498" s="5"/>
      <c r="CW498" s="5"/>
      <c r="CX498" s="5"/>
      <c r="CY498" s="5"/>
      <c r="CZ498" s="543"/>
      <c r="DA498" s="5"/>
      <c r="DB498" s="5"/>
      <c r="DC498" s="5"/>
      <c r="DD498" s="5"/>
      <c r="DE498" s="543"/>
      <c r="DF498" s="7"/>
      <c r="DG498" s="7"/>
      <c r="DH498" s="7"/>
      <c r="DI498" s="7"/>
      <c r="DJ498" s="8"/>
      <c r="DK498" s="7"/>
      <c r="DL498" s="7"/>
      <c r="DM498" s="7"/>
      <c r="DN498" s="7"/>
      <c r="DO498" s="8"/>
      <c r="DP498" s="17"/>
      <c r="DQ498" s="17"/>
      <c r="DR498" s="17"/>
      <c r="DS498" s="17"/>
      <c r="DT498" s="1023"/>
      <c r="DU498" s="17"/>
      <c r="DV498" s="17"/>
      <c r="DW498" s="17"/>
      <c r="DX498" s="17"/>
      <c r="DY498" s="1023"/>
      <c r="DZ498" s="1093">
        <v>333</v>
      </c>
      <c r="EA498" s="1093">
        <v>319</v>
      </c>
      <c r="EB498" s="1093">
        <v>322</v>
      </c>
      <c r="EC498" s="1093">
        <v>319</v>
      </c>
      <c r="ED498" s="1023">
        <f>SUM(DZ498:EC498)</f>
        <v>1293</v>
      </c>
      <c r="EE498" s="1093">
        <v>311</v>
      </c>
      <c r="EF498" s="1093">
        <v>272</v>
      </c>
      <c r="EG498" s="1093">
        <v>227</v>
      </c>
      <c r="EH498" s="1093">
        <v>228</v>
      </c>
      <c r="EI498" s="1023">
        <f>SUM(EE498:EH498)</f>
        <v>1038</v>
      </c>
      <c r="EJ498" s="1093"/>
      <c r="EK498" s="18"/>
      <c r="EL498" s="18"/>
      <c r="EM498" s="18"/>
    </row>
    <row r="499" spans="1:143" x14ac:dyDescent="0.3">
      <c r="A499" s="1" t="s">
        <v>3563</v>
      </c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6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43"/>
      <c r="CQ499" s="5"/>
      <c r="CR499" s="5"/>
      <c r="CS499" s="5"/>
      <c r="CT499" s="5"/>
      <c r="CU499" s="543"/>
      <c r="CV499" s="5"/>
      <c r="CW499" s="5"/>
      <c r="CX499" s="5"/>
      <c r="CY499" s="5"/>
      <c r="CZ499" s="543"/>
      <c r="DA499" s="5"/>
      <c r="DB499" s="5"/>
      <c r="DC499" s="5"/>
      <c r="DD499" s="5"/>
      <c r="DE499" s="543"/>
      <c r="DF499" s="7"/>
      <c r="DG499" s="7"/>
      <c r="DH499" s="7"/>
      <c r="DI499" s="7"/>
      <c r="DJ499" s="8"/>
      <c r="DK499" s="7"/>
      <c r="DL499" s="7"/>
      <c r="DM499" s="7"/>
      <c r="DN499" s="7"/>
      <c r="DO499" s="8"/>
      <c r="DP499" s="17"/>
      <c r="DQ499" s="17"/>
      <c r="DR499" s="17"/>
      <c r="DS499" s="17"/>
      <c r="DT499" s="1023"/>
      <c r="DU499" s="17"/>
      <c r="DV499" s="17"/>
      <c r="DW499" s="17"/>
      <c r="DX499" s="17"/>
      <c r="DY499" s="1023"/>
      <c r="DZ499" s="1093">
        <v>82</v>
      </c>
      <c r="EA499" s="1093">
        <v>94</v>
      </c>
      <c r="EB499" s="1093">
        <v>99</v>
      </c>
      <c r="EC499" s="1093">
        <v>91</v>
      </c>
      <c r="ED499" s="1023">
        <f>SUM(DZ499:EC499)</f>
        <v>366</v>
      </c>
      <c r="EE499" s="1093">
        <v>84</v>
      </c>
      <c r="EF499" s="1093">
        <v>83</v>
      </c>
      <c r="EG499" s="1093">
        <v>82</v>
      </c>
      <c r="EH499" s="1093">
        <v>84</v>
      </c>
      <c r="EI499" s="1023">
        <f>SUM(EE499:EH499)</f>
        <v>333</v>
      </c>
      <c r="EJ499" s="1093"/>
      <c r="EK499" s="18"/>
      <c r="EL499" s="18"/>
      <c r="EM499" s="18"/>
    </row>
    <row r="500" spans="1:143" x14ac:dyDescent="0.3">
      <c r="A500" s="4" t="s">
        <v>3564</v>
      </c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6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43"/>
      <c r="CQ500" s="5"/>
      <c r="CR500" s="5"/>
      <c r="CS500" s="5"/>
      <c r="CT500" s="5"/>
      <c r="CU500" s="543"/>
      <c r="CV500" s="5"/>
      <c r="CW500" s="5"/>
      <c r="CX500" s="5"/>
      <c r="CY500" s="5"/>
      <c r="CZ500" s="543"/>
      <c r="DA500" s="5"/>
      <c r="DB500" s="5"/>
      <c r="DC500" s="5"/>
      <c r="DD500" s="5"/>
      <c r="DE500" s="543"/>
      <c r="DF500" s="7"/>
      <c r="DG500" s="7"/>
      <c r="DH500" s="7"/>
      <c r="DI500" s="7"/>
      <c r="DJ500" s="8"/>
      <c r="DK500" s="7"/>
      <c r="DL500" s="7"/>
      <c r="DM500" s="7"/>
      <c r="DN500" s="7"/>
      <c r="DO500" s="8"/>
      <c r="DP500" s="17"/>
      <c r="DQ500" s="17"/>
      <c r="DR500" s="17"/>
      <c r="DS500" s="17"/>
      <c r="DT500" s="1023"/>
      <c r="DU500" s="17"/>
      <c r="DV500" s="17"/>
      <c r="DW500" s="17"/>
      <c r="DX500" s="17"/>
      <c r="DY500" s="1023"/>
      <c r="DZ500" s="1096">
        <f t="shared" ref="DZ500:EG500" si="464">SUM(DZ497:DZ499)</f>
        <v>686</v>
      </c>
      <c r="EA500" s="1096">
        <f t="shared" si="464"/>
        <v>702</v>
      </c>
      <c r="EB500" s="1096">
        <f t="shared" si="464"/>
        <v>690</v>
      </c>
      <c r="EC500" s="1096">
        <f t="shared" si="464"/>
        <v>693</v>
      </c>
      <c r="ED500" s="1096">
        <f t="shared" si="464"/>
        <v>2771</v>
      </c>
      <c r="EE500" s="1096">
        <f t="shared" si="464"/>
        <v>670</v>
      </c>
      <c r="EF500" s="1096">
        <f t="shared" si="464"/>
        <v>633</v>
      </c>
      <c r="EG500" s="1096">
        <f t="shared" si="464"/>
        <v>587</v>
      </c>
      <c r="EH500" s="1096">
        <f t="shared" ref="EH500:EI500" si="465">SUM(EH497:EH499)</f>
        <v>585</v>
      </c>
      <c r="EI500" s="1096">
        <f t="shared" si="465"/>
        <v>2475</v>
      </c>
      <c r="EJ500" s="1096"/>
      <c r="EK500" s="18"/>
      <c r="EL500" s="18"/>
      <c r="EM500" s="18"/>
    </row>
    <row r="501" spans="1:143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6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43"/>
      <c r="CQ501" s="5"/>
      <c r="CR501" s="5"/>
      <c r="CS501" s="5"/>
      <c r="CT501" s="5"/>
      <c r="CU501" s="543"/>
      <c r="CV501" s="5"/>
      <c r="CW501" s="5"/>
      <c r="CX501" s="5"/>
      <c r="CY501" s="5"/>
      <c r="CZ501" s="543"/>
      <c r="DA501" s="5"/>
      <c r="DB501" s="5"/>
      <c r="DC501" s="5"/>
      <c r="DD501" s="5"/>
      <c r="DE501" s="543"/>
      <c r="DF501" s="7"/>
      <c r="DG501" s="7"/>
      <c r="DH501" s="7"/>
      <c r="DI501" s="7"/>
      <c r="DJ501" s="8"/>
      <c r="DK501" s="7"/>
      <c r="DL501" s="7"/>
      <c r="DM501" s="7"/>
      <c r="DN501" s="7"/>
      <c r="DO501" s="8"/>
      <c r="DP501" s="17"/>
      <c r="DQ501" s="17"/>
      <c r="DR501" s="17"/>
      <c r="DS501" s="17"/>
      <c r="DT501" s="1023"/>
      <c r="DU501" s="17"/>
      <c r="DV501" s="17"/>
      <c r="DW501" s="17"/>
      <c r="DX501" s="17"/>
      <c r="DY501" s="1023"/>
      <c r="DZ501" s="17"/>
      <c r="EA501" s="18"/>
      <c r="EB501" s="18"/>
      <c r="EC501" s="18"/>
      <c r="ED501" s="1023"/>
      <c r="EE501" s="18"/>
      <c r="EF501" s="18"/>
      <c r="EG501" s="18"/>
      <c r="EH501" s="18"/>
      <c r="EI501" s="1023"/>
      <c r="EJ501" s="18"/>
      <c r="EK501" s="18"/>
      <c r="EL501" s="18"/>
      <c r="EM501" s="18"/>
    </row>
    <row r="502" spans="1:143" x14ac:dyDescent="0.3">
      <c r="A502" s="4" t="s">
        <v>3565</v>
      </c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6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43"/>
      <c r="CQ502" s="5"/>
      <c r="CR502" s="5"/>
      <c r="CS502" s="5"/>
      <c r="CT502" s="5"/>
      <c r="CU502" s="543"/>
      <c r="CV502" s="5"/>
      <c r="CW502" s="5"/>
      <c r="CX502" s="5"/>
      <c r="CY502" s="5"/>
      <c r="CZ502" s="543"/>
      <c r="DA502" s="5"/>
      <c r="DB502" s="5"/>
      <c r="DC502" s="5"/>
      <c r="DD502" s="5"/>
      <c r="DE502" s="543"/>
      <c r="DF502" s="7"/>
      <c r="DG502" s="7"/>
      <c r="DH502" s="7"/>
      <c r="DI502" s="7"/>
      <c r="DJ502" s="8"/>
      <c r="DK502" s="7"/>
      <c r="DL502" s="7"/>
      <c r="DM502" s="7"/>
      <c r="DN502" s="7"/>
      <c r="DO502" s="8"/>
      <c r="DP502" s="17"/>
      <c r="DQ502" s="17"/>
      <c r="DR502" s="17"/>
      <c r="DS502" s="17"/>
      <c r="DT502" s="1023"/>
      <c r="DU502" s="17"/>
      <c r="DV502" s="17"/>
      <c r="DW502" s="17"/>
      <c r="DX502" s="17"/>
      <c r="DY502" s="1023"/>
      <c r="DZ502" s="17"/>
      <c r="EA502" s="18"/>
      <c r="EB502" s="18"/>
      <c r="EC502" s="18"/>
      <c r="ED502" s="1023"/>
      <c r="EE502" s="18"/>
      <c r="EF502" s="18"/>
      <c r="EG502" s="18"/>
      <c r="EH502" s="18"/>
      <c r="EI502" s="1023"/>
      <c r="EJ502" s="18"/>
      <c r="EK502" s="18"/>
      <c r="EL502" s="18"/>
      <c r="EM502" s="18"/>
    </row>
    <row r="503" spans="1:143" x14ac:dyDescent="0.3">
      <c r="A503" s="1" t="s">
        <v>628</v>
      </c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6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43"/>
      <c r="CQ503" s="5"/>
      <c r="CR503" s="5"/>
      <c r="CS503" s="5"/>
      <c r="CT503" s="5"/>
      <c r="CU503" s="543"/>
      <c r="CV503" s="5"/>
      <c r="CW503" s="5"/>
      <c r="CX503" s="5"/>
      <c r="CY503" s="5"/>
      <c r="CZ503" s="543"/>
      <c r="DA503" s="5"/>
      <c r="DB503" s="5"/>
      <c r="DC503" s="5"/>
      <c r="DD503" s="5"/>
      <c r="DE503" s="543"/>
      <c r="DF503" s="7"/>
      <c r="DG503" s="7"/>
      <c r="DH503" s="7"/>
      <c r="DI503" s="7"/>
      <c r="DJ503" s="8"/>
      <c r="DK503" s="7"/>
      <c r="DL503" s="7"/>
      <c r="DM503" s="7"/>
      <c r="DN503" s="7"/>
      <c r="DO503" s="8"/>
      <c r="DP503" s="17"/>
      <c r="DQ503" s="17"/>
      <c r="DR503" s="17"/>
      <c r="DS503" s="17"/>
      <c r="DT503" s="1023"/>
      <c r="DU503" s="17"/>
      <c r="DV503" s="17"/>
      <c r="DW503" s="17"/>
      <c r="DX503" s="17"/>
      <c r="DY503" s="1023"/>
      <c r="DZ503" s="1099">
        <f>DZ497/DZ491</f>
        <v>0.37430939226519339</v>
      </c>
      <c r="EA503" s="1099">
        <f t="shared" ref="EA503:EF503" si="466">EA497/EA491</f>
        <v>0.40704225352112677</v>
      </c>
      <c r="EB503" s="1099">
        <f t="shared" si="466"/>
        <v>0.39042089985486211</v>
      </c>
      <c r="EC503" s="1099">
        <f t="shared" si="466"/>
        <v>0.41014492753623188</v>
      </c>
      <c r="ED503" s="1099">
        <f t="shared" si="466"/>
        <v>0.3953075008887309</v>
      </c>
      <c r="EE503" s="1099">
        <f t="shared" si="466"/>
        <v>0.4056047197640118</v>
      </c>
      <c r="EF503" s="1099">
        <f t="shared" si="466"/>
        <v>0.4088235294117647</v>
      </c>
      <c r="EG503" s="1099">
        <f t="shared" ref="EG503:EH506" si="467">EG497/EG491</f>
        <v>0.4064327485380117</v>
      </c>
      <c r="EH503" s="1099">
        <f t="shared" si="467"/>
        <v>0.40444444444444444</v>
      </c>
      <c r="EI503" s="1099">
        <f t="shared" ref="EI503" si="468">EI497/EI491</f>
        <v>0.40633051159366951</v>
      </c>
      <c r="EJ503" s="1099"/>
      <c r="EK503" s="18"/>
      <c r="EL503" s="18"/>
      <c r="EM503" s="18"/>
    </row>
    <row r="504" spans="1:143" x14ac:dyDescent="0.3">
      <c r="A504" s="1" t="s">
        <v>629</v>
      </c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6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43"/>
      <c r="CQ504" s="5"/>
      <c r="CR504" s="5"/>
      <c r="CS504" s="5"/>
      <c r="CT504" s="5"/>
      <c r="CU504" s="543"/>
      <c r="CV504" s="5"/>
      <c r="CW504" s="5"/>
      <c r="CX504" s="5"/>
      <c r="CY504" s="5"/>
      <c r="CZ504" s="543"/>
      <c r="DA504" s="5"/>
      <c r="DB504" s="5"/>
      <c r="DC504" s="5"/>
      <c r="DD504" s="5"/>
      <c r="DE504" s="543"/>
      <c r="DF504" s="7"/>
      <c r="DG504" s="7"/>
      <c r="DH504" s="7"/>
      <c r="DI504" s="7"/>
      <c r="DJ504" s="8"/>
      <c r="DK504" s="7"/>
      <c r="DL504" s="7"/>
      <c r="DM504" s="7"/>
      <c r="DN504" s="7"/>
      <c r="DO504" s="8"/>
      <c r="DP504" s="17"/>
      <c r="DQ504" s="17"/>
      <c r="DR504" s="17"/>
      <c r="DS504" s="17"/>
      <c r="DT504" s="1023"/>
      <c r="DU504" s="17"/>
      <c r="DV504" s="17"/>
      <c r="DW504" s="17"/>
      <c r="DX504" s="17"/>
      <c r="DY504" s="1023"/>
      <c r="DZ504" s="1099">
        <f t="shared" ref="DZ504:EF506" si="469">DZ498/DZ492</f>
        <v>0.35538954108858056</v>
      </c>
      <c r="EA504" s="1099">
        <f t="shared" si="469"/>
        <v>0.35054945054945053</v>
      </c>
      <c r="EB504" s="1099">
        <f t="shared" si="469"/>
        <v>0.36220472440944884</v>
      </c>
      <c r="EC504" s="1099">
        <f t="shared" si="469"/>
        <v>0.36793540945790082</v>
      </c>
      <c r="ED504" s="1099">
        <f t="shared" si="469"/>
        <v>0.35886761032472941</v>
      </c>
      <c r="EE504" s="1099">
        <f t="shared" si="469"/>
        <v>0.36289381563593931</v>
      </c>
      <c r="EF504" s="1099">
        <f t="shared" si="469"/>
        <v>0.32613908872901681</v>
      </c>
      <c r="EG504" s="1099">
        <f t="shared" si="467"/>
        <v>0.28059332509270707</v>
      </c>
      <c r="EH504" s="1099">
        <f t="shared" si="467"/>
        <v>0.29081632653061223</v>
      </c>
      <c r="EI504" s="1099">
        <f t="shared" ref="EI504" si="470">EI498/EI492</f>
        <v>0.31607795371498171</v>
      </c>
      <c r="EJ504" s="1099"/>
      <c r="EK504" s="18"/>
      <c r="EL504" s="18"/>
      <c r="EM504" s="18"/>
    </row>
    <row r="505" spans="1:143" x14ac:dyDescent="0.3">
      <c r="A505" s="1" t="s">
        <v>3563</v>
      </c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6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43"/>
      <c r="CQ505" s="5"/>
      <c r="CR505" s="5"/>
      <c r="CS505" s="5"/>
      <c r="CT505" s="5"/>
      <c r="CU505" s="543"/>
      <c r="CV505" s="5"/>
      <c r="CW505" s="5"/>
      <c r="CX505" s="5"/>
      <c r="CY505" s="5"/>
      <c r="CZ505" s="543"/>
      <c r="DA505" s="5"/>
      <c r="DB505" s="5"/>
      <c r="DC505" s="5"/>
      <c r="DD505" s="5"/>
      <c r="DE505" s="543"/>
      <c r="DF505" s="7"/>
      <c r="DG505" s="7"/>
      <c r="DH505" s="7"/>
      <c r="DI505" s="7"/>
      <c r="DJ505" s="8"/>
      <c r="DK505" s="7"/>
      <c r="DL505" s="7"/>
      <c r="DM505" s="7"/>
      <c r="DN505" s="7"/>
      <c r="DO505" s="8"/>
      <c r="DP505" s="17"/>
      <c r="DQ505" s="17"/>
      <c r="DR505" s="17"/>
      <c r="DS505" s="17"/>
      <c r="DT505" s="1023"/>
      <c r="DU505" s="17"/>
      <c r="DV505" s="17"/>
      <c r="DW505" s="17"/>
      <c r="DX505" s="17"/>
      <c r="DY505" s="1023"/>
      <c r="DZ505" s="1099">
        <f t="shared" si="469"/>
        <v>0.640625</v>
      </c>
      <c r="EA505" s="1099">
        <f t="shared" si="469"/>
        <v>0.70676691729323304</v>
      </c>
      <c r="EB505" s="1099">
        <f t="shared" si="469"/>
        <v>0.66442953020134232</v>
      </c>
      <c r="EC505" s="1099">
        <f t="shared" si="469"/>
        <v>0.65467625899280579</v>
      </c>
      <c r="ED505" s="1099">
        <f t="shared" si="469"/>
        <v>0.66666666666666663</v>
      </c>
      <c r="EE505" s="1099">
        <f t="shared" si="469"/>
        <v>0.6</v>
      </c>
      <c r="EF505" s="1099">
        <f t="shared" si="469"/>
        <v>0.80582524271844658</v>
      </c>
      <c r="EG505" s="1099">
        <f t="shared" si="467"/>
        <v>0.98795180722891562</v>
      </c>
      <c r="EH505" s="1099">
        <f t="shared" si="467"/>
        <v>1</v>
      </c>
      <c r="EI505" s="1099">
        <f t="shared" ref="EI505" si="471">EI499/EI493</f>
        <v>0.81219512195121957</v>
      </c>
      <c r="EJ505" s="1099"/>
      <c r="EK505" s="18"/>
      <c r="EL505" s="18"/>
      <c r="EM505" s="18"/>
    </row>
    <row r="506" spans="1:143" x14ac:dyDescent="0.3">
      <c r="A506" s="4" t="s">
        <v>3566</v>
      </c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6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43"/>
      <c r="CQ506" s="5"/>
      <c r="CR506" s="5"/>
      <c r="CS506" s="5"/>
      <c r="CT506" s="5"/>
      <c r="CU506" s="543"/>
      <c r="CV506" s="5"/>
      <c r="CW506" s="5"/>
      <c r="CX506" s="5"/>
      <c r="CY506" s="5"/>
      <c r="CZ506" s="543"/>
      <c r="DA506" s="5"/>
      <c r="DB506" s="5"/>
      <c r="DC506" s="5"/>
      <c r="DD506" s="5"/>
      <c r="DE506" s="543"/>
      <c r="DF506" s="7"/>
      <c r="DG506" s="7"/>
      <c r="DH506" s="7"/>
      <c r="DI506" s="7"/>
      <c r="DJ506" s="8"/>
      <c r="DK506" s="7"/>
      <c r="DL506" s="7"/>
      <c r="DM506" s="7"/>
      <c r="DN506" s="7"/>
      <c r="DO506" s="8"/>
      <c r="DP506" s="17"/>
      <c r="DQ506" s="17"/>
      <c r="DR506" s="17"/>
      <c r="DS506" s="17"/>
      <c r="DT506" s="1023"/>
      <c r="DU506" s="17"/>
      <c r="DV506" s="17"/>
      <c r="DW506" s="17"/>
      <c r="DX506" s="17"/>
      <c r="DY506" s="1023"/>
      <c r="DZ506" s="1100">
        <f t="shared" si="469"/>
        <v>0.38345444382336502</v>
      </c>
      <c r="EA506" s="1100">
        <f t="shared" si="469"/>
        <v>0.40045636052481459</v>
      </c>
      <c r="EB506" s="1100">
        <f t="shared" si="469"/>
        <v>0.39953676896352058</v>
      </c>
      <c r="EC506" s="1100">
        <f t="shared" si="469"/>
        <v>0.40860849056603776</v>
      </c>
      <c r="ED506" s="1100">
        <f t="shared" si="469"/>
        <v>0.39784637473079681</v>
      </c>
      <c r="EE506" s="1100">
        <f t="shared" si="469"/>
        <v>0.4</v>
      </c>
      <c r="EF506" s="1100">
        <f t="shared" si="469"/>
        <v>0.39146567717996289</v>
      </c>
      <c r="EG506" s="1100">
        <f t="shared" si="467"/>
        <v>0.37246192893401014</v>
      </c>
      <c r="EH506" s="1100">
        <f t="shared" si="467"/>
        <v>0.37913156189241737</v>
      </c>
      <c r="EI506" s="1100">
        <f t="shared" ref="EI506" si="472">EI500/EI494</f>
        <v>0.38605521759475903</v>
      </c>
      <c r="EJ506" s="1100"/>
      <c r="EK506" s="18"/>
      <c r="EL506" s="18"/>
      <c r="EM506" s="18"/>
    </row>
    <row r="507" spans="1:143" x14ac:dyDescent="0.3">
      <c r="A507" s="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6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43"/>
      <c r="CQ507" s="5"/>
      <c r="CR507" s="5"/>
      <c r="CS507" s="5"/>
      <c r="CT507" s="5"/>
      <c r="CU507" s="543"/>
      <c r="CV507" s="5"/>
      <c r="CW507" s="5"/>
      <c r="CX507" s="5"/>
      <c r="CY507" s="5"/>
      <c r="CZ507" s="543"/>
      <c r="DA507" s="5"/>
      <c r="DB507" s="5"/>
      <c r="DC507" s="5"/>
      <c r="DD507" s="5"/>
      <c r="DE507" s="543"/>
      <c r="DF507" s="7"/>
      <c r="DG507" s="7"/>
      <c r="DH507" s="7"/>
      <c r="DI507" s="7"/>
      <c r="DJ507" s="8"/>
      <c r="DK507" s="7"/>
      <c r="DL507" s="7"/>
      <c r="DM507" s="7"/>
      <c r="DN507" s="7"/>
      <c r="DO507" s="8"/>
      <c r="DP507" s="17"/>
      <c r="DQ507" s="17"/>
      <c r="DR507" s="17"/>
      <c r="DS507" s="17"/>
      <c r="DT507" s="1023"/>
      <c r="DU507" s="17"/>
      <c r="DV507" s="17"/>
      <c r="DW507" s="17"/>
      <c r="DX507" s="17"/>
      <c r="DY507" s="1023"/>
      <c r="DZ507" s="17"/>
      <c r="EA507" s="18"/>
      <c r="EB507" s="18"/>
      <c r="EC507" s="18"/>
      <c r="ED507" s="1023"/>
      <c r="EE507" s="18"/>
      <c r="EF507" s="18"/>
      <c r="EG507" s="18"/>
      <c r="EH507" s="18"/>
      <c r="EI507" s="1023"/>
      <c r="EK507" s="18"/>
      <c r="EL507" s="18"/>
      <c r="EM507" s="18"/>
    </row>
    <row r="508" spans="1:143" x14ac:dyDescent="0.3">
      <c r="A508" s="1059" t="s">
        <v>3567</v>
      </c>
      <c r="B508" s="1049"/>
      <c r="C508" s="1049"/>
      <c r="D508" s="1049"/>
      <c r="E508" s="1049"/>
      <c r="F508" s="1049"/>
      <c r="G508" s="1049"/>
      <c r="H508" s="1049"/>
      <c r="I508" s="1049"/>
      <c r="J508" s="1049"/>
      <c r="K508" s="1049"/>
      <c r="L508" s="1049"/>
      <c r="M508" s="1049"/>
      <c r="N508" s="1049"/>
      <c r="O508" s="1049"/>
      <c r="P508" s="1049"/>
      <c r="Q508" s="1049"/>
      <c r="R508" s="1049"/>
      <c r="S508" s="1049"/>
      <c r="T508" s="1049"/>
      <c r="U508" s="1049"/>
      <c r="V508" s="1049"/>
      <c r="W508" s="1049"/>
      <c r="X508" s="1049"/>
      <c r="Y508" s="1049"/>
      <c r="Z508" s="1049"/>
      <c r="AA508" s="1049"/>
      <c r="AB508" s="1049"/>
      <c r="AC508" s="1049"/>
      <c r="AD508" s="1049"/>
      <c r="AE508" s="1049"/>
      <c r="AF508" s="1049"/>
      <c r="AG508" s="1049"/>
      <c r="AH508" s="1049"/>
      <c r="AI508" s="1049"/>
      <c r="AJ508" s="1049"/>
      <c r="AK508" s="1049"/>
      <c r="AL508" s="1049"/>
      <c r="AM508" s="1049"/>
      <c r="AN508" s="1049"/>
      <c r="AO508" s="1049"/>
      <c r="AP508" s="1049"/>
      <c r="AQ508" s="1049"/>
      <c r="AR508" s="1049"/>
      <c r="AS508" s="1049"/>
      <c r="AT508" s="1049"/>
      <c r="AU508" s="1049"/>
      <c r="AV508" s="1049"/>
      <c r="AW508" s="1049"/>
      <c r="AX508" s="1049"/>
      <c r="AY508" s="1049"/>
      <c r="AZ508" s="1049"/>
      <c r="BA508" s="1049"/>
      <c r="BB508" s="1049"/>
      <c r="BC508" s="1050"/>
      <c r="BD508" s="1050"/>
      <c r="BE508" s="1050"/>
      <c r="BF508" s="1050"/>
      <c r="BG508" s="1050"/>
      <c r="BH508" s="1050"/>
      <c r="BI508" s="1050"/>
      <c r="BJ508" s="1050"/>
      <c r="BK508" s="1050"/>
      <c r="BL508" s="1050"/>
      <c r="BM508" s="1050"/>
      <c r="BN508" s="1050"/>
      <c r="BO508" s="1050"/>
      <c r="BP508" s="1050"/>
      <c r="BQ508" s="1050"/>
      <c r="BR508" s="1050"/>
      <c r="BS508" s="1050"/>
      <c r="BT508" s="1050"/>
      <c r="BU508" s="1050"/>
      <c r="BV508" s="1050"/>
      <c r="BW508" s="1050"/>
      <c r="BX508" s="1050"/>
      <c r="BY508" s="1050"/>
      <c r="BZ508" s="1050"/>
      <c r="CA508" s="1050"/>
      <c r="CB508" s="1050"/>
      <c r="CC508" s="1050"/>
      <c r="CD508" s="1050"/>
      <c r="CE508" s="1050"/>
      <c r="CF508" s="1050"/>
      <c r="CG508" s="1050"/>
      <c r="CH508" s="1050"/>
      <c r="CI508" s="1050"/>
      <c r="CJ508" s="1050"/>
      <c r="CK508" s="1050"/>
      <c r="CL508" s="1050"/>
      <c r="CM508" s="1050"/>
      <c r="CN508" s="1050"/>
      <c r="CO508" s="1050"/>
      <c r="CP508" s="1050"/>
      <c r="CQ508" s="1050"/>
      <c r="CR508" s="1050"/>
      <c r="CS508" s="1050"/>
      <c r="CT508" s="1050"/>
      <c r="CU508" s="1050"/>
      <c r="CV508" s="1050"/>
      <c r="CW508" s="1050"/>
      <c r="CX508" s="1050"/>
      <c r="CY508" s="1050"/>
      <c r="CZ508" s="1050"/>
      <c r="DA508" s="1050"/>
      <c r="DB508" s="1050"/>
      <c r="DC508" s="1050"/>
      <c r="DD508" s="1050"/>
      <c r="DE508" s="1050"/>
      <c r="DF508" s="1050"/>
      <c r="DG508" s="1050"/>
      <c r="DH508" s="1050"/>
      <c r="DI508" s="1050"/>
      <c r="DJ508" s="1050"/>
      <c r="DK508" s="1050"/>
      <c r="DL508" s="1050"/>
      <c r="DM508" s="1050"/>
      <c r="DN508" s="1050"/>
      <c r="DO508" s="1050"/>
      <c r="DP508" s="1051"/>
      <c r="DQ508" s="1050"/>
      <c r="DR508" s="1050"/>
      <c r="DS508" s="1050"/>
      <c r="DT508" s="1050"/>
      <c r="DU508" s="1051"/>
      <c r="DV508" s="1049"/>
      <c r="DW508" s="1049"/>
      <c r="DX508" s="1049"/>
      <c r="DY508" s="1049"/>
      <c r="DZ508" s="1049"/>
      <c r="EA508" s="1049"/>
      <c r="EB508" s="1049"/>
      <c r="EC508" s="1049"/>
      <c r="ED508" s="1049"/>
      <c r="EE508" s="1049"/>
      <c r="EF508" s="1051"/>
      <c r="EG508" s="1051"/>
      <c r="EH508" s="1051"/>
      <c r="EI508" s="1049"/>
      <c r="EK508" s="18"/>
      <c r="EL508" s="18"/>
      <c r="EM508" s="18"/>
    </row>
    <row r="509" spans="1:143" x14ac:dyDescent="0.3">
      <c r="A509" s="4" t="s">
        <v>1893</v>
      </c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6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I509" s="1"/>
      <c r="EK509" s="18"/>
      <c r="EL509" s="18"/>
      <c r="EM509" s="18"/>
    </row>
    <row r="510" spans="1:143" x14ac:dyDescent="0.3">
      <c r="A510" s="1" t="s">
        <v>31</v>
      </c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6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7">
        <v>985</v>
      </c>
      <c r="DQ510" s="7">
        <v>973</v>
      </c>
      <c r="DR510" s="7">
        <v>961</v>
      </c>
      <c r="DS510" s="7">
        <v>959</v>
      </c>
      <c r="DT510" s="8">
        <f t="shared" ref="DT510:DT516" si="473">+SUM(DP510:DS510)</f>
        <v>3878</v>
      </c>
      <c r="DU510" s="7">
        <v>888</v>
      </c>
      <c r="DV510" s="7">
        <v>885</v>
      </c>
      <c r="DW510" s="17">
        <v>851</v>
      </c>
      <c r="DX510" s="17">
        <v>822</v>
      </c>
      <c r="DY510" s="8">
        <f t="shared" ref="DY510:DY516" si="474">+SUM(DU510:DX510)</f>
        <v>3446</v>
      </c>
      <c r="DZ510" s="7">
        <v>855</v>
      </c>
      <c r="EA510" s="7">
        <v>849</v>
      </c>
      <c r="EB510" s="7">
        <v>838</v>
      </c>
      <c r="EC510" s="7">
        <v>834</v>
      </c>
      <c r="ED510" s="8">
        <f t="shared" ref="ED510:ED516" si="475">+SUM(DZ510:EC510)</f>
        <v>3376</v>
      </c>
      <c r="EE510" s="7">
        <v>842</v>
      </c>
      <c r="EF510" s="7">
        <v>839</v>
      </c>
      <c r="EG510" s="7"/>
      <c r="EH510" s="7"/>
      <c r="EI510" s="8">
        <f t="shared" ref="EI510:EI516" si="476">+SUM(EE510:EH510)</f>
        <v>1681</v>
      </c>
      <c r="EK510" s="18"/>
      <c r="EL510" s="18"/>
      <c r="EM510" s="18"/>
    </row>
    <row r="511" spans="1:143" x14ac:dyDescent="0.3">
      <c r="A511" s="1" t="s">
        <v>32</v>
      </c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6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7">
        <v>702</v>
      </c>
      <c r="DQ511" s="7">
        <v>682</v>
      </c>
      <c r="DR511" s="7">
        <v>669</v>
      </c>
      <c r="DS511" s="7">
        <v>668</v>
      </c>
      <c r="DT511" s="8">
        <f t="shared" si="473"/>
        <v>2721</v>
      </c>
      <c r="DU511" s="7">
        <v>604</v>
      </c>
      <c r="DV511" s="7">
        <v>582</v>
      </c>
      <c r="DW511" s="17">
        <v>574</v>
      </c>
      <c r="DX511" s="17">
        <v>555</v>
      </c>
      <c r="DY511" s="8">
        <f t="shared" si="474"/>
        <v>2315</v>
      </c>
      <c r="DZ511" s="7">
        <v>529</v>
      </c>
      <c r="EA511" s="7">
        <v>509</v>
      </c>
      <c r="EB511" s="7">
        <v>500</v>
      </c>
      <c r="EC511" s="7">
        <v>490</v>
      </c>
      <c r="ED511" s="8">
        <f t="shared" si="475"/>
        <v>2028</v>
      </c>
      <c r="EE511" s="7">
        <v>487</v>
      </c>
      <c r="EF511" s="7">
        <v>443</v>
      </c>
      <c r="EG511" s="7"/>
      <c r="EH511" s="7"/>
      <c r="EI511" s="8">
        <f t="shared" si="476"/>
        <v>930</v>
      </c>
      <c r="EK511" s="18"/>
      <c r="EL511" s="18"/>
      <c r="EM511" s="18"/>
    </row>
    <row r="512" spans="1:143" x14ac:dyDescent="0.3">
      <c r="A512" s="1" t="s">
        <v>33</v>
      </c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6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7">
        <v>280</v>
      </c>
      <c r="DQ512" s="7">
        <v>270</v>
      </c>
      <c r="DR512" s="7">
        <v>260</v>
      </c>
      <c r="DS512" s="7">
        <v>275</v>
      </c>
      <c r="DT512" s="8">
        <f t="shared" si="473"/>
        <v>1085</v>
      </c>
      <c r="DU512" s="7">
        <v>255</v>
      </c>
      <c r="DV512" s="7">
        <v>248</v>
      </c>
      <c r="DW512" s="17">
        <v>233</v>
      </c>
      <c r="DX512" s="17">
        <v>222</v>
      </c>
      <c r="DY512" s="8">
        <f t="shared" si="474"/>
        <v>958</v>
      </c>
      <c r="DZ512" s="7">
        <v>212</v>
      </c>
      <c r="EA512" s="7">
        <v>197</v>
      </c>
      <c r="EB512" s="7">
        <v>186</v>
      </c>
      <c r="EC512" s="7">
        <v>181</v>
      </c>
      <c r="ED512" s="8">
        <f t="shared" si="475"/>
        <v>776</v>
      </c>
      <c r="EE512" s="7">
        <v>169</v>
      </c>
      <c r="EF512" s="7">
        <v>159</v>
      </c>
      <c r="EG512" s="7"/>
      <c r="EH512" s="7"/>
      <c r="EI512" s="8">
        <f t="shared" si="476"/>
        <v>328</v>
      </c>
      <c r="EK512" s="18"/>
      <c r="EL512" s="18"/>
      <c r="EM512" s="18"/>
    </row>
    <row r="513" spans="1:143" x14ac:dyDescent="0.3">
      <c r="A513" s="1" t="s">
        <v>34</v>
      </c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6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7">
        <v>135</v>
      </c>
      <c r="DQ513" s="7">
        <v>140</v>
      </c>
      <c r="DR513" s="7">
        <v>141</v>
      </c>
      <c r="DS513" s="7">
        <v>128</v>
      </c>
      <c r="DT513" s="8">
        <f t="shared" si="473"/>
        <v>544</v>
      </c>
      <c r="DU513" s="7">
        <v>113</v>
      </c>
      <c r="DV513" s="7">
        <v>111</v>
      </c>
      <c r="DW513" s="17">
        <v>106</v>
      </c>
      <c r="DX513" s="17">
        <v>108</v>
      </c>
      <c r="DY513" s="8">
        <f t="shared" si="474"/>
        <v>438</v>
      </c>
      <c r="DZ513" s="7">
        <v>108</v>
      </c>
      <c r="EA513" s="7">
        <v>105</v>
      </c>
      <c r="EB513" s="7">
        <v>103</v>
      </c>
      <c r="EC513" s="7">
        <v>101</v>
      </c>
      <c r="ED513" s="8">
        <f t="shared" si="475"/>
        <v>417</v>
      </c>
      <c r="EE513" s="7">
        <v>95</v>
      </c>
      <c r="EF513" s="7">
        <v>92</v>
      </c>
      <c r="EG513" s="7"/>
      <c r="EH513" s="7"/>
      <c r="EI513" s="8">
        <f t="shared" si="476"/>
        <v>187</v>
      </c>
      <c r="EK513" s="18"/>
      <c r="EL513" s="18"/>
      <c r="EM513" s="18"/>
    </row>
    <row r="514" spans="1:143" x14ac:dyDescent="0.3">
      <c r="A514" s="4" t="s">
        <v>1894</v>
      </c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6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830">
        <f t="shared" ref="DP514:DU514" si="477">+SUM(DP510:DP513)</f>
        <v>2102</v>
      </c>
      <c r="DQ514" s="830">
        <f t="shared" si="477"/>
        <v>2065</v>
      </c>
      <c r="DR514" s="830">
        <f t="shared" si="477"/>
        <v>2031</v>
      </c>
      <c r="DS514" s="830">
        <f t="shared" si="477"/>
        <v>2030</v>
      </c>
      <c r="DT514" s="830">
        <f t="shared" si="473"/>
        <v>8228</v>
      </c>
      <c r="DU514" s="830">
        <f t="shared" si="477"/>
        <v>1860</v>
      </c>
      <c r="DV514" s="830">
        <f>+SUM(DV510:DV513)</f>
        <v>1826</v>
      </c>
      <c r="DW514" s="1027">
        <f>+SUM(DW510:DW513)</f>
        <v>1764</v>
      </c>
      <c r="DX514" s="1027">
        <f>+SUM(DX510:DX513)</f>
        <v>1707</v>
      </c>
      <c r="DY514" s="830">
        <f t="shared" si="474"/>
        <v>7157</v>
      </c>
      <c r="DZ514" s="830">
        <f>+SUM(DZ510:DZ513)</f>
        <v>1704</v>
      </c>
      <c r="EA514" s="830">
        <f>+SUM(EA510:EA513)</f>
        <v>1660</v>
      </c>
      <c r="EB514" s="830">
        <f>+SUM(EB510:EB513)</f>
        <v>1627</v>
      </c>
      <c r="EC514" s="830">
        <f>+SUM(EC510:EC513)</f>
        <v>1606</v>
      </c>
      <c r="ED514" s="830">
        <f t="shared" si="475"/>
        <v>6597</v>
      </c>
      <c r="EE514" s="830">
        <f>+SUM(EE510:EE513)</f>
        <v>1593</v>
      </c>
      <c r="EF514" s="830">
        <f>+SUM(EF510:EF513)</f>
        <v>1533</v>
      </c>
      <c r="EG514" s="830"/>
      <c r="EH514" s="830"/>
      <c r="EI514" s="830">
        <f t="shared" si="476"/>
        <v>3126</v>
      </c>
      <c r="EK514" s="18"/>
      <c r="EL514" s="18"/>
      <c r="EM514" s="18"/>
    </row>
    <row r="515" spans="1:143" x14ac:dyDescent="0.3">
      <c r="A515" s="1" t="s">
        <v>465</v>
      </c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6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7">
        <v>97</v>
      </c>
      <c r="DQ515" s="7">
        <v>97</v>
      </c>
      <c r="DR515" s="7">
        <v>95</v>
      </c>
      <c r="DS515" s="7">
        <v>94</v>
      </c>
      <c r="DT515" s="11">
        <f t="shared" si="473"/>
        <v>383</v>
      </c>
      <c r="DU515" s="7">
        <v>86</v>
      </c>
      <c r="DV515" s="7">
        <v>89</v>
      </c>
      <c r="DW515" s="17">
        <v>85</v>
      </c>
      <c r="DX515" s="17">
        <v>85</v>
      </c>
      <c r="DY515" s="11">
        <f t="shared" si="474"/>
        <v>345</v>
      </c>
      <c r="DZ515" s="7">
        <v>84</v>
      </c>
      <c r="EA515" s="7">
        <v>94</v>
      </c>
      <c r="EB515" s="7">
        <v>99</v>
      </c>
      <c r="EC515" s="7">
        <v>89</v>
      </c>
      <c r="ED515" s="11">
        <f t="shared" si="475"/>
        <v>366</v>
      </c>
      <c r="EE515" s="7">
        <v>83</v>
      </c>
      <c r="EF515" s="7">
        <v>83</v>
      </c>
      <c r="EG515" s="7"/>
      <c r="EH515" s="7"/>
      <c r="EI515" s="11">
        <f t="shared" si="476"/>
        <v>166</v>
      </c>
      <c r="EK515" s="18"/>
      <c r="EL515" s="18"/>
      <c r="EM515" s="18"/>
    </row>
    <row r="516" spans="1:143" x14ac:dyDescent="0.3">
      <c r="A516" s="4" t="s">
        <v>19</v>
      </c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6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830">
        <f t="shared" ref="DP516:DZ516" si="478">+DP514+DP515</f>
        <v>2199</v>
      </c>
      <c r="DQ516" s="830">
        <f t="shared" si="478"/>
        <v>2162</v>
      </c>
      <c r="DR516" s="830">
        <f t="shared" si="478"/>
        <v>2126</v>
      </c>
      <c r="DS516" s="830">
        <f t="shared" si="478"/>
        <v>2124</v>
      </c>
      <c r="DT516" s="8">
        <f t="shared" si="473"/>
        <v>8611</v>
      </c>
      <c r="DU516" s="830">
        <f t="shared" si="478"/>
        <v>1946</v>
      </c>
      <c r="DV516" s="830">
        <f t="shared" si="478"/>
        <v>1915</v>
      </c>
      <c r="DW516" s="1027">
        <f t="shared" si="478"/>
        <v>1849</v>
      </c>
      <c r="DX516" s="1027">
        <f t="shared" si="478"/>
        <v>1792</v>
      </c>
      <c r="DY516" s="8">
        <f t="shared" si="474"/>
        <v>7502</v>
      </c>
      <c r="DZ516" s="830">
        <f t="shared" si="478"/>
        <v>1788</v>
      </c>
      <c r="EA516" s="830">
        <f>+EA514+EA515</f>
        <v>1754</v>
      </c>
      <c r="EB516" s="830">
        <f>+EB514+EB515</f>
        <v>1726</v>
      </c>
      <c r="EC516" s="830">
        <f>+EC514+EC515</f>
        <v>1695</v>
      </c>
      <c r="ED516" s="8">
        <f t="shared" si="475"/>
        <v>6963</v>
      </c>
      <c r="EE516" s="830">
        <f>+EE514+EE515</f>
        <v>1676</v>
      </c>
      <c r="EF516" s="830">
        <f>+EF514+EF515</f>
        <v>1616</v>
      </c>
      <c r="EG516" s="830"/>
      <c r="EH516" s="830"/>
      <c r="EI516" s="8">
        <f t="shared" si="476"/>
        <v>3292</v>
      </c>
      <c r="EK516" s="18"/>
      <c r="EL516" s="18"/>
      <c r="EM516" s="18"/>
    </row>
    <row r="517" spans="1:143" x14ac:dyDescent="0.3">
      <c r="A517" s="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6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7"/>
      <c r="DQ517" s="7"/>
      <c r="DR517" s="7"/>
      <c r="DS517" s="7"/>
      <c r="DT517" s="5"/>
      <c r="DU517" s="7"/>
      <c r="DV517" s="7"/>
      <c r="DW517" s="17"/>
      <c r="DX517" s="17"/>
      <c r="DY517" s="5"/>
      <c r="DZ517" s="7"/>
      <c r="EA517" s="7"/>
      <c r="EB517" s="7"/>
      <c r="EC517" s="7"/>
      <c r="ED517" s="5"/>
      <c r="EE517" s="7"/>
      <c r="EF517" s="7"/>
      <c r="EG517" s="7"/>
      <c r="EH517" s="7"/>
      <c r="EI517" s="5"/>
      <c r="EK517" s="18"/>
      <c r="EL517" s="18"/>
      <c r="EM517" s="18"/>
    </row>
    <row r="518" spans="1:143" x14ac:dyDescent="0.3">
      <c r="A518" s="4" t="s">
        <v>1895</v>
      </c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6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7"/>
      <c r="DQ518" s="7"/>
      <c r="DR518" s="7"/>
      <c r="DS518" s="7"/>
      <c r="DT518" s="5"/>
      <c r="DU518" s="7"/>
      <c r="DV518" s="7"/>
      <c r="DW518" s="17"/>
      <c r="DX518" s="17"/>
      <c r="DY518" s="5"/>
      <c r="DZ518" s="7"/>
      <c r="EA518" s="7"/>
      <c r="EB518" s="7"/>
      <c r="EC518" s="7"/>
      <c r="ED518" s="5"/>
      <c r="EE518" s="7"/>
      <c r="EF518" s="7"/>
      <c r="EG518" s="7"/>
      <c r="EH518" s="7"/>
      <c r="EI518" s="5"/>
      <c r="EK518" s="18"/>
      <c r="EL518" s="18"/>
      <c r="EM518" s="18"/>
    </row>
    <row r="519" spans="1:143" x14ac:dyDescent="0.3">
      <c r="A519" s="1" t="s">
        <v>38</v>
      </c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6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7">
        <v>1128</v>
      </c>
      <c r="DQ519" s="7">
        <v>1095</v>
      </c>
      <c r="DR519" s="7">
        <v>1069</v>
      </c>
      <c r="DS519" s="7">
        <v>1088</v>
      </c>
      <c r="DT519" s="8">
        <f>+SUM(DP519:DS519)</f>
        <v>4380</v>
      </c>
      <c r="DU519" s="7">
        <v>996</v>
      </c>
      <c r="DV519" s="7">
        <v>969</v>
      </c>
      <c r="DW519" s="17">
        <v>943</v>
      </c>
      <c r="DX519" s="17">
        <v>923</v>
      </c>
      <c r="DY519" s="8">
        <f>+SUM(DU519:DX519)</f>
        <v>3831</v>
      </c>
      <c r="DZ519" s="7">
        <v>894</v>
      </c>
      <c r="EA519" s="7">
        <v>874</v>
      </c>
      <c r="EB519" s="7">
        <v>859</v>
      </c>
      <c r="EC519" s="7">
        <v>857</v>
      </c>
      <c r="ED519" s="8">
        <f>+SUM(DZ519:EC519)</f>
        <v>3484</v>
      </c>
      <c r="EE519" s="7">
        <v>844</v>
      </c>
      <c r="EF519" s="7">
        <v>826</v>
      </c>
      <c r="EG519" s="7"/>
      <c r="EH519" s="7"/>
      <c r="EI519" s="8">
        <f>+SUM(EE519:EH519)</f>
        <v>1670</v>
      </c>
      <c r="EK519" s="18"/>
      <c r="EL519" s="18"/>
      <c r="EM519" s="18"/>
    </row>
    <row r="520" spans="1:143" x14ac:dyDescent="0.3">
      <c r="A520" s="1" t="s">
        <v>1865</v>
      </c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6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7">
        <v>974</v>
      </c>
      <c r="DQ520" s="7">
        <v>970</v>
      </c>
      <c r="DR520" s="7">
        <v>962</v>
      </c>
      <c r="DS520" s="7">
        <v>942</v>
      </c>
      <c r="DT520" s="8">
        <f>+SUM(DP520:DS520)</f>
        <v>3848</v>
      </c>
      <c r="DU520" s="7">
        <v>864</v>
      </c>
      <c r="DV520" s="7">
        <v>857</v>
      </c>
      <c r="DW520" s="17">
        <v>821</v>
      </c>
      <c r="DX520" s="17">
        <v>784</v>
      </c>
      <c r="DY520" s="8">
        <f>+SUM(DU520:DX520)</f>
        <v>3326</v>
      </c>
      <c r="DZ520" s="7">
        <v>810</v>
      </c>
      <c r="EA520" s="7">
        <v>786</v>
      </c>
      <c r="EB520" s="7">
        <v>768</v>
      </c>
      <c r="EC520" s="7">
        <v>749</v>
      </c>
      <c r="ED520" s="8">
        <f>+SUM(DZ520:EC520)</f>
        <v>3113</v>
      </c>
      <c r="EE520" s="7">
        <v>749</v>
      </c>
      <c r="EF520" s="7">
        <v>707</v>
      </c>
      <c r="EG520" s="7"/>
      <c r="EH520" s="7"/>
      <c r="EI520" s="8">
        <f>+SUM(EE520:EH520)</f>
        <v>1456</v>
      </c>
      <c r="EK520" s="18"/>
      <c r="EL520" s="18"/>
      <c r="EM520" s="18"/>
    </row>
    <row r="521" spans="1:143" x14ac:dyDescent="0.3">
      <c r="A521" s="4" t="s">
        <v>1894</v>
      </c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6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830">
        <f t="shared" ref="DP521:DZ521" si="479">+DP519+DP520</f>
        <v>2102</v>
      </c>
      <c r="DQ521" s="830">
        <f t="shared" si="479"/>
        <v>2065</v>
      </c>
      <c r="DR521" s="830">
        <f t="shared" si="479"/>
        <v>2031</v>
      </c>
      <c r="DS521" s="830">
        <f t="shared" si="479"/>
        <v>2030</v>
      </c>
      <c r="DT521" s="830">
        <f>+SUM(DP521:DS521)</f>
        <v>8228</v>
      </c>
      <c r="DU521" s="830">
        <f t="shared" si="479"/>
        <v>1860</v>
      </c>
      <c r="DV521" s="830">
        <f t="shared" si="479"/>
        <v>1826</v>
      </c>
      <c r="DW521" s="1027">
        <f t="shared" si="479"/>
        <v>1764</v>
      </c>
      <c r="DX521" s="1027">
        <f t="shared" si="479"/>
        <v>1707</v>
      </c>
      <c r="DY521" s="830">
        <f>+SUM(DU521:DX521)</f>
        <v>7157</v>
      </c>
      <c r="DZ521" s="830">
        <f t="shared" si="479"/>
        <v>1704</v>
      </c>
      <c r="EA521" s="830">
        <f>+EA519+EA520</f>
        <v>1660</v>
      </c>
      <c r="EB521" s="830">
        <f>+EB519+EB520</f>
        <v>1627</v>
      </c>
      <c r="EC521" s="830">
        <f>+EC519+EC520</f>
        <v>1606</v>
      </c>
      <c r="ED521" s="830">
        <f>+SUM(DZ521:EC521)</f>
        <v>6597</v>
      </c>
      <c r="EE521" s="830">
        <f>+EE519+EE520</f>
        <v>1593</v>
      </c>
      <c r="EF521" s="830">
        <f>+EF519+EF520</f>
        <v>1533</v>
      </c>
      <c r="EG521" s="830"/>
      <c r="EH521" s="830"/>
      <c r="EI521" s="830">
        <f>+SUM(EE521:EH521)</f>
        <v>3126</v>
      </c>
      <c r="EK521" s="18"/>
      <c r="EL521" s="18"/>
      <c r="EM521" s="18"/>
    </row>
    <row r="522" spans="1:143" x14ac:dyDescent="0.3">
      <c r="A522" s="1" t="s">
        <v>465</v>
      </c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6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15">
        <f>+DP515</f>
        <v>97</v>
      </c>
      <c r="DQ522" s="15">
        <f>+DQ515</f>
        <v>97</v>
      </c>
      <c r="DR522" s="15">
        <f>+DR515</f>
        <v>95</v>
      </c>
      <c r="DS522" s="15">
        <f>+DS515</f>
        <v>94</v>
      </c>
      <c r="DT522" s="11">
        <f>+SUM(DP522:DS522)</f>
        <v>383</v>
      </c>
      <c r="DU522" s="15">
        <f>+DU515</f>
        <v>86</v>
      </c>
      <c r="DV522" s="15">
        <f>+DV515</f>
        <v>89</v>
      </c>
      <c r="DW522" s="18">
        <f>+DW515</f>
        <v>85</v>
      </c>
      <c r="DX522" s="18">
        <f>+DX515</f>
        <v>85</v>
      </c>
      <c r="DY522" s="11">
        <f>+SUM(DU522:DX522)</f>
        <v>345</v>
      </c>
      <c r="DZ522" s="15">
        <f>+DZ515</f>
        <v>84</v>
      </c>
      <c r="EA522" s="15">
        <f>+EA515</f>
        <v>94</v>
      </c>
      <c r="EB522" s="15">
        <f>+EB515</f>
        <v>99</v>
      </c>
      <c r="EC522" s="15">
        <f>+EC515</f>
        <v>89</v>
      </c>
      <c r="ED522" s="11">
        <f>+SUM(DZ522:EC522)</f>
        <v>366</v>
      </c>
      <c r="EE522" s="15">
        <f>+EE515</f>
        <v>83</v>
      </c>
      <c r="EF522" s="15">
        <f>+EF515</f>
        <v>83</v>
      </c>
      <c r="EG522" s="15"/>
      <c r="EH522" s="15"/>
      <c r="EI522" s="11">
        <f>+SUM(EE522:EH522)</f>
        <v>166</v>
      </c>
      <c r="EK522" s="18"/>
      <c r="EL522" s="18"/>
      <c r="EM522" s="18"/>
    </row>
    <row r="523" spans="1:143" x14ac:dyDescent="0.3">
      <c r="A523" s="4" t="s">
        <v>19</v>
      </c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6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830">
        <f t="shared" ref="DP523:DZ523" si="480">+DP521+DP522</f>
        <v>2199</v>
      </c>
      <c r="DQ523" s="830">
        <f t="shared" si="480"/>
        <v>2162</v>
      </c>
      <c r="DR523" s="830">
        <f t="shared" si="480"/>
        <v>2126</v>
      </c>
      <c r="DS523" s="830">
        <f t="shared" si="480"/>
        <v>2124</v>
      </c>
      <c r="DT523" s="8">
        <f>+SUM(DP523:DS523)</f>
        <v>8611</v>
      </c>
      <c r="DU523" s="830">
        <f t="shared" si="480"/>
        <v>1946</v>
      </c>
      <c r="DV523" s="830">
        <f t="shared" si="480"/>
        <v>1915</v>
      </c>
      <c r="DW523" s="1027">
        <f t="shared" si="480"/>
        <v>1849</v>
      </c>
      <c r="DX523" s="1027">
        <f t="shared" si="480"/>
        <v>1792</v>
      </c>
      <c r="DY523" s="8">
        <f>+SUM(DU523:DX523)</f>
        <v>7502</v>
      </c>
      <c r="DZ523" s="830">
        <f t="shared" si="480"/>
        <v>1788</v>
      </c>
      <c r="EA523" s="830">
        <f>+EA521+EA522</f>
        <v>1754</v>
      </c>
      <c r="EB523" s="830">
        <f>+EB521+EB522</f>
        <v>1726</v>
      </c>
      <c r="EC523" s="830">
        <f>+EC521+EC522</f>
        <v>1695</v>
      </c>
      <c r="ED523" s="8">
        <f>+SUM(DZ523:EC523)</f>
        <v>6963</v>
      </c>
      <c r="EE523" s="830">
        <f>+EE521+EE522</f>
        <v>1676</v>
      </c>
      <c r="EF523" s="830">
        <f>+EF521+EF522</f>
        <v>1616</v>
      </c>
      <c r="EG523" s="830"/>
      <c r="EH523" s="830"/>
      <c r="EI523" s="8">
        <f>+SUM(EE523:EH523)</f>
        <v>3292</v>
      </c>
      <c r="EK523" s="18"/>
      <c r="EL523" s="18"/>
      <c r="EM523" s="18"/>
    </row>
    <row r="524" spans="1:143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K524" s="18"/>
      <c r="EL524" s="18"/>
      <c r="EM524" s="18"/>
    </row>
    <row r="525" spans="1:143" x14ac:dyDescent="0.3">
      <c r="A525" s="13" t="s">
        <v>1896</v>
      </c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K525" s="18"/>
      <c r="EL525" s="18"/>
      <c r="EM525" s="18"/>
    </row>
    <row r="526" spans="1:143" x14ac:dyDescent="0.3">
      <c r="A526" s="1" t="s">
        <v>31</v>
      </c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5">
        <f>+DP530-SUM(DP527:DP529)</f>
        <v>398.83920076117988</v>
      </c>
      <c r="DQ526" s="15">
        <f>+DQ530-SUM(DQ527:DQ529)</f>
        <v>389.12106537530269</v>
      </c>
      <c r="DR526" s="15">
        <f>+DR530-SUM(DR527:DR529)</f>
        <v>382.6632200886263</v>
      </c>
      <c r="DS526" s="15">
        <f>+DS530-SUM(DS527:DS529)</f>
        <v>386.37536945812803</v>
      </c>
      <c r="DT526" s="28">
        <f>+SUM(DP526:DS526)</f>
        <v>1556.998855683237</v>
      </c>
      <c r="DU526" s="15">
        <f>+DU530-SUM(DU527:DU529)</f>
        <v>357.05806451612898</v>
      </c>
      <c r="DV526" s="15">
        <f>+DV530-SUM(DV527:DV529)</f>
        <v>353.24698795180734</v>
      </c>
      <c r="DW526" s="15">
        <f>+DW530-SUM(DW527:DW529)</f>
        <v>346.48526077097506</v>
      </c>
      <c r="DX526" s="15">
        <f>+DX530-SUM(DX527:DX529)</f>
        <v>342.50615114235495</v>
      </c>
      <c r="DY526" s="28">
        <f>+SUM(DU526:DX526)</f>
        <v>1399.2964643812666</v>
      </c>
      <c r="DZ526" s="15">
        <f>+DZ530-SUM(DZ527:DZ529)</f>
        <v>347.79929577464793</v>
      </c>
      <c r="EA526" s="15">
        <f>+EA530-SUM(EA527:EA529)</f>
        <v>353.72530120481929</v>
      </c>
      <c r="EB526" s="15">
        <f>+EB530-SUM(EB527:EB529)</f>
        <v>354.63675476336817</v>
      </c>
      <c r="EC526" s="15">
        <f>+EC530-SUM(EC527:EC529)</f>
        <v>360.62826899128265</v>
      </c>
      <c r="ED526" s="28">
        <f>+SUM(DZ526:EC526)</f>
        <v>1416.7896207341182</v>
      </c>
      <c r="EE526" s="15">
        <f>+EE530-SUM(EE527:EE529)</f>
        <v>366.64595103578154</v>
      </c>
      <c r="EF526" s="15">
        <f>+EF530-SUM(EF527:EF529)</f>
        <v>378.73515981735159</v>
      </c>
      <c r="EG526" s="15"/>
      <c r="EH526" s="15"/>
      <c r="EI526" s="28">
        <f>+SUM(EE526:EH526)</f>
        <v>745.38111085313312</v>
      </c>
      <c r="EK526" s="18"/>
      <c r="EL526" s="18"/>
      <c r="EM526" s="18"/>
    </row>
    <row r="527" spans="1:143" x14ac:dyDescent="0.3">
      <c r="A527" s="1" t="s">
        <v>32</v>
      </c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5">
        <f>+DP$519/DP$521*DP511</f>
        <v>376.71550903901044</v>
      </c>
      <c r="DQ527" s="15">
        <f>+DQ$519/DQ$521*DQ511</f>
        <v>361.64164648910412</v>
      </c>
      <c r="DR527" s="15">
        <f>+DR$519/DR$521*DR511</f>
        <v>352.12259970457905</v>
      </c>
      <c r="DS527" s="15">
        <f>+DS$519/DS$521*DS511</f>
        <v>358.02167487684727</v>
      </c>
      <c r="DT527" s="28">
        <f>+SUM(DP527:DS527)</f>
        <v>1448.5014301095409</v>
      </c>
      <c r="DU527" s="15">
        <f>+DU$519/DU$521*DU511</f>
        <v>323.43225806451613</v>
      </c>
      <c r="DV527" s="15">
        <f>+DV$519/DV$521*DV511</f>
        <v>308.84884994523543</v>
      </c>
      <c r="DW527" s="15">
        <f>+DW$519/DW$521*DW511</f>
        <v>306.84920634920638</v>
      </c>
      <c r="DX527" s="15">
        <f>+DX$519/DX$521*DX511</f>
        <v>300.09666080843584</v>
      </c>
      <c r="DY527" s="28">
        <f>+SUM(DU527:DX527)</f>
        <v>1239.2269751673937</v>
      </c>
      <c r="DZ527" s="15">
        <f>+DZ$519/DZ$521*DZ511</f>
        <v>277.53873239436621</v>
      </c>
      <c r="EA527" s="15">
        <f>+EA$519/EA$521*EA511</f>
        <v>267.99156626506027</v>
      </c>
      <c r="EB527" s="15">
        <f>+EB$519/EB$521*EB511</f>
        <v>263.98279041180086</v>
      </c>
      <c r="EC527" s="15">
        <f>+EC$519/EC$521*EC511</f>
        <v>261.47571606475719</v>
      </c>
      <c r="ED527" s="28">
        <f>+SUM(DZ527:EC527)</f>
        <v>1070.9888051359844</v>
      </c>
      <c r="EE527" s="15">
        <f>+EE$519/EE$521*EE511</f>
        <v>258.02134337727557</v>
      </c>
      <c r="EF527" s="15">
        <f>+EF$519/EF$521*EF511</f>
        <v>238.69406392694063</v>
      </c>
      <c r="EG527" s="15"/>
      <c r="EH527" s="15"/>
      <c r="EI527" s="28">
        <f>+SUM(EE527:EH527)</f>
        <v>496.71540730421623</v>
      </c>
      <c r="EK527" s="18"/>
      <c r="EL527" s="18"/>
      <c r="EM527" s="18"/>
    </row>
    <row r="528" spans="1:143" x14ac:dyDescent="0.3">
      <c r="A528" s="1" t="s">
        <v>33</v>
      </c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5">
        <f>+DP512</f>
        <v>280</v>
      </c>
      <c r="DQ528" s="15">
        <f>+DQ512</f>
        <v>270</v>
      </c>
      <c r="DR528" s="15">
        <f>+DR512</f>
        <v>260</v>
      </c>
      <c r="DS528" s="15">
        <f>+DS512</f>
        <v>275</v>
      </c>
      <c r="DT528" s="28">
        <f>+SUM(DP528:DS528)</f>
        <v>1085</v>
      </c>
      <c r="DU528" s="15">
        <f>+DU512</f>
        <v>255</v>
      </c>
      <c r="DV528" s="15">
        <f>+DV512</f>
        <v>248</v>
      </c>
      <c r="DW528" s="15">
        <f>+DW512</f>
        <v>233</v>
      </c>
      <c r="DX528" s="15">
        <f>+DX512</f>
        <v>222</v>
      </c>
      <c r="DY528" s="28">
        <f>+SUM(DU528:DX528)</f>
        <v>958</v>
      </c>
      <c r="DZ528" s="15">
        <f>+DZ512</f>
        <v>212</v>
      </c>
      <c r="EA528" s="15">
        <f>+EA512</f>
        <v>197</v>
      </c>
      <c r="EB528" s="15">
        <f>+EB512</f>
        <v>186</v>
      </c>
      <c r="EC528" s="15">
        <f>+EC512</f>
        <v>181</v>
      </c>
      <c r="ED528" s="28">
        <f>+SUM(DZ528:EC528)</f>
        <v>776</v>
      </c>
      <c r="EE528" s="15">
        <f>+EE512</f>
        <v>169</v>
      </c>
      <c r="EF528" s="15">
        <f>+EF512</f>
        <v>159</v>
      </c>
      <c r="EG528" s="15"/>
      <c r="EH528" s="15"/>
      <c r="EI528" s="28">
        <f>+SUM(EE528:EH528)</f>
        <v>328</v>
      </c>
      <c r="EK528" s="18"/>
      <c r="EL528" s="18"/>
      <c r="EM528" s="18"/>
    </row>
    <row r="529" spans="1:153" x14ac:dyDescent="0.3">
      <c r="A529" s="1" t="s">
        <v>34</v>
      </c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5">
        <f>+DP$519/DP$521*DP513</f>
        <v>72.445290199809705</v>
      </c>
      <c r="DQ529" s="15">
        <f>+DQ$519/DQ$521*DQ513</f>
        <v>74.237288135593218</v>
      </c>
      <c r="DR529" s="15">
        <f>+DR$519/DR$521*DR513</f>
        <v>74.21418020679468</v>
      </c>
      <c r="DS529" s="15">
        <f>+DS$519/DS$521*DS513</f>
        <v>68.602955665024623</v>
      </c>
      <c r="DT529" s="28">
        <f>+SUM(DP529:DS529)</f>
        <v>289.49971420722221</v>
      </c>
      <c r="DU529" s="15">
        <f>+DU$519/DU$521*DU513</f>
        <v>60.509677419354844</v>
      </c>
      <c r="DV529" s="15">
        <f>+DV$519/DV$521*DV513</f>
        <v>58.90416210295728</v>
      </c>
      <c r="DW529" s="15">
        <f>+DW$519/DW$521*DW513</f>
        <v>56.665532879818599</v>
      </c>
      <c r="DX529" s="15">
        <f>+DX$519/DX$521*DX513</f>
        <v>58.397188049209134</v>
      </c>
      <c r="DY529" s="28">
        <f>+SUM(DU529:DX529)</f>
        <v>234.47656045133988</v>
      </c>
      <c r="DZ529" s="15">
        <f>+DZ$519/DZ$521*DZ513</f>
        <v>56.661971830985912</v>
      </c>
      <c r="EA529" s="15">
        <f>+EA$519/EA$521*EA513</f>
        <v>55.283132530120483</v>
      </c>
      <c r="EB529" s="15">
        <f>+EB$519/EB$521*EB513</f>
        <v>54.38045482483097</v>
      </c>
      <c r="EC529" s="15">
        <f>+EC$519/EC$521*EC513</f>
        <v>53.896014943960154</v>
      </c>
      <c r="ED529" s="28">
        <f>+SUM(DZ529:EC529)</f>
        <v>220.2215741298975</v>
      </c>
      <c r="EE529" s="15">
        <f>+EE$519/EE$521*EE513</f>
        <v>50.332705586942872</v>
      </c>
      <c r="EF529" s="15">
        <f>+EF$519/EF$521*EF513</f>
        <v>49.570776255707763</v>
      </c>
      <c r="EG529" s="15"/>
      <c r="EH529" s="15"/>
      <c r="EI529" s="28">
        <f>+SUM(EE529:EH529)</f>
        <v>99.903481842650635</v>
      </c>
      <c r="EK529" s="18"/>
      <c r="EL529" s="18"/>
      <c r="EM529" s="18"/>
    </row>
    <row r="530" spans="1:153" x14ac:dyDescent="0.3">
      <c r="A530" s="4" t="s">
        <v>1586</v>
      </c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288">
        <f>+DP519</f>
        <v>1128</v>
      </c>
      <c r="DQ530" s="1288">
        <f>+DQ519</f>
        <v>1095</v>
      </c>
      <c r="DR530" s="1288">
        <f>+DR519</f>
        <v>1069</v>
      </c>
      <c r="DS530" s="1288">
        <f>+DS519</f>
        <v>1088</v>
      </c>
      <c r="DT530" s="1288">
        <f>+SUM(DP530:DS530)</f>
        <v>4380</v>
      </c>
      <c r="DU530" s="1288">
        <f>+DU519</f>
        <v>996</v>
      </c>
      <c r="DV530" s="1288">
        <f>+DV519</f>
        <v>969</v>
      </c>
      <c r="DW530" s="1288">
        <f>+DW519</f>
        <v>943</v>
      </c>
      <c r="DX530" s="1288">
        <f>+DX519</f>
        <v>923</v>
      </c>
      <c r="DY530" s="1288">
        <f>+SUM(DU530:DX530)</f>
        <v>3831</v>
      </c>
      <c r="DZ530" s="1288">
        <f>+DZ519</f>
        <v>894</v>
      </c>
      <c r="EA530" s="1288">
        <f>+EA519</f>
        <v>874</v>
      </c>
      <c r="EB530" s="1288">
        <f>+EB519</f>
        <v>859</v>
      </c>
      <c r="EC530" s="1288">
        <f>+EC519</f>
        <v>857</v>
      </c>
      <c r="ED530" s="1288">
        <f>+SUM(DZ530:EC530)</f>
        <v>3484</v>
      </c>
      <c r="EE530" s="1288">
        <f>+EE519</f>
        <v>844</v>
      </c>
      <c r="EF530" s="1288">
        <f>+EF519</f>
        <v>826</v>
      </c>
      <c r="EG530" s="1288"/>
      <c r="EH530" s="1288"/>
      <c r="EI530" s="1288">
        <f>+SUM(EE530:EH530)</f>
        <v>1670</v>
      </c>
      <c r="EK530" s="18"/>
      <c r="EL530" s="18"/>
      <c r="EM530" s="18"/>
    </row>
    <row r="531" spans="1:153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K531" s="18"/>
      <c r="EL531" s="18"/>
      <c r="EM531" s="18"/>
    </row>
    <row r="532" spans="1:153" x14ac:dyDescent="0.3">
      <c r="A532" s="1" t="s">
        <v>3568</v>
      </c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6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8"/>
      <c r="DQ532" s="8"/>
      <c r="DR532" s="8"/>
      <c r="DS532" s="8"/>
      <c r="DT532" s="5"/>
      <c r="DU532" s="7">
        <v>1175</v>
      </c>
      <c r="DV532" s="7">
        <v>1134</v>
      </c>
      <c r="DW532" s="17">
        <v>1144</v>
      </c>
      <c r="DX532" s="17">
        <v>1119</v>
      </c>
      <c r="DY532" s="8">
        <f>+SUM(DU532:DX532)</f>
        <v>4572</v>
      </c>
      <c r="DZ532" s="7">
        <v>1102</v>
      </c>
      <c r="EA532" s="7">
        <v>1051</v>
      </c>
      <c r="EB532" s="7">
        <v>1036</v>
      </c>
      <c r="EC532" s="17">
        <v>1002</v>
      </c>
      <c r="ED532" s="8">
        <f>+SUM(DZ532:EC532)</f>
        <v>4191</v>
      </c>
      <c r="EE532" s="17">
        <v>1006</v>
      </c>
      <c r="EF532" s="17">
        <v>983</v>
      </c>
      <c r="EG532" s="17"/>
      <c r="EH532" s="17"/>
      <c r="EI532" s="8">
        <f>+SUM(EE532:EH532)</f>
        <v>1989</v>
      </c>
      <c r="EK532" s="18"/>
      <c r="EL532" s="18"/>
      <c r="EM532" s="18"/>
    </row>
    <row r="533" spans="1:153" x14ac:dyDescent="0.3">
      <c r="A533" s="4" t="s">
        <v>106</v>
      </c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6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14">
        <f>+DU523-DU532</f>
        <v>771</v>
      </c>
      <c r="DV533" s="14">
        <f>+DV523-DV532</f>
        <v>781</v>
      </c>
      <c r="DW533" s="14">
        <f>+DW523-DW532</f>
        <v>705</v>
      </c>
      <c r="DX533" s="14">
        <f>+DX523-DX532</f>
        <v>673</v>
      </c>
      <c r="DY533" s="14">
        <f>+SUM(DU533:DX533)</f>
        <v>2930</v>
      </c>
      <c r="DZ533" s="14">
        <f>+DZ523-DZ532</f>
        <v>686</v>
      </c>
      <c r="EA533" s="14">
        <f>+EA523-EA532</f>
        <v>703</v>
      </c>
      <c r="EB533" s="14">
        <f>+EB523-EB532</f>
        <v>690</v>
      </c>
      <c r="EC533" s="14">
        <f>+EC523-EC532</f>
        <v>693</v>
      </c>
      <c r="ED533" s="14">
        <f>+SUM(DZ533:EC533)</f>
        <v>2772</v>
      </c>
      <c r="EE533" s="14">
        <f>+EE523-EE532</f>
        <v>670</v>
      </c>
      <c r="EF533" s="14">
        <f>+EF523-EF532</f>
        <v>633</v>
      </c>
      <c r="EG533" s="14"/>
      <c r="EH533" s="14"/>
      <c r="EI533" s="14">
        <f>+SUM(EE533:EH533)</f>
        <v>1303</v>
      </c>
      <c r="EK533" s="18"/>
      <c r="EL533" s="18"/>
      <c r="EM533" s="18"/>
    </row>
    <row r="534" spans="1:153" x14ac:dyDescent="0.3">
      <c r="A534" s="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6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I534" s="8"/>
      <c r="EK534" s="18"/>
      <c r="EL534" s="18"/>
      <c r="EM534" s="18"/>
    </row>
    <row r="535" spans="1:153" x14ac:dyDescent="0.3">
      <c r="A535" s="13" t="s">
        <v>3569</v>
      </c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6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I535" s="8"/>
      <c r="EK535" s="18"/>
      <c r="EL535" s="18"/>
      <c r="EM535" s="18"/>
    </row>
    <row r="536" spans="1:153" x14ac:dyDescent="0.3">
      <c r="A536" s="1" t="s">
        <v>3413</v>
      </c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6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9">
        <f t="shared" ref="DU536:DX537" si="481">+DU50</f>
        <v>338</v>
      </c>
      <c r="DV536" s="9">
        <f t="shared" si="481"/>
        <v>318</v>
      </c>
      <c r="DW536" s="9">
        <f t="shared" si="481"/>
        <v>307</v>
      </c>
      <c r="DX536" s="9">
        <f t="shared" si="481"/>
        <v>284</v>
      </c>
      <c r="DY536" s="8">
        <f>+SUM(DU536:DX536)</f>
        <v>1247</v>
      </c>
      <c r="DZ536" s="9">
        <f t="shared" ref="DZ536:EC537" si="482">+DZ50</f>
        <v>286</v>
      </c>
      <c r="EA536" s="9">
        <f t="shared" si="482"/>
        <v>255</v>
      </c>
      <c r="EB536" s="9">
        <f t="shared" si="482"/>
        <v>226</v>
      </c>
      <c r="EC536" s="9">
        <f t="shared" si="482"/>
        <v>208</v>
      </c>
      <c r="ED536" s="8">
        <f>+SUM(DZ536:EC536)</f>
        <v>975</v>
      </c>
      <c r="EE536" s="9">
        <f t="shared" ref="EE536:EH537" si="483">+EE50</f>
        <v>198</v>
      </c>
      <c r="EF536" s="9">
        <f t="shared" si="483"/>
        <v>193</v>
      </c>
      <c r="EG536" s="9">
        <f t="shared" si="483"/>
        <v>177</v>
      </c>
      <c r="EH536" s="9">
        <f t="shared" si="483"/>
        <v>150</v>
      </c>
      <c r="EI536" s="8">
        <f>+SUM(EE536:EH536)</f>
        <v>718</v>
      </c>
      <c r="EJ536" s="9">
        <f t="shared" ref="EJ536:EM537" si="484">+EJ50</f>
        <v>150</v>
      </c>
      <c r="EK536" s="9">
        <f t="shared" si="484"/>
        <v>150</v>
      </c>
      <c r="EL536" s="9">
        <f t="shared" si="484"/>
        <v>150</v>
      </c>
      <c r="EM536" s="9">
        <f t="shared" si="484"/>
        <v>150</v>
      </c>
      <c r="EN536" s="8">
        <f>+SUM(EJ536:EM536)</f>
        <v>600</v>
      </c>
      <c r="EO536" s="9">
        <f t="shared" ref="EO536:ER537" si="485">+EO50</f>
        <v>150</v>
      </c>
      <c r="EP536" s="9">
        <f t="shared" si="485"/>
        <v>150</v>
      </c>
      <c r="EQ536" s="9">
        <f t="shared" si="485"/>
        <v>150</v>
      </c>
      <c r="ER536" s="9">
        <f t="shared" si="485"/>
        <v>150</v>
      </c>
      <c r="ET536" s="9">
        <f t="shared" ref="ET536:EV537" si="486">+ET50</f>
        <v>150</v>
      </c>
      <c r="EU536" s="9">
        <f t="shared" si="486"/>
        <v>150</v>
      </c>
      <c r="EV536" s="9">
        <f t="shared" si="486"/>
        <v>150</v>
      </c>
      <c r="EW536" s="9">
        <f t="shared" ref="EW536" si="487">+EW50</f>
        <v>150</v>
      </c>
    </row>
    <row r="537" spans="1:153" x14ac:dyDescent="0.3">
      <c r="A537" s="1" t="s">
        <v>3414</v>
      </c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6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9">
        <f t="shared" si="481"/>
        <v>456</v>
      </c>
      <c r="DV537" s="9">
        <f t="shared" si="481"/>
        <v>445</v>
      </c>
      <c r="DW537" s="9">
        <f t="shared" si="481"/>
        <v>464</v>
      </c>
      <c r="DX537" s="9">
        <f t="shared" si="481"/>
        <v>445</v>
      </c>
      <c r="DY537" s="8">
        <f>+SUM(DU537:DX537)</f>
        <v>1810</v>
      </c>
      <c r="DZ537" s="9">
        <f t="shared" si="482"/>
        <v>444</v>
      </c>
      <c r="EA537" s="9">
        <f t="shared" si="482"/>
        <v>430</v>
      </c>
      <c r="EB537" s="9">
        <f t="shared" si="482"/>
        <v>431</v>
      </c>
      <c r="EC537" s="9">
        <f t="shared" si="482"/>
        <v>421</v>
      </c>
      <c r="ED537" s="8">
        <f>+SUM(DZ537:EC537)</f>
        <v>1726</v>
      </c>
      <c r="EE537" s="9">
        <f t="shared" si="483"/>
        <v>422</v>
      </c>
      <c r="EF537" s="9">
        <f t="shared" si="483"/>
        <v>413</v>
      </c>
      <c r="EG537" s="9">
        <f t="shared" si="483"/>
        <v>413</v>
      </c>
      <c r="EH537" s="9">
        <f t="shared" si="483"/>
        <v>396</v>
      </c>
      <c r="EI537" s="8">
        <f>+SUM(EE537:EH537)</f>
        <v>1644</v>
      </c>
      <c r="EJ537" s="9">
        <f t="shared" si="484"/>
        <v>403</v>
      </c>
      <c r="EK537" s="9">
        <f t="shared" si="484"/>
        <v>396</v>
      </c>
      <c r="EL537" s="9">
        <f t="shared" si="484"/>
        <v>394</v>
      </c>
      <c r="EM537" s="9">
        <f t="shared" si="484"/>
        <v>376</v>
      </c>
      <c r="EN537" s="8">
        <f>+SUM(EJ537:EM537)</f>
        <v>1569</v>
      </c>
      <c r="EO537" s="9">
        <f t="shared" si="485"/>
        <v>392</v>
      </c>
      <c r="EP537" s="9">
        <f t="shared" si="485"/>
        <v>378</v>
      </c>
      <c r="EQ537" s="9">
        <f t="shared" si="485"/>
        <v>395</v>
      </c>
      <c r="ER537" s="9">
        <f t="shared" si="485"/>
        <v>360</v>
      </c>
      <c r="ET537" s="9">
        <f t="shared" si="486"/>
        <v>372</v>
      </c>
      <c r="EU537" s="9">
        <f t="shared" si="486"/>
        <v>366</v>
      </c>
      <c r="EV537" s="9">
        <f t="shared" si="486"/>
        <v>388</v>
      </c>
      <c r="EW537" s="9">
        <f t="shared" ref="EW537" si="488">+EW51</f>
        <v>384</v>
      </c>
    </row>
    <row r="538" spans="1:153" x14ac:dyDescent="0.3">
      <c r="A538" s="1" t="s">
        <v>42</v>
      </c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6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9">
        <f>+DU52+DU540</f>
        <v>434</v>
      </c>
      <c r="DV538" s="9">
        <f>+DV52+DV540</f>
        <v>422</v>
      </c>
      <c r="DW538" s="9">
        <f>+DW52+DW540</f>
        <v>422</v>
      </c>
      <c r="DX538" s="9">
        <f>+DX52+DX540</f>
        <v>439</v>
      </c>
      <c r="DY538" s="8">
        <f>+SUM(DU538:DX538)</f>
        <v>1717</v>
      </c>
      <c r="DZ538" s="9">
        <f>+DZ52+DZ540</f>
        <v>420</v>
      </c>
      <c r="EA538" s="9">
        <f>+EA52+EA540</f>
        <v>384</v>
      </c>
      <c r="EB538" s="9">
        <f>+EB52+EB540</f>
        <v>379</v>
      </c>
      <c r="EC538" s="9">
        <f>+EC52+EC540</f>
        <v>373</v>
      </c>
      <c r="ED538" s="8">
        <f>+SUM(DZ538:EC538)</f>
        <v>1556</v>
      </c>
      <c r="EE538" s="9">
        <f>+EE52+EE540</f>
        <v>386</v>
      </c>
      <c r="EF538" s="9">
        <f>+EF52+EF540</f>
        <v>377</v>
      </c>
      <c r="EG538" s="9">
        <f>+EG52+EG540</f>
        <v>399</v>
      </c>
      <c r="EH538" s="9">
        <f>+EH52+EH540</f>
        <v>412</v>
      </c>
      <c r="EI538" s="8">
        <f>+SUM(EE538:EH538)</f>
        <v>1574</v>
      </c>
      <c r="EJ538" s="9">
        <f>+EJ52+EJ540</f>
        <v>385</v>
      </c>
      <c r="EK538" s="9">
        <f>+EK52+EK540</f>
        <v>378</v>
      </c>
      <c r="EL538" s="9">
        <f>+EL52+EL540</f>
        <v>392</v>
      </c>
      <c r="EM538" s="9">
        <f>+EM52+EM540</f>
        <v>383</v>
      </c>
      <c r="EN538" s="8">
        <f>+SUM(EJ538:EM538)</f>
        <v>1538</v>
      </c>
      <c r="EO538" s="9">
        <f>+EO52+EO540</f>
        <v>379</v>
      </c>
      <c r="EP538" s="9">
        <f>+EP52+EP540</f>
        <v>388</v>
      </c>
      <c r="EQ538" s="9">
        <f>+EQ52+EQ540</f>
        <v>365</v>
      </c>
      <c r="ER538" s="9">
        <f>+ER52+ER540</f>
        <v>367</v>
      </c>
      <c r="ET538" s="9">
        <f>+ET52+ET540</f>
        <v>393</v>
      </c>
      <c r="EU538" s="9">
        <f>+EU52+EU540</f>
        <v>404</v>
      </c>
      <c r="EV538" s="9">
        <f>+EV52+EV540</f>
        <v>402</v>
      </c>
      <c r="EW538" s="9">
        <f>+EW52+EW540</f>
        <v>377</v>
      </c>
    </row>
    <row r="539" spans="1:153" x14ac:dyDescent="0.3">
      <c r="A539" s="4" t="s">
        <v>266</v>
      </c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6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830">
        <f>+DP47-DP99</f>
        <v>2199</v>
      </c>
      <c r="DQ539" s="830">
        <f>+DQ47-DQ99</f>
        <v>2162</v>
      </c>
      <c r="DR539" s="830">
        <f>+DR47-DR99</f>
        <v>2126</v>
      </c>
      <c r="DS539" s="830">
        <f>+DS47-DS99</f>
        <v>2124</v>
      </c>
      <c r="DT539" s="830">
        <f>+SUM(DP539:DS539)</f>
        <v>8611</v>
      </c>
      <c r="DU539" s="830">
        <f>+DU47-DU99</f>
        <v>1228</v>
      </c>
      <c r="DV539" s="830">
        <f>+DV47-DV99</f>
        <v>1185</v>
      </c>
      <c r="DW539" s="830">
        <f>+DW47-DW99</f>
        <v>1193</v>
      </c>
      <c r="DX539" s="830">
        <f>+DX47-DX99</f>
        <v>1168</v>
      </c>
      <c r="DY539" s="830">
        <f>+SUM(DU539:DX539)</f>
        <v>4774</v>
      </c>
      <c r="DZ539" s="830">
        <f>+DZ47-DZ99</f>
        <v>1150</v>
      </c>
      <c r="EA539" s="830">
        <f>+EA47-EA99</f>
        <v>1069</v>
      </c>
      <c r="EB539" s="830">
        <f>+EB47-EB99</f>
        <v>1036</v>
      </c>
      <c r="EC539" s="830">
        <f>+EC47-EC99</f>
        <v>1002</v>
      </c>
      <c r="ED539" s="830">
        <f>+SUM(DZ539:EC539)</f>
        <v>4257</v>
      </c>
      <c r="EE539" s="830">
        <f>+EE47-EE99</f>
        <v>1006</v>
      </c>
      <c r="EF539" s="830">
        <f>+EF47-EF99</f>
        <v>983</v>
      </c>
      <c r="EG539" s="830">
        <f>+EG47-EG99</f>
        <v>989</v>
      </c>
      <c r="EH539" s="830">
        <f>+EH47-EH99</f>
        <v>958</v>
      </c>
      <c r="EI539" s="830">
        <f>+SUM(EE539:EH539)</f>
        <v>3936</v>
      </c>
      <c r="EJ539" s="830">
        <f>+EJ47-EJ99</f>
        <v>938</v>
      </c>
      <c r="EK539" s="830">
        <f>+EK47-EK99</f>
        <v>924</v>
      </c>
      <c r="EL539" s="830">
        <f>+EL47-EL99</f>
        <v>936</v>
      </c>
      <c r="EM539" s="830">
        <f>+EM47-EM99</f>
        <v>909</v>
      </c>
      <c r="EN539" s="830">
        <f>+SUM(EJ539:EM539)</f>
        <v>3707</v>
      </c>
      <c r="EO539" s="830">
        <f>+EO47-EO99</f>
        <v>921</v>
      </c>
      <c r="EP539" s="830">
        <f>+EP47-EP99</f>
        <v>916</v>
      </c>
      <c r="EQ539" s="830">
        <f>+EQ47-EQ99</f>
        <v>910</v>
      </c>
      <c r="ER539" s="830">
        <f>+ER47-ER99</f>
        <v>877</v>
      </c>
      <c r="ET539" s="830">
        <f>+ET47-ET99</f>
        <v>915</v>
      </c>
      <c r="EU539" s="830">
        <f>+EU47-EU99</f>
        <v>920</v>
      </c>
      <c r="EV539" s="830">
        <f>+EV47-EV99</f>
        <v>940</v>
      </c>
      <c r="EW539" s="830">
        <f>+EW47-EW99</f>
        <v>911</v>
      </c>
    </row>
    <row r="540" spans="1:153" x14ac:dyDescent="0.3">
      <c r="A540" s="4" t="s">
        <v>3570</v>
      </c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6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8"/>
      <c r="DQ540" s="8"/>
      <c r="DR540" s="8"/>
      <c r="DS540" s="8"/>
      <c r="DT540" s="5"/>
      <c r="DU540" s="451">
        <f>+DU539-SUM(DU50:DU52)</f>
        <v>-22</v>
      </c>
      <c r="DV540" s="451">
        <f>+DV539-SUM(DV50:DV52)</f>
        <v>-23</v>
      </c>
      <c r="DW540" s="451">
        <f>+DW539-SUM(DW50:DW52)</f>
        <v>-23</v>
      </c>
      <c r="DX540" s="451">
        <f>+DX539-SUM(DX50:DX52)</f>
        <v>-19</v>
      </c>
      <c r="DY540" s="19">
        <f>+SUM(DU540:DX540)</f>
        <v>-87</v>
      </c>
      <c r="DZ540" s="451">
        <f>+DZ539-SUM(DZ50:DZ52)</f>
        <v>-24</v>
      </c>
      <c r="EA540" s="451">
        <f>+EA539-SUM(EA50:EA52)</f>
        <v>-23</v>
      </c>
      <c r="EB540" s="451">
        <f>+EB539-SUM(EB50:EB52)</f>
        <v>-25</v>
      </c>
      <c r="EC540" s="451">
        <f>+EC539-SUM(EC50:EC52)</f>
        <v>-20</v>
      </c>
      <c r="ED540" s="19">
        <f>+SUM(DZ540:EC540)</f>
        <v>-92</v>
      </c>
      <c r="EE540" s="451">
        <f>+EE539-SUM(EE50:EE52)</f>
        <v>-22</v>
      </c>
      <c r="EF540" s="451">
        <f>+EF539-SUM(EF50:EF52)</f>
        <v>-21</v>
      </c>
      <c r="EG540" s="451">
        <f>+EG539-SUM(EG50:EG52)</f>
        <v>-22</v>
      </c>
      <c r="EH540" s="451">
        <f>+EH539-SUM(EH50:EH52)</f>
        <v>-29</v>
      </c>
      <c r="EI540" s="19">
        <f>+SUM(EE540:EH540)</f>
        <v>-94</v>
      </c>
      <c r="EJ540" s="451">
        <f>+EJ539-SUM(EJ50:EJ52)</f>
        <v>-50</v>
      </c>
      <c r="EK540" s="451">
        <f>+EK539-SUM(EK50:EK52)</f>
        <v>-49</v>
      </c>
      <c r="EL540" s="451">
        <f>+EL539-SUM(EL50:EL52)</f>
        <v>-39</v>
      </c>
      <c r="EM540" s="451">
        <f>+EM539-SUM(EM50:EM52)</f>
        <v>-69</v>
      </c>
      <c r="EN540" s="19">
        <f>+SUM(EJ540:EM540)</f>
        <v>-207</v>
      </c>
      <c r="EO540" s="451">
        <f>+EO539-SUM(EO50:EO52)</f>
        <v>-38</v>
      </c>
      <c r="EP540" s="451">
        <f>+EP539-SUM(EP50:EP52)</f>
        <v>-40</v>
      </c>
      <c r="EQ540" s="451">
        <f>+EQ539-SUM(EQ50:EQ52)</f>
        <v>-40</v>
      </c>
      <c r="ER540" s="451">
        <f>+ER539-SUM(ER50:ER52)</f>
        <v>-29</v>
      </c>
      <c r="ET540" s="451">
        <f>+ET539-SUM(ET50:ET52)</f>
        <v>-35</v>
      </c>
      <c r="EU540" s="451">
        <f>+EU539-SUM(EU50:EU52)</f>
        <v>-45</v>
      </c>
      <c r="EV540" s="451">
        <f>+EV539-SUM(EV50:EV52)</f>
        <v>-25</v>
      </c>
      <c r="EW540" s="451">
        <f>+EW539-SUM(EW50:EW52)</f>
        <v>-44</v>
      </c>
    </row>
    <row r="541" spans="1:153" x14ac:dyDescent="0.3">
      <c r="A541" s="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6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8"/>
      <c r="DQ541" s="8"/>
      <c r="DR541" s="8"/>
      <c r="DS541" s="8"/>
      <c r="DT541" s="5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K541" s="18"/>
      <c r="EL541" s="18"/>
      <c r="EM541" s="18"/>
    </row>
    <row r="542" spans="1:153" x14ac:dyDescent="0.3">
      <c r="A542" s="13" t="s">
        <v>3571</v>
      </c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6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8"/>
      <c r="DQ542" s="8"/>
      <c r="DR542" s="8"/>
      <c r="DS542" s="8"/>
      <c r="DT542" s="5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K542" s="18"/>
      <c r="EL542" s="18"/>
      <c r="EM542" s="18"/>
    </row>
    <row r="543" spans="1:153" x14ac:dyDescent="0.3">
      <c r="A543" s="1" t="s">
        <v>3413</v>
      </c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6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8"/>
      <c r="DQ543" s="8"/>
      <c r="DR543" s="8"/>
      <c r="DS543" s="8"/>
      <c r="DT543" s="5"/>
      <c r="DU543" s="9">
        <f t="shared" ref="DU543:DX545" si="489">+DU536/DU$539*DU$546</f>
        <v>323.41205211726384</v>
      </c>
      <c r="DV543" s="9">
        <f t="shared" si="489"/>
        <v>304.31392405063292</v>
      </c>
      <c r="DW543" s="9">
        <f t="shared" si="489"/>
        <v>294.39061190276612</v>
      </c>
      <c r="DX543" s="9">
        <f t="shared" si="489"/>
        <v>272.08561643835617</v>
      </c>
      <c r="DY543" s="8">
        <f>+SUM(DU543:DX543)</f>
        <v>1194.2022045090189</v>
      </c>
      <c r="DZ543" s="9">
        <f t="shared" ref="DZ543:EA545" si="490">+DZ536/DZ$539*DZ$546</f>
        <v>274.06260869565216</v>
      </c>
      <c r="EA543" s="9">
        <f t="shared" si="490"/>
        <v>250.70626753975677</v>
      </c>
      <c r="EB543" s="9">
        <f t="shared" ref="EB543:EC545" si="491">+EB536/EB$539*EB$546</f>
        <v>226</v>
      </c>
      <c r="EC543" s="9">
        <f t="shared" si="491"/>
        <v>208</v>
      </c>
      <c r="ED543" s="8">
        <f>+SUM(DZ543:EC543)</f>
        <v>958.76887623540892</v>
      </c>
      <c r="EE543" s="9">
        <f t="shared" ref="EE543:EG545" si="492">+EE536/EE$539*EE$546</f>
        <v>198</v>
      </c>
      <c r="EF543" s="9">
        <f t="shared" si="492"/>
        <v>193</v>
      </c>
      <c r="EG543" s="9">
        <f t="shared" si="492"/>
        <v>0</v>
      </c>
      <c r="EH543" s="9">
        <f t="shared" ref="EH543" si="493">+EH536/EH$539*EH$546</f>
        <v>0</v>
      </c>
      <c r="EI543" s="8">
        <f>+SUM(EE543:EH543)</f>
        <v>391</v>
      </c>
      <c r="EK543" s="18"/>
      <c r="EL543" s="18"/>
      <c r="EM543" s="18"/>
    </row>
    <row r="544" spans="1:153" x14ac:dyDescent="0.3">
      <c r="A544" s="1" t="s">
        <v>3414</v>
      </c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6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8"/>
      <c r="DQ544" s="8"/>
      <c r="DR544" s="8"/>
      <c r="DS544" s="8"/>
      <c r="DT544" s="5"/>
      <c r="DU544" s="9">
        <f t="shared" si="489"/>
        <v>436.31921824104234</v>
      </c>
      <c r="DV544" s="9">
        <f t="shared" si="489"/>
        <v>425.84810126582283</v>
      </c>
      <c r="DW544" s="9">
        <f t="shared" si="489"/>
        <v>444.94216261525565</v>
      </c>
      <c r="DX544" s="9">
        <f t="shared" si="489"/>
        <v>426.33133561643837</v>
      </c>
      <c r="DY544" s="8">
        <f>+SUM(DU544:DX544)</f>
        <v>1733.4408177385592</v>
      </c>
      <c r="DZ544" s="9">
        <f t="shared" si="490"/>
        <v>425.46782608695651</v>
      </c>
      <c r="EA544" s="9">
        <f t="shared" si="490"/>
        <v>422.75958840037418</v>
      </c>
      <c r="EB544" s="9">
        <f t="shared" si="491"/>
        <v>431</v>
      </c>
      <c r="EC544" s="9">
        <f t="shared" si="491"/>
        <v>421</v>
      </c>
      <c r="ED544" s="8">
        <f>+SUM(DZ544:EC544)</f>
        <v>1700.2274144873306</v>
      </c>
      <c r="EE544" s="9">
        <f t="shared" si="492"/>
        <v>422</v>
      </c>
      <c r="EF544" s="9">
        <f t="shared" si="492"/>
        <v>413</v>
      </c>
      <c r="EG544" s="9">
        <f t="shared" si="492"/>
        <v>0</v>
      </c>
      <c r="EH544" s="9">
        <f t="shared" ref="EH544" si="494">+EH537/EH$539*EH$546</f>
        <v>0</v>
      </c>
      <c r="EI544" s="8">
        <f>+SUM(EE544:EH544)</f>
        <v>835</v>
      </c>
      <c r="EK544" s="18"/>
      <c r="EL544" s="18"/>
      <c r="EM544" s="18"/>
    </row>
    <row r="545" spans="1:143" x14ac:dyDescent="0.3">
      <c r="A545" s="1" t="s">
        <v>42</v>
      </c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6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8"/>
      <c r="DQ545" s="8"/>
      <c r="DR545" s="8"/>
      <c r="DS545" s="8"/>
      <c r="DT545" s="5"/>
      <c r="DU545" s="9">
        <f t="shared" si="489"/>
        <v>415.26872964169382</v>
      </c>
      <c r="DV545" s="9">
        <f t="shared" si="489"/>
        <v>403.8379746835443</v>
      </c>
      <c r="DW545" s="9">
        <f t="shared" si="489"/>
        <v>404.66722548197816</v>
      </c>
      <c r="DX545" s="9">
        <f t="shared" si="489"/>
        <v>420.58304794520546</v>
      </c>
      <c r="DY545" s="8">
        <f>+SUM(DU545:DX545)</f>
        <v>1644.3569777524217</v>
      </c>
      <c r="DZ545" s="9">
        <f t="shared" si="490"/>
        <v>402.46956521739128</v>
      </c>
      <c r="EA545" s="9">
        <f t="shared" si="490"/>
        <v>377.53414405986899</v>
      </c>
      <c r="EB545" s="9">
        <f t="shared" si="491"/>
        <v>379</v>
      </c>
      <c r="EC545" s="9">
        <f t="shared" si="491"/>
        <v>373</v>
      </c>
      <c r="ED545" s="8">
        <f>+SUM(DZ545:EC545)</f>
        <v>1532.0037092772602</v>
      </c>
      <c r="EE545" s="9">
        <f t="shared" si="492"/>
        <v>386</v>
      </c>
      <c r="EF545" s="9">
        <f t="shared" si="492"/>
        <v>377</v>
      </c>
      <c r="EG545" s="9">
        <f t="shared" si="492"/>
        <v>0</v>
      </c>
      <c r="EH545" s="9">
        <f t="shared" ref="EH545" si="495">+EH538/EH$539*EH$546</f>
        <v>0</v>
      </c>
      <c r="EI545" s="8">
        <f>+SUM(EE545:EH545)</f>
        <v>763</v>
      </c>
      <c r="EK545" s="18"/>
      <c r="EL545" s="18"/>
      <c r="EM545" s="18"/>
    </row>
    <row r="546" spans="1:143" x14ac:dyDescent="0.3">
      <c r="A546" s="4" t="s">
        <v>266</v>
      </c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6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8"/>
      <c r="DQ546" s="8"/>
      <c r="DR546" s="8"/>
      <c r="DS546" s="8"/>
      <c r="DT546" s="5"/>
      <c r="DU546" s="830">
        <f>+DU532</f>
        <v>1175</v>
      </c>
      <c r="DV546" s="830">
        <f>+DV532</f>
        <v>1134</v>
      </c>
      <c r="DW546" s="830">
        <f>+DW532</f>
        <v>1144</v>
      </c>
      <c r="DX546" s="830">
        <f>+DX532</f>
        <v>1119</v>
      </c>
      <c r="DY546" s="830">
        <f>+SUM(DU546:DX546)</f>
        <v>4572</v>
      </c>
      <c r="DZ546" s="830">
        <f>+DZ532</f>
        <v>1102</v>
      </c>
      <c r="EA546" s="830">
        <f>+EA532</f>
        <v>1051</v>
      </c>
      <c r="EB546" s="830">
        <f>+EB532</f>
        <v>1036</v>
      </c>
      <c r="EC546" s="830">
        <f>+EC532</f>
        <v>1002</v>
      </c>
      <c r="ED546" s="830">
        <f>+SUM(DZ546:EC546)</f>
        <v>4191</v>
      </c>
      <c r="EE546" s="830">
        <f>+EE532</f>
        <v>1006</v>
      </c>
      <c r="EF546" s="830">
        <f>+EF532</f>
        <v>983</v>
      </c>
      <c r="EG546" s="830">
        <f>+EG532</f>
        <v>0</v>
      </c>
      <c r="EH546" s="830">
        <f>+EH532</f>
        <v>0</v>
      </c>
      <c r="EI546" s="830">
        <f>+SUM(EE546:EH546)</f>
        <v>1989</v>
      </c>
      <c r="EK546" s="18"/>
      <c r="EL546" s="18"/>
      <c r="EM546" s="18"/>
    </row>
    <row r="547" spans="1:143" x14ac:dyDescent="0.3">
      <c r="A547" s="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6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8"/>
      <c r="DQ547" s="8"/>
      <c r="DR547" s="8"/>
      <c r="DS547" s="8"/>
      <c r="DT547" s="5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I547" s="8"/>
      <c r="EK547" s="18"/>
      <c r="EL547" s="18"/>
      <c r="EM547" s="18"/>
    </row>
    <row r="548" spans="1:143" s="1048" customFormat="1" x14ac:dyDescent="0.3">
      <c r="A548" s="1057" t="s">
        <v>3572</v>
      </c>
      <c r="B548" s="1057"/>
      <c r="C548" s="1057"/>
      <c r="D548" s="1057"/>
      <c r="E548" s="1058"/>
      <c r="F548" s="1058"/>
      <c r="G548" s="1058"/>
      <c r="H548" s="1058"/>
      <c r="I548" s="1058"/>
      <c r="J548" s="1058"/>
      <c r="K548" s="1058"/>
      <c r="L548" s="1058"/>
      <c r="M548" s="1058"/>
      <c r="N548" s="1058"/>
      <c r="O548" s="1058"/>
      <c r="P548" s="1058"/>
      <c r="Q548" s="1058"/>
      <c r="R548" s="1058"/>
      <c r="S548" s="1058"/>
      <c r="T548" s="1058"/>
      <c r="U548" s="1058"/>
      <c r="V548" s="1058"/>
      <c r="W548" s="1058"/>
      <c r="X548" s="1058"/>
      <c r="Y548" s="1058"/>
      <c r="Z548" s="1058"/>
      <c r="AA548" s="1058"/>
      <c r="AB548" s="1058"/>
      <c r="AC548" s="1058"/>
      <c r="AD548" s="1058"/>
      <c r="AE548" s="1058"/>
      <c r="AF548" s="1058"/>
      <c r="AG548" s="1058"/>
      <c r="AH548" s="1058"/>
      <c r="AI548" s="1058"/>
      <c r="AJ548" s="1058"/>
      <c r="AK548" s="1058"/>
      <c r="AL548" s="1058"/>
      <c r="AM548" s="1058"/>
      <c r="AN548" s="1058"/>
      <c r="AO548" s="1058"/>
      <c r="AP548" s="1058"/>
      <c r="AQ548" s="1058"/>
      <c r="AR548" s="1058"/>
      <c r="AS548" s="1058"/>
      <c r="AT548" s="1058"/>
      <c r="AU548" s="1058"/>
      <c r="AV548" s="1058"/>
      <c r="AW548" s="1058"/>
      <c r="AX548" s="1058"/>
      <c r="AY548" s="1058"/>
      <c r="AZ548" s="1058"/>
      <c r="BA548" s="1058"/>
      <c r="BB548" s="1058"/>
      <c r="BC548" s="1057"/>
      <c r="BD548" s="1057"/>
      <c r="BE548" s="1057"/>
      <c r="BF548" s="1057"/>
      <c r="BG548" s="1057"/>
      <c r="BH548" s="1057"/>
      <c r="BI548" s="1057"/>
      <c r="BJ548" s="1057"/>
      <c r="BK548" s="1057"/>
      <c r="BL548" s="1057"/>
      <c r="BM548" s="1057"/>
      <c r="BN548" s="1057"/>
      <c r="BO548" s="1057"/>
      <c r="BP548" s="1057"/>
      <c r="BQ548" s="1057"/>
      <c r="BR548" s="1057"/>
      <c r="BS548" s="1057"/>
      <c r="BT548" s="1057"/>
      <c r="BU548" s="1057"/>
      <c r="BV548" s="1057"/>
      <c r="BW548" s="1057"/>
      <c r="BX548" s="1057"/>
      <c r="BY548" s="1057"/>
      <c r="BZ548" s="1057"/>
      <c r="CA548" s="1057"/>
      <c r="CB548" s="1057"/>
      <c r="CC548" s="1057"/>
      <c r="CD548" s="1057"/>
      <c r="CE548" s="1057"/>
      <c r="CF548" s="1057"/>
      <c r="CG548" s="1057"/>
      <c r="CH548" s="1057"/>
      <c r="CI548" s="1057"/>
      <c r="CJ548" s="1057"/>
      <c r="CK548" s="1057"/>
      <c r="CL548" s="1057"/>
      <c r="CM548" s="1057"/>
      <c r="CN548" s="1057"/>
      <c r="CO548" s="1057"/>
      <c r="CP548" s="1057"/>
      <c r="CQ548" s="1057"/>
      <c r="CR548" s="1057"/>
      <c r="CS548" s="1057"/>
      <c r="CT548" s="1057"/>
      <c r="CU548" s="1057"/>
      <c r="CV548" s="1057"/>
      <c r="CW548" s="1057"/>
      <c r="CX548" s="1057"/>
      <c r="CY548" s="1057"/>
      <c r="CZ548" s="1057"/>
      <c r="DA548" s="1057"/>
      <c r="DB548" s="1057"/>
      <c r="DC548" s="1057"/>
      <c r="DD548" s="1057"/>
      <c r="DE548" s="1057"/>
      <c r="DF548" s="1057"/>
      <c r="DG548" s="1057"/>
      <c r="DH548" s="1057"/>
      <c r="DI548" s="1057"/>
      <c r="DJ548" s="1057"/>
      <c r="DK548" s="1057"/>
      <c r="DL548" s="1057"/>
      <c r="DM548" s="1057"/>
      <c r="DN548" s="1057"/>
      <c r="DO548" s="1057"/>
      <c r="DP548" s="1057"/>
      <c r="DQ548" s="1057"/>
      <c r="DR548" s="1057"/>
      <c r="DS548" s="1057"/>
      <c r="DT548" s="1057"/>
      <c r="DU548" s="1057"/>
      <c r="DV548" s="1057"/>
      <c r="DW548" s="1057"/>
      <c r="DX548" s="1057"/>
      <c r="DY548" s="1057"/>
      <c r="DZ548" s="1057"/>
      <c r="EA548" s="1057"/>
      <c r="EB548" s="1057"/>
      <c r="EC548" s="1057"/>
      <c r="ED548" s="1057"/>
      <c r="EE548" s="1057"/>
      <c r="EF548" s="1057"/>
      <c r="EG548" s="1057"/>
      <c r="EH548" s="1057"/>
      <c r="EI548" s="1057"/>
      <c r="EK548" s="18"/>
      <c r="EL548" s="18"/>
      <c r="EM548" s="18"/>
    </row>
    <row r="549" spans="1:143" hidden="1" outlineLevel="1" x14ac:dyDescent="0.3">
      <c r="A549" s="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6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8"/>
      <c r="DQ549" s="8"/>
      <c r="DR549" s="8"/>
      <c r="DS549" s="8"/>
      <c r="DT549" s="5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I549" s="8"/>
      <c r="EK549" s="18"/>
      <c r="EL549" s="18"/>
      <c r="EM549" s="18"/>
    </row>
    <row r="550" spans="1:143" hidden="1" outlineLevel="1" x14ac:dyDescent="0.3">
      <c r="A550" s="1" t="s">
        <v>328</v>
      </c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6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8"/>
      <c r="DQ550" s="8"/>
      <c r="DR550" s="8"/>
      <c r="DS550" s="8"/>
      <c r="DT550" s="5"/>
      <c r="DU550" s="8"/>
      <c r="DV550" s="8"/>
      <c r="DW550" s="8"/>
      <c r="DX550" s="9">
        <f>+DY550</f>
        <v>3200</v>
      </c>
      <c r="DY550" s="7">
        <f>+DZ550-DZ551</f>
        <v>3200</v>
      </c>
      <c r="DZ550" s="7">
        <v>3209</v>
      </c>
      <c r="EA550" s="15">
        <f>+DZ550+EA551</f>
        <v>3217</v>
      </c>
      <c r="EB550" s="15">
        <f>+EA550+EB551</f>
        <v>3226</v>
      </c>
      <c r="EC550" s="15">
        <f>+EB550+EC551</f>
        <v>3286</v>
      </c>
      <c r="ED550" s="8">
        <f>+EC550</f>
        <v>3286</v>
      </c>
      <c r="EE550" s="15">
        <f>+ED550+EE551</f>
        <v>3390</v>
      </c>
      <c r="EF550" s="15">
        <f>+EE550+EF551</f>
        <v>3547</v>
      </c>
      <c r="EG550" s="15"/>
      <c r="EH550" s="15"/>
      <c r="EI550" s="8">
        <f>+EH550</f>
        <v>0</v>
      </c>
      <c r="EK550" s="18"/>
      <c r="EL550" s="18"/>
      <c r="EM550" s="18"/>
    </row>
    <row r="551" spans="1:143" hidden="1" outlineLevel="1" x14ac:dyDescent="0.3">
      <c r="A551" t="s">
        <v>3573</v>
      </c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6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8"/>
      <c r="DQ551" s="8"/>
      <c r="DR551" s="8"/>
      <c r="DS551" s="8"/>
      <c r="DT551" s="5"/>
      <c r="DU551" s="8"/>
      <c r="DV551" s="8"/>
      <c r="DW551" s="8"/>
      <c r="DX551" s="8"/>
      <c r="DY551" s="8"/>
      <c r="DZ551" s="7">
        <v>9</v>
      </c>
      <c r="EA551" s="7">
        <v>8</v>
      </c>
      <c r="EB551" s="7">
        <v>9</v>
      </c>
      <c r="EC551" s="7">
        <v>60</v>
      </c>
      <c r="ED551" s="8">
        <f>+SUM(DZ551:EC551)</f>
        <v>86</v>
      </c>
      <c r="EE551" s="7">
        <v>104</v>
      </c>
      <c r="EF551" s="7">
        <v>157</v>
      </c>
      <c r="EG551" s="7"/>
      <c r="EH551" s="7"/>
      <c r="EI551" s="8">
        <f>+SUM(EE551:EH551)</f>
        <v>261</v>
      </c>
      <c r="EK551" s="18"/>
      <c r="EL551" s="18"/>
      <c r="EM551" s="18"/>
    </row>
    <row r="552" spans="1:143" hidden="1" outlineLevel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6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8"/>
      <c r="DQ552" s="8"/>
      <c r="DR552" s="8"/>
      <c r="DS552" s="8"/>
      <c r="DT552" s="5"/>
      <c r="DU552" s="8"/>
      <c r="DV552" s="8"/>
      <c r="DW552" s="8"/>
      <c r="DX552" s="8"/>
      <c r="DY552" s="8"/>
      <c r="DZ552" s="7"/>
      <c r="EA552" s="7"/>
      <c r="EB552" s="7"/>
      <c r="EC552" s="7"/>
      <c r="ED552" s="8"/>
      <c r="EE552" s="7"/>
      <c r="EF552" s="7"/>
      <c r="EG552" s="7"/>
      <c r="EH552" s="7"/>
      <c r="EI552" s="8"/>
      <c r="EK552" s="18"/>
      <c r="EL552" s="18"/>
      <c r="EM552" s="18"/>
    </row>
    <row r="553" spans="1:143" hidden="1" outlineLevel="1" x14ac:dyDescent="0.3">
      <c r="A553" s="1" t="s">
        <v>3574</v>
      </c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6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8"/>
      <c r="DQ553" s="8"/>
      <c r="DR553" s="8"/>
      <c r="DS553" s="8"/>
      <c r="DT553" s="5"/>
      <c r="DU553" s="8"/>
      <c r="DV553" s="8"/>
      <c r="DW553" s="8"/>
      <c r="DX553" s="8"/>
      <c r="DY553" s="8"/>
      <c r="DZ553" s="7">
        <f>+DZ580/DZ558</f>
        <v>2933.9853300733498</v>
      </c>
      <c r="EA553" s="7">
        <f>+EA580/EA558</f>
        <v>2936.7396593673966</v>
      </c>
      <c r="EB553" s="7">
        <f>+EB580/EB558</f>
        <v>2946.6019417475732</v>
      </c>
      <c r="EC553" s="7">
        <f>+EC580/EC558</f>
        <v>2954.1062801932367</v>
      </c>
      <c r="ED553" s="8">
        <f>+EC553</f>
        <v>2954.1062801932367</v>
      </c>
      <c r="EE553" s="7">
        <f>+(EE580-5)/EE558</f>
        <v>2961.4457831325303</v>
      </c>
      <c r="EF553" s="17"/>
      <c r="EG553" s="17"/>
      <c r="EH553" s="17"/>
      <c r="EI553" s="8">
        <f>+EH553</f>
        <v>0</v>
      </c>
      <c r="EK553" s="18"/>
      <c r="EL553" s="18"/>
      <c r="EM553" s="18"/>
    </row>
    <row r="554" spans="1:143" hidden="1" outlineLevel="1" x14ac:dyDescent="0.3">
      <c r="A554" t="s">
        <v>327</v>
      </c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6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8"/>
      <c r="DQ554" s="8"/>
      <c r="DR554" s="8"/>
      <c r="DS554" s="8"/>
      <c r="DT554" s="5"/>
      <c r="DU554" s="8"/>
      <c r="DV554" s="8"/>
      <c r="DW554" s="8"/>
      <c r="DX554" s="8"/>
      <c r="DY554" s="8"/>
      <c r="DZ554" s="9">
        <f>+DZ551</f>
        <v>9</v>
      </c>
      <c r="EA554" s="9">
        <f>+DZ554+EA551</f>
        <v>17</v>
      </c>
      <c r="EB554" s="9">
        <f>+EA554+EB551</f>
        <v>26</v>
      </c>
      <c r="EC554" s="9">
        <f>+EB554+EC551</f>
        <v>86</v>
      </c>
      <c r="ED554" s="8">
        <f>+EC554</f>
        <v>86</v>
      </c>
      <c r="EE554" s="8">
        <f>+ED554+EE551</f>
        <v>190</v>
      </c>
      <c r="EF554" s="1023"/>
      <c r="EG554" s="1023"/>
      <c r="EH554" s="1023"/>
      <c r="EI554" s="8">
        <f>+EH554</f>
        <v>0</v>
      </c>
      <c r="EK554" s="18"/>
      <c r="EL554" s="18"/>
      <c r="EM554" s="18"/>
    </row>
    <row r="555" spans="1:143" hidden="1" outlineLevel="1" x14ac:dyDescent="0.3">
      <c r="A555" t="s">
        <v>3575</v>
      </c>
      <c r="DZ555" s="803">
        <f t="shared" ref="DZ555:EE555" si="496">+DZ553+DZ554</f>
        <v>2942.9853300733498</v>
      </c>
      <c r="EA555" s="803">
        <f t="shared" si="496"/>
        <v>2953.7396593673966</v>
      </c>
      <c r="EB555" s="803">
        <f t="shared" si="496"/>
        <v>2972.6019417475732</v>
      </c>
      <c r="EC555" s="803">
        <f t="shared" si="496"/>
        <v>3040.1062801932367</v>
      </c>
      <c r="ED555" s="803">
        <f t="shared" si="496"/>
        <v>3040.1062801932367</v>
      </c>
      <c r="EE555" s="803">
        <f t="shared" si="496"/>
        <v>3151.4457831325303</v>
      </c>
      <c r="EF555" s="1026"/>
      <c r="EG555" s="1026"/>
      <c r="EH555" s="1026"/>
      <c r="EI555" s="803">
        <f t="shared" ref="EI555" si="497">+EI553+EI554</f>
        <v>0</v>
      </c>
      <c r="EK555" s="18"/>
      <c r="EL555" s="18"/>
      <c r="EM555" s="18"/>
    </row>
    <row r="556" spans="1:143" hidden="1" outlineLevel="1" x14ac:dyDescent="0.3">
      <c r="A556" s="1" t="s">
        <v>3576</v>
      </c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6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8"/>
      <c r="DQ556" s="8"/>
      <c r="DR556" s="8"/>
      <c r="DS556" s="8"/>
      <c r="DT556" s="5"/>
      <c r="DU556" s="8"/>
      <c r="DV556" s="8"/>
      <c r="DW556" s="8"/>
      <c r="DX556" s="8"/>
      <c r="DY556" s="8"/>
      <c r="DZ556" s="9">
        <f>+DZ557-DZ555</f>
        <v>266.01466992665019</v>
      </c>
      <c r="EA556" s="9">
        <f>+EA557-EA555</f>
        <v>263.2603406326034</v>
      </c>
      <c r="EB556" s="9">
        <f>+EB557-EB555</f>
        <v>253.39805825242684</v>
      </c>
      <c r="EC556" s="9">
        <f>+EC557-EC555</f>
        <v>245.89371980676333</v>
      </c>
      <c r="ED556" s="100">
        <f>+EC556</f>
        <v>245.89371980676333</v>
      </c>
      <c r="EE556" s="9">
        <f>+EE557-EE555</f>
        <v>238.55421686746968</v>
      </c>
      <c r="EF556" s="1025"/>
      <c r="EG556" s="1025"/>
      <c r="EH556" s="1025"/>
      <c r="EI556" s="100">
        <f>+EH556</f>
        <v>0</v>
      </c>
      <c r="EK556" s="18"/>
      <c r="EL556" s="18"/>
      <c r="EM556" s="18"/>
    </row>
    <row r="557" spans="1:143" hidden="1" outlineLevel="1" x14ac:dyDescent="0.3">
      <c r="A557" s="4" t="s">
        <v>328</v>
      </c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6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8"/>
      <c r="DQ557" s="8"/>
      <c r="DR557" s="8"/>
      <c r="DS557" s="8"/>
      <c r="DT557" s="5"/>
      <c r="DU557" s="8"/>
      <c r="DV557" s="8"/>
      <c r="DW557" s="8"/>
      <c r="DX557" s="8"/>
      <c r="DY557" s="8"/>
      <c r="DZ557" s="830">
        <f t="shared" ref="DZ557:EE557" si="498">+DZ550</f>
        <v>3209</v>
      </c>
      <c r="EA557" s="830">
        <f t="shared" si="498"/>
        <v>3217</v>
      </c>
      <c r="EB557" s="830">
        <f t="shared" si="498"/>
        <v>3226</v>
      </c>
      <c r="EC557" s="830">
        <f t="shared" si="498"/>
        <v>3286</v>
      </c>
      <c r="ED557" s="8">
        <f t="shared" si="498"/>
        <v>3286</v>
      </c>
      <c r="EE557" s="830">
        <f t="shared" si="498"/>
        <v>3390</v>
      </c>
      <c r="EF557" s="1027"/>
      <c r="EG557" s="1027"/>
      <c r="EH557" s="1027"/>
      <c r="EI557" s="8">
        <f t="shared" ref="EI557" si="499">+EI550</f>
        <v>0</v>
      </c>
      <c r="EK557" s="18"/>
      <c r="EL557" s="18"/>
      <c r="EM557" s="18"/>
    </row>
    <row r="558" spans="1:143" hidden="1" outlineLevel="1" x14ac:dyDescent="0.3">
      <c r="A558" s="1" t="s">
        <v>1725</v>
      </c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6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8"/>
      <c r="DQ558" s="8"/>
      <c r="DR558" s="8"/>
      <c r="DS558" s="8"/>
      <c r="DT558" s="5"/>
      <c r="DU558" s="8"/>
      <c r="DV558" s="8"/>
      <c r="DW558" s="8"/>
      <c r="DX558" s="8"/>
      <c r="DY558" s="8"/>
      <c r="DZ558" s="822">
        <v>0.40899999999999997</v>
      </c>
      <c r="EA558" s="822">
        <v>0.41099999999999998</v>
      </c>
      <c r="EB558" s="822">
        <v>0.41199999999999998</v>
      </c>
      <c r="EC558" s="822">
        <v>0.41399999999999998</v>
      </c>
      <c r="ED558" s="8"/>
      <c r="EE558" s="822">
        <v>0.41499999999999998</v>
      </c>
      <c r="EF558" s="822">
        <v>0.41199999999999998</v>
      </c>
      <c r="EG558" s="822"/>
      <c r="EH558" s="822"/>
      <c r="EI558" s="8"/>
      <c r="EK558" s="18"/>
      <c r="EL558" s="18"/>
      <c r="EM558" s="18"/>
    </row>
    <row r="559" spans="1:143" hidden="1" outlineLevel="1" x14ac:dyDescent="0.3">
      <c r="A559" s="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6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8"/>
      <c r="DQ559" s="8"/>
      <c r="DR559" s="8"/>
      <c r="DS559" s="8"/>
      <c r="DT559" s="5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K559" s="18"/>
      <c r="EL559" s="18"/>
      <c r="EM559" s="18"/>
    </row>
    <row r="560" spans="1:143" hidden="1" outlineLevel="1" x14ac:dyDescent="0.3">
      <c r="A560" s="4" t="s">
        <v>3577</v>
      </c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6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7"/>
      <c r="EB560" s="7"/>
      <c r="EC560" s="7"/>
      <c r="ED560" s="5"/>
      <c r="EE560" s="7"/>
      <c r="EF560" s="7"/>
      <c r="EG560" s="7"/>
      <c r="EH560" s="7"/>
      <c r="EI560" s="5"/>
      <c r="EK560" s="18"/>
      <c r="EL560" s="18"/>
      <c r="EM560" s="18"/>
    </row>
    <row r="561" spans="1:143" hidden="1" outlineLevel="1" x14ac:dyDescent="0.3">
      <c r="A561" s="1" t="s">
        <v>3578</v>
      </c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6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7">
        <v>4324</v>
      </c>
      <c r="DQ561" s="7">
        <v>4237</v>
      </c>
      <c r="DR561" s="7">
        <v>4152</v>
      </c>
      <c r="DS561" s="7">
        <v>4060</v>
      </c>
      <c r="DT561" s="8">
        <f>+DS561</f>
        <v>4060</v>
      </c>
      <c r="DU561" s="9">
        <f>+DV561-DV562</f>
        <v>3641</v>
      </c>
      <c r="DV561" s="7">
        <v>3554</v>
      </c>
      <c r="DW561" s="9">
        <f>+DX561-DX562</f>
        <v>3470</v>
      </c>
      <c r="DX561" s="7">
        <v>3412</v>
      </c>
      <c r="DY561" s="8">
        <f>+DX561</f>
        <v>3412</v>
      </c>
      <c r="DZ561" s="7">
        <v>3373</v>
      </c>
      <c r="EA561" s="7">
        <v>3341</v>
      </c>
      <c r="EB561" s="7">
        <v>3305</v>
      </c>
      <c r="EC561" s="7">
        <v>3264</v>
      </c>
      <c r="ED561" s="8">
        <f>+EC561</f>
        <v>3264</v>
      </c>
      <c r="EE561" s="7">
        <v>3234</v>
      </c>
      <c r="EF561" s="7"/>
      <c r="EG561" s="7"/>
      <c r="EH561" s="7"/>
      <c r="EI561" s="8">
        <f>+EH561</f>
        <v>0</v>
      </c>
      <c r="EK561" s="18"/>
      <c r="EL561" s="18"/>
      <c r="EM561" s="18"/>
    </row>
    <row r="562" spans="1:143" hidden="1" outlineLevel="1" x14ac:dyDescent="0.3">
      <c r="A562" s="1" t="s">
        <v>3480</v>
      </c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6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20">
        <v>-74</v>
      </c>
      <c r="DQ562" s="16">
        <f>+DQ561-DP561</f>
        <v>-87</v>
      </c>
      <c r="DR562" s="16">
        <f>+DR561-DQ561</f>
        <v>-85</v>
      </c>
      <c r="DS562" s="16">
        <f>+DS561-DR561</f>
        <v>-92</v>
      </c>
      <c r="DT562" s="16"/>
      <c r="DU562" s="9">
        <f>+DU561-DT561</f>
        <v>-419</v>
      </c>
      <c r="DV562" s="7">
        <v>-87</v>
      </c>
      <c r="DW562" s="16">
        <f>+DW561-DV561</f>
        <v>-84</v>
      </c>
      <c r="DX562" s="7">
        <v>-58</v>
      </c>
      <c r="DY562" s="16">
        <f>+SUM(DU562:DX562)</f>
        <v>-648</v>
      </c>
      <c r="DZ562" s="16">
        <f>+DZ561-DY561</f>
        <v>-39</v>
      </c>
      <c r="EA562" s="16">
        <f>+EA561-DZ561</f>
        <v>-32</v>
      </c>
      <c r="EB562" s="16">
        <f>+EB561-EA561</f>
        <v>-36</v>
      </c>
      <c r="EC562" s="16">
        <f>+EC561-EB561</f>
        <v>-41</v>
      </c>
      <c r="ED562" s="16">
        <f>+SUM(DZ562:EC562)</f>
        <v>-148</v>
      </c>
      <c r="EE562" s="16">
        <f>+EE561-ED561</f>
        <v>-30</v>
      </c>
      <c r="EF562" s="16"/>
      <c r="EG562" s="16"/>
      <c r="EH562" s="16"/>
      <c r="EI562" s="16">
        <f>+SUM(EE562:EH562)</f>
        <v>-30</v>
      </c>
      <c r="EK562" s="18"/>
      <c r="EL562" s="18"/>
      <c r="EM562" s="18"/>
    </row>
    <row r="563" spans="1:143" hidden="1" outlineLevel="1" x14ac:dyDescent="0.3">
      <c r="A563" s="1" t="s">
        <v>3579</v>
      </c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6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21">
        <v>86.21</v>
      </c>
      <c r="DQ563" s="21">
        <v>85.28</v>
      </c>
      <c r="DR563" s="21">
        <v>84.92</v>
      </c>
      <c r="DS563" s="21">
        <v>88.37</v>
      </c>
      <c r="DT563" s="5"/>
      <c r="DU563" s="21">
        <v>90.42</v>
      </c>
      <c r="DV563" s="21">
        <v>89.82</v>
      </c>
      <c r="DW563" s="21">
        <v>89.45</v>
      </c>
      <c r="DX563" s="21">
        <v>89.45</v>
      </c>
      <c r="DY563" s="5"/>
      <c r="DZ563" s="21">
        <v>87.88</v>
      </c>
      <c r="EA563" s="21">
        <v>86.68</v>
      </c>
      <c r="EB563" s="21">
        <v>86.19</v>
      </c>
      <c r="EC563" s="21">
        <v>87</v>
      </c>
      <c r="ED563" s="5"/>
      <c r="EE563" s="21">
        <v>86.6</v>
      </c>
      <c r="EF563" s="21"/>
      <c r="EG563" s="21"/>
      <c r="EH563" s="21"/>
      <c r="EI563" s="5"/>
      <c r="EK563" s="18"/>
      <c r="EL563" s="18"/>
      <c r="EM563" s="18"/>
    </row>
    <row r="564" spans="1:143" hidden="1" outlineLevel="1" x14ac:dyDescent="0.3">
      <c r="A564" s="1" t="s">
        <v>3482</v>
      </c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6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22">
        <v>1.9400000000000001E-2</v>
      </c>
      <c r="DQ564" s="22">
        <v>1.95E-2</v>
      </c>
      <c r="DR564" s="22">
        <v>2.0299999999999999E-2</v>
      </c>
      <c r="DS564" s="22">
        <v>1.9400000000000001E-2</v>
      </c>
      <c r="DT564" s="5"/>
      <c r="DU564" s="23">
        <v>2.0299999999999999E-2</v>
      </c>
      <c r="DV564" s="22">
        <v>2.18E-2</v>
      </c>
      <c r="DW564" s="23">
        <v>2.2700000000000001E-2</v>
      </c>
      <c r="DX564" s="22">
        <v>1.95E-2</v>
      </c>
      <c r="DY564" s="5"/>
      <c r="DZ564" s="22">
        <v>1.84E-2</v>
      </c>
      <c r="EA564" s="22">
        <v>1.6299999999999999E-2</v>
      </c>
      <c r="EB564" s="22">
        <v>1.8100000000000002E-2</v>
      </c>
      <c r="EC564" s="22">
        <v>1.67E-2</v>
      </c>
      <c r="ED564" s="5"/>
      <c r="EE564" s="22">
        <v>1.4500000000000001E-2</v>
      </c>
      <c r="EF564" s="22"/>
      <c r="EG564" s="22"/>
      <c r="EH564" s="22"/>
      <c r="EI564" s="5"/>
      <c r="EK564" s="18"/>
      <c r="EL564" s="18"/>
      <c r="EM564" s="18"/>
    </row>
    <row r="565" spans="1:143" hidden="1" outlineLevel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6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22"/>
      <c r="DQ565" s="22"/>
      <c r="DR565" s="22"/>
      <c r="DS565" s="22"/>
      <c r="DT565" s="5"/>
      <c r="DU565" s="22"/>
      <c r="DV565" s="22"/>
      <c r="DW565" s="22"/>
      <c r="DX565" s="22"/>
      <c r="DY565" s="5"/>
      <c r="DZ565" s="22"/>
      <c r="EA565" s="22"/>
      <c r="EB565" s="22"/>
      <c r="EC565" s="22"/>
      <c r="ED565" s="5"/>
      <c r="EE565" s="22"/>
      <c r="EF565" s="22"/>
      <c r="EG565" s="22"/>
      <c r="EH565" s="22"/>
      <c r="EI565" s="5"/>
      <c r="EK565" s="18"/>
      <c r="EL565" s="18"/>
      <c r="EM565" s="18"/>
    </row>
    <row r="566" spans="1:143" hidden="1" outlineLevel="1" x14ac:dyDescent="0.3">
      <c r="A566" s="4" t="s">
        <v>3580</v>
      </c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6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22"/>
      <c r="DQ566" s="22"/>
      <c r="DR566" s="22"/>
      <c r="DS566" s="22"/>
      <c r="DT566" s="5"/>
      <c r="DU566" s="22"/>
      <c r="DV566" s="22"/>
      <c r="DW566" s="22"/>
      <c r="DX566" s="22"/>
      <c r="DY566" s="5"/>
      <c r="DZ566" s="7"/>
      <c r="EA566" s="7"/>
      <c r="EB566" s="7"/>
      <c r="EC566" s="7"/>
      <c r="ED566" s="5"/>
      <c r="EE566" s="7"/>
      <c r="EF566" s="7"/>
      <c r="EG566" s="7"/>
      <c r="EH566" s="7"/>
      <c r="EI566" s="5"/>
      <c r="EK566" s="18"/>
      <c r="EL566" s="18"/>
      <c r="EM566" s="18"/>
    </row>
    <row r="567" spans="1:143" hidden="1" outlineLevel="1" x14ac:dyDescent="0.3">
      <c r="A567" s="1" t="s">
        <v>628</v>
      </c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6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22"/>
      <c r="DQ567" s="22"/>
      <c r="DR567" s="22"/>
      <c r="DS567" s="22"/>
      <c r="DT567" s="5"/>
      <c r="DU567" s="22"/>
      <c r="DV567" s="22"/>
      <c r="DW567" s="22"/>
      <c r="DX567" s="22"/>
      <c r="DY567" s="5"/>
      <c r="DZ567" s="7">
        <v>118</v>
      </c>
      <c r="EA567" s="7">
        <v>116</v>
      </c>
      <c r="EB567" s="7">
        <v>117</v>
      </c>
      <c r="EC567" s="7">
        <v>117</v>
      </c>
      <c r="ED567" s="5"/>
      <c r="EE567" s="7">
        <v>120</v>
      </c>
      <c r="EF567" s="7"/>
      <c r="EG567" s="7"/>
      <c r="EH567" s="7"/>
      <c r="EI567" s="5"/>
      <c r="EK567" s="18"/>
      <c r="EL567" s="18"/>
      <c r="EM567" s="18"/>
    </row>
    <row r="568" spans="1:143" hidden="1" outlineLevel="1" x14ac:dyDescent="0.3">
      <c r="A568" s="1" t="s">
        <v>629</v>
      </c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6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22"/>
      <c r="DQ568" s="22"/>
      <c r="DR568" s="22"/>
      <c r="DS568" s="22"/>
      <c r="DT568" s="5"/>
      <c r="DU568" s="22"/>
      <c r="DV568" s="22"/>
      <c r="DW568" s="22"/>
      <c r="DX568" s="22"/>
      <c r="DY568" s="5"/>
      <c r="DZ568" s="7">
        <v>171</v>
      </c>
      <c r="EA568" s="7">
        <v>166</v>
      </c>
      <c r="EB568" s="7">
        <v>160</v>
      </c>
      <c r="EC568" s="7">
        <v>154</v>
      </c>
      <c r="ED568" s="5"/>
      <c r="EE568" s="7">
        <v>149</v>
      </c>
      <c r="EF568" s="7"/>
      <c r="EG568" s="7"/>
      <c r="EH568" s="7"/>
      <c r="EI568" s="5"/>
      <c r="EK568" s="18"/>
      <c r="EL568" s="18"/>
      <c r="EM568" s="18"/>
    </row>
    <row r="569" spans="1:143" hidden="1" outlineLevel="1" x14ac:dyDescent="0.3">
      <c r="A569" s="4" t="s">
        <v>266</v>
      </c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6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7">
        <f>+DQ569-DQ570</f>
        <v>367.5</v>
      </c>
      <c r="DQ569" s="7">
        <f>+DR569-DR570</f>
        <v>356.5</v>
      </c>
      <c r="DR569" s="7">
        <f>+DS569-DS570</f>
        <v>348.5</v>
      </c>
      <c r="DS569" s="7">
        <f>+DT569</f>
        <v>337.5</v>
      </c>
      <c r="DT569" s="8">
        <f>+DU569-DU570</f>
        <v>337.5</v>
      </c>
      <c r="DU569" s="7">
        <f>+DV569-DV570</f>
        <v>326.5</v>
      </c>
      <c r="DV569" s="7">
        <f>+DW569-DW570</f>
        <v>316.5</v>
      </c>
      <c r="DW569" s="7">
        <f>+DX569-DX570</f>
        <v>307.5</v>
      </c>
      <c r="DX569" s="7">
        <f>+DY569</f>
        <v>297.5</v>
      </c>
      <c r="DY569" s="8">
        <f>+DZ569-DZ570</f>
        <v>297.5</v>
      </c>
      <c r="DZ569" s="15">
        <f>+SUM(DZ567:DZ568)</f>
        <v>289</v>
      </c>
      <c r="EA569" s="15">
        <f>+SUM(EA567:EA568)</f>
        <v>282</v>
      </c>
      <c r="EB569" s="15">
        <f>+SUM(EB567:EB568)</f>
        <v>277</v>
      </c>
      <c r="EC569" s="15">
        <f>+SUM(EC567:EC568)</f>
        <v>271</v>
      </c>
      <c r="ED569" s="8">
        <f>+EC569</f>
        <v>271</v>
      </c>
      <c r="EE569" s="15">
        <f>+SUM(EE567:EE568)</f>
        <v>269</v>
      </c>
      <c r="EF569" s="15"/>
      <c r="EG569" s="15"/>
      <c r="EH569" s="15"/>
      <c r="EI569" s="8">
        <f>+EH569</f>
        <v>0</v>
      </c>
      <c r="EK569" s="18"/>
      <c r="EL569" s="18"/>
      <c r="EM569" s="18"/>
    </row>
    <row r="570" spans="1:143" hidden="1" outlineLevel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6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20">
        <v>-11</v>
      </c>
      <c r="DR570" s="20">
        <v>-8</v>
      </c>
      <c r="DS570" s="20">
        <v>-11</v>
      </c>
      <c r="DT570" s="20"/>
      <c r="DU570" s="20">
        <v>-11</v>
      </c>
      <c r="DV570" s="20">
        <v>-10</v>
      </c>
      <c r="DW570" s="20">
        <v>-9</v>
      </c>
      <c r="DX570" s="20">
        <v>-10</v>
      </c>
      <c r="DY570" s="16">
        <f>+SUM(DU570:DX570)</f>
        <v>-40</v>
      </c>
      <c r="DZ570" s="20">
        <f>+AVERAGE(DX570,EA570)</f>
        <v>-8.5</v>
      </c>
      <c r="EA570" s="16">
        <f>+EA569-DZ569</f>
        <v>-7</v>
      </c>
      <c r="EB570" s="16">
        <f>+EB569-EA569</f>
        <v>-5</v>
      </c>
      <c r="EC570" s="16">
        <f>+EC569-EB569</f>
        <v>-6</v>
      </c>
      <c r="ED570" s="16">
        <f>+SUM(DZ570:EC570)</f>
        <v>-26.5</v>
      </c>
      <c r="EE570" s="16">
        <f>+EE569-ED569</f>
        <v>-2</v>
      </c>
      <c r="EF570" s="16"/>
      <c r="EG570" s="16"/>
      <c r="EH570" s="16"/>
      <c r="EI570" s="16">
        <f>+SUM(EE570:EH570)</f>
        <v>-2</v>
      </c>
      <c r="EK570" s="18"/>
      <c r="EL570" s="18"/>
      <c r="EM570" s="18"/>
    </row>
    <row r="571" spans="1:143" hidden="1" outlineLevel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6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16"/>
      <c r="DR571" s="16"/>
      <c r="DS571" s="16"/>
      <c r="DT571" s="16"/>
      <c r="DU571" s="16"/>
      <c r="DV571" s="16"/>
      <c r="DW571" s="16"/>
      <c r="DX571" s="16"/>
      <c r="DY571" s="16"/>
      <c r="DZ571" s="16"/>
      <c r="EA571" s="16"/>
      <c r="EB571" s="16"/>
      <c r="EC571" s="16"/>
      <c r="ED571" s="16"/>
      <c r="EE571" s="16"/>
      <c r="EF571" s="16"/>
      <c r="EG571" s="16"/>
      <c r="EH571" s="16"/>
      <c r="EI571" s="16"/>
      <c r="EK571" s="18"/>
      <c r="EL571" s="18"/>
      <c r="EM571" s="18"/>
    </row>
    <row r="572" spans="1:143" hidden="1" outlineLevel="1" x14ac:dyDescent="0.3">
      <c r="A572" s="4" t="s">
        <v>3581</v>
      </c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6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9">
        <f>+DP569+DP561</f>
        <v>4691.5</v>
      </c>
      <c r="DQ572" s="9">
        <f>+DQ569+DQ561</f>
        <v>4593.5</v>
      </c>
      <c r="DR572" s="9">
        <f>+DR569+DR561</f>
        <v>4500.5</v>
      </c>
      <c r="DS572" s="9">
        <f>+DS569+DS561</f>
        <v>4397.5</v>
      </c>
      <c r="DT572" s="8">
        <f>+DS572</f>
        <v>4397.5</v>
      </c>
      <c r="DU572" s="9">
        <f>+DU569+DU561</f>
        <v>3967.5</v>
      </c>
      <c r="DV572" s="9">
        <f>+DV569+DV561</f>
        <v>3870.5</v>
      </c>
      <c r="DW572" s="9">
        <f>+DW569+DW561</f>
        <v>3777.5</v>
      </c>
      <c r="DX572" s="9">
        <f>+DX569+DX561</f>
        <v>3709.5</v>
      </c>
      <c r="DY572" s="8">
        <f>+DX572</f>
        <v>3709.5</v>
      </c>
      <c r="DZ572" s="9">
        <f>+DZ569+DZ561</f>
        <v>3662</v>
      </c>
      <c r="EA572" s="9">
        <f>+EA569+EA561</f>
        <v>3623</v>
      </c>
      <c r="EB572" s="9">
        <f>+EB569+EB561</f>
        <v>3582</v>
      </c>
      <c r="EC572" s="9">
        <f>+EC569+EC561</f>
        <v>3535</v>
      </c>
      <c r="ED572" s="8">
        <f>+EC572</f>
        <v>3535</v>
      </c>
      <c r="EE572" s="9">
        <f>+EE569+EE561</f>
        <v>3503</v>
      </c>
      <c r="EF572" s="9"/>
      <c r="EG572" s="9"/>
      <c r="EH572" s="9"/>
      <c r="EI572" s="8">
        <f>+EH572</f>
        <v>0</v>
      </c>
      <c r="EK572" s="18"/>
      <c r="EL572" s="18"/>
      <c r="EM572" s="18"/>
    </row>
    <row r="573" spans="1:143" hidden="1" outlineLevel="1" x14ac:dyDescent="0.3">
      <c r="A573" s="1" t="s">
        <v>3582</v>
      </c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6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838"/>
      <c r="DN573" s="5"/>
      <c r="DO573" s="5"/>
      <c r="DP573" s="5"/>
      <c r="DQ573" s="16"/>
      <c r="DR573" s="16"/>
      <c r="DS573" s="16"/>
      <c r="DT573" s="16"/>
      <c r="DU573" s="16"/>
      <c r="DV573" s="16"/>
      <c r="DW573" s="16"/>
      <c r="DX573" s="16"/>
      <c r="DY573" s="16"/>
      <c r="DZ573" s="16"/>
      <c r="EA573" s="16"/>
      <c r="EB573" s="16"/>
      <c r="EC573" s="16"/>
      <c r="ED573" s="16"/>
      <c r="EE573" s="16"/>
      <c r="EF573" s="16"/>
      <c r="EG573" s="16"/>
      <c r="EH573" s="16"/>
      <c r="EI573" s="16"/>
      <c r="EK573" s="18"/>
      <c r="EL573" s="18"/>
      <c r="EM573" s="18"/>
    </row>
    <row r="574" spans="1:143" hidden="1" outlineLevel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6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16"/>
      <c r="DR574" s="16"/>
      <c r="DS574" s="16"/>
      <c r="DT574" s="16"/>
      <c r="DU574" s="16"/>
      <c r="DV574" s="16"/>
      <c r="DW574" s="16"/>
      <c r="DX574" s="16"/>
      <c r="DY574" s="16"/>
      <c r="DZ574" s="16"/>
      <c r="EA574" s="16"/>
      <c r="EB574" s="16"/>
      <c r="EC574" s="16"/>
      <c r="ED574" s="16"/>
      <c r="EE574" s="16"/>
      <c r="EF574" s="16"/>
      <c r="EG574" s="16"/>
      <c r="EH574" s="16"/>
      <c r="EI574" s="16"/>
      <c r="EK574" s="18"/>
      <c r="EL574" s="18"/>
      <c r="EM574" s="18"/>
    </row>
    <row r="575" spans="1:143" hidden="1" outlineLevel="1" x14ac:dyDescent="0.3">
      <c r="A575" s="4" t="s">
        <v>3583</v>
      </c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6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7">
        <v>3895</v>
      </c>
      <c r="DQ575" s="7">
        <v>3865</v>
      </c>
      <c r="DR575" s="7">
        <v>3802</v>
      </c>
      <c r="DS575" s="7">
        <v>3735</v>
      </c>
      <c r="DT575" s="5"/>
      <c r="DU575" s="9">
        <f>+DV575-DV576</f>
        <v>3382</v>
      </c>
      <c r="DV575" s="7">
        <v>3315</v>
      </c>
      <c r="DW575" s="9">
        <f>+DX575-DX576</f>
        <v>3249</v>
      </c>
      <c r="DX575" s="7">
        <v>3211</v>
      </c>
      <c r="DY575" s="8">
        <f>+DX575</f>
        <v>3211</v>
      </c>
      <c r="DZ575" s="7">
        <v>3183</v>
      </c>
      <c r="EA575" s="7">
        <v>3142</v>
      </c>
      <c r="EB575" s="7">
        <v>3119</v>
      </c>
      <c r="EC575" s="7">
        <v>3069</v>
      </c>
      <c r="ED575" s="8">
        <f>+EC575</f>
        <v>3069</v>
      </c>
      <c r="EE575" s="7">
        <v>3069</v>
      </c>
      <c r="EF575" s="7"/>
      <c r="EG575" s="7"/>
      <c r="EH575" s="7"/>
      <c r="EI575" s="8">
        <f>+EH575</f>
        <v>0</v>
      </c>
      <c r="EK575" s="18"/>
      <c r="EL575" s="18"/>
      <c r="EM575" s="18"/>
    </row>
    <row r="576" spans="1:143" hidden="1" outlineLevel="1" x14ac:dyDescent="0.3">
      <c r="A576" s="1" t="s">
        <v>3584</v>
      </c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6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20">
        <v>-43</v>
      </c>
      <c r="DQ576" s="16">
        <f>+DQ575-DP575</f>
        <v>-30</v>
      </c>
      <c r="DR576" s="16">
        <f>+DR575-DQ575</f>
        <v>-63</v>
      </c>
      <c r="DS576" s="16">
        <f>+DS575-DR575</f>
        <v>-67</v>
      </c>
      <c r="DT576" s="5"/>
      <c r="DU576" s="81">
        <f>+DV576/SUM(DV587:DV592)*SUM(DU587:DU592)</f>
        <v>-35.614528880024444</v>
      </c>
      <c r="DV576" s="7">
        <v>-67</v>
      </c>
      <c r="DW576" s="16">
        <f>+DW575-DV575</f>
        <v>-66</v>
      </c>
      <c r="DX576" s="7">
        <v>-38</v>
      </c>
      <c r="DY576" s="16"/>
      <c r="DZ576" s="16">
        <f>+DZ575-DY575</f>
        <v>-28</v>
      </c>
      <c r="EA576" s="16">
        <f>+EA575-DZ575</f>
        <v>-41</v>
      </c>
      <c r="EB576" s="16">
        <f>+EB575-EA575</f>
        <v>-23</v>
      </c>
      <c r="EC576" s="16">
        <f>+EC575-EB575</f>
        <v>-50</v>
      </c>
      <c r="ED576" s="16"/>
      <c r="EE576" s="16">
        <f>+EE575-ED575</f>
        <v>0</v>
      </c>
      <c r="EF576" s="16"/>
      <c r="EG576" s="16"/>
      <c r="EH576" s="16"/>
      <c r="EI576" s="16"/>
      <c r="EK576" s="18"/>
      <c r="EL576" s="18"/>
      <c r="EM576" s="18"/>
    </row>
    <row r="577" spans="1:143" hidden="1" outlineLevel="1" x14ac:dyDescent="0.3">
      <c r="A577" s="1" t="s">
        <v>3582</v>
      </c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6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K577" s="18"/>
      <c r="EL577" s="18"/>
      <c r="EM577" s="18"/>
    </row>
    <row r="578" spans="1:143" hidden="1" outlineLevel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6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K578" s="18"/>
      <c r="EL578" s="18"/>
      <c r="EM578" s="18"/>
    </row>
    <row r="579" spans="1:143" hidden="1" outlineLevel="1" x14ac:dyDescent="0.3">
      <c r="A579" s="4" t="s">
        <v>3585</v>
      </c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6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838"/>
      <c r="EF579" s="838"/>
      <c r="EG579" s="838"/>
      <c r="EH579" s="838"/>
      <c r="EI579" s="5"/>
      <c r="EK579" s="18"/>
      <c r="EL579" s="18"/>
      <c r="EM579" s="18"/>
    </row>
    <row r="580" spans="1:143" hidden="1" outlineLevel="1" x14ac:dyDescent="0.3">
      <c r="A580" s="1" t="s">
        <v>3586</v>
      </c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6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17">
        <v>1195</v>
      </c>
      <c r="DV580" s="17">
        <v>1186</v>
      </c>
      <c r="DW580" s="17">
        <v>1186</v>
      </c>
      <c r="DX580" s="17">
        <v>1190</v>
      </c>
      <c r="DY580" s="8">
        <f>+DX580</f>
        <v>1190</v>
      </c>
      <c r="DZ580" s="17">
        <v>1200</v>
      </c>
      <c r="EA580" s="17">
        <v>1207</v>
      </c>
      <c r="EB580" s="17">
        <v>1214</v>
      </c>
      <c r="EC580" s="17">
        <v>1223</v>
      </c>
      <c r="ED580" s="8">
        <f>+EC580</f>
        <v>1223</v>
      </c>
      <c r="EE580" s="17">
        <v>1234</v>
      </c>
      <c r="EF580" s="17"/>
      <c r="EG580" s="17"/>
      <c r="EH580" s="17"/>
      <c r="EI580" s="8">
        <f>+EH580</f>
        <v>0</v>
      </c>
      <c r="EK580" s="18"/>
      <c r="EL580" s="18"/>
      <c r="EM580" s="18"/>
    </row>
    <row r="581" spans="1:143" hidden="1" outlineLevel="1" x14ac:dyDescent="0.3">
      <c r="A581" s="1" t="s">
        <v>3587</v>
      </c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6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7">
        <v>-76</v>
      </c>
      <c r="DG581" s="7">
        <v>-52</v>
      </c>
      <c r="DH581" s="7">
        <v>-60</v>
      </c>
      <c r="DI581" s="7">
        <v>-59</v>
      </c>
      <c r="DJ581" s="8">
        <f>+SUM(DF581:DI581)</f>
        <v>-247</v>
      </c>
      <c r="DK581" s="7">
        <v>-57</v>
      </c>
      <c r="DL581" s="7">
        <v>-44</v>
      </c>
      <c r="DM581" s="7">
        <v>-11</v>
      </c>
      <c r="DN581" s="7">
        <v>-2</v>
      </c>
      <c r="DO581" s="8">
        <f>+SUM(DK581:DN581)</f>
        <v>-114</v>
      </c>
      <c r="DP581" s="7">
        <v>5</v>
      </c>
      <c r="DQ581" s="7">
        <v>-4</v>
      </c>
      <c r="DR581" s="7">
        <v>-2</v>
      </c>
      <c r="DS581" s="7">
        <v>-12</v>
      </c>
      <c r="DT581" s="8">
        <f>+SUM(DP581:DS581)</f>
        <v>-13</v>
      </c>
      <c r="DU581" s="7">
        <v>-7</v>
      </c>
      <c r="DV581" s="18">
        <f>+DV580-DU580</f>
        <v>-9</v>
      </c>
      <c r="DW581" s="18">
        <f>+DW580-DV580</f>
        <v>0</v>
      </c>
      <c r="DX581" s="18">
        <f>+DX580-DW580</f>
        <v>4</v>
      </c>
      <c r="DY581" s="8">
        <f>+SUM(DU581:DX581)</f>
        <v>-12</v>
      </c>
      <c r="DZ581" s="18">
        <f>+DZ580-DY580</f>
        <v>10</v>
      </c>
      <c r="EA581" s="18">
        <f>+EA580-DZ580</f>
        <v>7</v>
      </c>
      <c r="EB581" s="18">
        <f>+EB580-EA580</f>
        <v>7</v>
      </c>
      <c r="EC581" s="18">
        <f>+EC580-EB580</f>
        <v>9</v>
      </c>
      <c r="ED581" s="8">
        <f>+SUM(DZ581:EC581)</f>
        <v>33</v>
      </c>
      <c r="EE581" s="18">
        <f>+EE580-ED580</f>
        <v>11</v>
      </c>
      <c r="EF581" s="18"/>
      <c r="EG581" s="18"/>
      <c r="EH581" s="18"/>
      <c r="EI581" s="8">
        <f>+SUM(EE581:EH581)</f>
        <v>11</v>
      </c>
      <c r="EK581" s="18"/>
      <c r="EL581" s="18"/>
      <c r="EM581" s="18"/>
    </row>
    <row r="582" spans="1:143" hidden="1" outlineLevel="1" x14ac:dyDescent="0.3">
      <c r="A582" s="1" t="s">
        <v>3588</v>
      </c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6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22">
        <v>2.75E-2</v>
      </c>
      <c r="DV582" s="22">
        <v>2.81E-2</v>
      </c>
      <c r="DW582" s="22">
        <v>2.69E-2</v>
      </c>
      <c r="DX582" s="22">
        <v>2.24E-2</v>
      </c>
      <c r="DY582" s="5"/>
      <c r="DZ582" s="22">
        <v>1.9699999999999999E-2</v>
      </c>
      <c r="EA582" s="22">
        <v>1.54E-2</v>
      </c>
      <c r="EB582" s="22">
        <v>1.8100000000000002E-2</v>
      </c>
      <c r="EC582" s="22">
        <v>1.5599999999999999E-2</v>
      </c>
      <c r="ED582" s="823"/>
      <c r="EE582" s="22">
        <v>1.4E-2</v>
      </c>
      <c r="EF582" s="22"/>
      <c r="EG582" s="22"/>
      <c r="EH582" s="22"/>
      <c r="EI582" s="823"/>
      <c r="EK582" s="18"/>
      <c r="EL582" s="18"/>
      <c r="EM582" s="18"/>
    </row>
    <row r="583" spans="1:143" hidden="1" outlineLevel="1" x14ac:dyDescent="0.3">
      <c r="A583" s="1" t="s">
        <v>3556</v>
      </c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6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21">
        <v>55.1</v>
      </c>
      <c r="DV583" s="21">
        <v>53.5</v>
      </c>
      <c r="DW583" s="21">
        <v>52.9</v>
      </c>
      <c r="DX583" s="21">
        <v>52.7</v>
      </c>
      <c r="DY583" s="5"/>
      <c r="DZ583" s="21">
        <v>52.5</v>
      </c>
      <c r="EA583" s="21">
        <v>52.4</v>
      </c>
      <c r="EB583" s="21">
        <v>52.8</v>
      </c>
      <c r="EC583" s="21">
        <v>54.5</v>
      </c>
      <c r="ED583" s="5"/>
      <c r="EE583" s="21">
        <v>56</v>
      </c>
      <c r="EF583" s="21"/>
      <c r="EG583" s="21"/>
      <c r="EH583" s="21"/>
      <c r="EI583" s="5"/>
      <c r="EK583" s="18"/>
      <c r="EL583" s="18"/>
      <c r="EM583" s="18"/>
    </row>
    <row r="584" spans="1:143" hidden="1" outlineLevel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6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21"/>
      <c r="EA584" s="21"/>
      <c r="EB584" s="21"/>
      <c r="EC584" s="21"/>
      <c r="ED584" s="5"/>
      <c r="EE584" s="21"/>
      <c r="EF584" s="21"/>
      <c r="EG584" s="21"/>
      <c r="EH584" s="21"/>
      <c r="EI584" s="5"/>
      <c r="EK584" s="18"/>
      <c r="EL584" s="18"/>
      <c r="EM584" s="18"/>
    </row>
    <row r="585" spans="1:143" hidden="1" outlineLevel="1" x14ac:dyDescent="0.3">
      <c r="A585" s="4" t="s">
        <v>3589</v>
      </c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6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21"/>
      <c r="EA585" s="21"/>
      <c r="EB585" s="21"/>
      <c r="EC585" s="21"/>
      <c r="ED585" s="5"/>
      <c r="EE585" s="21"/>
      <c r="EF585" s="21"/>
      <c r="EG585" s="21"/>
      <c r="EH585" s="21"/>
      <c r="EI585" s="5"/>
      <c r="EK585" s="18"/>
      <c r="EL585" s="18"/>
      <c r="EM585" s="18"/>
    </row>
    <row r="586" spans="1:143" hidden="1" outlineLevel="1" x14ac:dyDescent="0.3">
      <c r="A586" s="1" t="s">
        <v>3590</v>
      </c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6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17">
        <v>1565</v>
      </c>
      <c r="DV586" s="17">
        <v>1523</v>
      </c>
      <c r="DW586" s="17">
        <v>1474</v>
      </c>
      <c r="DX586" s="17">
        <v>1441</v>
      </c>
      <c r="DY586" s="8">
        <f>+DX586</f>
        <v>1441</v>
      </c>
      <c r="DZ586" s="17">
        <v>1418</v>
      </c>
      <c r="EA586" s="17">
        <v>1401</v>
      </c>
      <c r="EB586" s="17">
        <v>1380</v>
      </c>
      <c r="EC586" s="17">
        <v>1348</v>
      </c>
      <c r="ED586" s="8">
        <f>+EC586</f>
        <v>1348</v>
      </c>
      <c r="EE586" s="17">
        <v>1326</v>
      </c>
      <c r="EF586" s="17"/>
      <c r="EG586" s="17"/>
      <c r="EH586" s="17"/>
      <c r="EI586" s="8">
        <f>+EH586</f>
        <v>0</v>
      </c>
      <c r="EK586" s="18"/>
      <c r="EL586" s="18"/>
      <c r="EM586" s="18"/>
    </row>
    <row r="587" spans="1:143" hidden="1" outlineLevel="1" x14ac:dyDescent="0.3">
      <c r="A587" s="1" t="s">
        <v>3591</v>
      </c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6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43">
        <v>23</v>
      </c>
      <c r="CQ587" s="5"/>
      <c r="CR587" s="5"/>
      <c r="CS587" s="5"/>
      <c r="CT587" s="5"/>
      <c r="CU587" s="543">
        <f>136-23</f>
        <v>113</v>
      </c>
      <c r="CV587" s="5"/>
      <c r="CW587" s="5"/>
      <c r="CX587" s="5"/>
      <c r="CY587" s="5"/>
      <c r="CZ587" s="543">
        <f>244-136</f>
        <v>108</v>
      </c>
      <c r="DA587" s="5"/>
      <c r="DB587" s="5"/>
      <c r="DC587" s="5"/>
      <c r="DD587" s="5"/>
      <c r="DE587" s="543">
        <f>346-244</f>
        <v>102</v>
      </c>
      <c r="DF587" s="7">
        <f>-30+25</f>
        <v>-5</v>
      </c>
      <c r="DG587" s="7">
        <f>-26+26</f>
        <v>0</v>
      </c>
      <c r="DH587" s="7">
        <f>-23-24</f>
        <v>-47</v>
      </c>
      <c r="DI587" s="7">
        <v>-31</v>
      </c>
      <c r="DJ587" s="8">
        <f>+SUM(DF587:DI587)</f>
        <v>-83</v>
      </c>
      <c r="DK587" s="7">
        <v>-46</v>
      </c>
      <c r="DL587" s="7">
        <v>-60</v>
      </c>
      <c r="DM587" s="7">
        <v>-49</v>
      </c>
      <c r="DN587" s="7">
        <v>-48</v>
      </c>
      <c r="DO587" s="8">
        <f>+SUM(DK587:DN587)</f>
        <v>-203</v>
      </c>
      <c r="DP587" s="7">
        <f>-36-11</f>
        <v>-47</v>
      </c>
      <c r="DQ587" s="7">
        <f>-11-18</f>
        <v>-29</v>
      </c>
      <c r="DR587" s="7">
        <f>-11-48</f>
        <v>-59</v>
      </c>
      <c r="DS587" s="7">
        <f>-11-44</f>
        <v>-55</v>
      </c>
      <c r="DT587" s="8">
        <f>+SUM(DP587:DS587)</f>
        <v>-190</v>
      </c>
      <c r="DU587" s="7">
        <v>-19</v>
      </c>
      <c r="DV587" s="7">
        <v>-43</v>
      </c>
      <c r="DW587" s="7">
        <v>-49</v>
      </c>
      <c r="DX587" s="7">
        <v>-33</v>
      </c>
      <c r="DY587" s="8">
        <f>+SUM(DU587:DX587)</f>
        <v>-144</v>
      </c>
      <c r="DZ587" s="7">
        <v>-23</v>
      </c>
      <c r="EA587" s="15">
        <f>+EA586-DZ586</f>
        <v>-17</v>
      </c>
      <c r="EB587" s="15">
        <f>+EB586-EA586</f>
        <v>-21</v>
      </c>
      <c r="EC587" s="15">
        <f>+EC586-EB586</f>
        <v>-32</v>
      </c>
      <c r="ED587" s="8">
        <f>+SUM(DZ587:EC587)</f>
        <v>-93</v>
      </c>
      <c r="EE587" s="15">
        <f>+EE586-ED586</f>
        <v>-22</v>
      </c>
      <c r="EF587" s="15"/>
      <c r="EG587" s="15"/>
      <c r="EH587" s="15"/>
      <c r="EI587" s="8">
        <f>+SUM(EE587:EH587)</f>
        <v>-22</v>
      </c>
      <c r="EK587" s="18"/>
      <c r="EL587" s="18"/>
      <c r="EM587" s="18"/>
    </row>
    <row r="588" spans="1:143" hidden="1" outlineLevel="1" x14ac:dyDescent="0.3">
      <c r="A588" s="1" t="s">
        <v>3592</v>
      </c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6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22">
        <v>2.3800000000000002E-2</v>
      </c>
      <c r="DV588" s="22">
        <v>2.64E-2</v>
      </c>
      <c r="DW588" s="22">
        <v>2.9100000000000001E-2</v>
      </c>
      <c r="DX588" s="22">
        <v>2.53E-2</v>
      </c>
      <c r="DY588" s="5"/>
      <c r="DZ588" s="22">
        <v>2.3599999999999999E-2</v>
      </c>
      <c r="EA588" s="22">
        <v>2.0299999999999999E-2</v>
      </c>
      <c r="EB588" s="22">
        <v>2.1100000000000001E-2</v>
      </c>
      <c r="EC588" s="22">
        <v>1.9599999999999999E-2</v>
      </c>
      <c r="ED588" s="823"/>
      <c r="EE588" s="22">
        <v>1.6299999999999999E-2</v>
      </c>
      <c r="EF588" s="22"/>
      <c r="EG588" s="22"/>
      <c r="EH588" s="22"/>
      <c r="EI588" s="823"/>
      <c r="EK588" s="18"/>
      <c r="EL588" s="18"/>
      <c r="EM588" s="18"/>
    </row>
    <row r="589" spans="1:143" hidden="1" outlineLevel="1" x14ac:dyDescent="0.3">
      <c r="A589" s="1" t="s">
        <v>3558</v>
      </c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6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21">
        <v>38.1</v>
      </c>
      <c r="DV589" s="21">
        <v>38.5</v>
      </c>
      <c r="DW589" s="21">
        <v>38.9</v>
      </c>
      <c r="DX589" s="21">
        <v>38.799999999999997</v>
      </c>
      <c r="DY589" s="5"/>
      <c r="DZ589" s="21">
        <v>38.700000000000003</v>
      </c>
      <c r="EA589" s="21">
        <v>39.1</v>
      </c>
      <c r="EB589" s="21">
        <v>39.1</v>
      </c>
      <c r="EC589" s="21">
        <v>39.299999999999997</v>
      </c>
      <c r="ED589" s="5"/>
      <c r="EE589" s="21">
        <v>40.1</v>
      </c>
      <c r="EF589" s="21"/>
      <c r="EG589" s="21"/>
      <c r="EH589" s="21"/>
      <c r="EI589" s="5"/>
      <c r="EK589" s="18"/>
      <c r="EL589" s="18"/>
      <c r="EM589" s="18"/>
    </row>
    <row r="590" spans="1:143" hidden="1" outlineLevel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6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21"/>
      <c r="EA590" s="21"/>
      <c r="EB590" s="21"/>
      <c r="EC590" s="21"/>
      <c r="ED590" s="5"/>
      <c r="EE590" s="21"/>
      <c r="EF590" s="21"/>
      <c r="EG590" s="21"/>
      <c r="EH590" s="21"/>
      <c r="EI590" s="5"/>
      <c r="EK590" s="18"/>
      <c r="EL590" s="18"/>
      <c r="EM590" s="18"/>
    </row>
    <row r="591" spans="1:143" hidden="1" outlineLevel="1" x14ac:dyDescent="0.3">
      <c r="A591" s="1" t="s">
        <v>3593</v>
      </c>
      <c r="DO591" s="8"/>
      <c r="DT591" s="8"/>
      <c r="DU591" s="15">
        <f>+DU587+DU581</f>
        <v>-26</v>
      </c>
      <c r="DV591" s="15">
        <f>+DV587+DV581</f>
        <v>-52</v>
      </c>
      <c r="DW591" s="15">
        <f>+DW587+DW581</f>
        <v>-49</v>
      </c>
      <c r="DX591" s="15">
        <f>+DX587+DX581</f>
        <v>-29</v>
      </c>
      <c r="DY591" s="8">
        <f>+SUM(DU591:DX591)</f>
        <v>-156</v>
      </c>
      <c r="DZ591" s="15">
        <f>+DZ587+DZ581</f>
        <v>-13</v>
      </c>
      <c r="EA591" s="15">
        <f>+EA587+EA581</f>
        <v>-10</v>
      </c>
      <c r="EB591" s="15">
        <f>+EB587+EB581</f>
        <v>-14</v>
      </c>
      <c r="EC591" s="15">
        <f>+EC587+EC581</f>
        <v>-23</v>
      </c>
      <c r="ED591" s="8">
        <f>+SUM(DZ591:EC591)</f>
        <v>-60</v>
      </c>
      <c r="EE591" s="15">
        <f>+EE587+EE581</f>
        <v>-11</v>
      </c>
      <c r="EF591" s="15"/>
      <c r="EG591" s="15"/>
      <c r="EH591" s="15"/>
      <c r="EI591" s="8">
        <f>+SUM(EE591:EH591)</f>
        <v>-11</v>
      </c>
      <c r="EK591" s="18"/>
      <c r="EL591" s="18"/>
      <c r="EM591" s="18"/>
    </row>
    <row r="592" spans="1:143" hidden="1" outlineLevel="1" x14ac:dyDescent="0.3">
      <c r="A592" s="1" t="s">
        <v>3594</v>
      </c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6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8"/>
      <c r="DP592" s="5"/>
      <c r="DQ592" s="5"/>
      <c r="DR592" s="5"/>
      <c r="DS592" s="5"/>
      <c r="DT592" s="8"/>
      <c r="DU592" s="7">
        <v>-46</v>
      </c>
      <c r="DV592" s="7">
        <v>-43</v>
      </c>
      <c r="DW592" s="7">
        <v>-38</v>
      </c>
      <c r="DX592" s="7">
        <v>-36</v>
      </c>
      <c r="DY592" s="8">
        <f>+SUM(DU592:DX592)</f>
        <v>-163</v>
      </c>
      <c r="DZ592" s="7">
        <v>-36</v>
      </c>
      <c r="EA592" s="7">
        <v>-35</v>
      </c>
      <c r="EB592" s="7">
        <v>-42</v>
      </c>
      <c r="EC592" s="7">
        <v>-33</v>
      </c>
      <c r="ED592" s="8">
        <f>+SUM(DZ592:EC592)</f>
        <v>-146</v>
      </c>
      <c r="EE592" s="7">
        <v>-32</v>
      </c>
      <c r="EF592" s="7"/>
      <c r="EG592" s="7"/>
      <c r="EH592" s="7"/>
      <c r="EI592" s="8">
        <f>+SUM(EE592:EH592)</f>
        <v>-32</v>
      </c>
      <c r="EK592" s="18"/>
      <c r="EL592" s="18"/>
      <c r="EM592" s="18"/>
    </row>
    <row r="593" spans="1:143" hidden="1" outlineLevel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6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7"/>
      <c r="DV593" s="7"/>
      <c r="DW593" s="7"/>
      <c r="DX593" s="7"/>
      <c r="DY593" s="8"/>
      <c r="DZ593" s="7"/>
      <c r="EA593" s="7"/>
      <c r="EB593" s="7"/>
      <c r="EC593" s="7"/>
      <c r="ED593" s="8"/>
      <c r="EE593" s="7"/>
      <c r="EF593" s="7"/>
      <c r="EG593" s="7"/>
      <c r="EH593" s="7"/>
      <c r="EI593" s="8"/>
      <c r="EK593" s="18"/>
      <c r="EL593" s="18"/>
      <c r="EM593" s="18"/>
    </row>
    <row r="594" spans="1:143" hidden="1" outlineLevel="1" x14ac:dyDescent="0.3">
      <c r="A594" s="4" t="s">
        <v>3595</v>
      </c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6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K594" s="18"/>
      <c r="EL594" s="18"/>
      <c r="EM594" s="18"/>
    </row>
    <row r="595" spans="1:143" hidden="1" outlineLevel="1" x14ac:dyDescent="0.3">
      <c r="A595" s="1" t="s">
        <v>3596</v>
      </c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6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7">
        <v>934</v>
      </c>
      <c r="DQ595" s="7">
        <v>902</v>
      </c>
      <c r="DR595" s="7">
        <v>873</v>
      </c>
      <c r="DS595" s="7">
        <v>838</v>
      </c>
      <c r="DT595" s="5"/>
      <c r="DU595" s="9">
        <f>+DV595-DV596</f>
        <v>749</v>
      </c>
      <c r="DV595" s="7">
        <v>705</v>
      </c>
      <c r="DW595" s="9">
        <f>+DX595-DX596</f>
        <v>669</v>
      </c>
      <c r="DX595" s="7">
        <v>631</v>
      </c>
      <c r="DY595" s="8">
        <f>+DX595</f>
        <v>631</v>
      </c>
      <c r="DZ595" s="7">
        <v>594</v>
      </c>
      <c r="EA595" s="7">
        <v>560</v>
      </c>
      <c r="EB595" s="7">
        <v>518</v>
      </c>
      <c r="EC595" s="7">
        <v>485</v>
      </c>
      <c r="ED595" s="8">
        <f>+EC595</f>
        <v>485</v>
      </c>
      <c r="EE595" s="7">
        <v>453</v>
      </c>
      <c r="EF595" s="7"/>
      <c r="EG595" s="7"/>
      <c r="EH595" s="7"/>
      <c r="EI595" s="8">
        <f>+EH595</f>
        <v>0</v>
      </c>
      <c r="EK595" s="18"/>
      <c r="EL595" s="18"/>
      <c r="EM595" s="18"/>
    </row>
    <row r="596" spans="1:143" hidden="1" outlineLevel="1" x14ac:dyDescent="0.3">
      <c r="A596" s="1" t="s">
        <v>3582</v>
      </c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6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20">
        <v>-28</v>
      </c>
      <c r="DQ596" s="16">
        <f>+DQ595-DP595</f>
        <v>-32</v>
      </c>
      <c r="DR596" s="16">
        <f>+DR595-DQ595</f>
        <v>-29</v>
      </c>
      <c r="DS596" s="16">
        <f>+DS595-DR595</f>
        <v>-35</v>
      </c>
      <c r="DT596" s="5"/>
      <c r="DU596" s="5"/>
      <c r="DV596" s="7">
        <v>-44</v>
      </c>
      <c r="DW596" s="16">
        <f>+DV596/DV592*DW592</f>
        <v>-38.883720930232556</v>
      </c>
      <c r="DX596" s="7">
        <v>-38</v>
      </c>
      <c r="DY596" s="16"/>
      <c r="DZ596" s="16">
        <f>+DZ595-DY595</f>
        <v>-37</v>
      </c>
      <c r="EA596" s="16">
        <f>+EA595-DZ595</f>
        <v>-34</v>
      </c>
      <c r="EB596" s="16">
        <f>+EB595-EA595</f>
        <v>-42</v>
      </c>
      <c r="EC596" s="16">
        <f>+EC595-EB595</f>
        <v>-33</v>
      </c>
      <c r="ED596" s="16"/>
      <c r="EE596" s="16">
        <f>+EE595-ED595</f>
        <v>-32</v>
      </c>
      <c r="EF596" s="16"/>
      <c r="EG596" s="16"/>
      <c r="EH596" s="16"/>
      <c r="EI596" s="16"/>
      <c r="EK596" s="18"/>
      <c r="EL596" s="18"/>
      <c r="EM596" s="18"/>
    </row>
    <row r="597" spans="1:143" hidden="1" outlineLevel="1" x14ac:dyDescent="0.3">
      <c r="A597" s="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6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K597" s="18"/>
      <c r="EL597" s="18"/>
      <c r="EM597" s="18"/>
    </row>
    <row r="598" spans="1:143" hidden="1" outlineLevel="1" x14ac:dyDescent="0.3">
      <c r="A598" s="4" t="s">
        <v>3597</v>
      </c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6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838"/>
      <c r="DZ598" s="5"/>
      <c r="EA598" s="5"/>
      <c r="EB598" s="5"/>
      <c r="EC598" s="5"/>
      <c r="ED598" s="5"/>
      <c r="EE598" s="838"/>
      <c r="EF598" s="838"/>
      <c r="EG598" s="838"/>
      <c r="EH598" s="838"/>
      <c r="EI598" s="5"/>
      <c r="EK598" s="18"/>
      <c r="EL598" s="18"/>
      <c r="EM598" s="18"/>
    </row>
    <row r="599" spans="1:143" hidden="1" outlineLevel="1" x14ac:dyDescent="0.3">
      <c r="A599" s="1" t="s">
        <v>3596</v>
      </c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6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7">
        <v>227</v>
      </c>
      <c r="DQ599" s="7">
        <v>219</v>
      </c>
      <c r="DR599" s="7">
        <v>211</v>
      </c>
      <c r="DS599" s="7">
        <v>205</v>
      </c>
      <c r="DT599" s="5"/>
      <c r="DU599" s="9">
        <f>+DV599-DV600</f>
        <v>179</v>
      </c>
      <c r="DV599" s="7">
        <v>172</v>
      </c>
      <c r="DW599" s="9">
        <f>+DX599-DX600</f>
        <v>163</v>
      </c>
      <c r="DX599" s="7">
        <v>156</v>
      </c>
      <c r="DY599" s="8">
        <f>+DX599</f>
        <v>156</v>
      </c>
      <c r="DZ599" s="7">
        <v>149</v>
      </c>
      <c r="EA599" s="7">
        <v>144</v>
      </c>
      <c r="EB599" s="7">
        <v>139</v>
      </c>
      <c r="EC599" s="7">
        <v>134</v>
      </c>
      <c r="ED599" s="8">
        <f>+EC599</f>
        <v>134</v>
      </c>
      <c r="EE599" s="7">
        <v>129</v>
      </c>
      <c r="EF599" s="7"/>
      <c r="EG599" s="7"/>
      <c r="EH599" s="7"/>
      <c r="EI599" s="8">
        <f>+EH599</f>
        <v>0</v>
      </c>
      <c r="EK599" s="18"/>
      <c r="EL599" s="18"/>
      <c r="EM599" s="18"/>
    </row>
    <row r="600" spans="1:143" hidden="1" outlineLevel="1" x14ac:dyDescent="0.3">
      <c r="A600" s="1" t="s">
        <v>3582</v>
      </c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6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20">
        <v>-8</v>
      </c>
      <c r="DQ600" s="16">
        <f>+DQ599-DP599</f>
        <v>-8</v>
      </c>
      <c r="DR600" s="16">
        <f>+DR599-DQ599</f>
        <v>-8</v>
      </c>
      <c r="DS600" s="16">
        <f>+DS599-DR599</f>
        <v>-6</v>
      </c>
      <c r="DT600" s="5"/>
      <c r="DU600" s="5"/>
      <c r="DV600" s="7">
        <v>-7</v>
      </c>
      <c r="DW600" s="16">
        <f>+DW599-DV599</f>
        <v>-9</v>
      </c>
      <c r="DX600" s="7">
        <v>-7</v>
      </c>
      <c r="DY600" s="16"/>
      <c r="DZ600" s="16">
        <f>+DZ599-DY599</f>
        <v>-7</v>
      </c>
      <c r="EA600" s="16">
        <f>+EA599-DZ599</f>
        <v>-5</v>
      </c>
      <c r="EB600" s="16">
        <f>+EB599-EA599</f>
        <v>-5</v>
      </c>
      <c r="EC600" s="16">
        <f>+EC599-EB599</f>
        <v>-5</v>
      </c>
      <c r="ED600" s="16"/>
      <c r="EE600" s="16">
        <f>+EE599-ED599</f>
        <v>-5</v>
      </c>
      <c r="EF600" s="16"/>
      <c r="EG600" s="16"/>
      <c r="EH600" s="16"/>
      <c r="EI600" s="16"/>
      <c r="EK600" s="18"/>
      <c r="EL600" s="18"/>
      <c r="EM600" s="18"/>
    </row>
    <row r="601" spans="1:143" hidden="1" outlineLevel="1" x14ac:dyDescent="0.3">
      <c r="A601" s="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6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K601" s="18"/>
      <c r="EL601" s="18"/>
      <c r="EM601" s="18"/>
    </row>
    <row r="602" spans="1:143" hidden="1" outlineLevel="1" x14ac:dyDescent="0.3">
      <c r="A602" s="13" t="s">
        <v>3598</v>
      </c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6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K602" s="18"/>
      <c r="EL602" s="18"/>
      <c r="EM602" s="18"/>
    </row>
    <row r="603" spans="1:143" hidden="1" outlineLevel="1" x14ac:dyDescent="0.3">
      <c r="A603" s="4" t="s">
        <v>2705</v>
      </c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6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K603" s="18"/>
      <c r="EL603" s="18"/>
      <c r="EM603" s="18"/>
    </row>
    <row r="604" spans="1:143" hidden="1" outlineLevel="1" x14ac:dyDescent="0.3">
      <c r="A604" s="1" t="s">
        <v>628</v>
      </c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6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7">
        <v>117</v>
      </c>
      <c r="DV604" s="7">
        <v>117</v>
      </c>
      <c r="DW604" s="7">
        <v>117</v>
      </c>
      <c r="DX604" s="7">
        <v>118</v>
      </c>
      <c r="DY604" s="8">
        <f>+DX604</f>
        <v>118</v>
      </c>
      <c r="DZ604" s="7">
        <v>118</v>
      </c>
      <c r="EA604" s="7">
        <v>116</v>
      </c>
      <c r="EB604" s="7">
        <v>117</v>
      </c>
      <c r="EC604" s="7">
        <v>117</v>
      </c>
      <c r="ED604" s="8">
        <f>+EC604</f>
        <v>117</v>
      </c>
      <c r="EE604" s="7">
        <v>120</v>
      </c>
      <c r="EF604" s="7"/>
      <c r="EG604" s="7"/>
      <c r="EH604" s="7"/>
      <c r="EI604" s="8">
        <f>+EH604</f>
        <v>0</v>
      </c>
      <c r="EK604" s="18"/>
      <c r="EL604" s="18"/>
      <c r="EM604" s="18"/>
    </row>
    <row r="605" spans="1:143" hidden="1" outlineLevel="1" x14ac:dyDescent="0.3">
      <c r="A605" s="1" t="s">
        <v>629</v>
      </c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6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7">
        <v>198</v>
      </c>
      <c r="DV605" s="7">
        <v>192</v>
      </c>
      <c r="DW605" s="7">
        <v>185</v>
      </c>
      <c r="DX605" s="7">
        <v>179</v>
      </c>
      <c r="DY605" s="8">
        <f>+DX605</f>
        <v>179</v>
      </c>
      <c r="DZ605" s="7">
        <v>171</v>
      </c>
      <c r="EA605" s="7">
        <v>166</v>
      </c>
      <c r="EB605" s="7">
        <v>160</v>
      </c>
      <c r="EC605" s="7">
        <v>154</v>
      </c>
      <c r="ED605" s="8">
        <f>+EC605</f>
        <v>154</v>
      </c>
      <c r="EE605" s="7">
        <v>149</v>
      </c>
      <c r="EF605" s="7"/>
      <c r="EG605" s="7"/>
      <c r="EH605" s="7"/>
      <c r="EI605" s="8">
        <f>+EH605</f>
        <v>0</v>
      </c>
      <c r="EK605" s="18"/>
      <c r="EL605" s="18"/>
      <c r="EM605" s="18"/>
    </row>
    <row r="606" spans="1:143" hidden="1" outlineLevel="1" x14ac:dyDescent="0.3">
      <c r="A606" s="4" t="s">
        <v>266</v>
      </c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6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830">
        <f>+SUM(DU604:DU605)</f>
        <v>315</v>
      </c>
      <c r="DV606" s="830">
        <f t="shared" ref="DV606:EE606" si="500">+SUM(DV604:DV605)</f>
        <v>309</v>
      </c>
      <c r="DW606" s="830">
        <f t="shared" si="500"/>
        <v>302</v>
      </c>
      <c r="DX606" s="830">
        <f t="shared" si="500"/>
        <v>297</v>
      </c>
      <c r="DY606" s="830">
        <f t="shared" si="500"/>
        <v>297</v>
      </c>
      <c r="DZ606" s="830">
        <f t="shared" si="500"/>
        <v>289</v>
      </c>
      <c r="EA606" s="830">
        <f t="shared" si="500"/>
        <v>282</v>
      </c>
      <c r="EB606" s="830">
        <f t="shared" si="500"/>
        <v>277</v>
      </c>
      <c r="EC606" s="830">
        <f t="shared" si="500"/>
        <v>271</v>
      </c>
      <c r="ED606" s="830">
        <f t="shared" si="500"/>
        <v>271</v>
      </c>
      <c r="EE606" s="830">
        <f t="shared" si="500"/>
        <v>269</v>
      </c>
      <c r="EF606" s="830"/>
      <c r="EG606" s="830"/>
      <c r="EH606" s="830"/>
      <c r="EI606" s="830">
        <f t="shared" ref="EI606" si="501">+SUM(EI604:EI605)</f>
        <v>0</v>
      </c>
      <c r="EK606" s="18"/>
      <c r="EL606" s="18"/>
      <c r="EM606" s="18"/>
    </row>
    <row r="607" spans="1:143" hidden="1" outlineLevel="1" x14ac:dyDescent="0.3">
      <c r="A607" s="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6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K607" s="18"/>
      <c r="EL607" s="18"/>
      <c r="EM607" s="18"/>
    </row>
    <row r="608" spans="1:143" hidden="1" outlineLevel="1" x14ac:dyDescent="0.3">
      <c r="A608" s="4" t="s">
        <v>190</v>
      </c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6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16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K608" s="18"/>
      <c r="EL608" s="18"/>
      <c r="EM608" s="18"/>
    </row>
    <row r="609" spans="1:143" hidden="1" outlineLevel="1" x14ac:dyDescent="0.3">
      <c r="A609" s="1" t="s">
        <v>628</v>
      </c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6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22">
        <v>2.1399999999999999E-2</v>
      </c>
      <c r="DV609" s="22">
        <v>1.9599999999999999E-2</v>
      </c>
      <c r="DW609" s="22">
        <v>0.02</v>
      </c>
      <c r="DX609" s="22">
        <v>1.7999999999999999E-2</v>
      </c>
      <c r="DY609" s="5"/>
      <c r="DZ609" s="22">
        <v>1.8800000000000001E-2</v>
      </c>
      <c r="EA609" s="22">
        <v>1.7399999999999999E-2</v>
      </c>
      <c r="EB609" s="22">
        <v>1.67E-2</v>
      </c>
      <c r="EC609" s="22">
        <v>1.49E-2</v>
      </c>
      <c r="EE609" s="22">
        <v>1.44E-2</v>
      </c>
      <c r="EF609" s="22"/>
      <c r="EG609" s="22"/>
      <c r="EH609" s="22"/>
      <c r="EK609" s="18"/>
      <c r="EL609" s="18"/>
      <c r="EM609" s="18"/>
    </row>
    <row r="610" spans="1:143" hidden="1" outlineLevel="1" x14ac:dyDescent="0.3">
      <c r="A610" s="1" t="s">
        <v>629</v>
      </c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6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22">
        <v>2.23E-2</v>
      </c>
      <c r="DV610" s="22">
        <v>2.18E-2</v>
      </c>
      <c r="DW610" s="22">
        <v>2.2599999999999999E-2</v>
      </c>
      <c r="DX610" s="22">
        <v>2.1600000000000001E-2</v>
      </c>
      <c r="DY610" s="5"/>
      <c r="DZ610" s="22">
        <v>2.1399999999999999E-2</v>
      </c>
      <c r="EA610" s="22">
        <v>1.8800000000000001E-2</v>
      </c>
      <c r="EB610" s="22">
        <v>2.01E-2</v>
      </c>
      <c r="EC610" s="22">
        <v>1.7600000000000001E-2</v>
      </c>
      <c r="EE610" s="22">
        <v>1.7000000000000001E-2</v>
      </c>
      <c r="EF610" s="22"/>
      <c r="EG610" s="22"/>
      <c r="EH610" s="22"/>
      <c r="EK610" s="18"/>
      <c r="EL610" s="18"/>
      <c r="EM610" s="18"/>
    </row>
    <row r="611" spans="1:143" hidden="1" outlineLevel="1" x14ac:dyDescent="0.3">
      <c r="A611" s="4" t="s">
        <v>266</v>
      </c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6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831">
        <f>+SUMPRODUCT(DU609:DU610,DU$604:DU$605)/DU$606</f>
        <v>2.1965714285714286E-2</v>
      </c>
      <c r="DV611" s="831">
        <f>+SUMPRODUCT(DV609:DV610,DV$604:DV$605)/DV$606</f>
        <v>2.0966990291262134E-2</v>
      </c>
      <c r="DW611" s="831">
        <f>+SUMPRODUCT(DW609:DW610,DW$604:DW$605)/DW$606</f>
        <v>2.159271523178808E-2</v>
      </c>
      <c r="DX611" s="831">
        <f>+SUMPRODUCT(DX609:DX610,DX$604:DX$605)/DX$606</f>
        <v>2.0169696969696966E-2</v>
      </c>
      <c r="DY611" s="5"/>
      <c r="DZ611" s="831">
        <f>+SUMPRODUCT(DZ609:DZ610,DZ$604:DZ$605)/DZ$606</f>
        <v>2.0338408304498269E-2</v>
      </c>
      <c r="EA611" s="831">
        <f>+SUMPRODUCT(EA609:EA610,EA$604:EA$605)/EA$606</f>
        <v>1.8224113475177304E-2</v>
      </c>
      <c r="EB611" s="831">
        <f>+SUMPRODUCT(EB609:EB610,EB$604:EB$605)/EB$606</f>
        <v>1.8663898916967511E-2</v>
      </c>
      <c r="EC611" s="831">
        <f>+SUMPRODUCT(EC609:EC610,EC$604:EC$605)/EC$606</f>
        <v>1.6434317343173434E-2</v>
      </c>
      <c r="ED611" s="5"/>
      <c r="EE611" s="831">
        <f>+SUMPRODUCT(EE609:EE610,EE$604:EE$605)/EE$606</f>
        <v>1.5840148698884757E-2</v>
      </c>
      <c r="EF611" s="831"/>
      <c r="EG611" s="831"/>
      <c r="EH611" s="831"/>
      <c r="EI611" s="5"/>
      <c r="EK611" s="18"/>
      <c r="EL611" s="18"/>
      <c r="EM611" s="18"/>
    </row>
    <row r="612" spans="1:143" hidden="1" outlineLevel="1" x14ac:dyDescent="0.3">
      <c r="A612" s="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6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K612" s="18"/>
      <c r="EL612" s="18"/>
      <c r="EM612" s="18"/>
    </row>
    <row r="613" spans="1:143" hidden="1" outlineLevel="1" x14ac:dyDescent="0.3">
      <c r="A613" s="4" t="s">
        <v>3539</v>
      </c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6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K613" s="18"/>
      <c r="EL613" s="18"/>
      <c r="EM613" s="18"/>
    </row>
    <row r="614" spans="1:143" hidden="1" outlineLevel="1" x14ac:dyDescent="0.3">
      <c r="A614" s="1" t="s">
        <v>628</v>
      </c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6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21">
        <v>84.8</v>
      </c>
      <c r="DV614" s="21">
        <v>87.6</v>
      </c>
      <c r="DW614" s="21">
        <v>87.8</v>
      </c>
      <c r="DX614" s="21">
        <v>87.1</v>
      </c>
      <c r="DY614" s="5"/>
      <c r="DZ614" s="21">
        <v>87.1</v>
      </c>
      <c r="EA614" s="21">
        <v>86.1</v>
      </c>
      <c r="EB614" s="21">
        <v>86.2</v>
      </c>
      <c r="EC614" s="21">
        <v>87.1</v>
      </c>
      <c r="ED614" s="5"/>
      <c r="EE614" s="21">
        <v>86.6</v>
      </c>
      <c r="EF614" s="21"/>
      <c r="EG614" s="21"/>
      <c r="EH614" s="21"/>
      <c r="EI614" s="5"/>
      <c r="EK614" s="18"/>
      <c r="EL614" s="18"/>
      <c r="EM614" s="18"/>
    </row>
    <row r="615" spans="1:143" hidden="1" outlineLevel="1" x14ac:dyDescent="0.3">
      <c r="A615" s="1" t="s">
        <v>629</v>
      </c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6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21">
        <v>61.9</v>
      </c>
      <c r="DV615" s="21">
        <v>64.2</v>
      </c>
      <c r="DW615" s="21">
        <v>63.8</v>
      </c>
      <c r="DX615" s="21">
        <v>64.400000000000006</v>
      </c>
      <c r="DY615" s="5"/>
      <c r="DZ615" s="21">
        <v>65.2</v>
      </c>
      <c r="EA615" s="21">
        <v>64</v>
      </c>
      <c r="EB615" s="21">
        <v>64.2</v>
      </c>
      <c r="EC615" s="21">
        <v>65.2</v>
      </c>
      <c r="ED615" s="5"/>
      <c r="EE615" s="21">
        <v>64.900000000000006</v>
      </c>
      <c r="EF615" s="21"/>
      <c r="EG615" s="21"/>
      <c r="EH615" s="21"/>
      <c r="EI615" s="5"/>
      <c r="EK615" s="18"/>
      <c r="EL615" s="18"/>
      <c r="EM615" s="18"/>
    </row>
    <row r="616" spans="1:143" hidden="1" outlineLevel="1" x14ac:dyDescent="0.3">
      <c r="A616" s="4" t="s">
        <v>266</v>
      </c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6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832">
        <f>+SUMPRODUCT(DU614:DU615,DU$604:DU$605)/DU$606</f>
        <v>70.405714285714282</v>
      </c>
      <c r="DV616" s="832">
        <f>+SUMPRODUCT(DV614:DV615,DV$604:DV$605)/DV$606</f>
        <v>73.060194174757271</v>
      </c>
      <c r="DW616" s="832">
        <f>+SUMPRODUCT(DW614:DW615,DW$604:DW$605)/DW$606</f>
        <v>73.098013245033101</v>
      </c>
      <c r="DX616" s="832">
        <f>+SUMPRODUCT(DX614:DX615,DX$604:DX$605)/DX$606</f>
        <v>73.418855218855228</v>
      </c>
      <c r="DY616" s="833"/>
      <c r="DZ616" s="832">
        <f>+SUMPRODUCT(DZ614:DZ615,DZ$604:DZ$605)/DZ$606</f>
        <v>74.141868512110733</v>
      </c>
      <c r="EA616" s="832">
        <f>+SUMPRODUCT(EA614:EA615,EA$604:EA$605)/EA$606</f>
        <v>73.090780141843965</v>
      </c>
      <c r="EB616" s="832">
        <f>+SUMPRODUCT(EB614:EB615,EB$604:EB$605)/EB$606</f>
        <v>73.492418772563184</v>
      </c>
      <c r="EC616" s="832">
        <f>+SUMPRODUCT(EC614:EC615,EC$604:EC$605)/EC$606</f>
        <v>74.654981549815503</v>
      </c>
      <c r="ED616" s="833"/>
      <c r="EE616" s="832">
        <f>+SUMPRODUCT(EE614:EE615,EE$604:EE$605)/EE$606</f>
        <v>74.580297397769513</v>
      </c>
      <c r="EF616" s="832"/>
      <c r="EG616" s="832"/>
      <c r="EH616" s="832"/>
      <c r="EI616" s="833"/>
      <c r="EK616" s="18"/>
      <c r="EL616" s="18"/>
      <c r="EM616" s="18"/>
    </row>
    <row r="617" spans="1:143" hidden="1" outlineLevel="1" x14ac:dyDescent="0.3">
      <c r="A617" s="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6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K617" s="18"/>
      <c r="EL617" s="18"/>
      <c r="EM617" s="18"/>
    </row>
    <row r="618" spans="1:143" hidden="1" outlineLevel="1" x14ac:dyDescent="0.3">
      <c r="A618" s="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6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K618" s="18"/>
      <c r="EL618" s="18"/>
      <c r="EM618" s="18"/>
    </row>
    <row r="619" spans="1:143" hidden="1" outlineLevel="1" x14ac:dyDescent="0.3">
      <c r="A619" s="4" t="s">
        <v>3490</v>
      </c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6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7">
        <v>22081</v>
      </c>
      <c r="DQ619" s="7">
        <v>21718</v>
      </c>
      <c r="DR619" s="7">
        <v>21375</v>
      </c>
      <c r="DS619" s="7">
        <v>21173</v>
      </c>
      <c r="DT619" s="5"/>
      <c r="DU619" s="24">
        <v>20439</v>
      </c>
      <c r="DV619" s="7">
        <v>18922</v>
      </c>
      <c r="DW619" s="24">
        <f>+AVERAGE(DV619,DX619)</f>
        <v>18144.5</v>
      </c>
      <c r="DX619" s="7">
        <v>17367</v>
      </c>
      <c r="DY619" s="7"/>
      <c r="DZ619" s="7">
        <v>16487</v>
      </c>
      <c r="EA619" s="7">
        <v>16420</v>
      </c>
      <c r="EB619" s="7">
        <v>16302</v>
      </c>
      <c r="EC619" s="7">
        <v>16200</v>
      </c>
      <c r="ED619" s="7"/>
      <c r="EE619" s="7">
        <v>16201</v>
      </c>
      <c r="EF619" s="7"/>
      <c r="EG619" s="7"/>
      <c r="EH619" s="7"/>
      <c r="EI619" s="7"/>
      <c r="EK619" s="18"/>
      <c r="EL619" s="18"/>
      <c r="EM619" s="18"/>
    </row>
    <row r="620" spans="1:143" hidden="1" outlineLevel="1" x14ac:dyDescent="0.3">
      <c r="A620" s="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6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I620" s="5"/>
      <c r="EK620" s="18"/>
      <c r="EL620" s="18"/>
      <c r="EM620" s="18"/>
    </row>
    <row r="621" spans="1:143" hidden="1" outlineLevel="1" x14ac:dyDescent="0.3">
      <c r="EK621" s="18"/>
      <c r="EL621" s="18"/>
      <c r="EM621" s="18"/>
    </row>
    <row r="622" spans="1:143" collapsed="1" x14ac:dyDescent="0.3">
      <c r="EK622" s="18"/>
      <c r="EL622" s="18"/>
      <c r="EM622" s="18"/>
    </row>
    <row r="623" spans="1:143" x14ac:dyDescent="0.3">
      <c r="EK623" s="18"/>
      <c r="EL623" s="18"/>
      <c r="EM623" s="18"/>
    </row>
    <row r="624" spans="1:143" x14ac:dyDescent="0.3">
      <c r="EK624" s="18"/>
      <c r="EL624" s="18"/>
      <c r="EM624" s="18"/>
    </row>
    <row r="625" spans="1:147" x14ac:dyDescent="0.3">
      <c r="A625" t="s">
        <v>3599</v>
      </c>
      <c r="EF625" s="918">
        <v>244.40100000000001</v>
      </c>
      <c r="EG625" s="918">
        <v>244.40700000000001</v>
      </c>
      <c r="EH625" s="918">
        <v>244.416</v>
      </c>
      <c r="EI625" s="885">
        <f>EH625</f>
        <v>244.416</v>
      </c>
      <c r="EJ625" s="918">
        <v>244.476</v>
      </c>
      <c r="EK625" s="1093">
        <v>244.96899999999999</v>
      </c>
      <c r="EL625" s="1093">
        <v>244.999</v>
      </c>
      <c r="EM625" s="1093">
        <v>245.02099999999999</v>
      </c>
      <c r="EO625" s="1292">
        <v>244.476</v>
      </c>
      <c r="EP625" s="1292">
        <v>244.476</v>
      </c>
      <c r="EQ625" s="1292">
        <v>244.476</v>
      </c>
    </row>
    <row r="626" spans="1:147" x14ac:dyDescent="0.3">
      <c r="EK626" s="18"/>
      <c r="EL626" s="18"/>
      <c r="EM626" s="18"/>
    </row>
    <row r="627" spans="1:147" x14ac:dyDescent="0.3">
      <c r="EK627" s="18"/>
      <c r="EL627" s="18"/>
      <c r="EM627" s="18"/>
    </row>
    <row r="628" spans="1:147" x14ac:dyDescent="0.3">
      <c r="EK628" s="18"/>
      <c r="EL628" s="18"/>
      <c r="EM628" s="18"/>
    </row>
    <row r="629" spans="1:147" x14ac:dyDescent="0.3">
      <c r="EK629" s="18"/>
      <c r="EL629" s="18"/>
      <c r="EM629" s="18"/>
    </row>
    <row r="630" spans="1:147" x14ac:dyDescent="0.3">
      <c r="EK630" s="18"/>
      <c r="EL630" s="18"/>
      <c r="EM630" s="18"/>
    </row>
    <row r="631" spans="1:147" x14ac:dyDescent="0.3">
      <c r="EK631" s="18"/>
      <c r="EL631" s="18"/>
      <c r="EM631" s="18"/>
    </row>
    <row r="632" spans="1:147" x14ac:dyDescent="0.3">
      <c r="EK632" s="18"/>
      <c r="EL632" s="18"/>
      <c r="EM632" s="18"/>
    </row>
    <row r="633" spans="1:147" x14ac:dyDescent="0.3">
      <c r="EK633" s="18"/>
      <c r="EL633" s="18"/>
      <c r="EM633" s="18"/>
    </row>
    <row r="634" spans="1:147" x14ac:dyDescent="0.3">
      <c r="EK634" s="18"/>
      <c r="EL634" s="18"/>
      <c r="EM634" s="18"/>
    </row>
    <row r="635" spans="1:147" x14ac:dyDescent="0.3">
      <c r="EK635" s="18"/>
      <c r="EL635" s="18"/>
      <c r="EM635" s="18"/>
    </row>
    <row r="636" spans="1:147" x14ac:dyDescent="0.3">
      <c r="EK636" s="18"/>
      <c r="EL636" s="18"/>
      <c r="EM636" s="18"/>
    </row>
    <row r="637" spans="1:147" x14ac:dyDescent="0.3">
      <c r="EK637" s="18"/>
      <c r="EL637" s="18"/>
      <c r="EM637" s="18"/>
    </row>
    <row r="638" spans="1:147" x14ac:dyDescent="0.3">
      <c r="EK638" s="18"/>
      <c r="EL638" s="18"/>
      <c r="EM638" s="18"/>
    </row>
  </sheetData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0D451-EDD6-43B0-983D-02BDFC0FA142}">
  <dimension ref="A1:FO235"/>
  <sheetViews>
    <sheetView showGridLines="0" zoomScaleNormal="100" workbookViewId="0">
      <pane xSplit="3" ySplit="5" topLeftCell="ES98" activePane="bottomRight" state="frozen"/>
      <selection pane="topRight" activeCell="EV110" sqref="EV110"/>
      <selection pane="bottomLeft" activeCell="EV110" sqref="EV110"/>
      <selection pane="bottomRight" activeCell="EV110" sqref="EV110"/>
    </sheetView>
  </sheetViews>
  <sheetFormatPr defaultRowHeight="12" outlineLevelRow="1" x14ac:dyDescent="0.3"/>
  <cols>
    <col min="1" max="1" width="45.6640625" bestFit="1" customWidth="1"/>
    <col min="2" max="4" width="2.44140625" customWidth="1"/>
    <col min="5" max="123" width="0" hidden="1" customWidth="1"/>
    <col min="129" max="129" width="9.33203125" style="90"/>
    <col min="130" max="133" width="9.44140625" bestFit="1" customWidth="1"/>
    <col min="134" max="134" width="10.109375" style="90" bestFit="1" customWidth="1"/>
    <col min="138" max="138" width="9.44140625" bestFit="1" customWidth="1"/>
    <col min="139" max="139" width="10.109375" style="90" bestFit="1" customWidth="1"/>
    <col min="140" max="143" width="9.44140625" bestFit="1" customWidth="1"/>
    <col min="144" max="144" width="10.109375" style="90" bestFit="1" customWidth="1"/>
    <col min="145" max="148" width="10.109375" style="90" customWidth="1"/>
    <col min="149" max="149" width="10.109375" bestFit="1" customWidth="1"/>
    <col min="150" max="153" width="10.109375" customWidth="1"/>
    <col min="154" max="154" width="10.109375" bestFit="1" customWidth="1"/>
    <col min="155" max="158" width="10.109375" customWidth="1"/>
    <col min="159" max="159" width="10.109375" bestFit="1" customWidth="1"/>
    <col min="160" max="163" width="10.109375" customWidth="1"/>
    <col min="164" max="169" width="10.109375" bestFit="1" customWidth="1"/>
  </cols>
  <sheetData>
    <row r="1" spans="1:170" ht="21.5" thickBot="1" x14ac:dyDescent="0.55000000000000004">
      <c r="A1" s="38" t="s">
        <v>13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1199"/>
      <c r="DZ1" s="38"/>
      <c r="EA1" s="38"/>
      <c r="EB1" s="38"/>
      <c r="EC1" s="38"/>
      <c r="ED1" s="1199"/>
      <c r="EE1" s="38"/>
      <c r="EF1" s="38"/>
      <c r="EG1" s="38"/>
      <c r="EH1" s="38"/>
      <c r="EI1" s="1199"/>
      <c r="EJ1" s="38"/>
      <c r="EK1" s="38"/>
      <c r="EL1" s="38"/>
      <c r="EM1" s="38"/>
      <c r="EN1" s="1199"/>
      <c r="EO1" s="1199"/>
      <c r="EP1" s="1199"/>
      <c r="EQ1" s="1199"/>
      <c r="ER1" s="1199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</row>
    <row r="2" spans="1:170" x14ac:dyDescent="0.3">
      <c r="A2" s="39" t="s">
        <v>14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</row>
    <row r="3" spans="1:170" x14ac:dyDescent="0.3">
      <c r="A3" s="40" t="s">
        <v>15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39"/>
      <c r="DZ3" s="40"/>
      <c r="EA3" s="40"/>
      <c r="EB3" s="40"/>
      <c r="EC3" s="40"/>
      <c r="ED3" s="39"/>
      <c r="EE3" s="40"/>
      <c r="EF3" s="40"/>
      <c r="EG3" s="40"/>
      <c r="EH3" s="40"/>
      <c r="EI3" s="39"/>
      <c r="EJ3" s="40"/>
      <c r="EK3" s="40"/>
      <c r="EL3" s="40"/>
      <c r="EM3" s="40"/>
      <c r="EN3" s="39"/>
      <c r="EO3" s="39"/>
      <c r="EP3" s="39"/>
      <c r="EQ3" s="39"/>
      <c r="ER3" s="39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</row>
    <row r="4" spans="1:170" x14ac:dyDescent="0.3">
      <c r="A4" s="1124"/>
      <c r="B4" s="1124"/>
      <c r="C4" s="1124"/>
      <c r="D4" s="1124"/>
      <c r="E4" s="1124"/>
      <c r="F4" s="1124"/>
      <c r="G4" s="1124"/>
      <c r="H4" s="1124"/>
      <c r="I4" s="1124"/>
      <c r="J4" s="1124"/>
      <c r="K4" s="1124"/>
      <c r="L4" s="1124"/>
      <c r="M4" s="1124"/>
      <c r="N4" s="1124"/>
      <c r="O4" s="1124"/>
      <c r="P4" s="1124"/>
      <c r="Q4" s="1124"/>
      <c r="R4" s="1124"/>
      <c r="S4" s="1124"/>
      <c r="T4" s="1124"/>
      <c r="U4" s="1124"/>
      <c r="V4" s="1124"/>
      <c r="W4" s="1124"/>
      <c r="X4" s="1124"/>
      <c r="Y4" s="1124"/>
      <c r="Z4" s="1124"/>
      <c r="AA4" s="1124"/>
      <c r="AB4" s="1124"/>
      <c r="AC4" s="1124"/>
      <c r="AD4" s="1124"/>
      <c r="AE4" s="1124"/>
      <c r="AF4" s="1124"/>
      <c r="AG4" s="1124"/>
      <c r="AH4" s="1124"/>
      <c r="AI4" s="1124"/>
      <c r="AJ4" s="1124"/>
      <c r="AK4" s="1124"/>
      <c r="AL4" s="1124"/>
      <c r="AM4" s="1124"/>
      <c r="AN4" s="1124"/>
      <c r="AO4" s="1124"/>
      <c r="AP4" s="1124"/>
      <c r="AQ4" s="1124"/>
      <c r="AR4" s="1124"/>
      <c r="AS4" s="1124"/>
      <c r="AT4" s="1124"/>
      <c r="AU4" s="1124"/>
      <c r="AV4" s="1124"/>
      <c r="AW4" s="1124"/>
      <c r="AX4" s="1124"/>
      <c r="AY4" s="1124"/>
      <c r="AZ4" s="1124"/>
      <c r="BA4" s="1124"/>
      <c r="BB4" s="1124"/>
      <c r="BC4" s="1124"/>
      <c r="BD4" s="1124"/>
      <c r="BE4" s="1124"/>
      <c r="BF4" s="1124"/>
      <c r="BG4" s="1124"/>
      <c r="BH4" s="1124"/>
      <c r="BI4" s="1124"/>
      <c r="BJ4" s="1124"/>
      <c r="BK4" s="1124"/>
      <c r="BL4" s="1124"/>
      <c r="BM4" s="1124"/>
      <c r="BN4" s="1124"/>
      <c r="BO4" s="1124"/>
      <c r="BP4" s="1124"/>
      <c r="BQ4" s="1124"/>
      <c r="BR4" s="1124"/>
      <c r="BS4" s="1124"/>
      <c r="BT4" s="1124"/>
      <c r="BU4" s="1124"/>
      <c r="BV4" s="1124"/>
      <c r="BW4" s="1124"/>
      <c r="BX4" s="1124"/>
      <c r="BY4" s="1124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4"/>
      <c r="CK4" s="1124"/>
      <c r="CL4" s="1124"/>
      <c r="CM4" s="1124"/>
      <c r="CN4" s="1124"/>
      <c r="CO4" s="1124"/>
      <c r="CP4" s="1124"/>
      <c r="CQ4" s="1124"/>
      <c r="CR4" s="1124"/>
      <c r="CS4" s="1124"/>
      <c r="CT4" s="1124"/>
      <c r="CU4" s="1124"/>
      <c r="CV4" s="1124"/>
      <c r="CW4" s="1124"/>
      <c r="CX4" s="1124"/>
      <c r="CY4" s="1124"/>
      <c r="CZ4" s="1124"/>
      <c r="DA4" s="1124"/>
      <c r="DB4" s="1124"/>
      <c r="DC4" s="1124"/>
      <c r="DD4" s="1124"/>
      <c r="DE4" s="1124"/>
      <c r="DF4" s="1124"/>
      <c r="DG4" s="1124"/>
      <c r="DH4" s="1124"/>
      <c r="DI4" s="1124"/>
      <c r="DJ4" s="1124"/>
      <c r="DK4" s="1124"/>
      <c r="DL4" s="1124"/>
      <c r="DM4" s="1124"/>
      <c r="DN4" s="1124"/>
      <c r="DO4" s="1124"/>
      <c r="DP4" s="1124"/>
      <c r="DQ4" s="1124"/>
      <c r="DR4" s="1124"/>
      <c r="DS4" s="1124"/>
      <c r="DT4" s="1124"/>
      <c r="DU4" s="1124"/>
      <c r="DV4" s="1124"/>
      <c r="DW4" s="1124"/>
      <c r="DX4" s="1124"/>
      <c r="DY4" s="1253"/>
      <c r="DZ4" s="1124"/>
      <c r="EA4" s="1124"/>
      <c r="EB4" s="1124"/>
      <c r="EC4" s="1124"/>
      <c r="ED4" s="1253"/>
      <c r="EE4" s="1124"/>
      <c r="EF4" s="1124"/>
      <c r="EG4" s="1124"/>
      <c r="EH4" s="1124"/>
      <c r="EI4" s="1253"/>
      <c r="EJ4" s="1124"/>
      <c r="EK4" s="1124"/>
      <c r="EL4" s="1124"/>
      <c r="EM4" s="1124"/>
      <c r="EN4" s="1253"/>
      <c r="EO4" s="1253"/>
      <c r="EP4" s="1253"/>
      <c r="EQ4" s="1253"/>
      <c r="ER4" s="1253"/>
      <c r="ES4" s="1124"/>
      <c r="ET4" s="1124"/>
      <c r="EU4" s="1124"/>
      <c r="EV4" s="1124"/>
      <c r="EW4" s="1124"/>
      <c r="EX4" s="1124"/>
      <c r="EY4" s="1124"/>
      <c r="EZ4" s="1124"/>
      <c r="FA4" s="1124"/>
      <c r="FB4" s="1124"/>
      <c r="FC4" s="1124"/>
      <c r="FD4" s="1124"/>
      <c r="FE4" s="1124"/>
      <c r="FF4" s="1124"/>
      <c r="FG4" s="1124"/>
      <c r="FH4" s="1124"/>
      <c r="FI4" s="1124"/>
      <c r="FJ4" s="1124"/>
      <c r="FK4" s="1124"/>
      <c r="FL4" s="1124"/>
      <c r="FM4" s="1124"/>
      <c r="FN4" s="1782" t="s">
        <v>16</v>
      </c>
    </row>
    <row r="5" spans="1:170" x14ac:dyDescent="0.3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2" t="str">
        <f>+Inputs!BC5</f>
        <v>1Q05</v>
      </c>
      <c r="BD5" s="42" t="str">
        <f>+Inputs!BD5</f>
        <v>2Q05</v>
      </c>
      <c r="BE5" s="42" t="str">
        <f>+Inputs!BE5</f>
        <v>3Q05</v>
      </c>
      <c r="BF5" s="42" t="str">
        <f>+Inputs!BF5</f>
        <v>4Q05</v>
      </c>
      <c r="BG5" s="42">
        <f>+Inputs!BG5</f>
        <v>2005</v>
      </c>
      <c r="BH5" s="42" t="str">
        <f>+Inputs!BH5</f>
        <v>1Q06</v>
      </c>
      <c r="BI5" s="42" t="str">
        <f>+Inputs!BI5</f>
        <v>2Q06</v>
      </c>
      <c r="BJ5" s="42" t="str">
        <f>+Inputs!BJ5</f>
        <v>3Q06</v>
      </c>
      <c r="BK5" s="42" t="str">
        <f>+Inputs!BK5</f>
        <v>4Q06</v>
      </c>
      <c r="BL5" s="42">
        <f>+Inputs!BL5</f>
        <v>2006</v>
      </c>
      <c r="BM5" s="42" t="str">
        <f>+Inputs!BM5</f>
        <v>1Q07</v>
      </c>
      <c r="BN5" s="42" t="str">
        <f>+Inputs!BN5</f>
        <v>2Q07</v>
      </c>
      <c r="BO5" s="42" t="str">
        <f>+Inputs!BO5</f>
        <v>3Q07</v>
      </c>
      <c r="BP5" s="42" t="str">
        <f>+Inputs!BP5</f>
        <v>4Q07</v>
      </c>
      <c r="BQ5" s="42">
        <f>+Inputs!BQ5</f>
        <v>2007</v>
      </c>
      <c r="BR5" s="42" t="str">
        <f>+Inputs!BR5</f>
        <v>1Q08</v>
      </c>
      <c r="BS5" s="42" t="str">
        <f>+Inputs!BS5</f>
        <v>2Q08</v>
      </c>
      <c r="BT5" s="42" t="str">
        <f>+Inputs!BT5</f>
        <v>3Q08</v>
      </c>
      <c r="BU5" s="42" t="str">
        <f>+Inputs!BU5</f>
        <v>4Q08</v>
      </c>
      <c r="BV5" s="42">
        <f>+Inputs!BV5</f>
        <v>2008</v>
      </c>
      <c r="BW5" s="42" t="str">
        <f>+Inputs!BW5</f>
        <v>1Q09</v>
      </c>
      <c r="BX5" s="42" t="str">
        <f>+Inputs!BX5</f>
        <v>2Q09</v>
      </c>
      <c r="BY5" s="42" t="str">
        <f>+Inputs!BY5</f>
        <v>3Q09</v>
      </c>
      <c r="BZ5" s="42" t="str">
        <f>+Inputs!BZ5</f>
        <v>4Q09</v>
      </c>
      <c r="CA5" s="42">
        <f>+Inputs!CA5</f>
        <v>2009</v>
      </c>
      <c r="CB5" s="42" t="str">
        <f>+Inputs!CB5</f>
        <v>1Q10</v>
      </c>
      <c r="CC5" s="42" t="str">
        <f>+Inputs!CC5</f>
        <v>2Q10</v>
      </c>
      <c r="CD5" s="42" t="str">
        <f>+Inputs!CD5</f>
        <v>3Q10</v>
      </c>
      <c r="CE5" s="42" t="str">
        <f>+Inputs!CE5</f>
        <v>4Q10</v>
      </c>
      <c r="CF5" s="42">
        <f>+Inputs!CF5</f>
        <v>2010</v>
      </c>
      <c r="CG5" s="42" t="str">
        <f>+Inputs!CG5</f>
        <v>1Q11</v>
      </c>
      <c r="CH5" s="42" t="str">
        <f>+Inputs!CH5</f>
        <v>2Q11</v>
      </c>
      <c r="CI5" s="42" t="str">
        <f>+Inputs!CI5</f>
        <v>3Q11</v>
      </c>
      <c r="CJ5" s="42" t="str">
        <f>+Inputs!CJ5</f>
        <v>4Q11</v>
      </c>
      <c r="CK5" s="42">
        <f>+Inputs!CK5</f>
        <v>2011</v>
      </c>
      <c r="CL5" s="42" t="str">
        <f>+Inputs!CL5</f>
        <v>1Q12</v>
      </c>
      <c r="CM5" s="42" t="str">
        <f>+Inputs!CM5</f>
        <v>2Q12</v>
      </c>
      <c r="CN5" s="42" t="str">
        <f>+Inputs!CN5</f>
        <v>3Q12</v>
      </c>
      <c r="CO5" s="42" t="str">
        <f>+Inputs!CO5</f>
        <v>4Q12</v>
      </c>
      <c r="CP5" s="42">
        <f>+Inputs!CP5</f>
        <v>2012</v>
      </c>
      <c r="CQ5" s="42" t="str">
        <f>+Inputs!CQ5</f>
        <v>1Q13</v>
      </c>
      <c r="CR5" s="42" t="str">
        <f>+Inputs!CR5</f>
        <v>2Q13</v>
      </c>
      <c r="CS5" s="42" t="str">
        <f>+Inputs!CS5</f>
        <v>3Q13</v>
      </c>
      <c r="CT5" s="42" t="str">
        <f>+Inputs!CT5</f>
        <v>4Q13</v>
      </c>
      <c r="CU5" s="42">
        <f>+Inputs!CU5</f>
        <v>2013</v>
      </c>
      <c r="CV5" s="42" t="str">
        <f>+Inputs!CV5</f>
        <v>1Q14</v>
      </c>
      <c r="CW5" s="42" t="str">
        <f>+Inputs!CW5</f>
        <v>2Q14</v>
      </c>
      <c r="CX5" s="42" t="str">
        <f>+Inputs!CX5</f>
        <v>3Q14</v>
      </c>
      <c r="CY5" s="42" t="str">
        <f>+Inputs!CY5</f>
        <v>4Q14</v>
      </c>
      <c r="CZ5" s="42">
        <f>+Inputs!CZ5</f>
        <v>2014</v>
      </c>
      <c r="DA5" s="42" t="str">
        <f>+Inputs!DA5</f>
        <v>1Q15</v>
      </c>
      <c r="DB5" s="42" t="str">
        <f>+Inputs!DB5</f>
        <v>2Q15</v>
      </c>
      <c r="DC5" s="42" t="str">
        <f>+Inputs!DC5</f>
        <v>3Q15</v>
      </c>
      <c r="DD5" s="42" t="str">
        <f>+Inputs!DD5</f>
        <v>4Q15</v>
      </c>
      <c r="DE5" s="42">
        <f>+Inputs!DE5</f>
        <v>2015</v>
      </c>
      <c r="DF5" s="42" t="str">
        <f>+Inputs!DF5</f>
        <v>1Q16</v>
      </c>
      <c r="DG5" s="42" t="str">
        <f>+Inputs!DG5</f>
        <v>2Q16</v>
      </c>
      <c r="DH5" s="42" t="str">
        <f>+Inputs!DH5</f>
        <v>3Q16</v>
      </c>
      <c r="DI5" s="42" t="str">
        <f>+Inputs!DI5</f>
        <v>4Q16</v>
      </c>
      <c r="DJ5" s="42">
        <f>+Inputs!DJ5</f>
        <v>2016</v>
      </c>
      <c r="DK5" s="42" t="str">
        <f>+Inputs!DK5</f>
        <v>1Q17</v>
      </c>
      <c r="DL5" s="42" t="str">
        <f>+Inputs!DL5</f>
        <v>2Q17</v>
      </c>
      <c r="DM5" s="42" t="str">
        <f>+Inputs!DM5</f>
        <v>3Q17</v>
      </c>
      <c r="DN5" s="42" t="str">
        <f>+Inputs!DN5</f>
        <v>4Q17</v>
      </c>
      <c r="DO5" s="42">
        <f>+Inputs!DO5</f>
        <v>2017</v>
      </c>
      <c r="DP5" s="42" t="str">
        <f>+Inputs!DP5</f>
        <v>1Q18</v>
      </c>
      <c r="DQ5" s="42" t="str">
        <f>+Inputs!DQ5</f>
        <v>2Q18</v>
      </c>
      <c r="DR5" s="42" t="str">
        <f>+Inputs!DR5</f>
        <v>3Q18</v>
      </c>
      <c r="DS5" s="42" t="str">
        <f>+Inputs!DS5</f>
        <v>4Q18</v>
      </c>
      <c r="DT5" s="42">
        <f>+Inputs!DT5</f>
        <v>2018</v>
      </c>
      <c r="DU5" s="42" t="str">
        <f>+Inputs!DU5</f>
        <v>1Q19</v>
      </c>
      <c r="DV5" s="42" t="str">
        <f>+Inputs!DV5</f>
        <v>2Q19</v>
      </c>
      <c r="DW5" s="42" t="str">
        <f>+Inputs!DW5</f>
        <v>3Q19</v>
      </c>
      <c r="DX5" s="42" t="str">
        <f>+Inputs!DX5</f>
        <v>4Q19</v>
      </c>
      <c r="DY5" s="42">
        <f>+Inputs!DY5</f>
        <v>2019</v>
      </c>
      <c r="DZ5" s="42" t="str">
        <f>+Inputs!DZ5</f>
        <v>1Q20</v>
      </c>
      <c r="EA5" s="42" t="str">
        <f>+Inputs!EA5</f>
        <v>2Q20</v>
      </c>
      <c r="EB5" s="42" t="str">
        <f>+Inputs!EB5</f>
        <v>3Q20</v>
      </c>
      <c r="EC5" s="42" t="str">
        <f>+Inputs!EC5</f>
        <v>4Q20</v>
      </c>
      <c r="ED5" s="42">
        <f>+Inputs!ED5</f>
        <v>2020</v>
      </c>
      <c r="EE5" s="42" t="str">
        <f>+Inputs!EE5</f>
        <v>1Q21</v>
      </c>
      <c r="EF5" s="42" t="str">
        <f>+Inputs!EF5</f>
        <v>2Q21</v>
      </c>
      <c r="EG5" s="42" t="str">
        <f>+Inputs!EG5</f>
        <v>3Q21</v>
      </c>
      <c r="EH5" s="42" t="str">
        <f>+Inputs!EH5</f>
        <v>4Q21</v>
      </c>
      <c r="EI5" s="42">
        <f>+Inputs!EI5</f>
        <v>2021</v>
      </c>
      <c r="EJ5" s="42" t="str">
        <f>+Inputs!EJ5</f>
        <v>1Q22</v>
      </c>
      <c r="EK5" s="42" t="str">
        <f>+Inputs!EK5</f>
        <v>2Q22</v>
      </c>
      <c r="EL5" s="42" t="str">
        <f>+Inputs!EL5</f>
        <v>3Q22</v>
      </c>
      <c r="EM5" s="42" t="str">
        <f>+Inputs!EM5</f>
        <v>4Q22</v>
      </c>
      <c r="EN5" s="42">
        <f>+Inputs!EN5</f>
        <v>2022</v>
      </c>
      <c r="EO5" s="42" t="str">
        <f>+Inputs!EO5</f>
        <v>1Q23</v>
      </c>
      <c r="EP5" s="42" t="str">
        <f>+Inputs!EP5</f>
        <v>2Q23</v>
      </c>
      <c r="EQ5" s="42" t="str">
        <f>+Inputs!EQ5</f>
        <v>3Q23</v>
      </c>
      <c r="ER5" s="42" t="str">
        <f>+Inputs!ER5</f>
        <v>4Q23</v>
      </c>
      <c r="ES5" s="42">
        <f>+Inputs!ES5</f>
        <v>2023</v>
      </c>
      <c r="ET5" s="42" t="str">
        <f>+Inputs!ET5</f>
        <v>1Q24</v>
      </c>
      <c r="EU5" s="42" t="str">
        <f>+Inputs!EU5</f>
        <v>2Q24</v>
      </c>
      <c r="EV5" s="42" t="str">
        <f>+Inputs!EV5</f>
        <v>3Q24</v>
      </c>
      <c r="EW5" s="42" t="str">
        <f>+Inputs!EW5</f>
        <v>4Q24</v>
      </c>
      <c r="EX5" s="42">
        <f>+Inputs!EX5</f>
        <v>2024</v>
      </c>
      <c r="EY5" s="42" t="str">
        <f>'Drivers (2)'!EY5</f>
        <v>1Q25E</v>
      </c>
      <c r="EZ5" s="42" t="str">
        <f>'Drivers (2)'!EZ5</f>
        <v>1225E</v>
      </c>
      <c r="FA5" s="42" t="str">
        <f>'Drivers (2)'!FA5</f>
        <v>3Q25E</v>
      </c>
      <c r="FB5" s="42" t="str">
        <f>'Drivers (2)'!FB5</f>
        <v>4Q25E</v>
      </c>
      <c r="FC5" s="42" t="str">
        <f>+Inputs!FC5</f>
        <v>2025E</v>
      </c>
      <c r="FD5" s="42" t="str">
        <f>'Drivers (2)'!FD5</f>
        <v>1Q26E</v>
      </c>
      <c r="FE5" s="42" t="str">
        <f>'Drivers (2)'!FE5</f>
        <v>1226E</v>
      </c>
      <c r="FF5" s="42" t="str">
        <f>'Drivers (2)'!FF5</f>
        <v>3Q26E</v>
      </c>
      <c r="FG5" s="42" t="str">
        <f>'Drivers (2)'!FG5</f>
        <v>4Q26E</v>
      </c>
      <c r="FH5" s="42" t="str">
        <f>+Inputs!FD5</f>
        <v>2026E</v>
      </c>
      <c r="FI5" s="42" t="str">
        <f>+Inputs!FE5</f>
        <v>2027E</v>
      </c>
      <c r="FJ5" s="42" t="str">
        <f>+Inputs!FF5</f>
        <v>2028E</v>
      </c>
      <c r="FK5" s="42" t="str">
        <f>+Inputs!FG5</f>
        <v>2029E</v>
      </c>
      <c r="FL5" s="42" t="str">
        <f>+Inputs!FH5</f>
        <v>2030E</v>
      </c>
      <c r="FM5" s="42" t="str">
        <f>+Inputs!FI5</f>
        <v>2031E</v>
      </c>
      <c r="FN5" s="190" t="s">
        <v>17</v>
      </c>
    </row>
    <row r="6" spans="1:170" x14ac:dyDescent="0.3">
      <c r="A6" s="4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4"/>
      <c r="DZ6" s="1"/>
      <c r="EA6" s="1"/>
      <c r="EB6" s="1"/>
      <c r="EC6" s="1"/>
      <c r="ED6" s="4"/>
      <c r="EE6" s="1"/>
      <c r="EF6" s="1"/>
      <c r="EG6" s="1"/>
      <c r="EH6" s="1"/>
      <c r="EI6" s="4"/>
      <c r="EJ6" s="1"/>
      <c r="EK6" s="1"/>
      <c r="EL6" s="1"/>
      <c r="EM6" s="1"/>
      <c r="EN6" s="4"/>
      <c r="EO6" s="4"/>
      <c r="EP6" s="4"/>
      <c r="EQ6" s="4"/>
      <c r="ER6" s="4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</row>
    <row r="7" spans="1:170" x14ac:dyDescent="0.3">
      <c r="A7" s="43" t="s">
        <v>18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</row>
    <row r="8" spans="1:170" x14ac:dyDescent="0.3">
      <c r="A8" s="90" t="s">
        <v>19</v>
      </c>
    </row>
    <row r="9" spans="1:170" x14ac:dyDescent="0.3">
      <c r="A9" t="s">
        <v>20</v>
      </c>
      <c r="DZ9" s="1161">
        <f>'Drivers (2)'!DZ40</f>
        <v>382.779225</v>
      </c>
      <c r="EA9" s="1161">
        <f>'Drivers (2)'!EA40</f>
        <v>385.52034000000003</v>
      </c>
      <c r="EB9" s="1161">
        <f>'Drivers (2)'!EB40</f>
        <v>387.71291999999994</v>
      </c>
      <c r="EC9" s="1161">
        <f>'Drivers (2)'!EC40</f>
        <v>395.48181</v>
      </c>
      <c r="ED9" s="1079">
        <f>+SUM(DZ9:EC9)</f>
        <v>1551.494295</v>
      </c>
      <c r="EE9" s="1161">
        <f>'Drivers (2)'!EE40</f>
        <v>400.26067499999999</v>
      </c>
      <c r="EF9" s="1161">
        <f>'Drivers (2)'!EF40</f>
        <v>414.28289999999993</v>
      </c>
      <c r="EG9" s="1161">
        <f>'Drivers (2)'!EG40</f>
        <v>417.34663499999999</v>
      </c>
      <c r="EH9" s="1161">
        <f>'Drivers (2)'!EH40</f>
        <v>415.08333000000005</v>
      </c>
      <c r="EI9" s="1079">
        <f>+SUM(EE9:EH9)</f>
        <v>1646.97354</v>
      </c>
      <c r="EJ9" s="1161">
        <f>'Drivers (2)'!EJ40</f>
        <v>420.93863999999996</v>
      </c>
      <c r="EK9" s="1161">
        <f>'Drivers (2)'!EK40</f>
        <v>440.63338499999998</v>
      </c>
      <c r="EL9" s="1161">
        <f>'Drivers (2)'!EL40</f>
        <v>446.60699999999997</v>
      </c>
      <c r="EM9" s="1161">
        <f>'Drivers (2)'!EM40</f>
        <v>439.38000000000005</v>
      </c>
      <c r="EN9" s="1079">
        <f>+SUM(EJ9:EM9)</f>
        <v>1747.559025</v>
      </c>
      <c r="EO9" s="1161">
        <f>'Drivers (2)'!EO40</f>
        <v>446.88504</v>
      </c>
      <c r="EP9" s="1161">
        <f>'Drivers (2)'!EP40</f>
        <v>469.19583</v>
      </c>
      <c r="EQ9" s="1161">
        <f>'Drivers (2)'!EQ40</f>
        <v>487.72060499999998</v>
      </c>
      <c r="ER9" s="1161">
        <f>'Drivers (2)'!ER40</f>
        <v>491.29236000000003</v>
      </c>
      <c r="ES9" s="1079">
        <f>+SUM(EO9:ER9)</f>
        <v>1895.0938350000001</v>
      </c>
      <c r="ET9" s="1161">
        <f>'Drivers (2)'!ET40</f>
        <v>496.68248081179195</v>
      </c>
      <c r="EU9" s="1161">
        <f>'Drivers (2)'!EU40</f>
        <v>524.09936925270347</v>
      </c>
      <c r="EV9" s="1161">
        <f>'Drivers (2)'!EV40</f>
        <v>547.27290885070909</v>
      </c>
      <c r="EW9" s="1161">
        <f>'Drivers (2)'!EW40</f>
        <v>554.96579769996129</v>
      </c>
      <c r="EX9" s="1079">
        <f>+SUM(ET9:EW9)</f>
        <v>2123.0205566151658</v>
      </c>
      <c r="EY9" s="1161">
        <f>'Drivers (2)'!EY40</f>
        <v>562.9583506405703</v>
      </c>
      <c r="EZ9" s="1161">
        <f>'Drivers (2)'!EZ40</f>
        <v>596.64335328419793</v>
      </c>
      <c r="FA9" s="1161">
        <f>'Drivers (2)'!FA40</f>
        <v>625.51257032111914</v>
      </c>
      <c r="FB9" s="1161">
        <f>'Drivers (2)'!FB40</f>
        <v>637.71389047006801</v>
      </c>
      <c r="FC9" s="1079">
        <f>+SUM(EY9:FB9)</f>
        <v>2422.8281647159556</v>
      </c>
      <c r="FD9" s="1161">
        <f>'Drivers (2)'!FD40</f>
        <v>649.55288974269524</v>
      </c>
      <c r="FE9" s="1161">
        <f>'Drivers (2)'!FE40</f>
        <v>688.66065549607833</v>
      </c>
      <c r="FF9" s="1161">
        <f>'Drivers (2)'!FF40</f>
        <v>722.00173769142305</v>
      </c>
      <c r="FG9" s="1161">
        <f>'Drivers (2)'!FG40</f>
        <v>736.30695771342641</v>
      </c>
      <c r="FH9" s="1079">
        <f>+SUM(FD9:FG9)</f>
        <v>2796.5222406436233</v>
      </c>
      <c r="FI9" s="1161">
        <f>'Drivers (2)'!FI40</f>
        <v>3184.0794161122881</v>
      </c>
      <c r="FJ9" s="1161">
        <f>'Drivers (2)'!FJ40</f>
        <v>3552.5826092886737</v>
      </c>
      <c r="FK9" s="1161">
        <f>'Drivers (2)'!FK40</f>
        <v>3886.7293062753361</v>
      </c>
      <c r="FL9" s="1161">
        <f>'Drivers (2)'!FL40</f>
        <v>4182.5001027720054</v>
      </c>
      <c r="FM9" s="1161">
        <f>'Drivers (2)'!FM40</f>
        <v>4438.9647420778501</v>
      </c>
    </row>
    <row r="10" spans="1:170" x14ac:dyDescent="0.3">
      <c r="A10" t="s">
        <v>21</v>
      </c>
      <c r="DZ10" s="1161">
        <f>'Drivers (2)'!DZ41</f>
        <v>189.15551999999997</v>
      </c>
      <c r="EA10" s="1161">
        <f>'Drivers (2)'!EA41</f>
        <v>176.92068</v>
      </c>
      <c r="EB10" s="1161">
        <f>'Drivers (2)'!EB41</f>
        <v>166.32964499999997</v>
      </c>
      <c r="EC10" s="1161">
        <f>'Drivers (2)'!EC41</f>
        <v>157.26242999999999</v>
      </c>
      <c r="ED10" s="1079">
        <f>+SUM(DZ10:EC10)</f>
        <v>689.66827499999999</v>
      </c>
      <c r="EE10" s="1161">
        <f>'Drivers (2)'!EE41</f>
        <v>150.88261499999999</v>
      </c>
      <c r="EF10" s="1161">
        <f>'Drivers (2)'!EF41</f>
        <v>145.75359</v>
      </c>
      <c r="EG10" s="1161">
        <f>'Drivers (2)'!EG41</f>
        <v>138.31398000000002</v>
      </c>
      <c r="EH10" s="1161">
        <f>'Drivers (2)'!EH41</f>
        <v>132.15633</v>
      </c>
      <c r="EI10" s="1079">
        <f>+SUM(EE10:EH10)</f>
        <v>567.10651500000006</v>
      </c>
      <c r="EJ10" s="1161">
        <f>'Drivers (2)'!EJ41</f>
        <v>127.35054</v>
      </c>
      <c r="EK10" s="1161">
        <f>'Drivers (2)'!EK41</f>
        <v>124.74431999999999</v>
      </c>
      <c r="EL10" s="1161">
        <f>'Drivers (2)'!EL41</f>
        <v>117.460725</v>
      </c>
      <c r="EM10" s="1161">
        <f>'Drivers (2)'!EM41</f>
        <v>111.01582500000001</v>
      </c>
      <c r="EN10" s="1079">
        <f>+SUM(EJ10:EM10)</f>
        <v>480.57140999999996</v>
      </c>
      <c r="EO10" s="1161">
        <f>'Drivers (2)'!EO41</f>
        <v>109.645965</v>
      </c>
      <c r="EP10" s="1161">
        <f>'Drivers (2)'!EP41</f>
        <v>104.77818000000001</v>
      </c>
      <c r="EQ10" s="1161">
        <f>'Drivers (2)'!EQ41</f>
        <v>97.200809999999976</v>
      </c>
      <c r="ER10" s="1161">
        <f>'Drivers (2)'!ER41</f>
        <v>90.525750000000002</v>
      </c>
      <c r="ES10" s="1079">
        <f>+SUM(EO10:ER10)</f>
        <v>402.15070500000002</v>
      </c>
      <c r="ET10" s="1161">
        <f>'Drivers (2)'!ET41</f>
        <v>85.869907484142544</v>
      </c>
      <c r="EU10" s="1161">
        <f>'Drivers (2)'!EU41</f>
        <v>82.386128606087809</v>
      </c>
      <c r="EV10" s="1161">
        <f>'Drivers (2)'!EV41</f>
        <v>77.117666075481992</v>
      </c>
      <c r="EW10" s="1161">
        <f>'Drivers (2)'!EW41</f>
        <v>71.978399158650916</v>
      </c>
      <c r="EX10" s="1079">
        <f>+SUM(ET10:EW10)</f>
        <v>317.35210132436328</v>
      </c>
      <c r="EY10" s="1161">
        <f>'Drivers (2)'!EY41</f>
        <v>68.193186980761681</v>
      </c>
      <c r="EZ10" s="1161">
        <f>'Drivers (2)'!EZ41</f>
        <v>65.558786575899731</v>
      </c>
      <c r="FA10" s="1161">
        <f>'Drivers (2)'!FA41</f>
        <v>61.488577648930416</v>
      </c>
      <c r="FB10" s="1161">
        <f>'Drivers (2)'!FB41</f>
        <v>57.547852845782366</v>
      </c>
      <c r="FC10" s="1079">
        <f>+SUM(EY10:FB10)</f>
        <v>252.78840405137419</v>
      </c>
      <c r="FD10" s="1161">
        <f>'Drivers (2)'!FD41</f>
        <v>54.568878562099805</v>
      </c>
      <c r="FE10" s="1161">
        <f>'Drivers (2)'!FE41</f>
        <v>52.537444455126973</v>
      </c>
      <c r="FF10" s="1161">
        <f>'Drivers (2)'!FF41</f>
        <v>49.346333064370782</v>
      </c>
      <c r="FG10" s="1161">
        <f>'Drivers (2)'!FG41</f>
        <v>46.274418441460519</v>
      </c>
      <c r="FH10" s="1079">
        <f>+SUM(FD10:FG10)</f>
        <v>202.72707452305806</v>
      </c>
      <c r="FI10" s="1161">
        <f>'Drivers (2)'!FI41</f>
        <v>162.07674749076958</v>
      </c>
      <c r="FJ10" s="1161">
        <f>'Drivers (2)'!FJ41</f>
        <v>127.3401130163108</v>
      </c>
      <c r="FK10" s="1161">
        <f>'Drivers (2)'!FK41</f>
        <v>100.51395710717985</v>
      </c>
      <c r="FL10" s="1161">
        <f>'Drivers (2)'!FL41</f>
        <v>79.551433631083313</v>
      </c>
      <c r="FM10" s="1161">
        <f>'Drivers (2)'!FM41</f>
        <v>63.057049399189431</v>
      </c>
    </row>
    <row r="11" spans="1:170" x14ac:dyDescent="0.3">
      <c r="A11" t="s">
        <v>22</v>
      </c>
      <c r="DU11" s="114"/>
      <c r="DV11" s="114"/>
      <c r="DW11" s="114"/>
      <c r="DX11" s="114"/>
      <c r="DY11" s="522"/>
      <c r="DZ11" s="1110">
        <f>'Drivers (2)'!DZ42</f>
        <v>308.06525500000009</v>
      </c>
      <c r="EA11" s="1110">
        <f>'Drivers (2)'!EA42</f>
        <v>296.55897999999991</v>
      </c>
      <c r="EB11" s="1110">
        <f>'Drivers (2)'!EB42</f>
        <v>284.95743500000003</v>
      </c>
      <c r="EC11" s="1110">
        <f>'Drivers (2)'!EC42</f>
        <v>285.25576000000001</v>
      </c>
      <c r="ED11" s="1111">
        <f>+SUM(DZ11:EC11)</f>
        <v>1174.83743</v>
      </c>
      <c r="EE11" s="1110">
        <f>'Drivers (2)'!EE42</f>
        <v>268.85670999999996</v>
      </c>
      <c r="EF11" s="1110">
        <f>'Drivers (2)'!EF42</f>
        <v>255.96351000000004</v>
      </c>
      <c r="EG11" s="1110">
        <f>'Drivers (2)'!EG42</f>
        <v>244.33938499999999</v>
      </c>
      <c r="EH11" s="1110">
        <f>'Drivers (2)'!EH42</f>
        <v>234.76033999999999</v>
      </c>
      <c r="EI11" s="1111">
        <f>+SUM(EE11:EH11)</f>
        <v>1003.9199450000001</v>
      </c>
      <c r="EJ11" s="1110">
        <f>'Drivers (2)'!EJ42</f>
        <v>227.71082000000001</v>
      </c>
      <c r="EK11" s="1110">
        <f>'Drivers (2)'!EK42</f>
        <v>225.62229500000001</v>
      </c>
      <c r="EL11" s="1110">
        <f>'Drivers (2)'!EL42</f>
        <v>220.93227500000006</v>
      </c>
      <c r="EM11" s="1110">
        <f>'Drivers (2)'!EM42</f>
        <v>213.60417499999994</v>
      </c>
      <c r="EN11" s="1111">
        <f>+SUM(EJ11:EM11)</f>
        <v>887.86956499999997</v>
      </c>
      <c r="EO11" s="1110">
        <f>'Drivers (2)'!EO42</f>
        <v>204.46899500000001</v>
      </c>
      <c r="EP11" s="1110">
        <f>'Drivers (2)'!EP42</f>
        <v>201.02598999999998</v>
      </c>
      <c r="EQ11" s="1110">
        <f>'Drivers (2)'!EQ42</f>
        <v>202.07858500000003</v>
      </c>
      <c r="ER11" s="1110">
        <f>'Drivers (2)'!ER42</f>
        <v>192.18188999999995</v>
      </c>
      <c r="ES11" s="1111">
        <f>+SUM(EO11:ER11)</f>
        <v>799.75545999999997</v>
      </c>
      <c r="ET11" s="1110">
        <f>'Drivers (2)'!ET42</f>
        <v>176.0159777772279</v>
      </c>
      <c r="EU11" s="1110">
        <f>'Drivers (2)'!EU42</f>
        <v>168.72072587225327</v>
      </c>
      <c r="EV11" s="1110">
        <f>'Drivers (2)'!EV42</f>
        <v>164.08670611006801</v>
      </c>
      <c r="EW11" s="1110">
        <f>'Drivers (2)'!EW42</f>
        <v>156.69839308274504</v>
      </c>
      <c r="EX11" s="1111">
        <f>+SUM(ET11:EW11)</f>
        <v>665.52180284229416</v>
      </c>
      <c r="EY11" s="1110">
        <f>'Drivers (2)'!EY42</f>
        <v>142.72032432014936</v>
      </c>
      <c r="EZ11" s="1110">
        <f>'Drivers (2)'!EZ42</f>
        <v>138.78184498432205</v>
      </c>
      <c r="FA11" s="1110">
        <f>'Drivers (2)'!FA42</f>
        <v>132.97017901457596</v>
      </c>
      <c r="FB11" s="1110">
        <f>'Drivers (2)'!FB42</f>
        <v>128.06149501013465</v>
      </c>
      <c r="FC11" s="1111">
        <f>+SUM(EY11:FB11)</f>
        <v>542.53384332918199</v>
      </c>
      <c r="FD11" s="1110">
        <f>'Drivers (2)'!FD42</f>
        <v>116.13750554993771</v>
      </c>
      <c r="FE11" s="1110">
        <f>'Drivers (2)'!FE42</f>
        <v>114.64104932143997</v>
      </c>
      <c r="FF11" s="1110">
        <f>'Drivers (2)'!FF42</f>
        <v>107.95345596752787</v>
      </c>
      <c r="FG11" s="1110">
        <f>'Drivers (2)'!FG42</f>
        <v>104.97087555106194</v>
      </c>
      <c r="FH11" s="1111">
        <f>+SUM(FD11:FG11)</f>
        <v>443.70288638996749</v>
      </c>
      <c r="FI11" s="1110">
        <f>'Drivers (2)'!FI42</f>
        <v>365.52490894790787</v>
      </c>
      <c r="FJ11" s="1110">
        <f>'Drivers (2)'!FJ42</f>
        <v>308.02413095959128</v>
      </c>
      <c r="FK11" s="1110">
        <f>'Drivers (2)'!FK42</f>
        <v>268.63021514531897</v>
      </c>
      <c r="FL11" s="1110">
        <f>'Drivers (2)'!FL42</f>
        <v>239.71730411881958</v>
      </c>
      <c r="FM11" s="1110">
        <f>'Drivers (2)'!FM42</f>
        <v>217.76894631665533</v>
      </c>
    </row>
    <row r="12" spans="1:170" x14ac:dyDescent="0.3">
      <c r="A12" s="90" t="s">
        <v>23</v>
      </c>
      <c r="DU12" s="85">
        <f>Inputs!DU519</f>
        <v>996</v>
      </c>
      <c r="DV12" s="85">
        <f>Inputs!DV519</f>
        <v>969</v>
      </c>
      <c r="DW12" s="85">
        <f>Inputs!DW519</f>
        <v>943</v>
      </c>
      <c r="DX12" s="85">
        <f>Inputs!DX519</f>
        <v>923</v>
      </c>
      <c r="DY12" s="85">
        <f>SUM(DU12:DX12)</f>
        <v>3831</v>
      </c>
      <c r="DZ12" s="1151">
        <f>SUM(DZ9:DZ11)</f>
        <v>880.00000000000011</v>
      </c>
      <c r="EA12" s="1151">
        <f>SUM(EA9:EA11)</f>
        <v>858.99999999999989</v>
      </c>
      <c r="EB12" s="1151">
        <f>SUM(EB9:EB11)</f>
        <v>839</v>
      </c>
      <c r="EC12" s="1151">
        <f>SUM(EC9:EC11)</f>
        <v>838</v>
      </c>
      <c r="ED12" s="1079">
        <f t="shared" ref="ED12:ED18" si="0">SUM(DZ12:EC12)</f>
        <v>3416</v>
      </c>
      <c r="EE12" s="1151">
        <f>SUM(EE9:EE11)</f>
        <v>820</v>
      </c>
      <c r="EF12" s="1151">
        <f>SUM(EF9:EF11)</f>
        <v>816</v>
      </c>
      <c r="EG12" s="1151">
        <f>SUM(EG9:EG11)</f>
        <v>800</v>
      </c>
      <c r="EH12" s="1151">
        <f>SUM(EH9:EH11)</f>
        <v>782</v>
      </c>
      <c r="EI12" s="1079">
        <f t="shared" ref="EI12:EI18" si="1">SUM(EE12:EH12)</f>
        <v>3218</v>
      </c>
      <c r="EJ12" s="1151">
        <f>SUM(EJ9:EJ11)</f>
        <v>776</v>
      </c>
      <c r="EK12" s="1151">
        <f>SUM(EK9:EK11)</f>
        <v>791</v>
      </c>
      <c r="EL12" s="1151">
        <f>SUM(EL9:EL11)</f>
        <v>785</v>
      </c>
      <c r="EM12" s="1151">
        <f>SUM(EM9:EM11)</f>
        <v>764</v>
      </c>
      <c r="EN12" s="1079">
        <f t="shared" ref="EN12:EN18" si="2">SUM(EJ12:EM12)</f>
        <v>3116</v>
      </c>
      <c r="EO12" s="1151">
        <f>SUM(EO9:EO11)</f>
        <v>761</v>
      </c>
      <c r="EP12" s="1151">
        <f>SUM(EP9:EP11)</f>
        <v>775</v>
      </c>
      <c r="EQ12" s="1151">
        <f>SUM(EQ9:EQ11)</f>
        <v>787</v>
      </c>
      <c r="ER12" s="1151">
        <f>SUM(ER9:ER11)</f>
        <v>774</v>
      </c>
      <c r="ES12" s="1079">
        <f t="shared" ref="ES12:ES18" si="3">SUM(EO12:ER12)</f>
        <v>3097</v>
      </c>
      <c r="ET12" s="1151">
        <f t="shared" ref="ET12:EW12" si="4">SUM(ET9:ET11)</f>
        <v>758.56836607316245</v>
      </c>
      <c r="EU12" s="1151">
        <f t="shared" si="4"/>
        <v>775.20622373104459</v>
      </c>
      <c r="EV12" s="1151">
        <f t="shared" si="4"/>
        <v>788.47728103625911</v>
      </c>
      <c r="EW12" s="1151">
        <f t="shared" si="4"/>
        <v>783.6425899413573</v>
      </c>
      <c r="EX12" s="1079">
        <f t="shared" ref="EX12:EX18" si="5">SUM(ET12:EW12)</f>
        <v>3105.8944607818239</v>
      </c>
      <c r="EY12" s="1151">
        <f t="shared" ref="EY12:FB12" si="6">SUM(EY9:EY11)</f>
        <v>773.87186194148126</v>
      </c>
      <c r="EZ12" s="1151">
        <f t="shared" si="6"/>
        <v>800.98398484441964</v>
      </c>
      <c r="FA12" s="1151">
        <f t="shared" si="6"/>
        <v>819.97132698462553</v>
      </c>
      <c r="FB12" s="1151">
        <f t="shared" si="6"/>
        <v>823.32323832598502</v>
      </c>
      <c r="FC12" s="1079">
        <f t="shared" ref="FC12:FC18" si="7">SUM(EY12:FB12)</f>
        <v>3218.1504120965114</v>
      </c>
      <c r="FD12" s="1151">
        <f t="shared" ref="FD12:FM12" si="8">SUM(FD9:FD11)</f>
        <v>820.25927385473278</v>
      </c>
      <c r="FE12" s="1151">
        <f t="shared" si="8"/>
        <v>855.83914927264527</v>
      </c>
      <c r="FF12" s="1151">
        <f t="shared" si="8"/>
        <v>879.30152672332179</v>
      </c>
      <c r="FG12" s="1151">
        <f t="shared" si="8"/>
        <v>887.55225170594883</v>
      </c>
      <c r="FH12" s="1079">
        <f t="shared" ref="FH12:FH18" si="9">SUM(FD12:FG12)</f>
        <v>3442.952201556649</v>
      </c>
      <c r="FI12" s="1151">
        <f t="shared" si="8"/>
        <v>3711.6810725509658</v>
      </c>
      <c r="FJ12" s="1151">
        <f t="shared" si="8"/>
        <v>3987.9468532645756</v>
      </c>
      <c r="FK12" s="1151">
        <f t="shared" si="8"/>
        <v>4255.8734785278348</v>
      </c>
      <c r="FL12" s="1151">
        <f t="shared" si="8"/>
        <v>4501.7688405219087</v>
      </c>
      <c r="FM12" s="1151">
        <f t="shared" si="8"/>
        <v>4719.7907377936945</v>
      </c>
    </row>
    <row r="13" spans="1:170" x14ac:dyDescent="0.3">
      <c r="A13" t="s">
        <v>24</v>
      </c>
      <c r="DZ13" s="1161">
        <f>'Drivers (2)'!DZ44</f>
        <v>67.46624570499273</v>
      </c>
      <c r="EA13" s="1161">
        <f>'Drivers (2)'!EA44</f>
        <v>65.75035108013671</v>
      </c>
      <c r="EB13" s="1161">
        <f>'Drivers (2)'!EB44</f>
        <v>64.888547649374999</v>
      </c>
      <c r="EC13" s="1161">
        <f>'Drivers (2)'!EC44</f>
        <v>65.004899062500002</v>
      </c>
      <c r="ED13" s="1079">
        <f t="shared" si="0"/>
        <v>263.11004349700443</v>
      </c>
      <c r="EE13" s="1161">
        <f>'Drivers (2)'!EE44</f>
        <v>61.672804499999998</v>
      </c>
      <c r="EF13" s="1161">
        <f>'Drivers (2)'!EF44</f>
        <v>61.207440000000005</v>
      </c>
      <c r="EG13" s="1161">
        <f>'Drivers (2)'!EG44</f>
        <v>60.125250000000001</v>
      </c>
      <c r="EH13" s="1161">
        <f>'Drivers (2)'!EH44</f>
        <v>59.386109999999988</v>
      </c>
      <c r="EI13" s="1079">
        <f t="shared" si="1"/>
        <v>242.39160449999997</v>
      </c>
      <c r="EJ13" s="1161">
        <f>'Drivers (2)'!EJ44</f>
        <v>59.439525000000003</v>
      </c>
      <c r="EK13" s="1161">
        <f>'Drivers (2)'!EK44</f>
        <v>59.293064999999999</v>
      </c>
      <c r="EL13" s="1161">
        <f>'Drivers (2)'!EL44</f>
        <v>60.266295</v>
      </c>
      <c r="EM13" s="1161">
        <f>'Drivers (2)'!EM44</f>
        <v>60.579569999999997</v>
      </c>
      <c r="EN13" s="1079">
        <f t="shared" si="2"/>
        <v>239.57845499999999</v>
      </c>
      <c r="EO13" s="1161">
        <f>'Drivers (2)'!EO44</f>
        <v>59.643569999999997</v>
      </c>
      <c r="EP13" s="1161">
        <f>'Drivers (2)'!EP44</f>
        <v>59.631839999999997</v>
      </c>
      <c r="EQ13" s="1161">
        <f>'Drivers (2)'!EQ44</f>
        <v>58.748910000000009</v>
      </c>
      <c r="ER13" s="1161">
        <f>'Drivers (2)'!ER44</f>
        <v>59.266887411514013</v>
      </c>
      <c r="ES13" s="1079">
        <f t="shared" si="3"/>
        <v>237.29120741151399</v>
      </c>
      <c r="ET13" s="1161">
        <f>'Drivers (2)'!ET44</f>
        <v>62.339359221333495</v>
      </c>
      <c r="EU13" s="1161">
        <f>'Drivers (2)'!EU44</f>
        <v>62.640273816232423</v>
      </c>
      <c r="EV13" s="1161">
        <f>'Drivers (2)'!EV44</f>
        <v>62.261422717882049</v>
      </c>
      <c r="EW13" s="1161">
        <f>'Drivers (2)'!EW44</f>
        <v>63.393886864867213</v>
      </c>
      <c r="EX13" s="1079">
        <f t="shared" si="5"/>
        <v>250.6349426203152</v>
      </c>
      <c r="EY13" s="1161">
        <f>'Drivers (2)'!EY44</f>
        <v>67.456645292779911</v>
      </c>
      <c r="EZ13" s="1161">
        <f>'Drivers (2)'!EZ44</f>
        <v>68.223738700666331</v>
      </c>
      <c r="FA13" s="1161">
        <f>'Drivers (2)'!FA44</f>
        <v>68.317754974662023</v>
      </c>
      <c r="FB13" s="1161">
        <f>'Drivers (2)'!FB44</f>
        <v>70.099283503624193</v>
      </c>
      <c r="FC13" s="1079">
        <f t="shared" si="7"/>
        <v>274.09742247173244</v>
      </c>
      <c r="FD13" s="1161">
        <f>'Drivers (2)'!FD44</f>
        <v>75.271526868172131</v>
      </c>
      <c r="FE13" s="1161">
        <f>'Drivers (2)'!FE44</f>
        <v>76.428073315854249</v>
      </c>
      <c r="FF13" s="1161">
        <f>'Drivers (2)'!FF44</f>
        <v>76.889999349367514</v>
      </c>
      <c r="FG13" s="1161">
        <f>'Drivers (2)'!FG44</f>
        <v>79.196797838997696</v>
      </c>
      <c r="FH13" s="1079">
        <f t="shared" si="9"/>
        <v>307.7863973723916</v>
      </c>
      <c r="FI13" s="1161">
        <f>'Drivers (2)'!FI44</f>
        <v>349.67148636528702</v>
      </c>
      <c r="FJ13" s="1161">
        <f>'Drivers (2)'!FJ44</f>
        <v>395.70904953763556</v>
      </c>
      <c r="FK13" s="1161">
        <f>'Drivers (2)'!FK44</f>
        <v>446.11988305569611</v>
      </c>
      <c r="FL13" s="1161">
        <f>'Drivers (2)'!FL44</f>
        <v>501.31317492592257</v>
      </c>
      <c r="FM13" s="1161">
        <f>'Drivers (2)'!FM44</f>
        <v>561.77735406506645</v>
      </c>
    </row>
    <row r="14" spans="1:170" x14ac:dyDescent="0.3">
      <c r="A14" t="s">
        <v>25</v>
      </c>
      <c r="DZ14" s="1161">
        <f>'Drivers (2)'!DZ45</f>
        <v>713.53375429500727</v>
      </c>
      <c r="EA14" s="1161">
        <f>'Drivers (2)'!EA45</f>
        <v>696.24964891986338</v>
      </c>
      <c r="EB14" s="1161">
        <f>'Drivers (2)'!EB45</f>
        <v>674.11145235062497</v>
      </c>
      <c r="EC14" s="1161">
        <f>'Drivers (2)'!EC45</f>
        <v>653.99510093749996</v>
      </c>
      <c r="ED14" s="1151">
        <f t="shared" si="0"/>
        <v>2737.8899565029956</v>
      </c>
      <c r="EE14" s="1161">
        <f>'Drivers (2)'!EE45</f>
        <v>653.32719550000002</v>
      </c>
      <c r="EF14" s="1161">
        <f>'Drivers (2)'!EF45</f>
        <v>636.79255999999998</v>
      </c>
      <c r="EG14" s="1161">
        <f>'Drivers (2)'!EG45</f>
        <v>632.87474999999995</v>
      </c>
      <c r="EH14" s="1161">
        <f>'Drivers (2)'!EH45</f>
        <v>617.61389000000008</v>
      </c>
      <c r="EI14" s="1151">
        <f t="shared" si="1"/>
        <v>2540.6083954999999</v>
      </c>
      <c r="EJ14" s="1161">
        <f>'Drivers (2)'!EJ45</f>
        <v>606.560475</v>
      </c>
      <c r="EK14" s="1161">
        <f>'Drivers (2)'!EK45</f>
        <v>591.70693499999993</v>
      </c>
      <c r="EL14" s="1161">
        <f>'Drivers (2)'!EL45</f>
        <v>580.73370499999999</v>
      </c>
      <c r="EM14" s="1161">
        <f>'Drivers (2)'!EM45</f>
        <v>598.42043000000001</v>
      </c>
      <c r="EN14" s="1151">
        <f t="shared" si="2"/>
        <v>2377.4215450000002</v>
      </c>
      <c r="EO14" s="1161">
        <f>'Drivers (2)'!EO45</f>
        <v>597.35643000000005</v>
      </c>
      <c r="EP14" s="1161">
        <f>'Drivers (2)'!EP45</f>
        <v>593.36815999999999</v>
      </c>
      <c r="EQ14" s="1161">
        <f>'Drivers (2)'!EQ45</f>
        <v>575.25108999999998</v>
      </c>
      <c r="ER14" s="1161">
        <f>'Drivers (2)'!ER45</f>
        <v>575.73311258848594</v>
      </c>
      <c r="ES14" s="1151">
        <f t="shared" si="3"/>
        <v>2341.7087925884862</v>
      </c>
      <c r="ET14" s="1161">
        <f>'Drivers (2)'!ET45</f>
        <v>591.50605341044115</v>
      </c>
      <c r="EU14" s="1161">
        <f>'Drivers (2)'!EU45</f>
        <v>587.82780194809345</v>
      </c>
      <c r="EV14" s="1161">
        <f>'Drivers (2)'!EV45</f>
        <v>570.15223686507989</v>
      </c>
      <c r="EW14" s="1161">
        <f>'Drivers (2)'!EW45</f>
        <v>570.30476739847211</v>
      </c>
      <c r="EX14" s="1151">
        <f t="shared" si="5"/>
        <v>2319.7908596220864</v>
      </c>
      <c r="EY14" s="1161">
        <f>'Drivers (2)'!EY45</f>
        <v>587.27040792456228</v>
      </c>
      <c r="EZ14" s="1161">
        <f>'Drivers (2)'!EZ45</f>
        <v>583.86866357101462</v>
      </c>
      <c r="FA14" s="1161">
        <f>'Drivers (2)'!FA45</f>
        <v>566.56347784536683</v>
      </c>
      <c r="FB14" s="1161">
        <f>'Drivers (2)'!FB45</f>
        <v>566.41506426855165</v>
      </c>
      <c r="FC14" s="1151">
        <f t="shared" si="7"/>
        <v>2304.1176136094955</v>
      </c>
      <c r="FD14" s="1161">
        <f>'Drivers (2)'!FD45</f>
        <v>585.10240313245413</v>
      </c>
      <c r="FE14" s="1161">
        <f>'Drivers (2)'!FE45</f>
        <v>581.92499945908139</v>
      </c>
      <c r="FF14" s="1161">
        <f>'Drivers (2)'!FF45</f>
        <v>564.89009757336157</v>
      </c>
      <c r="FG14" s="1161">
        <f>'Drivers (2)'!FG45</f>
        <v>564.48838880806557</v>
      </c>
      <c r="FH14" s="1151">
        <f t="shared" si="9"/>
        <v>2296.4058889729627</v>
      </c>
      <c r="FI14" s="1161">
        <f>'Drivers (2)'!FI45</f>
        <v>2294.2657710518788</v>
      </c>
      <c r="FJ14" s="1161">
        <f>'Drivers (2)'!FJ45</f>
        <v>2293.3749553436196</v>
      </c>
      <c r="FK14" s="1161">
        <f>'Drivers (2)'!FK45</f>
        <v>2293.4122699408545</v>
      </c>
      <c r="FL14" s="1161">
        <f>'Drivers (2)'!FL45</f>
        <v>2294.1261280189351</v>
      </c>
      <c r="FM14" s="1161">
        <f>'Drivers (2)'!FM45</f>
        <v>2295.3202957491103</v>
      </c>
    </row>
    <row r="15" spans="1:170" x14ac:dyDescent="0.3">
      <c r="A15" t="s">
        <v>26</v>
      </c>
      <c r="DU15" s="100">
        <f>Inputs!DU520</f>
        <v>864</v>
      </c>
      <c r="DV15" s="100">
        <f>Inputs!DV520</f>
        <v>857</v>
      </c>
      <c r="DW15" s="100">
        <f>Inputs!DW520</f>
        <v>821</v>
      </c>
      <c r="DX15" s="100">
        <f>Inputs!DX520</f>
        <v>784</v>
      </c>
      <c r="DY15" s="100">
        <f>SUM(DU15:DX15)</f>
        <v>3326</v>
      </c>
      <c r="DZ15" s="945">
        <f>SUM(DZ13:DZ14)</f>
        <v>781</v>
      </c>
      <c r="EA15" s="945">
        <f>SUM(EA13:EA14)</f>
        <v>762.00000000000011</v>
      </c>
      <c r="EB15" s="945">
        <f>SUM(EB13:EB14)</f>
        <v>739</v>
      </c>
      <c r="EC15" s="945">
        <f>SUM(EC13:EC14)</f>
        <v>719</v>
      </c>
      <c r="ED15" s="1111">
        <f t="shared" si="0"/>
        <v>3001</v>
      </c>
      <c r="EE15" s="945">
        <f>SUM(EE13:EE14)</f>
        <v>715</v>
      </c>
      <c r="EF15" s="945">
        <f>SUM(EF13:EF14)</f>
        <v>698</v>
      </c>
      <c r="EG15" s="945">
        <f>SUM(EG13:EG14)</f>
        <v>693</v>
      </c>
      <c r="EH15" s="945">
        <f>SUM(EH13:EH14)</f>
        <v>677.00000000000011</v>
      </c>
      <c r="EI15" s="1111">
        <f t="shared" si="1"/>
        <v>2783</v>
      </c>
      <c r="EJ15" s="945">
        <f>SUM(EJ13:EJ14)</f>
        <v>666</v>
      </c>
      <c r="EK15" s="945">
        <f>SUM(EK13:EK14)</f>
        <v>650.99999999999989</v>
      </c>
      <c r="EL15" s="945">
        <f>SUM(EL13:EL14)</f>
        <v>641</v>
      </c>
      <c r="EM15" s="945">
        <f>SUM(EM13:EM14)</f>
        <v>659</v>
      </c>
      <c r="EN15" s="1111">
        <f t="shared" si="2"/>
        <v>2617</v>
      </c>
      <c r="EO15" s="945">
        <f>SUM(EO13:EO14)</f>
        <v>657</v>
      </c>
      <c r="EP15" s="945">
        <f>SUM(EP13:EP14)</f>
        <v>653</v>
      </c>
      <c r="EQ15" s="945">
        <f>SUM(EQ13:EQ14)</f>
        <v>634</v>
      </c>
      <c r="ER15" s="945">
        <f>SUM(ER13:ER14)</f>
        <v>635</v>
      </c>
      <c r="ES15" s="1111">
        <f t="shared" si="3"/>
        <v>2579</v>
      </c>
      <c r="ET15" s="945">
        <f t="shared" ref="ET15:EW15" si="10">SUM(ET13:ET14)</f>
        <v>653.84541263177471</v>
      </c>
      <c r="EU15" s="945">
        <f t="shared" si="10"/>
        <v>650.46807576432593</v>
      </c>
      <c r="EV15" s="945">
        <f t="shared" si="10"/>
        <v>632.41365958296194</v>
      </c>
      <c r="EW15" s="945">
        <f t="shared" si="10"/>
        <v>633.69865426333934</v>
      </c>
      <c r="EX15" s="1111">
        <f t="shared" si="5"/>
        <v>2570.4258022424019</v>
      </c>
      <c r="EY15" s="945">
        <f t="shared" ref="EY15:FB15" si="11">SUM(EY13:EY14)</f>
        <v>654.72705321734225</v>
      </c>
      <c r="EZ15" s="945">
        <f t="shared" si="11"/>
        <v>652.09240227168095</v>
      </c>
      <c r="FA15" s="945">
        <f t="shared" si="11"/>
        <v>634.8812328200288</v>
      </c>
      <c r="FB15" s="945">
        <f t="shared" si="11"/>
        <v>636.51434777217582</v>
      </c>
      <c r="FC15" s="1111">
        <f t="shared" si="7"/>
        <v>2578.2150360812279</v>
      </c>
      <c r="FD15" s="945">
        <f t="shared" ref="FD15:FM15" si="12">SUM(FD13:FD14)</f>
        <v>660.37393000062627</v>
      </c>
      <c r="FE15" s="945">
        <f t="shared" si="12"/>
        <v>658.35307277493564</v>
      </c>
      <c r="FF15" s="945">
        <f t="shared" si="12"/>
        <v>641.78009692272906</v>
      </c>
      <c r="FG15" s="945">
        <f t="shared" si="12"/>
        <v>643.68518664706323</v>
      </c>
      <c r="FH15" s="1111">
        <f t="shared" si="9"/>
        <v>2604.1922863453542</v>
      </c>
      <c r="FI15" s="945">
        <f t="shared" si="12"/>
        <v>2643.9372574171657</v>
      </c>
      <c r="FJ15" s="945">
        <f t="shared" si="12"/>
        <v>2689.0840048812552</v>
      </c>
      <c r="FK15" s="945">
        <f t="shared" si="12"/>
        <v>2739.5321529965504</v>
      </c>
      <c r="FL15" s="945">
        <f t="shared" si="12"/>
        <v>2795.4393029448574</v>
      </c>
      <c r="FM15" s="945">
        <f t="shared" si="12"/>
        <v>2857.0976498141767</v>
      </c>
    </row>
    <row r="16" spans="1:170" x14ac:dyDescent="0.3">
      <c r="A16" s="90" t="s">
        <v>27</v>
      </c>
      <c r="DU16" s="1151">
        <f>DU12+DU15</f>
        <v>1860</v>
      </c>
      <c r="DV16" s="1151">
        <f>DV12+DV15</f>
        <v>1826</v>
      </c>
      <c r="DW16" s="1151">
        <f>DW12+DW15</f>
        <v>1764</v>
      </c>
      <c r="DX16" s="1151">
        <f>DX12+DX15</f>
        <v>1707</v>
      </c>
      <c r="DY16" s="900">
        <f>SUM(DU16:DX16)</f>
        <v>7157</v>
      </c>
      <c r="DZ16" s="1151">
        <f>DZ12+DZ15</f>
        <v>1661</v>
      </c>
      <c r="EA16" s="1151">
        <f>EA12+EA15</f>
        <v>1621</v>
      </c>
      <c r="EB16" s="1151">
        <f>EB12+EB15</f>
        <v>1578</v>
      </c>
      <c r="EC16" s="1151">
        <f>EC12+EC15</f>
        <v>1557</v>
      </c>
      <c r="ED16" s="900">
        <f t="shared" si="0"/>
        <v>6417</v>
      </c>
      <c r="EE16" s="1151">
        <f>EE12+EE15</f>
        <v>1535</v>
      </c>
      <c r="EF16" s="1151">
        <f>EF12+EF15</f>
        <v>1514</v>
      </c>
      <c r="EG16" s="1151">
        <f>EG12+EG15</f>
        <v>1493</v>
      </c>
      <c r="EH16" s="1151">
        <f>EH12+EH15</f>
        <v>1459</v>
      </c>
      <c r="EI16" s="900">
        <f t="shared" si="1"/>
        <v>6001</v>
      </c>
      <c r="EJ16" s="1151">
        <f>EJ12+EJ15</f>
        <v>1442</v>
      </c>
      <c r="EK16" s="1151">
        <f>EK12+EK15</f>
        <v>1442</v>
      </c>
      <c r="EL16" s="1151">
        <f>EL12+EL15</f>
        <v>1426</v>
      </c>
      <c r="EM16" s="1151">
        <f>EM12+EM15</f>
        <v>1423</v>
      </c>
      <c r="EN16" s="900">
        <f t="shared" si="2"/>
        <v>5733</v>
      </c>
      <c r="EO16" s="1151">
        <f>EO12+EO15</f>
        <v>1418</v>
      </c>
      <c r="EP16" s="1151">
        <f>EP12+EP15</f>
        <v>1428</v>
      </c>
      <c r="EQ16" s="1151">
        <f>EQ12+EQ15</f>
        <v>1421</v>
      </c>
      <c r="ER16" s="1151">
        <f>ER12+ER15</f>
        <v>1409</v>
      </c>
      <c r="ES16" s="900">
        <f t="shared" si="3"/>
        <v>5676</v>
      </c>
      <c r="ET16" s="1151">
        <f t="shared" ref="ET16:EW16" si="13">ET12+ET15</f>
        <v>1412.4137787049372</v>
      </c>
      <c r="EU16" s="1151">
        <f t="shared" si="13"/>
        <v>1425.6742994953706</v>
      </c>
      <c r="EV16" s="1151">
        <f t="shared" si="13"/>
        <v>1420.8909406192211</v>
      </c>
      <c r="EW16" s="1151">
        <f t="shared" si="13"/>
        <v>1417.3412442046965</v>
      </c>
      <c r="EX16" s="900">
        <f t="shared" si="5"/>
        <v>5676.3202630242258</v>
      </c>
      <c r="EY16" s="1151">
        <f t="shared" ref="EY16:FB16" si="14">EY12+EY15</f>
        <v>1428.5989151588235</v>
      </c>
      <c r="EZ16" s="1151">
        <f t="shared" si="14"/>
        <v>1453.0763871161007</v>
      </c>
      <c r="FA16" s="1151">
        <f t="shared" si="14"/>
        <v>1454.8525598046544</v>
      </c>
      <c r="FB16" s="1151">
        <f t="shared" si="14"/>
        <v>1459.837586098161</v>
      </c>
      <c r="FC16" s="900">
        <f t="shared" si="7"/>
        <v>5796.3654481777394</v>
      </c>
      <c r="FD16" s="1151">
        <f t="shared" ref="FD16:FM16" si="15">FD12+FD15</f>
        <v>1480.6332038553592</v>
      </c>
      <c r="FE16" s="1151">
        <f t="shared" si="15"/>
        <v>1514.1922220475808</v>
      </c>
      <c r="FF16" s="1151">
        <f t="shared" si="15"/>
        <v>1521.081623646051</v>
      </c>
      <c r="FG16" s="1151">
        <f t="shared" si="15"/>
        <v>1531.2374383530121</v>
      </c>
      <c r="FH16" s="900">
        <f t="shared" si="9"/>
        <v>6047.1444879020028</v>
      </c>
      <c r="FI16" s="1151">
        <f t="shared" si="15"/>
        <v>6355.6183299681315</v>
      </c>
      <c r="FJ16" s="1151">
        <f t="shared" si="15"/>
        <v>6677.0308581458303</v>
      </c>
      <c r="FK16" s="1151">
        <f t="shared" si="15"/>
        <v>6995.4056315243852</v>
      </c>
      <c r="FL16" s="1151">
        <f t="shared" si="15"/>
        <v>7297.2081434667662</v>
      </c>
      <c r="FM16" s="1151">
        <f t="shared" si="15"/>
        <v>7576.8883876078708</v>
      </c>
    </row>
    <row r="17" spans="1:170" x14ac:dyDescent="0.3">
      <c r="A17" t="s">
        <v>28</v>
      </c>
      <c r="DU17" s="104">
        <f>Inputs!DU522</f>
        <v>86</v>
      </c>
      <c r="DV17" s="104">
        <f>Inputs!DV522</f>
        <v>89</v>
      </c>
      <c r="DW17" s="104">
        <f>Inputs!DW522</f>
        <v>85</v>
      </c>
      <c r="DX17" s="104">
        <f>Inputs!DX522</f>
        <v>85</v>
      </c>
      <c r="DY17" s="100">
        <f>SUM(DU17:DX17)</f>
        <v>345</v>
      </c>
      <c r="DZ17" s="1110">
        <f>'Drivers (2)'!DZ48</f>
        <v>128</v>
      </c>
      <c r="EA17" s="1110">
        <f>'Drivers (2)'!EA48</f>
        <v>133</v>
      </c>
      <c r="EB17" s="1110">
        <f>'Drivers (2)'!EB48</f>
        <v>149</v>
      </c>
      <c r="EC17" s="1110">
        <f>'Drivers (2)'!EC48</f>
        <v>139</v>
      </c>
      <c r="ED17" s="1111">
        <f t="shared" si="0"/>
        <v>549</v>
      </c>
      <c r="EE17" s="1110">
        <f>'Drivers (2)'!EE48</f>
        <v>140</v>
      </c>
      <c r="EF17" s="1110">
        <f>'Drivers (2)'!EF48</f>
        <v>103</v>
      </c>
      <c r="EG17" s="1110">
        <f>'Drivers (2)'!EG48</f>
        <v>83</v>
      </c>
      <c r="EH17" s="1110">
        <f>'Drivers (2)'!EH48</f>
        <v>84</v>
      </c>
      <c r="EI17" s="1111">
        <f t="shared" si="1"/>
        <v>410</v>
      </c>
      <c r="EJ17" s="1110">
        <f>'Drivers (2)'!EJ48</f>
        <v>5</v>
      </c>
      <c r="EK17" s="1110">
        <f>'Drivers (2)'!EK48</f>
        <v>17</v>
      </c>
      <c r="EL17" s="1110">
        <f>'Drivers (2)'!EL48</f>
        <v>18</v>
      </c>
      <c r="EM17" s="1110">
        <f>'Drivers (2)'!EM48</f>
        <v>14</v>
      </c>
      <c r="EN17" s="1111">
        <f t="shared" si="2"/>
        <v>54</v>
      </c>
      <c r="EO17" s="1110">
        <f>'Drivers (2)'!EO48</f>
        <v>22</v>
      </c>
      <c r="EP17" s="1110">
        <f>'Drivers (2)'!EP48</f>
        <v>21</v>
      </c>
      <c r="EQ17" s="1110">
        <f>'Drivers (2)'!EQ48</f>
        <v>15</v>
      </c>
      <c r="ER17" s="1110">
        <f>'Drivers (2)'!ER48</f>
        <v>17</v>
      </c>
      <c r="ES17" s="1111">
        <f t="shared" si="3"/>
        <v>75</v>
      </c>
      <c r="ET17" s="1110">
        <f>'Drivers (2)'!ET48</f>
        <v>20</v>
      </c>
      <c r="EU17" s="1110">
        <f>'Drivers (2)'!EU48</f>
        <v>20</v>
      </c>
      <c r="EV17" s="1110">
        <f>'Drivers (2)'!EV48</f>
        <v>20</v>
      </c>
      <c r="EW17" s="1110">
        <f>'Drivers (2)'!EW48</f>
        <v>20</v>
      </c>
      <c r="EX17" s="1111">
        <f t="shared" si="5"/>
        <v>80</v>
      </c>
      <c r="EY17" s="1110">
        <f>'Drivers (2)'!EY48</f>
        <v>20</v>
      </c>
      <c r="EZ17" s="1110">
        <f>'Drivers (2)'!EZ48</f>
        <v>20</v>
      </c>
      <c r="FA17" s="1110">
        <f>'Drivers (2)'!FA48</f>
        <v>20</v>
      </c>
      <c r="FB17" s="1110">
        <f>'Drivers (2)'!FB48</f>
        <v>20</v>
      </c>
      <c r="FC17" s="1111">
        <f t="shared" si="7"/>
        <v>80</v>
      </c>
      <c r="FD17" s="1110">
        <f>'Drivers (2)'!FD48</f>
        <v>20</v>
      </c>
      <c r="FE17" s="1110">
        <f>'Drivers (2)'!FE48</f>
        <v>20</v>
      </c>
      <c r="FF17" s="1110">
        <f>'Drivers (2)'!FF48</f>
        <v>20</v>
      </c>
      <c r="FG17" s="1110">
        <f>'Drivers (2)'!FG48</f>
        <v>20</v>
      </c>
      <c r="FH17" s="1111">
        <f t="shared" si="9"/>
        <v>80</v>
      </c>
      <c r="FI17" s="1110">
        <f>'Drivers (2)'!FI48</f>
        <v>80</v>
      </c>
      <c r="FJ17" s="1110">
        <f>'Drivers (2)'!FJ48</f>
        <v>80</v>
      </c>
      <c r="FK17" s="1110">
        <f>'Drivers (2)'!FK48</f>
        <v>80</v>
      </c>
      <c r="FL17" s="1110">
        <f>'Drivers (2)'!FL48</f>
        <v>80</v>
      </c>
      <c r="FM17" s="1110">
        <f>'Drivers (2)'!FM48</f>
        <v>80</v>
      </c>
    </row>
    <row r="18" spans="1:170" x14ac:dyDescent="0.3">
      <c r="A18" s="90" t="s">
        <v>19</v>
      </c>
      <c r="DU18" s="85">
        <f>SUM(DU16:DU17)</f>
        <v>1946</v>
      </c>
      <c r="DV18" s="85">
        <f>SUM(DV16:DV17)</f>
        <v>1915</v>
      </c>
      <c r="DW18" s="85">
        <f>SUM(DW16:DW17)</f>
        <v>1849</v>
      </c>
      <c r="DX18" s="85">
        <f>SUM(DX16:DX17)</f>
        <v>1792</v>
      </c>
      <c r="DY18" s="85">
        <f>SUM(DU18:DX18)</f>
        <v>7502</v>
      </c>
      <c r="DZ18" s="1151">
        <f>SUM(DZ16:DZ17)</f>
        <v>1789</v>
      </c>
      <c r="EA18" s="1151">
        <f>SUM(EA16:EA17)</f>
        <v>1754</v>
      </c>
      <c r="EB18" s="1151">
        <f>SUM(EB16:EB17)</f>
        <v>1727</v>
      </c>
      <c r="EC18" s="1151">
        <f>SUM(EC16:EC17)</f>
        <v>1696</v>
      </c>
      <c r="ED18" s="900">
        <f t="shared" si="0"/>
        <v>6966</v>
      </c>
      <c r="EE18" s="1151">
        <f>SUM(EE16:EE17)</f>
        <v>1675</v>
      </c>
      <c r="EF18" s="1151">
        <f>SUM(EF16:EF17)</f>
        <v>1617</v>
      </c>
      <c r="EG18" s="1151">
        <f>SUM(EG16:EG17)</f>
        <v>1576</v>
      </c>
      <c r="EH18" s="1151">
        <f>SUM(EH16:EH17)</f>
        <v>1543</v>
      </c>
      <c r="EI18" s="900">
        <f t="shared" si="1"/>
        <v>6411</v>
      </c>
      <c r="EJ18" s="1151">
        <f>SUM(EJ16:EJ17)</f>
        <v>1447</v>
      </c>
      <c r="EK18" s="1151">
        <f>SUM(EK16:EK17)</f>
        <v>1459</v>
      </c>
      <c r="EL18" s="1151">
        <f>SUM(EL16:EL17)</f>
        <v>1444</v>
      </c>
      <c r="EM18" s="1151">
        <f>SUM(EM16:EM17)</f>
        <v>1437</v>
      </c>
      <c r="EN18" s="900">
        <f t="shared" si="2"/>
        <v>5787</v>
      </c>
      <c r="EO18" s="1151">
        <f>SUM(EO16:EO17)</f>
        <v>1440</v>
      </c>
      <c r="EP18" s="1151">
        <f>SUM(EP16:EP17)</f>
        <v>1449</v>
      </c>
      <c r="EQ18" s="1151">
        <f>SUM(EQ16:EQ17)</f>
        <v>1436</v>
      </c>
      <c r="ER18" s="1151">
        <f>SUM(ER16:ER17)</f>
        <v>1426</v>
      </c>
      <c r="ES18" s="900">
        <f t="shared" si="3"/>
        <v>5751</v>
      </c>
      <c r="ET18" s="1151">
        <f t="shared" ref="ET18:EW18" si="16">SUM(ET16:ET17)</f>
        <v>1432.4137787049372</v>
      </c>
      <c r="EU18" s="1151">
        <f t="shared" si="16"/>
        <v>1445.6742994953706</v>
      </c>
      <c r="EV18" s="1151">
        <f t="shared" si="16"/>
        <v>1440.8909406192211</v>
      </c>
      <c r="EW18" s="1151">
        <f t="shared" si="16"/>
        <v>1437.3412442046965</v>
      </c>
      <c r="EX18" s="900">
        <f t="shared" si="5"/>
        <v>5756.3202630242258</v>
      </c>
      <c r="EY18" s="1151">
        <f t="shared" ref="EY18:FB18" si="17">SUM(EY16:EY17)</f>
        <v>1448.5989151588235</v>
      </c>
      <c r="EZ18" s="1151">
        <f t="shared" si="17"/>
        <v>1473.0763871161007</v>
      </c>
      <c r="FA18" s="1151">
        <f t="shared" si="17"/>
        <v>1474.8525598046544</v>
      </c>
      <c r="FB18" s="1151">
        <f t="shared" si="17"/>
        <v>1479.837586098161</v>
      </c>
      <c r="FC18" s="900">
        <f t="shared" si="7"/>
        <v>5876.3654481777394</v>
      </c>
      <c r="FD18" s="1151">
        <f t="shared" ref="FD18:FM18" si="18">SUM(FD16:FD17)</f>
        <v>1500.6332038553592</v>
      </c>
      <c r="FE18" s="1151">
        <f t="shared" si="18"/>
        <v>1534.1922220475808</v>
      </c>
      <c r="FF18" s="1151">
        <f t="shared" si="18"/>
        <v>1541.081623646051</v>
      </c>
      <c r="FG18" s="1151">
        <f t="shared" si="18"/>
        <v>1551.2374383530121</v>
      </c>
      <c r="FH18" s="900">
        <f t="shared" si="9"/>
        <v>6127.1444879020028</v>
      </c>
      <c r="FI18" s="1151">
        <f t="shared" si="18"/>
        <v>6435.6183299681315</v>
      </c>
      <c r="FJ18" s="1151">
        <f t="shared" si="18"/>
        <v>6757.0308581458303</v>
      </c>
      <c r="FK18" s="1151">
        <f t="shared" si="18"/>
        <v>7075.4056315243852</v>
      </c>
      <c r="FL18" s="1151">
        <f t="shared" si="18"/>
        <v>7377.2081434667662</v>
      </c>
      <c r="FM18" s="1151">
        <f t="shared" si="18"/>
        <v>7656.8883876078708</v>
      </c>
    </row>
    <row r="19" spans="1:170" x14ac:dyDescent="0.3">
      <c r="A19" s="46" t="s">
        <v>29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4"/>
      <c r="DZ19" s="47">
        <f t="shared" ref="DZ19:EX19" si="19">+IFERROR(DZ18/DU18-1,"")</f>
        <v>-8.0678314491264169E-2</v>
      </c>
      <c r="EA19" s="47">
        <f t="shared" si="19"/>
        <v>-8.4073107049608353E-2</v>
      </c>
      <c r="EB19" s="47">
        <f t="shared" si="19"/>
        <v>-6.5981611681990238E-2</v>
      </c>
      <c r="EC19" s="47">
        <f t="shared" si="19"/>
        <v>-5.3571428571428603E-2</v>
      </c>
      <c r="ED19" s="52">
        <f t="shared" si="19"/>
        <v>-7.1447613969608081E-2</v>
      </c>
      <c r="EE19" s="47">
        <f t="shared" si="19"/>
        <v>-6.3722750139742823E-2</v>
      </c>
      <c r="EF19" s="47">
        <f t="shared" si="19"/>
        <v>-7.8107183580387707E-2</v>
      </c>
      <c r="EG19" s="47">
        <f t="shared" si="19"/>
        <v>-8.7434858135495119E-2</v>
      </c>
      <c r="EH19" s="47">
        <f t="shared" si="19"/>
        <v>-9.0212264150943411E-2</v>
      </c>
      <c r="EI19" s="52">
        <f t="shared" si="19"/>
        <v>-7.9672695951765737E-2</v>
      </c>
      <c r="EJ19" s="47">
        <f t="shared" si="19"/>
        <v>-0.13611940298507463</v>
      </c>
      <c r="EK19" s="47">
        <f t="shared" si="19"/>
        <v>-9.7711811997526321E-2</v>
      </c>
      <c r="EL19" s="47">
        <f t="shared" si="19"/>
        <v>-8.3756345177664948E-2</v>
      </c>
      <c r="EM19" s="47">
        <f t="shared" si="19"/>
        <v>-6.8697342838626052E-2</v>
      </c>
      <c r="EN19" s="52">
        <f t="shared" si="19"/>
        <v>-9.7332709405708928E-2</v>
      </c>
      <c r="EO19" s="47">
        <f t="shared" si="19"/>
        <v>-4.8375950241880128E-3</v>
      </c>
      <c r="EP19" s="47">
        <f t="shared" si="19"/>
        <v>-6.8540095956134417E-3</v>
      </c>
      <c r="EQ19" s="47">
        <f t="shared" si="19"/>
        <v>-5.5401662049860967E-3</v>
      </c>
      <c r="ER19" s="47">
        <f t="shared" si="19"/>
        <v>-7.6548364648573175E-3</v>
      </c>
      <c r="ES19" s="52">
        <f t="shared" si="19"/>
        <v>-6.2208398133748455E-3</v>
      </c>
      <c r="ET19" s="47">
        <f t="shared" si="19"/>
        <v>-5.2682092326825636E-3</v>
      </c>
      <c r="EU19" s="47">
        <f t="shared" si="19"/>
        <v>-2.2951694303859904E-3</v>
      </c>
      <c r="EV19" s="47">
        <f t="shared" si="19"/>
        <v>3.4059475064214251E-3</v>
      </c>
      <c r="EW19" s="47">
        <f t="shared" si="19"/>
        <v>7.9531866793103312E-3</v>
      </c>
      <c r="EX19" s="52">
        <f t="shared" si="19"/>
        <v>9.2510224730069091E-4</v>
      </c>
      <c r="EY19" s="47">
        <f t="shared" ref="EY19" si="20">+IFERROR(EY18/ET18-1,"")</f>
        <v>1.1299204667327034E-2</v>
      </c>
      <c r="EZ19" s="47">
        <f t="shared" ref="EZ19" si="21">+IFERROR(EZ18/EU18-1,"")</f>
        <v>1.8954537429554552E-2</v>
      </c>
      <c r="FA19" s="47">
        <f t="shared" ref="FA19" si="22">+IFERROR(FA18/EV18-1,"")</f>
        <v>2.3569874879523001E-2</v>
      </c>
      <c r="FB19" s="47">
        <f t="shared" ref="FB19:FC19" si="23">+IFERROR(FB18/EW18-1,"")</f>
        <v>2.9565937848655022E-2</v>
      </c>
      <c r="FC19" s="52">
        <f t="shared" si="23"/>
        <v>2.0854500734544645E-2</v>
      </c>
      <c r="FD19" s="47">
        <f t="shared" ref="FD19" si="24">+IFERROR(FD18/EY18-1,"")</f>
        <v>3.5920425006552348E-2</v>
      </c>
      <c r="FE19" s="47">
        <f t="shared" ref="FE19" si="25">+IFERROR(FE18/EZ18-1,"")</f>
        <v>4.1488571445455591E-2</v>
      </c>
      <c r="FF19" s="47">
        <f t="shared" ref="FF19" si="26">+IFERROR(FF18/FA18-1,"")</f>
        <v>4.4905548965632702E-2</v>
      </c>
      <c r="FG19" s="47">
        <f t="shared" ref="FG19:FH19" si="27">+IFERROR(FG18/FB18-1,"")</f>
        <v>4.824843815672275E-2</v>
      </c>
      <c r="FH19" s="52">
        <f t="shared" si="27"/>
        <v>4.2675875409013297E-2</v>
      </c>
      <c r="FI19" s="47">
        <f t="shared" ref="FI19:FM19" si="28">+IFERROR(FI18/FH18-1,"")</f>
        <v>5.0345449283137889E-2</v>
      </c>
      <c r="FJ19" s="47">
        <f t="shared" si="28"/>
        <v>4.9942757898026269E-2</v>
      </c>
      <c r="FK19" s="47">
        <f t="shared" si="28"/>
        <v>4.7117555041907622E-2</v>
      </c>
      <c r="FL19" s="47">
        <f t="shared" si="28"/>
        <v>4.2655153309896887E-2</v>
      </c>
      <c r="FM19" s="47">
        <f t="shared" si="28"/>
        <v>3.7911393944982885E-2</v>
      </c>
    </row>
    <row r="20" spans="1:170" x14ac:dyDescent="0.3">
      <c r="EO20"/>
      <c r="EP20"/>
      <c r="EQ20"/>
      <c r="ER20"/>
      <c r="ES20" s="90"/>
      <c r="EX20" s="90"/>
      <c r="FC20" s="90"/>
      <c r="FH20" s="90"/>
    </row>
    <row r="21" spans="1:170" hidden="1" x14ac:dyDescent="0.3">
      <c r="A21" s="1076" t="s">
        <v>30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44"/>
      <c r="DV21" s="44"/>
      <c r="DW21" s="44"/>
      <c r="DX21" s="44"/>
      <c r="DY21" s="45"/>
      <c r="DZ21" s="44"/>
      <c r="EA21" s="44"/>
      <c r="EB21" s="44"/>
      <c r="EC21" s="44"/>
      <c r="ED21" s="45"/>
      <c r="EE21" s="44"/>
      <c r="EF21" s="44"/>
      <c r="EG21" s="44"/>
      <c r="EH21" s="44"/>
      <c r="EI21" s="45"/>
      <c r="EJ21" s="44"/>
      <c r="EK21" s="44"/>
      <c r="EL21" s="44"/>
      <c r="EM21" s="44"/>
      <c r="EN21" s="53"/>
      <c r="EO21" s="44"/>
      <c r="EP21" s="44"/>
      <c r="EQ21" s="44"/>
      <c r="ER21" s="44"/>
      <c r="ES21" s="53"/>
      <c r="ET21" s="45"/>
      <c r="EU21" s="45"/>
      <c r="EV21" s="45"/>
      <c r="EW21" s="45"/>
      <c r="EX21" s="53"/>
      <c r="EY21" s="45"/>
      <c r="EZ21" s="45"/>
      <c r="FA21" s="45"/>
      <c r="FB21" s="45"/>
      <c r="FC21" s="53"/>
      <c r="FD21" s="45"/>
      <c r="FE21" s="45"/>
      <c r="FF21" s="45"/>
      <c r="FG21" s="45"/>
      <c r="FH21" s="53"/>
      <c r="FI21" s="44"/>
      <c r="FJ21" s="44"/>
      <c r="FK21" s="44"/>
      <c r="FL21" s="44"/>
      <c r="FM21" s="44"/>
      <c r="FN21" s="189"/>
    </row>
    <row r="22" spans="1:170" hidden="1" x14ac:dyDescent="0.3">
      <c r="A22" s="27" t="s">
        <v>31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44">
        <f>Inputs!DU510</f>
        <v>888</v>
      </c>
      <c r="DV22" s="44">
        <f>Inputs!DV510</f>
        <v>885</v>
      </c>
      <c r="DW22" s="44">
        <f>Inputs!DW510</f>
        <v>851</v>
      </c>
      <c r="DX22" s="44">
        <f>Inputs!DX510</f>
        <v>822</v>
      </c>
      <c r="DY22" s="45">
        <f t="shared" ref="DY22:DY27" si="29">SUM(DU22:DX22)</f>
        <v>3446</v>
      </c>
      <c r="DZ22" s="44">
        <f>Inputs!DZ510</f>
        <v>855</v>
      </c>
      <c r="EA22" s="44">
        <f>Inputs!EA510</f>
        <v>849</v>
      </c>
      <c r="EB22" s="44">
        <f>Inputs!EB510</f>
        <v>838</v>
      </c>
      <c r="EC22" s="44">
        <f>Inputs!EC510</f>
        <v>834</v>
      </c>
      <c r="ED22" s="45">
        <f t="shared" ref="ED22:ED27" si="30">SUM(DZ22:EC22)</f>
        <v>3376</v>
      </c>
      <c r="EE22" s="44">
        <f>Inputs!EE510</f>
        <v>842</v>
      </c>
      <c r="EF22" s="44">
        <f>Inputs!EF510</f>
        <v>839</v>
      </c>
      <c r="EG22" s="44">
        <f>'Drivers (2)'!EG659</f>
        <v>834</v>
      </c>
      <c r="EH22" s="44" t="e">
        <f>'Drivers (2)'!EH659</f>
        <v>#REF!</v>
      </c>
      <c r="EI22" s="45" t="e">
        <f t="shared" ref="EI22:EI27" si="31">SUM(EE22:EH22)</f>
        <v>#REF!</v>
      </c>
      <c r="EJ22" s="44" t="e">
        <f>'Drivers (2)'!EJ659</f>
        <v>#REF!</v>
      </c>
      <c r="EK22" s="44" t="e">
        <f>'Drivers (2)'!EK659</f>
        <v>#REF!</v>
      </c>
      <c r="EL22" s="44" t="e">
        <f>'Drivers (2)'!EL659</f>
        <v>#REF!</v>
      </c>
      <c r="EM22" s="44" t="e">
        <f>'Drivers (2)'!EM659</f>
        <v>#REF!</v>
      </c>
      <c r="EN22" s="45" t="e">
        <f t="shared" ref="EN22:EN27" si="32">SUM(EJ22:EM22)</f>
        <v>#REF!</v>
      </c>
      <c r="EO22" s="44">
        <f>'Drivers (2)'!EO659</f>
        <v>0</v>
      </c>
      <c r="EP22" s="44">
        <f>'Drivers (2)'!EP659</f>
        <v>0</v>
      </c>
      <c r="EQ22" s="44">
        <f>'Drivers (2)'!EQ659</f>
        <v>0</v>
      </c>
      <c r="ER22" s="44">
        <f>'Drivers (2)'!ER659</f>
        <v>0</v>
      </c>
      <c r="ES22" s="45">
        <f t="shared" ref="ES22:ES27" si="33">SUM(EO22:ER22)</f>
        <v>0</v>
      </c>
      <c r="ET22" s="44">
        <f>'Drivers (2)'!ET659</f>
        <v>0</v>
      </c>
      <c r="EU22" s="44">
        <f>'Drivers (2)'!EU659</f>
        <v>0</v>
      </c>
      <c r="EV22" s="44">
        <f>'Drivers (2)'!EV659</f>
        <v>0</v>
      </c>
      <c r="EW22" s="44">
        <f>'Drivers (2)'!EW659</f>
        <v>0</v>
      </c>
      <c r="EX22" s="45">
        <f t="shared" ref="EX22:EX27" si="34">SUM(ET22:EW22)</f>
        <v>0</v>
      </c>
      <c r="EY22" s="44">
        <f>'Drivers (2)'!EY659</f>
        <v>0</v>
      </c>
      <c r="EZ22" s="44">
        <f>'Drivers (2)'!EZ659</f>
        <v>0</v>
      </c>
      <c r="FA22" s="44">
        <f>'Drivers (2)'!FA659</f>
        <v>0</v>
      </c>
      <c r="FB22" s="44">
        <f>'Drivers (2)'!FB659</f>
        <v>0</v>
      </c>
      <c r="FC22" s="45">
        <f t="shared" ref="FC22:FC27" si="35">SUM(EY22:FB22)</f>
        <v>0</v>
      </c>
      <c r="FD22" s="44">
        <f>'Drivers (2)'!FD659</f>
        <v>0</v>
      </c>
      <c r="FE22" s="44">
        <f>'Drivers (2)'!FE659</f>
        <v>0</v>
      </c>
      <c r="FF22" s="44">
        <f>'Drivers (2)'!FF659</f>
        <v>0</v>
      </c>
      <c r="FG22" s="44">
        <f>'Drivers (2)'!FG659</f>
        <v>0</v>
      </c>
      <c r="FH22" s="45">
        <f t="shared" ref="FH22:FH27" si="36">SUM(FD22:FG22)</f>
        <v>0</v>
      </c>
      <c r="FI22" s="44" t="e">
        <f>'Drivers (2)'!FI659</f>
        <v>#REF!</v>
      </c>
      <c r="FJ22" s="44" t="e">
        <f>'Drivers (2)'!FJ659</f>
        <v>#REF!</v>
      </c>
      <c r="FK22" s="44" t="e">
        <f>'Drivers (2)'!FK659</f>
        <v>#REF!</v>
      </c>
      <c r="FL22" s="44" t="e">
        <f>'Drivers (2)'!FL659</f>
        <v>#REF!</v>
      </c>
      <c r="FM22" s="44" t="e">
        <f>'Drivers (2)'!FM659</f>
        <v>#REF!</v>
      </c>
      <c r="FN22" s="189" t="e">
        <f t="shared" ref="FN22:FN28" si="37">+(FJ22/ES22)^0.2-1</f>
        <v>#REF!</v>
      </c>
    </row>
    <row r="23" spans="1:170" hidden="1" x14ac:dyDescent="0.3">
      <c r="A23" s="27" t="s">
        <v>32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44">
        <f>Inputs!DU511</f>
        <v>604</v>
      </c>
      <c r="DV23" s="44">
        <f>Inputs!DV511</f>
        <v>582</v>
      </c>
      <c r="DW23" s="44">
        <f>Inputs!DW511</f>
        <v>574</v>
      </c>
      <c r="DX23" s="44">
        <f>Inputs!DX511</f>
        <v>555</v>
      </c>
      <c r="DY23" s="45">
        <f t="shared" si="29"/>
        <v>2315</v>
      </c>
      <c r="DZ23" s="44">
        <f>Inputs!DZ511</f>
        <v>529</v>
      </c>
      <c r="EA23" s="44">
        <f>Inputs!EA511</f>
        <v>509</v>
      </c>
      <c r="EB23" s="44">
        <f>Inputs!EB511</f>
        <v>500</v>
      </c>
      <c r="EC23" s="44">
        <f>Inputs!EC511</f>
        <v>490</v>
      </c>
      <c r="ED23" s="45">
        <f t="shared" si="30"/>
        <v>2028</v>
      </c>
      <c r="EE23" s="44">
        <f>Inputs!EE511</f>
        <v>487</v>
      </c>
      <c r="EF23" s="44">
        <f>Inputs!EF511</f>
        <v>443</v>
      </c>
      <c r="EG23" s="44">
        <f>'Drivers (2)'!EG660</f>
        <v>411</v>
      </c>
      <c r="EH23" s="44" t="e">
        <f>'Drivers (2)'!EH660</f>
        <v>#REF!</v>
      </c>
      <c r="EI23" s="45" t="e">
        <f t="shared" si="31"/>
        <v>#REF!</v>
      </c>
      <c r="EJ23" s="44" t="e">
        <f>'Drivers (2)'!EJ660</f>
        <v>#REF!</v>
      </c>
      <c r="EK23" s="44" t="e">
        <f>'Drivers (2)'!EK660</f>
        <v>#REF!</v>
      </c>
      <c r="EL23" s="44" t="e">
        <f>'Drivers (2)'!EL660</f>
        <v>#REF!</v>
      </c>
      <c r="EM23" s="44" t="e">
        <f>'Drivers (2)'!EM660</f>
        <v>#REF!</v>
      </c>
      <c r="EN23" s="45" t="e">
        <f t="shared" si="32"/>
        <v>#REF!</v>
      </c>
      <c r="EO23" s="44">
        <f>'Drivers (2)'!EO660</f>
        <v>0</v>
      </c>
      <c r="EP23" s="44">
        <f>'Drivers (2)'!EP660</f>
        <v>0</v>
      </c>
      <c r="EQ23" s="44">
        <f>'Drivers (2)'!EQ660</f>
        <v>0</v>
      </c>
      <c r="ER23" s="44">
        <f>'Drivers (2)'!ER660</f>
        <v>0</v>
      </c>
      <c r="ES23" s="45">
        <f t="shared" si="33"/>
        <v>0</v>
      </c>
      <c r="ET23" s="44">
        <f>'Drivers (2)'!ET660</f>
        <v>0</v>
      </c>
      <c r="EU23" s="44">
        <f>'Drivers (2)'!EU660</f>
        <v>0</v>
      </c>
      <c r="EV23" s="44">
        <f>'Drivers (2)'!EV660</f>
        <v>0</v>
      </c>
      <c r="EW23" s="44">
        <f>'Drivers (2)'!EW660</f>
        <v>0</v>
      </c>
      <c r="EX23" s="45">
        <f t="shared" si="34"/>
        <v>0</v>
      </c>
      <c r="EY23" s="44">
        <f>'Drivers (2)'!EY660</f>
        <v>0</v>
      </c>
      <c r="EZ23" s="44">
        <f>'Drivers (2)'!EZ660</f>
        <v>0</v>
      </c>
      <c r="FA23" s="44">
        <f>'Drivers (2)'!FA660</f>
        <v>0</v>
      </c>
      <c r="FB23" s="44">
        <f>'Drivers (2)'!FB660</f>
        <v>0</v>
      </c>
      <c r="FC23" s="45">
        <f t="shared" si="35"/>
        <v>0</v>
      </c>
      <c r="FD23" s="44">
        <f>'Drivers (2)'!FD660</f>
        <v>0</v>
      </c>
      <c r="FE23" s="44">
        <f>'Drivers (2)'!FE660</f>
        <v>0</v>
      </c>
      <c r="FF23" s="44">
        <f>'Drivers (2)'!FF660</f>
        <v>0</v>
      </c>
      <c r="FG23" s="44">
        <f>'Drivers (2)'!FG660</f>
        <v>0</v>
      </c>
      <c r="FH23" s="45">
        <f t="shared" si="36"/>
        <v>0</v>
      </c>
      <c r="FI23" s="44" t="e">
        <f>'Drivers (2)'!FI660</f>
        <v>#REF!</v>
      </c>
      <c r="FJ23" s="44" t="e">
        <f>'Drivers (2)'!FJ660</f>
        <v>#REF!</v>
      </c>
      <c r="FK23" s="44" t="e">
        <f>'Drivers (2)'!FK660</f>
        <v>#REF!</v>
      </c>
      <c r="FL23" s="44" t="e">
        <f>'Drivers (2)'!FL660</f>
        <v>#REF!</v>
      </c>
      <c r="FM23" s="44" t="e">
        <f>'Drivers (2)'!FM660</f>
        <v>#REF!</v>
      </c>
      <c r="FN23" s="189" t="e">
        <f t="shared" si="37"/>
        <v>#REF!</v>
      </c>
    </row>
    <row r="24" spans="1:170" hidden="1" x14ac:dyDescent="0.3">
      <c r="A24" s="27" t="s">
        <v>33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44">
        <f>Inputs!DU512</f>
        <v>255</v>
      </c>
      <c r="DV24" s="44">
        <f>Inputs!DV512</f>
        <v>248</v>
      </c>
      <c r="DW24" s="44">
        <f>Inputs!DW512</f>
        <v>233</v>
      </c>
      <c r="DX24" s="44">
        <f>Inputs!DX512</f>
        <v>222</v>
      </c>
      <c r="DY24" s="45">
        <f t="shared" si="29"/>
        <v>958</v>
      </c>
      <c r="DZ24" s="44">
        <f>Inputs!DZ512</f>
        <v>212</v>
      </c>
      <c r="EA24" s="44">
        <f>Inputs!EA512</f>
        <v>197</v>
      </c>
      <c r="EB24" s="44">
        <f>Inputs!EB512</f>
        <v>186</v>
      </c>
      <c r="EC24" s="44">
        <f>Inputs!EC512</f>
        <v>181</v>
      </c>
      <c r="ED24" s="45">
        <f t="shared" si="30"/>
        <v>776</v>
      </c>
      <c r="EE24" s="44">
        <f>Inputs!EE512</f>
        <v>169</v>
      </c>
      <c r="EF24" s="44">
        <f>Inputs!EF512</f>
        <v>159</v>
      </c>
      <c r="EG24" s="44">
        <f>'Drivers (2)'!EG661</f>
        <v>149</v>
      </c>
      <c r="EH24" s="44" t="e">
        <f>'Drivers (2)'!EH661</f>
        <v>#REF!</v>
      </c>
      <c r="EI24" s="45" t="e">
        <f t="shared" si="31"/>
        <v>#REF!</v>
      </c>
      <c r="EJ24" s="44" t="e">
        <f>'Drivers (2)'!EJ661</f>
        <v>#REF!</v>
      </c>
      <c r="EK24" s="44" t="e">
        <f>'Drivers (2)'!EK661</f>
        <v>#REF!</v>
      </c>
      <c r="EL24" s="44" t="e">
        <f>'Drivers (2)'!EL661</f>
        <v>#REF!</v>
      </c>
      <c r="EM24" s="44" t="e">
        <f>'Drivers (2)'!EM661</f>
        <v>#REF!</v>
      </c>
      <c r="EN24" s="45" t="e">
        <f t="shared" si="32"/>
        <v>#REF!</v>
      </c>
      <c r="EO24" s="44">
        <f>'Drivers (2)'!EO661</f>
        <v>0</v>
      </c>
      <c r="EP24" s="44">
        <f>'Drivers (2)'!EP661</f>
        <v>0</v>
      </c>
      <c r="EQ24" s="44">
        <f>'Drivers (2)'!EQ661</f>
        <v>0</v>
      </c>
      <c r="ER24" s="44">
        <f>'Drivers (2)'!ER661</f>
        <v>0</v>
      </c>
      <c r="ES24" s="45">
        <f t="shared" si="33"/>
        <v>0</v>
      </c>
      <c r="ET24" s="44">
        <f>'Drivers (2)'!ET661</f>
        <v>0</v>
      </c>
      <c r="EU24" s="44">
        <f>'Drivers (2)'!EU661</f>
        <v>0</v>
      </c>
      <c r="EV24" s="44">
        <f>'Drivers (2)'!EV661</f>
        <v>0</v>
      </c>
      <c r="EW24" s="44">
        <f>'Drivers (2)'!EW661</f>
        <v>0</v>
      </c>
      <c r="EX24" s="45">
        <f t="shared" si="34"/>
        <v>0</v>
      </c>
      <c r="EY24" s="44">
        <f>'Drivers (2)'!EY661</f>
        <v>0</v>
      </c>
      <c r="EZ24" s="44">
        <f>'Drivers (2)'!EZ661</f>
        <v>0</v>
      </c>
      <c r="FA24" s="44">
        <f>'Drivers (2)'!FA661</f>
        <v>0</v>
      </c>
      <c r="FB24" s="44">
        <f>'Drivers (2)'!FB661</f>
        <v>0</v>
      </c>
      <c r="FC24" s="45">
        <f t="shared" si="35"/>
        <v>0</v>
      </c>
      <c r="FD24" s="44">
        <f>'Drivers (2)'!FD661</f>
        <v>0</v>
      </c>
      <c r="FE24" s="44">
        <f>'Drivers (2)'!FE661</f>
        <v>0</v>
      </c>
      <c r="FF24" s="44">
        <f>'Drivers (2)'!FF661</f>
        <v>0</v>
      </c>
      <c r="FG24" s="44">
        <f>'Drivers (2)'!FG661</f>
        <v>0</v>
      </c>
      <c r="FH24" s="45">
        <f t="shared" si="36"/>
        <v>0</v>
      </c>
      <c r="FI24" s="44" t="e">
        <f>'Drivers (2)'!FI661</f>
        <v>#REF!</v>
      </c>
      <c r="FJ24" s="44" t="e">
        <f>'Drivers (2)'!FJ661</f>
        <v>#REF!</v>
      </c>
      <c r="FK24" s="44" t="e">
        <f>'Drivers (2)'!FK661</f>
        <v>#REF!</v>
      </c>
      <c r="FL24" s="44" t="e">
        <f>'Drivers (2)'!FL661</f>
        <v>#REF!</v>
      </c>
      <c r="FM24" s="44" t="e">
        <f>'Drivers (2)'!FM661</f>
        <v>#REF!</v>
      </c>
      <c r="FN24" s="189" t="e">
        <f t="shared" si="37"/>
        <v>#REF!</v>
      </c>
    </row>
    <row r="25" spans="1:170" hidden="1" x14ac:dyDescent="0.3">
      <c r="A25" s="27" t="s">
        <v>34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44">
        <f>Inputs!DU513</f>
        <v>113</v>
      </c>
      <c r="DV25" s="44">
        <f>Inputs!DV513</f>
        <v>111</v>
      </c>
      <c r="DW25" s="44">
        <f>Inputs!DW513</f>
        <v>106</v>
      </c>
      <c r="DX25" s="44">
        <f>Inputs!DX513</f>
        <v>108</v>
      </c>
      <c r="DY25" s="45">
        <f t="shared" si="29"/>
        <v>438</v>
      </c>
      <c r="DZ25" s="44">
        <f>Inputs!DZ513</f>
        <v>108</v>
      </c>
      <c r="EA25" s="44">
        <f>Inputs!EA513</f>
        <v>105</v>
      </c>
      <c r="EB25" s="44">
        <f>Inputs!EB513</f>
        <v>103</v>
      </c>
      <c r="EC25" s="44">
        <f>Inputs!EC513</f>
        <v>101</v>
      </c>
      <c r="ED25" s="45">
        <f t="shared" si="30"/>
        <v>417</v>
      </c>
      <c r="EE25" s="44">
        <f>Inputs!EE513</f>
        <v>95</v>
      </c>
      <c r="EF25" s="44">
        <f>Inputs!EF513</f>
        <v>92</v>
      </c>
      <c r="EG25" s="44">
        <f>'Drivers (2)'!EG662</f>
        <v>99</v>
      </c>
      <c r="EH25" s="44" t="e">
        <f>'Drivers (2)'!EH662</f>
        <v>#REF!</v>
      </c>
      <c r="EI25" s="45"/>
      <c r="EJ25" s="44" t="e">
        <f>'Drivers (2)'!EJ662</f>
        <v>#REF!</v>
      </c>
      <c r="EK25" s="44" t="e">
        <f>'Drivers (2)'!EK662</f>
        <v>#REF!</v>
      </c>
      <c r="EL25" s="44" t="e">
        <f>'Drivers (2)'!EL662</f>
        <v>#REF!</v>
      </c>
      <c r="EM25" s="44" t="e">
        <f>'Drivers (2)'!EM662</f>
        <v>#REF!</v>
      </c>
      <c r="EN25" s="45"/>
      <c r="EO25" s="44">
        <f>'Drivers (2)'!EO662</f>
        <v>0</v>
      </c>
      <c r="EP25" s="44">
        <f>'Drivers (2)'!EP662</f>
        <v>0</v>
      </c>
      <c r="EQ25" s="44">
        <f>'Drivers (2)'!EQ662</f>
        <v>0</v>
      </c>
      <c r="ER25" s="44">
        <f>'Drivers (2)'!ER662</f>
        <v>0</v>
      </c>
      <c r="ES25" s="45"/>
      <c r="ET25" s="44"/>
      <c r="EU25" s="44"/>
      <c r="EV25" s="44"/>
      <c r="EW25" s="44"/>
      <c r="EX25" s="45"/>
      <c r="EY25" s="44"/>
      <c r="EZ25" s="44"/>
      <c r="FA25" s="44"/>
      <c r="FB25" s="44"/>
      <c r="FC25" s="45"/>
      <c r="FD25" s="44"/>
      <c r="FE25" s="44"/>
      <c r="FF25" s="44"/>
      <c r="FG25" s="44"/>
      <c r="FH25" s="45"/>
      <c r="FI25" s="44"/>
      <c r="FJ25" s="44"/>
      <c r="FK25" s="44"/>
      <c r="FL25" s="44"/>
      <c r="FM25" s="44"/>
      <c r="FN25" s="189" t="e">
        <f t="shared" si="37"/>
        <v>#DIV/0!</v>
      </c>
    </row>
    <row r="26" spans="1:170" hidden="1" x14ac:dyDescent="0.3">
      <c r="A26" s="29" t="s">
        <v>35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858">
        <f>SUM(DU22:DU25)</f>
        <v>1860</v>
      </c>
      <c r="DV26" s="858">
        <f>SUM(DV22:DV25)</f>
        <v>1826</v>
      </c>
      <c r="DW26" s="858">
        <f>SUM(DW22:DW25)</f>
        <v>1764</v>
      </c>
      <c r="DX26" s="858">
        <f>SUM(DX22:DX25)</f>
        <v>1707</v>
      </c>
      <c r="DY26" s="858">
        <f t="shared" si="29"/>
        <v>7157</v>
      </c>
      <c r="DZ26" s="858">
        <f>SUM(DZ22:DZ25)</f>
        <v>1704</v>
      </c>
      <c r="EA26" s="858">
        <f>SUM(EA22:EA25)</f>
        <v>1660</v>
      </c>
      <c r="EB26" s="858">
        <f>SUM(EB22:EB25)</f>
        <v>1627</v>
      </c>
      <c r="EC26" s="858">
        <f>SUM(EC22:EC25)</f>
        <v>1606</v>
      </c>
      <c r="ED26" s="858">
        <f t="shared" si="30"/>
        <v>6597</v>
      </c>
      <c r="EE26" s="858">
        <f>SUM(EE22:EE25)</f>
        <v>1593</v>
      </c>
      <c r="EF26" s="858">
        <f>SUM(EF22:EF25)</f>
        <v>1533</v>
      </c>
      <c r="EG26" s="858">
        <f>SUM(EG22:EG25)</f>
        <v>1493</v>
      </c>
      <c r="EH26" s="858" t="e">
        <f>SUM(EH22:EH25)</f>
        <v>#REF!</v>
      </c>
      <c r="EI26" s="858" t="e">
        <f t="shared" si="31"/>
        <v>#REF!</v>
      </c>
      <c r="EJ26" s="858" t="e">
        <f>SUM(EJ22:EJ25)</f>
        <v>#REF!</v>
      </c>
      <c r="EK26" s="858" t="e">
        <f>SUM(EK22:EK25)</f>
        <v>#REF!</v>
      </c>
      <c r="EL26" s="858" t="e">
        <f>SUM(EL22:EL25)</f>
        <v>#REF!</v>
      </c>
      <c r="EM26" s="858" t="e">
        <f>SUM(EM22:EM25)</f>
        <v>#REF!</v>
      </c>
      <c r="EN26" s="858" t="e">
        <f t="shared" si="32"/>
        <v>#REF!</v>
      </c>
      <c r="EO26" s="858">
        <f>SUM(EO22:EO25)</f>
        <v>0</v>
      </c>
      <c r="EP26" s="858">
        <f>SUM(EP22:EP25)</f>
        <v>0</v>
      </c>
      <c r="EQ26" s="858">
        <f>SUM(EQ22:EQ25)</f>
        <v>0</v>
      </c>
      <c r="ER26" s="858">
        <f>SUM(ER22:ER25)</f>
        <v>0</v>
      </c>
      <c r="ES26" s="858">
        <f t="shared" si="33"/>
        <v>0</v>
      </c>
      <c r="ET26" s="858">
        <f t="shared" ref="ET26:EW26" si="38">SUM(ET22:ET25)</f>
        <v>0</v>
      </c>
      <c r="EU26" s="858">
        <f t="shared" si="38"/>
        <v>0</v>
      </c>
      <c r="EV26" s="858">
        <f t="shared" si="38"/>
        <v>0</v>
      </c>
      <c r="EW26" s="858">
        <f t="shared" si="38"/>
        <v>0</v>
      </c>
      <c r="EX26" s="858">
        <f t="shared" si="34"/>
        <v>0</v>
      </c>
      <c r="EY26" s="858">
        <f t="shared" ref="EY26:FB26" si="39">SUM(EY22:EY25)</f>
        <v>0</v>
      </c>
      <c r="EZ26" s="858">
        <f t="shared" si="39"/>
        <v>0</v>
      </c>
      <c r="FA26" s="858">
        <f t="shared" si="39"/>
        <v>0</v>
      </c>
      <c r="FB26" s="858">
        <f t="shared" si="39"/>
        <v>0</v>
      </c>
      <c r="FC26" s="858">
        <f t="shared" si="35"/>
        <v>0</v>
      </c>
      <c r="FD26" s="858">
        <f t="shared" ref="FD26:FM26" si="40">SUM(FD22:FD25)</f>
        <v>0</v>
      </c>
      <c r="FE26" s="858">
        <f t="shared" si="40"/>
        <v>0</v>
      </c>
      <c r="FF26" s="858">
        <f t="shared" si="40"/>
        <v>0</v>
      </c>
      <c r="FG26" s="858">
        <f t="shared" si="40"/>
        <v>0</v>
      </c>
      <c r="FH26" s="858">
        <f t="shared" si="36"/>
        <v>0</v>
      </c>
      <c r="FI26" s="858" t="e">
        <f t="shared" si="40"/>
        <v>#REF!</v>
      </c>
      <c r="FJ26" s="858" t="e">
        <f t="shared" si="40"/>
        <v>#REF!</v>
      </c>
      <c r="FK26" s="858" t="e">
        <f t="shared" si="40"/>
        <v>#REF!</v>
      </c>
      <c r="FL26" s="858" t="e">
        <f t="shared" si="40"/>
        <v>#REF!</v>
      </c>
      <c r="FM26" s="858" t="e">
        <f t="shared" si="40"/>
        <v>#REF!</v>
      </c>
      <c r="FN26" s="717" t="e">
        <f t="shared" si="37"/>
        <v>#REF!</v>
      </c>
    </row>
    <row r="27" spans="1:170" hidden="1" x14ac:dyDescent="0.3">
      <c r="A27" s="30" t="s">
        <v>36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44" t="e">
        <f>+'Drivers (2)'!#REF!</f>
        <v>#REF!</v>
      </c>
      <c r="DV27" s="44" t="e">
        <f>+'Drivers (2)'!#REF!</f>
        <v>#REF!</v>
      </c>
      <c r="DW27" s="44" t="e">
        <f>+'Drivers (2)'!#REF!</f>
        <v>#REF!</v>
      </c>
      <c r="DX27" s="44" t="e">
        <f>+'Drivers (2)'!#REF!</f>
        <v>#REF!</v>
      </c>
      <c r="DY27" s="45" t="e">
        <f t="shared" si="29"/>
        <v>#REF!</v>
      </c>
      <c r="DZ27" s="44" t="e">
        <f>+'Drivers (2)'!#REF!</f>
        <v>#REF!</v>
      </c>
      <c r="EA27" s="44" t="e">
        <f>+'Drivers (2)'!#REF!</f>
        <v>#REF!</v>
      </c>
      <c r="EB27" s="44" t="e">
        <f>+'Drivers (2)'!#REF!</f>
        <v>#REF!</v>
      </c>
      <c r="EC27" s="44" t="e">
        <f>+'Drivers (2)'!#REF!</f>
        <v>#REF!</v>
      </c>
      <c r="ED27" s="45" t="e">
        <f t="shared" si="30"/>
        <v>#REF!</v>
      </c>
      <c r="EE27" s="44" t="e">
        <f>+'Drivers (2)'!#REF!</f>
        <v>#REF!</v>
      </c>
      <c r="EF27" s="44" t="e">
        <f>+'Drivers (2)'!#REF!</f>
        <v>#REF!</v>
      </c>
      <c r="EG27" s="44" t="e">
        <f>+'Drivers (2)'!#REF!</f>
        <v>#REF!</v>
      </c>
      <c r="EH27" s="44" t="e">
        <f>+'Drivers (2)'!#REF!</f>
        <v>#REF!</v>
      </c>
      <c r="EI27" s="45" t="e">
        <f t="shared" si="31"/>
        <v>#REF!</v>
      </c>
      <c r="EJ27" s="44" t="e">
        <f>+'Drivers (2)'!#REF!</f>
        <v>#REF!</v>
      </c>
      <c r="EK27" s="44" t="e">
        <f>+'Drivers (2)'!#REF!</f>
        <v>#REF!</v>
      </c>
      <c r="EL27" s="44" t="e">
        <f>+'Drivers (2)'!#REF!</f>
        <v>#REF!</v>
      </c>
      <c r="EM27" s="44" t="e">
        <f>+'Drivers (2)'!#REF!</f>
        <v>#REF!</v>
      </c>
      <c r="EN27" s="45" t="e">
        <f t="shared" si="32"/>
        <v>#REF!</v>
      </c>
      <c r="EO27" s="44" t="e">
        <f>+'Drivers (2)'!#REF!</f>
        <v>#REF!</v>
      </c>
      <c r="EP27" s="44" t="e">
        <f>+'Drivers (2)'!#REF!</f>
        <v>#REF!</v>
      </c>
      <c r="EQ27" s="44" t="e">
        <f>+'Drivers (2)'!#REF!</f>
        <v>#REF!</v>
      </c>
      <c r="ER27" s="44" t="e">
        <f>+'Drivers (2)'!#REF!</f>
        <v>#REF!</v>
      </c>
      <c r="ES27" s="45" t="e">
        <f t="shared" si="33"/>
        <v>#REF!</v>
      </c>
      <c r="ET27" s="44" t="e">
        <f>+'Drivers (2)'!#REF!</f>
        <v>#REF!</v>
      </c>
      <c r="EU27" s="44" t="e">
        <f>+'Drivers (2)'!#REF!</f>
        <v>#REF!</v>
      </c>
      <c r="EV27" s="44" t="e">
        <f>+'Drivers (2)'!#REF!</f>
        <v>#REF!</v>
      </c>
      <c r="EW27" s="44" t="e">
        <f>+'Drivers (2)'!#REF!</f>
        <v>#REF!</v>
      </c>
      <c r="EX27" s="45" t="e">
        <f t="shared" si="34"/>
        <v>#REF!</v>
      </c>
      <c r="EY27" s="44" t="e">
        <f>+'Drivers (2)'!#REF!</f>
        <v>#REF!</v>
      </c>
      <c r="EZ27" s="44" t="e">
        <f>+'Drivers (2)'!#REF!</f>
        <v>#REF!</v>
      </c>
      <c r="FA27" s="44" t="e">
        <f>+'Drivers (2)'!#REF!</f>
        <v>#REF!</v>
      </c>
      <c r="FB27" s="44" t="e">
        <f>+'Drivers (2)'!#REF!</f>
        <v>#REF!</v>
      </c>
      <c r="FC27" s="45" t="e">
        <f t="shared" si="35"/>
        <v>#REF!</v>
      </c>
      <c r="FD27" s="44" t="e">
        <f>+'Drivers (2)'!#REF!</f>
        <v>#REF!</v>
      </c>
      <c r="FE27" s="44" t="e">
        <f>+'Drivers (2)'!#REF!</f>
        <v>#REF!</v>
      </c>
      <c r="FF27" s="44" t="e">
        <f>+'Drivers (2)'!#REF!</f>
        <v>#REF!</v>
      </c>
      <c r="FG27" s="44" t="e">
        <f>+'Drivers (2)'!#REF!</f>
        <v>#REF!</v>
      </c>
      <c r="FH27" s="45" t="e">
        <f t="shared" si="36"/>
        <v>#REF!</v>
      </c>
      <c r="FI27" s="44" t="e">
        <f>+'Drivers (2)'!#REF!</f>
        <v>#REF!</v>
      </c>
      <c r="FJ27" s="44" t="e">
        <f>+'Drivers (2)'!#REF!</f>
        <v>#REF!</v>
      </c>
      <c r="FK27" s="44" t="e">
        <f>+'Drivers (2)'!#REF!</f>
        <v>#REF!</v>
      </c>
      <c r="FL27" s="44" t="e">
        <f>+'Drivers (2)'!#REF!</f>
        <v>#REF!</v>
      </c>
      <c r="FM27" s="44" t="e">
        <f>+'Drivers (2)'!#REF!</f>
        <v>#REF!</v>
      </c>
      <c r="FN27" s="189" t="e">
        <f t="shared" si="37"/>
        <v>#REF!</v>
      </c>
    </row>
    <row r="28" spans="1:170" hidden="1" x14ac:dyDescent="0.3">
      <c r="A28" s="4" t="s">
        <v>19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858" t="e">
        <f t="shared" ref="DU28:FM28" si="41">SUM(DU26:DU27)</f>
        <v>#REF!</v>
      </c>
      <c r="DV28" s="858" t="e">
        <f t="shared" si="41"/>
        <v>#REF!</v>
      </c>
      <c r="DW28" s="858" t="e">
        <f t="shared" si="41"/>
        <v>#REF!</v>
      </c>
      <c r="DX28" s="858" t="e">
        <f t="shared" si="41"/>
        <v>#REF!</v>
      </c>
      <c r="DY28" s="858" t="e">
        <f t="shared" si="41"/>
        <v>#REF!</v>
      </c>
      <c r="DZ28" s="858" t="e">
        <f t="shared" si="41"/>
        <v>#REF!</v>
      </c>
      <c r="EA28" s="858" t="e">
        <f t="shared" si="41"/>
        <v>#REF!</v>
      </c>
      <c r="EB28" s="858" t="e">
        <f t="shared" si="41"/>
        <v>#REF!</v>
      </c>
      <c r="EC28" s="858" t="e">
        <f t="shared" si="41"/>
        <v>#REF!</v>
      </c>
      <c r="ED28" s="858" t="e">
        <f t="shared" si="41"/>
        <v>#REF!</v>
      </c>
      <c r="EE28" s="858" t="e">
        <f t="shared" si="41"/>
        <v>#REF!</v>
      </c>
      <c r="EF28" s="858" t="e">
        <f t="shared" si="41"/>
        <v>#REF!</v>
      </c>
      <c r="EG28" s="858" t="e">
        <f t="shared" si="41"/>
        <v>#REF!</v>
      </c>
      <c r="EH28" s="858" t="e">
        <f t="shared" si="41"/>
        <v>#REF!</v>
      </c>
      <c r="EI28" s="858" t="e">
        <f t="shared" si="41"/>
        <v>#REF!</v>
      </c>
      <c r="EJ28" s="858" t="e">
        <f t="shared" si="41"/>
        <v>#REF!</v>
      </c>
      <c r="EK28" s="858" t="e">
        <f t="shared" si="41"/>
        <v>#REF!</v>
      </c>
      <c r="EL28" s="858" t="e">
        <f t="shared" si="41"/>
        <v>#REF!</v>
      </c>
      <c r="EM28" s="858" t="e">
        <f t="shared" si="41"/>
        <v>#REF!</v>
      </c>
      <c r="EN28" s="858" t="e">
        <f>SUM(EN26:EN27)</f>
        <v>#REF!</v>
      </c>
      <c r="EO28" s="858" t="e">
        <f t="shared" ref="EO28:ER28" si="42">SUM(EO26:EO27)</f>
        <v>#REF!</v>
      </c>
      <c r="EP28" s="858" t="e">
        <f t="shared" si="42"/>
        <v>#REF!</v>
      </c>
      <c r="EQ28" s="858" t="e">
        <f t="shared" si="42"/>
        <v>#REF!</v>
      </c>
      <c r="ER28" s="858" t="e">
        <f t="shared" si="42"/>
        <v>#REF!</v>
      </c>
      <c r="ES28" s="858" t="e">
        <f>SUM(ES26:ES27)</f>
        <v>#REF!</v>
      </c>
      <c r="ET28" s="858" t="e">
        <f t="shared" ref="ET28:EW28" si="43">SUM(ET26:ET27)</f>
        <v>#REF!</v>
      </c>
      <c r="EU28" s="858" t="e">
        <f t="shared" si="43"/>
        <v>#REF!</v>
      </c>
      <c r="EV28" s="858" t="e">
        <f t="shared" si="43"/>
        <v>#REF!</v>
      </c>
      <c r="EW28" s="858" t="e">
        <f t="shared" si="43"/>
        <v>#REF!</v>
      </c>
      <c r="EX28" s="858" t="e">
        <f>SUM(EX26:EX27)</f>
        <v>#REF!</v>
      </c>
      <c r="EY28" s="858" t="e">
        <f t="shared" ref="EY28:FB28" si="44">SUM(EY26:EY27)</f>
        <v>#REF!</v>
      </c>
      <c r="EZ28" s="858" t="e">
        <f t="shared" si="44"/>
        <v>#REF!</v>
      </c>
      <c r="FA28" s="858" t="e">
        <f t="shared" si="44"/>
        <v>#REF!</v>
      </c>
      <c r="FB28" s="858" t="e">
        <f t="shared" si="44"/>
        <v>#REF!</v>
      </c>
      <c r="FC28" s="858" t="e">
        <f>SUM(FC26:FC27)</f>
        <v>#REF!</v>
      </c>
      <c r="FD28" s="858" t="e">
        <f t="shared" si="41"/>
        <v>#REF!</v>
      </c>
      <c r="FE28" s="858" t="e">
        <f t="shared" si="41"/>
        <v>#REF!</v>
      </c>
      <c r="FF28" s="858" t="e">
        <f t="shared" si="41"/>
        <v>#REF!</v>
      </c>
      <c r="FG28" s="858" t="e">
        <f t="shared" si="41"/>
        <v>#REF!</v>
      </c>
      <c r="FH28" s="858" t="e">
        <f>SUM(FH26:FH27)</f>
        <v>#REF!</v>
      </c>
      <c r="FI28" s="858" t="e">
        <f t="shared" si="41"/>
        <v>#REF!</v>
      </c>
      <c r="FJ28" s="858" t="e">
        <f t="shared" si="41"/>
        <v>#REF!</v>
      </c>
      <c r="FK28" s="858" t="e">
        <f t="shared" si="41"/>
        <v>#REF!</v>
      </c>
      <c r="FL28" s="858" t="e">
        <f t="shared" si="41"/>
        <v>#REF!</v>
      </c>
      <c r="FM28" s="858" t="e">
        <f t="shared" si="41"/>
        <v>#REF!</v>
      </c>
      <c r="FN28" s="189" t="e">
        <f t="shared" si="37"/>
        <v>#REF!</v>
      </c>
    </row>
    <row r="29" spans="1:170" hidden="1" x14ac:dyDescent="0.3">
      <c r="A29" s="46" t="s">
        <v>29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4"/>
      <c r="DZ29" s="47" t="str">
        <f t="shared" ref="DZ29:EX29" si="45">+IFERROR(DZ28/DU28-1,"")</f>
        <v/>
      </c>
      <c r="EA29" s="47" t="str">
        <f t="shared" si="45"/>
        <v/>
      </c>
      <c r="EB29" s="47" t="str">
        <f t="shared" si="45"/>
        <v/>
      </c>
      <c r="EC29" s="47" t="str">
        <f t="shared" si="45"/>
        <v/>
      </c>
      <c r="ED29" s="52" t="str">
        <f t="shared" si="45"/>
        <v/>
      </c>
      <c r="EE29" s="47" t="str">
        <f t="shared" si="45"/>
        <v/>
      </c>
      <c r="EF29" s="47" t="str">
        <f t="shared" si="45"/>
        <v/>
      </c>
      <c r="EG29" s="47" t="str">
        <f t="shared" si="45"/>
        <v/>
      </c>
      <c r="EH29" s="47" t="str">
        <f t="shared" si="45"/>
        <v/>
      </c>
      <c r="EI29" s="52" t="str">
        <f t="shared" si="45"/>
        <v/>
      </c>
      <c r="EJ29" s="47" t="str">
        <f t="shared" si="45"/>
        <v/>
      </c>
      <c r="EK29" s="47" t="str">
        <f t="shared" si="45"/>
        <v/>
      </c>
      <c r="EL29" s="47" t="str">
        <f t="shared" si="45"/>
        <v/>
      </c>
      <c r="EM29" s="47" t="str">
        <f t="shared" si="45"/>
        <v/>
      </c>
      <c r="EN29" s="52" t="str">
        <f t="shared" si="45"/>
        <v/>
      </c>
      <c r="EO29" s="47" t="str">
        <f t="shared" si="45"/>
        <v/>
      </c>
      <c r="EP29" s="47" t="str">
        <f t="shared" si="45"/>
        <v/>
      </c>
      <c r="EQ29" s="47" t="str">
        <f t="shared" si="45"/>
        <v/>
      </c>
      <c r="ER29" s="47" t="str">
        <f t="shared" si="45"/>
        <v/>
      </c>
      <c r="ES29" s="52" t="str">
        <f t="shared" si="45"/>
        <v/>
      </c>
      <c r="ET29" s="47" t="str">
        <f t="shared" si="45"/>
        <v/>
      </c>
      <c r="EU29" s="47" t="str">
        <f t="shared" si="45"/>
        <v/>
      </c>
      <c r="EV29" s="47" t="str">
        <f t="shared" si="45"/>
        <v/>
      </c>
      <c r="EW29" s="47" t="str">
        <f t="shared" si="45"/>
        <v/>
      </c>
      <c r="EX29" s="52" t="str">
        <f t="shared" si="45"/>
        <v/>
      </c>
      <c r="EY29" s="47" t="str">
        <f t="shared" ref="EY29" si="46">+IFERROR(EY28/ET28-1,"")</f>
        <v/>
      </c>
      <c r="EZ29" s="47" t="str">
        <f t="shared" ref="EZ29" si="47">+IFERROR(EZ28/EU28-1,"")</f>
        <v/>
      </c>
      <c r="FA29" s="47" t="str">
        <f t="shared" ref="FA29" si="48">+IFERROR(FA28/EV28-1,"")</f>
        <v/>
      </c>
      <c r="FB29" s="47" t="str">
        <f t="shared" ref="FB29:FC29" si="49">+IFERROR(FB28/EW28-1,"")</f>
        <v/>
      </c>
      <c r="FC29" s="52" t="str">
        <f t="shared" si="49"/>
        <v/>
      </c>
      <c r="FD29" s="47" t="str">
        <f t="shared" ref="FD29" si="50">+IFERROR(FD28/EY28-1,"")</f>
        <v/>
      </c>
      <c r="FE29" s="47" t="str">
        <f t="shared" ref="FE29" si="51">+IFERROR(FE28/EZ28-1,"")</f>
        <v/>
      </c>
      <c r="FF29" s="47" t="str">
        <f t="shared" ref="FF29" si="52">+IFERROR(FF28/FA28-1,"")</f>
        <v/>
      </c>
      <c r="FG29" s="47" t="str">
        <f t="shared" ref="FG29:FH29" si="53">+IFERROR(FG28/FB28-1,"")</f>
        <v/>
      </c>
      <c r="FH29" s="52" t="str">
        <f t="shared" si="53"/>
        <v/>
      </c>
      <c r="FI29" s="47" t="str">
        <f t="shared" ref="FI29:FM29" si="54">+IFERROR(FI28/FH28-1,"")</f>
        <v/>
      </c>
      <c r="FJ29" s="47" t="str">
        <f t="shared" si="54"/>
        <v/>
      </c>
      <c r="FK29" s="47" t="str">
        <f t="shared" si="54"/>
        <v/>
      </c>
      <c r="FL29" s="47" t="str">
        <f t="shared" si="54"/>
        <v/>
      </c>
      <c r="FM29" s="47" t="str">
        <f t="shared" si="54"/>
        <v/>
      </c>
    </row>
    <row r="30" spans="1:170" hidden="1" x14ac:dyDescent="0.3">
      <c r="A30" s="4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4"/>
      <c r="DZ30" s="1"/>
      <c r="EA30" s="1"/>
      <c r="EB30" s="1"/>
      <c r="EC30" s="1"/>
      <c r="ED30" s="4"/>
      <c r="EE30" s="59"/>
      <c r="EF30" s="59"/>
      <c r="EG30" s="59"/>
      <c r="EH30" s="59"/>
      <c r="EI30" s="4"/>
      <c r="EJ30" s="59"/>
      <c r="EK30" s="59"/>
      <c r="EL30" s="59"/>
      <c r="EM30" s="59"/>
      <c r="EN30" s="58"/>
      <c r="EO30" s="59"/>
      <c r="EP30" s="59"/>
      <c r="EQ30" s="59"/>
      <c r="ER30" s="59"/>
      <c r="ES30" s="58"/>
      <c r="ET30" s="59"/>
      <c r="EU30" s="59"/>
      <c r="EV30" s="59"/>
      <c r="EW30" s="59"/>
      <c r="EX30" s="58"/>
      <c r="EY30" s="59"/>
      <c r="EZ30" s="59"/>
      <c r="FA30" s="59"/>
      <c r="FB30" s="59"/>
      <c r="FC30" s="58"/>
      <c r="FD30" s="59"/>
      <c r="FE30" s="59"/>
      <c r="FF30" s="59"/>
      <c r="FG30" s="59"/>
      <c r="FH30" s="58"/>
      <c r="FI30" s="59"/>
      <c r="FJ30" s="59"/>
      <c r="FK30" s="59"/>
      <c r="FL30" s="59"/>
      <c r="FM30" s="59"/>
    </row>
    <row r="31" spans="1:170" hidden="1" x14ac:dyDescent="0.3">
      <c r="A31" s="1077" t="s">
        <v>37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4"/>
      <c r="DZ31" s="1"/>
      <c r="EA31" s="1"/>
      <c r="EB31" s="1"/>
      <c r="EC31" s="1"/>
      <c r="ED31" s="4"/>
      <c r="EE31" s="1"/>
      <c r="EF31" s="1"/>
      <c r="EG31" s="1"/>
      <c r="EH31" s="1"/>
      <c r="EI31" s="4"/>
      <c r="EJ31" s="1"/>
      <c r="EK31" s="1"/>
      <c r="EL31" s="1"/>
      <c r="EM31" s="1"/>
      <c r="EN31" s="4"/>
      <c r="EO31" s="1"/>
      <c r="EP31" s="1"/>
      <c r="EQ31" s="1"/>
      <c r="ER31" s="1"/>
      <c r="ES31" s="4"/>
      <c r="ET31" s="1"/>
      <c r="EU31" s="1"/>
      <c r="EV31" s="1"/>
      <c r="EW31" s="1"/>
      <c r="EX31" s="4"/>
      <c r="EY31" s="1"/>
      <c r="EZ31" s="1"/>
      <c r="FA31" s="1"/>
      <c r="FB31" s="1"/>
      <c r="FC31" s="4"/>
      <c r="FD31" s="1"/>
      <c r="FE31" s="1"/>
      <c r="FF31" s="1"/>
      <c r="FG31" s="1"/>
      <c r="FH31" s="4"/>
      <c r="FI31" s="1"/>
      <c r="FJ31" s="1"/>
      <c r="FK31" s="1"/>
      <c r="FL31" s="1"/>
      <c r="FM31" s="1"/>
    </row>
    <row r="32" spans="1:170" hidden="1" x14ac:dyDescent="0.3">
      <c r="A32" s="27" t="s">
        <v>31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44" t="e">
        <f>+'Drivers (2)'!#REF!</f>
        <v>#REF!</v>
      </c>
      <c r="DV32" s="44" t="e">
        <f>+'Drivers (2)'!#REF!</f>
        <v>#REF!</v>
      </c>
      <c r="DW32" s="44" t="e">
        <f>+'Drivers (2)'!#REF!</f>
        <v>#REF!</v>
      </c>
      <c r="DX32" s="44" t="e">
        <f>+'Drivers (2)'!#REF!</f>
        <v>#REF!</v>
      </c>
      <c r="DY32" s="45" t="e">
        <f>+SUM(DU32:DX32)</f>
        <v>#REF!</v>
      </c>
      <c r="DZ32" s="44" t="e">
        <f>+'Drivers (2)'!#REF!</f>
        <v>#REF!</v>
      </c>
      <c r="EA32" s="44" t="e">
        <f>+'Drivers (2)'!#REF!</f>
        <v>#REF!</v>
      </c>
      <c r="EB32" s="44" t="e">
        <f>+'Drivers (2)'!#REF!</f>
        <v>#REF!</v>
      </c>
      <c r="EC32" s="44" t="e">
        <f>+'Drivers (2)'!#REF!</f>
        <v>#REF!</v>
      </c>
      <c r="ED32" s="45" t="e">
        <f t="shared" ref="ED32:ED40" si="55">+SUM(DZ32:EC32)</f>
        <v>#REF!</v>
      </c>
      <c r="EE32" s="44" t="e">
        <f>+'Drivers (2)'!#REF!</f>
        <v>#REF!</v>
      </c>
      <c r="EF32" s="44" t="e">
        <f>+'Drivers (2)'!#REF!</f>
        <v>#REF!</v>
      </c>
      <c r="EG32" s="44" t="e">
        <f>+'Drivers (2)'!#REF!</f>
        <v>#REF!</v>
      </c>
      <c r="EH32" s="44" t="e">
        <f>+'Drivers (2)'!#REF!</f>
        <v>#REF!</v>
      </c>
      <c r="EI32" s="45" t="e">
        <f t="shared" ref="EI32:EI40" si="56">+SUM(EE32:EH32)</f>
        <v>#REF!</v>
      </c>
      <c r="EJ32" s="44" t="e">
        <f>+'Drivers (2)'!#REF!</f>
        <v>#REF!</v>
      </c>
      <c r="EK32" s="44" t="e">
        <f>+'Drivers (2)'!#REF!</f>
        <v>#REF!</v>
      </c>
      <c r="EL32" s="44" t="e">
        <f>+'Drivers (2)'!#REF!</f>
        <v>#REF!</v>
      </c>
      <c r="EM32" s="44" t="e">
        <f>+'Drivers (2)'!#REF!</f>
        <v>#REF!</v>
      </c>
      <c r="EN32" s="45" t="e">
        <f t="shared" ref="EN32:EN40" si="57">+SUM(EJ32:EM32)</f>
        <v>#REF!</v>
      </c>
      <c r="EO32" s="44" t="e">
        <f>+'Drivers (2)'!#REF!</f>
        <v>#REF!</v>
      </c>
      <c r="EP32" s="44" t="e">
        <f>+'Drivers (2)'!#REF!</f>
        <v>#REF!</v>
      </c>
      <c r="EQ32" s="44" t="e">
        <f>+'Drivers (2)'!#REF!</f>
        <v>#REF!</v>
      </c>
      <c r="ER32" s="44" t="e">
        <f>+'Drivers (2)'!#REF!</f>
        <v>#REF!</v>
      </c>
      <c r="ES32" s="45" t="e">
        <f t="shared" ref="ES32:ES40" si="58">+SUM(EO32:ER32)</f>
        <v>#REF!</v>
      </c>
      <c r="ET32" s="44" t="e">
        <f>+'Drivers (2)'!#REF!</f>
        <v>#REF!</v>
      </c>
      <c r="EU32" s="44" t="e">
        <f>+'Drivers (2)'!#REF!</f>
        <v>#REF!</v>
      </c>
      <c r="EV32" s="44" t="e">
        <f>+'Drivers (2)'!#REF!</f>
        <v>#REF!</v>
      </c>
      <c r="EW32" s="44" t="e">
        <f>+'Drivers (2)'!#REF!</f>
        <v>#REF!</v>
      </c>
      <c r="EX32" s="45" t="e">
        <f t="shared" ref="EX32:EX40" si="59">+SUM(ET32:EW32)</f>
        <v>#REF!</v>
      </c>
      <c r="EY32" s="44" t="e">
        <f>+'Drivers (2)'!#REF!</f>
        <v>#REF!</v>
      </c>
      <c r="EZ32" s="44" t="e">
        <f>+'Drivers (2)'!#REF!</f>
        <v>#REF!</v>
      </c>
      <c r="FA32" s="44" t="e">
        <f>+'Drivers (2)'!#REF!</f>
        <v>#REF!</v>
      </c>
      <c r="FB32" s="44" t="e">
        <f>+'Drivers (2)'!#REF!</f>
        <v>#REF!</v>
      </c>
      <c r="FC32" s="45" t="e">
        <f t="shared" ref="FC32:FC40" si="60">+SUM(EY32:FB32)</f>
        <v>#REF!</v>
      </c>
      <c r="FD32" s="44" t="e">
        <f>+'Drivers (2)'!#REF!</f>
        <v>#REF!</v>
      </c>
      <c r="FE32" s="44" t="e">
        <f>+'Drivers (2)'!#REF!</f>
        <v>#REF!</v>
      </c>
      <c r="FF32" s="44" t="e">
        <f>+'Drivers (2)'!#REF!</f>
        <v>#REF!</v>
      </c>
      <c r="FG32" s="44" t="e">
        <f>+'Drivers (2)'!#REF!</f>
        <v>#REF!</v>
      </c>
      <c r="FH32" s="45" t="e">
        <f t="shared" ref="FH32:FH40" si="61">+SUM(FD32:FG32)</f>
        <v>#REF!</v>
      </c>
      <c r="FI32" s="44" t="e">
        <f>+'Drivers (2)'!#REF!</f>
        <v>#REF!</v>
      </c>
      <c r="FJ32" s="44" t="e">
        <f>+'Drivers (2)'!#REF!</f>
        <v>#REF!</v>
      </c>
      <c r="FK32" s="44" t="e">
        <f>+'Drivers (2)'!#REF!</f>
        <v>#REF!</v>
      </c>
      <c r="FL32" s="44" t="e">
        <f>+'Drivers (2)'!#REF!</f>
        <v>#REF!</v>
      </c>
      <c r="FM32" s="44" t="e">
        <f>+'Drivers (2)'!#REF!</f>
        <v>#REF!</v>
      </c>
      <c r="FN32" s="189" t="e">
        <f t="shared" ref="FN32:FN37" si="62">+(FJ32/ES32)^0.2-1</f>
        <v>#REF!</v>
      </c>
    </row>
    <row r="33" spans="1:170" hidden="1" x14ac:dyDescent="0.3">
      <c r="A33" s="27" t="s">
        <v>32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44" t="e">
        <f>+'Drivers (2)'!#REF!</f>
        <v>#REF!</v>
      </c>
      <c r="DV33" s="44" t="e">
        <f>+'Drivers (2)'!#REF!</f>
        <v>#REF!</v>
      </c>
      <c r="DW33" s="44" t="e">
        <f>+'Drivers (2)'!#REF!</f>
        <v>#REF!</v>
      </c>
      <c r="DX33" s="44" t="e">
        <f>+'Drivers (2)'!#REF!</f>
        <v>#REF!</v>
      </c>
      <c r="DY33" s="45" t="e">
        <f t="shared" ref="DY33:DY38" si="63">+SUM(DU33:DX33)</f>
        <v>#REF!</v>
      </c>
      <c r="DZ33" s="44" t="e">
        <f>+'Drivers (2)'!#REF!</f>
        <v>#REF!</v>
      </c>
      <c r="EA33" s="44" t="e">
        <f>+'Drivers (2)'!#REF!</f>
        <v>#REF!</v>
      </c>
      <c r="EB33" s="44" t="e">
        <f>+'Drivers (2)'!#REF!</f>
        <v>#REF!</v>
      </c>
      <c r="EC33" s="44" t="e">
        <f>+'Drivers (2)'!#REF!</f>
        <v>#REF!</v>
      </c>
      <c r="ED33" s="45" t="e">
        <f t="shared" si="55"/>
        <v>#REF!</v>
      </c>
      <c r="EE33" s="44" t="e">
        <f>+'Drivers (2)'!#REF!</f>
        <v>#REF!</v>
      </c>
      <c r="EF33" s="44" t="e">
        <f>+'Drivers (2)'!#REF!</f>
        <v>#REF!</v>
      </c>
      <c r="EG33" s="44" t="e">
        <f>+'Drivers (2)'!#REF!</f>
        <v>#REF!</v>
      </c>
      <c r="EH33" s="44" t="e">
        <f>+'Drivers (2)'!#REF!</f>
        <v>#REF!</v>
      </c>
      <c r="EI33" s="45" t="e">
        <f t="shared" si="56"/>
        <v>#REF!</v>
      </c>
      <c r="EJ33" s="44" t="e">
        <f>+'Drivers (2)'!#REF!</f>
        <v>#REF!</v>
      </c>
      <c r="EK33" s="44" t="e">
        <f>+'Drivers (2)'!#REF!</f>
        <v>#REF!</v>
      </c>
      <c r="EL33" s="44" t="e">
        <f>+'Drivers (2)'!#REF!</f>
        <v>#REF!</v>
      </c>
      <c r="EM33" s="44" t="e">
        <f>+'Drivers (2)'!#REF!</f>
        <v>#REF!</v>
      </c>
      <c r="EN33" s="45" t="e">
        <f t="shared" si="57"/>
        <v>#REF!</v>
      </c>
      <c r="EO33" s="44" t="e">
        <f>+'Drivers (2)'!#REF!</f>
        <v>#REF!</v>
      </c>
      <c r="EP33" s="44" t="e">
        <f>+'Drivers (2)'!#REF!</f>
        <v>#REF!</v>
      </c>
      <c r="EQ33" s="44" t="e">
        <f>+'Drivers (2)'!#REF!</f>
        <v>#REF!</v>
      </c>
      <c r="ER33" s="44" t="e">
        <f>+'Drivers (2)'!#REF!</f>
        <v>#REF!</v>
      </c>
      <c r="ES33" s="45" t="e">
        <f t="shared" si="58"/>
        <v>#REF!</v>
      </c>
      <c r="ET33" s="44" t="e">
        <f>+'Drivers (2)'!#REF!</f>
        <v>#REF!</v>
      </c>
      <c r="EU33" s="44" t="e">
        <f>+'Drivers (2)'!#REF!</f>
        <v>#REF!</v>
      </c>
      <c r="EV33" s="44" t="e">
        <f>+'Drivers (2)'!#REF!</f>
        <v>#REF!</v>
      </c>
      <c r="EW33" s="44" t="e">
        <f>+'Drivers (2)'!#REF!</f>
        <v>#REF!</v>
      </c>
      <c r="EX33" s="45" t="e">
        <f t="shared" si="59"/>
        <v>#REF!</v>
      </c>
      <c r="EY33" s="44" t="e">
        <f>+'Drivers (2)'!#REF!</f>
        <v>#REF!</v>
      </c>
      <c r="EZ33" s="44" t="e">
        <f>+'Drivers (2)'!#REF!</f>
        <v>#REF!</v>
      </c>
      <c r="FA33" s="44" t="e">
        <f>+'Drivers (2)'!#REF!</f>
        <v>#REF!</v>
      </c>
      <c r="FB33" s="44" t="e">
        <f>+'Drivers (2)'!#REF!</f>
        <v>#REF!</v>
      </c>
      <c r="FC33" s="45" t="e">
        <f t="shared" si="60"/>
        <v>#REF!</v>
      </c>
      <c r="FD33" s="44" t="e">
        <f>+'Drivers (2)'!#REF!</f>
        <v>#REF!</v>
      </c>
      <c r="FE33" s="44" t="e">
        <f>+'Drivers (2)'!#REF!</f>
        <v>#REF!</v>
      </c>
      <c r="FF33" s="44" t="e">
        <f>+'Drivers (2)'!#REF!</f>
        <v>#REF!</v>
      </c>
      <c r="FG33" s="44" t="e">
        <f>+'Drivers (2)'!#REF!</f>
        <v>#REF!</v>
      </c>
      <c r="FH33" s="45" t="e">
        <f t="shared" si="61"/>
        <v>#REF!</v>
      </c>
      <c r="FI33" s="44" t="e">
        <f>+'Drivers (2)'!#REF!</f>
        <v>#REF!</v>
      </c>
      <c r="FJ33" s="44" t="e">
        <f>+'Drivers (2)'!#REF!</f>
        <v>#REF!</v>
      </c>
      <c r="FK33" s="44" t="e">
        <f>+'Drivers (2)'!#REF!</f>
        <v>#REF!</v>
      </c>
      <c r="FL33" s="44" t="e">
        <f>+'Drivers (2)'!#REF!</f>
        <v>#REF!</v>
      </c>
      <c r="FM33" s="44" t="e">
        <f>+'Drivers (2)'!#REF!</f>
        <v>#REF!</v>
      </c>
      <c r="FN33" s="189" t="e">
        <f t="shared" si="62"/>
        <v>#REF!</v>
      </c>
    </row>
    <row r="34" spans="1:170" hidden="1" x14ac:dyDescent="0.3">
      <c r="A34" s="27" t="s">
        <v>33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44" t="e">
        <f>+'Drivers (2)'!#REF!</f>
        <v>#REF!</v>
      </c>
      <c r="DV34" s="44" t="e">
        <f>+'Drivers (2)'!#REF!</f>
        <v>#REF!</v>
      </c>
      <c r="DW34" s="44" t="e">
        <f>+'Drivers (2)'!#REF!</f>
        <v>#REF!</v>
      </c>
      <c r="DX34" s="44" t="e">
        <f>+'Drivers (2)'!#REF!</f>
        <v>#REF!</v>
      </c>
      <c r="DY34" s="45" t="e">
        <f t="shared" si="63"/>
        <v>#REF!</v>
      </c>
      <c r="DZ34" s="44" t="e">
        <f>+'Drivers (2)'!#REF!</f>
        <v>#REF!</v>
      </c>
      <c r="EA34" s="44" t="e">
        <f>+'Drivers (2)'!#REF!</f>
        <v>#REF!</v>
      </c>
      <c r="EB34" s="44" t="e">
        <f>+'Drivers (2)'!#REF!</f>
        <v>#REF!</v>
      </c>
      <c r="EC34" s="44" t="e">
        <f>+'Drivers (2)'!#REF!</f>
        <v>#REF!</v>
      </c>
      <c r="ED34" s="45" t="e">
        <f t="shared" si="55"/>
        <v>#REF!</v>
      </c>
      <c r="EE34" s="44" t="e">
        <f>+'Drivers (2)'!#REF!</f>
        <v>#REF!</v>
      </c>
      <c r="EF34" s="44" t="e">
        <f>+'Drivers (2)'!#REF!</f>
        <v>#REF!</v>
      </c>
      <c r="EG34" s="44" t="e">
        <f>+'Drivers (2)'!#REF!</f>
        <v>#REF!</v>
      </c>
      <c r="EH34" s="44" t="e">
        <f>+'Drivers (2)'!#REF!</f>
        <v>#REF!</v>
      </c>
      <c r="EI34" s="45" t="e">
        <f t="shared" si="56"/>
        <v>#REF!</v>
      </c>
      <c r="EJ34" s="44" t="e">
        <f>+'Drivers (2)'!#REF!</f>
        <v>#REF!</v>
      </c>
      <c r="EK34" s="44" t="e">
        <f>+'Drivers (2)'!#REF!</f>
        <v>#REF!</v>
      </c>
      <c r="EL34" s="44" t="e">
        <f>+'Drivers (2)'!#REF!</f>
        <v>#REF!</v>
      </c>
      <c r="EM34" s="44" t="e">
        <f>+'Drivers (2)'!#REF!</f>
        <v>#REF!</v>
      </c>
      <c r="EN34" s="45" t="e">
        <f t="shared" si="57"/>
        <v>#REF!</v>
      </c>
      <c r="EO34" s="44" t="e">
        <f>+'Drivers (2)'!#REF!</f>
        <v>#REF!</v>
      </c>
      <c r="EP34" s="44" t="e">
        <f>+'Drivers (2)'!#REF!</f>
        <v>#REF!</v>
      </c>
      <c r="EQ34" s="44" t="e">
        <f>+'Drivers (2)'!#REF!</f>
        <v>#REF!</v>
      </c>
      <c r="ER34" s="44" t="e">
        <f>+'Drivers (2)'!#REF!</f>
        <v>#REF!</v>
      </c>
      <c r="ES34" s="45" t="e">
        <f t="shared" si="58"/>
        <v>#REF!</v>
      </c>
      <c r="ET34" s="44" t="e">
        <f>+'Drivers (2)'!#REF!</f>
        <v>#REF!</v>
      </c>
      <c r="EU34" s="44" t="e">
        <f>+'Drivers (2)'!#REF!</f>
        <v>#REF!</v>
      </c>
      <c r="EV34" s="44" t="e">
        <f>+'Drivers (2)'!#REF!</f>
        <v>#REF!</v>
      </c>
      <c r="EW34" s="44" t="e">
        <f>+'Drivers (2)'!#REF!</f>
        <v>#REF!</v>
      </c>
      <c r="EX34" s="45" t="e">
        <f t="shared" si="59"/>
        <v>#REF!</v>
      </c>
      <c r="EY34" s="44" t="e">
        <f>+'Drivers (2)'!#REF!</f>
        <v>#REF!</v>
      </c>
      <c r="EZ34" s="44" t="e">
        <f>+'Drivers (2)'!#REF!</f>
        <v>#REF!</v>
      </c>
      <c r="FA34" s="44" t="e">
        <f>+'Drivers (2)'!#REF!</f>
        <v>#REF!</v>
      </c>
      <c r="FB34" s="44" t="e">
        <f>+'Drivers (2)'!#REF!</f>
        <v>#REF!</v>
      </c>
      <c r="FC34" s="45" t="e">
        <f t="shared" si="60"/>
        <v>#REF!</v>
      </c>
      <c r="FD34" s="44" t="e">
        <f>+'Drivers (2)'!#REF!</f>
        <v>#REF!</v>
      </c>
      <c r="FE34" s="44" t="e">
        <f>+'Drivers (2)'!#REF!</f>
        <v>#REF!</v>
      </c>
      <c r="FF34" s="44" t="e">
        <f>+'Drivers (2)'!#REF!</f>
        <v>#REF!</v>
      </c>
      <c r="FG34" s="44" t="e">
        <f>+'Drivers (2)'!#REF!</f>
        <v>#REF!</v>
      </c>
      <c r="FH34" s="45" t="e">
        <f t="shared" si="61"/>
        <v>#REF!</v>
      </c>
      <c r="FI34" s="44" t="e">
        <f>+'Drivers (2)'!#REF!</f>
        <v>#REF!</v>
      </c>
      <c r="FJ34" s="44" t="e">
        <f>+'Drivers (2)'!#REF!</f>
        <v>#REF!</v>
      </c>
      <c r="FK34" s="44" t="e">
        <f>+'Drivers (2)'!#REF!</f>
        <v>#REF!</v>
      </c>
      <c r="FL34" s="44" t="e">
        <f>+'Drivers (2)'!#REF!</f>
        <v>#REF!</v>
      </c>
      <c r="FM34" s="44" t="e">
        <f>+'Drivers (2)'!#REF!</f>
        <v>#REF!</v>
      </c>
      <c r="FN34" s="189" t="e">
        <f t="shared" si="62"/>
        <v>#REF!</v>
      </c>
    </row>
    <row r="35" spans="1:170" hidden="1" x14ac:dyDescent="0.3">
      <c r="A35" s="27" t="s">
        <v>34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44" t="e">
        <f>+'Drivers (2)'!#REF!</f>
        <v>#REF!</v>
      </c>
      <c r="DV35" s="44" t="e">
        <f>+'Drivers (2)'!#REF!</f>
        <v>#REF!</v>
      </c>
      <c r="DW35" s="44" t="e">
        <f>+'Drivers (2)'!#REF!</f>
        <v>#REF!</v>
      </c>
      <c r="DX35" s="44" t="e">
        <f>+'Drivers (2)'!#REF!</f>
        <v>#REF!</v>
      </c>
      <c r="DY35" s="45" t="e">
        <f t="shared" si="63"/>
        <v>#REF!</v>
      </c>
      <c r="DZ35" s="44" t="e">
        <f>+'Drivers (2)'!#REF!</f>
        <v>#REF!</v>
      </c>
      <c r="EA35" s="44" t="e">
        <f>+'Drivers (2)'!#REF!</f>
        <v>#REF!</v>
      </c>
      <c r="EB35" s="44" t="e">
        <f>+'Drivers (2)'!#REF!</f>
        <v>#REF!</v>
      </c>
      <c r="EC35" s="44" t="e">
        <f>+'Drivers (2)'!#REF!</f>
        <v>#REF!</v>
      </c>
      <c r="ED35" s="45" t="e">
        <f t="shared" si="55"/>
        <v>#REF!</v>
      </c>
      <c r="EE35" s="44" t="e">
        <f>+'Drivers (2)'!#REF!</f>
        <v>#REF!</v>
      </c>
      <c r="EF35" s="44" t="e">
        <f>+'Drivers (2)'!#REF!</f>
        <v>#REF!</v>
      </c>
      <c r="EG35" s="44" t="e">
        <f>+'Drivers (2)'!#REF!</f>
        <v>#REF!</v>
      </c>
      <c r="EH35" s="44" t="e">
        <f>+'Drivers (2)'!#REF!</f>
        <v>#REF!</v>
      </c>
      <c r="EI35" s="45" t="e">
        <f t="shared" si="56"/>
        <v>#REF!</v>
      </c>
      <c r="EJ35" s="44" t="e">
        <f>+'Drivers (2)'!#REF!</f>
        <v>#REF!</v>
      </c>
      <c r="EK35" s="44" t="e">
        <f>+'Drivers (2)'!#REF!</f>
        <v>#REF!</v>
      </c>
      <c r="EL35" s="44" t="e">
        <f>+'Drivers (2)'!#REF!</f>
        <v>#REF!</v>
      </c>
      <c r="EM35" s="44" t="e">
        <f>+'Drivers (2)'!#REF!</f>
        <v>#REF!</v>
      </c>
      <c r="EN35" s="45" t="e">
        <f t="shared" si="57"/>
        <v>#REF!</v>
      </c>
      <c r="EO35" s="44" t="e">
        <f>+'Drivers (2)'!#REF!</f>
        <v>#REF!</v>
      </c>
      <c r="EP35" s="44" t="e">
        <f>+'Drivers (2)'!#REF!</f>
        <v>#REF!</v>
      </c>
      <c r="EQ35" s="44" t="e">
        <f>+'Drivers (2)'!#REF!</f>
        <v>#REF!</v>
      </c>
      <c r="ER35" s="44" t="e">
        <f>+'Drivers (2)'!#REF!</f>
        <v>#REF!</v>
      </c>
      <c r="ES35" s="45" t="e">
        <f t="shared" si="58"/>
        <v>#REF!</v>
      </c>
      <c r="ET35" s="44" t="e">
        <f>+'Drivers (2)'!#REF!</f>
        <v>#REF!</v>
      </c>
      <c r="EU35" s="44" t="e">
        <f>+'Drivers (2)'!#REF!</f>
        <v>#REF!</v>
      </c>
      <c r="EV35" s="44" t="e">
        <f>+'Drivers (2)'!#REF!</f>
        <v>#REF!</v>
      </c>
      <c r="EW35" s="44" t="e">
        <f>+'Drivers (2)'!#REF!</f>
        <v>#REF!</v>
      </c>
      <c r="EX35" s="45" t="e">
        <f t="shared" si="59"/>
        <v>#REF!</v>
      </c>
      <c r="EY35" s="44" t="e">
        <f>+'Drivers (2)'!#REF!</f>
        <v>#REF!</v>
      </c>
      <c r="EZ35" s="44" t="e">
        <f>+'Drivers (2)'!#REF!</f>
        <v>#REF!</v>
      </c>
      <c r="FA35" s="44" t="e">
        <f>+'Drivers (2)'!#REF!</f>
        <v>#REF!</v>
      </c>
      <c r="FB35" s="44" t="e">
        <f>+'Drivers (2)'!#REF!</f>
        <v>#REF!</v>
      </c>
      <c r="FC35" s="45" t="e">
        <f t="shared" si="60"/>
        <v>#REF!</v>
      </c>
      <c r="FD35" s="44" t="e">
        <f>+'Drivers (2)'!#REF!</f>
        <v>#REF!</v>
      </c>
      <c r="FE35" s="44" t="e">
        <f>+'Drivers (2)'!#REF!</f>
        <v>#REF!</v>
      </c>
      <c r="FF35" s="44" t="e">
        <f>+'Drivers (2)'!#REF!</f>
        <v>#REF!</v>
      </c>
      <c r="FG35" s="44" t="e">
        <f>+'Drivers (2)'!#REF!</f>
        <v>#REF!</v>
      </c>
      <c r="FH35" s="45" t="e">
        <f t="shared" si="61"/>
        <v>#REF!</v>
      </c>
      <c r="FI35" s="44" t="e">
        <f>+'Drivers (2)'!#REF!</f>
        <v>#REF!</v>
      </c>
      <c r="FJ35" s="44" t="e">
        <f>+'Drivers (2)'!#REF!</f>
        <v>#REF!</v>
      </c>
      <c r="FK35" s="44" t="e">
        <f>+'Drivers (2)'!#REF!</f>
        <v>#REF!</v>
      </c>
      <c r="FL35" s="44" t="e">
        <f>+'Drivers (2)'!#REF!</f>
        <v>#REF!</v>
      </c>
      <c r="FM35" s="44" t="e">
        <f>+'Drivers (2)'!#REF!</f>
        <v>#REF!</v>
      </c>
      <c r="FN35" s="189" t="e">
        <f t="shared" si="62"/>
        <v>#REF!</v>
      </c>
    </row>
    <row r="36" spans="1:170" hidden="1" x14ac:dyDescent="0.3">
      <c r="A36" s="29" t="s">
        <v>38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858" t="e">
        <f>+SUM(DU32:DU35)</f>
        <v>#REF!</v>
      </c>
      <c r="DV36" s="858" t="e">
        <f>+SUM(DV32:DV35)</f>
        <v>#REF!</v>
      </c>
      <c r="DW36" s="858" t="e">
        <f>+SUM(DW32:DW35)</f>
        <v>#REF!</v>
      </c>
      <c r="DX36" s="858" t="e">
        <f>+SUM(DX32:DX35)</f>
        <v>#REF!</v>
      </c>
      <c r="DY36" s="858" t="e">
        <f t="shared" si="63"/>
        <v>#REF!</v>
      </c>
      <c r="DZ36" s="858" t="e">
        <f>+SUM(DZ32:DZ35)</f>
        <v>#REF!</v>
      </c>
      <c r="EA36" s="858" t="e">
        <f>+SUM(EA32:EA35)</f>
        <v>#REF!</v>
      </c>
      <c r="EB36" s="858" t="e">
        <f>+SUM(EB32:EB35)</f>
        <v>#REF!</v>
      </c>
      <c r="EC36" s="858" t="e">
        <f>+SUM(EC32:EC35)</f>
        <v>#REF!</v>
      </c>
      <c r="ED36" s="858" t="e">
        <f t="shared" si="55"/>
        <v>#REF!</v>
      </c>
      <c r="EE36" s="858" t="e">
        <f>+SUM(EE32:EE35)</f>
        <v>#REF!</v>
      </c>
      <c r="EF36" s="858" t="e">
        <f>+SUM(EF32:EF35)</f>
        <v>#REF!</v>
      </c>
      <c r="EG36" s="858" t="e">
        <f>+SUM(EG32:EG35)</f>
        <v>#REF!</v>
      </c>
      <c r="EH36" s="858" t="e">
        <f>+SUM(EH32:EH35)</f>
        <v>#REF!</v>
      </c>
      <c r="EI36" s="858" t="e">
        <f t="shared" si="56"/>
        <v>#REF!</v>
      </c>
      <c r="EJ36" s="858" t="e">
        <f>+SUM(EJ32:EJ35)</f>
        <v>#REF!</v>
      </c>
      <c r="EK36" s="858" t="e">
        <f>+SUM(EK32:EK35)</f>
        <v>#REF!</v>
      </c>
      <c r="EL36" s="858" t="e">
        <f>+SUM(EL32:EL35)</f>
        <v>#REF!</v>
      </c>
      <c r="EM36" s="858" t="e">
        <f>+SUM(EM32:EM35)</f>
        <v>#REF!</v>
      </c>
      <c r="EN36" s="858" t="e">
        <f t="shared" si="57"/>
        <v>#REF!</v>
      </c>
      <c r="EO36" s="858" t="e">
        <f>+SUM(EO32:EO35)</f>
        <v>#REF!</v>
      </c>
      <c r="EP36" s="858" t="e">
        <f>+SUM(EP32:EP35)</f>
        <v>#REF!</v>
      </c>
      <c r="EQ36" s="858" t="e">
        <f>+SUM(EQ32:EQ35)</f>
        <v>#REF!</v>
      </c>
      <c r="ER36" s="858" t="e">
        <f>+SUM(ER32:ER35)</f>
        <v>#REF!</v>
      </c>
      <c r="ES36" s="858" t="e">
        <f t="shared" si="58"/>
        <v>#REF!</v>
      </c>
      <c r="ET36" s="858" t="e">
        <f t="shared" ref="ET36:EW36" si="64">+SUM(ET32:ET35)</f>
        <v>#REF!</v>
      </c>
      <c r="EU36" s="858" t="e">
        <f t="shared" si="64"/>
        <v>#REF!</v>
      </c>
      <c r="EV36" s="858" t="e">
        <f t="shared" si="64"/>
        <v>#REF!</v>
      </c>
      <c r="EW36" s="858" t="e">
        <f t="shared" si="64"/>
        <v>#REF!</v>
      </c>
      <c r="EX36" s="858" t="e">
        <f t="shared" si="59"/>
        <v>#REF!</v>
      </c>
      <c r="EY36" s="858" t="e">
        <f t="shared" ref="EY36:FB36" si="65">+SUM(EY32:EY35)</f>
        <v>#REF!</v>
      </c>
      <c r="EZ36" s="858" t="e">
        <f t="shared" si="65"/>
        <v>#REF!</v>
      </c>
      <c r="FA36" s="858" t="e">
        <f t="shared" si="65"/>
        <v>#REF!</v>
      </c>
      <c r="FB36" s="858" t="e">
        <f t="shared" si="65"/>
        <v>#REF!</v>
      </c>
      <c r="FC36" s="858" t="e">
        <f t="shared" si="60"/>
        <v>#REF!</v>
      </c>
      <c r="FD36" s="858" t="e">
        <f t="shared" ref="FD36:FM36" si="66">+SUM(FD32:FD35)</f>
        <v>#REF!</v>
      </c>
      <c r="FE36" s="858" t="e">
        <f t="shared" si="66"/>
        <v>#REF!</v>
      </c>
      <c r="FF36" s="858" t="e">
        <f t="shared" si="66"/>
        <v>#REF!</v>
      </c>
      <c r="FG36" s="858" t="e">
        <f t="shared" si="66"/>
        <v>#REF!</v>
      </c>
      <c r="FH36" s="858" t="e">
        <f t="shared" si="61"/>
        <v>#REF!</v>
      </c>
      <c r="FI36" s="858" t="e">
        <f t="shared" si="66"/>
        <v>#REF!</v>
      </c>
      <c r="FJ36" s="858" t="e">
        <f t="shared" si="66"/>
        <v>#REF!</v>
      </c>
      <c r="FK36" s="858" t="e">
        <f t="shared" si="66"/>
        <v>#REF!</v>
      </c>
      <c r="FL36" s="858" t="e">
        <f t="shared" si="66"/>
        <v>#REF!</v>
      </c>
      <c r="FM36" s="858" t="e">
        <f t="shared" si="66"/>
        <v>#REF!</v>
      </c>
      <c r="FN36" s="189" t="e">
        <f t="shared" si="62"/>
        <v>#REF!</v>
      </c>
    </row>
    <row r="37" spans="1:170" hidden="1" x14ac:dyDescent="0.3">
      <c r="A37" s="30" t="s">
        <v>39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44" t="e">
        <f>+'Drivers (2)'!#REF!</f>
        <v>#REF!</v>
      </c>
      <c r="DV37" s="44" t="e">
        <f>+'Drivers (2)'!#REF!</f>
        <v>#REF!</v>
      </c>
      <c r="DW37" s="44" t="e">
        <f>+'Drivers (2)'!#REF!</f>
        <v>#REF!</v>
      </c>
      <c r="DX37" s="44" t="e">
        <f>+'Drivers (2)'!#REF!</f>
        <v>#REF!</v>
      </c>
      <c r="DY37" s="45" t="e">
        <f t="shared" si="63"/>
        <v>#REF!</v>
      </c>
      <c r="DZ37" s="44" t="e">
        <f>+'Drivers (2)'!#REF!</f>
        <v>#REF!</v>
      </c>
      <c r="EA37" s="44" t="e">
        <f>+'Drivers (2)'!#REF!</f>
        <v>#REF!</v>
      </c>
      <c r="EB37" s="44" t="e">
        <f>+'Drivers (2)'!#REF!</f>
        <v>#REF!</v>
      </c>
      <c r="EC37" s="44" t="e">
        <f>+'Drivers (2)'!#REF!</f>
        <v>#REF!</v>
      </c>
      <c r="ED37" s="45" t="e">
        <f t="shared" si="55"/>
        <v>#REF!</v>
      </c>
      <c r="EE37" s="44" t="e">
        <f>+'Drivers (2)'!#REF!</f>
        <v>#REF!</v>
      </c>
      <c r="EF37" s="44" t="e">
        <f>+'Drivers (2)'!#REF!</f>
        <v>#REF!</v>
      </c>
      <c r="EG37" s="44" t="e">
        <f>+'Drivers (2)'!#REF!</f>
        <v>#REF!</v>
      </c>
      <c r="EH37" s="44" t="e">
        <f>+'Drivers (2)'!#REF!</f>
        <v>#REF!</v>
      </c>
      <c r="EI37" s="45" t="e">
        <f t="shared" si="56"/>
        <v>#REF!</v>
      </c>
      <c r="EJ37" s="44" t="e">
        <f>+'Drivers (2)'!#REF!</f>
        <v>#REF!</v>
      </c>
      <c r="EK37" s="44" t="e">
        <f>+'Drivers (2)'!#REF!</f>
        <v>#REF!</v>
      </c>
      <c r="EL37" s="44" t="e">
        <f>+'Drivers (2)'!#REF!</f>
        <v>#REF!</v>
      </c>
      <c r="EM37" s="44" t="e">
        <f>+'Drivers (2)'!#REF!</f>
        <v>#REF!</v>
      </c>
      <c r="EN37" s="45" t="e">
        <f t="shared" si="57"/>
        <v>#REF!</v>
      </c>
      <c r="EO37" s="44" t="e">
        <f>+'Drivers (2)'!#REF!</f>
        <v>#REF!</v>
      </c>
      <c r="EP37" s="44" t="e">
        <f>+'Drivers (2)'!#REF!</f>
        <v>#REF!</v>
      </c>
      <c r="EQ37" s="44" t="e">
        <f>+'Drivers (2)'!#REF!</f>
        <v>#REF!</v>
      </c>
      <c r="ER37" s="44" t="e">
        <f>+'Drivers (2)'!#REF!</f>
        <v>#REF!</v>
      </c>
      <c r="ES37" s="45" t="e">
        <f t="shared" si="58"/>
        <v>#REF!</v>
      </c>
      <c r="ET37" s="44" t="e">
        <f>+'Drivers (2)'!#REF!</f>
        <v>#REF!</v>
      </c>
      <c r="EU37" s="44" t="e">
        <f>+'Drivers (2)'!#REF!</f>
        <v>#REF!</v>
      </c>
      <c r="EV37" s="44" t="e">
        <f>+'Drivers (2)'!#REF!</f>
        <v>#REF!</v>
      </c>
      <c r="EW37" s="44" t="e">
        <f>+'Drivers (2)'!#REF!</f>
        <v>#REF!</v>
      </c>
      <c r="EX37" s="45" t="e">
        <f t="shared" si="59"/>
        <v>#REF!</v>
      </c>
      <c r="EY37" s="44" t="e">
        <f>+'Drivers (2)'!#REF!</f>
        <v>#REF!</v>
      </c>
      <c r="EZ37" s="44" t="e">
        <f>+'Drivers (2)'!#REF!</f>
        <v>#REF!</v>
      </c>
      <c r="FA37" s="44" t="e">
        <f>+'Drivers (2)'!#REF!</f>
        <v>#REF!</v>
      </c>
      <c r="FB37" s="44" t="e">
        <f>+'Drivers (2)'!#REF!</f>
        <v>#REF!</v>
      </c>
      <c r="FC37" s="45" t="e">
        <f t="shared" si="60"/>
        <v>#REF!</v>
      </c>
      <c r="FD37" s="44" t="e">
        <f>+'Drivers (2)'!#REF!</f>
        <v>#REF!</v>
      </c>
      <c r="FE37" s="44" t="e">
        <f>+'Drivers (2)'!#REF!</f>
        <v>#REF!</v>
      </c>
      <c r="FF37" s="44" t="e">
        <f>+'Drivers (2)'!#REF!</f>
        <v>#REF!</v>
      </c>
      <c r="FG37" s="44" t="e">
        <f>+'Drivers (2)'!#REF!</f>
        <v>#REF!</v>
      </c>
      <c r="FH37" s="45" t="e">
        <f t="shared" si="61"/>
        <v>#REF!</v>
      </c>
      <c r="FI37" s="44" t="e">
        <f>+'Drivers (2)'!#REF!</f>
        <v>#REF!</v>
      </c>
      <c r="FJ37" s="44" t="e">
        <f>+'Drivers (2)'!#REF!</f>
        <v>#REF!</v>
      </c>
      <c r="FK37" s="44" t="e">
        <f>+'Drivers (2)'!#REF!</f>
        <v>#REF!</v>
      </c>
      <c r="FL37" s="44" t="e">
        <f>+'Drivers (2)'!#REF!</f>
        <v>#REF!</v>
      </c>
      <c r="FM37" s="44" t="e">
        <f>+'Drivers (2)'!#REF!</f>
        <v>#REF!</v>
      </c>
      <c r="FN37" s="189" t="e">
        <f t="shared" si="62"/>
        <v>#REF!</v>
      </c>
    </row>
    <row r="38" spans="1:170" hidden="1" x14ac:dyDescent="0.3">
      <c r="A38" s="29" t="s">
        <v>35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858" t="e">
        <f>+DU36+DU37</f>
        <v>#REF!</v>
      </c>
      <c r="DV38" s="858" t="e">
        <f t="shared" ref="DV38:DX40" si="67">+DV36+DV37</f>
        <v>#REF!</v>
      </c>
      <c r="DW38" s="858" t="e">
        <f t="shared" si="67"/>
        <v>#REF!</v>
      </c>
      <c r="DX38" s="858" t="e">
        <f t="shared" si="67"/>
        <v>#REF!</v>
      </c>
      <c r="DY38" s="858" t="e">
        <f t="shared" si="63"/>
        <v>#REF!</v>
      </c>
      <c r="DZ38" s="858" t="e">
        <f>+DZ36+DZ37</f>
        <v>#REF!</v>
      </c>
      <c r="EA38" s="858" t="e">
        <f t="shared" ref="EA38:EB40" si="68">+EA36+EA37</f>
        <v>#REF!</v>
      </c>
      <c r="EB38" s="858" t="e">
        <f t="shared" si="68"/>
        <v>#REF!</v>
      </c>
      <c r="EC38" s="858" t="e">
        <f>+EC36+EC37</f>
        <v>#REF!</v>
      </c>
      <c r="ED38" s="858" t="e">
        <f t="shared" si="55"/>
        <v>#REF!</v>
      </c>
      <c r="EE38" s="858" t="e">
        <f>+EE36+EE37</f>
        <v>#REF!</v>
      </c>
      <c r="EF38" s="858" t="e">
        <f>+EF36+EF37</f>
        <v>#REF!</v>
      </c>
      <c r="EG38" s="858" t="e">
        <f>+EG36+EG37</f>
        <v>#REF!</v>
      </c>
      <c r="EH38" s="858" t="e">
        <f>+EH36+EH37</f>
        <v>#REF!</v>
      </c>
      <c r="EI38" s="858" t="e">
        <f t="shared" si="56"/>
        <v>#REF!</v>
      </c>
      <c r="EJ38" s="858" t="e">
        <f>+EJ36+EJ37</f>
        <v>#REF!</v>
      </c>
      <c r="EK38" s="858" t="e">
        <f>+EK36+EK37</f>
        <v>#REF!</v>
      </c>
      <c r="EL38" s="858" t="e">
        <f>+EL36+EL37</f>
        <v>#REF!</v>
      </c>
      <c r="EM38" s="858" t="e">
        <f>+EM36+EM37</f>
        <v>#REF!</v>
      </c>
      <c r="EN38" s="858" t="e">
        <f t="shared" si="57"/>
        <v>#REF!</v>
      </c>
      <c r="EO38" s="858" t="e">
        <f>+EO36+EO37</f>
        <v>#REF!</v>
      </c>
      <c r="EP38" s="858" t="e">
        <f>+EP36+EP37</f>
        <v>#REF!</v>
      </c>
      <c r="EQ38" s="858" t="e">
        <f>+EQ36+EQ37</f>
        <v>#REF!</v>
      </c>
      <c r="ER38" s="858" t="e">
        <f>+ER36+ER37</f>
        <v>#REF!</v>
      </c>
      <c r="ES38" s="858" t="e">
        <f t="shared" si="58"/>
        <v>#REF!</v>
      </c>
      <c r="ET38" s="858" t="e">
        <f t="shared" ref="ET38:EW38" si="69">+ET36+ET37</f>
        <v>#REF!</v>
      </c>
      <c r="EU38" s="858" t="e">
        <f t="shared" si="69"/>
        <v>#REF!</v>
      </c>
      <c r="EV38" s="858" t="e">
        <f t="shared" si="69"/>
        <v>#REF!</v>
      </c>
      <c r="EW38" s="858" t="e">
        <f t="shared" si="69"/>
        <v>#REF!</v>
      </c>
      <c r="EX38" s="858" t="e">
        <f t="shared" si="59"/>
        <v>#REF!</v>
      </c>
      <c r="EY38" s="858" t="e">
        <f t="shared" ref="EY38:FB38" si="70">+EY36+EY37</f>
        <v>#REF!</v>
      </c>
      <c r="EZ38" s="858" t="e">
        <f t="shared" si="70"/>
        <v>#REF!</v>
      </c>
      <c r="FA38" s="858" t="e">
        <f t="shared" si="70"/>
        <v>#REF!</v>
      </c>
      <c r="FB38" s="858" t="e">
        <f t="shared" si="70"/>
        <v>#REF!</v>
      </c>
      <c r="FC38" s="858" t="e">
        <f t="shared" si="60"/>
        <v>#REF!</v>
      </c>
      <c r="FD38" s="858" t="e">
        <f t="shared" ref="FD38:FM40" si="71">+FD36+FD37</f>
        <v>#REF!</v>
      </c>
      <c r="FE38" s="858" t="e">
        <f t="shared" si="71"/>
        <v>#REF!</v>
      </c>
      <c r="FF38" s="858" t="e">
        <f t="shared" si="71"/>
        <v>#REF!</v>
      </c>
      <c r="FG38" s="858" t="e">
        <f t="shared" si="71"/>
        <v>#REF!</v>
      </c>
      <c r="FH38" s="858" t="e">
        <f t="shared" si="61"/>
        <v>#REF!</v>
      </c>
      <c r="FI38" s="858" t="e">
        <f t="shared" si="71"/>
        <v>#REF!</v>
      </c>
      <c r="FJ38" s="858" t="e">
        <f t="shared" si="71"/>
        <v>#REF!</v>
      </c>
      <c r="FK38" s="858" t="e">
        <f t="shared" si="71"/>
        <v>#REF!</v>
      </c>
      <c r="FL38" s="858" t="e">
        <f t="shared" si="71"/>
        <v>#REF!</v>
      </c>
      <c r="FM38" s="858" t="e">
        <f t="shared" si="71"/>
        <v>#REF!</v>
      </c>
    </row>
    <row r="39" spans="1:170" hidden="1" x14ac:dyDescent="0.3">
      <c r="A39" s="30" t="s">
        <v>36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44">
        <f>+Inputs!DU515</f>
        <v>86</v>
      </c>
      <c r="DV39" s="44">
        <f>+Inputs!DV515</f>
        <v>89</v>
      </c>
      <c r="DW39" s="44">
        <f>+Inputs!DW515</f>
        <v>85</v>
      </c>
      <c r="DX39" s="44">
        <f>+Inputs!DX515</f>
        <v>85</v>
      </c>
      <c r="DY39" s="45">
        <f>+SUM(DU39:DX39)</f>
        <v>345</v>
      </c>
      <c r="DZ39" s="44">
        <f>+Inputs!DZ515</f>
        <v>84</v>
      </c>
      <c r="EA39" s="44">
        <f>+Inputs!EA515</f>
        <v>94</v>
      </c>
      <c r="EB39" s="44">
        <f>+Inputs!EB515</f>
        <v>99</v>
      </c>
      <c r="EC39" s="44" t="e">
        <f>+'Drivers (2)'!#REF!</f>
        <v>#REF!</v>
      </c>
      <c r="ED39" s="45" t="e">
        <f t="shared" si="55"/>
        <v>#REF!</v>
      </c>
      <c r="EE39" s="44" t="e">
        <f>+'Drivers (2)'!#REF!</f>
        <v>#REF!</v>
      </c>
      <c r="EF39" s="44" t="e">
        <f>+'Drivers (2)'!#REF!</f>
        <v>#REF!</v>
      </c>
      <c r="EG39" s="44" t="e">
        <f>+'Drivers (2)'!#REF!</f>
        <v>#REF!</v>
      </c>
      <c r="EH39" s="44" t="e">
        <f>+'Drivers (2)'!#REF!</f>
        <v>#REF!</v>
      </c>
      <c r="EI39" s="45" t="e">
        <f t="shared" si="56"/>
        <v>#REF!</v>
      </c>
      <c r="EJ39" s="44" t="e">
        <f>+'Drivers (2)'!#REF!</f>
        <v>#REF!</v>
      </c>
      <c r="EK39" s="44" t="e">
        <f>+'Drivers (2)'!#REF!</f>
        <v>#REF!</v>
      </c>
      <c r="EL39" s="44" t="e">
        <f>+'Drivers (2)'!#REF!</f>
        <v>#REF!</v>
      </c>
      <c r="EM39" s="44" t="e">
        <f>+'Drivers (2)'!#REF!</f>
        <v>#REF!</v>
      </c>
      <c r="EN39" s="45" t="e">
        <f t="shared" si="57"/>
        <v>#REF!</v>
      </c>
      <c r="EO39" s="44" t="e">
        <f>+'Drivers (2)'!#REF!</f>
        <v>#REF!</v>
      </c>
      <c r="EP39" s="44" t="e">
        <f>+'Drivers (2)'!#REF!</f>
        <v>#REF!</v>
      </c>
      <c r="EQ39" s="44" t="e">
        <f>+'Drivers (2)'!#REF!</f>
        <v>#REF!</v>
      </c>
      <c r="ER39" s="44" t="e">
        <f>+'Drivers (2)'!#REF!</f>
        <v>#REF!</v>
      </c>
      <c r="ES39" s="45" t="e">
        <f t="shared" si="58"/>
        <v>#REF!</v>
      </c>
      <c r="ET39" s="44" t="e">
        <f>+'Drivers (2)'!#REF!</f>
        <v>#REF!</v>
      </c>
      <c r="EU39" s="44" t="e">
        <f>+'Drivers (2)'!#REF!</f>
        <v>#REF!</v>
      </c>
      <c r="EV39" s="44" t="e">
        <f>+'Drivers (2)'!#REF!</f>
        <v>#REF!</v>
      </c>
      <c r="EW39" s="44" t="e">
        <f>+'Drivers (2)'!#REF!</f>
        <v>#REF!</v>
      </c>
      <c r="EX39" s="45" t="e">
        <f t="shared" si="59"/>
        <v>#REF!</v>
      </c>
      <c r="EY39" s="44" t="e">
        <f>+'Drivers (2)'!#REF!</f>
        <v>#REF!</v>
      </c>
      <c r="EZ39" s="44" t="e">
        <f>+'Drivers (2)'!#REF!</f>
        <v>#REF!</v>
      </c>
      <c r="FA39" s="44" t="e">
        <f>+'Drivers (2)'!#REF!</f>
        <v>#REF!</v>
      </c>
      <c r="FB39" s="44" t="e">
        <f>+'Drivers (2)'!#REF!</f>
        <v>#REF!</v>
      </c>
      <c r="FC39" s="45" t="e">
        <f t="shared" si="60"/>
        <v>#REF!</v>
      </c>
      <c r="FD39" s="44" t="e">
        <f>+'Drivers (2)'!#REF!</f>
        <v>#REF!</v>
      </c>
      <c r="FE39" s="44" t="e">
        <f>+'Drivers (2)'!#REF!</f>
        <v>#REF!</v>
      </c>
      <c r="FF39" s="44" t="e">
        <f>+'Drivers (2)'!#REF!</f>
        <v>#REF!</v>
      </c>
      <c r="FG39" s="44" t="e">
        <f>+'Drivers (2)'!#REF!</f>
        <v>#REF!</v>
      </c>
      <c r="FH39" s="45" t="e">
        <f t="shared" si="61"/>
        <v>#REF!</v>
      </c>
      <c r="FI39" s="44" t="e">
        <f>+'Drivers (2)'!#REF!</f>
        <v>#REF!</v>
      </c>
      <c r="FJ39" s="44" t="e">
        <f>+'Drivers (2)'!#REF!</f>
        <v>#REF!</v>
      </c>
      <c r="FK39" s="44" t="e">
        <f>+'Drivers (2)'!#REF!</f>
        <v>#REF!</v>
      </c>
      <c r="FL39" s="44" t="e">
        <f>+'Drivers (2)'!#REF!</f>
        <v>#REF!</v>
      </c>
      <c r="FM39" s="44" t="e">
        <f>+'Drivers (2)'!#REF!</f>
        <v>#REF!</v>
      </c>
      <c r="FN39" s="189" t="e">
        <f>+(FJ39/ES39)^0.2-1</f>
        <v>#REF!</v>
      </c>
    </row>
    <row r="40" spans="1:170" hidden="1" x14ac:dyDescent="0.3">
      <c r="A40" s="4" t="s">
        <v>19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858" t="e">
        <f>+DU38+DU39</f>
        <v>#REF!</v>
      </c>
      <c r="DV40" s="858" t="e">
        <f t="shared" si="67"/>
        <v>#REF!</v>
      </c>
      <c r="DW40" s="858" t="e">
        <f t="shared" si="67"/>
        <v>#REF!</v>
      </c>
      <c r="DX40" s="858" t="e">
        <f t="shared" si="67"/>
        <v>#REF!</v>
      </c>
      <c r="DY40" s="858" t="e">
        <f>+SUM(DU40:DX40)</f>
        <v>#REF!</v>
      </c>
      <c r="DZ40" s="858" t="e">
        <f>+DZ38+DZ39</f>
        <v>#REF!</v>
      </c>
      <c r="EA40" s="858" t="e">
        <f t="shared" si="68"/>
        <v>#REF!</v>
      </c>
      <c r="EB40" s="858" t="e">
        <f t="shared" si="68"/>
        <v>#REF!</v>
      </c>
      <c r="EC40" s="858" t="e">
        <f>+EC38+EC39</f>
        <v>#REF!</v>
      </c>
      <c r="ED40" s="858" t="e">
        <f t="shared" si="55"/>
        <v>#REF!</v>
      </c>
      <c r="EE40" s="858" t="e">
        <f>+EE38+EE39</f>
        <v>#REF!</v>
      </c>
      <c r="EF40" s="858" t="e">
        <f>+EF38+EF39</f>
        <v>#REF!</v>
      </c>
      <c r="EG40" s="858" t="e">
        <f>+EG38+EG39</f>
        <v>#REF!</v>
      </c>
      <c r="EH40" s="858" t="e">
        <f>+EH38+EH39</f>
        <v>#REF!</v>
      </c>
      <c r="EI40" s="858" t="e">
        <f t="shared" si="56"/>
        <v>#REF!</v>
      </c>
      <c r="EJ40" s="858" t="e">
        <f>+EJ38+EJ39</f>
        <v>#REF!</v>
      </c>
      <c r="EK40" s="858" t="e">
        <f>+EK38+EK39</f>
        <v>#REF!</v>
      </c>
      <c r="EL40" s="858" t="e">
        <f>+EL38+EL39</f>
        <v>#REF!</v>
      </c>
      <c r="EM40" s="858" t="e">
        <f>+EM38+EM39</f>
        <v>#REF!</v>
      </c>
      <c r="EN40" s="858" t="e">
        <f t="shared" si="57"/>
        <v>#REF!</v>
      </c>
      <c r="EO40" s="858" t="e">
        <f>+EO38+EO39</f>
        <v>#REF!</v>
      </c>
      <c r="EP40" s="858" t="e">
        <f>+EP38+EP39</f>
        <v>#REF!</v>
      </c>
      <c r="EQ40" s="858" t="e">
        <f>+EQ38+EQ39</f>
        <v>#REF!</v>
      </c>
      <c r="ER40" s="858" t="e">
        <f>+ER38+ER39</f>
        <v>#REF!</v>
      </c>
      <c r="ES40" s="858" t="e">
        <f t="shared" si="58"/>
        <v>#REF!</v>
      </c>
      <c r="ET40" s="858" t="e">
        <f t="shared" ref="ET40:EW40" si="72">+ET38+ET39</f>
        <v>#REF!</v>
      </c>
      <c r="EU40" s="858" t="e">
        <f t="shared" si="72"/>
        <v>#REF!</v>
      </c>
      <c r="EV40" s="858" t="e">
        <f t="shared" si="72"/>
        <v>#REF!</v>
      </c>
      <c r="EW40" s="858" t="e">
        <f t="shared" si="72"/>
        <v>#REF!</v>
      </c>
      <c r="EX40" s="858" t="e">
        <f t="shared" si="59"/>
        <v>#REF!</v>
      </c>
      <c r="EY40" s="858" t="e">
        <f t="shared" ref="EY40:FB40" si="73">+EY38+EY39</f>
        <v>#REF!</v>
      </c>
      <c r="EZ40" s="858" t="e">
        <f t="shared" si="73"/>
        <v>#REF!</v>
      </c>
      <c r="FA40" s="858" t="e">
        <f t="shared" si="73"/>
        <v>#REF!</v>
      </c>
      <c r="FB40" s="858" t="e">
        <f t="shared" si="73"/>
        <v>#REF!</v>
      </c>
      <c r="FC40" s="858" t="e">
        <f t="shared" si="60"/>
        <v>#REF!</v>
      </c>
      <c r="FD40" s="858" t="e">
        <f t="shared" ref="FD40:FK40" si="74">+FD38+FD39</f>
        <v>#REF!</v>
      </c>
      <c r="FE40" s="858" t="e">
        <f t="shared" si="74"/>
        <v>#REF!</v>
      </c>
      <c r="FF40" s="858" t="e">
        <f t="shared" si="74"/>
        <v>#REF!</v>
      </c>
      <c r="FG40" s="858" t="e">
        <f t="shared" si="74"/>
        <v>#REF!</v>
      </c>
      <c r="FH40" s="858" t="e">
        <f t="shared" si="61"/>
        <v>#REF!</v>
      </c>
      <c r="FI40" s="858" t="e">
        <f t="shared" si="74"/>
        <v>#REF!</v>
      </c>
      <c r="FJ40" s="858" t="e">
        <f t="shared" si="74"/>
        <v>#REF!</v>
      </c>
      <c r="FK40" s="858" t="e">
        <f t="shared" si="74"/>
        <v>#REF!</v>
      </c>
      <c r="FL40" s="858" t="e">
        <f t="shared" si="71"/>
        <v>#REF!</v>
      </c>
      <c r="FM40" s="858" t="e">
        <f t="shared" si="71"/>
        <v>#REF!</v>
      </c>
      <c r="FN40" s="189" t="e">
        <f>+(FJ40/ES40)^0.2-1</f>
        <v>#REF!</v>
      </c>
    </row>
    <row r="41" spans="1:170" hidden="1" x14ac:dyDescent="0.3">
      <c r="A41" s="46" t="s">
        <v>29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4"/>
      <c r="DZ41" s="47" t="str">
        <f t="shared" ref="DZ41:EX41" si="75">+IFERROR(DZ40/DU40-1,"")</f>
        <v/>
      </c>
      <c r="EA41" s="47" t="str">
        <f t="shared" si="75"/>
        <v/>
      </c>
      <c r="EB41" s="47" t="str">
        <f t="shared" si="75"/>
        <v/>
      </c>
      <c r="EC41" s="47" t="str">
        <f t="shared" si="75"/>
        <v/>
      </c>
      <c r="ED41" s="52" t="str">
        <f t="shared" si="75"/>
        <v/>
      </c>
      <c r="EE41" s="47" t="str">
        <f t="shared" si="75"/>
        <v/>
      </c>
      <c r="EF41" s="47" t="str">
        <f t="shared" si="75"/>
        <v/>
      </c>
      <c r="EG41" s="47" t="str">
        <f t="shared" si="75"/>
        <v/>
      </c>
      <c r="EH41" s="47" t="str">
        <f t="shared" si="75"/>
        <v/>
      </c>
      <c r="EI41" s="52" t="str">
        <f t="shared" si="75"/>
        <v/>
      </c>
      <c r="EJ41" s="47" t="str">
        <f t="shared" si="75"/>
        <v/>
      </c>
      <c r="EK41" s="47" t="str">
        <f t="shared" si="75"/>
        <v/>
      </c>
      <c r="EL41" s="47" t="str">
        <f t="shared" si="75"/>
        <v/>
      </c>
      <c r="EM41" s="47" t="str">
        <f t="shared" si="75"/>
        <v/>
      </c>
      <c r="EN41" s="52" t="str">
        <f t="shared" si="75"/>
        <v/>
      </c>
      <c r="EO41" s="47" t="str">
        <f t="shared" si="75"/>
        <v/>
      </c>
      <c r="EP41" s="47" t="str">
        <f t="shared" si="75"/>
        <v/>
      </c>
      <c r="EQ41" s="47" t="str">
        <f t="shared" si="75"/>
        <v/>
      </c>
      <c r="ER41" s="47" t="str">
        <f t="shared" si="75"/>
        <v/>
      </c>
      <c r="ES41" s="52" t="str">
        <f t="shared" si="75"/>
        <v/>
      </c>
      <c r="ET41" s="47" t="str">
        <f t="shared" si="75"/>
        <v/>
      </c>
      <c r="EU41" s="47" t="str">
        <f t="shared" si="75"/>
        <v/>
      </c>
      <c r="EV41" s="47" t="str">
        <f t="shared" si="75"/>
        <v/>
      </c>
      <c r="EW41" s="47" t="str">
        <f t="shared" si="75"/>
        <v/>
      </c>
      <c r="EX41" s="52" t="str">
        <f t="shared" si="75"/>
        <v/>
      </c>
      <c r="EY41" s="47" t="str">
        <f t="shared" ref="EY41" si="76">+IFERROR(EY40/ET40-1,"")</f>
        <v/>
      </c>
      <c r="EZ41" s="47" t="str">
        <f t="shared" ref="EZ41" si="77">+IFERROR(EZ40/EU40-1,"")</f>
        <v/>
      </c>
      <c r="FA41" s="47" t="str">
        <f t="shared" ref="FA41" si="78">+IFERROR(FA40/EV40-1,"")</f>
        <v/>
      </c>
      <c r="FB41" s="47" t="str">
        <f t="shared" ref="FB41:FC41" si="79">+IFERROR(FB40/EW40-1,"")</f>
        <v/>
      </c>
      <c r="FC41" s="52" t="str">
        <f t="shared" si="79"/>
        <v/>
      </c>
      <c r="FD41" s="47" t="str">
        <f t="shared" ref="FD41" si="80">+IFERROR(FD40/EY40-1,"")</f>
        <v/>
      </c>
      <c r="FE41" s="47" t="str">
        <f t="shared" ref="FE41" si="81">+IFERROR(FE40/EZ40-1,"")</f>
        <v/>
      </c>
      <c r="FF41" s="47" t="str">
        <f t="shared" ref="FF41" si="82">+IFERROR(FF40/FA40-1,"")</f>
        <v/>
      </c>
      <c r="FG41" s="47" t="str">
        <f t="shared" ref="FG41:FH41" si="83">+IFERROR(FG40/FB40-1,"")</f>
        <v/>
      </c>
      <c r="FH41" s="52" t="str">
        <f t="shared" si="83"/>
        <v/>
      </c>
      <c r="FI41" s="47" t="str">
        <f t="shared" ref="FI41:FM41" si="84">+IFERROR(FI40/FH40-1,"")</f>
        <v/>
      </c>
      <c r="FJ41" s="47" t="str">
        <f t="shared" si="84"/>
        <v/>
      </c>
      <c r="FK41" s="47" t="str">
        <f t="shared" si="84"/>
        <v/>
      </c>
      <c r="FL41" s="47" t="str">
        <f t="shared" si="84"/>
        <v/>
      </c>
      <c r="FM41" s="47" t="str">
        <f t="shared" si="84"/>
        <v/>
      </c>
    </row>
    <row r="42" spans="1:170" hidden="1" x14ac:dyDescent="0.3">
      <c r="A42" s="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4"/>
      <c r="DZ42" s="1"/>
      <c r="EA42" s="1"/>
      <c r="EB42" s="1"/>
      <c r="EC42" s="1"/>
      <c r="ED42" s="4"/>
      <c r="EE42" s="1"/>
      <c r="EF42" s="1"/>
      <c r="EG42" s="1"/>
      <c r="EH42" s="1"/>
      <c r="EI42" s="4"/>
      <c r="EJ42" s="1"/>
      <c r="EK42" s="1"/>
      <c r="EL42" s="1"/>
      <c r="EM42" s="1"/>
      <c r="EN42" s="4"/>
      <c r="EO42" s="1"/>
      <c r="EP42" s="1"/>
      <c r="EQ42" s="1"/>
      <c r="ER42" s="1"/>
      <c r="ES42" s="4"/>
      <c r="ET42" s="1"/>
      <c r="EU42" s="1"/>
      <c r="EV42" s="1"/>
      <c r="EW42" s="1"/>
      <c r="EX42" s="4"/>
      <c r="EY42" s="1"/>
      <c r="EZ42" s="1"/>
      <c r="FA42" s="1"/>
      <c r="FB42" s="1"/>
      <c r="FC42" s="4"/>
      <c r="FD42" s="1"/>
      <c r="FE42" s="1"/>
      <c r="FF42" s="1"/>
      <c r="FG42" s="1"/>
      <c r="FH42" s="4"/>
      <c r="FI42" s="1"/>
      <c r="FJ42" s="1"/>
      <c r="FK42" s="1"/>
      <c r="FL42" s="1"/>
      <c r="FM42" s="1"/>
    </row>
    <row r="43" spans="1:170" x14ac:dyDescent="0.3">
      <c r="A43" s="30" t="s">
        <v>40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4"/>
      <c r="DZ43" s="44">
        <f>+'Drivers (2)'!DZ67</f>
        <v>170</v>
      </c>
      <c r="EA43" s="44">
        <f>+'Drivers (2)'!EA67</f>
        <v>155</v>
      </c>
      <c r="EB43" s="44">
        <f>+'Drivers (2)'!EB67</f>
        <v>136</v>
      </c>
      <c r="EC43" s="44">
        <f>+'Drivers (2)'!EC67</f>
        <v>116</v>
      </c>
      <c r="ED43" s="45">
        <f>+SUM(DZ43:EC43)</f>
        <v>577</v>
      </c>
      <c r="EE43" s="44">
        <f>+'Drivers (2)'!EE67</f>
        <v>111</v>
      </c>
      <c r="EF43" s="44">
        <f>+'Drivers (2)'!EF67</f>
        <v>108</v>
      </c>
      <c r="EG43" s="44">
        <f>+'Drivers (2)'!EG67</f>
        <v>95</v>
      </c>
      <c r="EH43" s="44">
        <f>+'Drivers (2)'!EH67</f>
        <v>93</v>
      </c>
      <c r="EI43" s="45">
        <f>+SUM(EE43:EH43)</f>
        <v>407</v>
      </c>
      <c r="EJ43" s="44">
        <f>+'Drivers (2)'!EJ67</f>
        <v>92</v>
      </c>
      <c r="EK43" s="44">
        <f>+'Drivers (2)'!EK67</f>
        <v>87</v>
      </c>
      <c r="EL43" s="44">
        <f>+'Drivers (2)'!EL67</f>
        <v>81</v>
      </c>
      <c r="EM43" s="44">
        <f>+'Drivers (2)'!EM67</f>
        <v>76</v>
      </c>
      <c r="EN43" s="45">
        <f>+SUM(EJ43:EM43)</f>
        <v>336</v>
      </c>
      <c r="EO43" s="44">
        <f>+'Drivers (2)'!EO67</f>
        <v>76</v>
      </c>
      <c r="EP43" s="44">
        <f>+'Drivers (2)'!EP67</f>
        <v>71</v>
      </c>
      <c r="EQ43" s="44">
        <f>+'Drivers (2)'!EQ67</f>
        <v>65</v>
      </c>
      <c r="ER43" s="44">
        <f>+'Drivers (2)'!ER67</f>
        <v>61</v>
      </c>
      <c r="ES43" s="45">
        <f>+SUM(EO43:ER43)</f>
        <v>273</v>
      </c>
      <c r="ET43" s="44">
        <f>+'Drivers (2)'!ET67</f>
        <v>60.570635382412505</v>
      </c>
      <c r="EU43" s="44">
        <f>+'Drivers (2)'!EU67</f>
        <v>56.889781503646581</v>
      </c>
      <c r="EV43" s="44">
        <f>+'Drivers (2)'!EV67</f>
        <v>52.578188131660681</v>
      </c>
      <c r="EW43" s="44">
        <f>+'Drivers (2)'!EW67</f>
        <v>49.382564952452341</v>
      </c>
      <c r="EX43" s="45">
        <f>+SUM(ET43:EW43)</f>
        <v>219.42116997017212</v>
      </c>
      <c r="EY43" s="44">
        <f>+'Drivers (2)'!EY67</f>
        <v>48.894808511109211</v>
      </c>
      <c r="EZ43" s="44">
        <f>+'Drivers (2)'!EZ67</f>
        <v>46.073557115968029</v>
      </c>
      <c r="FA43" s="44">
        <f>+'Drivers (2)'!FA67</f>
        <v>42.692931363762625</v>
      </c>
      <c r="FB43" s="44">
        <f>+'Drivers (2)'!FB67</f>
        <v>40.162096425115593</v>
      </c>
      <c r="FC43" s="45">
        <f>+SUM(EY43:FB43)</f>
        <v>177.82339341595548</v>
      </c>
      <c r="FD43" s="44">
        <f>+'Drivers (2)'!FD67</f>
        <v>39.732034285982451</v>
      </c>
      <c r="FE43" s="44">
        <f>+'Drivers (2)'!FE67</f>
        <v>37.536683630979226</v>
      </c>
      <c r="FF43" s="44">
        <f>+'Drivers (2)'!FF67</f>
        <v>34.853081753638534</v>
      </c>
      <c r="FG43" s="44">
        <f>+'Drivers (2)'!FG67</f>
        <v>32.823400631696138</v>
      </c>
      <c r="FH43" s="45">
        <f>+SUM(FD43:FG43)</f>
        <v>144.94520030229634</v>
      </c>
      <c r="FI43" s="44">
        <f>+'Drivers (2)'!FI67</f>
        <v>117.67421058688591</v>
      </c>
      <c r="FJ43" s="44">
        <f>+'Drivers (2)'!FJ67</f>
        <v>93.807864083453993</v>
      </c>
      <c r="FK43" s="44">
        <f>+'Drivers (2)'!FK67</f>
        <v>75.06939221523686</v>
      </c>
      <c r="FL43" s="44">
        <f>+'Drivers (2)'!FL67</f>
        <v>60.190534179855376</v>
      </c>
      <c r="FM43" s="44">
        <f>+'Drivers (2)'!FM67</f>
        <v>48.301920464746715</v>
      </c>
      <c r="FN43" s="189">
        <f>+(FJ43/ES43)^0.2-1</f>
        <v>-0.19236464914115281</v>
      </c>
    </row>
    <row r="44" spans="1:170" x14ac:dyDescent="0.3">
      <c r="A44" s="30" t="s">
        <v>41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44">
        <f>+Inputs!DU544+Inputs!DU543</f>
        <v>759.73127035830612</v>
      </c>
      <c r="DV44" s="44">
        <f>+Inputs!DV544+Inputs!DV543</f>
        <v>730.16202531645581</v>
      </c>
      <c r="DW44" s="44">
        <f>+Inputs!DW544+Inputs!DW543</f>
        <v>739.33277451802178</v>
      </c>
      <c r="DX44" s="44">
        <f>+Inputs!DX544+Inputs!DX543</f>
        <v>698.41695205479459</v>
      </c>
      <c r="DY44" s="45">
        <f t="shared" ref="DY44:DY48" si="85">+SUM(DU44:DX44)</f>
        <v>2927.6430222475783</v>
      </c>
      <c r="DZ44" s="44">
        <f>+Inputs!DZ544+Inputs!DZ543-DZ43</f>
        <v>529.53043478260861</v>
      </c>
      <c r="EA44" s="44">
        <f>+Inputs!EA544+Inputs!EA543-EA43</f>
        <v>518.46585594013095</v>
      </c>
      <c r="EB44" s="44">
        <f>+Inputs!EB544+Inputs!EB543-EB43</f>
        <v>521</v>
      </c>
      <c r="EC44" s="44">
        <f>+'Drivers (2)'!EC68</f>
        <v>570</v>
      </c>
      <c r="ED44" s="45">
        <f>+SUM(DZ44:EC44)</f>
        <v>2138.9962907227396</v>
      </c>
      <c r="EE44" s="44">
        <f>+'Drivers (2)'!EE68</f>
        <v>567</v>
      </c>
      <c r="EF44" s="44">
        <f>+'Drivers (2)'!EF68</f>
        <v>537</v>
      </c>
      <c r="EG44" s="44">
        <f>+'Drivers (2)'!EG68</f>
        <v>540</v>
      </c>
      <c r="EH44" s="44">
        <f>+'Drivers (2)'!EH68</f>
        <v>505</v>
      </c>
      <c r="EI44" s="45">
        <f>+SUM(EE44:EH44)</f>
        <v>2149</v>
      </c>
      <c r="EJ44" s="44">
        <f>+'Drivers (2)'!EJ68</f>
        <v>460</v>
      </c>
      <c r="EK44" s="44">
        <f>+'Drivers (2)'!EK68</f>
        <v>451</v>
      </c>
      <c r="EL44" s="44">
        <f>+'Drivers (2)'!EL68</f>
        <v>459</v>
      </c>
      <c r="EM44" s="44">
        <f>+'Drivers (2)'!EM68</f>
        <v>442</v>
      </c>
      <c r="EN44" s="45">
        <f>+SUM(EJ44:EM44)</f>
        <v>1812</v>
      </c>
      <c r="EO44" s="44">
        <f>+'Drivers (2)'!EO68</f>
        <v>467</v>
      </c>
      <c r="EP44" s="44">
        <f>+'Drivers (2)'!EP68</f>
        <v>460</v>
      </c>
      <c r="EQ44" s="44">
        <f>+'Drivers (2)'!EQ68</f>
        <v>482</v>
      </c>
      <c r="ER44" s="44">
        <f>+'Drivers (2)'!ER68</f>
        <v>453</v>
      </c>
      <c r="ES44" s="45">
        <f>+SUM(EO44:ER44)</f>
        <v>1862</v>
      </c>
      <c r="ET44" s="44">
        <f>+'Drivers (2)'!ET68</f>
        <v>462.77438581687494</v>
      </c>
      <c r="EU44" s="44">
        <f>+'Drivers (2)'!EU68</f>
        <v>456.51114753749988</v>
      </c>
      <c r="EV44" s="44">
        <f>+'Drivers (2)'!EV68</f>
        <v>478.97121442500003</v>
      </c>
      <c r="EW44" s="44">
        <f>+'Drivers (2)'!EW68</f>
        <v>451.05991425000002</v>
      </c>
      <c r="EX44" s="45">
        <f>+SUM(ET44:EW44)</f>
        <v>1849.3166620293748</v>
      </c>
      <c r="EY44" s="44">
        <f>+'Drivers (2)'!EY68</f>
        <v>461.30599677196585</v>
      </c>
      <c r="EZ44" s="44">
        <f>+'Drivers (2)'!EZ68</f>
        <v>455.03120690530062</v>
      </c>
      <c r="FA44" s="44">
        <f>+'Drivers (2)'!FA68</f>
        <v>477.45116273627337</v>
      </c>
      <c r="FB44" s="44">
        <f>+'Drivers (2)'!FB68</f>
        <v>449.65955012309348</v>
      </c>
      <c r="FC44" s="45">
        <f>+SUM(EY44:FB44)</f>
        <v>1843.4479165366333</v>
      </c>
      <c r="FD44" s="44">
        <f>+'Drivers (2)'!FD68</f>
        <v>459.84227184564691</v>
      </c>
      <c r="FE44" s="44">
        <f>+'Drivers (2)'!FE68</f>
        <v>453.55606454503817</v>
      </c>
      <c r="FF44" s="44">
        <f>+'Drivers (2)'!FF68</f>
        <v>475.93593561116205</v>
      </c>
      <c r="FG44" s="44">
        <f>+'Drivers (2)'!FG68</f>
        <v>448.26353411912646</v>
      </c>
      <c r="FH44" s="45">
        <f>+SUM(FD44:FG44)</f>
        <v>1837.5978061209735</v>
      </c>
      <c r="FI44" s="44">
        <f>+'Drivers (2)'!FI68</f>
        <v>1832.825318788048</v>
      </c>
      <c r="FJ44" s="44">
        <f>+'Drivers (2)'!FJ68</f>
        <v>1827.1985450593681</v>
      </c>
      <c r="FK44" s="44">
        <f>+'Drivers (2)'!FK68</f>
        <v>1821.5890455260358</v>
      </c>
      <c r="FL44" s="44">
        <f>+'Drivers (2)'!FL68</f>
        <v>1815.9967671562708</v>
      </c>
      <c r="FM44" s="44">
        <f>+'Drivers (2)'!FM68</f>
        <v>1810.4216570811009</v>
      </c>
      <c r="FN44" s="189">
        <f>+(FJ44/ES44)^0.2-1</f>
        <v>-3.7663364243528674E-3</v>
      </c>
    </row>
    <row r="45" spans="1:170" x14ac:dyDescent="0.3">
      <c r="A45" s="30" t="s">
        <v>42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44">
        <f>+Inputs!DU545</f>
        <v>415.26872964169382</v>
      </c>
      <c r="DV45" s="44">
        <f>+Inputs!DV545</f>
        <v>403.8379746835443</v>
      </c>
      <c r="DW45" s="44">
        <f>+Inputs!DW545</f>
        <v>404.66722548197816</v>
      </c>
      <c r="DX45" s="44">
        <f>+Inputs!DX545</f>
        <v>420.58304794520546</v>
      </c>
      <c r="DY45" s="45">
        <f t="shared" si="85"/>
        <v>1644.3569777524217</v>
      </c>
      <c r="DZ45" s="44">
        <f>+Inputs!DZ545</f>
        <v>402.46956521739128</v>
      </c>
      <c r="EA45" s="44">
        <f>+Inputs!EA545</f>
        <v>377.53414405986899</v>
      </c>
      <c r="EB45" s="44">
        <f>+Inputs!EB545</f>
        <v>379</v>
      </c>
      <c r="EC45" s="44">
        <f>+'Drivers (2)'!EC69</f>
        <v>316</v>
      </c>
      <c r="ED45" s="45">
        <f>+SUM(DZ45:EC45)</f>
        <v>1475.0037092772602</v>
      </c>
      <c r="EE45" s="44">
        <f>+'Drivers (2)'!EE69</f>
        <v>328</v>
      </c>
      <c r="EF45" s="44">
        <f>+'Drivers (2)'!EF69</f>
        <v>338</v>
      </c>
      <c r="EG45" s="44">
        <f>+'Drivers (2)'!EG69</f>
        <v>354</v>
      </c>
      <c r="EH45" s="44">
        <f>+'Drivers (2)'!EH69</f>
        <v>360</v>
      </c>
      <c r="EI45" s="45">
        <f>+SUM(EE45:EH45)</f>
        <v>1380</v>
      </c>
      <c r="EJ45" s="44">
        <f>+'Drivers (2)'!EJ69</f>
        <v>386</v>
      </c>
      <c r="EK45" s="44">
        <f>+'Drivers (2)'!EK69</f>
        <v>386</v>
      </c>
      <c r="EL45" s="44">
        <f>+'Drivers (2)'!EL69</f>
        <v>396</v>
      </c>
      <c r="EM45" s="44">
        <f>+'Drivers (2)'!EM69</f>
        <v>391</v>
      </c>
      <c r="EN45" s="45">
        <f>+SUM(EJ45:EM45)</f>
        <v>1559</v>
      </c>
      <c r="EO45" s="44">
        <f>+'Drivers (2)'!EO69</f>
        <v>378</v>
      </c>
      <c r="EP45" s="44">
        <f>+'Drivers (2)'!EP69</f>
        <v>385</v>
      </c>
      <c r="EQ45" s="44">
        <f>+'Drivers (2)'!EQ69</f>
        <v>363</v>
      </c>
      <c r="ER45" s="44">
        <f>+'Drivers (2)'!ER69</f>
        <v>363</v>
      </c>
      <c r="ES45" s="45">
        <f>+SUM(EO45:ER45)</f>
        <v>1489</v>
      </c>
      <c r="ET45" s="44">
        <f>+'Drivers (2)'!ET69</f>
        <v>365.07592182070374</v>
      </c>
      <c r="EU45" s="44">
        <f>+'Drivers (2)'!EU69</f>
        <v>371.88538439773953</v>
      </c>
      <c r="EV45" s="44">
        <f>+'Drivers (2)'!EV69</f>
        <v>352.96694008551452</v>
      </c>
      <c r="EW45" s="44">
        <f>+'Drivers (2)'!EW69</f>
        <v>351.88679138615908</v>
      </c>
      <c r="EX45" s="45">
        <f>+SUM(ET45:EW45)</f>
        <v>1441.8150376901169</v>
      </c>
      <c r="EY45" s="44">
        <f>+'Drivers (2)'!EY69</f>
        <v>360.5123955235149</v>
      </c>
      <c r="EZ45" s="44">
        <f>+'Drivers (2)'!EZ69</f>
        <v>366.87673161828644</v>
      </c>
      <c r="FA45" s="44">
        <f>+'Drivers (2)'!FA69</f>
        <v>350.44428258470629</v>
      </c>
      <c r="FB45" s="44">
        <f>+'Drivers (2)'!FB69</f>
        <v>348.03092375647896</v>
      </c>
      <c r="FC45" s="45">
        <f>+SUM(EY45:FB45)</f>
        <v>1425.8643334829867</v>
      </c>
      <c r="FD45" s="44">
        <f>+'Drivers (2)'!FD69</f>
        <v>373.17275371055848</v>
      </c>
      <c r="FE45" s="44">
        <f>+'Drivers (2)'!FE69</f>
        <v>379.5472239002865</v>
      </c>
      <c r="FF45" s="44">
        <f>+'Drivers (2)'!FF69</f>
        <v>364.61639527021231</v>
      </c>
      <c r="FG45" s="44">
        <f>+'Drivers (2)'!FG69</f>
        <v>361.5290870663498</v>
      </c>
      <c r="FH45" s="45">
        <f>+SUM(FD45:FG45)</f>
        <v>1478.8654599474071</v>
      </c>
      <c r="FI45" s="44">
        <f>+'Drivers (2)'!FI69</f>
        <v>1538.1444717681863</v>
      </c>
      <c r="FJ45" s="44">
        <f>+'Drivers (2)'!FJ69</f>
        <v>1605.2685007995817</v>
      </c>
      <c r="FK45" s="44">
        <f>+'Drivers (2)'!FK69</f>
        <v>1668.8376751332564</v>
      </c>
      <c r="FL45" s="44">
        <f>+'Drivers (2)'!FL69</f>
        <v>1726.7640424410342</v>
      </c>
      <c r="FM45" s="44">
        <f>+'Drivers (2)'!FM69</f>
        <v>1779.0580827378089</v>
      </c>
      <c r="FN45" s="189">
        <f>+(FJ45/ES45)^0.2-1</f>
        <v>1.51508841911423E-2</v>
      </c>
    </row>
    <row r="46" spans="1:170" x14ac:dyDescent="0.3">
      <c r="A46" s="48" t="s">
        <v>43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783">
        <f>+SUM(DU44:DU45)</f>
        <v>1175</v>
      </c>
      <c r="DV46" s="1783">
        <f>+SUM(DV44:DV45)</f>
        <v>1134</v>
      </c>
      <c r="DW46" s="1783">
        <f>+SUM(DW44:DW45)</f>
        <v>1144</v>
      </c>
      <c r="DX46" s="1783">
        <f>+SUM(DX44:DX45)</f>
        <v>1119</v>
      </c>
      <c r="DY46" s="858">
        <f t="shared" si="85"/>
        <v>4572</v>
      </c>
      <c r="DZ46" s="1783">
        <f>SUM(DZ43:DZ45)</f>
        <v>1102</v>
      </c>
      <c r="EA46" s="1783">
        <f>SUM(EA43:EA45)</f>
        <v>1051</v>
      </c>
      <c r="EB46" s="1783">
        <f>SUM(EB43:EB45)</f>
        <v>1036</v>
      </c>
      <c r="EC46" s="1783">
        <f>SUM(EC43:EC45)</f>
        <v>1002</v>
      </c>
      <c r="ED46" s="858">
        <f>+SUM(DZ46:EC46)</f>
        <v>4191</v>
      </c>
      <c r="EE46" s="1783">
        <f>SUM(EE43:EE45)</f>
        <v>1006</v>
      </c>
      <c r="EF46" s="1783">
        <f>SUM(EF43:EF45)</f>
        <v>983</v>
      </c>
      <c r="EG46" s="1783">
        <f>SUM(EG43:EG45)</f>
        <v>989</v>
      </c>
      <c r="EH46" s="1783">
        <f>SUM(EH43:EH45)</f>
        <v>958</v>
      </c>
      <c r="EI46" s="858">
        <f>+SUM(EE46:EH46)</f>
        <v>3936</v>
      </c>
      <c r="EJ46" s="1783">
        <f>SUM(EJ43:EJ45)</f>
        <v>938</v>
      </c>
      <c r="EK46" s="1783">
        <f>SUM(EK43:EK45)</f>
        <v>924</v>
      </c>
      <c r="EL46" s="1783">
        <f>SUM(EL43:EL45)</f>
        <v>936</v>
      </c>
      <c r="EM46" s="1783">
        <f>SUM(EM43:EM45)</f>
        <v>909</v>
      </c>
      <c r="EN46" s="858">
        <f>+SUM(EJ46:EM46)</f>
        <v>3707</v>
      </c>
      <c r="EO46" s="1783">
        <f>SUM(EO43:EO45)</f>
        <v>921</v>
      </c>
      <c r="EP46" s="1783">
        <f>SUM(EP43:EP45)</f>
        <v>916</v>
      </c>
      <c r="EQ46" s="1783">
        <f>SUM(EQ43:EQ45)</f>
        <v>910</v>
      </c>
      <c r="ER46" s="1783">
        <f>SUM(ER43:ER45)</f>
        <v>877</v>
      </c>
      <c r="ES46" s="858">
        <f>+SUM(EO46:ER46)</f>
        <v>3624</v>
      </c>
      <c r="ET46" s="1783">
        <f t="shared" ref="ET46:EW46" si="86">SUM(ET43:ET45)</f>
        <v>888.42094301999123</v>
      </c>
      <c r="EU46" s="1783">
        <f t="shared" si="86"/>
        <v>885.28631343888605</v>
      </c>
      <c r="EV46" s="1783">
        <f t="shared" si="86"/>
        <v>884.51634264217523</v>
      </c>
      <c r="EW46" s="1783">
        <f t="shared" si="86"/>
        <v>852.32927058861151</v>
      </c>
      <c r="EX46" s="858">
        <f>+SUM(ET46:EW46)</f>
        <v>3510.552869689664</v>
      </c>
      <c r="EY46" s="1783">
        <f t="shared" ref="EY46:FB46" si="87">SUM(EY43:EY45)</f>
        <v>870.71320080658995</v>
      </c>
      <c r="EZ46" s="1783">
        <f t="shared" si="87"/>
        <v>867.98149563955508</v>
      </c>
      <c r="FA46" s="1783">
        <f t="shared" si="87"/>
        <v>870.58837668474234</v>
      </c>
      <c r="FB46" s="1783">
        <f t="shared" si="87"/>
        <v>837.85257030468802</v>
      </c>
      <c r="FC46" s="858">
        <f>+SUM(EY46:FB46)</f>
        <v>3447.1356434355753</v>
      </c>
      <c r="FD46" s="1783">
        <f t="shared" ref="FD46:FM46" si="88">SUM(FD43:FD45)</f>
        <v>872.74705984218781</v>
      </c>
      <c r="FE46" s="1783">
        <f t="shared" si="88"/>
        <v>870.63997207630382</v>
      </c>
      <c r="FF46" s="1783">
        <f t="shared" si="88"/>
        <v>875.40541263501291</v>
      </c>
      <c r="FG46" s="1783">
        <f t="shared" si="88"/>
        <v>842.6160218171724</v>
      </c>
      <c r="FH46" s="858">
        <f>+SUM(FD46:FG46)</f>
        <v>3461.4084663706772</v>
      </c>
      <c r="FI46" s="1783">
        <f t="shared" si="88"/>
        <v>3488.6440011431205</v>
      </c>
      <c r="FJ46" s="1783">
        <f t="shared" si="88"/>
        <v>3526.2749099424036</v>
      </c>
      <c r="FK46" s="1783">
        <f t="shared" si="88"/>
        <v>3565.496112874529</v>
      </c>
      <c r="FL46" s="1783">
        <f t="shared" si="88"/>
        <v>3602.9513437771602</v>
      </c>
      <c r="FM46" s="1783">
        <f t="shared" si="88"/>
        <v>3637.7816602836565</v>
      </c>
      <c r="FN46" s="189">
        <f>+(FJ46/ES46)^0.2-1</f>
        <v>-5.4523498346250587E-3</v>
      </c>
    </row>
    <row r="47" spans="1:170" x14ac:dyDescent="0.3">
      <c r="A47" s="49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4"/>
      <c r="DZ47" s="1"/>
      <c r="EA47" s="1"/>
      <c r="EB47" s="1"/>
      <c r="EC47" s="1"/>
      <c r="ED47" s="4"/>
      <c r="EE47" s="1"/>
      <c r="EF47" s="1"/>
      <c r="EG47" s="1"/>
      <c r="EH47" s="1"/>
      <c r="EI47" s="4"/>
      <c r="EJ47" s="1"/>
      <c r="EK47" s="1"/>
      <c r="EL47" s="1"/>
      <c r="EM47" s="1"/>
      <c r="EN47" s="4"/>
      <c r="EO47" s="1"/>
      <c r="EP47" s="1"/>
      <c r="EQ47" s="1"/>
      <c r="ER47" s="1"/>
      <c r="ES47" s="4"/>
      <c r="ET47" s="1"/>
      <c r="EU47" s="1"/>
      <c r="EV47" s="1"/>
      <c r="EW47" s="1"/>
      <c r="EX47" s="4"/>
      <c r="EY47" s="1"/>
      <c r="EZ47" s="1"/>
      <c r="FA47" s="1"/>
      <c r="FB47" s="1"/>
      <c r="FC47" s="4"/>
      <c r="FD47" s="1"/>
      <c r="FE47" s="1"/>
      <c r="FF47" s="1"/>
      <c r="FG47" s="1"/>
      <c r="FH47" s="4"/>
      <c r="FI47" s="1"/>
      <c r="FJ47" s="1"/>
      <c r="FK47" s="1"/>
      <c r="FL47" s="1"/>
      <c r="FM47" s="1"/>
    </row>
    <row r="48" spans="1:170" x14ac:dyDescent="0.3">
      <c r="A48" s="48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50">
        <f>+DU18-DU46</f>
        <v>771</v>
      </c>
      <c r="DV48" s="50">
        <f>+DV18-DV46</f>
        <v>781</v>
      </c>
      <c r="DW48" s="50">
        <f>+DW18-DW46</f>
        <v>705</v>
      </c>
      <c r="DX48" s="50">
        <f>+DX18-DX46</f>
        <v>673</v>
      </c>
      <c r="DY48" s="51">
        <f t="shared" si="85"/>
        <v>2930</v>
      </c>
      <c r="DZ48" s="50">
        <f t="shared" ref="DZ48:FM48" si="89">+DZ18-DZ46</f>
        <v>687</v>
      </c>
      <c r="EA48" s="50">
        <f t="shared" si="89"/>
        <v>703</v>
      </c>
      <c r="EB48" s="50">
        <f t="shared" si="89"/>
        <v>691</v>
      </c>
      <c r="EC48" s="50">
        <f t="shared" si="89"/>
        <v>694</v>
      </c>
      <c r="ED48" s="50">
        <f t="shared" si="89"/>
        <v>2775</v>
      </c>
      <c r="EE48" s="50">
        <f t="shared" si="89"/>
        <v>669</v>
      </c>
      <c r="EF48" s="50">
        <f t="shared" si="89"/>
        <v>634</v>
      </c>
      <c r="EG48" s="50">
        <f t="shared" si="89"/>
        <v>587</v>
      </c>
      <c r="EH48" s="50">
        <f t="shared" si="89"/>
        <v>585</v>
      </c>
      <c r="EI48" s="50">
        <f t="shared" si="89"/>
        <v>2475</v>
      </c>
      <c r="EJ48" s="50">
        <f t="shared" si="89"/>
        <v>509</v>
      </c>
      <c r="EK48" s="50">
        <f t="shared" si="89"/>
        <v>535</v>
      </c>
      <c r="EL48" s="50">
        <f t="shared" si="89"/>
        <v>508</v>
      </c>
      <c r="EM48" s="50">
        <f t="shared" si="89"/>
        <v>528</v>
      </c>
      <c r="EN48" s="50">
        <f t="shared" si="89"/>
        <v>2080</v>
      </c>
      <c r="EO48" s="50">
        <f t="shared" si="89"/>
        <v>519</v>
      </c>
      <c r="EP48" s="50">
        <f t="shared" si="89"/>
        <v>533</v>
      </c>
      <c r="EQ48" s="50">
        <f t="shared" si="89"/>
        <v>526</v>
      </c>
      <c r="ER48" s="50">
        <f t="shared" si="89"/>
        <v>549</v>
      </c>
      <c r="ES48" s="50">
        <f t="shared" si="89"/>
        <v>2127</v>
      </c>
      <c r="ET48" s="50">
        <f t="shared" si="89"/>
        <v>543.99283568494593</v>
      </c>
      <c r="EU48" s="50">
        <f t="shared" si="89"/>
        <v>560.38798605648458</v>
      </c>
      <c r="EV48" s="50">
        <f t="shared" si="89"/>
        <v>556.37459797704582</v>
      </c>
      <c r="EW48" s="50">
        <f t="shared" si="89"/>
        <v>585.01197361608502</v>
      </c>
      <c r="EX48" s="50">
        <f t="shared" si="89"/>
        <v>2245.7673933345618</v>
      </c>
      <c r="EY48" s="50">
        <f t="shared" ref="EY48:FC48" si="90">+EY18-EY46</f>
        <v>577.88571435223355</v>
      </c>
      <c r="EZ48" s="50">
        <f t="shared" si="90"/>
        <v>605.09489147654563</v>
      </c>
      <c r="FA48" s="50">
        <f t="shared" si="90"/>
        <v>604.2641831199121</v>
      </c>
      <c r="FB48" s="50">
        <f t="shared" si="90"/>
        <v>641.98501579347294</v>
      </c>
      <c r="FC48" s="50">
        <f t="shared" si="90"/>
        <v>2429.2298047421641</v>
      </c>
      <c r="FD48" s="50">
        <f t="shared" ref="FD48:FH48" si="91">+FD18-FD46</f>
        <v>627.88614401317136</v>
      </c>
      <c r="FE48" s="50">
        <f t="shared" si="91"/>
        <v>663.55224997127698</v>
      </c>
      <c r="FF48" s="50">
        <f t="shared" si="91"/>
        <v>665.67621101103805</v>
      </c>
      <c r="FG48" s="50">
        <f t="shared" si="91"/>
        <v>708.62141653583967</v>
      </c>
      <c r="FH48" s="50">
        <f t="shared" si="91"/>
        <v>2665.7360215313256</v>
      </c>
      <c r="FI48" s="50">
        <f t="shared" si="89"/>
        <v>2946.9743288250111</v>
      </c>
      <c r="FJ48" s="50">
        <f t="shared" si="89"/>
        <v>3230.7559482034267</v>
      </c>
      <c r="FK48" s="50">
        <f t="shared" si="89"/>
        <v>3509.9095186498562</v>
      </c>
      <c r="FL48" s="50">
        <f t="shared" si="89"/>
        <v>3774.2567996896059</v>
      </c>
      <c r="FM48" s="50">
        <f t="shared" si="89"/>
        <v>4019.1067273242143</v>
      </c>
      <c r="FN48" s="189">
        <f>+(FJ48/ES48)^0.2-1</f>
        <v>8.7194714927279593E-2</v>
      </c>
    </row>
    <row r="49" spans="1:170" x14ac:dyDescent="0.3">
      <c r="A49" s="46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47">
        <f t="shared" ref="DU49:FM49" si="92">+DU48/DU18</f>
        <v>0.39619732785200412</v>
      </c>
      <c r="DV49" s="47">
        <f t="shared" si="92"/>
        <v>0.40783289817232377</v>
      </c>
      <c r="DW49" s="47">
        <f t="shared" si="92"/>
        <v>0.38128718226068142</v>
      </c>
      <c r="DX49" s="47">
        <f t="shared" si="92"/>
        <v>0.3755580357142857</v>
      </c>
      <c r="DY49" s="52">
        <f t="shared" si="92"/>
        <v>0.39056251666222341</v>
      </c>
      <c r="DZ49" s="47">
        <f t="shared" si="92"/>
        <v>0.3840134153158189</v>
      </c>
      <c r="EA49" s="47">
        <f t="shared" si="92"/>
        <v>0.40079817559863168</v>
      </c>
      <c r="EB49" s="47">
        <f t="shared" si="92"/>
        <v>0.40011580775911987</v>
      </c>
      <c r="EC49" s="47">
        <f t="shared" si="92"/>
        <v>0.40919811320754718</v>
      </c>
      <c r="ED49" s="52">
        <f t="shared" si="92"/>
        <v>0.39836347975882858</v>
      </c>
      <c r="EE49" s="47">
        <f t="shared" si="92"/>
        <v>0.39940298507462685</v>
      </c>
      <c r="EF49" s="47">
        <f t="shared" si="92"/>
        <v>0.39208410636982066</v>
      </c>
      <c r="EG49" s="47">
        <f t="shared" si="92"/>
        <v>0.37246192893401014</v>
      </c>
      <c r="EH49" s="47">
        <f t="shared" si="92"/>
        <v>0.37913156189241737</v>
      </c>
      <c r="EI49" s="52">
        <f t="shared" si="92"/>
        <v>0.38605521759475903</v>
      </c>
      <c r="EJ49" s="47">
        <f t="shared" si="92"/>
        <v>0.35176226675881134</v>
      </c>
      <c r="EK49" s="47">
        <f t="shared" si="92"/>
        <v>0.36668951336531869</v>
      </c>
      <c r="EL49" s="47">
        <f t="shared" si="92"/>
        <v>0.35180055401662053</v>
      </c>
      <c r="EM49" s="47">
        <f t="shared" si="92"/>
        <v>0.36743215031315241</v>
      </c>
      <c r="EN49" s="52">
        <f t="shared" si="92"/>
        <v>0.35942630032832212</v>
      </c>
      <c r="EO49" s="47">
        <f t="shared" si="92"/>
        <v>0.36041666666666666</v>
      </c>
      <c r="EP49" s="47">
        <f t="shared" si="92"/>
        <v>0.36783988957902003</v>
      </c>
      <c r="EQ49" s="47">
        <f t="shared" si="92"/>
        <v>0.36629526462395545</v>
      </c>
      <c r="ER49" s="47">
        <f t="shared" si="92"/>
        <v>0.38499298737727911</v>
      </c>
      <c r="ES49" s="52">
        <f t="shared" si="92"/>
        <v>0.36984872196139801</v>
      </c>
      <c r="ET49" s="47">
        <f t="shared" si="92"/>
        <v>0.37977352897064182</v>
      </c>
      <c r="EU49" s="47">
        <f t="shared" si="92"/>
        <v>0.38763086972777649</v>
      </c>
      <c r="EV49" s="47">
        <f t="shared" si="92"/>
        <v>0.38613234512942701</v>
      </c>
      <c r="EW49" s="47">
        <f t="shared" si="92"/>
        <v>0.40700980089093686</v>
      </c>
      <c r="EX49" s="52">
        <f t="shared" si="92"/>
        <v>0.39013941037302396</v>
      </c>
      <c r="EY49" s="47">
        <f t="shared" ref="EY49:FC49" si="93">+EY48/EY18</f>
        <v>0.39892734165749011</v>
      </c>
      <c r="EZ49" s="47">
        <f t="shared" si="93"/>
        <v>0.41076952747926643</v>
      </c>
      <c r="FA49" s="47">
        <f t="shared" si="93"/>
        <v>0.40971158717041345</v>
      </c>
      <c r="FB49" s="47">
        <f t="shared" si="93"/>
        <v>0.4338212664851781</v>
      </c>
      <c r="FC49" s="52">
        <f t="shared" si="93"/>
        <v>0.41338984550313634</v>
      </c>
      <c r="FD49" s="47">
        <f t="shared" ref="FD49:FH49" si="94">+FD48/FD18</f>
        <v>0.41841413504648212</v>
      </c>
      <c r="FE49" s="47">
        <f t="shared" si="94"/>
        <v>0.4325091995875715</v>
      </c>
      <c r="FF49" s="47">
        <f t="shared" si="94"/>
        <v>0.43195389575544491</v>
      </c>
      <c r="FG49" s="47">
        <f t="shared" si="94"/>
        <v>0.45681041407058931</v>
      </c>
      <c r="FH49" s="52">
        <f t="shared" si="94"/>
        <v>0.43506988072417746</v>
      </c>
      <c r="FI49" s="47">
        <f t="shared" si="92"/>
        <v>0.45791626813885405</v>
      </c>
      <c r="FJ49" s="47">
        <f t="shared" si="92"/>
        <v>0.47813248393096214</v>
      </c>
      <c r="FK49" s="47">
        <f t="shared" si="92"/>
        <v>0.49607184399598186</v>
      </c>
      <c r="FL49" s="47">
        <f t="shared" si="92"/>
        <v>0.51161045293700658</v>
      </c>
      <c r="FM49" s="47">
        <f t="shared" si="92"/>
        <v>0.52490078526269923</v>
      </c>
    </row>
    <row r="50" spans="1:170" x14ac:dyDescent="0.3">
      <c r="A50" s="46" t="s">
        <v>29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4"/>
      <c r="DZ50" s="47">
        <f>+IFERROR(DZ48/DU48-1,"")</f>
        <v>-0.1089494163424124</v>
      </c>
      <c r="EA50" s="47">
        <f>+IFERROR(EA48/DV48-1,"")</f>
        <v>-9.9871959026888613E-2</v>
      </c>
      <c r="EB50" s="47">
        <f>+IFERROR(EB48/DW48-1,"")</f>
        <v>-1.9858156028368823E-2</v>
      </c>
      <c r="EC50" s="47">
        <f t="shared" ref="EC50:ER50" si="95">+IFERROR(EC48/DX48-1,"")</f>
        <v>3.1203566121842385E-2</v>
      </c>
      <c r="ED50" s="52">
        <f t="shared" si="95"/>
        <v>-5.2901023890784993E-2</v>
      </c>
      <c r="EE50" s="47">
        <f t="shared" si="95"/>
        <v>-2.6200873362445365E-2</v>
      </c>
      <c r="EF50" s="47">
        <f t="shared" si="95"/>
        <v>-9.8150782361308697E-2</v>
      </c>
      <c r="EG50" s="47">
        <f t="shared" si="95"/>
        <v>-0.15050651230101297</v>
      </c>
      <c r="EH50" s="47">
        <f t="shared" si="95"/>
        <v>-0.15706051873198845</v>
      </c>
      <c r="EI50" s="52">
        <f t="shared" si="95"/>
        <v>-0.10810810810810811</v>
      </c>
      <c r="EJ50" s="47">
        <f t="shared" si="95"/>
        <v>-0.23916292974588937</v>
      </c>
      <c r="EK50" s="47">
        <f t="shared" si="95"/>
        <v>-0.15615141955835965</v>
      </c>
      <c r="EL50" s="47">
        <f t="shared" si="95"/>
        <v>-0.13458262350936967</v>
      </c>
      <c r="EM50" s="47">
        <f t="shared" si="95"/>
        <v>-9.7435897435897423E-2</v>
      </c>
      <c r="EN50" s="52">
        <f>+IFERROR(EN48/EI48-1,"")</f>
        <v>-0.15959595959595962</v>
      </c>
      <c r="EO50" s="47">
        <f t="shared" si="95"/>
        <v>1.9646365422396839E-2</v>
      </c>
      <c r="EP50" s="47">
        <f t="shared" si="95"/>
        <v>-3.7383177570093906E-3</v>
      </c>
      <c r="EQ50" s="47">
        <f t="shared" si="95"/>
        <v>3.5433070866141669E-2</v>
      </c>
      <c r="ER50" s="47">
        <f t="shared" si="95"/>
        <v>3.9772727272727293E-2</v>
      </c>
      <c r="ES50" s="52">
        <f>+IFERROR(ES48/EN48-1,"")</f>
        <v>2.2596153846153877E-2</v>
      </c>
      <c r="ET50" s="47">
        <f t="shared" ref="ET50:EW50" si="96">+IFERROR(ET48/EO48-1,"")</f>
        <v>4.8155752764828419E-2</v>
      </c>
      <c r="EU50" s="47">
        <f t="shared" si="96"/>
        <v>5.1384589224173771E-2</v>
      </c>
      <c r="EV50" s="47">
        <f t="shared" si="96"/>
        <v>5.7746383986779115E-2</v>
      </c>
      <c r="EW50" s="47">
        <f t="shared" si="96"/>
        <v>6.5595580357167504E-2</v>
      </c>
      <c r="EX50" s="52">
        <f>+IFERROR(EX48/ES48-1,"")</f>
        <v>5.583798464248324E-2</v>
      </c>
      <c r="EY50" s="47">
        <f t="shared" ref="EY50" si="97">+IFERROR(EY48/ET48-1,"")</f>
        <v>6.230390630901006E-2</v>
      </c>
      <c r="EZ50" s="47">
        <f t="shared" ref="EZ50" si="98">+IFERROR(EZ48/EU48-1,"")</f>
        <v>7.9778486570828866E-2</v>
      </c>
      <c r="FA50" s="47">
        <f t="shared" ref="FA50" si="99">+IFERROR(FA48/EV48-1,"")</f>
        <v>8.6074355869212527E-2</v>
      </c>
      <c r="FB50" s="47">
        <f t="shared" ref="FB50" si="100">+IFERROR(FB48/EW48-1,"")</f>
        <v>9.7387822381181932E-2</v>
      </c>
      <c r="FC50" s="52">
        <f>+IFERROR(FC48/EX48-1,"")</f>
        <v>8.1692526105828556E-2</v>
      </c>
      <c r="FD50" s="47">
        <f t="shared" ref="FD50" si="101">+IFERROR(FD48/EY48-1,"")</f>
        <v>8.6523041527310607E-2</v>
      </c>
      <c r="FE50" s="47">
        <f t="shared" ref="FE50" si="102">+IFERROR(FE48/EZ48-1,"")</f>
        <v>9.6608580436176483E-2</v>
      </c>
      <c r="FF50" s="47">
        <f t="shared" ref="FF50" si="103">+IFERROR(FF48/FA48-1,"")</f>
        <v>0.10163109051747177</v>
      </c>
      <c r="FG50" s="47">
        <f t="shared" ref="FG50" si="104">+IFERROR(FG48/FB48-1,"")</f>
        <v>0.10379743935301389</v>
      </c>
      <c r="FH50" s="52">
        <f>+IFERROR(FH48/FC48-1,"")</f>
        <v>9.7358519283548883E-2</v>
      </c>
      <c r="FI50" s="47">
        <f t="shared" ref="FI50:FM50" si="105">+IFERROR(FI48/FH48-1,"")</f>
        <v>0.10550118429660893</v>
      </c>
      <c r="FJ50" s="47">
        <f t="shared" si="105"/>
        <v>9.6295925146915762E-2</v>
      </c>
      <c r="FK50" s="47">
        <f t="shared" si="105"/>
        <v>8.6405031801198851E-2</v>
      </c>
      <c r="FL50" s="47">
        <f t="shared" si="105"/>
        <v>7.531455715172819E-2</v>
      </c>
      <c r="FM50" s="47">
        <f t="shared" si="105"/>
        <v>6.4873679940046669E-2</v>
      </c>
    </row>
    <row r="51" spans="1:170" x14ac:dyDescent="0.3">
      <c r="A51" s="49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4"/>
      <c r="DZ51" s="1"/>
      <c r="EA51" s="1"/>
      <c r="EB51" s="1"/>
      <c r="EC51" s="1"/>
      <c r="ED51" s="4"/>
      <c r="EE51" s="1"/>
      <c r="EF51" s="1"/>
      <c r="EG51" s="1"/>
      <c r="EH51" s="1"/>
      <c r="EI51" s="4"/>
      <c r="EJ51" s="1"/>
      <c r="EK51" s="1"/>
      <c r="EL51" s="1"/>
      <c r="EM51" s="1"/>
      <c r="EN51" s="4"/>
      <c r="EO51" s="4"/>
      <c r="EP51" s="4"/>
      <c r="EQ51" s="4"/>
      <c r="ER51" s="4"/>
      <c r="ES51" s="1"/>
      <c r="ET51" s="4"/>
      <c r="EU51" s="4"/>
      <c r="EV51" s="4"/>
      <c r="EW51" s="4"/>
      <c r="EX51" s="1"/>
      <c r="EY51" s="4"/>
      <c r="EZ51" s="4"/>
      <c r="FA51" s="4"/>
      <c r="FB51" s="4"/>
      <c r="FC51" s="1"/>
      <c r="FD51" s="4"/>
      <c r="FE51" s="4"/>
      <c r="FF51" s="4"/>
      <c r="FG51" s="4"/>
      <c r="FH51" s="1"/>
      <c r="FI51" s="1"/>
      <c r="FJ51" s="1"/>
      <c r="FK51" s="1"/>
      <c r="FL51" s="1"/>
      <c r="FM51" s="155"/>
    </row>
    <row r="52" spans="1:170" x14ac:dyDescent="0.3">
      <c r="A52" s="43" t="s">
        <v>46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</row>
    <row r="53" spans="1:170" x14ac:dyDescent="0.3">
      <c r="A53" s="4" t="s">
        <v>19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44">
        <f>+Inputs!DU47</f>
        <v>2101</v>
      </c>
      <c r="DV53" s="44">
        <f>+Inputs!DV47</f>
        <v>2067</v>
      </c>
      <c r="DW53" s="44">
        <f>+Inputs!DW47</f>
        <v>1997</v>
      </c>
      <c r="DX53" s="44">
        <f>+Inputs!DX47</f>
        <v>1942</v>
      </c>
      <c r="DY53" s="45">
        <f>+SUM(DU53:DX53)</f>
        <v>8107</v>
      </c>
      <c r="DZ53" s="44">
        <f>+Inputs!DZ47</f>
        <v>1933</v>
      </c>
      <c r="EA53" s="44">
        <f>+Inputs!EA47</f>
        <v>1801</v>
      </c>
      <c r="EB53" s="44">
        <f>+Inputs!EB47</f>
        <v>1726</v>
      </c>
      <c r="EC53" s="44">
        <f>+Inputs!EC47</f>
        <v>1695</v>
      </c>
      <c r="ED53" s="45">
        <f>+SUM(DZ53:EC53)</f>
        <v>7155</v>
      </c>
      <c r="EE53" s="44">
        <f>+Inputs!EE47</f>
        <v>1676</v>
      </c>
      <c r="EF53" s="44">
        <f>+Inputs!EF47</f>
        <v>1616</v>
      </c>
      <c r="EG53" s="44">
        <f>+Inputs!EG47</f>
        <v>1576</v>
      </c>
      <c r="EH53" s="44">
        <f>+Inputs!EH47</f>
        <v>1543</v>
      </c>
      <c r="EI53" s="45">
        <f>+SUM(EE53:EH53)</f>
        <v>6411</v>
      </c>
      <c r="EJ53" s="44">
        <f>+Inputs!EJ47</f>
        <v>1447</v>
      </c>
      <c r="EK53" s="44">
        <f>+Inputs!EK47</f>
        <v>1459</v>
      </c>
      <c r="EL53" s="44">
        <f>+Inputs!EL47</f>
        <v>1444</v>
      </c>
      <c r="EM53" s="44">
        <f>+Inputs!EM47</f>
        <v>1437</v>
      </c>
      <c r="EN53" s="45">
        <f>+SUM(EJ53:EM53)</f>
        <v>5787</v>
      </c>
      <c r="EO53" s="44">
        <f>+Inputs!EO47</f>
        <v>1440</v>
      </c>
      <c r="EP53" s="44">
        <f>+Inputs!EP47</f>
        <v>1449</v>
      </c>
      <c r="EQ53" s="44">
        <f>+Inputs!EQ47</f>
        <v>1436</v>
      </c>
      <c r="ER53" s="44">
        <f>+Inputs!ER47</f>
        <v>1426</v>
      </c>
      <c r="ES53" s="45">
        <f>+SUM(EO53:ER53)</f>
        <v>5751</v>
      </c>
      <c r="ET53" s="59">
        <f t="shared" ref="ET53:EW53" si="106">ET18</f>
        <v>1432.4137787049372</v>
      </c>
      <c r="EU53" s="59">
        <f t="shared" si="106"/>
        <v>1445.6742994953706</v>
      </c>
      <c r="EV53" s="59">
        <f t="shared" si="106"/>
        <v>1440.8909406192211</v>
      </c>
      <c r="EW53" s="59">
        <f t="shared" si="106"/>
        <v>1437.3412442046965</v>
      </c>
      <c r="EX53" s="45">
        <f>+SUM(ET53:EW53)</f>
        <v>5756.3202630242258</v>
      </c>
      <c r="EY53" s="59">
        <f t="shared" ref="EY53:FB53" si="107">EY18</f>
        <v>1448.5989151588235</v>
      </c>
      <c r="EZ53" s="59">
        <f t="shared" si="107"/>
        <v>1473.0763871161007</v>
      </c>
      <c r="FA53" s="59">
        <f t="shared" si="107"/>
        <v>1474.8525598046544</v>
      </c>
      <c r="FB53" s="59">
        <f t="shared" si="107"/>
        <v>1479.837586098161</v>
      </c>
      <c r="FC53" s="45">
        <f>+SUM(EY53:FB53)</f>
        <v>5876.3654481777394</v>
      </c>
      <c r="FD53" s="59">
        <f t="shared" ref="FD53:FM53" si="108">FD18</f>
        <v>1500.6332038553592</v>
      </c>
      <c r="FE53" s="59">
        <f t="shared" si="108"/>
        <v>1534.1922220475808</v>
      </c>
      <c r="FF53" s="59">
        <f t="shared" si="108"/>
        <v>1541.081623646051</v>
      </c>
      <c r="FG53" s="59">
        <f t="shared" si="108"/>
        <v>1551.2374383530121</v>
      </c>
      <c r="FH53" s="45">
        <f>+SUM(FD53:FG53)</f>
        <v>6127.1444879020028</v>
      </c>
      <c r="FI53" s="59">
        <f t="shared" si="108"/>
        <v>6435.6183299681315</v>
      </c>
      <c r="FJ53" s="59">
        <f t="shared" si="108"/>
        <v>6757.0308581458303</v>
      </c>
      <c r="FK53" s="59">
        <f t="shared" si="108"/>
        <v>7075.4056315243852</v>
      </c>
      <c r="FL53" s="59">
        <f t="shared" si="108"/>
        <v>7377.2081434667662</v>
      </c>
      <c r="FM53" s="59">
        <f t="shared" si="108"/>
        <v>7656.8883876078708</v>
      </c>
      <c r="FN53" s="189">
        <f>+(FJ53/ES53)^0.2-1</f>
        <v>3.2767367323505159E-2</v>
      </c>
    </row>
    <row r="54" spans="1:170" x14ac:dyDescent="0.3">
      <c r="A54" s="46" t="s">
        <v>29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47" t="str">
        <f t="shared" ref="DU54:ER54" si="109">+IFERROR(DU53/DP53-1,"")</f>
        <v/>
      </c>
      <c r="DV54" s="47" t="str">
        <f t="shared" si="109"/>
        <v/>
      </c>
      <c r="DW54" s="47" t="str">
        <f t="shared" si="109"/>
        <v/>
      </c>
      <c r="DX54" s="47" t="str">
        <f t="shared" si="109"/>
        <v/>
      </c>
      <c r="DY54" s="52" t="str">
        <f t="shared" si="109"/>
        <v/>
      </c>
      <c r="DZ54" s="47">
        <f t="shared" si="109"/>
        <v>-7.996192289386006E-2</v>
      </c>
      <c r="EA54" s="47">
        <f t="shared" si="109"/>
        <v>-0.12868892114175134</v>
      </c>
      <c r="EB54" s="47">
        <f t="shared" si="109"/>
        <v>-0.13570355533299949</v>
      </c>
      <c r="EC54" s="47">
        <f t="shared" si="109"/>
        <v>-0.12718846549948504</v>
      </c>
      <c r="ED54" s="52">
        <f t="shared" si="109"/>
        <v>-0.11742938201554209</v>
      </c>
      <c r="EE54" s="47">
        <f t="shared" si="109"/>
        <v>-0.13295395757889295</v>
      </c>
      <c r="EF54" s="47">
        <f t="shared" si="109"/>
        <v>-0.10272071071626876</v>
      </c>
      <c r="EG54" s="47">
        <f t="shared" si="109"/>
        <v>-8.6906141367323331E-2</v>
      </c>
      <c r="EH54" s="47">
        <f t="shared" si="109"/>
        <v>-8.9675516224188789E-2</v>
      </c>
      <c r="EI54" s="52">
        <f t="shared" si="109"/>
        <v>-0.10398322851153041</v>
      </c>
      <c r="EJ54" s="47">
        <f t="shared" si="109"/>
        <v>-0.13663484486873512</v>
      </c>
      <c r="EK54" s="47">
        <f t="shared" si="109"/>
        <v>-9.7153465346534684E-2</v>
      </c>
      <c r="EL54" s="47">
        <f t="shared" si="109"/>
        <v>-8.3756345177664948E-2</v>
      </c>
      <c r="EM54" s="47">
        <f t="shared" si="109"/>
        <v>-6.8697342838626052E-2</v>
      </c>
      <c r="EN54" s="52">
        <f>+IFERROR(EN53/EI53-1,"")</f>
        <v>-9.7332709405708928E-2</v>
      </c>
      <c r="EO54" s="47">
        <f t="shared" si="109"/>
        <v>-4.8375950241880128E-3</v>
      </c>
      <c r="EP54" s="47">
        <f t="shared" si="109"/>
        <v>-6.8540095956134417E-3</v>
      </c>
      <c r="EQ54" s="47">
        <f t="shared" si="109"/>
        <v>-5.5401662049860967E-3</v>
      </c>
      <c r="ER54" s="47">
        <f t="shared" si="109"/>
        <v>-7.6548364648573175E-3</v>
      </c>
      <c r="ES54" s="52">
        <f>+IFERROR(ES53/EN53-1,"")</f>
        <v>-6.2208398133748455E-3</v>
      </c>
      <c r="ET54" s="47">
        <f t="shared" ref="ET54:EW54" si="110">+IFERROR(ET53/EO53-1,"")</f>
        <v>-5.2682092326825636E-3</v>
      </c>
      <c r="EU54" s="47">
        <f t="shared" si="110"/>
        <v>-2.2951694303859904E-3</v>
      </c>
      <c r="EV54" s="47">
        <f t="shared" si="110"/>
        <v>3.4059475064214251E-3</v>
      </c>
      <c r="EW54" s="47">
        <f t="shared" si="110"/>
        <v>7.9531866793103312E-3</v>
      </c>
      <c r="EX54" s="52">
        <f>+IFERROR(EX53/ES53-1,"")</f>
        <v>9.2510224730069091E-4</v>
      </c>
      <c r="EY54" s="47">
        <f t="shared" ref="EY54" si="111">+IFERROR(EY53/ET53-1,"")</f>
        <v>1.1299204667327034E-2</v>
      </c>
      <c r="EZ54" s="47">
        <f t="shared" ref="EZ54" si="112">+IFERROR(EZ53/EU53-1,"")</f>
        <v>1.8954537429554552E-2</v>
      </c>
      <c r="FA54" s="47">
        <f t="shared" ref="FA54" si="113">+IFERROR(FA53/EV53-1,"")</f>
        <v>2.3569874879523001E-2</v>
      </c>
      <c r="FB54" s="47">
        <f t="shared" ref="FB54" si="114">+IFERROR(FB53/EW53-1,"")</f>
        <v>2.9565937848655022E-2</v>
      </c>
      <c r="FC54" s="52">
        <f>+IFERROR(FC53/EX53-1,"")</f>
        <v>2.0854500734544645E-2</v>
      </c>
      <c r="FD54" s="47">
        <f t="shared" ref="FD54" si="115">+IFERROR(FD53/EY53-1,"")</f>
        <v>3.5920425006552348E-2</v>
      </c>
      <c r="FE54" s="47">
        <f t="shared" ref="FE54" si="116">+IFERROR(FE53/EZ53-1,"")</f>
        <v>4.1488571445455591E-2</v>
      </c>
      <c r="FF54" s="47">
        <f t="shared" ref="FF54" si="117">+IFERROR(FF53/FA53-1,"")</f>
        <v>4.4905548965632702E-2</v>
      </c>
      <c r="FG54" s="47">
        <f t="shared" ref="FG54" si="118">+IFERROR(FG53/FB53-1,"")</f>
        <v>4.824843815672275E-2</v>
      </c>
      <c r="FH54" s="52">
        <f>+IFERROR(FH53/FC53-1,"")</f>
        <v>4.2675875409013297E-2</v>
      </c>
      <c r="FI54" s="47">
        <f t="shared" ref="FI54:FM54" si="119">+IFERROR(FI53/FH53-1,"")</f>
        <v>5.0345449283137889E-2</v>
      </c>
      <c r="FJ54" s="47">
        <f t="shared" si="119"/>
        <v>4.9942757898026269E-2</v>
      </c>
      <c r="FK54" s="47">
        <f t="shared" si="119"/>
        <v>4.7117555041907622E-2</v>
      </c>
      <c r="FL54" s="47">
        <f t="shared" si="119"/>
        <v>4.2655153309896887E-2</v>
      </c>
      <c r="FM54" s="47">
        <f t="shared" si="119"/>
        <v>3.7911393944982885E-2</v>
      </c>
    </row>
    <row r="55" spans="1:170" x14ac:dyDescent="0.3">
      <c r="A55" s="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4"/>
      <c r="EA55" s="1"/>
      <c r="EB55" s="1"/>
      <c r="EC55" s="1"/>
      <c r="ED55" s="4"/>
      <c r="EE55" s="1"/>
      <c r="EF55" s="1"/>
      <c r="EG55" s="1"/>
      <c r="EH55" s="1"/>
      <c r="EI55" s="4"/>
      <c r="EJ55" s="1"/>
      <c r="EK55" s="1"/>
      <c r="EL55" s="1"/>
      <c r="EM55" s="1"/>
      <c r="EN55" s="4"/>
      <c r="EO55" s="1"/>
      <c r="EP55" s="1"/>
      <c r="EQ55" s="1"/>
      <c r="ER55" s="1"/>
      <c r="ES55" s="4"/>
      <c r="ET55" s="1"/>
      <c r="EU55" s="1"/>
      <c r="EV55" s="1"/>
      <c r="EW55" s="1"/>
      <c r="EX55" s="4"/>
      <c r="EY55" s="1"/>
      <c r="EZ55" s="1"/>
      <c r="FA55" s="1"/>
      <c r="FB55" s="1"/>
      <c r="FC55" s="4"/>
      <c r="FD55" s="1"/>
      <c r="FE55" s="1"/>
      <c r="FF55" s="1"/>
      <c r="FG55" s="1"/>
      <c r="FH55" s="4"/>
      <c r="FI55" s="1"/>
      <c r="FJ55" s="1"/>
      <c r="FK55" s="1"/>
      <c r="FL55" s="1"/>
      <c r="FM55" s="1"/>
    </row>
    <row r="56" spans="1:170" x14ac:dyDescent="0.3">
      <c r="A56" s="30" t="s">
        <v>47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44"/>
      <c r="DV56" s="44"/>
      <c r="DW56" s="44"/>
      <c r="DX56" s="44"/>
      <c r="DY56" s="45"/>
      <c r="DZ56" s="44"/>
      <c r="EA56" s="44"/>
      <c r="EB56" s="44"/>
      <c r="EC56" s="44"/>
      <c r="ED56" s="45"/>
      <c r="EE56" s="44"/>
      <c r="EF56" s="44"/>
      <c r="EG56" s="44"/>
      <c r="EH56" s="44"/>
      <c r="EI56" s="45"/>
      <c r="EJ56" s="44"/>
      <c r="EK56" s="44"/>
      <c r="EL56" s="44"/>
      <c r="EM56" s="44"/>
      <c r="EN56" s="45"/>
      <c r="EO56" s="44"/>
      <c r="EP56" s="44"/>
      <c r="EQ56" s="44"/>
      <c r="ER56" s="44"/>
      <c r="ES56" s="45"/>
      <c r="ET56" s="59"/>
      <c r="EU56" s="59"/>
      <c r="EV56" s="59"/>
      <c r="EW56" s="59"/>
      <c r="EX56" s="45"/>
      <c r="EY56" s="59"/>
      <c r="EZ56" s="59"/>
      <c r="FA56" s="59"/>
      <c r="FB56" s="59"/>
      <c r="FC56" s="45"/>
      <c r="FD56" s="59"/>
      <c r="FE56" s="59"/>
      <c r="FF56" s="59"/>
      <c r="FG56" s="59"/>
      <c r="FH56" s="45"/>
      <c r="FI56" s="59"/>
      <c r="FJ56" s="59"/>
      <c r="FK56" s="59"/>
      <c r="FL56" s="59"/>
      <c r="FM56" s="59"/>
      <c r="FN56" s="189"/>
    </row>
    <row r="57" spans="1:170" x14ac:dyDescent="0.3">
      <c r="A57" s="30" t="s">
        <v>48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44">
        <f>+Inputs!DU537+Inputs!DU536</f>
        <v>794</v>
      </c>
      <c r="DV57" s="44">
        <f>+Inputs!DV537+Inputs!DV536</f>
        <v>763</v>
      </c>
      <c r="DW57" s="44">
        <f>+Inputs!DW537+Inputs!DW536</f>
        <v>771</v>
      </c>
      <c r="DX57" s="44">
        <f>+Inputs!DX537+Inputs!DX536</f>
        <v>729</v>
      </c>
      <c r="DY57" s="45">
        <f>+SUM(DU57:DX57)</f>
        <v>3057</v>
      </c>
      <c r="DZ57" s="44">
        <f>+Inputs!DZ537+Inputs!DZ536</f>
        <v>730</v>
      </c>
      <c r="EA57" s="44">
        <f>+Inputs!EA537+Inputs!EA536</f>
        <v>685</v>
      </c>
      <c r="EB57" s="44">
        <f>+Inputs!EB537+Inputs!EB536</f>
        <v>657</v>
      </c>
      <c r="EC57" s="44">
        <f>+Inputs!EC537+Inputs!EC536</f>
        <v>629</v>
      </c>
      <c r="ED57" s="45">
        <f>+SUM(DZ57:EC57)</f>
        <v>2701</v>
      </c>
      <c r="EE57" s="44">
        <f>+Inputs!EE537+Inputs!EE536</f>
        <v>620</v>
      </c>
      <c r="EF57" s="44">
        <f>+Inputs!EF537+Inputs!EF536</f>
        <v>606</v>
      </c>
      <c r="EG57" s="44">
        <f>+Inputs!EG537+Inputs!EG536</f>
        <v>590</v>
      </c>
      <c r="EH57" s="44">
        <f>+Inputs!EH537+Inputs!EH536</f>
        <v>546</v>
      </c>
      <c r="EI57" s="45">
        <f>+SUM(EE57:EH57)</f>
        <v>2362</v>
      </c>
      <c r="EJ57" s="44">
        <f>+Inputs!EJ537+Inputs!EJ536</f>
        <v>553</v>
      </c>
      <c r="EK57" s="44">
        <f>+Inputs!EK537+Inputs!EK536</f>
        <v>546</v>
      </c>
      <c r="EL57" s="44">
        <f>+Inputs!EL537+Inputs!EL536</f>
        <v>544</v>
      </c>
      <c r="EM57" s="44">
        <f>+Inputs!EM537+Inputs!EM536</f>
        <v>526</v>
      </c>
      <c r="EN57" s="45">
        <f>+SUM(EJ57:EM57)</f>
        <v>2169</v>
      </c>
      <c r="EO57" s="44">
        <f>+Inputs!EO537+Inputs!EO536</f>
        <v>542</v>
      </c>
      <c r="EP57" s="44">
        <f>+Inputs!EP537+Inputs!EP536</f>
        <v>528</v>
      </c>
      <c r="EQ57" s="44">
        <f>+Inputs!EQ537+Inputs!EQ536</f>
        <v>545</v>
      </c>
      <c r="ER57" s="44">
        <f>+Inputs!ER537+Inputs!ER536</f>
        <v>510</v>
      </c>
      <c r="ES57" s="45">
        <f>+SUM(EO57:ER57)</f>
        <v>2125</v>
      </c>
      <c r="ET57" s="59">
        <f t="shared" ref="ET57:EW57" si="120">+ET44+ET43</f>
        <v>523.34502119928743</v>
      </c>
      <c r="EU57" s="59">
        <f t="shared" si="120"/>
        <v>513.40092904114647</v>
      </c>
      <c r="EV57" s="59">
        <f t="shared" si="120"/>
        <v>531.54940255666065</v>
      </c>
      <c r="EW57" s="59">
        <f t="shared" si="120"/>
        <v>500.44247920245238</v>
      </c>
      <c r="EX57" s="45">
        <f>+SUM(ET57:EW57)</f>
        <v>2068.7378319995469</v>
      </c>
      <c r="EY57" s="59">
        <f t="shared" ref="EY57:FB57" si="121">+EY44+EY43</f>
        <v>510.20080528307506</v>
      </c>
      <c r="EZ57" s="59">
        <f t="shared" si="121"/>
        <v>501.10476402126864</v>
      </c>
      <c r="FA57" s="59">
        <f t="shared" si="121"/>
        <v>520.144094100036</v>
      </c>
      <c r="FB57" s="59">
        <f t="shared" si="121"/>
        <v>489.82164654820906</v>
      </c>
      <c r="FC57" s="45">
        <f>+SUM(EY57:FB57)</f>
        <v>2021.2713099525886</v>
      </c>
      <c r="FD57" s="59">
        <f t="shared" ref="FD57:FM57" si="122">+FD44+FD43</f>
        <v>499.57430613162933</v>
      </c>
      <c r="FE57" s="59">
        <f t="shared" si="122"/>
        <v>491.09274817601738</v>
      </c>
      <c r="FF57" s="59">
        <f t="shared" si="122"/>
        <v>510.7890173648006</v>
      </c>
      <c r="FG57" s="59">
        <f t="shared" si="122"/>
        <v>481.08693475082259</v>
      </c>
      <c r="FH57" s="45">
        <f>+SUM(FD57:FG57)</f>
        <v>1982.5430064232698</v>
      </c>
      <c r="FI57" s="59">
        <f t="shared" si="122"/>
        <v>1950.4995293749339</v>
      </c>
      <c r="FJ57" s="59">
        <f t="shared" si="122"/>
        <v>1921.0064091428221</v>
      </c>
      <c r="FK57" s="59">
        <f t="shared" si="122"/>
        <v>1896.6584377412726</v>
      </c>
      <c r="FL57" s="59">
        <f t="shared" si="122"/>
        <v>1876.1873013361262</v>
      </c>
      <c r="FM57" s="59">
        <f t="shared" si="122"/>
        <v>1858.7235775458475</v>
      </c>
      <c r="FN57" s="189">
        <f>+(FJ57/ES57)^0.2-1</f>
        <v>-1.9982172785331653E-2</v>
      </c>
    </row>
    <row r="58" spans="1:170" x14ac:dyDescent="0.3">
      <c r="A58" s="30" t="s">
        <v>42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44">
        <f>+Inputs!DU538</f>
        <v>434</v>
      </c>
      <c r="DV58" s="44">
        <f>+Inputs!DV538</f>
        <v>422</v>
      </c>
      <c r="DW58" s="44">
        <f>+Inputs!DW538</f>
        <v>422</v>
      </c>
      <c r="DX58" s="44">
        <f>+Inputs!DX538</f>
        <v>439</v>
      </c>
      <c r="DY58" s="45">
        <f>+SUM(DU58:DX58)</f>
        <v>1717</v>
      </c>
      <c r="DZ58" s="44">
        <f>+Inputs!DZ538</f>
        <v>420</v>
      </c>
      <c r="EA58" s="44">
        <f>+Inputs!EA538</f>
        <v>384</v>
      </c>
      <c r="EB58" s="44">
        <f>+Inputs!EB538</f>
        <v>379</v>
      </c>
      <c r="EC58" s="44">
        <f>+Inputs!EC538</f>
        <v>373</v>
      </c>
      <c r="ED58" s="45">
        <f>+SUM(DZ58:EC58)</f>
        <v>1556</v>
      </c>
      <c r="EE58" s="44">
        <f>+Inputs!EE538</f>
        <v>386</v>
      </c>
      <c r="EF58" s="44">
        <f>+Inputs!EF538</f>
        <v>377</v>
      </c>
      <c r="EG58" s="44">
        <f>+Inputs!EG538</f>
        <v>399</v>
      </c>
      <c r="EH58" s="44">
        <f>+Inputs!EH538</f>
        <v>412</v>
      </c>
      <c r="EI58" s="45">
        <f>+SUM(EE58:EH58)</f>
        <v>1574</v>
      </c>
      <c r="EJ58" s="44">
        <f>+Inputs!EJ538</f>
        <v>385</v>
      </c>
      <c r="EK58" s="44">
        <f>+Inputs!EK538</f>
        <v>378</v>
      </c>
      <c r="EL58" s="44">
        <f>+Inputs!EL538</f>
        <v>392</v>
      </c>
      <c r="EM58" s="44">
        <f>+Inputs!EM538</f>
        <v>383</v>
      </c>
      <c r="EN58" s="45">
        <f>+SUM(EJ58:EM58)</f>
        <v>1538</v>
      </c>
      <c r="EO58" s="44">
        <f>+Inputs!EO538</f>
        <v>379</v>
      </c>
      <c r="EP58" s="44">
        <f>+Inputs!EP538</f>
        <v>388</v>
      </c>
      <c r="EQ58" s="44">
        <f>+Inputs!EQ538</f>
        <v>365</v>
      </c>
      <c r="ER58" s="44">
        <f>+Inputs!ER538</f>
        <v>367</v>
      </c>
      <c r="ES58" s="45">
        <f>+SUM(EO58:ER58)</f>
        <v>1499</v>
      </c>
      <c r="ET58" s="59">
        <f t="shared" ref="ET58:EW58" si="123">+ET45</f>
        <v>365.07592182070374</v>
      </c>
      <c r="EU58" s="59">
        <f t="shared" si="123"/>
        <v>371.88538439773953</v>
      </c>
      <c r="EV58" s="59">
        <f t="shared" si="123"/>
        <v>352.96694008551452</v>
      </c>
      <c r="EW58" s="59">
        <f t="shared" si="123"/>
        <v>351.88679138615908</v>
      </c>
      <c r="EX58" s="45">
        <f>+SUM(ET58:EW58)</f>
        <v>1441.8150376901169</v>
      </c>
      <c r="EY58" s="59">
        <f t="shared" ref="EY58:FB58" si="124">+EY45</f>
        <v>360.5123955235149</v>
      </c>
      <c r="EZ58" s="59">
        <f t="shared" si="124"/>
        <v>366.87673161828644</v>
      </c>
      <c r="FA58" s="59">
        <f t="shared" si="124"/>
        <v>350.44428258470629</v>
      </c>
      <c r="FB58" s="59">
        <f t="shared" si="124"/>
        <v>348.03092375647896</v>
      </c>
      <c r="FC58" s="45">
        <f>+SUM(EY58:FB58)</f>
        <v>1425.8643334829867</v>
      </c>
      <c r="FD58" s="59">
        <f t="shared" ref="FD58:FM58" si="125">+FD45</f>
        <v>373.17275371055848</v>
      </c>
      <c r="FE58" s="59">
        <f t="shared" si="125"/>
        <v>379.5472239002865</v>
      </c>
      <c r="FF58" s="59">
        <f t="shared" si="125"/>
        <v>364.61639527021231</v>
      </c>
      <c r="FG58" s="59">
        <f t="shared" si="125"/>
        <v>361.5290870663498</v>
      </c>
      <c r="FH58" s="45">
        <f>+SUM(FD58:FG58)</f>
        <v>1478.8654599474071</v>
      </c>
      <c r="FI58" s="59">
        <f t="shared" si="125"/>
        <v>1538.1444717681863</v>
      </c>
      <c r="FJ58" s="59">
        <f t="shared" si="125"/>
        <v>1605.2685007995817</v>
      </c>
      <c r="FK58" s="59">
        <f t="shared" si="125"/>
        <v>1668.8376751332564</v>
      </c>
      <c r="FL58" s="59">
        <f t="shared" si="125"/>
        <v>1726.7640424410342</v>
      </c>
      <c r="FM58" s="59">
        <f t="shared" si="125"/>
        <v>1779.0580827378089</v>
      </c>
      <c r="FN58" s="189">
        <f>+(FJ58/ES58)^0.2-1</f>
        <v>1.3792817943308E-2</v>
      </c>
    </row>
    <row r="59" spans="1:170" x14ac:dyDescent="0.3">
      <c r="A59" s="48" t="s">
        <v>43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858">
        <f t="shared" ref="DU59:DZ59" si="126">+SUM(DU56:DU58)</f>
        <v>1228</v>
      </c>
      <c r="DV59" s="858">
        <f t="shared" si="126"/>
        <v>1185</v>
      </c>
      <c r="DW59" s="858">
        <f t="shared" si="126"/>
        <v>1193</v>
      </c>
      <c r="DX59" s="858">
        <f t="shared" si="126"/>
        <v>1168</v>
      </c>
      <c r="DY59" s="858">
        <f>+SUM(DU59:DX59)</f>
        <v>4774</v>
      </c>
      <c r="DZ59" s="858">
        <f t="shared" si="126"/>
        <v>1150</v>
      </c>
      <c r="EA59" s="858">
        <f>+SUM(EA56:EA58)</f>
        <v>1069</v>
      </c>
      <c r="EB59" s="858">
        <f>+SUM(EB56:EB58)</f>
        <v>1036</v>
      </c>
      <c r="EC59" s="858">
        <f>+SUM(EC56:EC58)</f>
        <v>1002</v>
      </c>
      <c r="ED59" s="858">
        <f>+SUM(DZ59:EC59)</f>
        <v>4257</v>
      </c>
      <c r="EE59" s="858">
        <f>+SUM(EE56:EE58)</f>
        <v>1006</v>
      </c>
      <c r="EF59" s="858">
        <f>+SUM(EF56:EF58)</f>
        <v>983</v>
      </c>
      <c r="EG59" s="858">
        <f>+SUM(EG56:EG58)</f>
        <v>989</v>
      </c>
      <c r="EH59" s="858">
        <f>+SUM(EH56:EH58)</f>
        <v>958</v>
      </c>
      <c r="EI59" s="858">
        <f>+SUM(EE59:EH59)</f>
        <v>3936</v>
      </c>
      <c r="EJ59" s="858">
        <f>+SUM(EJ56:EJ58)</f>
        <v>938</v>
      </c>
      <c r="EK59" s="858">
        <f>+SUM(EK56:EK58)</f>
        <v>924</v>
      </c>
      <c r="EL59" s="858">
        <f>+SUM(EL56:EL58)</f>
        <v>936</v>
      </c>
      <c r="EM59" s="858">
        <f>+SUM(EM56:EM58)</f>
        <v>909</v>
      </c>
      <c r="EN59" s="858">
        <f>+SUM(EJ59:EM59)</f>
        <v>3707</v>
      </c>
      <c r="EO59" s="858">
        <f>+SUM(EO56:EO58)</f>
        <v>921</v>
      </c>
      <c r="EP59" s="858">
        <f>+SUM(EP56:EP58)</f>
        <v>916</v>
      </c>
      <c r="EQ59" s="858">
        <f>+SUM(EQ56:EQ58)</f>
        <v>910</v>
      </c>
      <c r="ER59" s="858">
        <f>+SUM(ER56:ER58)</f>
        <v>877</v>
      </c>
      <c r="ES59" s="858">
        <f>+SUM(EO59:ER59)</f>
        <v>3624</v>
      </c>
      <c r="ET59" s="858">
        <f t="shared" ref="ET59:EW59" si="127">+SUM(ET56:ET58)</f>
        <v>888.42094301999123</v>
      </c>
      <c r="EU59" s="858">
        <f t="shared" si="127"/>
        <v>885.28631343888605</v>
      </c>
      <c r="EV59" s="858">
        <f t="shared" si="127"/>
        <v>884.51634264217523</v>
      </c>
      <c r="EW59" s="858">
        <f t="shared" si="127"/>
        <v>852.32927058861151</v>
      </c>
      <c r="EX59" s="858">
        <f>+SUM(ET59:EW59)</f>
        <v>3510.552869689664</v>
      </c>
      <c r="EY59" s="858">
        <f t="shared" ref="EY59:FB59" si="128">+SUM(EY56:EY58)</f>
        <v>870.71320080658995</v>
      </c>
      <c r="EZ59" s="858">
        <f t="shared" si="128"/>
        <v>867.98149563955508</v>
      </c>
      <c r="FA59" s="858">
        <f t="shared" si="128"/>
        <v>870.58837668474234</v>
      </c>
      <c r="FB59" s="858">
        <f t="shared" si="128"/>
        <v>837.85257030468802</v>
      </c>
      <c r="FC59" s="858">
        <f>+SUM(EY59:FB59)</f>
        <v>3447.1356434355753</v>
      </c>
      <c r="FD59" s="858">
        <f t="shared" ref="FD59:FL59" si="129">+SUM(FD56:FD58)</f>
        <v>872.74705984218781</v>
      </c>
      <c r="FE59" s="858">
        <f t="shared" si="129"/>
        <v>870.63997207630382</v>
      </c>
      <c r="FF59" s="858">
        <f t="shared" si="129"/>
        <v>875.40541263501291</v>
      </c>
      <c r="FG59" s="858">
        <f t="shared" si="129"/>
        <v>842.6160218171724</v>
      </c>
      <c r="FH59" s="858">
        <f>+SUM(FD59:FG59)</f>
        <v>3461.4084663706772</v>
      </c>
      <c r="FI59" s="858">
        <f t="shared" si="129"/>
        <v>3488.6440011431205</v>
      </c>
      <c r="FJ59" s="858">
        <f t="shared" si="129"/>
        <v>3526.2749099424036</v>
      </c>
      <c r="FK59" s="858">
        <f t="shared" si="129"/>
        <v>3565.496112874529</v>
      </c>
      <c r="FL59" s="858">
        <f t="shared" si="129"/>
        <v>3602.9513437771602</v>
      </c>
      <c r="FM59" s="858">
        <f>+SUM(FM56:FM58)</f>
        <v>3637.7816602836565</v>
      </c>
      <c r="FN59" s="189">
        <f>+(FJ59/ES59)^0.2-1</f>
        <v>-5.4523498346250587E-3</v>
      </c>
    </row>
    <row r="60" spans="1:170" x14ac:dyDescent="0.3">
      <c r="A60" s="49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4"/>
      <c r="DZ60" s="1"/>
      <c r="EA60" s="1"/>
      <c r="EB60" s="1"/>
      <c r="EC60" s="1"/>
      <c r="ED60" s="4"/>
      <c r="EE60" s="1"/>
      <c r="EF60" s="1"/>
      <c r="EG60" s="1"/>
      <c r="EH60" s="1"/>
      <c r="EI60" s="4"/>
      <c r="EJ60" s="1"/>
      <c r="EK60" s="1"/>
      <c r="EL60" s="1"/>
      <c r="EM60" s="1"/>
      <c r="EN60" s="4"/>
      <c r="EO60" s="1"/>
      <c r="EP60" s="1"/>
      <c r="EQ60" s="1"/>
      <c r="ER60" s="1"/>
      <c r="ES60" s="4"/>
      <c r="ET60" s="1"/>
      <c r="EU60" s="1"/>
      <c r="EV60" s="1"/>
      <c r="EW60" s="1"/>
      <c r="EX60" s="4"/>
      <c r="EY60" s="1"/>
      <c r="EZ60" s="1"/>
      <c r="FA60" s="1"/>
      <c r="FB60" s="1"/>
      <c r="FC60" s="4"/>
      <c r="FD60" s="1"/>
      <c r="FE60" s="1"/>
      <c r="FF60" s="1"/>
      <c r="FG60" s="1"/>
      <c r="FH60" s="4"/>
      <c r="FI60" s="1"/>
      <c r="FJ60" s="1"/>
      <c r="FK60" s="1"/>
      <c r="FL60" s="1"/>
      <c r="FM60" s="1"/>
    </row>
    <row r="61" spans="1:170" x14ac:dyDescent="0.3">
      <c r="A61" s="48" t="s">
        <v>44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50">
        <f>+DU53-DU59</f>
        <v>873</v>
      </c>
      <c r="DV61" s="50">
        <f>+DV53-DV59</f>
        <v>882</v>
      </c>
      <c r="DW61" s="50">
        <f>+DW53-DW59</f>
        <v>804</v>
      </c>
      <c r="DX61" s="50">
        <f>+DX53-DX59</f>
        <v>774</v>
      </c>
      <c r="DY61" s="50">
        <f>+SUM(DU61:DX61)</f>
        <v>3333</v>
      </c>
      <c r="DZ61" s="50">
        <f>+DZ53-DZ59</f>
        <v>783</v>
      </c>
      <c r="EA61" s="50">
        <f>+EA53-EA59</f>
        <v>732</v>
      </c>
      <c r="EB61" s="50">
        <f>+EB53-EB59</f>
        <v>690</v>
      </c>
      <c r="EC61" s="50">
        <f>+EC53-EC59</f>
        <v>693</v>
      </c>
      <c r="ED61" s="50">
        <f>+SUM(DZ61:EC61)</f>
        <v>2898</v>
      </c>
      <c r="EE61" s="50">
        <f>+EE53-EE59</f>
        <v>670</v>
      </c>
      <c r="EF61" s="50">
        <f>+EF53-EF59</f>
        <v>633</v>
      </c>
      <c r="EG61" s="50">
        <f>+EG53-EG59</f>
        <v>587</v>
      </c>
      <c r="EH61" s="50">
        <f>+EH53-EH59</f>
        <v>585</v>
      </c>
      <c r="EI61" s="50">
        <f>+SUM(EE61:EH61)</f>
        <v>2475</v>
      </c>
      <c r="EJ61" s="50">
        <f>+EJ53-EJ59</f>
        <v>509</v>
      </c>
      <c r="EK61" s="50">
        <f>+EK53-EK59</f>
        <v>535</v>
      </c>
      <c r="EL61" s="50">
        <f>+EL53-EL59</f>
        <v>508</v>
      </c>
      <c r="EM61" s="50">
        <f>+EM53-EM59</f>
        <v>528</v>
      </c>
      <c r="EN61" s="50">
        <f>+SUM(EJ61:EM61)</f>
        <v>2080</v>
      </c>
      <c r="EO61" s="50">
        <f>+EO53-EO59</f>
        <v>519</v>
      </c>
      <c r="EP61" s="50">
        <f>+EP53-EP59</f>
        <v>533</v>
      </c>
      <c r="EQ61" s="50">
        <f>+EQ53-EQ59</f>
        <v>526</v>
      </c>
      <c r="ER61" s="50">
        <f>+ER53-ER59</f>
        <v>549</v>
      </c>
      <c r="ES61" s="50">
        <f>+SUM(EO61:ER61)</f>
        <v>2127</v>
      </c>
      <c r="ET61" s="50">
        <f t="shared" ref="ET61:EW61" si="130">+ET53-ET59</f>
        <v>543.99283568494593</v>
      </c>
      <c r="EU61" s="50">
        <f t="shared" si="130"/>
        <v>560.38798605648458</v>
      </c>
      <c r="EV61" s="50">
        <f t="shared" si="130"/>
        <v>556.37459797704582</v>
      </c>
      <c r="EW61" s="50">
        <f t="shared" si="130"/>
        <v>585.01197361608502</v>
      </c>
      <c r="EX61" s="50">
        <f>+SUM(ET61:EW61)</f>
        <v>2245.7673933345613</v>
      </c>
      <c r="EY61" s="50">
        <f t="shared" ref="EY61:FB61" si="131">+EY53-EY59</f>
        <v>577.88571435223355</v>
      </c>
      <c r="EZ61" s="50">
        <f t="shared" si="131"/>
        <v>605.09489147654563</v>
      </c>
      <c r="FA61" s="50">
        <f t="shared" si="131"/>
        <v>604.2641831199121</v>
      </c>
      <c r="FB61" s="50">
        <f t="shared" si="131"/>
        <v>641.98501579347294</v>
      </c>
      <c r="FC61" s="50">
        <f>+SUM(EY61:FB61)</f>
        <v>2429.2298047421641</v>
      </c>
      <c r="FD61" s="50">
        <f t="shared" ref="FD61:FM61" si="132">+FD53-FD59</f>
        <v>627.88614401317136</v>
      </c>
      <c r="FE61" s="50">
        <f t="shared" si="132"/>
        <v>663.55224997127698</v>
      </c>
      <c r="FF61" s="50">
        <f t="shared" si="132"/>
        <v>665.67621101103805</v>
      </c>
      <c r="FG61" s="50">
        <f t="shared" si="132"/>
        <v>708.62141653583967</v>
      </c>
      <c r="FH61" s="50">
        <f>+SUM(FD61:FG61)</f>
        <v>2665.7360215313261</v>
      </c>
      <c r="FI61" s="50">
        <f t="shared" si="132"/>
        <v>2946.9743288250111</v>
      </c>
      <c r="FJ61" s="50">
        <f t="shared" si="132"/>
        <v>3230.7559482034267</v>
      </c>
      <c r="FK61" s="50">
        <f t="shared" si="132"/>
        <v>3509.9095186498562</v>
      </c>
      <c r="FL61" s="50">
        <f t="shared" si="132"/>
        <v>3774.2567996896059</v>
      </c>
      <c r="FM61" s="50">
        <f t="shared" si="132"/>
        <v>4019.1067273242143</v>
      </c>
      <c r="FN61" s="189">
        <f>+(FJ61/ES61)^0.2-1</f>
        <v>8.7194714927279593E-2</v>
      </c>
    </row>
    <row r="62" spans="1:170" x14ac:dyDescent="0.3">
      <c r="A62" s="46" t="s">
        <v>45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47">
        <f t="shared" ref="DU62:ER62" si="133">+DU61/DU53</f>
        <v>0.41551642075202283</v>
      </c>
      <c r="DV62" s="47">
        <f t="shared" si="133"/>
        <v>0.42670537010159654</v>
      </c>
      <c r="DW62" s="47">
        <f t="shared" si="133"/>
        <v>0.40260390585878819</v>
      </c>
      <c r="DX62" s="47">
        <f t="shared" si="133"/>
        <v>0.39855818743563337</v>
      </c>
      <c r="DY62" s="52">
        <f t="shared" si="133"/>
        <v>0.41112618724559025</v>
      </c>
      <c r="DZ62" s="47">
        <f t="shared" si="133"/>
        <v>0.40506983962752197</v>
      </c>
      <c r="EA62" s="47">
        <f t="shared" si="133"/>
        <v>0.40644086618545255</v>
      </c>
      <c r="EB62" s="47">
        <f t="shared" si="133"/>
        <v>0.39976825028968715</v>
      </c>
      <c r="EC62" s="47">
        <f t="shared" si="133"/>
        <v>0.40884955752212387</v>
      </c>
      <c r="ED62" s="52">
        <f t="shared" si="133"/>
        <v>0.40503144654088052</v>
      </c>
      <c r="EE62" s="47">
        <f>+EE61/EE53</f>
        <v>0.3997613365155131</v>
      </c>
      <c r="EF62" s="47">
        <f>+EF61/EF53</f>
        <v>0.39170792079207922</v>
      </c>
      <c r="EG62" s="47">
        <f>+EG61/EG53</f>
        <v>0.37246192893401014</v>
      </c>
      <c r="EH62" s="47">
        <f>+EH61/EH53</f>
        <v>0.37913156189241737</v>
      </c>
      <c r="EI62" s="52">
        <f t="shared" si="133"/>
        <v>0.38605521759475903</v>
      </c>
      <c r="EJ62" s="47">
        <f t="shared" si="133"/>
        <v>0.35176226675881134</v>
      </c>
      <c r="EK62" s="47">
        <f t="shared" si="133"/>
        <v>0.36668951336531869</v>
      </c>
      <c r="EL62" s="47">
        <f t="shared" si="133"/>
        <v>0.35180055401662053</v>
      </c>
      <c r="EM62" s="47">
        <f t="shared" si="133"/>
        <v>0.36743215031315241</v>
      </c>
      <c r="EN62" s="52">
        <f t="shared" si="133"/>
        <v>0.35942630032832212</v>
      </c>
      <c r="EO62" s="47">
        <f t="shared" si="133"/>
        <v>0.36041666666666666</v>
      </c>
      <c r="EP62" s="47">
        <f t="shared" si="133"/>
        <v>0.36783988957902003</v>
      </c>
      <c r="EQ62" s="47">
        <f t="shared" si="133"/>
        <v>0.36629526462395545</v>
      </c>
      <c r="ER62" s="47">
        <f t="shared" si="133"/>
        <v>0.38499298737727911</v>
      </c>
      <c r="ES62" s="52">
        <f>+ES61/ES53</f>
        <v>0.36984872196139801</v>
      </c>
      <c r="ET62" s="47">
        <f t="shared" ref="ET62:EW62" si="134">+ET61/ET53</f>
        <v>0.37977352897064182</v>
      </c>
      <c r="EU62" s="47">
        <f t="shared" si="134"/>
        <v>0.38763086972777649</v>
      </c>
      <c r="EV62" s="47">
        <f t="shared" si="134"/>
        <v>0.38613234512942701</v>
      </c>
      <c r="EW62" s="47">
        <f t="shared" si="134"/>
        <v>0.40700980089093686</v>
      </c>
      <c r="EX62" s="52">
        <f>+EX61/EX53</f>
        <v>0.39013941037302391</v>
      </c>
      <c r="EY62" s="47">
        <f t="shared" ref="EY62:FB62" si="135">+EY61/EY53</f>
        <v>0.39892734165749011</v>
      </c>
      <c r="EZ62" s="47">
        <f t="shared" si="135"/>
        <v>0.41076952747926643</v>
      </c>
      <c r="FA62" s="47">
        <f t="shared" si="135"/>
        <v>0.40971158717041345</v>
      </c>
      <c r="FB62" s="47">
        <f t="shared" si="135"/>
        <v>0.4338212664851781</v>
      </c>
      <c r="FC62" s="52">
        <f>+FC61/FC53</f>
        <v>0.41338984550313634</v>
      </c>
      <c r="FD62" s="47">
        <f t="shared" ref="FD62:FL62" si="136">+FD61/FD53</f>
        <v>0.41841413504648212</v>
      </c>
      <c r="FE62" s="47">
        <f t="shared" si="136"/>
        <v>0.4325091995875715</v>
      </c>
      <c r="FF62" s="47">
        <f t="shared" si="136"/>
        <v>0.43195389575544491</v>
      </c>
      <c r="FG62" s="47">
        <f t="shared" si="136"/>
        <v>0.45681041407058931</v>
      </c>
      <c r="FH62" s="52">
        <f>+FH61/FH53</f>
        <v>0.43506988072417752</v>
      </c>
      <c r="FI62" s="47">
        <f t="shared" si="136"/>
        <v>0.45791626813885405</v>
      </c>
      <c r="FJ62" s="47">
        <f t="shared" si="136"/>
        <v>0.47813248393096214</v>
      </c>
      <c r="FK62" s="47">
        <f t="shared" si="136"/>
        <v>0.49607184399598186</v>
      </c>
      <c r="FL62" s="47">
        <f t="shared" si="136"/>
        <v>0.51161045293700658</v>
      </c>
      <c r="FM62" s="47">
        <f>+FM61/FM53</f>
        <v>0.52490078526269923</v>
      </c>
    </row>
    <row r="63" spans="1:170" x14ac:dyDescent="0.3">
      <c r="A63" s="46" t="s">
        <v>29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4"/>
      <c r="DZ63" s="47">
        <f t="shared" ref="DZ63:ER63" si="137">+IFERROR(DZ61/DU61-1,"")</f>
        <v>-0.10309278350515461</v>
      </c>
      <c r="EA63" s="47">
        <f t="shared" si="137"/>
        <v>-0.17006802721088432</v>
      </c>
      <c r="EB63" s="47">
        <f t="shared" si="137"/>
        <v>-0.14179104477611937</v>
      </c>
      <c r="EC63" s="47">
        <f t="shared" si="137"/>
        <v>-0.10465116279069764</v>
      </c>
      <c r="ED63" s="52">
        <f t="shared" si="137"/>
        <v>-0.13051305130513047</v>
      </c>
      <c r="EE63" s="47">
        <f t="shared" si="137"/>
        <v>-0.14431673052362703</v>
      </c>
      <c r="EF63" s="47">
        <f t="shared" si="137"/>
        <v>-0.13524590163934425</v>
      </c>
      <c r="EG63" s="47">
        <f t="shared" si="137"/>
        <v>-0.14927536231884053</v>
      </c>
      <c r="EH63" s="47">
        <f t="shared" si="137"/>
        <v>-0.1558441558441559</v>
      </c>
      <c r="EI63" s="52">
        <f t="shared" si="137"/>
        <v>-0.14596273291925466</v>
      </c>
      <c r="EJ63" s="47">
        <f t="shared" si="137"/>
        <v>-0.24029850746268655</v>
      </c>
      <c r="EK63" s="47">
        <f t="shared" si="137"/>
        <v>-0.15481832543443919</v>
      </c>
      <c r="EL63" s="47">
        <f t="shared" si="137"/>
        <v>-0.13458262350936967</v>
      </c>
      <c r="EM63" s="47">
        <f t="shared" si="137"/>
        <v>-9.7435897435897423E-2</v>
      </c>
      <c r="EN63" s="52">
        <f>+IFERROR(EN61/EI61-1,"")</f>
        <v>-0.15959595959595962</v>
      </c>
      <c r="EO63" s="47">
        <f t="shared" si="137"/>
        <v>1.9646365422396839E-2</v>
      </c>
      <c r="EP63" s="47">
        <f t="shared" si="137"/>
        <v>-3.7383177570093906E-3</v>
      </c>
      <c r="EQ63" s="47">
        <f t="shared" si="137"/>
        <v>3.5433070866141669E-2</v>
      </c>
      <c r="ER63" s="47">
        <f t="shared" si="137"/>
        <v>3.9772727272727293E-2</v>
      </c>
      <c r="ES63" s="52">
        <f>+IFERROR(ES61/EN61-1,"")</f>
        <v>2.2596153846153877E-2</v>
      </c>
      <c r="ET63" s="47">
        <f t="shared" ref="ET63:EW63" si="138">+IFERROR(ET61/EO61-1,"")</f>
        <v>4.8155752764828419E-2</v>
      </c>
      <c r="EU63" s="47">
        <f t="shared" si="138"/>
        <v>5.1384589224173771E-2</v>
      </c>
      <c r="EV63" s="47">
        <f t="shared" si="138"/>
        <v>5.7746383986779115E-2</v>
      </c>
      <c r="EW63" s="47">
        <f t="shared" si="138"/>
        <v>6.5595580357167504E-2</v>
      </c>
      <c r="EX63" s="52">
        <f>+IFERROR(EX61/ES61-1,"")</f>
        <v>5.5837984642483018E-2</v>
      </c>
      <c r="EY63" s="47">
        <f t="shared" ref="EY63" si="139">+IFERROR(EY61/ET61-1,"")</f>
        <v>6.230390630901006E-2</v>
      </c>
      <c r="EZ63" s="47">
        <f t="shared" ref="EZ63" si="140">+IFERROR(EZ61/EU61-1,"")</f>
        <v>7.9778486570828866E-2</v>
      </c>
      <c r="FA63" s="47">
        <f t="shared" ref="FA63" si="141">+IFERROR(FA61/EV61-1,"")</f>
        <v>8.6074355869212527E-2</v>
      </c>
      <c r="FB63" s="47">
        <f t="shared" ref="FB63" si="142">+IFERROR(FB61/EW61-1,"")</f>
        <v>9.7387822381181932E-2</v>
      </c>
      <c r="FC63" s="52">
        <f>+IFERROR(FC61/EX61-1,"")</f>
        <v>8.1692526105828778E-2</v>
      </c>
      <c r="FD63" s="47">
        <f t="shared" ref="FD63" si="143">+IFERROR(FD61/EY61-1,"")</f>
        <v>8.6523041527310607E-2</v>
      </c>
      <c r="FE63" s="47">
        <f t="shared" ref="FE63" si="144">+IFERROR(FE61/EZ61-1,"")</f>
        <v>9.6608580436176483E-2</v>
      </c>
      <c r="FF63" s="47">
        <f t="shared" ref="FF63" si="145">+IFERROR(FF61/FA61-1,"")</f>
        <v>0.10163109051747177</v>
      </c>
      <c r="FG63" s="47">
        <f t="shared" ref="FG63" si="146">+IFERROR(FG61/FB61-1,"")</f>
        <v>0.10379743935301389</v>
      </c>
      <c r="FH63" s="52">
        <f>+IFERROR(FH61/FC61-1,"")</f>
        <v>9.7358519283549105E-2</v>
      </c>
      <c r="FI63" s="47">
        <f t="shared" ref="FI63:FM63" si="147">+IFERROR(FI61/FH61-1,"")</f>
        <v>0.10550118429660871</v>
      </c>
      <c r="FJ63" s="47">
        <f t="shared" si="147"/>
        <v>9.6295925146915762E-2</v>
      </c>
      <c r="FK63" s="47">
        <f t="shared" si="147"/>
        <v>8.6405031801198851E-2</v>
      </c>
      <c r="FL63" s="47">
        <f t="shared" si="147"/>
        <v>7.531455715172819E-2</v>
      </c>
      <c r="FM63" s="47">
        <f t="shared" si="147"/>
        <v>6.4873679940046669E-2</v>
      </c>
    </row>
    <row r="64" spans="1:170" x14ac:dyDescent="0.3">
      <c r="A64" s="49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4"/>
      <c r="DZ64" s="1"/>
      <c r="EA64" s="1"/>
      <c r="EB64" s="1"/>
      <c r="EC64" s="1"/>
      <c r="ED64" s="4"/>
      <c r="EE64" s="1"/>
      <c r="EF64" s="1"/>
      <c r="EG64" s="1"/>
      <c r="EH64" s="1"/>
      <c r="EI64" s="4"/>
      <c r="EJ64" s="1"/>
      <c r="EK64" s="1"/>
      <c r="EL64" s="1"/>
      <c r="EM64" s="1"/>
      <c r="EN64" s="4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</row>
    <row r="65" spans="1:169" x14ac:dyDescent="0.3">
      <c r="A65" s="63" t="s">
        <v>49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44">
        <f>+Inputs!DU53</f>
        <v>484</v>
      </c>
      <c r="DV65" s="44">
        <f>+Inputs!DV53</f>
        <v>454</v>
      </c>
      <c r="DW65" s="44">
        <f>+Inputs!DW53</f>
        <v>422</v>
      </c>
      <c r="DX65" s="44">
        <f>+Inputs!DX53</f>
        <v>420</v>
      </c>
      <c r="DY65" s="58">
        <f>+SUM(DU65:DX65)</f>
        <v>1780</v>
      </c>
      <c r="DZ65" s="44">
        <f>+Inputs!DZ53</f>
        <v>415</v>
      </c>
      <c r="EA65" s="44">
        <f>+Inputs!EA53</f>
        <v>397</v>
      </c>
      <c r="EB65" s="44">
        <f>+Inputs!EB53</f>
        <v>392</v>
      </c>
      <c r="EC65" s="44">
        <f>+Inputs!EC53</f>
        <v>394</v>
      </c>
      <c r="ED65" s="58">
        <f>+SUM(DZ65:EC65)</f>
        <v>1598</v>
      </c>
      <c r="EE65" s="44">
        <f>+Inputs!EE53</f>
        <v>387</v>
      </c>
      <c r="EF65" s="44">
        <f>+Inputs!EF53</f>
        <v>298</v>
      </c>
      <c r="EG65" s="44">
        <f>+Inputs!EG53</f>
        <v>273</v>
      </c>
      <c r="EH65" s="44">
        <f>+Inputs!EH53</f>
        <v>282</v>
      </c>
      <c r="EI65" s="58">
        <f>+SUM(EE65:EH65)</f>
        <v>1240</v>
      </c>
      <c r="EJ65" s="44">
        <f>+Inputs!EJ53</f>
        <v>284</v>
      </c>
      <c r="EK65" s="44">
        <f>+Inputs!EK53</f>
        <v>290</v>
      </c>
      <c r="EL65" s="44">
        <f>+Inputs!EL53</f>
        <v>296</v>
      </c>
      <c r="EM65" s="44">
        <f>+Inputs!EM53</f>
        <v>312</v>
      </c>
      <c r="EN65" s="58">
        <f>+SUM(EJ65:EM65)</f>
        <v>1182</v>
      </c>
      <c r="EO65" s="44">
        <f>+Inputs!EO53</f>
        <v>330</v>
      </c>
      <c r="EP65" s="44">
        <f>+Inputs!EP53</f>
        <v>354</v>
      </c>
      <c r="EQ65" s="44">
        <f>+Inputs!EQ53</f>
        <v>356</v>
      </c>
      <c r="ER65" s="44">
        <f>+Inputs!ER53</f>
        <v>375</v>
      </c>
      <c r="ES65" s="58">
        <f>+SUM(EO65:ER65)</f>
        <v>1415</v>
      </c>
      <c r="ET65" s="44">
        <f>+'Drivers (2)'!ET588</f>
        <v>408.36090095671921</v>
      </c>
      <c r="EU65" s="44">
        <f>+'Drivers (2)'!EU588</f>
        <v>423.10917187136027</v>
      </c>
      <c r="EV65" s="44">
        <f>+'Drivers (2)'!EV588</f>
        <v>400.72439809887499</v>
      </c>
      <c r="EW65" s="44">
        <f>+'Drivers (2)'!EW588</f>
        <v>370.01353847177091</v>
      </c>
      <c r="EX65" s="58">
        <f>+SUM(ET65:EW65)</f>
        <v>1602.2080093987256</v>
      </c>
      <c r="EY65" s="44">
        <f>+'Drivers (2)'!EY588</f>
        <v>384.88245503918961</v>
      </c>
      <c r="EZ65" s="44">
        <f>+'Drivers (2)'!EZ588</f>
        <v>394.37329927884332</v>
      </c>
      <c r="FA65" s="44">
        <f>+'Drivers (2)'!FA588</f>
        <v>378.12065829976081</v>
      </c>
      <c r="FB65" s="44">
        <f>+'Drivers (2)'!FB588</f>
        <v>321.73925681413226</v>
      </c>
      <c r="FC65" s="58">
        <f>+SUM(EY65:FB65)</f>
        <v>1479.1156694319259</v>
      </c>
      <c r="FD65" s="44">
        <f>+'Drivers (2)'!FD588</f>
        <v>337.34014045687564</v>
      </c>
      <c r="FE65" s="44">
        <f>+'Drivers (2)'!FE588</f>
        <v>346.67014470211086</v>
      </c>
      <c r="FF65" s="44">
        <f>+'Drivers (2)'!FF588</f>
        <v>337.23169490590664</v>
      </c>
      <c r="FG65" s="44">
        <f>+'Drivers (2)'!FG588</f>
        <v>315.1102151491358</v>
      </c>
      <c r="FH65" s="58">
        <f>+SUM(FD65:FG65)</f>
        <v>1336.3521952140291</v>
      </c>
      <c r="FI65" s="44">
        <f>+'Drivers (2)'!FI588</f>
        <v>1289.5957006950414</v>
      </c>
      <c r="FJ65" s="44">
        <f>+'Drivers (2)'!FJ588</f>
        <v>1264.9568836681442</v>
      </c>
      <c r="FK65" s="44">
        <f>+'Drivers (2)'!FK588</f>
        <v>1256.7398515799712</v>
      </c>
      <c r="FL65" s="44">
        <f>+'Drivers (2)'!FL588</f>
        <v>1260.9744284070161</v>
      </c>
      <c r="FM65" s="44">
        <f>+'Drivers (2)'!FM588</f>
        <v>1265.4915938492809</v>
      </c>
    </row>
    <row r="66" spans="1:169" x14ac:dyDescent="0.3">
      <c r="A66" s="63" t="s">
        <v>50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44">
        <f>+Inputs!DU95</f>
        <v>3</v>
      </c>
      <c r="DV66" s="44">
        <f>+Inputs!DV95</f>
        <v>4</v>
      </c>
      <c r="DW66" s="44">
        <f>+Inputs!DW95</f>
        <v>3</v>
      </c>
      <c r="DX66" s="44">
        <f>+Inputs!DX95</f>
        <v>5</v>
      </c>
      <c r="DY66" s="58">
        <f t="shared" ref="DY66:DY81" si="148">+SUM(DU66:DX66)</f>
        <v>15</v>
      </c>
      <c r="DZ66" s="44">
        <f>+Inputs!DZ95</f>
        <v>1</v>
      </c>
      <c r="EA66" s="44">
        <f>+Inputs!EA95</f>
        <v>1</v>
      </c>
      <c r="EB66" s="44">
        <f>+Inputs!EB95</f>
        <v>1</v>
      </c>
      <c r="EC66" s="44">
        <f>+Inputs!EC95</f>
        <v>0</v>
      </c>
      <c r="ED66" s="58">
        <f>+SUM(DZ66:EC66)</f>
        <v>3</v>
      </c>
      <c r="EE66" s="44">
        <f>+Inputs!EE95</f>
        <v>-1</v>
      </c>
      <c r="EF66" s="44">
        <f>+Inputs!EF95</f>
        <v>0</v>
      </c>
      <c r="EG66" s="44">
        <f>+Inputs!EG95</f>
        <v>8</v>
      </c>
      <c r="EH66" s="44">
        <f>+Inputs!EH95</f>
        <v>10</v>
      </c>
      <c r="EI66" s="58">
        <f>+SUM(EE66:EH66)</f>
        <v>17</v>
      </c>
      <c r="EJ66" s="44">
        <f>+Inputs!EJ95</f>
        <v>15</v>
      </c>
      <c r="EK66" s="44">
        <f>+Inputs!EK95</f>
        <v>20</v>
      </c>
      <c r="EL66" s="44">
        <f>+Inputs!EL95</f>
        <v>19</v>
      </c>
      <c r="EM66" s="44">
        <f>+Inputs!EM95</f>
        <v>28</v>
      </c>
      <c r="EN66" s="58">
        <f>+SUM(EJ66:EM66)</f>
        <v>82</v>
      </c>
      <c r="EO66" s="44">
        <f>+Inputs!EO95</f>
        <v>24</v>
      </c>
      <c r="EP66" s="44">
        <f>+Inputs!EP95</f>
        <v>27</v>
      </c>
      <c r="EQ66" s="44">
        <f>+Inputs!EQ95</f>
        <v>30</v>
      </c>
      <c r="ER66" s="44">
        <f>+Inputs!ER95</f>
        <v>27</v>
      </c>
      <c r="ES66" s="58">
        <f>+SUM(EO66:ER66)</f>
        <v>108</v>
      </c>
      <c r="ET66" s="57">
        <f>ER66</f>
        <v>27</v>
      </c>
      <c r="EU66" s="57">
        <f t="shared" ref="EU66:EW66" si="149">+ET66</f>
        <v>27</v>
      </c>
      <c r="EV66" s="57">
        <f t="shared" si="149"/>
        <v>27</v>
      </c>
      <c r="EW66" s="57">
        <f t="shared" si="149"/>
        <v>27</v>
      </c>
      <c r="EX66" s="58">
        <f>+SUM(ET66:EW66)</f>
        <v>108</v>
      </c>
      <c r="EY66" s="57">
        <f>EW66</f>
        <v>27</v>
      </c>
      <c r="EZ66" s="57">
        <f t="shared" ref="EZ66" si="150">+EY66</f>
        <v>27</v>
      </c>
      <c r="FA66" s="57">
        <f t="shared" ref="FA66" si="151">+EZ66</f>
        <v>27</v>
      </c>
      <c r="FB66" s="57">
        <f t="shared" ref="FB66" si="152">+FA66</f>
        <v>27</v>
      </c>
      <c r="FC66" s="58">
        <f>+SUM(EY66:FB66)</f>
        <v>108</v>
      </c>
      <c r="FD66" s="57">
        <f>FB66</f>
        <v>27</v>
      </c>
      <c r="FE66" s="57">
        <f t="shared" ref="FE66" si="153">+FD66</f>
        <v>27</v>
      </c>
      <c r="FF66" s="57">
        <f t="shared" ref="FF66" si="154">+FE66</f>
        <v>27</v>
      </c>
      <c r="FG66" s="57">
        <f t="shared" ref="FG66" si="155">+FF66</f>
        <v>27</v>
      </c>
      <c r="FH66" s="58">
        <f>+SUM(FD66:FG66)</f>
        <v>108</v>
      </c>
      <c r="FI66" s="57">
        <f t="shared" ref="FI66:FM66" si="156">+FH66</f>
        <v>108</v>
      </c>
      <c r="FJ66" s="57">
        <f t="shared" si="156"/>
        <v>108</v>
      </c>
      <c r="FK66" s="57">
        <f t="shared" si="156"/>
        <v>108</v>
      </c>
      <c r="FL66" s="57">
        <f t="shared" si="156"/>
        <v>108</v>
      </c>
      <c r="FM66" s="57">
        <f t="shared" si="156"/>
        <v>108</v>
      </c>
    </row>
    <row r="67" spans="1:169" x14ac:dyDescent="0.3">
      <c r="A67" s="63" t="s">
        <v>51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44">
        <f>Inputs!DU93</f>
        <v>20</v>
      </c>
      <c r="DV67" s="44">
        <f>Inputs!DV93</f>
        <v>19</v>
      </c>
      <c r="DW67" s="44">
        <f>Inputs!DW93</f>
        <v>20</v>
      </c>
      <c r="DX67" s="44">
        <f>Inputs!DX93</f>
        <v>19</v>
      </c>
      <c r="DY67" s="58">
        <f t="shared" si="148"/>
        <v>78</v>
      </c>
      <c r="DZ67" s="44">
        <f>Inputs!DZ93</f>
        <v>23</v>
      </c>
      <c r="EA67" s="44">
        <f>Inputs!EA93</f>
        <v>23</v>
      </c>
      <c r="EB67" s="44">
        <f>Inputs!EB93</f>
        <v>24</v>
      </c>
      <c r="EC67" s="44">
        <f>Inputs!EC93</f>
        <v>20</v>
      </c>
      <c r="ED67" s="58">
        <f>+SUM(DZ67:EC67)</f>
        <v>90</v>
      </c>
      <c r="EE67" s="44">
        <f>Inputs!EE93</f>
        <v>23</v>
      </c>
      <c r="EF67" s="44">
        <f>Inputs!EF93</f>
        <v>21</v>
      </c>
      <c r="EG67" s="44">
        <f>Inputs!EG93</f>
        <v>18</v>
      </c>
      <c r="EH67" s="44">
        <f>Inputs!EH93</f>
        <v>19</v>
      </c>
      <c r="EI67" s="58">
        <f>+SUM(EE67:EH67)</f>
        <v>81</v>
      </c>
      <c r="EJ67" s="44">
        <f>Inputs!EJ93</f>
        <v>19</v>
      </c>
      <c r="EK67" s="44">
        <f>Inputs!EK93</f>
        <v>18</v>
      </c>
      <c r="EL67" s="44">
        <f>Inputs!EL93</f>
        <v>13</v>
      </c>
      <c r="EM67" s="44">
        <f>Inputs!EM93</f>
        <v>11</v>
      </c>
      <c r="EN67" s="58">
        <f>+SUM(EJ67:EM67)</f>
        <v>61</v>
      </c>
      <c r="EO67" s="44">
        <f>Inputs!EO93</f>
        <v>11</v>
      </c>
      <c r="EP67" s="44">
        <f>Inputs!EP93</f>
        <v>11</v>
      </c>
      <c r="EQ67" s="44">
        <f>Inputs!EQ93</f>
        <v>9</v>
      </c>
      <c r="ER67" s="44">
        <f>Inputs!ER93</f>
        <v>10</v>
      </c>
      <c r="ES67" s="58">
        <f>+SUM(EO67:ER67)</f>
        <v>41</v>
      </c>
      <c r="ET67" s="363">
        <f>EO67</f>
        <v>11</v>
      </c>
      <c r="EU67" s="363">
        <f t="shared" ref="EU67:EV67" si="157">EP67</f>
        <v>11</v>
      </c>
      <c r="EV67" s="363">
        <f t="shared" si="157"/>
        <v>9</v>
      </c>
      <c r="EW67" s="363">
        <f>EX67-SUM(ET67:EV67)</f>
        <v>9</v>
      </c>
      <c r="EX67" s="1342">
        <v>40</v>
      </c>
      <c r="EY67" s="363">
        <f>ET67</f>
        <v>11</v>
      </c>
      <c r="EZ67" s="363">
        <f t="shared" ref="EZ67" si="158">EU67</f>
        <v>11</v>
      </c>
      <c r="FA67" s="363">
        <f t="shared" ref="FA67" si="159">EV67</f>
        <v>9</v>
      </c>
      <c r="FB67" s="363">
        <f>FC67-SUM(EY67:FA67)</f>
        <v>9</v>
      </c>
      <c r="FC67" s="1342">
        <v>40</v>
      </c>
      <c r="FD67" s="363">
        <f>EY67</f>
        <v>11</v>
      </c>
      <c r="FE67" s="363">
        <f t="shared" ref="FE67" si="160">EZ67</f>
        <v>11</v>
      </c>
      <c r="FF67" s="363">
        <f t="shared" ref="FF67" si="161">FA67</f>
        <v>9</v>
      </c>
      <c r="FG67" s="363">
        <f>FH67-SUM(FD67:FF67)</f>
        <v>9</v>
      </c>
      <c r="FH67" s="1342">
        <v>40</v>
      </c>
      <c r="FI67" s="363">
        <f t="shared" ref="FI67:FM67" si="162">FH67</f>
        <v>40</v>
      </c>
      <c r="FJ67" s="363">
        <f t="shared" si="162"/>
        <v>40</v>
      </c>
      <c r="FK67" s="363">
        <f t="shared" si="162"/>
        <v>40</v>
      </c>
      <c r="FL67" s="363">
        <f t="shared" si="162"/>
        <v>40</v>
      </c>
      <c r="FM67" s="363">
        <f t="shared" si="162"/>
        <v>40</v>
      </c>
    </row>
    <row r="68" spans="1:169" x14ac:dyDescent="0.3">
      <c r="A68" s="63" t="s">
        <v>52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59">
        <f>+DU61-DU69-SUM(DU65:DU67)</f>
        <v>27</v>
      </c>
      <c r="DV68" s="59">
        <f t="shared" ref="DV68:EA68" si="163">+DV61-DV69-SUM(DV65:DV67)</f>
        <v>5864</v>
      </c>
      <c r="DW68" s="59">
        <f t="shared" si="163"/>
        <v>333</v>
      </c>
      <c r="DX68" s="59">
        <f t="shared" si="163"/>
        <v>109</v>
      </c>
      <c r="DY68" s="58">
        <f t="shared" si="148"/>
        <v>6333</v>
      </c>
      <c r="DZ68" s="59">
        <f t="shared" si="163"/>
        <v>72</v>
      </c>
      <c r="EA68" s="59">
        <f t="shared" si="163"/>
        <v>171</v>
      </c>
      <c r="EB68" s="59">
        <f>+EB61-EB69-SUM(EB65:EB67)</f>
        <v>3</v>
      </c>
      <c r="EC68" s="59">
        <f>+EC61-EC69-SUM(EC65:EC67)</f>
        <v>2</v>
      </c>
      <c r="ED68" s="58">
        <f>+SUM(DZ68:EC68)</f>
        <v>248</v>
      </c>
      <c r="EE68" s="59">
        <f>+EE61-EE69-SUM(EE65:EE67)</f>
        <v>2</v>
      </c>
      <c r="EF68" s="59">
        <f>+EF61-EF69-SUM(EF65:EF67)</f>
        <v>16</v>
      </c>
      <c r="EG68" s="59">
        <f>+EG61-EG69-SUM(EG65:EG67)</f>
        <v>4</v>
      </c>
      <c r="EH68" s="59">
        <f>+EH61-EH69-SUM(EH65:EH67)</f>
        <v>2</v>
      </c>
      <c r="EI68" s="58">
        <f>+SUM(EE68:EH68)</f>
        <v>24</v>
      </c>
      <c r="EJ68" s="59">
        <f>+EJ61-EJ69-SUM(EJ65:EJ67)</f>
        <v>70</v>
      </c>
      <c r="EK68" s="59">
        <f>+EK61-EK69-SUM(EK65:EK67)</f>
        <v>41</v>
      </c>
      <c r="EL68" s="59">
        <f>+EL61-EL69-SUM(EL65:EL67)</f>
        <v>11</v>
      </c>
      <c r="EM68" s="59">
        <f>+EM61-EM69-SUM(EM65:EM67)</f>
        <v>41</v>
      </c>
      <c r="EN68" s="58">
        <f>+SUM(EJ68:EM68)</f>
        <v>163</v>
      </c>
      <c r="EO68" s="59">
        <f>+EO61-EO69-SUM(EO65:EO67)</f>
        <v>11</v>
      </c>
      <c r="EP68" s="59">
        <f>+EP61-EP69-SUM(EP65:EP67)</f>
        <v>26</v>
      </c>
      <c r="EQ68" s="59">
        <f>+EQ61-EQ69-SUM(EQ65:EQ67)</f>
        <v>17</v>
      </c>
      <c r="ER68" s="59">
        <f>+ER61-ER69-SUM(ER65:ER67)</f>
        <v>17</v>
      </c>
      <c r="ES68" s="58">
        <f>+SUM(EO68:ER68)</f>
        <v>71</v>
      </c>
      <c r="ET68" s="57">
        <v>0</v>
      </c>
      <c r="EU68" s="57">
        <v>0</v>
      </c>
      <c r="EV68" s="57">
        <v>0</v>
      </c>
      <c r="EW68" s="57">
        <v>0</v>
      </c>
      <c r="EX68" s="58">
        <f>+SUM(ET68:EW68)</f>
        <v>0</v>
      </c>
      <c r="EY68" s="57">
        <v>0</v>
      </c>
      <c r="EZ68" s="57">
        <v>0</v>
      </c>
      <c r="FA68" s="57">
        <v>0</v>
      </c>
      <c r="FB68" s="57">
        <v>0</v>
      </c>
      <c r="FC68" s="58">
        <f>+SUM(EY68:FB68)</f>
        <v>0</v>
      </c>
      <c r="FD68" s="57">
        <v>0</v>
      </c>
      <c r="FE68" s="57">
        <v>0</v>
      </c>
      <c r="FF68" s="57">
        <v>0</v>
      </c>
      <c r="FG68" s="57">
        <v>0</v>
      </c>
      <c r="FH68" s="58">
        <f>+SUM(FD68:FG68)</f>
        <v>0</v>
      </c>
      <c r="FI68" s="57">
        <v>0</v>
      </c>
      <c r="FJ68" s="57">
        <v>0</v>
      </c>
      <c r="FK68" s="57">
        <v>0</v>
      </c>
      <c r="FL68" s="57">
        <v>0</v>
      </c>
      <c r="FM68" s="57">
        <v>0</v>
      </c>
    </row>
    <row r="69" spans="1:169" x14ac:dyDescent="0.3">
      <c r="A69" s="4" t="s">
        <v>53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784">
        <f>+Inputs!DU59</f>
        <v>339</v>
      </c>
      <c r="DV69" s="1784">
        <f>+Inputs!DV59</f>
        <v>-5459</v>
      </c>
      <c r="DW69" s="1784">
        <f>+Inputs!DW59</f>
        <v>26</v>
      </c>
      <c r="DX69" s="1784">
        <f>+Inputs!DX59</f>
        <v>221</v>
      </c>
      <c r="DY69" s="1783">
        <f t="shared" si="148"/>
        <v>-4873</v>
      </c>
      <c r="DZ69" s="1784">
        <f>+Inputs!DZ59</f>
        <v>272</v>
      </c>
      <c r="EA69" s="1784">
        <f>+Inputs!EA59</f>
        <v>140</v>
      </c>
      <c r="EB69" s="1784">
        <f>+Inputs!EB59</f>
        <v>270</v>
      </c>
      <c r="EC69" s="1784">
        <f>+Inputs!EC59</f>
        <v>277</v>
      </c>
      <c r="ED69" s="1783">
        <f>+SUM(DZ69:EC69)</f>
        <v>959</v>
      </c>
      <c r="EE69" s="1784">
        <f>+Inputs!EE59</f>
        <v>259</v>
      </c>
      <c r="EF69" s="1784">
        <f>+Inputs!EF59</f>
        <v>298</v>
      </c>
      <c r="EG69" s="1784">
        <f>+Inputs!EG59</f>
        <v>284</v>
      </c>
      <c r="EH69" s="1784">
        <f>+Inputs!EH59</f>
        <v>272</v>
      </c>
      <c r="EI69" s="1783">
        <f>+SUM(EE69:EH69)</f>
        <v>1113</v>
      </c>
      <c r="EJ69" s="1784">
        <f>+Inputs!EJ59</f>
        <v>121</v>
      </c>
      <c r="EK69" s="1784">
        <f>+Inputs!EK59</f>
        <v>166</v>
      </c>
      <c r="EL69" s="1784">
        <f>+Inputs!EL59</f>
        <v>169</v>
      </c>
      <c r="EM69" s="1784">
        <f>+Inputs!EM59</f>
        <v>136</v>
      </c>
      <c r="EN69" s="1783">
        <f>+SUM(EJ69:EM69)</f>
        <v>592</v>
      </c>
      <c r="EO69" s="1784">
        <f>+Inputs!EO59</f>
        <v>143</v>
      </c>
      <c r="EP69" s="1784">
        <f>+Inputs!EP59</f>
        <v>115</v>
      </c>
      <c r="EQ69" s="1784">
        <f>+Inputs!EQ59</f>
        <v>114</v>
      </c>
      <c r="ER69" s="1784">
        <f>+Inputs!ER59</f>
        <v>120</v>
      </c>
      <c r="ES69" s="1783">
        <f>+SUM(EO69:ER69)</f>
        <v>492</v>
      </c>
      <c r="ET69" s="858">
        <f t="shared" ref="ET69:EW69" si="164">+ET61-SUM(ET65:ET68)</f>
        <v>97.631934728226724</v>
      </c>
      <c r="EU69" s="858">
        <f t="shared" si="164"/>
        <v>99.278814185124304</v>
      </c>
      <c r="EV69" s="858">
        <f t="shared" si="164"/>
        <v>119.65019987817084</v>
      </c>
      <c r="EW69" s="858">
        <f t="shared" si="164"/>
        <v>178.9984351443141</v>
      </c>
      <c r="EX69" s="1783">
        <f>+SUM(ET69:EW69)</f>
        <v>495.55938393583597</v>
      </c>
      <c r="EY69" s="858">
        <f t="shared" ref="EY69:FB69" si="165">+EY61-SUM(EY65:EY68)</f>
        <v>155.00325931304394</v>
      </c>
      <c r="EZ69" s="858">
        <f t="shared" si="165"/>
        <v>172.72159219770231</v>
      </c>
      <c r="FA69" s="858">
        <f t="shared" si="165"/>
        <v>190.1435248201513</v>
      </c>
      <c r="FB69" s="858">
        <f t="shared" si="165"/>
        <v>284.24575897934068</v>
      </c>
      <c r="FC69" s="1783">
        <f>+SUM(EY69:FB69)</f>
        <v>802.11413531023823</v>
      </c>
      <c r="FD69" s="858">
        <f t="shared" ref="FD69:FG69" si="166">+FD61-SUM(FD65:FD68)</f>
        <v>252.54600355629572</v>
      </c>
      <c r="FE69" s="858">
        <f t="shared" si="166"/>
        <v>278.88210526916612</v>
      </c>
      <c r="FF69" s="858">
        <f t="shared" si="166"/>
        <v>292.44451610513141</v>
      </c>
      <c r="FG69" s="858">
        <f t="shared" si="166"/>
        <v>357.51120138670387</v>
      </c>
      <c r="FH69" s="1783">
        <f>+SUM(FD69:FG69)</f>
        <v>1181.383826317297</v>
      </c>
      <c r="FI69" s="858">
        <f t="shared" ref="FI69:FL69" si="167">+FI61-SUM(FI65:FI68)</f>
        <v>1509.3786281299697</v>
      </c>
      <c r="FJ69" s="858">
        <f t="shared" si="167"/>
        <v>1817.7990645352825</v>
      </c>
      <c r="FK69" s="858">
        <f t="shared" si="167"/>
        <v>2105.1696670698848</v>
      </c>
      <c r="FL69" s="858">
        <f t="shared" si="167"/>
        <v>2365.2823712825898</v>
      </c>
      <c r="FM69" s="858">
        <f>+FM61-SUM(FM65:FM68)</f>
        <v>2605.6151334749334</v>
      </c>
    </row>
    <row r="70" spans="1:169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59"/>
      <c r="DV70" s="1"/>
      <c r="DW70" s="1"/>
      <c r="DX70" s="1"/>
      <c r="DY70" s="4"/>
      <c r="DZ70" s="1"/>
      <c r="EA70" s="1"/>
      <c r="EB70" s="1"/>
      <c r="EC70" s="1"/>
      <c r="ED70" s="4"/>
      <c r="EE70" s="1"/>
      <c r="EF70" s="1"/>
      <c r="EG70" s="1"/>
      <c r="EH70" s="1"/>
      <c r="EI70" s="4"/>
      <c r="EJ70" s="1"/>
      <c r="EK70" s="1"/>
      <c r="EL70" s="1"/>
      <c r="EM70" s="1"/>
      <c r="EN70" s="58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</row>
    <row r="71" spans="1:169" x14ac:dyDescent="0.3">
      <c r="A71" s="1" t="s">
        <v>54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44">
        <f>+Inputs!DU61*-1</f>
        <v>9</v>
      </c>
      <c r="DV71" s="44">
        <f>+Inputs!DV61*-1</f>
        <v>9</v>
      </c>
      <c r="DW71" s="44">
        <f>+Inputs!DW61*-1</f>
        <v>10</v>
      </c>
      <c r="DX71" s="44">
        <f>+Inputs!DX61*-1</f>
        <v>9</v>
      </c>
      <c r="DY71" s="58">
        <f t="shared" si="148"/>
        <v>37</v>
      </c>
      <c r="DZ71" s="44">
        <f>+Inputs!DZ61*-1</f>
        <v>-5</v>
      </c>
      <c r="EA71" s="44">
        <f>+Inputs!EA61*-1</f>
        <v>20</v>
      </c>
      <c r="EB71" s="44">
        <f>+Inputs!EB61*-1</f>
        <v>14</v>
      </c>
      <c r="EC71" s="44">
        <f>+Inputs!EC61*-1</f>
        <v>14</v>
      </c>
      <c r="ED71" s="58">
        <f t="shared" ref="ED71:ED79" si="168">+SUM(DZ71:EC71)</f>
        <v>43</v>
      </c>
      <c r="EE71" s="44">
        <f>+Inputs!EE61*-1</f>
        <v>-2</v>
      </c>
      <c r="EF71" s="44">
        <f>+Inputs!EF61*-1</f>
        <v>3</v>
      </c>
      <c r="EG71" s="44">
        <f>+Inputs!EG61*-1</f>
        <v>37</v>
      </c>
      <c r="EH71" s="44">
        <f>+Inputs!EH61*-1</f>
        <v>-34</v>
      </c>
      <c r="EI71" s="58">
        <f t="shared" ref="EI71:EI81" si="169">+SUM(EE71:EH71)</f>
        <v>4</v>
      </c>
      <c r="EJ71" s="44">
        <f>+Inputs!EJ61*-1</f>
        <v>-77</v>
      </c>
      <c r="EK71" s="44">
        <f>+Inputs!EK61*-1</f>
        <v>-122</v>
      </c>
      <c r="EL71" s="44">
        <f>+Inputs!EL61*-1</f>
        <v>-211</v>
      </c>
      <c r="EM71" s="44">
        <f>+Inputs!EM61*-1</f>
        <v>-144</v>
      </c>
      <c r="EN71" s="58">
        <f t="shared" ref="EN71:EN81" si="170">+SUM(EJ71:EM71)</f>
        <v>-554</v>
      </c>
      <c r="EO71" s="44">
        <f>+Inputs!EO61*-1</f>
        <v>-2</v>
      </c>
      <c r="EP71" s="44">
        <f>+Inputs!EP61*-1</f>
        <v>-32</v>
      </c>
      <c r="EQ71" s="44">
        <f>+Inputs!EQ61*-1</f>
        <v>-67</v>
      </c>
      <c r="ER71" s="44">
        <f>+Inputs!ER61*-1</f>
        <v>-177</v>
      </c>
      <c r="ES71" s="58">
        <f t="shared" ref="ES71:ES74" si="171">+SUM(EO71:ER71)</f>
        <v>-278</v>
      </c>
      <c r="ET71" s="57">
        <v>0</v>
      </c>
      <c r="EU71" s="57">
        <v>0</v>
      </c>
      <c r="EV71" s="57">
        <v>0</v>
      </c>
      <c r="EW71" s="57">
        <v>0</v>
      </c>
      <c r="EX71" s="58">
        <f t="shared" ref="EX71:EX74" si="172">+SUM(ET71:EW71)</f>
        <v>0</v>
      </c>
      <c r="EY71" s="57">
        <v>0</v>
      </c>
      <c r="EZ71" s="57">
        <v>0</v>
      </c>
      <c r="FA71" s="57">
        <v>0</v>
      </c>
      <c r="FB71" s="57">
        <v>0</v>
      </c>
      <c r="FC71" s="58">
        <f t="shared" ref="FC71:FC74" si="173">+SUM(EY71:FB71)</f>
        <v>0</v>
      </c>
      <c r="FD71" s="57">
        <v>0</v>
      </c>
      <c r="FE71" s="57">
        <v>0</v>
      </c>
      <c r="FF71" s="57">
        <v>0</v>
      </c>
      <c r="FG71" s="57">
        <v>0</v>
      </c>
      <c r="FH71" s="58">
        <f t="shared" ref="FH71:FH74" si="174">+SUM(FD71:FG71)</f>
        <v>0</v>
      </c>
      <c r="FI71" s="57">
        <v>0</v>
      </c>
      <c r="FJ71" s="57">
        <v>0</v>
      </c>
      <c r="FK71" s="57">
        <v>0</v>
      </c>
      <c r="FL71" s="57">
        <v>0</v>
      </c>
      <c r="FM71" s="57">
        <v>0</v>
      </c>
    </row>
    <row r="72" spans="1:169" x14ac:dyDescent="0.3">
      <c r="A72" s="1" t="s">
        <v>55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44">
        <f>+SUM(Inputs!DU62:DU64)*-1</f>
        <v>20</v>
      </c>
      <c r="DV72" s="44">
        <f>+SUM(Inputs!DV62:DV64)*-1</f>
        <v>0</v>
      </c>
      <c r="DW72" s="44">
        <f>+SUM(Inputs!DW62:DW64)*-1</f>
        <v>0</v>
      </c>
      <c r="DX72" s="44">
        <f>+SUM(Inputs!DX62:DX64)*-1</f>
        <v>57</v>
      </c>
      <c r="DY72" s="58">
        <f t="shared" si="148"/>
        <v>77</v>
      </c>
      <c r="DZ72" s="44">
        <f>+SUM(Inputs!DZ62:DZ64)*-1</f>
        <v>103</v>
      </c>
      <c r="EA72" s="44">
        <f>+SUM(Inputs!EA62:EA64)*-1</f>
        <v>198</v>
      </c>
      <c r="EB72" s="44">
        <f>+SUM(Inputs!EB62:EB64)*-1</f>
        <v>131</v>
      </c>
      <c r="EC72" s="44">
        <f>+SUM(Inputs!EC62:EC64)*-1</f>
        <v>208</v>
      </c>
      <c r="ED72" s="58">
        <f t="shared" si="168"/>
        <v>640</v>
      </c>
      <c r="EE72" s="44">
        <f>+SUM(Inputs!EE62:EE64)*-1</f>
        <v>25</v>
      </c>
      <c r="EF72" s="44">
        <f>+SUM(Inputs!EF62:EF64)*-1</f>
        <v>-4196</v>
      </c>
      <c r="EG72" s="44">
        <f>+SUM(Inputs!EG62:EG64)*-1</f>
        <v>0</v>
      </c>
      <c r="EH72" s="44">
        <f>+SUM(Inputs!EH62:EH64)*-1</f>
        <v>0</v>
      </c>
      <c r="EI72" s="58">
        <f t="shared" si="169"/>
        <v>-4171</v>
      </c>
      <c r="EJ72" s="44">
        <f>+SUM(Inputs!EJ62:EJ64)*-1</f>
        <v>0</v>
      </c>
      <c r="EK72" s="44">
        <f>+SUM(Inputs!EK62:EK64)*-1</f>
        <v>0</v>
      </c>
      <c r="EL72" s="44">
        <f>+SUM(Inputs!EL62:EL64)*-1</f>
        <v>50</v>
      </c>
      <c r="EM72" s="44">
        <f>+SUM(Inputs!EM62:EM64)*-1</f>
        <v>5</v>
      </c>
      <c r="EN72" s="58">
        <f t="shared" si="170"/>
        <v>55</v>
      </c>
      <c r="EO72" s="44">
        <f>+SUM(Inputs!EO62:EO64)*-1</f>
        <v>0</v>
      </c>
      <c r="EP72" s="44">
        <f>+SUM(Inputs!EP62:EP64)*-1</f>
        <v>0</v>
      </c>
      <c r="EQ72" s="44">
        <f>+SUM(Inputs!EQ62:EQ64)*-1</f>
        <v>0</v>
      </c>
      <c r="ER72" s="44">
        <f>+SUM(Inputs!ER62:ER64)*-1</f>
        <v>0</v>
      </c>
      <c r="ES72" s="58">
        <f t="shared" si="171"/>
        <v>0</v>
      </c>
      <c r="ET72" s="57">
        <v>0</v>
      </c>
      <c r="EU72" s="57">
        <v>0</v>
      </c>
      <c r="EV72" s="57">
        <v>0</v>
      </c>
      <c r="EW72" s="57">
        <v>0</v>
      </c>
      <c r="EX72" s="58">
        <f t="shared" si="172"/>
        <v>0</v>
      </c>
      <c r="EY72" s="57">
        <v>0</v>
      </c>
      <c r="EZ72" s="57">
        <v>0</v>
      </c>
      <c r="FA72" s="57">
        <v>0</v>
      </c>
      <c r="FB72" s="57">
        <v>0</v>
      </c>
      <c r="FC72" s="58">
        <f t="shared" si="173"/>
        <v>0</v>
      </c>
      <c r="FD72" s="57">
        <v>0</v>
      </c>
      <c r="FE72" s="57">
        <v>0</v>
      </c>
      <c r="FF72" s="57">
        <v>0</v>
      </c>
      <c r="FG72" s="57">
        <v>0</v>
      </c>
      <c r="FH72" s="58">
        <f t="shared" si="174"/>
        <v>0</v>
      </c>
      <c r="FI72" s="57">
        <f t="shared" ref="FI72:FM72" si="175">+FH72</f>
        <v>0</v>
      </c>
      <c r="FJ72" s="57">
        <f t="shared" si="175"/>
        <v>0</v>
      </c>
      <c r="FK72" s="57">
        <f t="shared" si="175"/>
        <v>0</v>
      </c>
      <c r="FL72" s="57">
        <f t="shared" si="175"/>
        <v>0</v>
      </c>
      <c r="FM72" s="57">
        <f t="shared" si="175"/>
        <v>0</v>
      </c>
    </row>
    <row r="73" spans="1:169" x14ac:dyDescent="0.3">
      <c r="A73" s="1" t="s">
        <v>56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44">
        <f>+Inputs!DU65*-1</f>
        <v>379</v>
      </c>
      <c r="DV73" s="44">
        <f>+Inputs!DV65*-1</f>
        <v>383</v>
      </c>
      <c r="DW73" s="44">
        <f>+Inputs!DW65*-1</f>
        <v>382</v>
      </c>
      <c r="DX73" s="44">
        <f>+Inputs!DX65*-1</f>
        <v>391</v>
      </c>
      <c r="DY73" s="58">
        <f t="shared" si="148"/>
        <v>1535</v>
      </c>
      <c r="DZ73" s="44">
        <f>+Inputs!DZ65*-1</f>
        <v>383</v>
      </c>
      <c r="EA73" s="44">
        <f>+Inputs!EA65*-1</f>
        <v>160</v>
      </c>
      <c r="EB73" s="44">
        <f>+Inputs!EB65*-1</f>
        <v>121</v>
      </c>
      <c r="EC73" s="44">
        <f>+Inputs!EC65*-1</f>
        <v>98</v>
      </c>
      <c r="ED73" s="60">
        <f t="shared" si="168"/>
        <v>762</v>
      </c>
      <c r="EE73" s="44">
        <f>+Inputs!EE65*-1</f>
        <v>89</v>
      </c>
      <c r="EF73" s="44">
        <f>+Inputs!EF65*-1</f>
        <v>91</v>
      </c>
      <c r="EG73" s="44">
        <f>+Inputs!EG65*-1</f>
        <v>90</v>
      </c>
      <c r="EH73" s="44">
        <f>+Inputs!EH65*-1</f>
        <v>105</v>
      </c>
      <c r="EI73" s="60">
        <f t="shared" si="169"/>
        <v>375</v>
      </c>
      <c r="EJ73" s="44">
        <f>+Inputs!EJ65*-1</f>
        <v>103</v>
      </c>
      <c r="EK73" s="44">
        <f>+Inputs!EK65*-1</f>
        <v>118</v>
      </c>
      <c r="EL73" s="44">
        <f>+Inputs!EL65*-1</f>
        <v>135</v>
      </c>
      <c r="EM73" s="44">
        <f>+Inputs!EM65*-1</f>
        <v>136</v>
      </c>
      <c r="EN73" s="60">
        <f t="shared" si="170"/>
        <v>492</v>
      </c>
      <c r="EO73" s="44">
        <f>+Inputs!EO65*-1</f>
        <v>141</v>
      </c>
      <c r="EP73" s="44">
        <f>+Inputs!EP65*-1</f>
        <v>149</v>
      </c>
      <c r="EQ73" s="44">
        <f>+Inputs!EQ65*-1</f>
        <v>170</v>
      </c>
      <c r="ER73" s="44">
        <f>+Inputs!ER65*-1</f>
        <v>193</v>
      </c>
      <c r="ES73" s="60">
        <f t="shared" si="171"/>
        <v>653</v>
      </c>
      <c r="ET73" s="183">
        <f t="shared" ref="ET73:EW73" si="176">ET207</f>
        <v>184.94083333333333</v>
      </c>
      <c r="EU73" s="183">
        <f t="shared" si="176"/>
        <v>184.94083333333333</v>
      </c>
      <c r="EV73" s="183">
        <f t="shared" si="176"/>
        <v>184.94083333333333</v>
      </c>
      <c r="EW73" s="183">
        <f t="shared" si="176"/>
        <v>184.94083333333333</v>
      </c>
      <c r="EX73" s="60">
        <f t="shared" si="172"/>
        <v>739.76333333333332</v>
      </c>
      <c r="EY73" s="183">
        <f t="shared" ref="EY73:FB73" si="177">EY207</f>
        <v>184.94083333333333</v>
      </c>
      <c r="EZ73" s="183">
        <f t="shared" si="177"/>
        <v>184.94083333333333</v>
      </c>
      <c r="FA73" s="183">
        <f t="shared" si="177"/>
        <v>216.81583333333333</v>
      </c>
      <c r="FB73" s="183">
        <f t="shared" si="177"/>
        <v>216.81583333333333</v>
      </c>
      <c r="FC73" s="60">
        <f t="shared" si="173"/>
        <v>803.51333333333332</v>
      </c>
      <c r="FD73" s="183">
        <f t="shared" ref="FD73:FM73" si="178">FD207</f>
        <v>200.87833333333333</v>
      </c>
      <c r="FE73" s="183">
        <f t="shared" si="178"/>
        <v>200.87833333333333</v>
      </c>
      <c r="FF73" s="183">
        <f t="shared" si="178"/>
        <v>216.81583333333333</v>
      </c>
      <c r="FG73" s="183">
        <f t="shared" si="178"/>
        <v>216.81583333333333</v>
      </c>
      <c r="FH73" s="60">
        <f t="shared" si="174"/>
        <v>835.38833333333332</v>
      </c>
      <c r="FI73" s="183">
        <f t="shared" si="178"/>
        <v>838.94849166666677</v>
      </c>
      <c r="FJ73" s="183">
        <f t="shared" si="178"/>
        <v>833.37349166666672</v>
      </c>
      <c r="FK73" s="183">
        <f t="shared" si="178"/>
        <v>940.24232613041715</v>
      </c>
      <c r="FL73" s="183">
        <f t="shared" si="178"/>
        <v>956.93881751841332</v>
      </c>
      <c r="FM73" s="183">
        <f t="shared" si="178"/>
        <v>1023.7617025873947</v>
      </c>
    </row>
    <row r="74" spans="1:169" x14ac:dyDescent="0.3">
      <c r="A74" s="4" t="s">
        <v>57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783">
        <f>+DU69-SUM(DU71:DU73)</f>
        <v>-69</v>
      </c>
      <c r="DV74" s="1783">
        <f t="shared" ref="DV74:EA74" si="179">+DV69-SUM(DV71:DV73)</f>
        <v>-5851</v>
      </c>
      <c r="DW74" s="1783">
        <f t="shared" si="179"/>
        <v>-366</v>
      </c>
      <c r="DX74" s="1783">
        <f t="shared" si="179"/>
        <v>-236</v>
      </c>
      <c r="DY74" s="1783">
        <f t="shared" si="148"/>
        <v>-6522</v>
      </c>
      <c r="DZ74" s="1783">
        <f t="shared" si="179"/>
        <v>-209</v>
      </c>
      <c r="EA74" s="1783">
        <f t="shared" si="179"/>
        <v>-238</v>
      </c>
      <c r="EB74" s="1783">
        <f>+EB69-SUM(EB71:EB73)</f>
        <v>4</v>
      </c>
      <c r="EC74" s="1783">
        <f>+EC69-SUM(EC71:EC73)</f>
        <v>-43</v>
      </c>
      <c r="ED74" s="1783">
        <f t="shared" si="168"/>
        <v>-486</v>
      </c>
      <c r="EE74" s="1783">
        <f>+EE69-SUM(EE71:EE73)</f>
        <v>147</v>
      </c>
      <c r="EF74" s="1783">
        <f>+EF69-SUM(EF71:EF73)</f>
        <v>4400</v>
      </c>
      <c r="EG74" s="1783">
        <f>+EG69-SUM(EG71:EG73)</f>
        <v>157</v>
      </c>
      <c r="EH74" s="1783">
        <f>+EH69-SUM(EH71:EH73)</f>
        <v>201</v>
      </c>
      <c r="EI74" s="1783">
        <f t="shared" si="169"/>
        <v>4905</v>
      </c>
      <c r="EJ74" s="1783">
        <f>+EJ69-SUM(EJ71:EJ73)</f>
        <v>95</v>
      </c>
      <c r="EK74" s="1783">
        <f>+EK69-SUM(EK71:EK73)</f>
        <v>170</v>
      </c>
      <c r="EL74" s="1783">
        <f>+EL69-SUM(EL71:EL73)</f>
        <v>195</v>
      </c>
      <c r="EM74" s="1783">
        <f>+EM69-SUM(EM71:EM73)</f>
        <v>139</v>
      </c>
      <c r="EN74" s="1783">
        <f t="shared" si="170"/>
        <v>599</v>
      </c>
      <c r="EO74" s="1783">
        <f>+EO69-SUM(EO71:EO73)</f>
        <v>4</v>
      </c>
      <c r="EP74" s="1783">
        <f>+EP69-SUM(EP71:EP73)</f>
        <v>-2</v>
      </c>
      <c r="EQ74" s="1783">
        <f>+EQ69-SUM(EQ71:EQ73)</f>
        <v>11</v>
      </c>
      <c r="ER74" s="1783">
        <f>+ER69-SUM(ER71:ER73)</f>
        <v>104</v>
      </c>
      <c r="ES74" s="1783">
        <f t="shared" si="171"/>
        <v>117</v>
      </c>
      <c r="ET74" s="1783">
        <f t="shared" ref="ET74:EW74" si="180">+ET69-SUM(ET71:ET73)</f>
        <v>-87.308898605106606</v>
      </c>
      <c r="EU74" s="1783">
        <f t="shared" si="180"/>
        <v>-85.662019148209026</v>
      </c>
      <c r="EV74" s="1783">
        <f t="shared" si="180"/>
        <v>-65.290633455162492</v>
      </c>
      <c r="EW74" s="1783">
        <f t="shared" si="180"/>
        <v>-5.9423981890192294</v>
      </c>
      <c r="EX74" s="1783">
        <f t="shared" si="172"/>
        <v>-244.20394939749735</v>
      </c>
      <c r="EY74" s="1783">
        <f t="shared" ref="EY74:FB74" si="181">+EY69-SUM(EY71:EY73)</f>
        <v>-29.937574020289389</v>
      </c>
      <c r="EZ74" s="1783">
        <f t="shared" si="181"/>
        <v>-12.219241135631023</v>
      </c>
      <c r="FA74" s="1783">
        <f t="shared" si="181"/>
        <v>-26.672308513182031</v>
      </c>
      <c r="FB74" s="1783">
        <f t="shared" si="181"/>
        <v>67.429925646007348</v>
      </c>
      <c r="FC74" s="1783">
        <f t="shared" si="173"/>
        <v>-1.3991980230950958</v>
      </c>
      <c r="FD74" s="1783">
        <f t="shared" ref="FD74:FL74" si="182">+FD69-SUM(FD71:FD73)</f>
        <v>51.667670222962386</v>
      </c>
      <c r="FE74" s="1783">
        <f t="shared" si="182"/>
        <v>78.003771935832788</v>
      </c>
      <c r="FF74" s="1783">
        <f t="shared" si="182"/>
        <v>75.628682771798083</v>
      </c>
      <c r="FG74" s="1783">
        <f t="shared" si="182"/>
        <v>140.69536805337054</v>
      </c>
      <c r="FH74" s="1783">
        <f t="shared" si="174"/>
        <v>345.9954929839638</v>
      </c>
      <c r="FI74" s="1783">
        <f t="shared" si="182"/>
        <v>670.43013646330292</v>
      </c>
      <c r="FJ74" s="1783">
        <f t="shared" si="182"/>
        <v>984.42557286861575</v>
      </c>
      <c r="FK74" s="1783">
        <f t="shared" si="182"/>
        <v>1164.9273409394677</v>
      </c>
      <c r="FL74" s="1783">
        <f t="shared" si="182"/>
        <v>1408.3435537641765</v>
      </c>
      <c r="FM74" s="1783">
        <f>+FM69-SUM(FM71:FM73)</f>
        <v>1581.8534308875387</v>
      </c>
    </row>
    <row r="75" spans="1:169" x14ac:dyDescent="0.3">
      <c r="A75" s="1" t="s">
        <v>58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44">
        <f>+Inputs!DU67</f>
        <v>18</v>
      </c>
      <c r="DV75" s="44">
        <f>+Inputs!DV67</f>
        <v>-534</v>
      </c>
      <c r="DW75" s="44">
        <f>+Inputs!DW67</f>
        <v>-21</v>
      </c>
      <c r="DX75" s="44">
        <f>+Inputs!DX67</f>
        <v>-74</v>
      </c>
      <c r="DY75" s="152">
        <f t="shared" si="148"/>
        <v>-611</v>
      </c>
      <c r="DZ75" s="44">
        <f>+Inputs!DZ67</f>
        <v>-23</v>
      </c>
      <c r="EA75" s="44">
        <f>+Inputs!EA67</f>
        <v>-57</v>
      </c>
      <c r="EB75" s="44">
        <f>+Inputs!EB67</f>
        <v>-11</v>
      </c>
      <c r="EC75" s="44">
        <f>+Inputs!EC67</f>
        <v>7</v>
      </c>
      <c r="ED75" s="152">
        <f t="shared" si="168"/>
        <v>-84</v>
      </c>
      <c r="EE75" s="44">
        <f>+Inputs!EE67</f>
        <v>87</v>
      </c>
      <c r="EF75" s="44">
        <f>+Inputs!EF67</f>
        <v>-180</v>
      </c>
      <c r="EG75" s="44">
        <f>+Inputs!EG67</f>
        <v>31</v>
      </c>
      <c r="EH75" s="44">
        <f>+Inputs!EH67</f>
        <v>12</v>
      </c>
      <c r="EI75" s="152">
        <f>+SUM(EE75:EH75)</f>
        <v>-50</v>
      </c>
      <c r="EJ75" s="44">
        <f>+Inputs!EJ67</f>
        <v>30</v>
      </c>
      <c r="EK75" s="44">
        <f>+Inputs!EK67</f>
        <v>69</v>
      </c>
      <c r="EL75" s="44">
        <f>+Inputs!EL67</f>
        <v>75</v>
      </c>
      <c r="EM75" s="44">
        <f>+Inputs!EM67</f>
        <v>-16</v>
      </c>
      <c r="EN75" s="152">
        <f>+SUM(EJ75:EM75)</f>
        <v>158</v>
      </c>
      <c r="EO75" s="44">
        <f>+Inputs!EO67</f>
        <v>1</v>
      </c>
      <c r="EP75" s="44">
        <f>+Inputs!EP67</f>
        <v>0</v>
      </c>
      <c r="EQ75" s="44">
        <f>+Inputs!EQ67</f>
        <v>0</v>
      </c>
      <c r="ER75" s="44">
        <f>+Inputs!ER67</f>
        <v>87</v>
      </c>
      <c r="ES75" s="152">
        <f>+SUM(EO75:ER75)</f>
        <v>88</v>
      </c>
      <c r="ET75" s="157">
        <f t="shared" ref="ET75:EW75" si="183">+ET77*ET74</f>
        <v>-21.827224651276651</v>
      </c>
      <c r="EU75" s="157">
        <f t="shared" si="183"/>
        <v>-21.415504787052257</v>
      </c>
      <c r="EV75" s="157">
        <f t="shared" si="183"/>
        <v>-16.322658363790623</v>
      </c>
      <c r="EW75" s="157">
        <f t="shared" si="183"/>
        <v>-1.4855995472548074</v>
      </c>
      <c r="EX75" s="152">
        <f>+SUM(ET75:EW75)</f>
        <v>-61.050987349374338</v>
      </c>
      <c r="EY75" s="157">
        <f t="shared" ref="EY75:FB75" si="184">+EY77*EY74</f>
        <v>-7.4843935050723474</v>
      </c>
      <c r="EZ75" s="157">
        <f t="shared" si="184"/>
        <v>-3.0548102839077558</v>
      </c>
      <c r="FA75" s="157">
        <f t="shared" si="184"/>
        <v>-6.6680771282955078</v>
      </c>
      <c r="FB75" s="157">
        <f t="shared" si="184"/>
        <v>16.857481411501837</v>
      </c>
      <c r="FC75" s="152">
        <f>+SUM(EY75:FB75)</f>
        <v>-0.34979950577377394</v>
      </c>
      <c r="FD75" s="157">
        <f t="shared" ref="FD75:FL75" si="185">+FD77*FD74</f>
        <v>12.916917555740596</v>
      </c>
      <c r="FE75" s="157">
        <f t="shared" si="185"/>
        <v>19.500942983958197</v>
      </c>
      <c r="FF75" s="157">
        <f t="shared" si="185"/>
        <v>18.907170692949521</v>
      </c>
      <c r="FG75" s="157">
        <f t="shared" si="185"/>
        <v>35.173842013342636</v>
      </c>
      <c r="FH75" s="152">
        <f>+SUM(FD75:FG75)</f>
        <v>86.49887324599095</v>
      </c>
      <c r="FI75" s="157">
        <f t="shared" si="185"/>
        <v>167.60753411582573</v>
      </c>
      <c r="FJ75" s="157">
        <f t="shared" si="185"/>
        <v>246.10639321715394</v>
      </c>
      <c r="FK75" s="157">
        <f t="shared" si="185"/>
        <v>291.23183523486694</v>
      </c>
      <c r="FL75" s="157">
        <f t="shared" si="185"/>
        <v>352.08588844104412</v>
      </c>
      <c r="FM75" s="157">
        <f>+FM77*FM74</f>
        <v>395.46335772188468</v>
      </c>
    </row>
    <row r="76" spans="1:169" x14ac:dyDescent="0.3">
      <c r="A76" s="4" t="s">
        <v>59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783">
        <f>+DU74-DU75</f>
        <v>-87</v>
      </c>
      <c r="DV76" s="1783">
        <f t="shared" ref="DV76:EA76" si="186">+DV74-DV75</f>
        <v>-5317</v>
      </c>
      <c r="DW76" s="1783">
        <f t="shared" si="186"/>
        <v>-345</v>
      </c>
      <c r="DX76" s="1783">
        <f t="shared" si="186"/>
        <v>-162</v>
      </c>
      <c r="DY76" s="58">
        <f t="shared" si="148"/>
        <v>-5911</v>
      </c>
      <c r="DZ76" s="1783">
        <f t="shared" si="186"/>
        <v>-186</v>
      </c>
      <c r="EA76" s="1783">
        <f t="shared" si="186"/>
        <v>-181</v>
      </c>
      <c r="EB76" s="1783">
        <f>+EB74-EB75</f>
        <v>15</v>
      </c>
      <c r="EC76" s="1783">
        <f>+EC74-EC75</f>
        <v>-50</v>
      </c>
      <c r="ED76" s="58">
        <f t="shared" si="168"/>
        <v>-402</v>
      </c>
      <c r="EE76" s="1783">
        <f>+EE74-EE75</f>
        <v>60</v>
      </c>
      <c r="EF76" s="1783">
        <f>+EF74-EF75</f>
        <v>4580</v>
      </c>
      <c r="EG76" s="1783">
        <f>+EG74-EG75</f>
        <v>126</v>
      </c>
      <c r="EH76" s="1783">
        <f>+EH74-EH75</f>
        <v>189</v>
      </c>
      <c r="EI76" s="58">
        <f t="shared" si="169"/>
        <v>4955</v>
      </c>
      <c r="EJ76" s="1783">
        <f>+EJ74-EJ75</f>
        <v>65</v>
      </c>
      <c r="EK76" s="1783">
        <f>+EK74-EK75</f>
        <v>101</v>
      </c>
      <c r="EL76" s="1783">
        <f>+EL74-EL75</f>
        <v>120</v>
      </c>
      <c r="EM76" s="1783">
        <f>+EM74-EM75</f>
        <v>155</v>
      </c>
      <c r="EN76" s="58">
        <f t="shared" si="170"/>
        <v>441</v>
      </c>
      <c r="EO76" s="1783">
        <f>+EO74-EO75</f>
        <v>3</v>
      </c>
      <c r="EP76" s="1783">
        <f>+EP74-EP75</f>
        <v>-2</v>
      </c>
      <c r="EQ76" s="1783">
        <f>+EQ74-EQ75</f>
        <v>11</v>
      </c>
      <c r="ER76" s="1783">
        <f>+ER74-ER75</f>
        <v>17</v>
      </c>
      <c r="ES76" s="58">
        <f t="shared" ref="ES76:ES81" si="187">+SUM(EO76:ER76)</f>
        <v>29</v>
      </c>
      <c r="ET76" s="1783">
        <f t="shared" ref="ET76:EW76" si="188">+ET74-ET75</f>
        <v>-65.481673953829954</v>
      </c>
      <c r="EU76" s="1783">
        <f t="shared" si="188"/>
        <v>-64.24651436115677</v>
      </c>
      <c r="EV76" s="1783">
        <f t="shared" si="188"/>
        <v>-48.967975091371869</v>
      </c>
      <c r="EW76" s="1783">
        <f t="shared" si="188"/>
        <v>-4.4567986417644221</v>
      </c>
      <c r="EX76" s="58">
        <f t="shared" ref="EX76:EX81" si="189">+SUM(ET76:EW76)</f>
        <v>-183.15296204812302</v>
      </c>
      <c r="EY76" s="1783">
        <f t="shared" ref="EY76:FB76" si="190">+EY74-EY75</f>
        <v>-22.453180515217042</v>
      </c>
      <c r="EZ76" s="1783">
        <f t="shared" si="190"/>
        <v>-9.1644308517232673</v>
      </c>
      <c r="FA76" s="1783">
        <f t="shared" si="190"/>
        <v>-20.004231384886523</v>
      </c>
      <c r="FB76" s="1783">
        <f t="shared" si="190"/>
        <v>50.572444234505511</v>
      </c>
      <c r="FC76" s="58">
        <f t="shared" ref="FC76:FC81" si="191">+SUM(EY76:FB76)</f>
        <v>-1.0493985173213218</v>
      </c>
      <c r="FD76" s="1783">
        <f t="shared" ref="FD76:FL76" si="192">+FD74-FD75</f>
        <v>38.750752667221789</v>
      </c>
      <c r="FE76" s="1783">
        <f t="shared" si="192"/>
        <v>58.502828951874591</v>
      </c>
      <c r="FF76" s="1783">
        <f t="shared" si="192"/>
        <v>56.721512078848562</v>
      </c>
      <c r="FG76" s="1783">
        <f t="shared" si="192"/>
        <v>105.52152604002791</v>
      </c>
      <c r="FH76" s="58">
        <f t="shared" ref="FH76:FH81" si="193">+SUM(FD76:FG76)</f>
        <v>259.49661973797288</v>
      </c>
      <c r="FI76" s="1783">
        <f t="shared" si="192"/>
        <v>502.82260234747719</v>
      </c>
      <c r="FJ76" s="1783">
        <f t="shared" si="192"/>
        <v>738.31917965146181</v>
      </c>
      <c r="FK76" s="1783">
        <f t="shared" si="192"/>
        <v>873.69550570460081</v>
      </c>
      <c r="FL76" s="1783">
        <f t="shared" si="192"/>
        <v>1056.2576653231324</v>
      </c>
      <c r="FM76" s="1783">
        <f>+FM74-FM75</f>
        <v>1186.390073165654</v>
      </c>
    </row>
    <row r="77" spans="1:169" x14ac:dyDescent="0.3">
      <c r="A77" s="33" t="s">
        <v>60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55">
        <f>+DU75/DU74</f>
        <v>-0.2608695652173913</v>
      </c>
      <c r="DV77" s="155">
        <f t="shared" ref="DV77:EM77" si="194">+DV75/DV74</f>
        <v>9.1266450179456504E-2</v>
      </c>
      <c r="DW77" s="155">
        <f t="shared" si="194"/>
        <v>5.737704918032787E-2</v>
      </c>
      <c r="DX77" s="155">
        <f t="shared" si="194"/>
        <v>0.3135593220338983</v>
      </c>
      <c r="DY77" s="154">
        <f t="shared" si="194"/>
        <v>9.3682919349892674E-2</v>
      </c>
      <c r="DZ77" s="155">
        <f t="shared" si="194"/>
        <v>0.11004784688995216</v>
      </c>
      <c r="EA77" s="155">
        <f t="shared" si="194"/>
        <v>0.23949579831932774</v>
      </c>
      <c r="EB77" s="155">
        <f t="shared" si="194"/>
        <v>-2.75</v>
      </c>
      <c r="EC77" s="155">
        <f t="shared" si="194"/>
        <v>-0.16279069767441862</v>
      </c>
      <c r="ED77" s="154">
        <f t="shared" si="194"/>
        <v>0.1728395061728395</v>
      </c>
      <c r="EE77" s="155">
        <f t="shared" si="194"/>
        <v>0.59183673469387754</v>
      </c>
      <c r="EF77" s="155">
        <f t="shared" si="194"/>
        <v>-4.0909090909090909E-2</v>
      </c>
      <c r="EG77" s="155">
        <f t="shared" si="194"/>
        <v>0.19745222929936307</v>
      </c>
      <c r="EH77" s="155">
        <f t="shared" si="194"/>
        <v>5.9701492537313432E-2</v>
      </c>
      <c r="EI77" s="154">
        <f>+EI75/EI74</f>
        <v>-1.0193679918450561E-2</v>
      </c>
      <c r="EJ77" s="155">
        <f t="shared" si="194"/>
        <v>0.31578947368421051</v>
      </c>
      <c r="EK77" s="155">
        <f t="shared" si="194"/>
        <v>0.40588235294117647</v>
      </c>
      <c r="EL77" s="155">
        <f t="shared" si="194"/>
        <v>0.38461538461538464</v>
      </c>
      <c r="EM77" s="155">
        <f t="shared" si="194"/>
        <v>-0.11510791366906475</v>
      </c>
      <c r="EN77" s="154">
        <f>+EN75/EN74</f>
        <v>0.26377295492487479</v>
      </c>
      <c r="EO77" s="155">
        <f t="shared" ref="EO77:ER77" si="195">+EO75/EO74</f>
        <v>0.25</v>
      </c>
      <c r="EP77" s="155">
        <f t="shared" si="195"/>
        <v>0</v>
      </c>
      <c r="EQ77" s="155">
        <f t="shared" si="195"/>
        <v>0</v>
      </c>
      <c r="ER77" s="155">
        <f t="shared" si="195"/>
        <v>0.83653846153846156</v>
      </c>
      <c r="ES77" s="154">
        <f>+ES75/ES74</f>
        <v>0.75213675213675213</v>
      </c>
      <c r="ET77" s="156">
        <v>0.25</v>
      </c>
      <c r="EU77" s="156">
        <v>0.25</v>
      </c>
      <c r="EV77" s="156">
        <v>0.25</v>
      </c>
      <c r="EW77" s="156">
        <v>0.25</v>
      </c>
      <c r="EX77" s="154">
        <f>+EX75/EX74</f>
        <v>0.25</v>
      </c>
      <c r="EY77" s="156">
        <v>0.25</v>
      </c>
      <c r="EZ77" s="156">
        <v>0.25</v>
      </c>
      <c r="FA77" s="156">
        <v>0.25</v>
      </c>
      <c r="FB77" s="156">
        <v>0.25</v>
      </c>
      <c r="FC77" s="154">
        <f>+FC75/FC74</f>
        <v>0.25</v>
      </c>
      <c r="FD77" s="156">
        <v>0.25</v>
      </c>
      <c r="FE77" s="156">
        <v>0.25</v>
      </c>
      <c r="FF77" s="156">
        <v>0.25</v>
      </c>
      <c r="FG77" s="156">
        <v>0.25</v>
      </c>
      <c r="FH77" s="154">
        <f>+FH75/FH74</f>
        <v>0.25</v>
      </c>
      <c r="FI77" s="156">
        <f t="shared" ref="FI77:FM77" si="196">+FH77</f>
        <v>0.25</v>
      </c>
      <c r="FJ77" s="156">
        <f t="shared" si="196"/>
        <v>0.25</v>
      </c>
      <c r="FK77" s="156">
        <f t="shared" si="196"/>
        <v>0.25</v>
      </c>
      <c r="FL77" s="156">
        <f t="shared" si="196"/>
        <v>0.25</v>
      </c>
      <c r="FM77" s="156">
        <f t="shared" si="196"/>
        <v>0.25</v>
      </c>
    </row>
    <row r="78" spans="1:169" x14ac:dyDescent="0.3">
      <c r="A78" s="1" t="s">
        <v>61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44">
        <f>+Inputs!DU69</f>
        <v>0</v>
      </c>
      <c r="DV78" s="44">
        <f>+Inputs!DV69</f>
        <v>0</v>
      </c>
      <c r="DW78" s="44">
        <f>+Inputs!DW69</f>
        <v>0</v>
      </c>
      <c r="DX78" s="44">
        <f>+Inputs!DX69</f>
        <v>0</v>
      </c>
      <c r="DY78" s="58">
        <f t="shared" si="148"/>
        <v>0</v>
      </c>
      <c r="DZ78" s="44">
        <f>+Inputs!DZ69</f>
        <v>0</v>
      </c>
      <c r="EA78" s="44">
        <f>+Inputs!EA69</f>
        <v>0</v>
      </c>
      <c r="EB78" s="44">
        <f>+Inputs!EB69</f>
        <v>0</v>
      </c>
      <c r="EC78" s="44">
        <f>+Inputs!EC69</f>
        <v>0</v>
      </c>
      <c r="ED78" s="58">
        <f t="shared" si="168"/>
        <v>0</v>
      </c>
      <c r="EE78" s="44">
        <f>+Inputs!EE69</f>
        <v>0</v>
      </c>
      <c r="EF78" s="44">
        <f>+Inputs!EF69</f>
        <v>0</v>
      </c>
      <c r="EG78" s="44">
        <f>+Inputs!EG69</f>
        <v>0</v>
      </c>
      <c r="EH78" s="44">
        <f>+Inputs!EH69</f>
        <v>0</v>
      </c>
      <c r="EI78" s="58">
        <f t="shared" si="169"/>
        <v>0</v>
      </c>
      <c r="EJ78" s="44">
        <f>+Inputs!EJ69</f>
        <v>0</v>
      </c>
      <c r="EK78" s="44">
        <f>+Inputs!EK69</f>
        <v>0</v>
      </c>
      <c r="EL78" s="44">
        <f>+Inputs!EL69</f>
        <v>0</v>
      </c>
      <c r="EM78" s="44">
        <f>+Inputs!EM69</f>
        <v>0</v>
      </c>
      <c r="EN78" s="58">
        <f t="shared" si="170"/>
        <v>0</v>
      </c>
      <c r="EO78" s="44">
        <f>+Inputs!EO69</f>
        <v>0</v>
      </c>
      <c r="EP78" s="44">
        <f>+Inputs!EP69</f>
        <v>0</v>
      </c>
      <c r="EQ78" s="44">
        <f>+Inputs!EQ69</f>
        <v>0</v>
      </c>
      <c r="ER78" s="44">
        <f>+Inputs!ER69</f>
        <v>0</v>
      </c>
      <c r="ES78" s="58">
        <f t="shared" si="187"/>
        <v>0</v>
      </c>
      <c r="ET78" s="57">
        <v>0</v>
      </c>
      <c r="EU78" s="57">
        <v>0</v>
      </c>
      <c r="EV78" s="57">
        <v>0</v>
      </c>
      <c r="EW78" s="57">
        <v>0</v>
      </c>
      <c r="EX78" s="58">
        <f t="shared" si="189"/>
        <v>0</v>
      </c>
      <c r="EY78" s="57">
        <v>0</v>
      </c>
      <c r="EZ78" s="57">
        <v>0</v>
      </c>
      <c r="FA78" s="57">
        <v>0</v>
      </c>
      <c r="FB78" s="57">
        <v>0</v>
      </c>
      <c r="FC78" s="58">
        <f t="shared" si="191"/>
        <v>0</v>
      </c>
      <c r="FD78" s="57">
        <v>0</v>
      </c>
      <c r="FE78" s="57">
        <v>0</v>
      </c>
      <c r="FF78" s="57">
        <v>0</v>
      </c>
      <c r="FG78" s="57">
        <v>0</v>
      </c>
      <c r="FH78" s="58">
        <f t="shared" si="193"/>
        <v>0</v>
      </c>
      <c r="FI78" s="57">
        <v>0</v>
      </c>
      <c r="FJ78" s="57">
        <v>0</v>
      </c>
      <c r="FK78" s="57">
        <v>0</v>
      </c>
      <c r="FL78" s="57">
        <v>0</v>
      </c>
      <c r="FM78" s="57">
        <v>0</v>
      </c>
    </row>
    <row r="79" spans="1:169" x14ac:dyDescent="0.3">
      <c r="A79" s="4" t="s">
        <v>62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783">
        <f>+DU76-DU78</f>
        <v>-87</v>
      </c>
      <c r="DV79" s="1783">
        <f t="shared" ref="DV79:EA79" si="197">+DV76-DV78</f>
        <v>-5317</v>
      </c>
      <c r="DW79" s="1783">
        <f t="shared" si="197"/>
        <v>-345</v>
      </c>
      <c r="DX79" s="1783">
        <f t="shared" si="197"/>
        <v>-162</v>
      </c>
      <c r="DY79" s="1783">
        <f t="shared" si="148"/>
        <v>-5911</v>
      </c>
      <c r="DZ79" s="1783">
        <f t="shared" si="197"/>
        <v>-186</v>
      </c>
      <c r="EA79" s="1783">
        <f t="shared" si="197"/>
        <v>-181</v>
      </c>
      <c r="EB79" s="1783">
        <f>+EB76-EB78</f>
        <v>15</v>
      </c>
      <c r="EC79" s="1783">
        <f>+EC76-EC78</f>
        <v>-50</v>
      </c>
      <c r="ED79" s="1783">
        <f t="shared" si="168"/>
        <v>-402</v>
      </c>
      <c r="EE79" s="1783">
        <f>+EE76-EE78</f>
        <v>60</v>
      </c>
      <c r="EF79" s="1783">
        <f>+EF76-EF78</f>
        <v>4580</v>
      </c>
      <c r="EG79" s="1783">
        <f>+EG76-EG78</f>
        <v>126</v>
      </c>
      <c r="EH79" s="1783">
        <f>+EH76-EH78</f>
        <v>189</v>
      </c>
      <c r="EI79" s="1783">
        <f t="shared" si="169"/>
        <v>4955</v>
      </c>
      <c r="EJ79" s="1783">
        <f>+EJ76-EJ78</f>
        <v>65</v>
      </c>
      <c r="EK79" s="1783">
        <f>+EK76-EK78</f>
        <v>101</v>
      </c>
      <c r="EL79" s="1783">
        <f>+EL76-EL78</f>
        <v>120</v>
      </c>
      <c r="EM79" s="1783">
        <f>+EM76-EM78</f>
        <v>155</v>
      </c>
      <c r="EN79" s="1783">
        <f t="shared" si="170"/>
        <v>441</v>
      </c>
      <c r="EO79" s="1783">
        <f>+EO76-EO78</f>
        <v>3</v>
      </c>
      <c r="EP79" s="1783">
        <f>+EP76-EP78</f>
        <v>-2</v>
      </c>
      <c r="EQ79" s="1783">
        <f>+EQ76-EQ78</f>
        <v>11</v>
      </c>
      <c r="ER79" s="1783">
        <f>+ER76-ER78</f>
        <v>17</v>
      </c>
      <c r="ES79" s="1783">
        <f t="shared" si="187"/>
        <v>29</v>
      </c>
      <c r="ET79" s="1783">
        <f t="shared" ref="ET79:EW79" si="198">+ET76-ET78</f>
        <v>-65.481673953829954</v>
      </c>
      <c r="EU79" s="1783">
        <f t="shared" si="198"/>
        <v>-64.24651436115677</v>
      </c>
      <c r="EV79" s="1783">
        <f t="shared" si="198"/>
        <v>-48.967975091371869</v>
      </c>
      <c r="EW79" s="1783">
        <f t="shared" si="198"/>
        <v>-4.4567986417644221</v>
      </c>
      <c r="EX79" s="1783">
        <f t="shared" si="189"/>
        <v>-183.15296204812302</v>
      </c>
      <c r="EY79" s="1783">
        <f t="shared" ref="EY79:FB79" si="199">+EY76-EY78</f>
        <v>-22.453180515217042</v>
      </c>
      <c r="EZ79" s="1783">
        <f t="shared" si="199"/>
        <v>-9.1644308517232673</v>
      </c>
      <c r="FA79" s="1783">
        <f t="shared" si="199"/>
        <v>-20.004231384886523</v>
      </c>
      <c r="FB79" s="1783">
        <f t="shared" si="199"/>
        <v>50.572444234505511</v>
      </c>
      <c r="FC79" s="1783">
        <f t="shared" si="191"/>
        <v>-1.0493985173213218</v>
      </c>
      <c r="FD79" s="1783">
        <f t="shared" ref="FD79:FL79" si="200">+FD76-FD78</f>
        <v>38.750752667221789</v>
      </c>
      <c r="FE79" s="1783">
        <f t="shared" si="200"/>
        <v>58.502828951874591</v>
      </c>
      <c r="FF79" s="1783">
        <f t="shared" si="200"/>
        <v>56.721512078848562</v>
      </c>
      <c r="FG79" s="1783">
        <f t="shared" si="200"/>
        <v>105.52152604002791</v>
      </c>
      <c r="FH79" s="1783">
        <f t="shared" si="193"/>
        <v>259.49661973797288</v>
      </c>
      <c r="FI79" s="1783">
        <f t="shared" si="200"/>
        <v>502.82260234747719</v>
      </c>
      <c r="FJ79" s="1783">
        <f t="shared" si="200"/>
        <v>738.31917965146181</v>
      </c>
      <c r="FK79" s="1783">
        <f t="shared" si="200"/>
        <v>873.69550570460081</v>
      </c>
      <c r="FL79" s="1783">
        <f t="shared" si="200"/>
        <v>1056.2576653231324</v>
      </c>
      <c r="FM79" s="1783">
        <f>+FM76-FM78</f>
        <v>1186.390073165654</v>
      </c>
    </row>
    <row r="80" spans="1:169" x14ac:dyDescent="0.3">
      <c r="A80" s="1" t="s">
        <v>63</v>
      </c>
      <c r="DU80" s="57">
        <v>260</v>
      </c>
      <c r="DV80" s="57">
        <v>260</v>
      </c>
      <c r="DW80" s="57">
        <v>260</v>
      </c>
      <c r="DX80" s="57">
        <v>260</v>
      </c>
      <c r="DY80" s="160">
        <f>+DY79/DY81</f>
        <v>260</v>
      </c>
      <c r="DZ80" s="57">
        <v>260</v>
      </c>
      <c r="EA80" s="57">
        <v>260</v>
      </c>
      <c r="EB80" s="57">
        <v>260</v>
      </c>
      <c r="EC80" s="57">
        <v>260</v>
      </c>
      <c r="ED80" s="746">
        <f>+ED79/ED81</f>
        <v>260</v>
      </c>
      <c r="EE80" s="57">
        <v>260</v>
      </c>
      <c r="EF80" s="44">
        <f>Inputs!EF73</f>
        <v>188.51599999999999</v>
      </c>
      <c r="EG80" s="44">
        <f>Inputs!EG73</f>
        <v>244.40299999999999</v>
      </c>
      <c r="EH80" s="44">
        <f>Inputs!EH73</f>
        <v>244.30799999999999</v>
      </c>
      <c r="EI80" s="746">
        <f>EH80</f>
        <v>244.30799999999999</v>
      </c>
      <c r="EJ80" s="44">
        <f>Inputs!EJ73</f>
        <v>244.43299999999999</v>
      </c>
      <c r="EK80" s="44">
        <f>Inputs!EK73</f>
        <v>244.72300000000001</v>
      </c>
      <c r="EL80" s="44">
        <f>Inputs!EL73</f>
        <v>244.98400000000001</v>
      </c>
      <c r="EM80" s="44">
        <f>Inputs!EM73</f>
        <v>245.01</v>
      </c>
      <c r="EN80" s="746">
        <f>+EN79/EN81</f>
        <v>244.85197305884239</v>
      </c>
      <c r="EO80" s="44">
        <f>Inputs!EO73</f>
        <v>245.08099999999999</v>
      </c>
      <c r="EP80" s="44">
        <f>Inputs!EP73</f>
        <v>245.47399999999999</v>
      </c>
      <c r="EQ80" s="44">
        <f>Inputs!EQ73</f>
        <v>245.761</v>
      </c>
      <c r="ER80" s="44">
        <f>Inputs!ER73</f>
        <v>245.79900000000001</v>
      </c>
      <c r="ES80" s="746">
        <f>+ES79/ES81</f>
        <v>245.73255195069063</v>
      </c>
      <c r="ET80" s="745">
        <f t="shared" ref="ET80:EW80" si="201">+ET93</f>
        <v>245.02099999999999</v>
      </c>
      <c r="EU80" s="745">
        <f t="shared" si="201"/>
        <v>245.02099999999999</v>
      </c>
      <c r="EV80" s="745">
        <f t="shared" si="201"/>
        <v>245.02099999999999</v>
      </c>
      <c r="EW80" s="745">
        <f t="shared" si="201"/>
        <v>245.02099999999999</v>
      </c>
      <c r="EX80" s="746">
        <f>+EX79/EX81</f>
        <v>245.02099999999999</v>
      </c>
      <c r="EY80" s="745">
        <f t="shared" ref="EY80:FB80" si="202">+EY93</f>
        <v>245.02099999999999</v>
      </c>
      <c r="EZ80" s="745">
        <f t="shared" si="202"/>
        <v>245.02099999999999</v>
      </c>
      <c r="FA80" s="745">
        <f t="shared" si="202"/>
        <v>245.02099999999999</v>
      </c>
      <c r="FB80" s="745">
        <f t="shared" si="202"/>
        <v>245.02099999999999</v>
      </c>
      <c r="FC80" s="746">
        <f>+FC79/FC81</f>
        <v>245.02099999999885</v>
      </c>
      <c r="FD80" s="745">
        <f t="shared" ref="FD80:FM80" si="203">+FD93</f>
        <v>245.02099999999999</v>
      </c>
      <c r="FE80" s="745">
        <f t="shared" si="203"/>
        <v>245.02099999999999</v>
      </c>
      <c r="FF80" s="745">
        <f t="shared" si="203"/>
        <v>245.02099999999999</v>
      </c>
      <c r="FG80" s="745">
        <f t="shared" si="203"/>
        <v>245.02099999999999</v>
      </c>
      <c r="FH80" s="746">
        <f>+FH79/FH81</f>
        <v>245.02100000000002</v>
      </c>
      <c r="FI80" s="745">
        <f t="shared" si="203"/>
        <v>245.02099999999999</v>
      </c>
      <c r="FJ80" s="745">
        <f t="shared" si="203"/>
        <v>245.02099999999999</v>
      </c>
      <c r="FK80" s="745">
        <f t="shared" si="203"/>
        <v>219.87911986845182</v>
      </c>
      <c r="FL80" s="745">
        <f t="shared" si="203"/>
        <v>172.01072663479673</v>
      </c>
      <c r="FM80" s="745">
        <f t="shared" si="203"/>
        <v>130.74502561883213</v>
      </c>
    </row>
    <row r="81" spans="1:169" ht="12.5" thickBot="1" x14ac:dyDescent="0.35">
      <c r="A81" s="4" t="s">
        <v>64</v>
      </c>
      <c r="DU81" s="185">
        <f>+DU79/DU80</f>
        <v>-0.33461538461538459</v>
      </c>
      <c r="DV81" s="185">
        <f t="shared" ref="DV81:EA81" si="204">+DV79/DV80</f>
        <v>-20.45</v>
      </c>
      <c r="DW81" s="185">
        <f t="shared" si="204"/>
        <v>-1.3269230769230769</v>
      </c>
      <c r="DX81" s="185">
        <f t="shared" si="204"/>
        <v>-0.62307692307692308</v>
      </c>
      <c r="DY81" s="185">
        <f t="shared" si="148"/>
        <v>-22.734615384615385</v>
      </c>
      <c r="DZ81" s="185">
        <f t="shared" si="204"/>
        <v>-0.7153846153846154</v>
      </c>
      <c r="EA81" s="185">
        <f t="shared" si="204"/>
        <v>-0.69615384615384612</v>
      </c>
      <c r="EB81" s="185">
        <f>+EB79/EB80</f>
        <v>5.7692307692307696E-2</v>
      </c>
      <c r="EC81" s="185">
        <f>+EC79/EC80</f>
        <v>-0.19230769230769232</v>
      </c>
      <c r="ED81" s="185">
        <f>+SUM(DZ81:EC81)</f>
        <v>-1.546153846153846</v>
      </c>
      <c r="EE81" s="185">
        <f>+EE79/EE80</f>
        <v>0.23076923076923078</v>
      </c>
      <c r="EF81" s="185">
        <f>+EF79/EF80</f>
        <v>24.295020051348427</v>
      </c>
      <c r="EG81" s="185">
        <f>+EG79/EG80</f>
        <v>0.51554195324934637</v>
      </c>
      <c r="EH81" s="185">
        <f>+EH79/EH80</f>
        <v>0.77361363524731075</v>
      </c>
      <c r="EI81" s="185">
        <f t="shared" si="169"/>
        <v>25.814944870614315</v>
      </c>
      <c r="EJ81" s="185">
        <f>+EJ79/EJ80</f>
        <v>0.26592154087214082</v>
      </c>
      <c r="EK81" s="185">
        <f>+EK79/EK80</f>
        <v>0.41271151465125877</v>
      </c>
      <c r="EL81" s="185">
        <f>+EL79/EL80</f>
        <v>0.48982790712862878</v>
      </c>
      <c r="EM81" s="185">
        <f>+EM79/EM80</f>
        <v>0.63262723970450185</v>
      </c>
      <c r="EN81" s="185">
        <f t="shared" si="170"/>
        <v>1.8010882023565302</v>
      </c>
      <c r="EO81" s="185">
        <f>+EO79/EO80</f>
        <v>1.2240850983960406E-2</v>
      </c>
      <c r="EP81" s="185">
        <f>+EP79/EP80</f>
        <v>-8.1475023831444476E-3</v>
      </c>
      <c r="EQ81" s="185">
        <f>+EQ79/EQ80</f>
        <v>4.4758932458770918E-2</v>
      </c>
      <c r="ER81" s="185">
        <f>+ER79/ER80</f>
        <v>6.9162201636296328E-2</v>
      </c>
      <c r="ES81" s="185">
        <f t="shared" si="187"/>
        <v>0.1180144826958832</v>
      </c>
      <c r="ET81" s="185">
        <f t="shared" ref="ET81:EW81" si="205">+ET79/ET80</f>
        <v>-0.26724923151007446</v>
      </c>
      <c r="EU81" s="185">
        <f t="shared" si="205"/>
        <v>-0.26220819587364663</v>
      </c>
      <c r="EV81" s="185">
        <f t="shared" si="205"/>
        <v>-0.19985215590244049</v>
      </c>
      <c r="EW81" s="185">
        <f t="shared" si="205"/>
        <v>-1.8189455768135885E-2</v>
      </c>
      <c r="EX81" s="185">
        <f t="shared" si="189"/>
        <v>-0.74749903905429749</v>
      </c>
      <c r="EY81" s="185">
        <f t="shared" ref="EY81:FB81" si="206">+EY79/EY80</f>
        <v>-9.1637780089123155E-2</v>
      </c>
      <c r="EZ81" s="185">
        <f t="shared" si="206"/>
        <v>-3.7402634271035004E-2</v>
      </c>
      <c r="FA81" s="185">
        <f t="shared" si="206"/>
        <v>-8.1642926054854584E-2</v>
      </c>
      <c r="FB81" s="185">
        <f t="shared" si="206"/>
        <v>0.20640044826568135</v>
      </c>
      <c r="FC81" s="185">
        <f t="shared" si="191"/>
        <v>-4.282892149331391E-3</v>
      </c>
      <c r="FD81" s="185">
        <f t="shared" ref="FD81:FL81" si="207">+FD79/FD80</f>
        <v>0.15815278146453485</v>
      </c>
      <c r="FE81" s="185">
        <f t="shared" si="207"/>
        <v>0.23876659123860647</v>
      </c>
      <c r="FF81" s="185">
        <f t="shared" si="207"/>
        <v>0.2314965332720402</v>
      </c>
      <c r="FG81" s="185">
        <f t="shared" si="207"/>
        <v>0.43066319229791694</v>
      </c>
      <c r="FH81" s="185">
        <f t="shared" si="193"/>
        <v>1.0590790982730984</v>
      </c>
      <c r="FI81" s="185">
        <f t="shared" si="207"/>
        <v>2.0521612529027196</v>
      </c>
      <c r="FJ81" s="185">
        <f t="shared" si="207"/>
        <v>3.0132893900990605</v>
      </c>
      <c r="FK81" s="185">
        <f t="shared" si="207"/>
        <v>3.9735264823113305</v>
      </c>
      <c r="FL81" s="185">
        <f t="shared" si="207"/>
        <v>6.1406499814730617</v>
      </c>
      <c r="FM81" s="185">
        <f>+FM79/FM80</f>
        <v>9.0740742720445784</v>
      </c>
    </row>
    <row r="82" spans="1:169" ht="12.5" thickTop="1" x14ac:dyDescent="0.3">
      <c r="A82" s="33" t="s">
        <v>65</v>
      </c>
      <c r="DU82" s="184"/>
      <c r="DV82" s="184"/>
      <c r="DW82" s="184"/>
      <c r="DX82" s="184"/>
      <c r="DY82" s="184"/>
      <c r="DZ82" s="184"/>
      <c r="EA82" s="184"/>
      <c r="EB82" s="184"/>
      <c r="EC82" s="184"/>
      <c r="ED82" s="184"/>
      <c r="EE82" s="184"/>
      <c r="EF82" s="184"/>
      <c r="EG82" s="184"/>
      <c r="EH82" s="184"/>
      <c r="EI82" s="184"/>
      <c r="EJ82" s="184"/>
      <c r="EK82" s="184"/>
      <c r="EL82" s="184"/>
      <c r="EM82" s="184"/>
      <c r="EN82" s="184"/>
      <c r="EO82" s="184"/>
      <c r="EP82" s="184"/>
      <c r="EQ82" s="184"/>
      <c r="ER82" s="184"/>
      <c r="ES82" s="184"/>
      <c r="ET82" s="184"/>
      <c r="EU82" s="184"/>
      <c r="EV82" s="184"/>
      <c r="EW82" s="184"/>
      <c r="EX82" s="184"/>
      <c r="EY82" s="184"/>
      <c r="EZ82" s="184"/>
      <c r="FA82" s="184"/>
      <c r="FB82" s="184"/>
      <c r="FC82" s="184"/>
      <c r="FD82" s="184"/>
      <c r="FE82" s="184"/>
      <c r="FF82" s="184"/>
      <c r="FG82" s="184"/>
      <c r="FH82" s="184"/>
      <c r="FI82" s="184"/>
      <c r="FJ82" s="184"/>
      <c r="FK82" s="184"/>
      <c r="FL82" s="184"/>
      <c r="FM82" s="184"/>
    </row>
    <row r="83" spans="1:169" x14ac:dyDescent="0.3">
      <c r="A83" s="1"/>
      <c r="ET83" s="90"/>
      <c r="EU83" s="90"/>
      <c r="EV83" s="90"/>
      <c r="EW83" s="90"/>
      <c r="EY83" s="90"/>
      <c r="EZ83" s="90"/>
      <c r="FA83" s="90"/>
      <c r="FB83" s="90"/>
      <c r="FD83" s="90"/>
      <c r="FE83" s="90"/>
      <c r="FF83" s="90"/>
      <c r="FG83" s="90"/>
    </row>
    <row r="84" spans="1:169" x14ac:dyDescent="0.3">
      <c r="A84" s="1785" t="s">
        <v>66</v>
      </c>
      <c r="B84" s="806"/>
      <c r="C84" s="806"/>
      <c r="D84" s="806"/>
      <c r="E84" s="806"/>
      <c r="F84" s="806"/>
      <c r="G84" s="806"/>
      <c r="H84" s="806"/>
      <c r="I84" s="806"/>
      <c r="J84" s="806"/>
      <c r="K84" s="806"/>
      <c r="L84" s="806"/>
      <c r="M84" s="806"/>
      <c r="N84" s="806"/>
      <c r="O84" s="806"/>
      <c r="P84" s="806"/>
      <c r="Q84" s="806"/>
      <c r="R84" s="806"/>
      <c r="S84" s="806"/>
      <c r="T84" s="806"/>
      <c r="U84" s="806"/>
      <c r="V84" s="806"/>
      <c r="W84" s="806"/>
      <c r="X84" s="806"/>
      <c r="Y84" s="806"/>
      <c r="Z84" s="806"/>
      <c r="AA84" s="806"/>
      <c r="AB84" s="806"/>
      <c r="AC84" s="806"/>
      <c r="AD84" s="806"/>
      <c r="AE84" s="806"/>
      <c r="AF84" s="806"/>
      <c r="AG84" s="806"/>
      <c r="AH84" s="806"/>
      <c r="AI84" s="806"/>
      <c r="AJ84" s="806"/>
      <c r="AK84" s="806"/>
      <c r="AL84" s="806"/>
      <c r="AM84" s="806"/>
      <c r="AN84" s="806"/>
      <c r="AO84" s="806"/>
      <c r="AP84" s="806"/>
      <c r="AQ84" s="806"/>
      <c r="AR84" s="806"/>
      <c r="AS84" s="806"/>
      <c r="AT84" s="806"/>
      <c r="AU84" s="806"/>
      <c r="AV84" s="806"/>
      <c r="AW84" s="806"/>
      <c r="AX84" s="806"/>
      <c r="AY84" s="806"/>
      <c r="AZ84" s="806"/>
      <c r="BA84" s="806"/>
      <c r="BB84" s="806"/>
      <c r="BC84" s="806"/>
      <c r="BD84" s="806"/>
      <c r="BE84" s="806"/>
      <c r="BF84" s="806"/>
      <c r="BG84" s="806"/>
      <c r="BH84" s="806"/>
      <c r="BI84" s="806"/>
      <c r="BJ84" s="806"/>
      <c r="BK84" s="806"/>
      <c r="BL84" s="806"/>
      <c r="BM84" s="806"/>
      <c r="BN84" s="806"/>
      <c r="BO84" s="806"/>
      <c r="BP84" s="806"/>
      <c r="BQ84" s="806"/>
      <c r="BR84" s="806"/>
      <c r="BS84" s="806"/>
      <c r="BT84" s="806"/>
      <c r="BU84" s="806"/>
      <c r="BV84" s="806"/>
      <c r="BW84" s="806"/>
      <c r="BX84" s="806"/>
      <c r="BY84" s="806"/>
      <c r="BZ84" s="806"/>
      <c r="CA84" s="806"/>
      <c r="CB84" s="806"/>
      <c r="CC84" s="806"/>
      <c r="CD84" s="806"/>
      <c r="CE84" s="806"/>
      <c r="CF84" s="806"/>
      <c r="CG84" s="806"/>
      <c r="CH84" s="806"/>
      <c r="CI84" s="806"/>
      <c r="CJ84" s="806"/>
      <c r="CK84" s="806"/>
      <c r="CL84" s="806"/>
      <c r="CM84" s="806"/>
      <c r="CN84" s="806"/>
      <c r="CO84" s="806"/>
      <c r="CP84" s="806"/>
      <c r="CQ84" s="806"/>
      <c r="CR84" s="806"/>
      <c r="CS84" s="806"/>
      <c r="CT84" s="806"/>
      <c r="CU84" s="806"/>
      <c r="CV84" s="806"/>
      <c r="CW84" s="806"/>
      <c r="CX84" s="806"/>
      <c r="CY84" s="806"/>
      <c r="CZ84" s="806"/>
      <c r="DA84" s="806"/>
      <c r="DB84" s="806"/>
      <c r="DC84" s="806"/>
      <c r="DD84" s="806"/>
      <c r="DE84" s="806"/>
      <c r="DF84" s="806"/>
      <c r="DG84" s="806"/>
      <c r="DH84" s="806"/>
      <c r="DI84" s="806"/>
      <c r="DJ84" s="806"/>
      <c r="DK84" s="806"/>
      <c r="DL84" s="806"/>
      <c r="DM84" s="806"/>
      <c r="DN84" s="806"/>
      <c r="DO84" s="806"/>
      <c r="DP84" s="806"/>
      <c r="DQ84" s="806"/>
      <c r="DR84" s="806"/>
      <c r="DS84" s="806"/>
      <c r="DT84" s="806"/>
      <c r="DU84" s="806"/>
      <c r="DV84" s="806"/>
      <c r="DW84" s="806"/>
      <c r="DX84" s="806"/>
      <c r="DY84" s="1209"/>
      <c r="DZ84" s="806"/>
      <c r="EA84" s="806"/>
      <c r="EB84" s="806"/>
      <c r="EC84" s="806"/>
      <c r="ED84" s="1209"/>
      <c r="EE84" s="806"/>
      <c r="EF84" s="806"/>
      <c r="EG84" s="806"/>
      <c r="EH84" s="806"/>
      <c r="EI84" s="1209"/>
      <c r="EJ84" s="806"/>
      <c r="EK84" s="806"/>
      <c r="EL84" s="806"/>
      <c r="EM84" s="806"/>
      <c r="EN84" s="1209"/>
      <c r="EO84" s="1209"/>
      <c r="EP84" s="1209"/>
      <c r="EQ84" s="1209"/>
      <c r="ER84" s="1209"/>
      <c r="ES84" s="806"/>
      <c r="ET84" s="1209"/>
      <c r="EU84" s="1209"/>
      <c r="EV84" s="1209"/>
      <c r="EW84" s="1209"/>
      <c r="EX84" s="806"/>
      <c r="EY84" s="1209"/>
      <c r="EZ84" s="1209"/>
      <c r="FA84" s="1209"/>
      <c r="FB84" s="1209"/>
      <c r="FC84" s="806"/>
      <c r="FD84" s="1209"/>
      <c r="FE84" s="1209"/>
      <c r="FF84" s="1209"/>
      <c r="FG84" s="1209"/>
      <c r="FH84" s="806"/>
      <c r="FI84" s="806"/>
      <c r="FJ84" s="806"/>
      <c r="FK84" s="806"/>
      <c r="FL84" s="806"/>
      <c r="FM84" s="806"/>
    </row>
    <row r="85" spans="1:169" x14ac:dyDescent="0.3">
      <c r="A85" s="747" t="s">
        <v>67</v>
      </c>
      <c r="DU85" s="76"/>
      <c r="DV85" s="76"/>
      <c r="DW85" s="76"/>
      <c r="DX85" s="76"/>
      <c r="DY85" s="85"/>
      <c r="DZ85" s="76"/>
      <c r="EA85" s="76">
        <f>+DZ88</f>
        <v>260</v>
      </c>
      <c r="EB85" s="76">
        <f>+EA88</f>
        <v>260</v>
      </c>
      <c r="EC85" s="76">
        <f>+EB88</f>
        <v>260</v>
      </c>
      <c r="ED85" s="85">
        <f>+DZ88</f>
        <v>260</v>
      </c>
      <c r="EE85" s="76">
        <f>+ED88</f>
        <v>260</v>
      </c>
      <c r="EF85" s="76">
        <f>+EE88</f>
        <v>260</v>
      </c>
      <c r="EG85" s="76">
        <f>+EF88</f>
        <v>244.40100000000001</v>
      </c>
      <c r="EH85" s="76">
        <f>+EG88</f>
        <v>244.40700000000001</v>
      </c>
      <c r="EI85" s="85">
        <f>+EE85</f>
        <v>260</v>
      </c>
      <c r="EJ85" s="76">
        <f>+EI88</f>
        <v>244.416</v>
      </c>
      <c r="EK85" s="76">
        <f>+EJ88</f>
        <v>244.476</v>
      </c>
      <c r="EL85" s="76">
        <f>+EK88</f>
        <v>244.96899999999999</v>
      </c>
      <c r="EM85" s="76">
        <f>+EL88</f>
        <v>244.999</v>
      </c>
      <c r="EN85" s="85">
        <f>+EJ85</f>
        <v>244.416</v>
      </c>
      <c r="EO85" s="76">
        <f t="shared" ref="EO85:ER85" si="208">+EN88</f>
        <v>245.02099999999999</v>
      </c>
      <c r="EP85" s="76">
        <f t="shared" si="208"/>
        <v>245.02099999999999</v>
      </c>
      <c r="EQ85" s="76">
        <f t="shared" si="208"/>
        <v>245.02099999999999</v>
      </c>
      <c r="ER85" s="76">
        <f t="shared" si="208"/>
        <v>245.02099999999999</v>
      </c>
      <c r="ES85" s="85">
        <f>+EO85</f>
        <v>245.02099999999999</v>
      </c>
      <c r="ET85" s="76">
        <f t="shared" ref="ET85:EW85" si="209">+ES88</f>
        <v>245.02099999999999</v>
      </c>
      <c r="EU85" s="76">
        <f t="shared" si="209"/>
        <v>245.02099999999999</v>
      </c>
      <c r="EV85" s="76">
        <f t="shared" si="209"/>
        <v>245.02099999999999</v>
      </c>
      <c r="EW85" s="76">
        <f t="shared" si="209"/>
        <v>245.02099999999999</v>
      </c>
      <c r="EX85" s="85">
        <f>+ET85</f>
        <v>245.02099999999999</v>
      </c>
      <c r="EY85" s="76">
        <f t="shared" ref="EY85" si="210">+EX88</f>
        <v>245.02099999999999</v>
      </c>
      <c r="EZ85" s="76">
        <f t="shared" ref="EZ85" si="211">+EY88</f>
        <v>245.02099999999999</v>
      </c>
      <c r="FA85" s="76">
        <f t="shared" ref="FA85" si="212">+EZ88</f>
        <v>245.02099999999999</v>
      </c>
      <c r="FB85" s="76">
        <f t="shared" ref="FB85" si="213">+FA88</f>
        <v>245.02099999999999</v>
      </c>
      <c r="FC85" s="76">
        <f>+EX88</f>
        <v>245.02099999999999</v>
      </c>
      <c r="FD85" s="76">
        <f t="shared" ref="FD85" si="214">+FC88</f>
        <v>245.02099999999999</v>
      </c>
      <c r="FE85" s="76">
        <f t="shared" ref="FE85" si="215">+FD88</f>
        <v>245.02099999999999</v>
      </c>
      <c r="FF85" s="76">
        <f t="shared" ref="FF85" si="216">+FE88</f>
        <v>245.02099999999999</v>
      </c>
      <c r="FG85" s="76">
        <f>+FB88</f>
        <v>245.02099999999999</v>
      </c>
      <c r="FH85" s="76">
        <f>+FC88</f>
        <v>245.02099999999999</v>
      </c>
      <c r="FI85" s="76">
        <f t="shared" ref="FI85:FM85" si="217">+FH88</f>
        <v>245.02099999999999</v>
      </c>
      <c r="FJ85" s="76">
        <f t="shared" si="217"/>
        <v>245.02099999999999</v>
      </c>
      <c r="FK85" s="76">
        <f t="shared" si="217"/>
        <v>245.02099999999999</v>
      </c>
      <c r="FL85" s="76">
        <f t="shared" si="217"/>
        <v>194.73723973690363</v>
      </c>
      <c r="FM85" s="76">
        <f t="shared" si="217"/>
        <v>149.28421353268982</v>
      </c>
    </row>
    <row r="86" spans="1:169" x14ac:dyDescent="0.3">
      <c r="A86" s="747" t="s">
        <v>68</v>
      </c>
      <c r="DU86" s="76"/>
      <c r="DV86" s="76"/>
      <c r="DW86" s="76"/>
      <c r="DX86" s="76"/>
      <c r="DY86" s="85"/>
      <c r="DZ86" s="76"/>
      <c r="EA86" s="365">
        <f>+EA88-EA87-EA85</f>
        <v>0</v>
      </c>
      <c r="EB86" s="95">
        <v>0</v>
      </c>
      <c r="EC86" s="95">
        <v>0</v>
      </c>
      <c r="ED86" s="463">
        <v>0</v>
      </c>
      <c r="EE86" s="95">
        <v>0</v>
      </c>
      <c r="EF86" s="95">
        <v>0</v>
      </c>
      <c r="EG86" s="134">
        <f>EG88-EG85-EG87</f>
        <v>6.0000000000002274E-3</v>
      </c>
      <c r="EH86" s="134">
        <f>EH88-EH85-EH87</f>
        <v>8.9999999999861302E-3</v>
      </c>
      <c r="EI86" s="475">
        <f>+SUM(EF86:EH86)</f>
        <v>1.4999999999986358E-2</v>
      </c>
      <c r="EJ86" s="134">
        <f t="shared" ref="EJ86:EM86" si="218">EJ88-EJ85-EJ87</f>
        <v>6.0000000000002274E-2</v>
      </c>
      <c r="EK86" s="134">
        <f t="shared" si="218"/>
        <v>0.492999999999995</v>
      </c>
      <c r="EL86" s="134">
        <f t="shared" si="218"/>
        <v>3.0000000000001137E-2</v>
      </c>
      <c r="EM86" s="134">
        <f t="shared" si="218"/>
        <v>2.199999999999136E-2</v>
      </c>
      <c r="EN86" s="475">
        <f>+SUM(EJ86:EM86)</f>
        <v>0.60499999999998977</v>
      </c>
      <c r="EO86" s="95">
        <v>0</v>
      </c>
      <c r="EP86" s="95">
        <v>0</v>
      </c>
      <c r="EQ86" s="95">
        <v>0</v>
      </c>
      <c r="ER86" s="95">
        <v>0</v>
      </c>
      <c r="ES86" s="475">
        <f>+SUM(EO86:ER86)</f>
        <v>0</v>
      </c>
      <c r="ET86" s="95">
        <v>0</v>
      </c>
      <c r="EU86" s="95">
        <v>0</v>
      </c>
      <c r="EV86" s="95">
        <v>0</v>
      </c>
      <c r="EW86" s="95">
        <v>0</v>
      </c>
      <c r="EX86" s="475">
        <f>+SUM(ET86:EW86)</f>
        <v>0</v>
      </c>
      <c r="EY86" s="95">
        <v>0</v>
      </c>
      <c r="EZ86" s="95">
        <v>0</v>
      </c>
      <c r="FA86" s="95">
        <v>0</v>
      </c>
      <c r="FB86" s="95">
        <v>0</v>
      </c>
      <c r="FC86" s="95">
        <v>0</v>
      </c>
      <c r="FD86" s="95">
        <v>0</v>
      </c>
      <c r="FE86" s="95">
        <v>0</v>
      </c>
      <c r="FF86" s="95">
        <v>0</v>
      </c>
      <c r="FG86" s="95">
        <v>0</v>
      </c>
      <c r="FH86" s="95">
        <v>0</v>
      </c>
      <c r="FI86" s="95">
        <v>0</v>
      </c>
      <c r="FJ86" s="95">
        <v>0</v>
      </c>
      <c r="FK86" s="95">
        <v>0</v>
      </c>
      <c r="FL86" s="95">
        <v>0</v>
      </c>
      <c r="FM86" s="95">
        <v>0</v>
      </c>
    </row>
    <row r="87" spans="1:169" x14ac:dyDescent="0.3">
      <c r="A87" s="747" t="s">
        <v>69</v>
      </c>
      <c r="DU87" s="76"/>
      <c r="DV87" s="76"/>
      <c r="DW87" s="76"/>
      <c r="DX87" s="76"/>
      <c r="DY87" s="85"/>
      <c r="DZ87" s="76"/>
      <c r="EA87" s="95">
        <v>0</v>
      </c>
      <c r="EB87" s="365">
        <f>+EB88-EB86-EB85</f>
        <v>0</v>
      </c>
      <c r="EC87" s="365">
        <f>+EC88-EC86-EC85</f>
        <v>0</v>
      </c>
      <c r="ED87" s="475">
        <v>0</v>
      </c>
      <c r="EE87" s="365">
        <f>+EE119/EE89</f>
        <v>0</v>
      </c>
      <c r="EF87" s="656">
        <f>+EF119/EF89</f>
        <v>0</v>
      </c>
      <c r="EG87" s="656">
        <f>+EG119/EG89</f>
        <v>0</v>
      </c>
      <c r="EH87" s="656">
        <f>+EH119/EH89</f>
        <v>0</v>
      </c>
      <c r="EI87" s="475">
        <f>+SUM(EF87:EH87)</f>
        <v>0</v>
      </c>
      <c r="EJ87" s="656">
        <f>+EJ119/EJ89</f>
        <v>0</v>
      </c>
      <c r="EK87" s="656">
        <f>+EK119/EK89</f>
        <v>0</v>
      </c>
      <c r="EL87" s="656">
        <f>+EL119/EL89</f>
        <v>0</v>
      </c>
      <c r="EM87" s="656">
        <f>+EM119/EM89</f>
        <v>0</v>
      </c>
      <c r="EN87" s="475">
        <f>+SUM(EJ87:EM87)</f>
        <v>0</v>
      </c>
      <c r="EO87" s="365">
        <f t="shared" ref="EO87:ER87" si="219">+EO119/EO89</f>
        <v>0</v>
      </c>
      <c r="EP87" s="365">
        <f t="shared" si="219"/>
        <v>0</v>
      </c>
      <c r="EQ87" s="365">
        <f t="shared" si="219"/>
        <v>0</v>
      </c>
      <c r="ER87" s="365">
        <f t="shared" si="219"/>
        <v>0</v>
      </c>
      <c r="ES87" s="475">
        <f>+SUM(EO87:ER87)</f>
        <v>0</v>
      </c>
      <c r="ET87" s="365">
        <f t="shared" ref="ET87:FM87" si="220">+ET119/ET89</f>
        <v>0</v>
      </c>
      <c r="EU87" s="365">
        <f t="shared" si="220"/>
        <v>0</v>
      </c>
      <c r="EV87" s="365">
        <f t="shared" si="220"/>
        <v>0</v>
      </c>
      <c r="EW87" s="365">
        <f t="shared" si="220"/>
        <v>0</v>
      </c>
      <c r="EX87" s="475">
        <f>+SUM(ET87:EW87)</f>
        <v>0</v>
      </c>
      <c r="EY87" s="365">
        <f t="shared" ref="EY87:FC87" si="221">+EY119/EY89</f>
        <v>0</v>
      </c>
      <c r="EZ87" s="365">
        <f t="shared" si="221"/>
        <v>0</v>
      </c>
      <c r="FA87" s="365">
        <f t="shared" si="221"/>
        <v>0</v>
      </c>
      <c r="FB87" s="365">
        <f t="shared" si="221"/>
        <v>0</v>
      </c>
      <c r="FC87" s="365">
        <f t="shared" si="221"/>
        <v>0</v>
      </c>
      <c r="FD87" s="365">
        <f t="shared" ref="FD87:FG87" si="222">+FD119/FD89</f>
        <v>0</v>
      </c>
      <c r="FE87" s="365">
        <f t="shared" si="222"/>
        <v>0</v>
      </c>
      <c r="FF87" s="365">
        <f t="shared" si="222"/>
        <v>0</v>
      </c>
      <c r="FG87" s="365">
        <f t="shared" si="222"/>
        <v>0</v>
      </c>
      <c r="FH87" s="365">
        <f t="shared" si="220"/>
        <v>0</v>
      </c>
      <c r="FI87" s="365">
        <f t="shared" si="220"/>
        <v>0</v>
      </c>
      <c r="FJ87" s="365">
        <f t="shared" si="220"/>
        <v>0</v>
      </c>
      <c r="FK87" s="365">
        <f t="shared" si="220"/>
        <v>-50.28376026309634</v>
      </c>
      <c r="FL87" s="365">
        <f t="shared" si="220"/>
        <v>-45.453026204213799</v>
      </c>
      <c r="FM87" s="365">
        <f t="shared" si="220"/>
        <v>-37.078375827715412</v>
      </c>
    </row>
    <row r="88" spans="1:169" x14ac:dyDescent="0.3">
      <c r="A88" s="747" t="s">
        <v>70</v>
      </c>
      <c r="DU88" s="76"/>
      <c r="DV88" s="76"/>
      <c r="DW88" s="76"/>
      <c r="DX88" s="76"/>
      <c r="DY88" s="85"/>
      <c r="DZ88" s="854">
        <v>260</v>
      </c>
      <c r="EA88" s="854">
        <v>260</v>
      </c>
      <c r="EB88" s="854">
        <v>260</v>
      </c>
      <c r="EC88" s="854">
        <v>260</v>
      </c>
      <c r="ED88" s="803">
        <f>+EC88</f>
        <v>260</v>
      </c>
      <c r="EE88" s="854">
        <v>260</v>
      </c>
      <c r="EF88" s="44">
        <f>Inputs!EF625</f>
        <v>244.40100000000001</v>
      </c>
      <c r="EG88" s="44">
        <f>Inputs!EG625</f>
        <v>244.40700000000001</v>
      </c>
      <c r="EH88" s="44">
        <f>Inputs!EH625</f>
        <v>244.416</v>
      </c>
      <c r="EI88" s="850">
        <f>+EH88</f>
        <v>244.416</v>
      </c>
      <c r="EJ88" s="44">
        <f>Inputs!EJ625</f>
        <v>244.476</v>
      </c>
      <c r="EK88" s="44">
        <f>Inputs!EK625</f>
        <v>244.96899999999999</v>
      </c>
      <c r="EL88" s="44">
        <f>Inputs!EL625</f>
        <v>244.999</v>
      </c>
      <c r="EM88" s="44">
        <f>Inputs!EM625</f>
        <v>245.02099999999999</v>
      </c>
      <c r="EN88" s="850">
        <f>+EM88</f>
        <v>245.02099999999999</v>
      </c>
      <c r="EO88" s="850">
        <f t="shared" ref="EO88:ER88" si="223">+SUM(EO85:EO87)</f>
        <v>245.02099999999999</v>
      </c>
      <c r="EP88" s="850">
        <f t="shared" si="223"/>
        <v>245.02099999999999</v>
      </c>
      <c r="EQ88" s="850">
        <f t="shared" si="223"/>
        <v>245.02099999999999</v>
      </c>
      <c r="ER88" s="850">
        <f t="shared" si="223"/>
        <v>245.02099999999999</v>
      </c>
      <c r="ES88" s="850">
        <f>+ER88</f>
        <v>245.02099999999999</v>
      </c>
      <c r="ET88" s="850">
        <f t="shared" ref="ET88:FM88" si="224">+SUM(ET85:ET87)</f>
        <v>245.02099999999999</v>
      </c>
      <c r="EU88" s="850">
        <f t="shared" si="224"/>
        <v>245.02099999999999</v>
      </c>
      <c r="EV88" s="850">
        <f t="shared" si="224"/>
        <v>245.02099999999999</v>
      </c>
      <c r="EW88" s="850">
        <f t="shared" si="224"/>
        <v>245.02099999999999</v>
      </c>
      <c r="EX88" s="850">
        <f>+EW88</f>
        <v>245.02099999999999</v>
      </c>
      <c r="EY88" s="850">
        <f t="shared" ref="EY88:FC88" si="225">+SUM(EY85:EY87)</f>
        <v>245.02099999999999</v>
      </c>
      <c r="EZ88" s="850">
        <f t="shared" si="225"/>
        <v>245.02099999999999</v>
      </c>
      <c r="FA88" s="850">
        <f t="shared" si="225"/>
        <v>245.02099999999999</v>
      </c>
      <c r="FB88" s="850">
        <f t="shared" si="225"/>
        <v>245.02099999999999</v>
      </c>
      <c r="FC88" s="850">
        <f t="shared" si="225"/>
        <v>245.02099999999999</v>
      </c>
      <c r="FD88" s="850">
        <f t="shared" ref="FD88:FG88" si="226">+SUM(FD85:FD87)</f>
        <v>245.02099999999999</v>
      </c>
      <c r="FE88" s="850">
        <f t="shared" si="226"/>
        <v>245.02099999999999</v>
      </c>
      <c r="FF88" s="850">
        <f t="shared" si="226"/>
        <v>245.02099999999999</v>
      </c>
      <c r="FG88" s="850">
        <f t="shared" si="226"/>
        <v>245.02099999999999</v>
      </c>
      <c r="FH88" s="850">
        <f t="shared" si="224"/>
        <v>245.02099999999999</v>
      </c>
      <c r="FI88" s="850">
        <f t="shared" si="224"/>
        <v>245.02099999999999</v>
      </c>
      <c r="FJ88" s="850">
        <f t="shared" si="224"/>
        <v>245.02099999999999</v>
      </c>
      <c r="FK88" s="850">
        <f t="shared" si="224"/>
        <v>194.73723973690363</v>
      </c>
      <c r="FL88" s="850">
        <f t="shared" si="224"/>
        <v>149.28421353268982</v>
      </c>
      <c r="FM88" s="850">
        <f t="shared" si="224"/>
        <v>112.20583770497441</v>
      </c>
    </row>
    <row r="89" spans="1:169" x14ac:dyDescent="0.3">
      <c r="A89" s="742" t="s">
        <v>71</v>
      </c>
      <c r="DU89" s="76"/>
      <c r="DV89" s="76"/>
      <c r="DW89" s="76"/>
      <c r="DX89" s="76"/>
      <c r="DY89" s="85"/>
      <c r="DZ89" s="76"/>
      <c r="EA89" s="76"/>
      <c r="EB89" s="76"/>
      <c r="EC89" s="500">
        <f>Valuation!B6</f>
        <v>35.78</v>
      </c>
      <c r="EE89" s="748">
        <f>+EC89*(1-EC87/EC88)</f>
        <v>35.78</v>
      </c>
      <c r="EF89" s="748">
        <f>+IFERROR(EE89*(1-EE87/EE88),EE89)</f>
        <v>35.78</v>
      </c>
      <c r="EG89" s="748">
        <f>+IFERROR(EF89*(1-EF87/EF88),EF89)</f>
        <v>35.78</v>
      </c>
      <c r="EH89" s="748">
        <f>+IFERROR(EG89*(1-EG87/EG88),EG89)</f>
        <v>35.78</v>
      </c>
      <c r="EI89" s="749">
        <f>+EH89</f>
        <v>35.78</v>
      </c>
      <c r="EJ89" s="748">
        <f t="shared" ref="EJ89:FM89" si="227">+IFERROR(EI89*(1-EI87/EI88),EI89)</f>
        <v>35.78</v>
      </c>
      <c r="EK89" s="748">
        <f t="shared" si="227"/>
        <v>35.78</v>
      </c>
      <c r="EL89" s="748">
        <f t="shared" si="227"/>
        <v>35.78</v>
      </c>
      <c r="EM89" s="748">
        <f t="shared" si="227"/>
        <v>35.78</v>
      </c>
      <c r="EN89" s="749">
        <f>+EM89</f>
        <v>35.78</v>
      </c>
      <c r="EO89" s="748">
        <f t="shared" ref="EO89:ER89" si="228">+IFERROR(EN89*(1-EN87/EN88),EN89)</f>
        <v>35.78</v>
      </c>
      <c r="EP89" s="748">
        <f t="shared" si="228"/>
        <v>35.78</v>
      </c>
      <c r="EQ89" s="748">
        <f t="shared" si="228"/>
        <v>35.78</v>
      </c>
      <c r="ER89" s="748">
        <f t="shared" si="228"/>
        <v>35.78</v>
      </c>
      <c r="ES89" s="749">
        <f>+ER89</f>
        <v>35.78</v>
      </c>
      <c r="ET89" s="748">
        <f t="shared" ref="ET89:EW89" si="229">+IFERROR(ES89*(1-ES87/ES88),ES89)</f>
        <v>35.78</v>
      </c>
      <c r="EU89" s="748">
        <f t="shared" si="229"/>
        <v>35.78</v>
      </c>
      <c r="EV89" s="748">
        <f t="shared" si="229"/>
        <v>35.78</v>
      </c>
      <c r="EW89" s="748">
        <f t="shared" si="229"/>
        <v>35.78</v>
      </c>
      <c r="EX89" s="749">
        <f>+EW89</f>
        <v>35.78</v>
      </c>
      <c r="EY89" s="748">
        <f t="shared" ref="EY89" si="230">+IFERROR(EX89*(1-EX87/EX88),EX89)</f>
        <v>35.78</v>
      </c>
      <c r="EZ89" s="748">
        <f t="shared" ref="EZ89" si="231">+IFERROR(EY89*(1-EY87/EY88),EY89)</f>
        <v>35.78</v>
      </c>
      <c r="FA89" s="748">
        <f t="shared" ref="FA89" si="232">+IFERROR(EZ89*(1-EZ87/EZ88),EZ89)</f>
        <v>35.78</v>
      </c>
      <c r="FB89" s="748">
        <f t="shared" ref="FB89" si="233">+IFERROR(FA89*(1-FA87/FA88),FA89)</f>
        <v>35.78</v>
      </c>
      <c r="FC89" s="748">
        <f>+IFERROR(EX89*(1-EX87/EX88),EX89)</f>
        <v>35.78</v>
      </c>
      <c r="FD89" s="748">
        <f t="shared" ref="FD89" si="234">+IFERROR(FC89*(1-FC87/FC88),FC89)</f>
        <v>35.78</v>
      </c>
      <c r="FE89" s="748">
        <f t="shared" ref="FE89" si="235">+IFERROR(FD89*(1-FD87/FD88),FD89)</f>
        <v>35.78</v>
      </c>
      <c r="FF89" s="748">
        <f t="shared" ref="FF89" si="236">+IFERROR(FE89*(1-FE87/FE88),FE89)</f>
        <v>35.78</v>
      </c>
      <c r="FG89" s="748">
        <f>+IFERROR(FB89*(1-FB87/FB88),FB89)</f>
        <v>35.78</v>
      </c>
      <c r="FH89" s="748">
        <f>+IFERROR(FC89*(1-FC87/FC88),FC89)</f>
        <v>35.78</v>
      </c>
      <c r="FI89" s="748">
        <f>AMTTargetPrice</f>
        <v>38.5</v>
      </c>
      <c r="FJ89" s="748">
        <f t="shared" si="227"/>
        <v>38.5</v>
      </c>
      <c r="FK89" s="748">
        <f t="shared" si="227"/>
        <v>38.5</v>
      </c>
      <c r="FL89" s="748">
        <f t="shared" si="227"/>
        <v>48.441215007179451</v>
      </c>
      <c r="FM89" s="748">
        <f t="shared" si="227"/>
        <v>63.190261560605812</v>
      </c>
    </row>
    <row r="90" spans="1:169" x14ac:dyDescent="0.3">
      <c r="A90" s="742"/>
      <c r="DU90" s="76"/>
      <c r="DV90" s="76"/>
      <c r="DW90" s="76"/>
      <c r="DX90" s="76"/>
      <c r="DY90" s="85"/>
      <c r="DZ90" s="76"/>
      <c r="EA90" s="76"/>
      <c r="EB90" s="76"/>
      <c r="EC90" s="76"/>
      <c r="EE90" s="76"/>
      <c r="EO90"/>
      <c r="EP90"/>
      <c r="EQ90"/>
      <c r="ER90"/>
      <c r="ES90" s="90"/>
      <c r="EX90" s="90"/>
    </row>
    <row r="91" spans="1:169" x14ac:dyDescent="0.3">
      <c r="A91" s="747" t="s">
        <v>72</v>
      </c>
      <c r="DU91" s="76"/>
      <c r="DV91" s="76"/>
      <c r="DW91" s="76"/>
      <c r="DX91" s="76"/>
      <c r="DY91" s="85"/>
      <c r="DZ91" s="76"/>
      <c r="EA91" s="76">
        <f>+AVERAGE(EA88,EA85)</f>
        <v>260</v>
      </c>
      <c r="EB91" s="76">
        <f>+AVERAGE(EB88,EB85)</f>
        <v>260</v>
      </c>
      <c r="EC91" s="76">
        <f>+AVERAGE(EC88,EC85)</f>
        <v>260</v>
      </c>
      <c r="ED91" s="85">
        <f>+EC91</f>
        <v>260</v>
      </c>
      <c r="EE91" s="76">
        <f>+AVERAGE(EE88,EE85)</f>
        <v>260</v>
      </c>
      <c r="EF91" s="76">
        <f>+AVERAGE(EF88,EF85)</f>
        <v>252.20050000000001</v>
      </c>
      <c r="EG91" s="76">
        <f>+AVERAGE(EG88,EG85)</f>
        <v>244.404</v>
      </c>
      <c r="EH91" s="76">
        <f>+AVERAGE(EH88,EH85)</f>
        <v>244.41149999999999</v>
      </c>
      <c r="EI91" s="85">
        <f>+AVERAGE(EE91:EH91)</f>
        <v>250.25400000000002</v>
      </c>
      <c r="EJ91" s="76">
        <f>+AVERAGE(EJ88,EJ85)</f>
        <v>244.446</v>
      </c>
      <c r="EK91" s="76">
        <f>+AVERAGE(EK88,EK85)</f>
        <v>244.7225</v>
      </c>
      <c r="EL91" s="76">
        <f>+AVERAGE(EL88,EL85)</f>
        <v>244.98399999999998</v>
      </c>
      <c r="EM91" s="76">
        <f>+AVERAGE(EM88,EM85)</f>
        <v>245.01</v>
      </c>
      <c r="EN91" s="85">
        <f>+AVERAGE(EJ91:EM91)</f>
        <v>244.79062499999998</v>
      </c>
      <c r="EO91" s="76">
        <f t="shared" ref="EO91:ER91" si="237">+AVERAGE(EO88,EO85)</f>
        <v>245.02099999999999</v>
      </c>
      <c r="EP91" s="76">
        <f t="shared" si="237"/>
        <v>245.02099999999999</v>
      </c>
      <c r="EQ91" s="76">
        <f t="shared" si="237"/>
        <v>245.02099999999999</v>
      </c>
      <c r="ER91" s="76">
        <f t="shared" si="237"/>
        <v>245.02099999999999</v>
      </c>
      <c r="ES91" s="85">
        <f>+AVERAGE(EO91:ER91)</f>
        <v>245.02099999999999</v>
      </c>
      <c r="ET91" s="76">
        <f t="shared" ref="ET91:FM91" si="238">+AVERAGE(ET88,ET85)</f>
        <v>245.02099999999999</v>
      </c>
      <c r="EU91" s="76">
        <f t="shared" si="238"/>
        <v>245.02099999999999</v>
      </c>
      <c r="EV91" s="76">
        <f t="shared" si="238"/>
        <v>245.02099999999999</v>
      </c>
      <c r="EW91" s="76">
        <f t="shared" si="238"/>
        <v>245.02099999999999</v>
      </c>
      <c r="EX91" s="85">
        <f>+AVERAGE(ET91:EW91)</f>
        <v>245.02099999999999</v>
      </c>
      <c r="EY91" s="76">
        <f t="shared" ref="EY91:FC91" si="239">+AVERAGE(EY88,EY85)</f>
        <v>245.02099999999999</v>
      </c>
      <c r="EZ91" s="76">
        <f t="shared" si="239"/>
        <v>245.02099999999999</v>
      </c>
      <c r="FA91" s="76">
        <f t="shared" si="239"/>
        <v>245.02099999999999</v>
      </c>
      <c r="FB91" s="76">
        <f t="shared" si="239"/>
        <v>245.02099999999999</v>
      </c>
      <c r="FC91" s="76">
        <f t="shared" si="239"/>
        <v>245.02099999999999</v>
      </c>
      <c r="FD91" s="76">
        <f t="shared" ref="FD91:FG91" si="240">+AVERAGE(FD88,FD85)</f>
        <v>245.02099999999999</v>
      </c>
      <c r="FE91" s="76">
        <f t="shared" si="240"/>
        <v>245.02099999999999</v>
      </c>
      <c r="FF91" s="76">
        <f t="shared" si="240"/>
        <v>245.02099999999999</v>
      </c>
      <c r="FG91" s="76">
        <f t="shared" si="240"/>
        <v>245.02099999999999</v>
      </c>
      <c r="FH91" s="76">
        <f t="shared" si="238"/>
        <v>245.02099999999999</v>
      </c>
      <c r="FI91" s="76">
        <f t="shared" si="238"/>
        <v>245.02099999999999</v>
      </c>
      <c r="FJ91" s="76">
        <f t="shared" si="238"/>
        <v>245.02099999999999</v>
      </c>
      <c r="FK91" s="76">
        <f t="shared" si="238"/>
        <v>219.87911986845182</v>
      </c>
      <c r="FL91" s="76">
        <f t="shared" si="238"/>
        <v>172.01072663479673</v>
      </c>
      <c r="FM91" s="76">
        <f t="shared" si="238"/>
        <v>130.74502561883213</v>
      </c>
    </row>
    <row r="92" spans="1:169" x14ac:dyDescent="0.3">
      <c r="A92" s="743" t="s">
        <v>73</v>
      </c>
      <c r="DU92" s="76"/>
      <c r="DV92" s="76"/>
      <c r="DW92" s="76"/>
      <c r="DX92" s="76"/>
      <c r="DY92" s="85"/>
      <c r="DZ92" s="76"/>
      <c r="EA92" s="76">
        <f>+EA93-EA91</f>
        <v>0</v>
      </c>
      <c r="EB92" s="76">
        <f>+EB93-EB91</f>
        <v>0</v>
      </c>
      <c r="EC92" s="76">
        <f>+EC93-EC91</f>
        <v>0</v>
      </c>
      <c r="ED92" s="85">
        <f>+EC92</f>
        <v>0</v>
      </c>
      <c r="EE92" s="95">
        <f>+ED92</f>
        <v>0</v>
      </c>
      <c r="EF92" s="95">
        <f>+EE92</f>
        <v>0</v>
      </c>
      <c r="EG92" s="95">
        <f>+EF92</f>
        <v>0</v>
      </c>
      <c r="EH92" s="95">
        <f>+EG92</f>
        <v>0</v>
      </c>
      <c r="EI92" s="85">
        <f>+EI93-EI91</f>
        <v>0</v>
      </c>
      <c r="EJ92" s="95">
        <f>+EI92</f>
        <v>0</v>
      </c>
      <c r="EK92" s="95">
        <f>+EJ92</f>
        <v>0</v>
      </c>
      <c r="EL92" s="95">
        <f>+EK92</f>
        <v>0</v>
      </c>
      <c r="EM92" s="95">
        <f>+EL92</f>
        <v>0</v>
      </c>
      <c r="EN92" s="85">
        <f>+EN93-EN91</f>
        <v>0</v>
      </c>
      <c r="EO92" s="95">
        <f t="shared" ref="EO92:ER92" si="241">+EN92</f>
        <v>0</v>
      </c>
      <c r="EP92" s="95">
        <f t="shared" si="241"/>
        <v>0</v>
      </c>
      <c r="EQ92" s="95">
        <f t="shared" si="241"/>
        <v>0</v>
      </c>
      <c r="ER92" s="95">
        <f t="shared" si="241"/>
        <v>0</v>
      </c>
      <c r="ES92" s="85">
        <f>+ES93-ES91</f>
        <v>0</v>
      </c>
      <c r="ET92" s="95">
        <f t="shared" ref="ET92:EW92" si="242">+ES92</f>
        <v>0</v>
      </c>
      <c r="EU92" s="95">
        <f t="shared" si="242"/>
        <v>0</v>
      </c>
      <c r="EV92" s="95">
        <f t="shared" si="242"/>
        <v>0</v>
      </c>
      <c r="EW92" s="95">
        <f t="shared" si="242"/>
        <v>0</v>
      </c>
      <c r="EX92" s="85">
        <f>+EX93-EX91</f>
        <v>0</v>
      </c>
      <c r="EY92" s="95">
        <f t="shared" ref="EY92" si="243">+EX92</f>
        <v>0</v>
      </c>
      <c r="EZ92" s="95">
        <f t="shared" ref="EZ92" si="244">+EY92</f>
        <v>0</v>
      </c>
      <c r="FA92" s="95">
        <f t="shared" ref="FA92" si="245">+EZ92</f>
        <v>0</v>
      </c>
      <c r="FB92" s="95">
        <f t="shared" ref="FB92" si="246">+FA92</f>
        <v>0</v>
      </c>
      <c r="FC92" s="95">
        <f>+EX92</f>
        <v>0</v>
      </c>
      <c r="FD92" s="95">
        <f t="shared" ref="FD92" si="247">+FC92</f>
        <v>0</v>
      </c>
      <c r="FE92" s="95">
        <f t="shared" ref="FE92" si="248">+FD92</f>
        <v>0</v>
      </c>
      <c r="FF92" s="95">
        <f t="shared" ref="FF92" si="249">+FE92</f>
        <v>0</v>
      </c>
      <c r="FG92" s="95">
        <f>+FB92</f>
        <v>0</v>
      </c>
      <c r="FH92" s="95">
        <f>+FC92</f>
        <v>0</v>
      </c>
      <c r="FI92" s="95">
        <f t="shared" ref="FI92:FM92" si="250">+FH92</f>
        <v>0</v>
      </c>
      <c r="FJ92" s="95">
        <f t="shared" si="250"/>
        <v>0</v>
      </c>
      <c r="FK92" s="95">
        <f t="shared" si="250"/>
        <v>0</v>
      </c>
      <c r="FL92" s="95">
        <f t="shared" si="250"/>
        <v>0</v>
      </c>
      <c r="FM92" s="95">
        <f t="shared" si="250"/>
        <v>0</v>
      </c>
    </row>
    <row r="93" spans="1:169" x14ac:dyDescent="0.3">
      <c r="A93" s="744" t="s">
        <v>74</v>
      </c>
      <c r="DU93" s="381">
        <f>+DU80</f>
        <v>260</v>
      </c>
      <c r="DV93" s="381">
        <f t="shared" ref="DV93:EC93" si="251">+DV80</f>
        <v>260</v>
      </c>
      <c r="DW93" s="381">
        <f t="shared" si="251"/>
        <v>260</v>
      </c>
      <c r="DX93" s="381">
        <f t="shared" si="251"/>
        <v>260</v>
      </c>
      <c r="DY93" s="381">
        <f t="shared" si="251"/>
        <v>260</v>
      </c>
      <c r="DZ93" s="381">
        <f t="shared" si="251"/>
        <v>260</v>
      </c>
      <c r="EA93" s="381">
        <f t="shared" si="251"/>
        <v>260</v>
      </c>
      <c r="EB93" s="381">
        <f t="shared" si="251"/>
        <v>260</v>
      </c>
      <c r="EC93" s="381">
        <f t="shared" si="251"/>
        <v>260</v>
      </c>
      <c r="ED93" s="381">
        <f>+EC93</f>
        <v>260</v>
      </c>
      <c r="EE93" s="381">
        <f>+EE91+EE92</f>
        <v>260</v>
      </c>
      <c r="EF93" s="381">
        <f>+EF91+EF92</f>
        <v>252.20050000000001</v>
      </c>
      <c r="EG93" s="381">
        <f>+EG91+EG92</f>
        <v>244.404</v>
      </c>
      <c r="EH93" s="381">
        <f>+EH91+EH92</f>
        <v>244.41149999999999</v>
      </c>
      <c r="EI93" s="381">
        <f>+AVERAGE(EE93:EH93)</f>
        <v>250.25400000000002</v>
      </c>
      <c r="EJ93" s="381">
        <f>+EJ91+EJ92</f>
        <v>244.446</v>
      </c>
      <c r="EK93" s="381">
        <f>+EK91+EK92</f>
        <v>244.7225</v>
      </c>
      <c r="EL93" s="381">
        <f>+EL91+EL92</f>
        <v>244.98399999999998</v>
      </c>
      <c r="EM93" s="381">
        <f>+EM91+EM92</f>
        <v>245.01</v>
      </c>
      <c r="EN93" s="381">
        <f>+AVERAGE(EJ93:EM93)</f>
        <v>244.79062499999998</v>
      </c>
      <c r="EO93" s="381">
        <f t="shared" ref="EO93:ER93" si="252">+EO91+EO92</f>
        <v>245.02099999999999</v>
      </c>
      <c r="EP93" s="381">
        <f t="shared" si="252"/>
        <v>245.02099999999999</v>
      </c>
      <c r="EQ93" s="381">
        <f t="shared" si="252"/>
        <v>245.02099999999999</v>
      </c>
      <c r="ER93" s="381">
        <f t="shared" si="252"/>
        <v>245.02099999999999</v>
      </c>
      <c r="ES93" s="381">
        <f>+AVERAGE(EO93:ER93)</f>
        <v>245.02099999999999</v>
      </c>
      <c r="ET93" s="381">
        <f t="shared" ref="ET93:FM93" si="253">+ET91+ET92</f>
        <v>245.02099999999999</v>
      </c>
      <c r="EU93" s="381">
        <f t="shared" si="253"/>
        <v>245.02099999999999</v>
      </c>
      <c r="EV93" s="381">
        <f t="shared" si="253"/>
        <v>245.02099999999999</v>
      </c>
      <c r="EW93" s="381">
        <f t="shared" si="253"/>
        <v>245.02099999999999</v>
      </c>
      <c r="EX93" s="381">
        <f>+AVERAGE(ET93:EW93)</f>
        <v>245.02099999999999</v>
      </c>
      <c r="EY93" s="381">
        <f t="shared" ref="EY93:FC93" si="254">+EY91+EY92</f>
        <v>245.02099999999999</v>
      </c>
      <c r="EZ93" s="381">
        <f t="shared" si="254"/>
        <v>245.02099999999999</v>
      </c>
      <c r="FA93" s="381">
        <f t="shared" si="254"/>
        <v>245.02099999999999</v>
      </c>
      <c r="FB93" s="381">
        <f t="shared" si="254"/>
        <v>245.02099999999999</v>
      </c>
      <c r="FC93" s="381">
        <f t="shared" si="254"/>
        <v>245.02099999999999</v>
      </c>
      <c r="FD93" s="381">
        <f t="shared" ref="FD93:FG93" si="255">+FD91+FD92</f>
        <v>245.02099999999999</v>
      </c>
      <c r="FE93" s="381">
        <f t="shared" si="255"/>
        <v>245.02099999999999</v>
      </c>
      <c r="FF93" s="381">
        <f t="shared" si="255"/>
        <v>245.02099999999999</v>
      </c>
      <c r="FG93" s="381">
        <f t="shared" si="255"/>
        <v>245.02099999999999</v>
      </c>
      <c r="FH93" s="381">
        <f t="shared" si="253"/>
        <v>245.02099999999999</v>
      </c>
      <c r="FI93" s="381">
        <f t="shared" si="253"/>
        <v>245.02099999999999</v>
      </c>
      <c r="FJ93" s="381">
        <f t="shared" si="253"/>
        <v>245.02099999999999</v>
      </c>
      <c r="FK93" s="381">
        <f t="shared" si="253"/>
        <v>219.87911986845182</v>
      </c>
      <c r="FL93" s="381">
        <f t="shared" si="253"/>
        <v>172.01072663479673</v>
      </c>
      <c r="FM93" s="381">
        <f t="shared" si="253"/>
        <v>130.74502561883213</v>
      </c>
    </row>
    <row r="94" spans="1:169" x14ac:dyDescent="0.3">
      <c r="A94" s="1"/>
      <c r="ET94" s="90"/>
      <c r="EU94" s="90"/>
      <c r="EV94" s="90"/>
      <c r="EW94" s="90"/>
      <c r="EY94" s="90"/>
      <c r="EZ94" s="90"/>
      <c r="FA94" s="90"/>
      <c r="FB94" s="90"/>
      <c r="FD94" s="90"/>
      <c r="FE94" s="90"/>
      <c r="FF94" s="90"/>
      <c r="FG94" s="90"/>
    </row>
    <row r="95" spans="1:169" x14ac:dyDescent="0.3">
      <c r="A95" s="25" t="s">
        <v>75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</row>
    <row r="96" spans="1:169" x14ac:dyDescent="0.3">
      <c r="A96" s="27" t="s">
        <v>59</v>
      </c>
      <c r="DU96" s="151">
        <f>+DU79</f>
        <v>-87</v>
      </c>
      <c r="DV96" s="151">
        <f>+DV79</f>
        <v>-5317</v>
      </c>
      <c r="DW96" s="151">
        <f>+DW79</f>
        <v>-345</v>
      </c>
      <c r="DX96" s="151">
        <f>+DX79</f>
        <v>-162</v>
      </c>
      <c r="DY96" s="45">
        <f>+SUM(DU96:DX96)</f>
        <v>-5911</v>
      </c>
      <c r="DZ96" s="151">
        <f>+DZ79</f>
        <v>-186</v>
      </c>
      <c r="EA96" s="151">
        <f>+EA79</f>
        <v>-181</v>
      </c>
      <c r="EB96" s="151">
        <f>+EB79</f>
        <v>15</v>
      </c>
      <c r="EC96" s="151">
        <f>+EC79</f>
        <v>-50</v>
      </c>
      <c r="ED96" s="45">
        <f>+SUM(DZ96:EC96)</f>
        <v>-402</v>
      </c>
      <c r="EE96" s="151">
        <f>+EE79</f>
        <v>60</v>
      </c>
      <c r="EF96" s="151">
        <f>+EF79</f>
        <v>4580</v>
      </c>
      <c r="EG96" s="151">
        <f>+EG79</f>
        <v>126</v>
      </c>
      <c r="EH96" s="151">
        <f>+EH79</f>
        <v>189</v>
      </c>
      <c r="EI96" s="45">
        <f>+SUM(EE96:EH96)</f>
        <v>4955</v>
      </c>
      <c r="EJ96" s="151">
        <f>+EJ79</f>
        <v>65</v>
      </c>
      <c r="EK96" s="151">
        <f>+EK79</f>
        <v>101</v>
      </c>
      <c r="EL96" s="151">
        <f>+EL79</f>
        <v>120</v>
      </c>
      <c r="EM96" s="151">
        <f>+EM79</f>
        <v>155</v>
      </c>
      <c r="EN96" s="45">
        <f>+SUM(EJ96:EM96)</f>
        <v>441</v>
      </c>
      <c r="EO96" s="151">
        <f>+EO79</f>
        <v>3</v>
      </c>
      <c r="EP96" s="151">
        <f>+EP79</f>
        <v>-2</v>
      </c>
      <c r="EQ96" s="151">
        <f>+EQ79</f>
        <v>11</v>
      </c>
      <c r="ER96" s="151">
        <f>+ER79</f>
        <v>17</v>
      </c>
      <c r="ES96" s="45">
        <f>+SUM(EO96:ER96)</f>
        <v>29</v>
      </c>
      <c r="ET96" s="151">
        <f t="shared" ref="ET96:EW96" si="256">+ET79</f>
        <v>-65.481673953829954</v>
      </c>
      <c r="EU96" s="151">
        <f t="shared" si="256"/>
        <v>-64.24651436115677</v>
      </c>
      <c r="EV96" s="151">
        <f t="shared" si="256"/>
        <v>-48.967975091371869</v>
      </c>
      <c r="EW96" s="151">
        <f t="shared" si="256"/>
        <v>-4.4567986417644221</v>
      </c>
      <c r="EX96" s="45">
        <f>+SUM(ET96:EW96)</f>
        <v>-183.15296204812302</v>
      </c>
      <c r="EY96" s="151">
        <f t="shared" ref="EY96:FB96" si="257">+EY79</f>
        <v>-22.453180515217042</v>
      </c>
      <c r="EZ96" s="151">
        <f t="shared" si="257"/>
        <v>-9.1644308517232673</v>
      </c>
      <c r="FA96" s="151">
        <f t="shared" si="257"/>
        <v>-20.004231384886523</v>
      </c>
      <c r="FB96" s="151">
        <f t="shared" si="257"/>
        <v>50.572444234505511</v>
      </c>
      <c r="FC96" s="45">
        <f>+SUM(EY96:FB96)</f>
        <v>-1.0493985173213218</v>
      </c>
      <c r="FD96" s="151">
        <f t="shared" ref="FD96:FM96" si="258">+FD79</f>
        <v>38.750752667221789</v>
      </c>
      <c r="FE96" s="151">
        <f t="shared" si="258"/>
        <v>58.502828951874591</v>
      </c>
      <c r="FF96" s="151">
        <f t="shared" si="258"/>
        <v>56.721512078848562</v>
      </c>
      <c r="FG96" s="151">
        <f t="shared" si="258"/>
        <v>105.52152604002791</v>
      </c>
      <c r="FH96" s="45">
        <f>+SUM(FD96:FG96)</f>
        <v>259.49661973797288</v>
      </c>
      <c r="FI96" s="151">
        <f t="shared" si="258"/>
        <v>502.82260234747719</v>
      </c>
      <c r="FJ96" s="151">
        <f t="shared" si="258"/>
        <v>738.31917965146181</v>
      </c>
      <c r="FK96" s="151">
        <f t="shared" si="258"/>
        <v>873.69550570460081</v>
      </c>
      <c r="FL96" s="151">
        <f t="shared" si="258"/>
        <v>1056.2576653231324</v>
      </c>
      <c r="FM96" s="151">
        <f t="shared" si="258"/>
        <v>1186.390073165654</v>
      </c>
    </row>
    <row r="97" spans="1:169" x14ac:dyDescent="0.3">
      <c r="A97" s="27" t="s">
        <v>76</v>
      </c>
      <c r="DU97" s="151">
        <f>+DU65</f>
        <v>484</v>
      </c>
      <c r="DV97" s="151">
        <f>+DV65</f>
        <v>454</v>
      </c>
      <c r="DW97" s="151">
        <f>+DW65</f>
        <v>422</v>
      </c>
      <c r="DX97" s="151">
        <f>+DX65</f>
        <v>420</v>
      </c>
      <c r="DY97" s="45">
        <f t="shared" ref="DY97:DY122" si="259">+SUM(DU97:DX97)</f>
        <v>1780</v>
      </c>
      <c r="DZ97" s="151">
        <f>+DZ65</f>
        <v>415</v>
      </c>
      <c r="EA97" s="151">
        <f>+EA65</f>
        <v>397</v>
      </c>
      <c r="EB97" s="151">
        <f>+EB65</f>
        <v>392</v>
      </c>
      <c r="EC97" s="151">
        <f>+EC65</f>
        <v>394</v>
      </c>
      <c r="ED97" s="45">
        <f t="shared" ref="ED97:ED105" si="260">+SUM(DZ97:EC97)</f>
        <v>1598</v>
      </c>
      <c r="EE97" s="151">
        <f>+EE65</f>
        <v>387</v>
      </c>
      <c r="EF97" s="151">
        <f>+EF65</f>
        <v>298</v>
      </c>
      <c r="EG97" s="151">
        <f>+EG65</f>
        <v>273</v>
      </c>
      <c r="EH97" s="151">
        <f>+EH65</f>
        <v>282</v>
      </c>
      <c r="EI97" s="45">
        <f t="shared" ref="EI97:EI105" si="261">+SUM(EE97:EH97)</f>
        <v>1240</v>
      </c>
      <c r="EJ97" s="151">
        <f>+EJ65</f>
        <v>284</v>
      </c>
      <c r="EK97" s="151">
        <f>+EK65</f>
        <v>290</v>
      </c>
      <c r="EL97" s="151">
        <f>+EL65</f>
        <v>296</v>
      </c>
      <c r="EM97" s="151">
        <f>+EM65</f>
        <v>312</v>
      </c>
      <c r="EN97" s="45">
        <f t="shared" ref="EN97:EN105" si="262">+SUM(EJ97:EM97)</f>
        <v>1182</v>
      </c>
      <c r="EO97" s="151">
        <f>+EO65</f>
        <v>330</v>
      </c>
      <c r="EP97" s="151">
        <f>+EP65</f>
        <v>354</v>
      </c>
      <c r="EQ97" s="151">
        <f>+EQ65</f>
        <v>356</v>
      </c>
      <c r="ER97" s="151">
        <f>+ER65</f>
        <v>375</v>
      </c>
      <c r="ES97" s="45">
        <f t="shared" ref="ES97:ES105" si="263">+SUM(EO97:ER97)</f>
        <v>1415</v>
      </c>
      <c r="ET97" s="151">
        <f t="shared" ref="ET97:EW97" si="264">+ET65</f>
        <v>408.36090095671921</v>
      </c>
      <c r="EU97" s="151">
        <f t="shared" si="264"/>
        <v>423.10917187136027</v>
      </c>
      <c r="EV97" s="151">
        <f t="shared" si="264"/>
        <v>400.72439809887499</v>
      </c>
      <c r="EW97" s="151">
        <f t="shared" si="264"/>
        <v>370.01353847177091</v>
      </c>
      <c r="EX97" s="45">
        <f t="shared" ref="EX97:EX105" si="265">+SUM(ET97:EW97)</f>
        <v>1602.2080093987256</v>
      </c>
      <c r="EY97" s="151">
        <f t="shared" ref="EY97:FB97" si="266">+EY65</f>
        <v>384.88245503918961</v>
      </c>
      <c r="EZ97" s="151">
        <f t="shared" si="266"/>
        <v>394.37329927884332</v>
      </c>
      <c r="FA97" s="151">
        <f t="shared" si="266"/>
        <v>378.12065829976081</v>
      </c>
      <c r="FB97" s="151">
        <f t="shared" si="266"/>
        <v>321.73925681413226</v>
      </c>
      <c r="FC97" s="45">
        <f t="shared" ref="FC97:FC105" si="267">+SUM(EY97:FB97)</f>
        <v>1479.1156694319259</v>
      </c>
      <c r="FD97" s="151">
        <f t="shared" ref="FD97:FM97" si="268">+FD65</f>
        <v>337.34014045687564</v>
      </c>
      <c r="FE97" s="151">
        <f t="shared" si="268"/>
        <v>346.67014470211086</v>
      </c>
      <c r="FF97" s="151">
        <f t="shared" si="268"/>
        <v>337.23169490590664</v>
      </c>
      <c r="FG97" s="151">
        <f t="shared" si="268"/>
        <v>315.1102151491358</v>
      </c>
      <c r="FH97" s="45">
        <f t="shared" ref="FH97:FH105" si="269">+SUM(FD97:FG97)</f>
        <v>1336.3521952140291</v>
      </c>
      <c r="FI97" s="151">
        <f t="shared" si="268"/>
        <v>1289.5957006950414</v>
      </c>
      <c r="FJ97" s="151">
        <f t="shared" si="268"/>
        <v>1264.9568836681442</v>
      </c>
      <c r="FK97" s="151">
        <f t="shared" si="268"/>
        <v>1256.7398515799712</v>
      </c>
      <c r="FL97" s="151">
        <f t="shared" si="268"/>
        <v>1260.9744284070161</v>
      </c>
      <c r="FM97" s="151">
        <f t="shared" si="268"/>
        <v>1265.4915938492809</v>
      </c>
    </row>
    <row r="98" spans="1:169" x14ac:dyDescent="0.3">
      <c r="A98" s="27" t="s">
        <v>77</v>
      </c>
      <c r="DU98" s="44">
        <f>+Inputs!DU239</f>
        <v>0</v>
      </c>
      <c r="DV98" s="44">
        <f>+Inputs!DV239</f>
        <v>0</v>
      </c>
      <c r="DW98" s="44">
        <f>+Inputs!DW239</f>
        <v>0</v>
      </c>
      <c r="DX98" s="44">
        <f>+Inputs!DX239</f>
        <v>101</v>
      </c>
      <c r="DY98" s="45">
        <f t="shared" si="259"/>
        <v>101</v>
      </c>
      <c r="DZ98" s="44">
        <f>+Inputs!DZ239</f>
        <v>103</v>
      </c>
      <c r="EA98" s="44">
        <f>+Inputs!EA239</f>
        <v>56</v>
      </c>
      <c r="EB98" s="44">
        <f>+Inputs!EB239</f>
        <v>0</v>
      </c>
      <c r="EC98" s="44">
        <f>+Inputs!EC239</f>
        <v>0</v>
      </c>
      <c r="ED98" s="182">
        <f t="shared" si="260"/>
        <v>159</v>
      </c>
      <c r="EE98" s="44">
        <f>+Inputs!EE239</f>
        <v>0</v>
      </c>
      <c r="EF98" s="44">
        <f>+Inputs!EF239</f>
        <v>0</v>
      </c>
      <c r="EG98" s="44">
        <f>+Inputs!EG239</f>
        <v>0</v>
      </c>
      <c r="EH98" s="44">
        <f>+Inputs!EH239</f>
        <v>0</v>
      </c>
      <c r="EI98" s="45">
        <f t="shared" si="261"/>
        <v>0</v>
      </c>
      <c r="EJ98" s="44">
        <f>+Inputs!EJ239</f>
        <v>0</v>
      </c>
      <c r="EK98" s="44">
        <f>+Inputs!EK239</f>
        <v>0</v>
      </c>
      <c r="EL98" s="44">
        <f>+Inputs!EL239</f>
        <v>50</v>
      </c>
      <c r="EM98" s="44">
        <f>+Inputs!EM239</f>
        <v>5</v>
      </c>
      <c r="EN98" s="45">
        <f t="shared" si="262"/>
        <v>55</v>
      </c>
      <c r="EO98" s="44">
        <f>+Inputs!EO239</f>
        <v>0</v>
      </c>
      <c r="EP98" s="44">
        <f>+Inputs!EP239</f>
        <v>0</v>
      </c>
      <c r="EQ98" s="44">
        <f>+Inputs!EQ239</f>
        <v>0</v>
      </c>
      <c r="ER98" s="44">
        <f>+Inputs!ER239</f>
        <v>0</v>
      </c>
      <c r="ES98" s="45">
        <f t="shared" si="263"/>
        <v>0</v>
      </c>
      <c r="ET98" s="159">
        <f t="shared" ref="ET98:EW98" si="270">ET72</f>
        <v>0</v>
      </c>
      <c r="EU98" s="159">
        <f t="shared" si="270"/>
        <v>0</v>
      </c>
      <c r="EV98" s="159">
        <f t="shared" si="270"/>
        <v>0</v>
      </c>
      <c r="EW98" s="159">
        <f t="shared" si="270"/>
        <v>0</v>
      </c>
      <c r="EX98" s="45">
        <f t="shared" si="265"/>
        <v>0</v>
      </c>
      <c r="EY98" s="159">
        <f t="shared" ref="EY98:FB98" si="271">EY72</f>
        <v>0</v>
      </c>
      <c r="EZ98" s="159">
        <f t="shared" si="271"/>
        <v>0</v>
      </c>
      <c r="FA98" s="159">
        <f t="shared" si="271"/>
        <v>0</v>
      </c>
      <c r="FB98" s="159">
        <f t="shared" si="271"/>
        <v>0</v>
      </c>
      <c r="FC98" s="45">
        <f t="shared" si="267"/>
        <v>0</v>
      </c>
      <c r="FD98" s="159">
        <f t="shared" ref="FD98:FM98" si="272">FD72</f>
        <v>0</v>
      </c>
      <c r="FE98" s="159">
        <f t="shared" si="272"/>
        <v>0</v>
      </c>
      <c r="FF98" s="159">
        <f t="shared" si="272"/>
        <v>0</v>
      </c>
      <c r="FG98" s="159">
        <f t="shared" si="272"/>
        <v>0</v>
      </c>
      <c r="FH98" s="45">
        <f t="shared" si="269"/>
        <v>0</v>
      </c>
      <c r="FI98" s="159">
        <f t="shared" si="272"/>
        <v>0</v>
      </c>
      <c r="FJ98" s="159">
        <f t="shared" si="272"/>
        <v>0</v>
      </c>
      <c r="FK98" s="159">
        <f t="shared" si="272"/>
        <v>0</v>
      </c>
      <c r="FL98" s="159">
        <f t="shared" si="272"/>
        <v>0</v>
      </c>
      <c r="FM98" s="159">
        <f t="shared" si="272"/>
        <v>0</v>
      </c>
    </row>
    <row r="99" spans="1:169" x14ac:dyDescent="0.3">
      <c r="A99" s="27" t="s">
        <v>78</v>
      </c>
      <c r="DU99" s="151">
        <f>+DU66</f>
        <v>3</v>
      </c>
      <c r="DV99" s="151">
        <f>+DV66</f>
        <v>4</v>
      </c>
      <c r="DW99" s="151">
        <f>+DW66</f>
        <v>3</v>
      </c>
      <c r="DX99" s="151">
        <f>+DX66</f>
        <v>5</v>
      </c>
      <c r="DY99" s="45">
        <f t="shared" si="259"/>
        <v>15</v>
      </c>
      <c r="DZ99" s="151">
        <f>+DZ66</f>
        <v>1</v>
      </c>
      <c r="EA99" s="151">
        <f>+EA66</f>
        <v>1</v>
      </c>
      <c r="EB99" s="151">
        <f>+EB66</f>
        <v>1</v>
      </c>
      <c r="EC99" s="151">
        <f>+EC66</f>
        <v>0</v>
      </c>
      <c r="ED99" s="45">
        <f t="shared" si="260"/>
        <v>3</v>
      </c>
      <c r="EE99" s="151">
        <f>+EE66</f>
        <v>-1</v>
      </c>
      <c r="EF99" s="151">
        <f>+EF66</f>
        <v>0</v>
      </c>
      <c r="EG99" s="151">
        <f>+EG66</f>
        <v>8</v>
      </c>
      <c r="EH99" s="151">
        <f>+EH66</f>
        <v>10</v>
      </c>
      <c r="EI99" s="45">
        <f t="shared" si="261"/>
        <v>17</v>
      </c>
      <c r="EJ99" s="151">
        <f>+EJ66</f>
        <v>15</v>
      </c>
      <c r="EK99" s="151">
        <f>+EK66</f>
        <v>20</v>
      </c>
      <c r="EL99" s="151">
        <f>+EL66</f>
        <v>19</v>
      </c>
      <c r="EM99" s="151">
        <f>+EM66</f>
        <v>28</v>
      </c>
      <c r="EN99" s="45">
        <f t="shared" si="262"/>
        <v>82</v>
      </c>
      <c r="EO99" s="151">
        <f>+EO66</f>
        <v>24</v>
      </c>
      <c r="EP99" s="151">
        <f>+EP66</f>
        <v>27</v>
      </c>
      <c r="EQ99" s="151">
        <f>+EQ66</f>
        <v>30</v>
      </c>
      <c r="ER99" s="151">
        <f>+ER66</f>
        <v>27</v>
      </c>
      <c r="ES99" s="45">
        <f t="shared" si="263"/>
        <v>108</v>
      </c>
      <c r="ET99" s="151">
        <f t="shared" ref="ET99:EW99" si="273">+ET66</f>
        <v>27</v>
      </c>
      <c r="EU99" s="151">
        <f t="shared" si="273"/>
        <v>27</v>
      </c>
      <c r="EV99" s="151">
        <f t="shared" si="273"/>
        <v>27</v>
      </c>
      <c r="EW99" s="151">
        <f t="shared" si="273"/>
        <v>27</v>
      </c>
      <c r="EX99" s="45">
        <f t="shared" si="265"/>
        <v>108</v>
      </c>
      <c r="EY99" s="151">
        <f t="shared" ref="EY99:FB99" si="274">+EY66</f>
        <v>27</v>
      </c>
      <c r="EZ99" s="151">
        <f t="shared" si="274"/>
        <v>27</v>
      </c>
      <c r="FA99" s="151">
        <f t="shared" si="274"/>
        <v>27</v>
      </c>
      <c r="FB99" s="151">
        <f t="shared" si="274"/>
        <v>27</v>
      </c>
      <c r="FC99" s="45">
        <f t="shared" si="267"/>
        <v>108</v>
      </c>
      <c r="FD99" s="151">
        <f t="shared" ref="FD99:FM99" si="275">+FD66</f>
        <v>27</v>
      </c>
      <c r="FE99" s="151">
        <f t="shared" si="275"/>
        <v>27</v>
      </c>
      <c r="FF99" s="151">
        <f t="shared" si="275"/>
        <v>27</v>
      </c>
      <c r="FG99" s="151">
        <f t="shared" si="275"/>
        <v>27</v>
      </c>
      <c r="FH99" s="45">
        <f t="shared" si="269"/>
        <v>108</v>
      </c>
      <c r="FI99" s="151">
        <f t="shared" si="275"/>
        <v>108</v>
      </c>
      <c r="FJ99" s="151">
        <f t="shared" si="275"/>
        <v>108</v>
      </c>
      <c r="FK99" s="151">
        <f t="shared" si="275"/>
        <v>108</v>
      </c>
      <c r="FL99" s="151">
        <f t="shared" si="275"/>
        <v>108</v>
      </c>
      <c r="FM99" s="151">
        <f t="shared" si="275"/>
        <v>108</v>
      </c>
    </row>
    <row r="100" spans="1:169" x14ac:dyDescent="0.3">
      <c r="A100" s="27" t="s">
        <v>79</v>
      </c>
      <c r="DU100" s="44">
        <f>+Inputs!DU245</f>
        <v>16</v>
      </c>
      <c r="DV100" s="44">
        <f>+Inputs!DV245</f>
        <v>-535</v>
      </c>
      <c r="DW100" s="44">
        <f>+Inputs!DW245</f>
        <v>-22</v>
      </c>
      <c r="DX100" s="44">
        <f>+Inputs!DX245</f>
        <v>-78</v>
      </c>
      <c r="DY100" s="45">
        <f t="shared" si="259"/>
        <v>-619</v>
      </c>
      <c r="DZ100" s="44">
        <f>+Inputs!DZ245</f>
        <v>-30</v>
      </c>
      <c r="EA100" s="44">
        <f>+Inputs!EA245</f>
        <v>-62</v>
      </c>
      <c r="EB100" s="44">
        <f>+Inputs!EB245</f>
        <v>-8</v>
      </c>
      <c r="EC100" s="44">
        <f>+Inputs!EC245</f>
        <v>9</v>
      </c>
      <c r="ED100" s="182">
        <f t="shared" si="260"/>
        <v>-91</v>
      </c>
      <c r="EE100" s="44">
        <f>+Inputs!EE245</f>
        <v>84</v>
      </c>
      <c r="EF100" s="44">
        <f>+Inputs!EF245</f>
        <v>-195</v>
      </c>
      <c r="EG100" s="44">
        <f>+Inputs!EG245</f>
        <v>31</v>
      </c>
      <c r="EH100" s="44">
        <f>+Inputs!EH245</f>
        <v>13</v>
      </c>
      <c r="EI100" s="182">
        <f t="shared" si="261"/>
        <v>-67</v>
      </c>
      <c r="EJ100" s="44">
        <f>+Inputs!EJ245</f>
        <v>25</v>
      </c>
      <c r="EK100" s="44">
        <f>+Inputs!EK245</f>
        <v>68</v>
      </c>
      <c r="EL100" s="44">
        <f>+Inputs!EL245</f>
        <v>74</v>
      </c>
      <c r="EM100" s="44">
        <f>+Inputs!EM245</f>
        <v>-3</v>
      </c>
      <c r="EN100" s="182">
        <f t="shared" si="262"/>
        <v>164</v>
      </c>
      <c r="EO100" s="44">
        <f>+Inputs!EO245</f>
        <v>1</v>
      </c>
      <c r="EP100" s="44">
        <f>+Inputs!EP245</f>
        <v>0</v>
      </c>
      <c r="EQ100" s="44">
        <f>+Inputs!EQ245</f>
        <v>-2</v>
      </c>
      <c r="ER100" s="44">
        <f>+Inputs!ER245</f>
        <v>79</v>
      </c>
      <c r="ES100" s="182">
        <f t="shared" si="263"/>
        <v>78</v>
      </c>
      <c r="ET100" s="183">
        <f t="shared" ref="ET100:EW100" si="276">+ET168</f>
        <v>-26.827224651276651</v>
      </c>
      <c r="EU100" s="183">
        <f t="shared" si="276"/>
        <v>-26.415504787052257</v>
      </c>
      <c r="EV100" s="183">
        <f t="shared" si="276"/>
        <v>-21.322658363790623</v>
      </c>
      <c r="EW100" s="183">
        <f t="shared" si="276"/>
        <v>-6.4855995472548074</v>
      </c>
      <c r="EX100" s="182">
        <f t="shared" si="265"/>
        <v>-81.050987349374338</v>
      </c>
      <c r="EY100" s="183">
        <f t="shared" ref="EY100:FB100" si="277">+EY168</f>
        <v>-12.484393505072347</v>
      </c>
      <c r="EZ100" s="183">
        <f t="shared" si="277"/>
        <v>-8.0548102839077558</v>
      </c>
      <c r="FA100" s="183">
        <f t="shared" si="277"/>
        <v>-11.668077128295508</v>
      </c>
      <c r="FB100" s="183">
        <f t="shared" si="277"/>
        <v>11.857481411501837</v>
      </c>
      <c r="FC100" s="182">
        <f t="shared" si="267"/>
        <v>-20.349799505773774</v>
      </c>
      <c r="FD100" s="183">
        <f t="shared" ref="FD100:FM100" si="278">+FD168</f>
        <v>7.9169175557405964</v>
      </c>
      <c r="FE100" s="183">
        <f t="shared" si="278"/>
        <v>14.500942983958197</v>
      </c>
      <c r="FF100" s="183">
        <f t="shared" si="278"/>
        <v>13.907170692949521</v>
      </c>
      <c r="FG100" s="183">
        <f t="shared" si="278"/>
        <v>30.173842013342636</v>
      </c>
      <c r="FH100" s="182">
        <f t="shared" si="269"/>
        <v>66.49887324599095</v>
      </c>
      <c r="FI100" s="183">
        <f t="shared" si="278"/>
        <v>147.60753411582573</v>
      </c>
      <c r="FJ100" s="183">
        <f t="shared" si="278"/>
        <v>226.10639321715394</v>
      </c>
      <c r="FK100" s="183">
        <f t="shared" si="278"/>
        <v>271.23183523486694</v>
      </c>
      <c r="FL100" s="183">
        <f t="shared" si="278"/>
        <v>332.08588844104412</v>
      </c>
      <c r="FM100" s="183">
        <f t="shared" si="278"/>
        <v>375.46335772188468</v>
      </c>
    </row>
    <row r="101" spans="1:169" x14ac:dyDescent="0.3">
      <c r="A101" s="27" t="s">
        <v>80</v>
      </c>
      <c r="DU101" s="44">
        <f>+Inputs!DU246</f>
        <v>0</v>
      </c>
      <c r="DV101" s="44">
        <f>+Inputs!DV246</f>
        <v>5449</v>
      </c>
      <c r="DW101" s="44">
        <f>+Inputs!DW246</f>
        <v>276</v>
      </c>
      <c r="DX101" s="44">
        <f>+Inputs!DX246</f>
        <v>0</v>
      </c>
      <c r="DY101" s="45">
        <f t="shared" si="259"/>
        <v>5725</v>
      </c>
      <c r="DZ101" s="44">
        <f>+Inputs!DZ246</f>
        <v>0</v>
      </c>
      <c r="EA101" s="44">
        <f>+Inputs!EA246</f>
        <v>0</v>
      </c>
      <c r="EB101" s="44">
        <f>+Inputs!EB246</f>
        <v>0</v>
      </c>
      <c r="EC101" s="44">
        <f>+Inputs!EC246</f>
        <v>0</v>
      </c>
      <c r="ED101" s="45">
        <f t="shared" si="260"/>
        <v>0</v>
      </c>
      <c r="EE101" s="44">
        <f>+Inputs!EE246</f>
        <v>0</v>
      </c>
      <c r="EF101" s="44">
        <f>+Inputs!EF246</f>
        <v>0</v>
      </c>
      <c r="EG101" s="44">
        <f>+Inputs!EG246</f>
        <v>0</v>
      </c>
      <c r="EH101" s="44">
        <f>+Inputs!EH246</f>
        <v>0</v>
      </c>
      <c r="EI101" s="45">
        <f t="shared" si="261"/>
        <v>0</v>
      </c>
      <c r="EJ101" s="44">
        <f>+Inputs!EJ246</f>
        <v>0</v>
      </c>
      <c r="EK101" s="44">
        <f>+Inputs!EK246</f>
        <v>0</v>
      </c>
      <c r="EL101" s="44">
        <f>+Inputs!EL246</f>
        <v>0</v>
      </c>
      <c r="EM101" s="44">
        <f>+Inputs!EM246</f>
        <v>0</v>
      </c>
      <c r="EN101" s="45">
        <f t="shared" si="262"/>
        <v>0</v>
      </c>
      <c r="EO101" s="44">
        <f>+Inputs!EO246</f>
        <v>0</v>
      </c>
      <c r="EP101" s="44">
        <f>+Inputs!EP246</f>
        <v>0</v>
      </c>
      <c r="EQ101" s="44">
        <f>+Inputs!EQ246</f>
        <v>0</v>
      </c>
      <c r="ER101" s="44">
        <f>+Inputs!ER246</f>
        <v>0</v>
      </c>
      <c r="ES101" s="45">
        <f t="shared" si="263"/>
        <v>0</v>
      </c>
      <c r="ET101" s="159">
        <v>0</v>
      </c>
      <c r="EU101" s="159">
        <v>0</v>
      </c>
      <c r="EV101" s="159">
        <v>0</v>
      </c>
      <c r="EW101" s="159">
        <v>0</v>
      </c>
      <c r="EX101" s="45">
        <f t="shared" si="265"/>
        <v>0</v>
      </c>
      <c r="EY101" s="159">
        <v>0</v>
      </c>
      <c r="EZ101" s="159">
        <v>0</v>
      </c>
      <c r="FA101" s="159">
        <v>0</v>
      </c>
      <c r="FB101" s="159">
        <v>0</v>
      </c>
      <c r="FC101" s="45">
        <f t="shared" si="267"/>
        <v>0</v>
      </c>
      <c r="FD101" s="159">
        <v>0</v>
      </c>
      <c r="FE101" s="159">
        <v>0</v>
      </c>
      <c r="FF101" s="159">
        <v>0</v>
      </c>
      <c r="FG101" s="159">
        <v>0</v>
      </c>
      <c r="FH101" s="45">
        <f t="shared" si="269"/>
        <v>0</v>
      </c>
      <c r="FI101" s="159">
        <v>0</v>
      </c>
      <c r="FJ101" s="159">
        <v>0</v>
      </c>
      <c r="FK101" s="159">
        <v>0</v>
      </c>
      <c r="FL101" s="159">
        <v>0</v>
      </c>
      <c r="FM101" s="159">
        <v>0</v>
      </c>
    </row>
    <row r="102" spans="1:169" x14ac:dyDescent="0.3">
      <c r="A102" s="27" t="s">
        <v>81</v>
      </c>
      <c r="DU102" s="44">
        <f>+Inputs!DU247</f>
        <v>0</v>
      </c>
      <c r="DV102" s="44">
        <f>+Inputs!DV247</f>
        <v>384</v>
      </c>
      <c r="DW102" s="44">
        <f>+Inputs!DW247</f>
        <v>30</v>
      </c>
      <c r="DX102" s="44">
        <f>+Inputs!DX247</f>
        <v>32</v>
      </c>
      <c r="DY102" s="45">
        <f t="shared" si="259"/>
        <v>446</v>
      </c>
      <c r="DZ102" s="44">
        <f>+Inputs!DZ247</f>
        <v>24</v>
      </c>
      <c r="EA102" s="44">
        <f>+Inputs!EA247</f>
        <v>136</v>
      </c>
      <c r="EB102" s="44">
        <f>+Inputs!EB247</f>
        <v>0</v>
      </c>
      <c r="EC102" s="44">
        <f>+Inputs!EC247</f>
        <v>2</v>
      </c>
      <c r="ED102" s="45">
        <f t="shared" si="260"/>
        <v>162</v>
      </c>
      <c r="EE102" s="44">
        <f>+Inputs!EE247</f>
        <v>0</v>
      </c>
      <c r="EF102" s="44">
        <f>+Inputs!EF247</f>
        <v>0</v>
      </c>
      <c r="EG102" s="44">
        <f>+Inputs!EG247</f>
        <v>0</v>
      </c>
      <c r="EH102" s="44">
        <f>+Inputs!EH247</f>
        <v>0</v>
      </c>
      <c r="EI102" s="45">
        <f t="shared" si="261"/>
        <v>0</v>
      </c>
      <c r="EJ102" s="44">
        <f>+Inputs!EJ247</f>
        <v>0</v>
      </c>
      <c r="EK102" s="44">
        <f>+Inputs!EK247</f>
        <v>0</v>
      </c>
      <c r="EL102" s="44">
        <f>+Inputs!EL247</f>
        <v>0</v>
      </c>
      <c r="EM102" s="44">
        <f>+Inputs!EM247</f>
        <v>0</v>
      </c>
      <c r="EN102" s="45">
        <f t="shared" si="262"/>
        <v>0</v>
      </c>
      <c r="EO102" s="44">
        <f>+Inputs!EO247</f>
        <v>0</v>
      </c>
      <c r="EP102" s="44">
        <f>+Inputs!EP247</f>
        <v>0</v>
      </c>
      <c r="EQ102" s="44">
        <f>+Inputs!EQ247</f>
        <v>0</v>
      </c>
      <c r="ER102" s="44">
        <f>+Inputs!ER247</f>
        <v>0</v>
      </c>
      <c r="ES102" s="45">
        <f t="shared" si="263"/>
        <v>0</v>
      </c>
      <c r="ET102" s="159">
        <v>0</v>
      </c>
      <c r="EU102" s="159">
        <v>0</v>
      </c>
      <c r="EV102" s="159">
        <v>0</v>
      </c>
      <c r="EW102" s="159">
        <v>0</v>
      </c>
      <c r="EX102" s="45">
        <f t="shared" si="265"/>
        <v>0</v>
      </c>
      <c r="EY102" s="159">
        <v>0</v>
      </c>
      <c r="EZ102" s="159">
        <v>0</v>
      </c>
      <c r="FA102" s="159">
        <v>0</v>
      </c>
      <c r="FB102" s="159">
        <v>0</v>
      </c>
      <c r="FC102" s="45">
        <f t="shared" si="267"/>
        <v>0</v>
      </c>
      <c r="FD102" s="159">
        <v>0</v>
      </c>
      <c r="FE102" s="159">
        <v>0</v>
      </c>
      <c r="FF102" s="159">
        <v>0</v>
      </c>
      <c r="FG102" s="159">
        <v>0</v>
      </c>
      <c r="FH102" s="45">
        <f t="shared" si="269"/>
        <v>0</v>
      </c>
      <c r="FI102" s="159">
        <v>0</v>
      </c>
      <c r="FJ102" s="159">
        <v>0</v>
      </c>
      <c r="FK102" s="159">
        <v>0</v>
      </c>
      <c r="FL102" s="159">
        <v>0</v>
      </c>
      <c r="FM102" s="159">
        <v>0</v>
      </c>
    </row>
    <row r="103" spans="1:169" x14ac:dyDescent="0.3">
      <c r="A103" s="27" t="s">
        <v>82</v>
      </c>
      <c r="DU103" s="44">
        <f>SUM(Inputs!DU248:DU250)</f>
        <v>-163</v>
      </c>
      <c r="DV103" s="44">
        <f>SUM(Inputs!DV248:DV250)</f>
        <v>129</v>
      </c>
      <c r="DW103" s="44">
        <f>SUM(Inputs!DW248:DW250)</f>
        <v>-127</v>
      </c>
      <c r="DX103" s="44">
        <f>SUM(Inputs!DX248:DX250)</f>
        <v>82</v>
      </c>
      <c r="DY103" s="45">
        <f>SUM(DU103:DX103)</f>
        <v>-79</v>
      </c>
      <c r="DZ103" s="44">
        <f>SUM(Inputs!DZ248:DZ250)</f>
        <v>141</v>
      </c>
      <c r="EA103" s="44">
        <f>SUM(Inputs!EA248:EA250)</f>
        <v>37</v>
      </c>
      <c r="EB103" s="44">
        <f>SUM(Inputs!EB248:EB250)</f>
        <v>139</v>
      </c>
      <c r="EC103" s="44">
        <f>SUM(Inputs!EC248:EC250)</f>
        <v>57</v>
      </c>
      <c r="ED103" s="45">
        <f>SUM(DZ103:EC103)</f>
        <v>374</v>
      </c>
      <c r="EE103" s="44">
        <f>SUM(Inputs!EE248:EE250)</f>
        <v>134</v>
      </c>
      <c r="EF103" s="44">
        <f>SUM(Inputs!EF248:EF250)</f>
        <v>-150</v>
      </c>
      <c r="EG103" s="44">
        <f>SUM(Inputs!EG248:EG250)</f>
        <v>171</v>
      </c>
      <c r="EH103" s="44">
        <f>SUM(Inputs!EH248:EH250)</f>
        <v>-19</v>
      </c>
      <c r="EI103" s="45">
        <f>SUM(EE103:EH103)</f>
        <v>136</v>
      </c>
      <c r="EJ103" s="44">
        <f>SUM(Inputs!EJ248:EJ250)</f>
        <v>102</v>
      </c>
      <c r="EK103" s="44">
        <f>SUM(Inputs!EK248:EK250)</f>
        <v>-258</v>
      </c>
      <c r="EL103" s="44">
        <f>SUM(Inputs!EL248:EL250)</f>
        <v>-268</v>
      </c>
      <c r="EM103" s="44">
        <f>SUM(Inputs!EM248:EM250)</f>
        <v>-137</v>
      </c>
      <c r="EN103" s="45">
        <f t="shared" ref="EN103" si="279">+SUM(EJ103:EM103)</f>
        <v>-561</v>
      </c>
      <c r="EO103" s="44">
        <f>SUM(Inputs!EO248:EO250)</f>
        <v>38</v>
      </c>
      <c r="EP103" s="44">
        <f>SUM(Inputs!EP248:EP250)</f>
        <v>-106</v>
      </c>
      <c r="EQ103" s="44">
        <f>SUM(Inputs!EQ248:EQ250)</f>
        <v>-28</v>
      </c>
      <c r="ER103" s="44">
        <f>SUM(Inputs!ER248:ER250)</f>
        <v>-212</v>
      </c>
      <c r="ES103" s="45">
        <f t="shared" ref="ES103" si="280">+SUM(EO103:ER103)</f>
        <v>-308</v>
      </c>
      <c r="ET103" s="57">
        <v>-5</v>
      </c>
      <c r="EU103" s="57">
        <v>-5</v>
      </c>
      <c r="EV103" s="57">
        <v>-5</v>
      </c>
      <c r="EW103" s="57">
        <v>-5</v>
      </c>
      <c r="EX103" s="45">
        <f t="shared" si="265"/>
        <v>-20</v>
      </c>
      <c r="EY103" s="57">
        <f t="shared" ref="EY103:FB103" si="281">ET103*0.5</f>
        <v>-2.5</v>
      </c>
      <c r="EZ103" s="57">
        <f t="shared" si="281"/>
        <v>-2.5</v>
      </c>
      <c r="FA103" s="57">
        <f t="shared" si="281"/>
        <v>-2.5</v>
      </c>
      <c r="FB103" s="57">
        <f t="shared" si="281"/>
        <v>-2.5</v>
      </c>
      <c r="FC103" s="45">
        <f t="shared" si="267"/>
        <v>-10</v>
      </c>
      <c r="FD103" s="57">
        <f t="shared" ref="FD103:FG103" si="282">EY103*0.5</f>
        <v>-1.25</v>
      </c>
      <c r="FE103" s="57">
        <f t="shared" si="282"/>
        <v>-1.25</v>
      </c>
      <c r="FF103" s="57">
        <f t="shared" si="282"/>
        <v>-1.25</v>
      </c>
      <c r="FG103" s="57">
        <f t="shared" si="282"/>
        <v>-1.25</v>
      </c>
      <c r="FH103" s="45">
        <f t="shared" si="269"/>
        <v>-5</v>
      </c>
      <c r="FI103" s="57">
        <v>0</v>
      </c>
      <c r="FJ103" s="57">
        <f t="shared" ref="FJ103:FM103" si="283">FI103*0.5</f>
        <v>0</v>
      </c>
      <c r="FK103" s="57">
        <f t="shared" si="283"/>
        <v>0</v>
      </c>
      <c r="FL103" s="57">
        <f t="shared" si="283"/>
        <v>0</v>
      </c>
      <c r="FM103" s="57">
        <f t="shared" si="283"/>
        <v>0</v>
      </c>
    </row>
    <row r="104" spans="1:169" x14ac:dyDescent="0.3">
      <c r="A104" s="27" t="s">
        <v>34</v>
      </c>
      <c r="DU104" s="76">
        <f>+DU105-SUM(DU96:DU103)</f>
        <v>29</v>
      </c>
      <c r="DV104" s="76">
        <f t="shared" ref="DV104:DX104" si="284">+DV105-SUM(DV96:DV103)</f>
        <v>7</v>
      </c>
      <c r="DW104" s="76">
        <f t="shared" si="284"/>
        <v>9</v>
      </c>
      <c r="DX104" s="76">
        <f t="shared" si="284"/>
        <v>5</v>
      </c>
      <c r="DY104" s="45">
        <f t="shared" si="259"/>
        <v>50</v>
      </c>
      <c r="DZ104" s="76">
        <f t="shared" ref="DZ104:EC104" si="285">+DZ105-SUM(DZ96:DZ103)</f>
        <v>9</v>
      </c>
      <c r="EA104" s="76">
        <f t="shared" si="285"/>
        <v>89</v>
      </c>
      <c r="EB104" s="76">
        <f t="shared" si="285"/>
        <v>3</v>
      </c>
      <c r="EC104" s="76">
        <f t="shared" si="285"/>
        <v>85</v>
      </c>
      <c r="ED104" s="45">
        <f t="shared" si="260"/>
        <v>186</v>
      </c>
      <c r="EE104" s="76">
        <f t="shared" ref="EE104:EH104" si="286">+EE105-SUM(EE96:EE103)</f>
        <v>1</v>
      </c>
      <c r="EF104" s="76">
        <f t="shared" si="286"/>
        <v>-5472</v>
      </c>
      <c r="EG104" s="76">
        <f t="shared" si="286"/>
        <v>-6</v>
      </c>
      <c r="EH104" s="76">
        <f t="shared" si="286"/>
        <v>-7</v>
      </c>
      <c r="EI104" s="45">
        <f t="shared" si="261"/>
        <v>-5484</v>
      </c>
      <c r="EJ104" s="76">
        <f t="shared" ref="EJ104:EM104" si="287">+EJ105-SUM(EJ96:EJ103)</f>
        <v>37</v>
      </c>
      <c r="EK104" s="76">
        <f t="shared" si="287"/>
        <v>8</v>
      </c>
      <c r="EL104" s="76">
        <f t="shared" si="287"/>
        <v>-7</v>
      </c>
      <c r="EM104" s="76">
        <f t="shared" si="287"/>
        <v>0</v>
      </c>
      <c r="EN104" s="45">
        <f t="shared" si="262"/>
        <v>38</v>
      </c>
      <c r="EO104" s="76">
        <f t="shared" ref="EO104:ER104" si="288">+EO105-SUM(EO96:EO103)</f>
        <v>-7</v>
      </c>
      <c r="EP104" s="76">
        <f t="shared" si="288"/>
        <v>3</v>
      </c>
      <c r="EQ104" s="76">
        <f t="shared" si="288"/>
        <v>16</v>
      </c>
      <c r="ER104" s="76">
        <f t="shared" si="288"/>
        <v>10</v>
      </c>
      <c r="ES104" s="45">
        <f t="shared" si="263"/>
        <v>22</v>
      </c>
      <c r="ET104" s="159">
        <f>-125/4-(ET213-ET207)</f>
        <v>67.338224314345979</v>
      </c>
      <c r="EU104" s="159">
        <f t="shared" ref="EU104:EW104" si="289">-125/4-(EU213-EU207)</f>
        <v>-120.45730994152052</v>
      </c>
      <c r="EV104" s="159">
        <f t="shared" si="289"/>
        <v>13.910157312925151</v>
      </c>
      <c r="EW104" s="159">
        <f t="shared" si="289"/>
        <v>-98.302049763033182</v>
      </c>
      <c r="EX104" s="45">
        <f t="shared" si="265"/>
        <v>-137.51097807728257</v>
      </c>
      <c r="EY104" s="159">
        <f>-125/4-(EY213-EY207)</f>
        <v>67.338224314345979</v>
      </c>
      <c r="EZ104" s="159">
        <f t="shared" ref="EZ104:FB104" si="290">-125/4-(EZ213-EZ207)</f>
        <v>-120.45730994152052</v>
      </c>
      <c r="FA104" s="159">
        <f t="shared" si="290"/>
        <v>23.83043792517006</v>
      </c>
      <c r="FB104" s="159">
        <f t="shared" si="290"/>
        <v>-106.00643364928908</v>
      </c>
      <c r="FC104" s="45">
        <f t="shared" si="267"/>
        <v>-135.29508135129356</v>
      </c>
      <c r="FD104" s="159">
        <f>-125/4-(FD213-FD207)</f>
        <v>76.494217194092798</v>
      </c>
      <c r="FE104" s="159">
        <f t="shared" ref="FE104:FG104" si="291">-125/4-(FE213-FE207)</f>
        <v>-126.04941520467838</v>
      </c>
      <c r="FF104" s="159">
        <f t="shared" si="291"/>
        <v>23.83043792517006</v>
      </c>
      <c r="FG104" s="159">
        <f t="shared" si="291"/>
        <v>-106.00643364928908</v>
      </c>
      <c r="FH104" s="45">
        <f t="shared" si="269"/>
        <v>-131.73119373470462</v>
      </c>
      <c r="FI104" s="159">
        <f t="shared" ref="FI104:FM104" si="292">-125-(FI213-FI207)</f>
        <v>-131.47511011978906</v>
      </c>
      <c r="FJ104" s="159">
        <f t="shared" si="292"/>
        <v>-131.87612210281986</v>
      </c>
      <c r="FK104" s="159">
        <f t="shared" si="292"/>
        <v>-124.18900403421003</v>
      </c>
      <c r="FL104" s="159">
        <f t="shared" si="292"/>
        <v>-122.98801872099784</v>
      </c>
      <c r="FM104" s="159">
        <f t="shared" si="292"/>
        <v>-118.18142183250416</v>
      </c>
    </row>
    <row r="105" spans="1:169" x14ac:dyDescent="0.3">
      <c r="A105" s="35" t="s">
        <v>83</v>
      </c>
      <c r="DU105" s="1784">
        <f>+Inputs!DU251</f>
        <v>282</v>
      </c>
      <c r="DV105" s="1784">
        <f>+Inputs!DV251</f>
        <v>575</v>
      </c>
      <c r="DW105" s="1784">
        <f>+Inputs!DW251</f>
        <v>246</v>
      </c>
      <c r="DX105" s="1784">
        <f>+Inputs!DX251</f>
        <v>405</v>
      </c>
      <c r="DY105" s="858">
        <f t="shared" si="259"/>
        <v>1508</v>
      </c>
      <c r="DZ105" s="1784">
        <f>+Inputs!DZ251</f>
        <v>477</v>
      </c>
      <c r="EA105" s="1784">
        <f>+Inputs!EA251</f>
        <v>473</v>
      </c>
      <c r="EB105" s="1784">
        <f>+Inputs!EB251</f>
        <v>542</v>
      </c>
      <c r="EC105" s="1784">
        <f>+Inputs!EC251</f>
        <v>497</v>
      </c>
      <c r="ED105" s="858">
        <f t="shared" si="260"/>
        <v>1989</v>
      </c>
      <c r="EE105" s="1784">
        <f>+Inputs!EE251</f>
        <v>665</v>
      </c>
      <c r="EF105" s="1784">
        <f>+Inputs!EF251</f>
        <v>-939</v>
      </c>
      <c r="EG105" s="1784">
        <f>+Inputs!EG251</f>
        <v>603</v>
      </c>
      <c r="EH105" s="1784">
        <f>+Inputs!EH251</f>
        <v>468</v>
      </c>
      <c r="EI105" s="858">
        <f t="shared" si="261"/>
        <v>797</v>
      </c>
      <c r="EJ105" s="1784">
        <f>+Inputs!EJ251</f>
        <v>528</v>
      </c>
      <c r="EK105" s="1784">
        <f>+Inputs!EK251</f>
        <v>229</v>
      </c>
      <c r="EL105" s="1784">
        <f>+Inputs!EL251</f>
        <v>284</v>
      </c>
      <c r="EM105" s="1784">
        <f>+Inputs!EM251</f>
        <v>360</v>
      </c>
      <c r="EN105" s="858">
        <f t="shared" si="262"/>
        <v>1401</v>
      </c>
      <c r="EO105" s="1784">
        <f>+Inputs!EO251</f>
        <v>389</v>
      </c>
      <c r="EP105" s="1784">
        <f>+Inputs!EP251</f>
        <v>276</v>
      </c>
      <c r="EQ105" s="1784">
        <f>+Inputs!EQ251</f>
        <v>383</v>
      </c>
      <c r="ER105" s="1784">
        <f>+Inputs!ER251</f>
        <v>296</v>
      </c>
      <c r="ES105" s="858">
        <f t="shared" si="263"/>
        <v>1344</v>
      </c>
      <c r="ET105" s="858">
        <f t="shared" ref="ET105:EW105" si="293">+SUM(ET96:ET104)</f>
        <v>405.39022666595861</v>
      </c>
      <c r="EU105" s="858">
        <f t="shared" si="293"/>
        <v>233.98984278163073</v>
      </c>
      <c r="EV105" s="858">
        <f t="shared" si="293"/>
        <v>366.34392195663764</v>
      </c>
      <c r="EW105" s="858">
        <f t="shared" si="293"/>
        <v>282.76909051971847</v>
      </c>
      <c r="EX105" s="858">
        <f t="shared" si="265"/>
        <v>1288.4930819239455</v>
      </c>
      <c r="EY105" s="858">
        <f t="shared" ref="EY105:FB105" si="294">+SUM(EY96:EY104)</f>
        <v>441.78310533324623</v>
      </c>
      <c r="EZ105" s="858">
        <f t="shared" si="294"/>
        <v>281.19674820169178</v>
      </c>
      <c r="FA105" s="858">
        <f t="shared" si="294"/>
        <v>394.77878771174881</v>
      </c>
      <c r="FB105" s="858">
        <f t="shared" si="294"/>
        <v>302.66274881085053</v>
      </c>
      <c r="FC105" s="858">
        <f t="shared" si="267"/>
        <v>1420.4213900575373</v>
      </c>
      <c r="FD105" s="858">
        <f t="shared" ref="FD105:FG105" si="295">+SUM(FD96:FD104)</f>
        <v>486.25202787393084</v>
      </c>
      <c r="FE105" s="858">
        <f t="shared" si="295"/>
        <v>319.37450143326527</v>
      </c>
      <c r="FF105" s="858">
        <f t="shared" si="295"/>
        <v>457.44081560287475</v>
      </c>
      <c r="FG105" s="858">
        <f t="shared" si="295"/>
        <v>370.54914955321726</v>
      </c>
      <c r="FH105" s="858">
        <f t="shared" si="269"/>
        <v>1633.6164944632883</v>
      </c>
      <c r="FI105" s="858">
        <f t="shared" ref="FI105:FM105" si="296">+SUM(FI96:FI104)</f>
        <v>1916.5507270385551</v>
      </c>
      <c r="FJ105" s="858">
        <f t="shared" si="296"/>
        <v>2205.5063344339396</v>
      </c>
      <c r="FK105" s="858">
        <f t="shared" si="296"/>
        <v>2385.4781884852291</v>
      </c>
      <c r="FL105" s="858">
        <f t="shared" si="296"/>
        <v>2634.3299634501946</v>
      </c>
      <c r="FM105" s="858">
        <f t="shared" si="296"/>
        <v>2817.1636029043157</v>
      </c>
    </row>
    <row r="106" spans="1:169" x14ac:dyDescent="0.3">
      <c r="A106" s="27"/>
      <c r="EO106"/>
      <c r="EP106"/>
      <c r="EQ106"/>
      <c r="ER106"/>
    </row>
    <row r="107" spans="1:169" x14ac:dyDescent="0.3">
      <c r="A107" s="27" t="s">
        <v>84</v>
      </c>
      <c r="DU107" s="44">
        <f>+Inputs!DU253</f>
        <v>-305</v>
      </c>
      <c r="DV107" s="44">
        <f>+Inputs!DV253</f>
        <v>-275</v>
      </c>
      <c r="DW107" s="44">
        <f>+Inputs!DW253</f>
        <v>-318</v>
      </c>
      <c r="DX107" s="44">
        <f>+Inputs!DX253</f>
        <v>-328</v>
      </c>
      <c r="DY107" s="45">
        <f t="shared" si="259"/>
        <v>-1226</v>
      </c>
      <c r="DZ107" s="44">
        <f>+Inputs!DZ253</f>
        <v>-286</v>
      </c>
      <c r="EA107" s="44">
        <f>+Inputs!EA253</f>
        <v>-225</v>
      </c>
      <c r="EB107" s="44">
        <f>+Inputs!EB253</f>
        <v>-314</v>
      </c>
      <c r="EC107" s="44">
        <f>+Inputs!EC253</f>
        <v>-356</v>
      </c>
      <c r="ED107" s="45">
        <f>+SUM(DZ107:EC107)</f>
        <v>-1181</v>
      </c>
      <c r="EE107" s="44">
        <f>+Inputs!EE253</f>
        <v>-384</v>
      </c>
      <c r="EF107" s="44">
        <f>+Inputs!EF253</f>
        <v>-385</v>
      </c>
      <c r="EG107" s="44">
        <f>+Inputs!EG253</f>
        <v>-377</v>
      </c>
      <c r="EH107" s="44">
        <f>+Inputs!EH253</f>
        <v>-559</v>
      </c>
      <c r="EI107" s="45">
        <f>+SUM(EE107:EH107)</f>
        <v>-1705</v>
      </c>
      <c r="EJ107" s="44">
        <f>+Inputs!EJ253</f>
        <v>-447</v>
      </c>
      <c r="EK107" s="44">
        <f>+Inputs!EK253</f>
        <v>-641</v>
      </c>
      <c r="EL107" s="44">
        <f>+Inputs!EL253</f>
        <v>-772</v>
      </c>
      <c r="EM107" s="44">
        <f>+Inputs!EM253</f>
        <v>-878</v>
      </c>
      <c r="EN107" s="45">
        <f>+SUM(EJ107:EM107)</f>
        <v>-2738</v>
      </c>
      <c r="EO107" s="44">
        <f>+Inputs!EO253</f>
        <v>-1154</v>
      </c>
      <c r="EP107" s="44">
        <f>+Inputs!EP253</f>
        <v>-1057</v>
      </c>
      <c r="EQ107" s="44">
        <f>+Inputs!EQ253</f>
        <v>-671</v>
      </c>
      <c r="ER107" s="44">
        <f>+Inputs!ER253</f>
        <v>-329</v>
      </c>
      <c r="ES107" s="45">
        <f>+SUM(EO107:ER107)</f>
        <v>-3211</v>
      </c>
      <c r="ET107" s="44">
        <f>+'Drivers (2)'!ET573*-1</f>
        <v>-1070.569669465669</v>
      </c>
      <c r="EU107" s="44">
        <f>+'Drivers (2)'!EU573*-1</f>
        <v>-950.00515993521185</v>
      </c>
      <c r="EV107" s="44">
        <f>+'Drivers (2)'!EV573*-1</f>
        <v>-607.65843430558925</v>
      </c>
      <c r="EW107" s="44">
        <f>+'Drivers (2)'!EW573*-1</f>
        <v>-480.40638202327114</v>
      </c>
      <c r="EX107" s="45">
        <f>+SUM(ET107:EW107)</f>
        <v>-3108.6396457297415</v>
      </c>
      <c r="EY107" s="44">
        <f>+'Drivers (2)'!EY573*-1</f>
        <v>-892.02514030719385</v>
      </c>
      <c r="EZ107" s="44">
        <f>+'Drivers (2)'!EZ573*-1</f>
        <v>-868.11521752519241</v>
      </c>
      <c r="FA107" s="44">
        <f>+'Drivers (2)'!FA573*-1</f>
        <v>-629.74692701584604</v>
      </c>
      <c r="FB107" s="44">
        <f>+'Drivers (2)'!FB573*-1</f>
        <v>-195.80869848281174</v>
      </c>
      <c r="FC107" s="45">
        <f>+SUM(EY107:FB107)</f>
        <v>-2585.6959833310443</v>
      </c>
      <c r="FD107" s="44">
        <f>+'Drivers (2)'!FD573*-1</f>
        <v>-710.56448210113081</v>
      </c>
      <c r="FE107" s="44">
        <f>+'Drivers (2)'!FE573*-1</f>
        <v>-674.74565544694599</v>
      </c>
      <c r="FF107" s="44">
        <f>+'Drivers (2)'!FF573*-1</f>
        <v>-503.14248035796345</v>
      </c>
      <c r="FG107" s="44">
        <f>+'Drivers (2)'!FG573*-1</f>
        <v>-360.04389669917555</v>
      </c>
      <c r="FH107" s="45">
        <f>+SUM(FD107:FG107)</f>
        <v>-2248.4965146052159</v>
      </c>
      <c r="FI107" s="44">
        <f>+'Drivers (2)'!FI573*-1</f>
        <v>-1414.6634666024838</v>
      </c>
      <c r="FJ107" s="44">
        <f>+'Drivers (2)'!FJ573*-1</f>
        <v>-1388.3472749526786</v>
      </c>
      <c r="FK107" s="44">
        <f>+'Drivers (2)'!FK573*-1</f>
        <v>-1360.981876326618</v>
      </c>
      <c r="FL107" s="44">
        <f>+'Drivers (2)'!FL573*-1</f>
        <v>-1332.745632004036</v>
      </c>
      <c r="FM107" s="44">
        <f>+'Drivers (2)'!FM573*-1</f>
        <v>-1306.146082829664</v>
      </c>
    </row>
    <row r="108" spans="1:169" x14ac:dyDescent="0.3">
      <c r="A108" s="27" t="s">
        <v>85</v>
      </c>
      <c r="DU108" s="44">
        <f>+Inputs!DU254</f>
        <v>74</v>
      </c>
      <c r="DV108" s="44">
        <f>+Inputs!DV254</f>
        <v>0</v>
      </c>
      <c r="DW108" s="44">
        <f>+Inputs!DW254</f>
        <v>2</v>
      </c>
      <c r="DX108" s="44">
        <f>+Inputs!DX254</f>
        <v>12</v>
      </c>
      <c r="DY108" s="45">
        <f t="shared" si="259"/>
        <v>88</v>
      </c>
      <c r="DZ108" s="44">
        <f>+Inputs!DZ254</f>
        <v>2</v>
      </c>
      <c r="EA108" s="44">
        <f>+Inputs!EA254</f>
        <v>1134</v>
      </c>
      <c r="EB108" s="44">
        <f>+Inputs!EB254</f>
        <v>-5</v>
      </c>
      <c r="EC108" s="44">
        <f>+Inputs!EC254</f>
        <v>27</v>
      </c>
      <c r="ED108" s="45">
        <f>+SUM(DZ108:EC108)</f>
        <v>1158</v>
      </c>
      <c r="EE108" s="44">
        <f>+Inputs!EE254</f>
        <v>2</v>
      </c>
      <c r="EF108" s="44">
        <f>+Inputs!EF254</f>
        <v>0</v>
      </c>
      <c r="EG108" s="44">
        <f>+Inputs!EG254</f>
        <v>0</v>
      </c>
      <c r="EH108" s="44">
        <f>+Inputs!EH254</f>
        <v>7</v>
      </c>
      <c r="EI108" s="45">
        <f>+SUM(EE108:EH108)</f>
        <v>9</v>
      </c>
      <c r="EJ108" s="44">
        <f>+Inputs!EJ254</f>
        <v>0</v>
      </c>
      <c r="EK108" s="44">
        <f>+Inputs!EK254</f>
        <v>0</v>
      </c>
      <c r="EL108" s="44">
        <f>+Inputs!EL254</f>
        <v>3</v>
      </c>
      <c r="EM108" s="44">
        <f>+Inputs!EM254</f>
        <v>9</v>
      </c>
      <c r="EN108" s="45">
        <f>+SUM(EJ108:EM108)</f>
        <v>12</v>
      </c>
      <c r="EO108" s="44">
        <f>+Inputs!EO254</f>
        <v>0</v>
      </c>
      <c r="EP108" s="44">
        <f>+Inputs!EP254</f>
        <v>0</v>
      </c>
      <c r="EQ108" s="44">
        <f>+Inputs!EQ254</f>
        <v>18</v>
      </c>
      <c r="ER108" s="44">
        <f>+Inputs!ER254</f>
        <v>18</v>
      </c>
      <c r="ES108" s="45">
        <f>+SUM(EO108:ER108)</f>
        <v>36</v>
      </c>
      <c r="ET108" s="159">
        <v>0</v>
      </c>
      <c r="EU108" s="159">
        <v>0</v>
      </c>
      <c r="EV108" s="159">
        <v>0</v>
      </c>
      <c r="EW108" s="159">
        <v>0</v>
      </c>
      <c r="EX108" s="45">
        <f>+SUM(ET108:EW108)</f>
        <v>0</v>
      </c>
      <c r="EY108" s="159">
        <v>0</v>
      </c>
      <c r="EZ108" s="159">
        <v>0</v>
      </c>
      <c r="FA108" s="159">
        <v>0</v>
      </c>
      <c r="FB108" s="159">
        <v>0</v>
      </c>
      <c r="FC108" s="45">
        <f>+SUM(EY108:FB108)</f>
        <v>0</v>
      </c>
      <c r="FD108" s="159">
        <v>0</v>
      </c>
      <c r="FE108" s="159">
        <v>0</v>
      </c>
      <c r="FF108" s="159">
        <v>0</v>
      </c>
      <c r="FG108" s="159">
        <v>0</v>
      </c>
      <c r="FH108" s="45">
        <f>+SUM(FD108:FG108)</f>
        <v>0</v>
      </c>
      <c r="FI108" s="159">
        <v>0</v>
      </c>
      <c r="FJ108" s="159">
        <v>0</v>
      </c>
      <c r="FK108" s="159">
        <v>0</v>
      </c>
      <c r="FL108" s="159">
        <v>0</v>
      </c>
      <c r="FM108" s="159">
        <v>0</v>
      </c>
    </row>
    <row r="109" spans="1:169" x14ac:dyDescent="0.3">
      <c r="A109" s="27" t="s">
        <v>34</v>
      </c>
      <c r="DU109" s="44">
        <f>+Inputs!DU255</f>
        <v>0</v>
      </c>
      <c r="DV109" s="44">
        <f>+Inputs!DV255</f>
        <v>1</v>
      </c>
      <c r="DW109" s="44">
        <f>+Inputs!DW255</f>
        <v>1</v>
      </c>
      <c r="DX109" s="44">
        <f>+Inputs!DX255</f>
        <v>2</v>
      </c>
      <c r="DY109" s="160">
        <f t="shared" si="259"/>
        <v>4</v>
      </c>
      <c r="DZ109" s="161">
        <f>+Inputs!DZ255</f>
        <v>2</v>
      </c>
      <c r="EA109" s="161">
        <f>+Inputs!EA255</f>
        <v>1</v>
      </c>
      <c r="EB109" s="161">
        <f>+Inputs!EB255</f>
        <v>6</v>
      </c>
      <c r="EC109" s="161">
        <f>+Inputs!EC255</f>
        <v>-5</v>
      </c>
      <c r="ED109" s="45">
        <f>+SUM(DZ109:EC109)</f>
        <v>4</v>
      </c>
      <c r="EE109" s="161">
        <f>+Inputs!EE255</f>
        <v>2</v>
      </c>
      <c r="EF109" s="161">
        <f>+Inputs!EF255</f>
        <v>6</v>
      </c>
      <c r="EG109" s="161">
        <f>+Inputs!EG255</f>
        <v>1</v>
      </c>
      <c r="EH109" s="161">
        <f>+Inputs!EH255</f>
        <v>4</v>
      </c>
      <c r="EI109" s="45">
        <f>+SUM(EE109:EH109)</f>
        <v>13</v>
      </c>
      <c r="EJ109" s="161">
        <f>+Inputs!EJ255</f>
        <v>-898</v>
      </c>
      <c r="EK109" s="161">
        <f>+Inputs!EK255</f>
        <v>-1399</v>
      </c>
      <c r="EL109" s="161">
        <f>+Inputs!EL255</f>
        <v>-24</v>
      </c>
      <c r="EM109" s="161">
        <f>+Inputs!EM255</f>
        <v>579</v>
      </c>
      <c r="EN109" s="45">
        <f>+SUM(EJ109:EM109)</f>
        <v>-1742</v>
      </c>
      <c r="EO109" s="161">
        <f>+Inputs!EO255</f>
        <v>850</v>
      </c>
      <c r="EP109" s="161">
        <f>+Inputs!EP255</f>
        <v>329</v>
      </c>
      <c r="EQ109" s="161">
        <f>+Inputs!EQ255</f>
        <v>-766</v>
      </c>
      <c r="ER109" s="161">
        <f>+Inputs!ER255</f>
        <v>206</v>
      </c>
      <c r="ES109" s="45">
        <f>+SUM(EO109:ER109)</f>
        <v>619</v>
      </c>
      <c r="ET109" s="159">
        <v>0</v>
      </c>
      <c r="EU109" s="159">
        <v>500</v>
      </c>
      <c r="EV109" s="159">
        <v>350</v>
      </c>
      <c r="EW109" s="159">
        <v>0</v>
      </c>
      <c r="EX109" s="45">
        <f>+SUM(ET109:EW109)</f>
        <v>850</v>
      </c>
      <c r="EY109" s="159">
        <v>0</v>
      </c>
      <c r="EZ109" s="159">
        <v>225</v>
      </c>
      <c r="FA109" s="159">
        <v>0</v>
      </c>
      <c r="FB109" s="159">
        <v>0</v>
      </c>
      <c r="FC109" s="45">
        <f>+SUM(EY109:FB109)</f>
        <v>225</v>
      </c>
      <c r="FD109" s="159">
        <v>0</v>
      </c>
      <c r="FE109" s="159">
        <v>0</v>
      </c>
      <c r="FF109" s="159">
        <v>0</v>
      </c>
      <c r="FG109" s="159">
        <v>0</v>
      </c>
      <c r="FH109" s="45">
        <f>+SUM(FD109:FG109)</f>
        <v>0</v>
      </c>
      <c r="FI109" s="159">
        <v>0</v>
      </c>
      <c r="FJ109" s="159">
        <v>0</v>
      </c>
      <c r="FK109" s="159">
        <v>0</v>
      </c>
      <c r="FL109" s="159">
        <v>0</v>
      </c>
      <c r="FM109" s="159">
        <v>0</v>
      </c>
    </row>
    <row r="110" spans="1:169" x14ac:dyDescent="0.3">
      <c r="A110" s="35" t="s">
        <v>86</v>
      </c>
      <c r="DU110" s="858">
        <f>+SUM(DU107:DU109)</f>
        <v>-231</v>
      </c>
      <c r="DV110" s="858">
        <f>+SUM(DV107:DV109)</f>
        <v>-274</v>
      </c>
      <c r="DW110" s="858">
        <f>+SUM(DW107:DW109)</f>
        <v>-315</v>
      </c>
      <c r="DX110" s="858">
        <f>+SUM(DX107:DX109)</f>
        <v>-314</v>
      </c>
      <c r="DY110" s="45">
        <f t="shared" si="259"/>
        <v>-1134</v>
      </c>
      <c r="DZ110" s="45">
        <f>+SUM(DZ107:DZ109)</f>
        <v>-282</v>
      </c>
      <c r="EA110" s="45">
        <f>+SUM(EA107:EA109)</f>
        <v>910</v>
      </c>
      <c r="EB110" s="45">
        <f>+SUM(EB107:EB109)</f>
        <v>-313</v>
      </c>
      <c r="EC110" s="45">
        <f>+SUM(EC107:EC109)</f>
        <v>-334</v>
      </c>
      <c r="ED110" s="858">
        <f>+SUM(DZ110:EC110)</f>
        <v>-19</v>
      </c>
      <c r="EE110" s="45">
        <f>+SUM(EE107:EE109)</f>
        <v>-380</v>
      </c>
      <c r="EF110" s="45">
        <f>+SUM(EF107:EF109)</f>
        <v>-379</v>
      </c>
      <c r="EG110" s="45">
        <f>+SUM(EG107:EG109)</f>
        <v>-376</v>
      </c>
      <c r="EH110" s="45">
        <f>+SUM(EH107:EH109)</f>
        <v>-548</v>
      </c>
      <c r="EI110" s="858">
        <f>+SUM(EE110:EH110)</f>
        <v>-1683</v>
      </c>
      <c r="EJ110" s="45">
        <f>+SUM(EJ107:EJ109)</f>
        <v>-1345</v>
      </c>
      <c r="EK110" s="45">
        <f>+SUM(EK107:EK109)</f>
        <v>-2040</v>
      </c>
      <c r="EL110" s="45">
        <f>+SUM(EL107:EL109)</f>
        <v>-793</v>
      </c>
      <c r="EM110" s="45">
        <f>+SUM(EM107:EM109)</f>
        <v>-290</v>
      </c>
      <c r="EN110" s="858">
        <f>+SUM(EJ110:EM110)</f>
        <v>-4468</v>
      </c>
      <c r="EO110" s="45">
        <f>+SUM(EO107:EO109)</f>
        <v>-304</v>
      </c>
      <c r="EP110" s="45">
        <f>+SUM(EP107:EP109)</f>
        <v>-728</v>
      </c>
      <c r="EQ110" s="45">
        <f>+SUM(EQ107:EQ109)</f>
        <v>-1419</v>
      </c>
      <c r="ER110" s="45">
        <f>+SUM(ER107:ER109)</f>
        <v>-105</v>
      </c>
      <c r="ES110" s="858">
        <f>+SUM(EO110:ER110)</f>
        <v>-2556</v>
      </c>
      <c r="ET110" s="858">
        <f t="shared" ref="ET110:EW110" si="297">+SUM(ET107:ET109)</f>
        <v>-1070.569669465669</v>
      </c>
      <c r="EU110" s="858">
        <f t="shared" si="297"/>
        <v>-450.00515993521185</v>
      </c>
      <c r="EV110" s="858">
        <f t="shared" si="297"/>
        <v>-257.65843430558925</v>
      </c>
      <c r="EW110" s="858">
        <f t="shared" si="297"/>
        <v>-480.40638202327114</v>
      </c>
      <c r="EX110" s="858">
        <f>+SUM(ET110:EW110)</f>
        <v>-2258.6396457297415</v>
      </c>
      <c r="EY110" s="858">
        <f t="shared" ref="EY110:FB110" si="298">+SUM(EY107:EY109)</f>
        <v>-892.02514030719385</v>
      </c>
      <c r="EZ110" s="858">
        <f t="shared" si="298"/>
        <v>-643.11521752519241</v>
      </c>
      <c r="FA110" s="858">
        <f t="shared" si="298"/>
        <v>-629.74692701584604</v>
      </c>
      <c r="FB110" s="858">
        <f t="shared" si="298"/>
        <v>-195.80869848281174</v>
      </c>
      <c r="FC110" s="858">
        <f>+SUM(EY110:FB110)</f>
        <v>-2360.6959833310443</v>
      </c>
      <c r="FD110" s="858">
        <f t="shared" ref="FD110:FM110" si="299">+SUM(FD107:FD109)</f>
        <v>-710.56448210113081</v>
      </c>
      <c r="FE110" s="858">
        <f t="shared" si="299"/>
        <v>-674.74565544694599</v>
      </c>
      <c r="FF110" s="858">
        <f t="shared" si="299"/>
        <v>-503.14248035796345</v>
      </c>
      <c r="FG110" s="858">
        <f t="shared" si="299"/>
        <v>-360.04389669917555</v>
      </c>
      <c r="FH110" s="858">
        <f>+SUM(FD110:FG110)</f>
        <v>-2248.4965146052159</v>
      </c>
      <c r="FI110" s="858">
        <f t="shared" si="299"/>
        <v>-1414.6634666024838</v>
      </c>
      <c r="FJ110" s="858">
        <f t="shared" si="299"/>
        <v>-1388.3472749526786</v>
      </c>
      <c r="FK110" s="858">
        <f t="shared" si="299"/>
        <v>-1360.981876326618</v>
      </c>
      <c r="FL110" s="858">
        <f t="shared" si="299"/>
        <v>-1332.745632004036</v>
      </c>
      <c r="FM110" s="858">
        <f t="shared" si="299"/>
        <v>-1306.146082829664</v>
      </c>
    </row>
    <row r="111" spans="1:169" x14ac:dyDescent="0.3">
      <c r="A111" s="27"/>
      <c r="EO111"/>
      <c r="EP111"/>
      <c r="EQ111"/>
      <c r="ER111"/>
      <c r="ES111" s="76"/>
      <c r="EX111" s="76"/>
      <c r="FC111" s="76"/>
      <c r="FH111" s="76"/>
      <c r="FI111" s="76"/>
      <c r="FJ111" s="76"/>
      <c r="FK111" s="76"/>
      <c r="FL111" s="76"/>
      <c r="FM111" s="76"/>
    </row>
    <row r="112" spans="1:169" x14ac:dyDescent="0.3">
      <c r="A112" s="27" t="s">
        <v>87</v>
      </c>
      <c r="DU112" s="44">
        <f>+Inputs!DU258</f>
        <v>-1995</v>
      </c>
      <c r="DV112" s="44">
        <f>+Inputs!DV258</f>
        <v>-4</v>
      </c>
      <c r="DW112" s="44">
        <f>+Inputs!DW258</f>
        <v>-4</v>
      </c>
      <c r="DX112" s="44">
        <f>+Inputs!DX258</f>
        <v>-5</v>
      </c>
      <c r="DY112" s="45">
        <f t="shared" si="259"/>
        <v>-2008</v>
      </c>
      <c r="DZ112" s="44">
        <f>+Inputs!DZ258</f>
        <v>-5</v>
      </c>
      <c r="EA112" s="44">
        <f>+Inputs!EA258</f>
        <v>0</v>
      </c>
      <c r="EB112" s="44">
        <f>+Inputs!EB258</f>
        <v>0</v>
      </c>
      <c r="EC112" s="44">
        <f>+Inputs!EC258</f>
        <v>-4943</v>
      </c>
      <c r="ED112" s="45">
        <f t="shared" ref="ED112:ED120" si="300">+SUM(DZ112:EC112)</f>
        <v>-4948</v>
      </c>
      <c r="EE112" s="44">
        <f>+Inputs!EE258</f>
        <v>0</v>
      </c>
      <c r="EF112" s="44">
        <f>+Inputs!EF258</f>
        <v>-5</v>
      </c>
      <c r="EG112" s="44">
        <f>+Inputs!EG258</f>
        <v>-4</v>
      </c>
      <c r="EH112" s="44">
        <f>+Inputs!EH258</f>
        <v>-9</v>
      </c>
      <c r="EI112" s="45">
        <f t="shared" ref="EI112:EI120" si="301">+SUM(EE112:EH112)</f>
        <v>-18</v>
      </c>
      <c r="EJ112" s="44">
        <f>+Inputs!EJ258</f>
        <v>-3</v>
      </c>
      <c r="EK112" s="44">
        <f>+Inputs!EK258</f>
        <v>-3</v>
      </c>
      <c r="EL112" s="44">
        <f>+Inputs!EL258</f>
        <v>-4</v>
      </c>
      <c r="EM112" s="44">
        <f>+Inputs!EM258</f>
        <v>-3</v>
      </c>
      <c r="EN112" s="45">
        <f t="shared" ref="EN112:EN120" si="302">+SUM(EJ112:EM112)</f>
        <v>-13</v>
      </c>
      <c r="EO112" s="44">
        <f>+Inputs!EO258</f>
        <v>-4</v>
      </c>
      <c r="EP112" s="44">
        <f>+Inputs!EP258</f>
        <v>-4</v>
      </c>
      <c r="EQ112" s="44">
        <f>+Inputs!EQ258</f>
        <v>-56</v>
      </c>
      <c r="ER112" s="44">
        <f>+Inputs!ER258</f>
        <v>-4</v>
      </c>
      <c r="ES112" s="45">
        <f t="shared" ref="ES112:ES120" si="303">+SUM(EO112:ER112)</f>
        <v>-68</v>
      </c>
      <c r="ET112" s="159">
        <v>0</v>
      </c>
      <c r="EU112" s="159">
        <v>0</v>
      </c>
      <c r="EV112" s="159">
        <v>0</v>
      </c>
      <c r="EW112" s="159">
        <v>0</v>
      </c>
      <c r="EX112" s="45">
        <f t="shared" ref="EX112:EX120" si="304">+SUM(ET112:EW112)</f>
        <v>0</v>
      </c>
      <c r="EY112" s="159">
        <v>0</v>
      </c>
      <c r="EZ112" s="159">
        <v>0</v>
      </c>
      <c r="FA112" s="159">
        <v>0</v>
      </c>
      <c r="FB112" s="159">
        <v>0</v>
      </c>
      <c r="FC112" s="652">
        <f>+'Debt-old'!G14*-1</f>
        <v>0</v>
      </c>
      <c r="FD112" s="159">
        <v>0</v>
      </c>
      <c r="FE112" s="159">
        <v>0</v>
      </c>
      <c r="FF112" s="159">
        <v>0</v>
      </c>
      <c r="FG112" s="159">
        <v>0</v>
      </c>
      <c r="FH112" s="652">
        <f>+'Debt-old'!H14*-1</f>
        <v>0</v>
      </c>
      <c r="FI112" s="652">
        <f>+'Debt-old'!I14*-1</f>
        <v>-2740</v>
      </c>
      <c r="FJ112" s="652">
        <f>+'Debt-old'!J14*-1</f>
        <v>-2050</v>
      </c>
      <c r="FK112" s="652">
        <f>+'Debt-old'!K14*-1</f>
        <v>-1800</v>
      </c>
      <c r="FL112" s="652">
        <f>+'Debt-old'!L14*-1</f>
        <v>-2214</v>
      </c>
      <c r="FM112" s="652">
        <f>+'Debt-old'!M14*-1</f>
        <v>-850</v>
      </c>
    </row>
    <row r="113" spans="1:171" x14ac:dyDescent="0.3">
      <c r="A113" s="27" t="s">
        <v>88</v>
      </c>
      <c r="DU113" s="44">
        <f>+Inputs!DU259</f>
        <v>1650</v>
      </c>
      <c r="DV113" s="44">
        <f>+Inputs!DV259</f>
        <v>0</v>
      </c>
      <c r="DW113" s="44">
        <f>+Inputs!DW259</f>
        <v>0</v>
      </c>
      <c r="DX113" s="44">
        <f>+Inputs!DX259</f>
        <v>0</v>
      </c>
      <c r="DY113" s="45">
        <f t="shared" si="259"/>
        <v>1650</v>
      </c>
      <c r="DZ113" s="44">
        <f>+Inputs!DZ259</f>
        <v>0</v>
      </c>
      <c r="EA113" s="44">
        <f>+Inputs!EA259</f>
        <v>0</v>
      </c>
      <c r="EB113" s="44">
        <f>+Inputs!EB259</f>
        <v>0</v>
      </c>
      <c r="EC113" s="44">
        <f>+Inputs!EC259</f>
        <v>4950</v>
      </c>
      <c r="ED113" s="45">
        <f t="shared" si="300"/>
        <v>4950</v>
      </c>
      <c r="EE113" s="44">
        <f>+Inputs!EE259</f>
        <v>0</v>
      </c>
      <c r="EF113" s="44">
        <f>+Inputs!EF259</f>
        <v>225</v>
      </c>
      <c r="EG113" s="44">
        <f>+Inputs!EG259</f>
        <v>0</v>
      </c>
      <c r="EH113" s="44">
        <f>+Inputs!EH259</f>
        <v>1000</v>
      </c>
      <c r="EI113" s="45">
        <f t="shared" si="301"/>
        <v>1225</v>
      </c>
      <c r="EJ113" s="44">
        <f>+Inputs!EJ259</f>
        <v>0</v>
      </c>
      <c r="EK113" s="44">
        <f>+Inputs!EK259</f>
        <v>1200</v>
      </c>
      <c r="EL113" s="44">
        <f>+Inputs!EL259</f>
        <v>0</v>
      </c>
      <c r="EM113" s="44">
        <f>+Inputs!EM259</f>
        <v>0</v>
      </c>
      <c r="EN113" s="45">
        <f t="shared" si="302"/>
        <v>1200</v>
      </c>
      <c r="EO113" s="44">
        <f>+Inputs!EO259</f>
        <v>750</v>
      </c>
      <c r="EP113" s="44">
        <f>+Inputs!EP259</f>
        <v>0</v>
      </c>
      <c r="EQ113" s="44">
        <f>+Inputs!EQ259</f>
        <v>1528</v>
      </c>
      <c r="ER113" s="44">
        <f>+Inputs!ER259</f>
        <v>0</v>
      </c>
      <c r="ES113" s="45">
        <f t="shared" si="303"/>
        <v>2278</v>
      </c>
      <c r="ET113" s="159">
        <v>0</v>
      </c>
      <c r="EU113" s="159">
        <v>0</v>
      </c>
      <c r="EV113" s="159">
        <v>0</v>
      </c>
      <c r="EW113" s="159">
        <v>0</v>
      </c>
      <c r="EX113" s="45">
        <f t="shared" si="304"/>
        <v>0</v>
      </c>
      <c r="EY113" s="159">
        <v>0</v>
      </c>
      <c r="EZ113" s="159">
        <v>1500</v>
      </c>
      <c r="FA113" s="159">
        <v>0</v>
      </c>
      <c r="FB113" s="159">
        <v>0</v>
      </c>
      <c r="FC113" s="45">
        <f t="shared" ref="FC113:FC120" si="305">+SUM(EY113:FB113)</f>
        <v>1500</v>
      </c>
      <c r="FD113" s="159">
        <v>0</v>
      </c>
      <c r="FE113" s="159">
        <v>750</v>
      </c>
      <c r="FF113" s="159">
        <v>0</v>
      </c>
      <c r="FG113" s="159">
        <v>0</v>
      </c>
      <c r="FH113" s="45">
        <f t="shared" ref="FH113:FH120" si="306">+SUM(FD113:FG113)</f>
        <v>750</v>
      </c>
      <c r="FI113" s="159">
        <v>2500</v>
      </c>
      <c r="FJ113" s="159">
        <v>1600</v>
      </c>
      <c r="FK113" s="198">
        <f>+FK196-FJ196-FK112</f>
        <v>2617.4284579705982</v>
      </c>
      <c r="FL113" s="198">
        <f>+FL196-FK196-FL112</f>
        <v>3139.2154836391237</v>
      </c>
      <c r="FM113" s="198">
        <f>+FM196-FL196-FM112</f>
        <v>1706.9747467211291</v>
      </c>
    </row>
    <row r="114" spans="1:171" x14ac:dyDescent="0.3">
      <c r="A114" s="27" t="s">
        <v>89</v>
      </c>
      <c r="DU114" s="44">
        <f>+Inputs!DU260</f>
        <v>375</v>
      </c>
      <c r="DV114" s="44">
        <f>+Inputs!DV260</f>
        <v>75</v>
      </c>
      <c r="DW114" s="44">
        <f>+Inputs!DW260</f>
        <v>499</v>
      </c>
      <c r="DX114" s="44">
        <f>+Inputs!DX260</f>
        <v>0</v>
      </c>
      <c r="DY114" s="45">
        <f t="shared" si="259"/>
        <v>949</v>
      </c>
      <c r="DZ114" s="44">
        <f>+Inputs!DZ260</f>
        <v>0</v>
      </c>
      <c r="EA114" s="44">
        <f>+Inputs!EA260</f>
        <v>0</v>
      </c>
      <c r="EB114" s="44">
        <f>+Inputs!EB260</f>
        <v>0</v>
      </c>
      <c r="EC114" s="44">
        <f>+Inputs!EC260</f>
        <v>0</v>
      </c>
      <c r="ED114" s="45">
        <f t="shared" si="300"/>
        <v>0</v>
      </c>
      <c r="EE114" s="44">
        <f>+Inputs!EE260</f>
        <v>0</v>
      </c>
      <c r="EF114" s="44">
        <f>+Inputs!EF260</f>
        <v>0</v>
      </c>
      <c r="EG114" s="44">
        <f>+Inputs!EG260</f>
        <v>0</v>
      </c>
      <c r="EH114" s="44">
        <f>+Inputs!EH260</f>
        <v>0</v>
      </c>
      <c r="EI114" s="45">
        <f t="shared" si="301"/>
        <v>0</v>
      </c>
      <c r="EJ114" s="44">
        <f>+Inputs!EJ260</f>
        <v>0</v>
      </c>
      <c r="EK114" s="44">
        <f>+Inputs!EK260</f>
        <v>0</v>
      </c>
      <c r="EL114" s="44">
        <f>+Inputs!EL260</f>
        <v>0</v>
      </c>
      <c r="EM114" s="44">
        <f>+Inputs!EM260</f>
        <v>0</v>
      </c>
      <c r="EN114" s="45">
        <f t="shared" si="302"/>
        <v>0</v>
      </c>
      <c r="EO114" s="44">
        <f>+Inputs!EO260</f>
        <v>0</v>
      </c>
      <c r="EP114" s="44">
        <f>+Inputs!EP260</f>
        <v>0</v>
      </c>
      <c r="EQ114" s="44">
        <f>+Inputs!EQ260</f>
        <v>0</v>
      </c>
      <c r="ER114" s="44">
        <f>+Inputs!ER260</f>
        <v>0</v>
      </c>
      <c r="ES114" s="45">
        <f t="shared" si="303"/>
        <v>0</v>
      </c>
      <c r="ET114" s="159">
        <v>0</v>
      </c>
      <c r="EU114" s="159">
        <v>0</v>
      </c>
      <c r="EV114" s="159">
        <v>0</v>
      </c>
      <c r="EW114" s="159">
        <v>0</v>
      </c>
      <c r="EX114" s="45">
        <f t="shared" si="304"/>
        <v>0</v>
      </c>
      <c r="EY114" s="159">
        <v>0</v>
      </c>
      <c r="EZ114" s="159">
        <v>0</v>
      </c>
      <c r="FA114" s="159">
        <v>0</v>
      </c>
      <c r="FB114" s="159">
        <v>0</v>
      </c>
      <c r="FC114" s="45">
        <f t="shared" si="305"/>
        <v>0</v>
      </c>
      <c r="FD114" s="159">
        <v>0</v>
      </c>
      <c r="FE114" s="159">
        <v>0</v>
      </c>
      <c r="FF114" s="159">
        <v>0</v>
      </c>
      <c r="FG114" s="159">
        <v>0</v>
      </c>
      <c r="FH114" s="45">
        <f t="shared" si="306"/>
        <v>0</v>
      </c>
      <c r="FI114" s="159">
        <v>0</v>
      </c>
      <c r="FJ114" s="159">
        <v>0</v>
      </c>
      <c r="FK114" s="159">
        <v>0</v>
      </c>
      <c r="FL114" s="159">
        <v>0</v>
      </c>
      <c r="FM114" s="159">
        <v>0</v>
      </c>
    </row>
    <row r="115" spans="1:171" x14ac:dyDescent="0.3">
      <c r="A115" s="27" t="s">
        <v>90</v>
      </c>
      <c r="DU115" s="44">
        <f>+Inputs!DU261</f>
        <v>-275</v>
      </c>
      <c r="DV115" s="44">
        <f>+Inputs!DV261</f>
        <v>-200</v>
      </c>
      <c r="DW115" s="44">
        <f>+Inputs!DW261</f>
        <v>0</v>
      </c>
      <c r="DX115" s="44">
        <f>+Inputs!DX261</f>
        <v>0</v>
      </c>
      <c r="DY115" s="45">
        <f t="shared" si="259"/>
        <v>-475</v>
      </c>
      <c r="DZ115" s="44">
        <f>+Inputs!DZ261</f>
        <v>0</v>
      </c>
      <c r="EA115" s="44">
        <f>+Inputs!EA261</f>
        <v>0</v>
      </c>
      <c r="EB115" s="44">
        <f>+Inputs!EB261</f>
        <v>-749</v>
      </c>
      <c r="EC115" s="44">
        <f>+Inputs!EC261</f>
        <v>0</v>
      </c>
      <c r="ED115" s="45">
        <f t="shared" si="300"/>
        <v>-749</v>
      </c>
      <c r="EE115" s="44">
        <f>+Inputs!EE261</f>
        <v>0</v>
      </c>
      <c r="EF115" s="44">
        <f>+Inputs!EF261</f>
        <v>0</v>
      </c>
      <c r="EG115" s="44">
        <f>+Inputs!EG261</f>
        <v>0</v>
      </c>
      <c r="EH115" s="44">
        <f>+Inputs!EH261</f>
        <v>0</v>
      </c>
      <c r="EI115" s="45">
        <f t="shared" si="301"/>
        <v>0</v>
      </c>
      <c r="EJ115" s="44">
        <f>+Inputs!EJ261</f>
        <v>0</v>
      </c>
      <c r="EK115" s="44">
        <f>+Inputs!EK261</f>
        <v>0</v>
      </c>
      <c r="EL115" s="44">
        <f>+Inputs!EL261</f>
        <v>0</v>
      </c>
      <c r="EM115" s="44">
        <f>+Inputs!EM261</f>
        <v>0</v>
      </c>
      <c r="EN115" s="45">
        <f t="shared" si="302"/>
        <v>0</v>
      </c>
      <c r="EO115" s="44">
        <f>+Inputs!EO261</f>
        <v>0</v>
      </c>
      <c r="EP115" s="44">
        <f>+Inputs!EP261</f>
        <v>0</v>
      </c>
      <c r="EQ115" s="44">
        <f>+Inputs!EQ261</f>
        <v>0</v>
      </c>
      <c r="ER115" s="44">
        <f>+Inputs!ER261</f>
        <v>0</v>
      </c>
      <c r="ES115" s="45">
        <f t="shared" si="303"/>
        <v>0</v>
      </c>
      <c r="ET115" s="159">
        <v>0</v>
      </c>
      <c r="EU115" s="159">
        <v>0</v>
      </c>
      <c r="EV115" s="159">
        <v>0</v>
      </c>
      <c r="EW115" s="159">
        <v>0</v>
      </c>
      <c r="EX115" s="45">
        <f t="shared" si="304"/>
        <v>0</v>
      </c>
      <c r="EY115" s="159">
        <v>0</v>
      </c>
      <c r="EZ115" s="159">
        <v>0</v>
      </c>
      <c r="FA115" s="159">
        <v>0</v>
      </c>
      <c r="FB115" s="159">
        <v>0</v>
      </c>
      <c r="FC115" s="45">
        <f t="shared" si="305"/>
        <v>0</v>
      </c>
      <c r="FD115" s="159">
        <v>0</v>
      </c>
      <c r="FE115" s="159">
        <v>0</v>
      </c>
      <c r="FF115" s="159">
        <v>0</v>
      </c>
      <c r="FG115" s="159">
        <v>0</v>
      </c>
      <c r="FH115" s="45">
        <f t="shared" si="306"/>
        <v>0</v>
      </c>
      <c r="FI115" s="159">
        <v>0</v>
      </c>
      <c r="FJ115" s="159">
        <v>0</v>
      </c>
      <c r="FK115" s="159">
        <v>0</v>
      </c>
      <c r="FL115" s="159">
        <v>0</v>
      </c>
      <c r="FM115" s="159">
        <v>0</v>
      </c>
    </row>
    <row r="116" spans="1:171" x14ac:dyDescent="0.3">
      <c r="A116" s="27" t="s">
        <v>91</v>
      </c>
      <c r="DU116" s="44">
        <f>+Inputs!DU262</f>
        <v>-30</v>
      </c>
      <c r="DV116" s="44">
        <f>+Inputs!DV262</f>
        <v>-14</v>
      </c>
      <c r="DW116" s="44">
        <f>+Inputs!DW262</f>
        <v>0</v>
      </c>
      <c r="DX116" s="44">
        <f>+Inputs!DX262</f>
        <v>0</v>
      </c>
      <c r="DY116" s="45">
        <f t="shared" si="259"/>
        <v>-44</v>
      </c>
      <c r="DZ116" s="44">
        <f>+Inputs!DZ262</f>
        <v>0</v>
      </c>
      <c r="EA116" s="44">
        <f>+Inputs!EA262</f>
        <v>-19</v>
      </c>
      <c r="EB116" s="44">
        <f>+Inputs!EB262</f>
        <v>0</v>
      </c>
      <c r="EC116" s="44">
        <f>+Inputs!EC262</f>
        <v>-102</v>
      </c>
      <c r="ED116" s="45">
        <f t="shared" si="300"/>
        <v>-121</v>
      </c>
      <c r="EE116" s="44">
        <f>+Inputs!EE262</f>
        <v>0</v>
      </c>
      <c r="EF116" s="44">
        <f>+Inputs!EF262</f>
        <v>-4</v>
      </c>
      <c r="EG116" s="44">
        <f>+Inputs!EG262</f>
        <v>0</v>
      </c>
      <c r="EH116" s="44">
        <f>+Inputs!EH262</f>
        <v>-13</v>
      </c>
      <c r="EI116" s="45">
        <f t="shared" si="301"/>
        <v>-17</v>
      </c>
      <c r="EJ116" s="44">
        <f>+Inputs!EJ262</f>
        <v>0</v>
      </c>
      <c r="EK116" s="44">
        <f>+Inputs!EK262</f>
        <v>-17</v>
      </c>
      <c r="EL116" s="44">
        <f>+Inputs!EL262</f>
        <v>0</v>
      </c>
      <c r="EM116" s="44">
        <f>+Inputs!EM262</f>
        <v>0</v>
      </c>
      <c r="EN116" s="45">
        <f t="shared" si="302"/>
        <v>-17</v>
      </c>
      <c r="EO116" s="44">
        <f>+Inputs!EO262</f>
        <v>-13</v>
      </c>
      <c r="EP116" s="44">
        <f>+Inputs!EP262</f>
        <v>-7</v>
      </c>
      <c r="EQ116" s="44">
        <f>+Inputs!EQ262</f>
        <v>41</v>
      </c>
      <c r="ER116" s="44">
        <f>+Inputs!ER262</f>
        <v>-6</v>
      </c>
      <c r="ES116" s="45">
        <f t="shared" si="303"/>
        <v>15</v>
      </c>
      <c r="ET116" s="159">
        <v>0</v>
      </c>
      <c r="EU116" s="159">
        <v>0</v>
      </c>
      <c r="EV116" s="159">
        <v>0</v>
      </c>
      <c r="EW116" s="159">
        <v>0</v>
      </c>
      <c r="EX116" s="45">
        <f t="shared" si="304"/>
        <v>0</v>
      </c>
      <c r="EY116" s="159">
        <v>0</v>
      </c>
      <c r="EZ116" s="159">
        <v>0</v>
      </c>
      <c r="FA116" s="159">
        <v>0</v>
      </c>
      <c r="FB116" s="159">
        <v>0</v>
      </c>
      <c r="FC116" s="45">
        <f t="shared" si="305"/>
        <v>0</v>
      </c>
      <c r="FD116" s="159">
        <v>0</v>
      </c>
      <c r="FE116" s="159">
        <v>0</v>
      </c>
      <c r="FF116" s="159">
        <v>0</v>
      </c>
      <c r="FG116" s="159">
        <v>0</v>
      </c>
      <c r="FH116" s="45">
        <f t="shared" si="306"/>
        <v>0</v>
      </c>
      <c r="FI116" s="159">
        <v>0</v>
      </c>
      <c r="FJ116" s="159">
        <v>0</v>
      </c>
      <c r="FK116" s="159">
        <v>0</v>
      </c>
      <c r="FL116" s="159">
        <v>0</v>
      </c>
      <c r="FM116" s="159">
        <v>0</v>
      </c>
      <c r="FO116" s="159"/>
    </row>
    <row r="117" spans="1:171" x14ac:dyDescent="0.3">
      <c r="A117" s="27" t="s">
        <v>92</v>
      </c>
      <c r="DU117" s="44">
        <f>+Inputs!DU263</f>
        <v>-8</v>
      </c>
      <c r="DV117" s="44">
        <f>+Inputs!DV263</f>
        <v>-9</v>
      </c>
      <c r="DW117" s="44">
        <f>+Inputs!DW263</f>
        <v>-9</v>
      </c>
      <c r="DX117" s="44">
        <f>+Inputs!DX263</f>
        <v>-9</v>
      </c>
      <c r="DY117" s="45">
        <f t="shared" si="259"/>
        <v>-35</v>
      </c>
      <c r="DZ117" s="44">
        <f>+Inputs!DZ263</f>
        <v>-8</v>
      </c>
      <c r="EA117" s="44">
        <f>+Inputs!EA263</f>
        <v>-5</v>
      </c>
      <c r="EB117" s="44">
        <f>+Inputs!EB263</f>
        <v>-5</v>
      </c>
      <c r="EC117" s="44">
        <f>+Inputs!EC263</f>
        <v>-5</v>
      </c>
      <c r="ED117" s="45">
        <f t="shared" si="300"/>
        <v>-23</v>
      </c>
      <c r="EE117" s="44">
        <f>+Inputs!EE263</f>
        <v>-5</v>
      </c>
      <c r="EF117" s="44">
        <f>+Inputs!EF263</f>
        <v>-6</v>
      </c>
      <c r="EG117" s="44">
        <f>+Inputs!EG263</f>
        <v>-5</v>
      </c>
      <c r="EH117" s="44">
        <f>+Inputs!EH263</f>
        <v>-4</v>
      </c>
      <c r="EI117" s="45">
        <f t="shared" si="301"/>
        <v>-20</v>
      </c>
      <c r="EJ117" s="44">
        <f>+Inputs!EJ263</f>
        <v>-5</v>
      </c>
      <c r="EK117" s="44">
        <f>+Inputs!EK263</f>
        <v>-5</v>
      </c>
      <c r="EL117" s="44">
        <f>+Inputs!EL263</f>
        <v>-5</v>
      </c>
      <c r="EM117" s="44">
        <f>+Inputs!EM263</f>
        <v>-4</v>
      </c>
      <c r="EN117" s="45">
        <f t="shared" si="302"/>
        <v>-19</v>
      </c>
      <c r="EO117" s="44">
        <f>+Inputs!EO263</f>
        <v>-5</v>
      </c>
      <c r="EP117" s="44">
        <f>+Inputs!EP263</f>
        <v>-4</v>
      </c>
      <c r="EQ117" s="44">
        <f>+Inputs!EQ263</f>
        <v>-9</v>
      </c>
      <c r="ER117" s="44">
        <f>+Inputs!ER263</f>
        <v>-7</v>
      </c>
      <c r="ES117" s="45">
        <f t="shared" si="303"/>
        <v>-25</v>
      </c>
      <c r="ET117" s="159">
        <f t="shared" ref="ET117:EW117" si="307">EO117</f>
        <v>-5</v>
      </c>
      <c r="EU117" s="159">
        <f t="shared" si="307"/>
        <v>-4</v>
      </c>
      <c r="EV117" s="159">
        <f t="shared" si="307"/>
        <v>-9</v>
      </c>
      <c r="EW117" s="159">
        <f t="shared" si="307"/>
        <v>-7</v>
      </c>
      <c r="EX117" s="45">
        <f t="shared" si="304"/>
        <v>-25</v>
      </c>
      <c r="EY117" s="159">
        <f t="shared" ref="EY117" si="308">ET117</f>
        <v>-5</v>
      </c>
      <c r="EZ117" s="159">
        <f t="shared" ref="EZ117" si="309">EU117</f>
        <v>-4</v>
      </c>
      <c r="FA117" s="159">
        <f t="shared" ref="FA117" si="310">EV117</f>
        <v>-9</v>
      </c>
      <c r="FB117" s="159">
        <f t="shared" ref="FB117" si="311">EW117</f>
        <v>-7</v>
      </c>
      <c r="FC117" s="45">
        <f t="shared" si="305"/>
        <v>-25</v>
      </c>
      <c r="FD117" s="159">
        <f t="shared" ref="FD117" si="312">EY117</f>
        <v>-5</v>
      </c>
      <c r="FE117" s="159">
        <f t="shared" ref="FE117" si="313">EZ117</f>
        <v>-4</v>
      </c>
      <c r="FF117" s="159">
        <f t="shared" ref="FF117" si="314">FA117</f>
        <v>-9</v>
      </c>
      <c r="FG117" s="159">
        <f t="shared" ref="FG117" si="315">FB117</f>
        <v>-7</v>
      </c>
      <c r="FH117" s="45">
        <f t="shared" si="306"/>
        <v>-25</v>
      </c>
      <c r="FI117" s="159">
        <f t="shared" ref="FI117:FM117" si="316">+FH117</f>
        <v>-25</v>
      </c>
      <c r="FJ117" s="159">
        <f t="shared" si="316"/>
        <v>-25</v>
      </c>
      <c r="FK117" s="159">
        <f t="shared" si="316"/>
        <v>-25</v>
      </c>
      <c r="FL117" s="159">
        <f t="shared" si="316"/>
        <v>-25</v>
      </c>
      <c r="FM117" s="159">
        <f t="shared" si="316"/>
        <v>-25</v>
      </c>
      <c r="FO117" s="159"/>
    </row>
    <row r="118" spans="1:171" x14ac:dyDescent="0.3">
      <c r="A118" s="27" t="s">
        <v>34</v>
      </c>
      <c r="DU118" s="44">
        <f>+Inputs!DU265</f>
        <v>-3</v>
      </c>
      <c r="DV118" s="44">
        <f>+Inputs!DV265</f>
        <v>-1</v>
      </c>
      <c r="DW118" s="44">
        <f>+Inputs!DW265</f>
        <v>-1</v>
      </c>
      <c r="DX118" s="44">
        <f>+Inputs!DX265</f>
        <v>0</v>
      </c>
      <c r="DY118" s="45">
        <f t="shared" si="259"/>
        <v>-5</v>
      </c>
      <c r="DZ118" s="44">
        <f>+Inputs!DZ265</f>
        <v>0</v>
      </c>
      <c r="EA118" s="44">
        <f>+Inputs!EA265</f>
        <v>0</v>
      </c>
      <c r="EB118" s="44">
        <f>+Inputs!EB265</f>
        <v>0</v>
      </c>
      <c r="EC118" s="44">
        <f>+Inputs!EC265</f>
        <v>-2</v>
      </c>
      <c r="ED118" s="45">
        <f t="shared" si="300"/>
        <v>-2</v>
      </c>
      <c r="EE118" s="44">
        <f>+Inputs!EE265</f>
        <v>-2</v>
      </c>
      <c r="EF118" s="44">
        <f>+Inputs!EF265</f>
        <v>-13</v>
      </c>
      <c r="EG118" s="44">
        <f>+Inputs!EG265</f>
        <v>-1</v>
      </c>
      <c r="EH118" s="44">
        <f>+Inputs!EH265</f>
        <v>23</v>
      </c>
      <c r="EI118" s="45">
        <f t="shared" si="301"/>
        <v>7</v>
      </c>
      <c r="EJ118" s="44">
        <f>+Inputs!EJ265</f>
        <v>-4</v>
      </c>
      <c r="EK118" s="44">
        <f>+Inputs!EK265</f>
        <v>-5</v>
      </c>
      <c r="EL118" s="44">
        <f>+Inputs!EL265</f>
        <v>70</v>
      </c>
      <c r="EM118" s="44">
        <f>+Inputs!EM265</f>
        <v>-1</v>
      </c>
      <c r="EN118" s="45">
        <f t="shared" si="302"/>
        <v>60</v>
      </c>
      <c r="EO118" s="44">
        <f>+Inputs!EO265</f>
        <v>-3</v>
      </c>
      <c r="EP118" s="44">
        <f>+Inputs!EP265</f>
        <v>-3</v>
      </c>
      <c r="EQ118" s="44">
        <f>+Inputs!EQ265</f>
        <v>-76</v>
      </c>
      <c r="ER118" s="44">
        <f>+Inputs!ER265</f>
        <v>16</v>
      </c>
      <c r="ES118" s="45">
        <f t="shared" si="303"/>
        <v>-66</v>
      </c>
      <c r="ET118" s="159">
        <v>0</v>
      </c>
      <c r="EU118" s="159">
        <v>0</v>
      </c>
      <c r="EV118" s="159">
        <v>0</v>
      </c>
      <c r="EW118" s="159">
        <v>0</v>
      </c>
      <c r="EX118" s="45">
        <f t="shared" si="304"/>
        <v>0</v>
      </c>
      <c r="EY118" s="159">
        <v>0</v>
      </c>
      <c r="EZ118" s="159">
        <v>0</v>
      </c>
      <c r="FA118" s="159">
        <v>0</v>
      </c>
      <c r="FB118" s="159">
        <v>0</v>
      </c>
      <c r="FC118" s="45">
        <f t="shared" si="305"/>
        <v>0</v>
      </c>
      <c r="FD118" s="159">
        <v>0</v>
      </c>
      <c r="FE118" s="159">
        <v>0</v>
      </c>
      <c r="FF118" s="159">
        <v>0</v>
      </c>
      <c r="FG118" s="159">
        <v>0</v>
      </c>
      <c r="FH118" s="45">
        <f t="shared" si="306"/>
        <v>0</v>
      </c>
      <c r="FI118" s="159">
        <v>0</v>
      </c>
      <c r="FJ118" s="159">
        <v>0</v>
      </c>
      <c r="FK118" s="159">
        <v>0</v>
      </c>
      <c r="FL118" s="159">
        <v>0</v>
      </c>
      <c r="FM118" s="159">
        <v>0</v>
      </c>
    </row>
    <row r="119" spans="1:171" x14ac:dyDescent="0.3">
      <c r="A119" s="27" t="s">
        <v>93</v>
      </c>
      <c r="DU119" s="159">
        <v>0</v>
      </c>
      <c r="DV119" s="159">
        <v>0</v>
      </c>
      <c r="DW119" s="159">
        <v>0</v>
      </c>
      <c r="DX119" s="159">
        <v>0</v>
      </c>
      <c r="DY119" s="45">
        <f>+SUM(DU119:DX119)</f>
        <v>0</v>
      </c>
      <c r="DZ119" s="159">
        <v>0</v>
      </c>
      <c r="EA119" s="159">
        <v>0</v>
      </c>
      <c r="EB119" s="159">
        <v>0</v>
      </c>
      <c r="EC119" s="159">
        <v>0</v>
      </c>
      <c r="ED119" s="45">
        <f t="shared" si="300"/>
        <v>0</v>
      </c>
      <c r="EE119" s="159">
        <v>0</v>
      </c>
      <c r="EF119" s="159">
        <v>0</v>
      </c>
      <c r="EG119" s="159">
        <v>0</v>
      </c>
      <c r="EH119" s="159">
        <v>0</v>
      </c>
      <c r="EI119" s="45">
        <f t="shared" si="301"/>
        <v>0</v>
      </c>
      <c r="EJ119" s="159">
        <v>0</v>
      </c>
      <c r="EK119" s="159">
        <v>0</v>
      </c>
      <c r="EL119" s="159">
        <v>0</v>
      </c>
      <c r="EM119" s="159">
        <v>0</v>
      </c>
      <c r="EN119" s="45">
        <f t="shared" si="302"/>
        <v>0</v>
      </c>
      <c r="EO119" s="159">
        <v>0</v>
      </c>
      <c r="EP119" s="159">
        <v>0</v>
      </c>
      <c r="EQ119" s="159">
        <v>0</v>
      </c>
      <c r="ER119" s="159">
        <v>0</v>
      </c>
      <c r="ES119" s="45">
        <f t="shared" si="303"/>
        <v>0</v>
      </c>
      <c r="ET119" s="159">
        <v>0</v>
      </c>
      <c r="EU119" s="159">
        <v>0</v>
      </c>
      <c r="EV119" s="159">
        <v>0</v>
      </c>
      <c r="EW119" s="159">
        <v>0</v>
      </c>
      <c r="EX119" s="45">
        <f t="shared" si="304"/>
        <v>0</v>
      </c>
      <c r="EY119" s="159">
        <v>0</v>
      </c>
      <c r="EZ119" s="159">
        <v>0</v>
      </c>
      <c r="FA119" s="159">
        <v>0</v>
      </c>
      <c r="FB119" s="159">
        <v>0</v>
      </c>
      <c r="FC119" s="45">
        <f t="shared" si="305"/>
        <v>0</v>
      </c>
      <c r="FD119" s="159">
        <v>0</v>
      </c>
      <c r="FE119" s="159">
        <v>0</v>
      </c>
      <c r="FF119" s="159">
        <v>0</v>
      </c>
      <c r="FG119" s="159">
        <v>0</v>
      </c>
      <c r="FH119" s="45">
        <f t="shared" si="306"/>
        <v>0</v>
      </c>
      <c r="FI119" s="159">
        <v>0</v>
      </c>
      <c r="FJ119" s="159">
        <v>0</v>
      </c>
      <c r="FK119" s="183">
        <f>+FK120-SUM(FK112:FK118)</f>
        <v>-1935.924770129209</v>
      </c>
      <c r="FL119" s="183">
        <f>+FL120-SUM(FL112:FL118)</f>
        <v>-2201.7998150852823</v>
      </c>
      <c r="FM119" s="183">
        <f>+FM120-SUM(FM112:FM118)</f>
        <v>-2342.9922667957808</v>
      </c>
    </row>
    <row r="120" spans="1:171" x14ac:dyDescent="0.3">
      <c r="A120" s="35" t="s">
        <v>94</v>
      </c>
      <c r="DU120" s="858">
        <f>SUM(DU112:DU119)</f>
        <v>-286</v>
      </c>
      <c r="DV120" s="858">
        <f t="shared" ref="DV120:DX120" si="317">SUM(DV112:DV119)</f>
        <v>-153</v>
      </c>
      <c r="DW120" s="858">
        <f t="shared" si="317"/>
        <v>485</v>
      </c>
      <c r="DX120" s="858">
        <f t="shared" si="317"/>
        <v>-14</v>
      </c>
      <c r="DY120" s="858">
        <f t="shared" si="259"/>
        <v>32</v>
      </c>
      <c r="DZ120" s="858">
        <f t="shared" ref="DZ120:EC120" si="318">SUM(DZ112:DZ119)</f>
        <v>-13</v>
      </c>
      <c r="EA120" s="858">
        <f t="shared" si="318"/>
        <v>-24</v>
      </c>
      <c r="EB120" s="858">
        <f t="shared" si="318"/>
        <v>-754</v>
      </c>
      <c r="EC120" s="858">
        <f t="shared" si="318"/>
        <v>-102</v>
      </c>
      <c r="ED120" s="858">
        <f t="shared" si="300"/>
        <v>-893</v>
      </c>
      <c r="EE120" s="858">
        <f t="shared" ref="EE120:EH120" si="319">SUM(EE112:EE119)</f>
        <v>-7</v>
      </c>
      <c r="EF120" s="858">
        <f t="shared" si="319"/>
        <v>197</v>
      </c>
      <c r="EG120" s="858">
        <f t="shared" si="319"/>
        <v>-10</v>
      </c>
      <c r="EH120" s="858">
        <f t="shared" si="319"/>
        <v>997</v>
      </c>
      <c r="EI120" s="858">
        <f t="shared" si="301"/>
        <v>1177</v>
      </c>
      <c r="EJ120" s="858">
        <f t="shared" ref="EJ120:EM120" si="320">SUM(EJ112:EJ119)</f>
        <v>-12</v>
      </c>
      <c r="EK120" s="858">
        <f t="shared" si="320"/>
        <v>1170</v>
      </c>
      <c r="EL120" s="858">
        <f t="shared" si="320"/>
        <v>61</v>
      </c>
      <c r="EM120" s="858">
        <f t="shared" si="320"/>
        <v>-8</v>
      </c>
      <c r="EN120" s="858">
        <f t="shared" si="302"/>
        <v>1211</v>
      </c>
      <c r="EO120" s="858">
        <f t="shared" ref="EO120:ER120" si="321">SUM(EO112:EO119)</f>
        <v>725</v>
      </c>
      <c r="EP120" s="858">
        <f t="shared" si="321"/>
        <v>-18</v>
      </c>
      <c r="EQ120" s="858">
        <f t="shared" si="321"/>
        <v>1428</v>
      </c>
      <c r="ER120" s="858">
        <f t="shared" si="321"/>
        <v>-1</v>
      </c>
      <c r="ES120" s="858">
        <f t="shared" si="303"/>
        <v>2134</v>
      </c>
      <c r="ET120" s="858">
        <f t="shared" ref="ET120:EW120" si="322">SUM(ET112:ET119)</f>
        <v>-5</v>
      </c>
      <c r="EU120" s="858">
        <f t="shared" si="322"/>
        <v>-4</v>
      </c>
      <c r="EV120" s="858">
        <f t="shared" si="322"/>
        <v>-9</v>
      </c>
      <c r="EW120" s="858">
        <f t="shared" si="322"/>
        <v>-7</v>
      </c>
      <c r="EX120" s="858">
        <f t="shared" si="304"/>
        <v>-25</v>
      </c>
      <c r="EY120" s="858">
        <f t="shared" ref="EY120:FB120" si="323">SUM(EY112:EY119)</f>
        <v>-5</v>
      </c>
      <c r="EZ120" s="858">
        <f t="shared" si="323"/>
        <v>1496</v>
      </c>
      <c r="FA120" s="858">
        <f t="shared" si="323"/>
        <v>-9</v>
      </c>
      <c r="FB120" s="858">
        <f t="shared" si="323"/>
        <v>-7</v>
      </c>
      <c r="FC120" s="858">
        <f t="shared" si="305"/>
        <v>1475</v>
      </c>
      <c r="FD120" s="858">
        <f t="shared" ref="FD120:FJ120" si="324">SUM(FD112:FD119)</f>
        <v>-5</v>
      </c>
      <c r="FE120" s="858">
        <f t="shared" si="324"/>
        <v>746</v>
      </c>
      <c r="FF120" s="858">
        <f t="shared" si="324"/>
        <v>-9</v>
      </c>
      <c r="FG120" s="858">
        <f t="shared" si="324"/>
        <v>-7</v>
      </c>
      <c r="FH120" s="858">
        <f t="shared" si="306"/>
        <v>725</v>
      </c>
      <c r="FI120" s="858">
        <f t="shared" si="324"/>
        <v>-265</v>
      </c>
      <c r="FJ120" s="858">
        <f t="shared" si="324"/>
        <v>-475</v>
      </c>
      <c r="FK120" s="858">
        <f>+FK122-FK110-FK105</f>
        <v>-1143.4963121586109</v>
      </c>
      <c r="FL120" s="858">
        <f>+FL122-FL110-FL105</f>
        <v>-1301.5843314461586</v>
      </c>
      <c r="FM120" s="858">
        <f>+FM122-FM110-FM105</f>
        <v>-1511.0175200746517</v>
      </c>
    </row>
    <row r="121" spans="1:171" x14ac:dyDescent="0.3">
      <c r="A121" s="27"/>
      <c r="EO121"/>
      <c r="EP121"/>
      <c r="EQ121"/>
      <c r="ER121"/>
    </row>
    <row r="122" spans="1:171" ht="12.5" thickBot="1" x14ac:dyDescent="0.35">
      <c r="A122" s="27" t="s">
        <v>95</v>
      </c>
      <c r="DU122" s="632">
        <f>+SUM(DU120,DU110,DU105)</f>
        <v>-235</v>
      </c>
      <c r="DV122" s="632">
        <f>+SUM(DV120,DV110,DV105)</f>
        <v>148</v>
      </c>
      <c r="DW122" s="632">
        <f>+SUM(DW120,DW110,DW105)</f>
        <v>416</v>
      </c>
      <c r="DX122" s="632">
        <f>+SUM(DX120,DX110,DX105)</f>
        <v>77</v>
      </c>
      <c r="DY122" s="696">
        <f t="shared" si="259"/>
        <v>406</v>
      </c>
      <c r="DZ122" s="632">
        <f>+SUM(DZ120,DZ110,DZ105)</f>
        <v>182</v>
      </c>
      <c r="EA122" s="632">
        <f>+SUM(EA120,EA110,EA105)</f>
        <v>1359</v>
      </c>
      <c r="EB122" s="632">
        <f>+SUM(EB120,EB110,EB105)</f>
        <v>-525</v>
      </c>
      <c r="EC122" s="632">
        <f>+SUM(EC120,EC110,EC105)</f>
        <v>61</v>
      </c>
      <c r="ED122" s="696">
        <f>+SUM(DZ122:EC122)</f>
        <v>1077</v>
      </c>
      <c r="EE122" s="632">
        <f>+SUM(EE120,EE110,EE105)</f>
        <v>278</v>
      </c>
      <c r="EF122" s="632">
        <f>+SUM(EF120,EF110,EF105)</f>
        <v>-1121</v>
      </c>
      <c r="EG122" s="632">
        <f>+SUM(EG120,EG110,EG105)</f>
        <v>217</v>
      </c>
      <c r="EH122" s="632">
        <f>+SUM(EH120,EH110,EH105)</f>
        <v>917</v>
      </c>
      <c r="EI122" s="696">
        <f>+SUM(EE122:EH122)</f>
        <v>291</v>
      </c>
      <c r="EJ122" s="632">
        <f>+SUM(EJ120,EJ110,EJ105)</f>
        <v>-829</v>
      </c>
      <c r="EK122" s="632">
        <f>+SUM(EK120,EK110,EK105)</f>
        <v>-641</v>
      </c>
      <c r="EL122" s="632">
        <f>+SUM(EL120,EL110,EL105)</f>
        <v>-448</v>
      </c>
      <c r="EM122" s="632">
        <f>+SUM(EM120,EM110,EM105)</f>
        <v>62</v>
      </c>
      <c r="EN122" s="696">
        <f>+SUM(EJ122:EM122)</f>
        <v>-1856</v>
      </c>
      <c r="EO122" s="632">
        <f>+SUM(EO120,EO110,EO105)</f>
        <v>810</v>
      </c>
      <c r="EP122" s="632">
        <f>+SUM(EP120,EP110,EP105)</f>
        <v>-470</v>
      </c>
      <c r="EQ122" s="632">
        <f>+SUM(EQ120,EQ110,EQ105)</f>
        <v>392</v>
      </c>
      <c r="ER122" s="632">
        <f>+SUM(ER120,ER110,ER105)</f>
        <v>190</v>
      </c>
      <c r="ES122" s="696">
        <f>+SUM(EO122:ER122)</f>
        <v>922</v>
      </c>
      <c r="ET122" s="632">
        <f t="shared" ref="ET122:EW122" si="325">+SUM(ET120,ET110,ET105)</f>
        <v>-670.17944279971039</v>
      </c>
      <c r="EU122" s="632">
        <f t="shared" si="325"/>
        <v>-220.01531715358112</v>
      </c>
      <c r="EV122" s="632">
        <f t="shared" si="325"/>
        <v>99.68548765104839</v>
      </c>
      <c r="EW122" s="632">
        <f t="shared" si="325"/>
        <v>-204.63729150355266</v>
      </c>
      <c r="EX122" s="696">
        <f>+SUM(ET122:EW122)</f>
        <v>-995.14656380579572</v>
      </c>
      <c r="EY122" s="632">
        <f t="shared" ref="EY122:FB122" si="326">+SUM(EY120,EY110,EY105)</f>
        <v>-455.24203497394763</v>
      </c>
      <c r="EZ122" s="632">
        <f t="shared" si="326"/>
        <v>1134.0815306764994</v>
      </c>
      <c r="FA122" s="632">
        <f t="shared" si="326"/>
        <v>-243.96813930409724</v>
      </c>
      <c r="FB122" s="632">
        <f t="shared" si="326"/>
        <v>99.854050328038795</v>
      </c>
      <c r="FC122" s="632">
        <f t="shared" ref="FC122:FJ122" si="327">+SUM(FC120,FC110,FC105)</f>
        <v>534.72540672649302</v>
      </c>
      <c r="FD122" s="632">
        <f t="shared" si="327"/>
        <v>-229.31245422719996</v>
      </c>
      <c r="FE122" s="632">
        <f t="shared" si="327"/>
        <v>390.62884598631928</v>
      </c>
      <c r="FF122" s="632">
        <f t="shared" si="327"/>
        <v>-54.7016647550887</v>
      </c>
      <c r="FG122" s="632">
        <f t="shared" si="327"/>
        <v>3.5052528540417143</v>
      </c>
      <c r="FH122" s="632">
        <f t="shared" si="327"/>
        <v>110.11997985807238</v>
      </c>
      <c r="FI122" s="632">
        <f t="shared" si="327"/>
        <v>236.8872604360713</v>
      </c>
      <c r="FJ122" s="632">
        <f t="shared" si="327"/>
        <v>342.15905948126101</v>
      </c>
      <c r="FK122" s="695">
        <f>+FK124-FK123</f>
        <v>-118.99999999999977</v>
      </c>
      <c r="FL122" s="695">
        <f>+FL124-FL123</f>
        <v>0</v>
      </c>
      <c r="FM122" s="695">
        <f>+FM124-FM123</f>
        <v>0</v>
      </c>
    </row>
    <row r="123" spans="1:171" ht="12.5" thickTop="1" x14ac:dyDescent="0.3">
      <c r="A123" s="27" t="s">
        <v>96</v>
      </c>
      <c r="DU123" s="44">
        <f>+Inputs!DU269</f>
        <v>404</v>
      </c>
      <c r="DV123" s="76">
        <f>+DU124</f>
        <v>169</v>
      </c>
      <c r="DW123" s="76">
        <f t="shared" ref="DW123:FM123" si="328">+DV124</f>
        <v>317</v>
      </c>
      <c r="DX123" s="76">
        <f t="shared" si="328"/>
        <v>733</v>
      </c>
      <c r="DY123" s="45">
        <f>+DU123</f>
        <v>404</v>
      </c>
      <c r="DZ123" s="76">
        <f t="shared" si="328"/>
        <v>810</v>
      </c>
      <c r="EA123" s="76">
        <f t="shared" si="328"/>
        <v>992</v>
      </c>
      <c r="EB123" s="76">
        <f t="shared" si="328"/>
        <v>2351</v>
      </c>
      <c r="EC123" s="76">
        <f t="shared" si="328"/>
        <v>1826</v>
      </c>
      <c r="ED123" s="45">
        <f>+DZ123</f>
        <v>810</v>
      </c>
      <c r="EE123" s="76">
        <f t="shared" si="328"/>
        <v>1887</v>
      </c>
      <c r="EF123" s="76">
        <f t="shared" si="328"/>
        <v>2165</v>
      </c>
      <c r="EG123" s="76">
        <f t="shared" si="328"/>
        <v>1044</v>
      </c>
      <c r="EH123" s="76">
        <f t="shared" si="328"/>
        <v>1261</v>
      </c>
      <c r="EI123" s="45">
        <f>+EE123</f>
        <v>1887</v>
      </c>
      <c r="EJ123" s="76">
        <f t="shared" si="328"/>
        <v>2178</v>
      </c>
      <c r="EK123" s="76">
        <f t="shared" si="328"/>
        <v>1349</v>
      </c>
      <c r="EL123" s="76">
        <f>+EK124</f>
        <v>708</v>
      </c>
      <c r="EM123" s="76">
        <f>+EL124</f>
        <v>260</v>
      </c>
      <c r="EN123" s="45">
        <f>+EJ123</f>
        <v>2178</v>
      </c>
      <c r="EO123" s="76">
        <f t="shared" si="328"/>
        <v>322</v>
      </c>
      <c r="EP123" s="76">
        <f t="shared" si="328"/>
        <v>1132</v>
      </c>
      <c r="EQ123" s="76">
        <f t="shared" si="328"/>
        <v>662</v>
      </c>
      <c r="ER123" s="76">
        <f t="shared" si="328"/>
        <v>1054</v>
      </c>
      <c r="ES123" s="45">
        <f>+EO123</f>
        <v>322</v>
      </c>
      <c r="ET123" s="76">
        <f t="shared" ref="ET123:EW123" si="329">+ES124</f>
        <v>1244</v>
      </c>
      <c r="EU123" s="76">
        <f t="shared" si="329"/>
        <v>573.82055720028961</v>
      </c>
      <c r="EV123" s="76">
        <f t="shared" si="329"/>
        <v>353.80524004670849</v>
      </c>
      <c r="EW123" s="76">
        <f t="shared" si="329"/>
        <v>453.49072769775688</v>
      </c>
      <c r="EX123" s="45">
        <f>+ET123</f>
        <v>1244</v>
      </c>
      <c r="EY123" s="76">
        <f t="shared" ref="EY123" si="330">+EX124</f>
        <v>248.85343619420422</v>
      </c>
      <c r="EZ123" s="76">
        <f t="shared" ref="EZ123" si="331">+EY124</f>
        <v>-206.3885987797434</v>
      </c>
      <c r="FA123" s="76">
        <f t="shared" ref="FA123" si="332">+EZ124</f>
        <v>927.69293189675591</v>
      </c>
      <c r="FB123" s="76">
        <f t="shared" ref="FB123" si="333">+FA124</f>
        <v>683.72479259265867</v>
      </c>
      <c r="FC123" s="76">
        <f>+EX124</f>
        <v>248.85343619420422</v>
      </c>
      <c r="FD123" s="76">
        <f t="shared" ref="FD123" si="334">+FC124</f>
        <v>783.5788429206973</v>
      </c>
      <c r="FE123" s="76">
        <f t="shared" ref="FE123" si="335">+FD124</f>
        <v>554.26638869349733</v>
      </c>
      <c r="FF123" s="76">
        <f t="shared" ref="FF123" si="336">+FE124</f>
        <v>944.89523467981667</v>
      </c>
      <c r="FG123" s="76">
        <f t="shared" ref="FG123" si="337">+FF124</f>
        <v>890.19356992472797</v>
      </c>
      <c r="FH123" s="76">
        <f>+FC124</f>
        <v>783.5788429206973</v>
      </c>
      <c r="FI123" s="76">
        <f t="shared" si="328"/>
        <v>893.69882277876968</v>
      </c>
      <c r="FJ123" s="76">
        <f t="shared" si="328"/>
        <v>1130.586083214841</v>
      </c>
      <c r="FK123" s="76">
        <f t="shared" si="328"/>
        <v>1472.745142696102</v>
      </c>
      <c r="FL123" s="76">
        <f t="shared" si="328"/>
        <v>1353.7451426961022</v>
      </c>
      <c r="FM123" s="76">
        <f t="shared" si="328"/>
        <v>1353.7451426961022</v>
      </c>
    </row>
    <row r="124" spans="1:171" x14ac:dyDescent="0.3">
      <c r="A124" s="27" t="s">
        <v>97</v>
      </c>
      <c r="DU124" s="151">
        <f>+DU122+DU123</f>
        <v>169</v>
      </c>
      <c r="DV124" s="76">
        <f>+DV122+DV123</f>
        <v>317</v>
      </c>
      <c r="DW124" s="76">
        <f>+DW122+DW123</f>
        <v>733</v>
      </c>
      <c r="DX124" s="76">
        <f>+DX122+DX123</f>
        <v>810</v>
      </c>
      <c r="DY124" s="45">
        <f>+DX124</f>
        <v>810</v>
      </c>
      <c r="DZ124" s="76">
        <f>+DZ122+DZ123</f>
        <v>992</v>
      </c>
      <c r="EA124" s="76">
        <f>+EA122+EA123</f>
        <v>2351</v>
      </c>
      <c r="EB124" s="76">
        <f>+EB122+EB123</f>
        <v>1826</v>
      </c>
      <c r="EC124" s="76">
        <f>+EC122+EC123</f>
        <v>1887</v>
      </c>
      <c r="ED124" s="45">
        <f>+EC124</f>
        <v>1887</v>
      </c>
      <c r="EE124" s="76">
        <f>+EE122+EE123</f>
        <v>2165</v>
      </c>
      <c r="EF124" s="76">
        <f>+EF122+EF123</f>
        <v>1044</v>
      </c>
      <c r="EG124" s="76">
        <f>+EG122+EG123</f>
        <v>1261</v>
      </c>
      <c r="EH124" s="76">
        <f>+EH122+EH123</f>
        <v>2178</v>
      </c>
      <c r="EI124" s="45">
        <f>+EH124</f>
        <v>2178</v>
      </c>
      <c r="EJ124" s="76">
        <f>+EJ122+EJ123</f>
        <v>1349</v>
      </c>
      <c r="EK124" s="76">
        <f>+EK122+EK123</f>
        <v>708</v>
      </c>
      <c r="EL124" s="76">
        <f>+EL122+EL123</f>
        <v>260</v>
      </c>
      <c r="EM124" s="76">
        <f>+EM122+EM123</f>
        <v>322</v>
      </c>
      <c r="EN124" s="45">
        <f>+EM124</f>
        <v>322</v>
      </c>
      <c r="EO124" s="76">
        <f>+EO122+EO123</f>
        <v>1132</v>
      </c>
      <c r="EP124" s="76">
        <f>+EP122+EP123</f>
        <v>662</v>
      </c>
      <c r="EQ124" s="76">
        <f>+EQ122+EQ123</f>
        <v>1054</v>
      </c>
      <c r="ER124" s="76">
        <f>+ER122+ER123</f>
        <v>1244</v>
      </c>
      <c r="ES124" s="45">
        <f>+ER124</f>
        <v>1244</v>
      </c>
      <c r="ET124" s="76">
        <f t="shared" ref="ET124:EW124" si="338">+ET122+ET123</f>
        <v>573.82055720028961</v>
      </c>
      <c r="EU124" s="76">
        <f t="shared" si="338"/>
        <v>353.80524004670849</v>
      </c>
      <c r="EV124" s="76">
        <f t="shared" si="338"/>
        <v>453.49072769775688</v>
      </c>
      <c r="EW124" s="76">
        <f t="shared" si="338"/>
        <v>248.85343619420422</v>
      </c>
      <c r="EX124" s="45">
        <f>+EW124</f>
        <v>248.85343619420422</v>
      </c>
      <c r="EY124" s="76">
        <f t="shared" ref="EY124:FB124" si="339">+EY122+EY123</f>
        <v>-206.3885987797434</v>
      </c>
      <c r="EZ124" s="76">
        <f t="shared" si="339"/>
        <v>927.69293189675591</v>
      </c>
      <c r="FA124" s="76">
        <f t="shared" si="339"/>
        <v>683.72479259265867</v>
      </c>
      <c r="FB124" s="76">
        <f t="shared" si="339"/>
        <v>783.57884292069753</v>
      </c>
      <c r="FC124" s="76">
        <f t="shared" ref="FC124:FJ124" si="340">+FC122+FC123</f>
        <v>783.5788429206973</v>
      </c>
      <c r="FD124" s="76">
        <f t="shared" si="340"/>
        <v>554.26638869349733</v>
      </c>
      <c r="FE124" s="76">
        <f t="shared" si="340"/>
        <v>944.89523467981667</v>
      </c>
      <c r="FF124" s="76">
        <f t="shared" si="340"/>
        <v>890.19356992472797</v>
      </c>
      <c r="FG124" s="76">
        <f t="shared" si="340"/>
        <v>893.69882277876968</v>
      </c>
      <c r="FH124" s="76">
        <f t="shared" si="340"/>
        <v>893.69882277876968</v>
      </c>
      <c r="FI124" s="76">
        <f t="shared" si="340"/>
        <v>1130.586083214841</v>
      </c>
      <c r="FJ124" s="76">
        <f t="shared" si="340"/>
        <v>1472.745142696102</v>
      </c>
      <c r="FK124" s="76">
        <f>FK197</f>
        <v>1353.7451426961022</v>
      </c>
      <c r="FL124" s="76">
        <f t="shared" ref="FL124:FM124" si="341">FL197</f>
        <v>1353.7451426961022</v>
      </c>
      <c r="FM124" s="76">
        <f t="shared" si="341"/>
        <v>1353.7451426961022</v>
      </c>
    </row>
    <row r="125" spans="1:171" x14ac:dyDescent="0.3">
      <c r="A125" s="593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114"/>
      <c r="DG125" s="114"/>
      <c r="DH125" s="114"/>
      <c r="DI125" s="114"/>
      <c r="DJ125" s="114"/>
      <c r="DK125" s="114"/>
      <c r="DL125" s="114"/>
      <c r="DM125" s="114"/>
      <c r="DN125" s="114"/>
      <c r="DO125" s="114"/>
      <c r="DP125" s="114"/>
      <c r="DQ125" s="114"/>
      <c r="DR125" s="114"/>
      <c r="DS125" s="114"/>
      <c r="DT125" s="114"/>
      <c r="DU125" s="100"/>
      <c r="DV125" s="100"/>
      <c r="DW125" s="100"/>
      <c r="DX125" s="100"/>
      <c r="DY125" s="100"/>
      <c r="DZ125" s="100"/>
      <c r="EA125" s="100"/>
      <c r="EB125" s="100"/>
      <c r="EC125" s="100"/>
      <c r="ED125" s="100"/>
      <c r="EE125" s="100"/>
      <c r="EF125" s="100"/>
      <c r="EG125" s="100"/>
      <c r="EH125" s="100"/>
      <c r="EI125" s="100"/>
      <c r="EJ125" s="100"/>
      <c r="EK125" s="100"/>
      <c r="EL125" s="100"/>
      <c r="EM125" s="100"/>
      <c r="EN125" s="100"/>
      <c r="EO125" s="100"/>
      <c r="EP125" s="100"/>
      <c r="EQ125" s="100"/>
      <c r="ER125" s="100"/>
      <c r="ES125" s="100"/>
      <c r="ET125" s="100"/>
      <c r="EU125" s="100"/>
      <c r="EV125" s="100"/>
      <c r="EW125" s="100"/>
      <c r="EX125" s="100"/>
      <c r="EY125" s="100"/>
      <c r="EZ125" s="100"/>
      <c r="FA125" s="100"/>
      <c r="FB125" s="100"/>
      <c r="FC125" s="100"/>
      <c r="FD125" s="100"/>
      <c r="FE125" s="100"/>
      <c r="FF125" s="100"/>
      <c r="FG125" s="100"/>
      <c r="FH125" s="100"/>
      <c r="FI125" s="100"/>
      <c r="FJ125" s="100"/>
      <c r="FK125" s="100"/>
      <c r="FL125" s="100"/>
      <c r="FM125" s="100"/>
    </row>
    <row r="126" spans="1:171" x14ac:dyDescent="0.3">
      <c r="A126" s="594" t="s">
        <v>98</v>
      </c>
      <c r="DU126" s="523">
        <f t="shared" ref="DU126:FL126" si="342">+DU200</f>
        <v>4.8109965635738829</v>
      </c>
      <c r="DV126" s="523">
        <f t="shared" si="342"/>
        <v>5.3253865979381443</v>
      </c>
      <c r="DW126" s="523">
        <f t="shared" si="342"/>
        <v>5.5214887018165708</v>
      </c>
      <c r="DX126" s="523">
        <f t="shared" si="342"/>
        <v>5.645733788395904</v>
      </c>
      <c r="DY126" s="595">
        <f t="shared" si="342"/>
        <v>5.645733788395904</v>
      </c>
      <c r="DZ126" s="523">
        <f t="shared" si="342"/>
        <v>5.750175685172171</v>
      </c>
      <c r="EA126" s="523">
        <f t="shared" si="342"/>
        <v>5.4989161849710984</v>
      </c>
      <c r="EB126" s="523">
        <f t="shared" si="342"/>
        <v>5.4507121513276751</v>
      </c>
      <c r="EC126" s="523">
        <f>+EC200</f>
        <v>5.4074058118418815</v>
      </c>
      <c r="ED126" s="595">
        <f t="shared" si="342"/>
        <v>5.4074058118418815</v>
      </c>
      <c r="EE126" s="523">
        <f>+EE200</f>
        <v>5.3439877465172012</v>
      </c>
      <c r="EF126" s="523">
        <f t="shared" si="342"/>
        <v>2.2429315476190474</v>
      </c>
      <c r="EG126" s="523">
        <f t="shared" si="342"/>
        <v>2.2445820433436534</v>
      </c>
      <c r="EH126" s="523">
        <f t="shared" si="342"/>
        <v>2.3660606060606062</v>
      </c>
      <c r="EI126" s="595">
        <f t="shared" si="342"/>
        <v>2.3660606060606062</v>
      </c>
      <c r="EJ126" s="523">
        <f t="shared" si="342"/>
        <v>2.4980561555075598</v>
      </c>
      <c r="EK126" s="523">
        <f t="shared" si="342"/>
        <v>2.782942238267148</v>
      </c>
      <c r="EL126" s="523">
        <f t="shared" si="342"/>
        <v>3.0790828263921384</v>
      </c>
      <c r="EM126" s="523">
        <f t="shared" si="342"/>
        <v>3.3908653846153847</v>
      </c>
      <c r="EN126" s="595">
        <f t="shared" si="342"/>
        <v>3.3908653846153847</v>
      </c>
      <c r="EO126" s="523">
        <f t="shared" si="342"/>
        <v>3.7425837320574162</v>
      </c>
      <c r="EP126" s="523">
        <f t="shared" si="342"/>
        <v>4.1221264367816088</v>
      </c>
      <c r="EQ126" s="523">
        <f t="shared" si="342"/>
        <v>4.2972459639126308</v>
      </c>
      <c r="ER126" s="523">
        <f t="shared" si="342"/>
        <v>4.2599905970850962</v>
      </c>
      <c r="ES126" s="595">
        <f t="shared" si="342"/>
        <v>4.2599905970850962</v>
      </c>
      <c r="ET126" s="523">
        <f t="shared" si="342"/>
        <v>2.5977570886145025</v>
      </c>
      <c r="EU126" s="523">
        <f t="shared" si="342"/>
        <v>2.7645878160864634</v>
      </c>
      <c r="EV126" s="523">
        <f t="shared" si="342"/>
        <v>2.8252904653219737</v>
      </c>
      <c r="EW126" s="523">
        <f t="shared" si="342"/>
        <v>4.8563117427812177</v>
      </c>
      <c r="EX126" s="595">
        <f t="shared" si="342"/>
        <v>4.8563117427812168</v>
      </c>
      <c r="EY126" s="523">
        <f t="shared" ref="EY126:FB126" si="343">+EY200</f>
        <v>2.8653908958719514</v>
      </c>
      <c r="EZ126" s="523">
        <f t="shared" si="343"/>
        <v>2.9778330416271945</v>
      </c>
      <c r="FA126" s="523">
        <f t="shared" si="343"/>
        <v>3.0241106786100835</v>
      </c>
      <c r="FB126" s="523">
        <f t="shared" si="343"/>
        <v>4.9795293691299021</v>
      </c>
      <c r="FC126" s="523">
        <f t="shared" si="342"/>
        <v>4.9795293691299021</v>
      </c>
      <c r="FD126" s="523">
        <f t="shared" ref="FD126:FG126" si="344">+FD200</f>
        <v>2.8642081692704537</v>
      </c>
      <c r="FE126" s="523">
        <f t="shared" si="344"/>
        <v>2.9076582853527611</v>
      </c>
      <c r="FF126" s="523">
        <f t="shared" si="344"/>
        <v>2.9044245595017575</v>
      </c>
      <c r="FG126" s="523">
        <f t="shared" si="344"/>
        <v>4.7777803482225112</v>
      </c>
      <c r="FH126" s="523">
        <f t="shared" si="342"/>
        <v>4.7777803482225121</v>
      </c>
      <c r="FI126" s="523">
        <f t="shared" si="342"/>
        <v>4.1600002405426837</v>
      </c>
      <c r="FJ126" s="523">
        <f t="shared" si="342"/>
        <v>3.5494030007684922</v>
      </c>
      <c r="FK126" s="523">
        <f t="shared" si="342"/>
        <v>3.5</v>
      </c>
      <c r="FL126" s="523">
        <f t="shared" si="342"/>
        <v>3.5</v>
      </c>
      <c r="FM126" s="523">
        <f>+FM200</f>
        <v>3.5</v>
      </c>
    </row>
    <row r="127" spans="1:171" x14ac:dyDescent="0.3">
      <c r="A127" s="27"/>
      <c r="DU127" s="85"/>
      <c r="DV127" s="85"/>
      <c r="DW127" s="85"/>
      <c r="DX127" s="85"/>
      <c r="DY127" s="85"/>
      <c r="DZ127" s="85"/>
      <c r="EA127" s="85"/>
      <c r="EB127" s="85"/>
      <c r="EC127" s="85"/>
      <c r="ED127" s="85"/>
      <c r="EE127" s="85"/>
      <c r="EF127" s="85"/>
      <c r="EG127" s="85"/>
      <c r="EH127" s="85"/>
      <c r="EI127" s="85"/>
      <c r="EJ127" s="85"/>
      <c r="EK127" s="85"/>
      <c r="EL127" s="85"/>
      <c r="EM127" s="85"/>
      <c r="EN127" s="85"/>
      <c r="EO127" s="85"/>
      <c r="EP127" s="85"/>
      <c r="EQ127" s="85"/>
      <c r="ER127" s="85"/>
      <c r="ES127" s="85"/>
      <c r="ET127" s="85"/>
      <c r="EU127" s="85"/>
      <c r="EV127" s="85"/>
      <c r="EW127" s="85"/>
      <c r="EX127" s="85"/>
      <c r="EY127" s="85"/>
      <c r="EZ127" s="85"/>
      <c r="FA127" s="85"/>
      <c r="FB127" s="85"/>
      <c r="FC127" s="85"/>
      <c r="FD127" s="85"/>
      <c r="FE127" s="85"/>
      <c r="FF127" s="85"/>
      <c r="FG127" s="85"/>
      <c r="FH127" s="85"/>
      <c r="FI127" s="85"/>
      <c r="FJ127" s="85"/>
      <c r="FK127" s="85"/>
      <c r="FL127" s="85"/>
      <c r="FM127" s="85"/>
    </row>
    <row r="128" spans="1:171" x14ac:dyDescent="0.3">
      <c r="A128" s="165" t="s">
        <v>99</v>
      </c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  <c r="BB128" s="165"/>
      <c r="BC128" s="165"/>
      <c r="BD128" s="165"/>
      <c r="BE128" s="165"/>
      <c r="BF128" s="165"/>
      <c r="BG128" s="165"/>
      <c r="BH128" s="165"/>
      <c r="BI128" s="165"/>
      <c r="BJ128" s="165"/>
      <c r="BK128" s="165"/>
      <c r="BL128" s="165"/>
      <c r="BM128" s="165"/>
      <c r="BN128" s="165"/>
      <c r="BO128" s="165"/>
      <c r="BP128" s="165"/>
      <c r="BQ128" s="165"/>
      <c r="BR128" s="165"/>
      <c r="BS128" s="165"/>
      <c r="BT128" s="165"/>
      <c r="BU128" s="165"/>
      <c r="BV128" s="165"/>
      <c r="BW128" s="165"/>
      <c r="BX128" s="165"/>
      <c r="BY128" s="165"/>
      <c r="BZ128" s="165"/>
      <c r="CA128" s="165"/>
      <c r="CB128" s="165"/>
      <c r="CC128" s="165"/>
      <c r="CD128" s="165"/>
      <c r="CE128" s="165"/>
      <c r="CF128" s="165"/>
      <c r="CG128" s="165"/>
      <c r="CH128" s="165"/>
      <c r="CI128" s="165"/>
      <c r="CJ128" s="165"/>
      <c r="CK128" s="165"/>
      <c r="CL128" s="165"/>
      <c r="CM128" s="165"/>
      <c r="CN128" s="165"/>
      <c r="CO128" s="165"/>
      <c r="CP128" s="165"/>
      <c r="CQ128" s="165"/>
      <c r="CR128" s="165"/>
      <c r="CS128" s="165"/>
      <c r="CT128" s="165"/>
      <c r="CU128" s="165"/>
      <c r="CV128" s="165"/>
      <c r="CW128" s="165"/>
      <c r="CX128" s="165"/>
      <c r="CY128" s="165"/>
      <c r="CZ128" s="165"/>
      <c r="DA128" s="165"/>
      <c r="DB128" s="165"/>
      <c r="DC128" s="165"/>
      <c r="DD128" s="165"/>
      <c r="DE128" s="165"/>
      <c r="DF128" s="165"/>
      <c r="DG128" s="165"/>
      <c r="DH128" s="165"/>
      <c r="DI128" s="165"/>
      <c r="DJ128" s="165"/>
      <c r="DK128" s="165"/>
      <c r="DL128" s="165"/>
      <c r="DM128" s="165"/>
      <c r="DN128" s="165"/>
      <c r="DO128" s="165"/>
      <c r="DP128" s="165"/>
      <c r="DQ128" s="165"/>
      <c r="DR128" s="165"/>
      <c r="DS128" s="165"/>
      <c r="DT128" s="165"/>
      <c r="DU128" s="165"/>
      <c r="DV128" s="165"/>
      <c r="DW128" s="165"/>
      <c r="DX128" s="165"/>
      <c r="DY128" s="165"/>
      <c r="DZ128" s="165"/>
      <c r="EA128" s="165"/>
      <c r="EB128" s="165"/>
      <c r="EC128" s="165"/>
      <c r="ED128" s="165"/>
      <c r="EE128" s="165"/>
      <c r="EF128" s="165"/>
      <c r="EG128" s="165"/>
      <c r="EH128" s="165"/>
      <c r="EI128" s="165"/>
      <c r="EJ128" s="165"/>
      <c r="EK128" s="165"/>
      <c r="EL128" s="165"/>
      <c r="EM128" s="165"/>
      <c r="EN128" s="165"/>
      <c r="EO128" s="165"/>
      <c r="EP128" s="165"/>
      <c r="EQ128" s="165"/>
      <c r="ER128" s="165"/>
      <c r="ES128" s="165"/>
      <c r="ET128" s="165"/>
      <c r="EU128" s="165"/>
      <c r="EV128" s="165"/>
      <c r="EW128" s="165"/>
      <c r="EX128" s="165"/>
      <c r="EY128" s="165"/>
      <c r="EZ128" s="165"/>
      <c r="FA128" s="165"/>
      <c r="FB128" s="165"/>
      <c r="FC128" s="165"/>
      <c r="FD128" s="165"/>
      <c r="FE128" s="165"/>
      <c r="FF128" s="165"/>
      <c r="FG128" s="165"/>
      <c r="FH128" s="165"/>
      <c r="FI128" s="165"/>
      <c r="FJ128" s="165"/>
      <c r="FK128" s="165"/>
      <c r="FL128" s="165"/>
      <c r="FM128" s="165"/>
    </row>
    <row r="129" spans="1:169" x14ac:dyDescent="0.3">
      <c r="A129" s="109" t="s">
        <v>100</v>
      </c>
      <c r="DU129" s="76">
        <f>+DU105</f>
        <v>282</v>
      </c>
      <c r="DV129" s="76">
        <f>+DV105</f>
        <v>575</v>
      </c>
      <c r="DW129" s="76">
        <f>+DW105</f>
        <v>246</v>
      </c>
      <c r="DX129" s="76">
        <f>+DX105</f>
        <v>405</v>
      </c>
      <c r="DY129" s="85">
        <f>+SUM(DU129:DX129)</f>
        <v>1508</v>
      </c>
      <c r="DZ129" s="76">
        <f>+DZ105</f>
        <v>477</v>
      </c>
      <c r="EA129" s="76">
        <f>+EA105</f>
        <v>473</v>
      </c>
      <c r="EB129" s="76">
        <f>+EB105</f>
        <v>542</v>
      </c>
      <c r="EC129" s="76">
        <f>+EC105</f>
        <v>497</v>
      </c>
      <c r="ED129" s="85">
        <f>+SUM(DZ129:EC129)</f>
        <v>1989</v>
      </c>
      <c r="EE129" s="76">
        <f>+EE105</f>
        <v>665</v>
      </c>
      <c r="EF129" s="76">
        <f>+EF105</f>
        <v>-939</v>
      </c>
      <c r="EG129" s="76">
        <f>+EG105</f>
        <v>603</v>
      </c>
      <c r="EH129" s="76">
        <f>+EH105</f>
        <v>468</v>
      </c>
      <c r="EI129" s="85">
        <f>+SUM(EE129:EH129)</f>
        <v>797</v>
      </c>
      <c r="EJ129" s="76">
        <f>+EJ105</f>
        <v>528</v>
      </c>
      <c r="EK129" s="76">
        <f>+EK105</f>
        <v>229</v>
      </c>
      <c r="EL129" s="76">
        <f>+EL105</f>
        <v>284</v>
      </c>
      <c r="EM129" s="76">
        <f>+EM105</f>
        <v>360</v>
      </c>
      <c r="EN129" s="85">
        <f>+SUM(EJ129:EM129)</f>
        <v>1401</v>
      </c>
      <c r="EO129" s="76">
        <f>+EO105</f>
        <v>389</v>
      </c>
      <c r="EP129" s="76">
        <f>+EP105</f>
        <v>276</v>
      </c>
      <c r="EQ129" s="76">
        <f>+EQ105</f>
        <v>383</v>
      </c>
      <c r="ER129" s="76">
        <f>+ER105</f>
        <v>296</v>
      </c>
      <c r="ES129" s="85">
        <f>+SUM(EO129:ER129)</f>
        <v>1344</v>
      </c>
      <c r="ET129" s="76">
        <f t="shared" ref="ET129:EW129" si="345">+ET105</f>
        <v>405.39022666595861</v>
      </c>
      <c r="EU129" s="76">
        <f t="shared" si="345"/>
        <v>233.98984278163073</v>
      </c>
      <c r="EV129" s="76">
        <f t="shared" si="345"/>
        <v>366.34392195663764</v>
      </c>
      <c r="EW129" s="76">
        <f t="shared" si="345"/>
        <v>282.76909051971847</v>
      </c>
      <c r="EX129" s="85">
        <f>+SUM(ET129:EW129)</f>
        <v>1288.4930819239455</v>
      </c>
      <c r="EY129" s="76">
        <f t="shared" ref="EY129:FB129" si="346">+EY105</f>
        <v>441.78310533324623</v>
      </c>
      <c r="EZ129" s="76">
        <f t="shared" si="346"/>
        <v>281.19674820169178</v>
      </c>
      <c r="FA129" s="76">
        <f t="shared" si="346"/>
        <v>394.77878771174881</v>
      </c>
      <c r="FB129" s="76">
        <f t="shared" si="346"/>
        <v>302.66274881085053</v>
      </c>
      <c r="FC129" s="85">
        <f>+SUM(EY129:FB129)</f>
        <v>1420.4213900575373</v>
      </c>
      <c r="FD129" s="76">
        <f t="shared" ref="FD129:FM129" si="347">+FD105</f>
        <v>486.25202787393084</v>
      </c>
      <c r="FE129" s="76">
        <f t="shared" si="347"/>
        <v>319.37450143326527</v>
      </c>
      <c r="FF129" s="76">
        <f t="shared" si="347"/>
        <v>457.44081560287475</v>
      </c>
      <c r="FG129" s="76">
        <f t="shared" si="347"/>
        <v>370.54914955321726</v>
      </c>
      <c r="FH129" s="85">
        <f>+SUM(FD129:FG129)</f>
        <v>1633.6164944632883</v>
      </c>
      <c r="FI129" s="76">
        <f t="shared" si="347"/>
        <v>1916.5507270385551</v>
      </c>
      <c r="FJ129" s="76">
        <f t="shared" si="347"/>
        <v>2205.5063344339396</v>
      </c>
      <c r="FK129" s="76">
        <f t="shared" si="347"/>
        <v>2385.4781884852291</v>
      </c>
      <c r="FL129" s="76">
        <f>+FL105</f>
        <v>2634.3299634501946</v>
      </c>
      <c r="FM129" s="76">
        <f t="shared" si="347"/>
        <v>2817.1636029043157</v>
      </c>
    </row>
    <row r="130" spans="1:169" x14ac:dyDescent="0.3">
      <c r="A130" s="187" t="s">
        <v>101</v>
      </c>
      <c r="DU130" s="76">
        <f>+DU107</f>
        <v>-305</v>
      </c>
      <c r="DV130" s="76">
        <f>+DV107</f>
        <v>-275</v>
      </c>
      <c r="DW130" s="76">
        <f>+DW107</f>
        <v>-318</v>
      </c>
      <c r="DX130" s="76">
        <f>+DX107</f>
        <v>-328</v>
      </c>
      <c r="DY130" s="85">
        <f>+SUM(DU130:DX130)</f>
        <v>-1226</v>
      </c>
      <c r="DZ130" s="76">
        <f>+DZ107</f>
        <v>-286</v>
      </c>
      <c r="EA130" s="76">
        <f>+EA107</f>
        <v>-225</v>
      </c>
      <c r="EB130" s="76">
        <f>+EB107</f>
        <v>-314</v>
      </c>
      <c r="EC130" s="76">
        <f>+EC107</f>
        <v>-356</v>
      </c>
      <c r="ED130" s="85">
        <f>+SUM(DZ130:EC130)</f>
        <v>-1181</v>
      </c>
      <c r="EE130" s="76">
        <f>+EE107</f>
        <v>-384</v>
      </c>
      <c r="EF130" s="76">
        <f>+EF107</f>
        <v>-385</v>
      </c>
      <c r="EG130" s="76">
        <f>+EG107</f>
        <v>-377</v>
      </c>
      <c r="EH130" s="76">
        <f>+EH107</f>
        <v>-559</v>
      </c>
      <c r="EI130" s="85">
        <f>+SUM(EE130:EH130)</f>
        <v>-1705</v>
      </c>
      <c r="EJ130" s="76">
        <f>+EJ107</f>
        <v>-447</v>
      </c>
      <c r="EK130" s="76">
        <f>+EK107</f>
        <v>-641</v>
      </c>
      <c r="EL130" s="76">
        <f>+EL107</f>
        <v>-772</v>
      </c>
      <c r="EM130" s="76">
        <f>+EM107</f>
        <v>-878</v>
      </c>
      <c r="EN130" s="85">
        <f>+SUM(EJ130:EM130)</f>
        <v>-2738</v>
      </c>
      <c r="EO130" s="76">
        <f>+EO107</f>
        <v>-1154</v>
      </c>
      <c r="EP130" s="76">
        <f>+EP107</f>
        <v>-1057</v>
      </c>
      <c r="EQ130" s="76">
        <f>+EQ107</f>
        <v>-671</v>
      </c>
      <c r="ER130" s="76">
        <f>+ER107</f>
        <v>-329</v>
      </c>
      <c r="ES130" s="85">
        <f>+SUM(EO130:ER130)</f>
        <v>-3211</v>
      </c>
      <c r="ET130" s="76">
        <f t="shared" ref="ET130:EW130" si="348">+ET107</f>
        <v>-1070.569669465669</v>
      </c>
      <c r="EU130" s="76">
        <f t="shared" si="348"/>
        <v>-950.00515993521185</v>
      </c>
      <c r="EV130" s="76">
        <f t="shared" si="348"/>
        <v>-607.65843430558925</v>
      </c>
      <c r="EW130" s="76">
        <f t="shared" si="348"/>
        <v>-480.40638202327114</v>
      </c>
      <c r="EX130" s="85">
        <f>+SUM(ET130:EW130)</f>
        <v>-3108.6396457297415</v>
      </c>
      <c r="EY130" s="76">
        <f t="shared" ref="EY130:FB130" si="349">+EY107</f>
        <v>-892.02514030719385</v>
      </c>
      <c r="EZ130" s="76">
        <f t="shared" si="349"/>
        <v>-868.11521752519241</v>
      </c>
      <c r="FA130" s="76">
        <f t="shared" si="349"/>
        <v>-629.74692701584604</v>
      </c>
      <c r="FB130" s="76">
        <f t="shared" si="349"/>
        <v>-195.80869848281174</v>
      </c>
      <c r="FC130" s="85">
        <f>+SUM(EY130:FB130)</f>
        <v>-2585.6959833310443</v>
      </c>
      <c r="FD130" s="76">
        <f t="shared" ref="FD130:FM130" si="350">+FD107</f>
        <v>-710.56448210113081</v>
      </c>
      <c r="FE130" s="76">
        <f t="shared" si="350"/>
        <v>-674.74565544694599</v>
      </c>
      <c r="FF130" s="76">
        <f t="shared" si="350"/>
        <v>-503.14248035796345</v>
      </c>
      <c r="FG130" s="76">
        <f t="shared" si="350"/>
        <v>-360.04389669917555</v>
      </c>
      <c r="FH130" s="85">
        <f>+SUM(FD130:FG130)</f>
        <v>-2248.4965146052159</v>
      </c>
      <c r="FI130" s="76">
        <f t="shared" si="350"/>
        <v>-1414.6634666024838</v>
      </c>
      <c r="FJ130" s="76">
        <f t="shared" si="350"/>
        <v>-1388.3472749526786</v>
      </c>
      <c r="FK130" s="76">
        <f t="shared" si="350"/>
        <v>-1360.981876326618</v>
      </c>
      <c r="FL130" s="76">
        <f>+FL107</f>
        <v>-1332.745632004036</v>
      </c>
      <c r="FM130" s="76">
        <f t="shared" si="350"/>
        <v>-1306.146082829664</v>
      </c>
    </row>
    <row r="131" spans="1:169" x14ac:dyDescent="0.3">
      <c r="A131" s="187" t="s">
        <v>102</v>
      </c>
      <c r="DU131" s="1078">
        <v>0</v>
      </c>
      <c r="DV131" s="1078">
        <v>0</v>
      </c>
      <c r="DW131" s="1078">
        <v>0</v>
      </c>
      <c r="DX131" s="1078">
        <v>0</v>
      </c>
      <c r="DY131" s="1079">
        <f>SUM(DU131:DX131)</f>
        <v>0</v>
      </c>
      <c r="DZ131" s="1078">
        <v>48</v>
      </c>
      <c r="EA131" s="1078">
        <f>57+36</f>
        <v>93</v>
      </c>
      <c r="EB131" s="1078">
        <f>131+3</f>
        <v>134</v>
      </c>
      <c r="EC131" s="1078">
        <v>128</v>
      </c>
      <c r="ED131" s="1079">
        <f>SUM(DZ131:EC131)</f>
        <v>403</v>
      </c>
      <c r="EE131" s="1078">
        <f>25+2</f>
        <v>27</v>
      </c>
      <c r="EF131" s="1078">
        <f>5467-4196+16</f>
        <v>1287</v>
      </c>
      <c r="EG131" s="1078">
        <v>0</v>
      </c>
      <c r="EH131" s="1078">
        <v>0</v>
      </c>
      <c r="EI131" s="1079">
        <f>SUM(EE131:EH131)</f>
        <v>1314</v>
      </c>
      <c r="EJ131" s="1078">
        <v>0</v>
      </c>
      <c r="EK131" s="1078">
        <v>0</v>
      </c>
      <c r="EL131" s="1078">
        <v>0</v>
      </c>
      <c r="EM131" s="1078">
        <v>0</v>
      </c>
      <c r="EN131" s="1079">
        <f>SUM(EJ131:EM131)</f>
        <v>0</v>
      </c>
      <c r="EO131" s="1078">
        <v>0</v>
      </c>
      <c r="EP131" s="1078">
        <v>0</v>
      </c>
      <c r="EQ131" s="1078">
        <v>0</v>
      </c>
      <c r="ER131" s="1078">
        <v>0</v>
      </c>
      <c r="ES131" s="1079">
        <f>SUM(EO131:ER131)</f>
        <v>0</v>
      </c>
      <c r="ET131" s="1078">
        <v>0</v>
      </c>
      <c r="EU131" s="1078">
        <v>0</v>
      </c>
      <c r="EV131" s="1078">
        <v>0</v>
      </c>
      <c r="EW131" s="1078">
        <v>0</v>
      </c>
      <c r="EX131" s="1079">
        <f>SUM(ET131:EW131)</f>
        <v>0</v>
      </c>
      <c r="EY131" s="1078">
        <v>0</v>
      </c>
      <c r="EZ131" s="1078">
        <v>0</v>
      </c>
      <c r="FA131" s="1078">
        <v>0</v>
      </c>
      <c r="FB131" s="1078">
        <v>0</v>
      </c>
      <c r="FC131" s="1079">
        <f>SUM(EY131:FB131)</f>
        <v>0</v>
      </c>
      <c r="FD131" s="1078">
        <v>0</v>
      </c>
      <c r="FE131" s="1078">
        <v>0</v>
      </c>
      <c r="FF131" s="1078">
        <v>0</v>
      </c>
      <c r="FG131" s="1078">
        <v>0</v>
      </c>
      <c r="FH131" s="1079">
        <f>SUM(FD131:FG131)</f>
        <v>0</v>
      </c>
      <c r="FI131" s="1078">
        <v>0</v>
      </c>
      <c r="FJ131" s="1078">
        <v>0</v>
      </c>
      <c r="FK131" s="1078">
        <v>0</v>
      </c>
      <c r="FL131" s="1078">
        <v>0</v>
      </c>
      <c r="FM131" s="1078">
        <v>0</v>
      </c>
    </row>
    <row r="132" spans="1:169" x14ac:dyDescent="0.3">
      <c r="A132" s="186" t="s">
        <v>103</v>
      </c>
      <c r="DU132" s="803">
        <f>SUM(DU129:DU131)</f>
        <v>-23</v>
      </c>
      <c r="DV132" s="803">
        <f>SUM(DV129:DV131)</f>
        <v>300</v>
      </c>
      <c r="DW132" s="803">
        <f>SUM(DW129:DW131)</f>
        <v>-72</v>
      </c>
      <c r="DX132" s="803">
        <f>SUM(DX129:DX131)</f>
        <v>77</v>
      </c>
      <c r="DY132" s="803">
        <f>+SUM(DU132:DX132)</f>
        <v>282</v>
      </c>
      <c r="DZ132" s="803">
        <f>SUM(DZ129:DZ131)</f>
        <v>239</v>
      </c>
      <c r="EA132" s="803">
        <f>SUM(EA129:EA131)</f>
        <v>341</v>
      </c>
      <c r="EB132" s="803">
        <f>SUM(EB129:EB131)</f>
        <v>362</v>
      </c>
      <c r="EC132" s="803">
        <f>SUM(EC129:EC131)</f>
        <v>269</v>
      </c>
      <c r="ED132" s="803">
        <f>+SUM(DZ132:EC132)</f>
        <v>1211</v>
      </c>
      <c r="EE132" s="803">
        <f>SUM(EE129:EE131)</f>
        <v>308</v>
      </c>
      <c r="EF132" s="803">
        <f>SUM(EF129:EF131)</f>
        <v>-37</v>
      </c>
      <c r="EG132" s="803">
        <f>SUM(EG129:EG131)</f>
        <v>226</v>
      </c>
      <c r="EH132" s="803">
        <f>SUM(EH129:EH131)</f>
        <v>-91</v>
      </c>
      <c r="EI132" s="803">
        <f>+SUM(EE132:EH132)</f>
        <v>406</v>
      </c>
      <c r="EJ132" s="803">
        <f>SUM(EJ129:EJ131)</f>
        <v>81</v>
      </c>
      <c r="EK132" s="803">
        <f>SUM(EK129:EK131)</f>
        <v>-412</v>
      </c>
      <c r="EL132" s="803">
        <f>SUM(EL129:EL131)</f>
        <v>-488</v>
      </c>
      <c r="EM132" s="803">
        <f>SUM(EM129:EM131)</f>
        <v>-518</v>
      </c>
      <c r="EN132" s="803">
        <f>+SUM(EJ132:EM132)</f>
        <v>-1337</v>
      </c>
      <c r="EO132" s="803">
        <f>SUM(EO129:EO131)</f>
        <v>-765</v>
      </c>
      <c r="EP132" s="803">
        <f>SUM(EP129:EP131)</f>
        <v>-781</v>
      </c>
      <c r="EQ132" s="803">
        <f>SUM(EQ129:EQ131)</f>
        <v>-288</v>
      </c>
      <c r="ER132" s="803">
        <f>SUM(ER129:ER131)</f>
        <v>-33</v>
      </c>
      <c r="ES132" s="803">
        <f>+SUM(EO132:ER132)</f>
        <v>-1867</v>
      </c>
      <c r="ET132" s="803">
        <f t="shared" ref="ET132:EW132" si="351">SUM(ET129:ET131)</f>
        <v>-665.17944279971039</v>
      </c>
      <c r="EU132" s="803">
        <f t="shared" si="351"/>
        <v>-716.01531715358112</v>
      </c>
      <c r="EV132" s="803">
        <f t="shared" si="351"/>
        <v>-241.31451234895161</v>
      </c>
      <c r="EW132" s="803">
        <f t="shared" si="351"/>
        <v>-197.63729150355266</v>
      </c>
      <c r="EX132" s="803">
        <f>+SUM(ET132:EW132)</f>
        <v>-1820.1465638057957</v>
      </c>
      <c r="EY132" s="803">
        <f t="shared" ref="EY132:FB132" si="352">SUM(EY129:EY131)</f>
        <v>-450.24203497394763</v>
      </c>
      <c r="EZ132" s="803">
        <f t="shared" si="352"/>
        <v>-586.91846932350063</v>
      </c>
      <c r="FA132" s="803">
        <f t="shared" si="352"/>
        <v>-234.96813930409724</v>
      </c>
      <c r="FB132" s="803">
        <f t="shared" si="352"/>
        <v>106.8540503280388</v>
      </c>
      <c r="FC132" s="803">
        <f>+SUM(EY132:FB132)</f>
        <v>-1165.274593273507</v>
      </c>
      <c r="FD132" s="803">
        <f t="shared" ref="FD132:FM132" si="353">SUM(FD129:FD131)</f>
        <v>-224.31245422719996</v>
      </c>
      <c r="FE132" s="803">
        <f t="shared" si="353"/>
        <v>-355.37115401368072</v>
      </c>
      <c r="FF132" s="803">
        <f t="shared" si="353"/>
        <v>-45.7016647550887</v>
      </c>
      <c r="FG132" s="803">
        <f t="shared" si="353"/>
        <v>10.505252854041714</v>
      </c>
      <c r="FH132" s="803">
        <f>+SUM(FD132:FG132)</f>
        <v>-614.88002014192762</v>
      </c>
      <c r="FI132" s="803">
        <f t="shared" si="353"/>
        <v>501.8872604360713</v>
      </c>
      <c r="FJ132" s="803">
        <f t="shared" si="353"/>
        <v>817.15905948126101</v>
      </c>
      <c r="FK132" s="803">
        <f t="shared" si="353"/>
        <v>1024.4963121586111</v>
      </c>
      <c r="FL132" s="803">
        <f t="shared" si="353"/>
        <v>1301.5843314461586</v>
      </c>
      <c r="FM132" s="803">
        <f t="shared" si="353"/>
        <v>1511.0175200746517</v>
      </c>
    </row>
    <row r="133" spans="1:169" x14ac:dyDescent="0.3">
      <c r="A133" s="187" t="s">
        <v>104</v>
      </c>
      <c r="DU133" s="76">
        <f>+DU80</f>
        <v>260</v>
      </c>
      <c r="DV133" s="76">
        <f>+DV80</f>
        <v>260</v>
      </c>
      <c r="DW133" s="76">
        <f>+DW80</f>
        <v>260</v>
      </c>
      <c r="DX133" s="76">
        <f>+DX80</f>
        <v>260</v>
      </c>
      <c r="DY133" s="85">
        <f>+DY132/DY134</f>
        <v>260</v>
      </c>
      <c r="DZ133" s="76">
        <f>+DZ80</f>
        <v>260</v>
      </c>
      <c r="EA133" s="76">
        <f>+EA80</f>
        <v>260</v>
      </c>
      <c r="EB133" s="76">
        <f>+EB80</f>
        <v>260</v>
      </c>
      <c r="EC133" s="76">
        <f>+EC80</f>
        <v>260</v>
      </c>
      <c r="ED133" s="85">
        <f>+ED132/ED134</f>
        <v>260</v>
      </c>
      <c r="EE133" s="76">
        <f>+EE80</f>
        <v>260</v>
      </c>
      <c r="EF133" s="76">
        <f>+EF80</f>
        <v>188.51599999999999</v>
      </c>
      <c r="EG133" s="76">
        <f>+EG80</f>
        <v>244.40299999999999</v>
      </c>
      <c r="EH133" s="76">
        <f>+EH80</f>
        <v>244.30799999999999</v>
      </c>
      <c r="EI133" s="85">
        <f>+EI132/EI134</f>
        <v>263.53930478237436</v>
      </c>
      <c r="EJ133" s="76">
        <f>+EJ80</f>
        <v>244.43299999999999</v>
      </c>
      <c r="EK133" s="76">
        <f>+EK80</f>
        <v>244.72300000000001</v>
      </c>
      <c r="EL133" s="76">
        <f>+EL80</f>
        <v>244.98400000000001</v>
      </c>
      <c r="EM133" s="76">
        <f>+EM80</f>
        <v>245.01</v>
      </c>
      <c r="EN133" s="85">
        <f>+EN132/EN134</f>
        <v>244.94702091075703</v>
      </c>
      <c r="EO133" s="76">
        <f>+EO80</f>
        <v>245.08099999999999</v>
      </c>
      <c r="EP133" s="76">
        <f>+EP80</f>
        <v>245.47399999999999</v>
      </c>
      <c r="EQ133" s="76">
        <f>+EQ80</f>
        <v>245.761</v>
      </c>
      <c r="ER133" s="76">
        <f>+ER80</f>
        <v>245.79900000000001</v>
      </c>
      <c r="ES133" s="85">
        <f>+ES132/ES134</f>
        <v>245.36271849066938</v>
      </c>
      <c r="ET133" s="76">
        <f t="shared" ref="ET133:EW133" si="354">+ET80</f>
        <v>245.02099999999999</v>
      </c>
      <c r="EU133" s="76">
        <f t="shared" si="354"/>
        <v>245.02099999999999</v>
      </c>
      <c r="EV133" s="76">
        <f t="shared" si="354"/>
        <v>245.02099999999999</v>
      </c>
      <c r="EW133" s="76">
        <f t="shared" si="354"/>
        <v>245.02099999999999</v>
      </c>
      <c r="EX133" s="85">
        <f>+EX132/EX134</f>
        <v>245.02099999999999</v>
      </c>
      <c r="EY133" s="76">
        <f t="shared" ref="EY133:FB133" si="355">+EY80</f>
        <v>245.02099999999999</v>
      </c>
      <c r="EZ133" s="76">
        <f t="shared" si="355"/>
        <v>245.02099999999999</v>
      </c>
      <c r="FA133" s="76">
        <f t="shared" si="355"/>
        <v>245.02099999999999</v>
      </c>
      <c r="FB133" s="76">
        <f t="shared" si="355"/>
        <v>245.02099999999999</v>
      </c>
      <c r="FC133" s="85">
        <f>+FC132/FC134</f>
        <v>245.02100000000004</v>
      </c>
      <c r="FD133" s="76">
        <f t="shared" ref="FD133:FM133" si="356">+FD80</f>
        <v>245.02099999999999</v>
      </c>
      <c r="FE133" s="76">
        <f t="shared" si="356"/>
        <v>245.02099999999999</v>
      </c>
      <c r="FF133" s="76">
        <f t="shared" si="356"/>
        <v>245.02099999999999</v>
      </c>
      <c r="FG133" s="76">
        <f t="shared" si="356"/>
        <v>245.02099999999999</v>
      </c>
      <c r="FH133" s="85">
        <f>+FH132/FH134</f>
        <v>245.02099999999996</v>
      </c>
      <c r="FI133" s="76">
        <f t="shared" si="356"/>
        <v>245.02099999999999</v>
      </c>
      <c r="FJ133" s="76">
        <f t="shared" si="356"/>
        <v>245.02099999999999</v>
      </c>
      <c r="FK133" s="76">
        <f t="shared" si="356"/>
        <v>219.87911986845182</v>
      </c>
      <c r="FL133" s="76">
        <f t="shared" si="356"/>
        <v>172.01072663479673</v>
      </c>
      <c r="FM133" s="76">
        <f t="shared" si="356"/>
        <v>130.74502561883213</v>
      </c>
    </row>
    <row r="134" spans="1:169" ht="12.5" thickBot="1" x14ac:dyDescent="0.35">
      <c r="A134" s="186" t="s">
        <v>105</v>
      </c>
      <c r="DU134" s="188">
        <f>+DU132/DU133</f>
        <v>-8.8461538461538466E-2</v>
      </c>
      <c r="DV134" s="188">
        <f>+DV132/DV133</f>
        <v>1.1538461538461537</v>
      </c>
      <c r="DW134" s="188">
        <f>+DW132/DW133</f>
        <v>-0.27692307692307694</v>
      </c>
      <c r="DX134" s="188">
        <f>+DX132/DX133</f>
        <v>0.29615384615384616</v>
      </c>
      <c r="DY134" s="188">
        <f>+SUM(DU134:DX134)</f>
        <v>1.0846153846153845</v>
      </c>
      <c r="DZ134" s="188">
        <f>+DZ132/DZ133</f>
        <v>0.91923076923076918</v>
      </c>
      <c r="EA134" s="188">
        <f>+EA132/EA133</f>
        <v>1.3115384615384615</v>
      </c>
      <c r="EB134" s="188">
        <f>+EB132/EB133</f>
        <v>1.3923076923076922</v>
      </c>
      <c r="EC134" s="188">
        <f>+EC132/EC133</f>
        <v>1.0346153846153847</v>
      </c>
      <c r="ED134" s="188">
        <f>+SUM(DZ134:EC134)</f>
        <v>4.657692307692308</v>
      </c>
      <c r="EE134" s="188">
        <f>+EE132/EE133</f>
        <v>1.1846153846153846</v>
      </c>
      <c r="EF134" s="188">
        <f>+EF132/EF133</f>
        <v>-0.19626981264189777</v>
      </c>
      <c r="EG134" s="188">
        <f>+EG132/EG133</f>
        <v>0.92470223360597048</v>
      </c>
      <c r="EH134" s="188">
        <f>+EH132/EH133</f>
        <v>-0.37248063919314967</v>
      </c>
      <c r="EI134" s="188">
        <f>+SUM(EE134:EH134)</f>
        <v>1.5405671663863076</v>
      </c>
      <c r="EJ134" s="188">
        <f>+EJ132/EJ133</f>
        <v>0.33137915093297549</v>
      </c>
      <c r="EK134" s="188">
        <f>+EK132/EK133</f>
        <v>-1.6835360795675109</v>
      </c>
      <c r="EL134" s="188">
        <f>+EL132/EL133</f>
        <v>-1.9919668223230904</v>
      </c>
      <c r="EM134" s="188">
        <f>+EM132/EM133</f>
        <v>-2.1141994204318193</v>
      </c>
      <c r="EN134" s="188">
        <f>+SUM(EJ134:EM134)</f>
        <v>-5.4583231713894449</v>
      </c>
      <c r="EO134" s="188">
        <f>+EO132/EO133</f>
        <v>-3.1214170009099034</v>
      </c>
      <c r="EP134" s="188">
        <f>+EP132/EP133</f>
        <v>-3.1815996806179068</v>
      </c>
      <c r="EQ134" s="188">
        <f>+EQ132/EQ133</f>
        <v>-1.1718702316478204</v>
      </c>
      <c r="ER134" s="188">
        <f>+ER132/ER133</f>
        <v>-0.13425603847045756</v>
      </c>
      <c r="ES134" s="188">
        <f>+SUM(EO134:ER134)</f>
        <v>-7.6091429516460876</v>
      </c>
      <c r="ET134" s="188">
        <f t="shared" ref="ET134:EW134" si="357">+ET132/ET133</f>
        <v>-2.7147854379816851</v>
      </c>
      <c r="EU134" s="188">
        <f t="shared" si="357"/>
        <v>-2.9222610190701253</v>
      </c>
      <c r="EV134" s="188">
        <f t="shared" si="357"/>
        <v>-0.98487277559454744</v>
      </c>
      <c r="EW134" s="188">
        <f t="shared" si="357"/>
        <v>-0.80661368414769619</v>
      </c>
      <c r="EX134" s="188">
        <f>+SUM(ET134:EW134)</f>
        <v>-7.4285329167940537</v>
      </c>
      <c r="EY134" s="188">
        <f t="shared" ref="EY134:FB134" si="358">+EY132/EY133</f>
        <v>-1.8375650861515855</v>
      </c>
      <c r="EZ134" s="188">
        <f t="shared" si="358"/>
        <v>-2.3953802707665899</v>
      </c>
      <c r="FA134" s="188">
        <f t="shared" si="358"/>
        <v>-0.9589714322613051</v>
      </c>
      <c r="FB134" s="188">
        <f t="shared" si="358"/>
        <v>0.43610160079355975</v>
      </c>
      <c r="FC134" s="188">
        <f>+SUM(EY134:FB134)</f>
        <v>-4.7558151883859212</v>
      </c>
      <c r="FD134" s="188">
        <f t="shared" ref="FD134:FL134" si="359">+FD132/FD133</f>
        <v>-0.91548256772766401</v>
      </c>
      <c r="FE134" s="188">
        <f t="shared" si="359"/>
        <v>-1.4503701887335401</v>
      </c>
      <c r="FF134" s="188">
        <f t="shared" si="359"/>
        <v>-0.18652141961337479</v>
      </c>
      <c r="FG134" s="188">
        <f t="shared" si="359"/>
        <v>4.2874908085599663E-2</v>
      </c>
      <c r="FH134" s="188">
        <f>+SUM(FD134:FG134)</f>
        <v>-2.5094992679889794</v>
      </c>
      <c r="FI134" s="188">
        <f t="shared" si="359"/>
        <v>2.0483438580206239</v>
      </c>
      <c r="FJ134" s="188">
        <f t="shared" si="359"/>
        <v>3.3350572378745538</v>
      </c>
      <c r="FK134" s="188">
        <f t="shared" si="359"/>
        <v>4.6593615290598835</v>
      </c>
      <c r="FL134" s="188">
        <f t="shared" si="359"/>
        <v>7.5668788622096077</v>
      </c>
      <c r="FM134" s="188">
        <f>+FM132/FM133</f>
        <v>11.556979035514519</v>
      </c>
    </row>
    <row r="135" spans="1:169" ht="12.5" thickTop="1" x14ac:dyDescent="0.3">
      <c r="A135" s="164"/>
      <c r="EO135"/>
      <c r="EP135"/>
      <c r="EQ135"/>
      <c r="ER135"/>
      <c r="ES135" s="90"/>
      <c r="EX135" s="90"/>
      <c r="FC135" s="90"/>
      <c r="FH135" s="90"/>
    </row>
    <row r="136" spans="1:169" x14ac:dyDescent="0.3">
      <c r="A136" s="164" t="s">
        <v>106</v>
      </c>
      <c r="DZ136" s="1161">
        <f>Inputs!DZ284</f>
        <v>783</v>
      </c>
      <c r="EA136" s="1161">
        <f>Inputs!EA284</f>
        <v>732</v>
      </c>
      <c r="EB136" s="1161">
        <f>Inputs!EB284</f>
        <v>690</v>
      </c>
      <c r="EC136" s="1161">
        <f>Inputs!EC284</f>
        <v>693</v>
      </c>
      <c r="ED136" s="900">
        <f>SUM(DZ136:EC136)</f>
        <v>2898</v>
      </c>
      <c r="EE136" s="1161">
        <f>Inputs!EE284</f>
        <v>670</v>
      </c>
      <c r="EF136" s="1161">
        <f>Inputs!EF284</f>
        <v>633</v>
      </c>
      <c r="EG136" s="1161">
        <f>Inputs!EG284</f>
        <v>587</v>
      </c>
      <c r="EH136" s="1161">
        <f>Inputs!EH284</f>
        <v>585</v>
      </c>
      <c r="EI136" s="900">
        <f>SUM(EE136:EH136)</f>
        <v>2475</v>
      </c>
      <c r="EJ136" s="1161">
        <f>Inputs!EJ284</f>
        <v>509</v>
      </c>
      <c r="EK136" s="1161">
        <f>Inputs!EK284</f>
        <v>535</v>
      </c>
      <c r="EL136" s="1161">
        <f>Inputs!EL284</f>
        <v>508</v>
      </c>
      <c r="EM136" s="1161">
        <f>Inputs!EM284</f>
        <v>528</v>
      </c>
      <c r="EN136" s="900">
        <f>SUM(EJ136:EM136)</f>
        <v>2080</v>
      </c>
      <c r="EO136" s="1161">
        <f>Inputs!EO284</f>
        <v>519</v>
      </c>
      <c r="EP136" s="1161">
        <f>Inputs!EP284</f>
        <v>533</v>
      </c>
      <c r="EQ136" s="1161">
        <f>Inputs!EQ284</f>
        <v>526</v>
      </c>
      <c r="ER136" s="1161">
        <f>Inputs!ER284</f>
        <v>549</v>
      </c>
      <c r="ES136" s="900">
        <f>SUM(EO136:ER136)</f>
        <v>2127</v>
      </c>
      <c r="ET136" s="885">
        <f t="shared" ref="ET136:EW136" si="360">ET48</f>
        <v>543.99283568494593</v>
      </c>
      <c r="EU136" s="885">
        <f t="shared" si="360"/>
        <v>560.38798605648458</v>
      </c>
      <c r="EV136" s="885">
        <f t="shared" si="360"/>
        <v>556.37459797704582</v>
      </c>
      <c r="EW136" s="885">
        <f t="shared" si="360"/>
        <v>585.01197361608502</v>
      </c>
      <c r="EX136" s="900">
        <f>SUM(ET136:EW136)</f>
        <v>2245.7673933345613</v>
      </c>
      <c r="EY136" s="885">
        <f t="shared" ref="EY136:FB136" si="361">EY48</f>
        <v>577.88571435223355</v>
      </c>
      <c r="EZ136" s="885">
        <f t="shared" si="361"/>
        <v>605.09489147654563</v>
      </c>
      <c r="FA136" s="885">
        <f t="shared" si="361"/>
        <v>604.2641831199121</v>
      </c>
      <c r="FB136" s="885">
        <f t="shared" si="361"/>
        <v>641.98501579347294</v>
      </c>
      <c r="FC136" s="900">
        <f>SUM(EY136:FB136)</f>
        <v>2429.2298047421641</v>
      </c>
      <c r="FD136" s="885">
        <f t="shared" ref="FD136:FM136" si="362">FD48</f>
        <v>627.88614401317136</v>
      </c>
      <c r="FE136" s="885">
        <f t="shared" si="362"/>
        <v>663.55224997127698</v>
      </c>
      <c r="FF136" s="885">
        <f t="shared" si="362"/>
        <v>665.67621101103805</v>
      </c>
      <c r="FG136" s="885">
        <f t="shared" si="362"/>
        <v>708.62141653583967</v>
      </c>
      <c r="FH136" s="900">
        <f>SUM(FD136:FG136)</f>
        <v>2665.7360215313261</v>
      </c>
      <c r="FI136" s="885">
        <f t="shared" si="362"/>
        <v>2946.9743288250111</v>
      </c>
      <c r="FJ136" s="885">
        <f t="shared" si="362"/>
        <v>3230.7559482034267</v>
      </c>
      <c r="FK136" s="885">
        <f t="shared" si="362"/>
        <v>3509.9095186498562</v>
      </c>
      <c r="FL136" s="885">
        <f t="shared" si="362"/>
        <v>3774.2567996896059</v>
      </c>
      <c r="FM136" s="885">
        <f t="shared" si="362"/>
        <v>4019.1067273242143</v>
      </c>
    </row>
    <row r="137" spans="1:169" x14ac:dyDescent="0.3">
      <c r="A137" s="164" t="s">
        <v>51</v>
      </c>
      <c r="DZ137" s="1161">
        <f>Inputs!DZ285</f>
        <v>-23</v>
      </c>
      <c r="EA137" s="1161">
        <f>Inputs!EA285</f>
        <v>-23</v>
      </c>
      <c r="EB137" s="1161">
        <f>Inputs!EB285</f>
        <v>-24</v>
      </c>
      <c r="EC137" s="1161">
        <f>Inputs!EC285</f>
        <v>-20</v>
      </c>
      <c r="ED137" s="900">
        <f t="shared" ref="ED137:ED142" si="363">SUM(DZ137:EC137)</f>
        <v>-90</v>
      </c>
      <c r="EE137" s="1161">
        <f>Inputs!EE285</f>
        <v>-23</v>
      </c>
      <c r="EF137" s="1161">
        <f>Inputs!EF285</f>
        <v>-21</v>
      </c>
      <c r="EG137" s="1161">
        <f>Inputs!EG285</f>
        <v>-18</v>
      </c>
      <c r="EH137" s="1161">
        <f>Inputs!EH285</f>
        <v>-19</v>
      </c>
      <c r="EI137" s="900">
        <f t="shared" ref="EI137:EI142" si="364">SUM(EE137:EH137)</f>
        <v>-81</v>
      </c>
      <c r="EJ137" s="1161">
        <f>Inputs!EJ285</f>
        <v>-37</v>
      </c>
      <c r="EK137" s="1161">
        <f>Inputs!EK285</f>
        <v>-50</v>
      </c>
      <c r="EL137" s="1161">
        <f>Inputs!EL285</f>
        <v>-104</v>
      </c>
      <c r="EM137" s="1161">
        <f>Inputs!EM285</f>
        <v>-10</v>
      </c>
      <c r="EN137" s="900">
        <f t="shared" ref="EN137:EN142" si="365">SUM(EJ137:EM137)</f>
        <v>-201</v>
      </c>
      <c r="EO137" s="1161">
        <f>Inputs!EO285</f>
        <v>-11</v>
      </c>
      <c r="EP137" s="1161">
        <f>Inputs!EP285</f>
        <v>-11</v>
      </c>
      <c r="EQ137" s="1161">
        <f>Inputs!EQ285</f>
        <v>-9</v>
      </c>
      <c r="ER137" s="1161">
        <f>Inputs!ER285</f>
        <v>-10</v>
      </c>
      <c r="ES137" s="900">
        <f t="shared" ref="ES137:ES142" si="366">SUM(EO137:ER137)</f>
        <v>-41</v>
      </c>
      <c r="ET137" s="885">
        <f t="shared" ref="ET137:EW137" si="367">-ET67+ET104</f>
        <v>56.338224314345979</v>
      </c>
      <c r="EU137" s="885">
        <f t="shared" si="367"/>
        <v>-131.45730994152052</v>
      </c>
      <c r="EV137" s="885">
        <f t="shared" si="367"/>
        <v>4.9101573129251506</v>
      </c>
      <c r="EW137" s="885">
        <f t="shared" si="367"/>
        <v>-107.30204976303318</v>
      </c>
      <c r="EX137" s="900">
        <f t="shared" ref="EX137:EX142" si="368">SUM(ET137:EW137)</f>
        <v>-177.51097807728257</v>
      </c>
      <c r="EY137" s="885">
        <f t="shared" ref="EY137:FB137" si="369">-EY67+EY104</f>
        <v>56.338224314345979</v>
      </c>
      <c r="EZ137" s="885">
        <f t="shared" si="369"/>
        <v>-131.45730994152052</v>
      </c>
      <c r="FA137" s="885">
        <f t="shared" si="369"/>
        <v>14.83043792517006</v>
      </c>
      <c r="FB137" s="885">
        <f t="shared" si="369"/>
        <v>-115.00643364928908</v>
      </c>
      <c r="FC137" s="900">
        <f t="shared" ref="FC137:FC142" si="370">SUM(EY137:FB137)</f>
        <v>-175.29508135129356</v>
      </c>
      <c r="FD137" s="885">
        <f t="shared" ref="FD137:FM137" si="371">-FD67+FD104</f>
        <v>65.494217194092798</v>
      </c>
      <c r="FE137" s="885">
        <f t="shared" si="371"/>
        <v>-137.04941520467838</v>
      </c>
      <c r="FF137" s="885">
        <f t="shared" si="371"/>
        <v>14.83043792517006</v>
      </c>
      <c r="FG137" s="885">
        <f t="shared" si="371"/>
        <v>-115.00643364928908</v>
      </c>
      <c r="FH137" s="900">
        <f t="shared" ref="FH137:FH142" si="372">SUM(FD137:FG137)</f>
        <v>-171.73119373470462</v>
      </c>
      <c r="FI137" s="885">
        <f t="shared" si="371"/>
        <v>-171.47511011978906</v>
      </c>
      <c r="FJ137" s="885">
        <f t="shared" si="371"/>
        <v>-171.87612210281986</v>
      </c>
      <c r="FK137" s="885">
        <f t="shared" si="371"/>
        <v>-164.18900403421003</v>
      </c>
      <c r="FL137" s="885">
        <f t="shared" si="371"/>
        <v>-162.98801872099784</v>
      </c>
      <c r="FM137" s="885">
        <f t="shared" si="371"/>
        <v>-158.18142183250416</v>
      </c>
    </row>
    <row r="138" spans="1:169" x14ac:dyDescent="0.3">
      <c r="A138" s="164" t="s">
        <v>107</v>
      </c>
      <c r="DZ138" s="1161">
        <f>Inputs!DZ286</f>
        <v>-163</v>
      </c>
      <c r="EA138" s="1161">
        <f>Inputs!EA286</f>
        <v>-264</v>
      </c>
      <c r="EB138" s="1161">
        <f>Inputs!EB286</f>
        <v>-121</v>
      </c>
      <c r="EC138" s="1161">
        <f>Inputs!EC286</f>
        <v>-64</v>
      </c>
      <c r="ED138" s="900">
        <f t="shared" si="363"/>
        <v>-612</v>
      </c>
      <c r="EE138" s="1161">
        <f>Inputs!EE286</f>
        <v>-40</v>
      </c>
      <c r="EF138" s="1161">
        <f>Inputs!EF286</f>
        <v>-128</v>
      </c>
      <c r="EG138" s="1161">
        <f>Inputs!EG286</f>
        <v>-37</v>
      </c>
      <c r="EH138" s="1161">
        <f>Inputs!EH286</f>
        <v>-160</v>
      </c>
      <c r="EI138" s="900">
        <f t="shared" si="364"/>
        <v>-365</v>
      </c>
      <c r="EJ138" s="1161">
        <f>Inputs!EJ286</f>
        <v>-36</v>
      </c>
      <c r="EK138" s="1161">
        <f>Inputs!EK286</f>
        <v>-162</v>
      </c>
      <c r="EL138" s="1161">
        <f>Inputs!EL286</f>
        <v>-88</v>
      </c>
      <c r="EM138" s="1161">
        <f>Inputs!EM286</f>
        <v>-226</v>
      </c>
      <c r="EN138" s="900">
        <f t="shared" si="365"/>
        <v>-512</v>
      </c>
      <c r="EO138" s="1161">
        <f>Inputs!EO286</f>
        <v>-83</v>
      </c>
      <c r="EP138" s="1161">
        <f>Inputs!EP286</f>
        <v>-231</v>
      </c>
      <c r="EQ138" s="1161">
        <f>Inputs!EQ286</f>
        <v>-135</v>
      </c>
      <c r="ER138" s="1161">
        <f>Inputs!ER286</f>
        <v>-262</v>
      </c>
      <c r="ES138" s="900">
        <f t="shared" si="366"/>
        <v>-711</v>
      </c>
      <c r="ET138" s="885">
        <f t="shared" ref="ET138:EW138" si="373">-ET209</f>
        <v>-202.94083333333333</v>
      </c>
      <c r="EU138" s="885">
        <f t="shared" si="373"/>
        <v>-202.94083333333333</v>
      </c>
      <c r="EV138" s="885">
        <f t="shared" si="373"/>
        <v>-202.94083333333333</v>
      </c>
      <c r="EW138" s="885">
        <f t="shared" si="373"/>
        <v>-202.94083333333333</v>
      </c>
      <c r="EX138" s="900">
        <f t="shared" si="368"/>
        <v>-811.76333333333332</v>
      </c>
      <c r="EY138" s="885">
        <f t="shared" ref="EY138:FB138" si="374">-EY209</f>
        <v>-202.94083333333333</v>
      </c>
      <c r="EZ138" s="885">
        <f t="shared" si="374"/>
        <v>-202.94083333333333</v>
      </c>
      <c r="FA138" s="885">
        <f t="shared" si="374"/>
        <v>-234.81583333333333</v>
      </c>
      <c r="FB138" s="885">
        <f t="shared" si="374"/>
        <v>-234.81583333333333</v>
      </c>
      <c r="FC138" s="900">
        <f t="shared" si="370"/>
        <v>-875.51333333333332</v>
      </c>
      <c r="FD138" s="885">
        <f t="shared" ref="FD138:FM138" si="375">-FD209</f>
        <v>-218.87833333333333</v>
      </c>
      <c r="FE138" s="885">
        <f t="shared" si="375"/>
        <v>-218.87833333333333</v>
      </c>
      <c r="FF138" s="885">
        <f t="shared" si="375"/>
        <v>-234.81583333333333</v>
      </c>
      <c r="FG138" s="885">
        <f t="shared" si="375"/>
        <v>-234.81583333333333</v>
      </c>
      <c r="FH138" s="900">
        <f t="shared" si="372"/>
        <v>-907.38833333333332</v>
      </c>
      <c r="FI138" s="885">
        <f t="shared" si="375"/>
        <v>-910.94849166666677</v>
      </c>
      <c r="FJ138" s="885">
        <f t="shared" si="375"/>
        <v>-905.37349166666672</v>
      </c>
      <c r="FK138" s="885">
        <f t="shared" si="375"/>
        <v>-1012.2423261304172</v>
      </c>
      <c r="FL138" s="885">
        <f t="shared" si="375"/>
        <v>-1028.9388175184133</v>
      </c>
      <c r="FM138" s="885">
        <f t="shared" si="375"/>
        <v>-1095.7617025873947</v>
      </c>
    </row>
    <row r="139" spans="1:169" x14ac:dyDescent="0.3">
      <c r="A139" s="164" t="s">
        <v>108</v>
      </c>
      <c r="DZ139" s="1161">
        <f>Inputs!DZ287</f>
        <v>-1</v>
      </c>
      <c r="EA139" s="1161">
        <f>Inputs!EA287</f>
        <v>0</v>
      </c>
      <c r="EB139" s="1161">
        <f>Inputs!EB287</f>
        <v>-5</v>
      </c>
      <c r="EC139" s="1161">
        <f>Inputs!EC287</f>
        <v>-2</v>
      </c>
      <c r="ED139" s="900">
        <f t="shared" si="363"/>
        <v>-8</v>
      </c>
      <c r="EE139" s="1161">
        <f>Inputs!EE287</f>
        <v>0</v>
      </c>
      <c r="EF139" s="1161">
        <f>Inputs!EF287</f>
        <v>-33</v>
      </c>
      <c r="EG139" s="1161">
        <f>Inputs!EG287</f>
        <v>-3</v>
      </c>
      <c r="EH139" s="1161">
        <f>Inputs!EH287</f>
        <v>-1</v>
      </c>
      <c r="EI139" s="900">
        <f t="shared" si="364"/>
        <v>-37</v>
      </c>
      <c r="EJ139" s="1161">
        <f>Inputs!EJ287</f>
        <v>-2</v>
      </c>
      <c r="EK139" s="1161">
        <f>Inputs!EK287</f>
        <v>-7</v>
      </c>
      <c r="EL139" s="1161">
        <f>Inputs!EL287</f>
        <v>2</v>
      </c>
      <c r="EM139" s="1161">
        <f>Inputs!EM287</f>
        <v>-1</v>
      </c>
      <c r="EN139" s="900">
        <f t="shared" si="365"/>
        <v>-8</v>
      </c>
      <c r="EO139" s="1161">
        <f>Inputs!EO287</f>
        <v>-5</v>
      </c>
      <c r="EP139" s="1161">
        <f>Inputs!EP287</f>
        <v>4</v>
      </c>
      <c r="EQ139" s="1161">
        <f>Inputs!EQ287</f>
        <v>0</v>
      </c>
      <c r="ER139" s="1161">
        <f>Inputs!ER287</f>
        <v>1</v>
      </c>
      <c r="ES139" s="900">
        <f t="shared" si="366"/>
        <v>0</v>
      </c>
      <c r="ET139" s="885">
        <f t="shared" ref="ET139:EW139" si="376">-ET166</f>
        <v>-5</v>
      </c>
      <c r="EU139" s="885">
        <f t="shared" si="376"/>
        <v>-5</v>
      </c>
      <c r="EV139" s="885">
        <f t="shared" si="376"/>
        <v>-5</v>
      </c>
      <c r="EW139" s="885">
        <f t="shared" si="376"/>
        <v>-5</v>
      </c>
      <c r="EX139" s="900">
        <f t="shared" si="368"/>
        <v>-20</v>
      </c>
      <c r="EY139" s="885">
        <f t="shared" ref="EY139:FB139" si="377">-EY166</f>
        <v>-5</v>
      </c>
      <c r="EZ139" s="885">
        <f t="shared" si="377"/>
        <v>-5</v>
      </c>
      <c r="FA139" s="885">
        <f t="shared" si="377"/>
        <v>-5</v>
      </c>
      <c r="FB139" s="885">
        <f t="shared" si="377"/>
        <v>-5</v>
      </c>
      <c r="FC139" s="900">
        <f t="shared" si="370"/>
        <v>-20</v>
      </c>
      <c r="FD139" s="885">
        <f t="shared" ref="FD139:FM139" si="378">-FD166</f>
        <v>-5</v>
      </c>
      <c r="FE139" s="885">
        <f t="shared" si="378"/>
        <v>-5</v>
      </c>
      <c r="FF139" s="885">
        <f t="shared" si="378"/>
        <v>-5</v>
      </c>
      <c r="FG139" s="885">
        <f t="shared" si="378"/>
        <v>-5</v>
      </c>
      <c r="FH139" s="900">
        <f t="shared" si="372"/>
        <v>-20</v>
      </c>
      <c r="FI139" s="885">
        <f t="shared" si="378"/>
        <v>-20</v>
      </c>
      <c r="FJ139" s="885">
        <f t="shared" si="378"/>
        <v>-20</v>
      </c>
      <c r="FK139" s="885">
        <f t="shared" si="378"/>
        <v>-20</v>
      </c>
      <c r="FL139" s="885">
        <f t="shared" si="378"/>
        <v>-20</v>
      </c>
      <c r="FM139" s="885">
        <f t="shared" si="378"/>
        <v>-20</v>
      </c>
    </row>
    <row r="140" spans="1:169" x14ac:dyDescent="0.3">
      <c r="A140" s="164" t="s">
        <v>34</v>
      </c>
      <c r="DZ140" s="1161">
        <f>Inputs!DZ288</f>
        <v>-71</v>
      </c>
      <c r="EA140" s="1161">
        <f>Inputs!EA288</f>
        <v>121</v>
      </c>
      <c r="EB140" s="1161">
        <f>Inputs!EB288</f>
        <v>136</v>
      </c>
      <c r="EC140" s="1161">
        <f>Inputs!EC288</f>
        <v>18</v>
      </c>
      <c r="ED140" s="900">
        <f t="shared" si="363"/>
        <v>204</v>
      </c>
      <c r="EE140" s="1161">
        <f>Inputs!EE288</f>
        <v>85</v>
      </c>
      <c r="EF140" s="1161">
        <f>Inputs!EF288</f>
        <v>-103</v>
      </c>
      <c r="EG140" s="1161">
        <f>Inputs!EG288</f>
        <v>82</v>
      </c>
      <c r="EH140" s="1161">
        <f>Inputs!EH288</f>
        <v>65</v>
      </c>
      <c r="EI140" s="900">
        <f t="shared" si="364"/>
        <v>129</v>
      </c>
      <c r="EJ140" s="1161">
        <f>Inputs!EJ288</f>
        <v>148</v>
      </c>
      <c r="EK140" s="1161">
        <f>Inputs!EK288</f>
        <v>-57</v>
      </c>
      <c r="EL140" s="1161">
        <f>Inputs!EL288</f>
        <v>-30</v>
      </c>
      <c r="EM140" s="1161">
        <f>Inputs!EM288</f>
        <v>80</v>
      </c>
      <c r="EN140" s="900">
        <f t="shared" si="365"/>
        <v>141</v>
      </c>
      <c r="EO140" s="1161">
        <f>Inputs!EO288</f>
        <v>-23</v>
      </c>
      <c r="EP140" s="1161">
        <f>Inputs!EP288</f>
        <v>5</v>
      </c>
      <c r="EQ140" s="1161">
        <f>Inputs!EQ288</f>
        <v>17</v>
      </c>
      <c r="ER140" s="1161">
        <f>Inputs!ER288</f>
        <v>43</v>
      </c>
      <c r="ES140" s="900">
        <f t="shared" si="366"/>
        <v>42</v>
      </c>
      <c r="ET140" s="885">
        <f t="shared" ref="ET140:EW140" si="379">ET143-SUM(ET136:ET139,ET141:ET142)</f>
        <v>13</v>
      </c>
      <c r="EU140" s="885">
        <f t="shared" si="379"/>
        <v>13</v>
      </c>
      <c r="EV140" s="885">
        <f t="shared" si="379"/>
        <v>13.000000000000057</v>
      </c>
      <c r="EW140" s="885">
        <f t="shared" si="379"/>
        <v>13</v>
      </c>
      <c r="EX140" s="900">
        <f t="shared" si="368"/>
        <v>52.000000000000057</v>
      </c>
      <c r="EY140" s="885">
        <f t="shared" ref="EY140:FB140" si="380">EY143-SUM(EY136:EY139,EY141:EY142)</f>
        <v>15.5</v>
      </c>
      <c r="EZ140" s="885">
        <f t="shared" si="380"/>
        <v>15.5</v>
      </c>
      <c r="FA140" s="885">
        <f t="shared" si="380"/>
        <v>15.5</v>
      </c>
      <c r="FB140" s="885">
        <f t="shared" si="380"/>
        <v>15.5</v>
      </c>
      <c r="FC140" s="900">
        <f t="shared" si="370"/>
        <v>62</v>
      </c>
      <c r="FD140" s="885">
        <f t="shared" ref="FD140:FM140" si="381">FD143-SUM(FD136:FD139,FD141:FD142)</f>
        <v>16.75</v>
      </c>
      <c r="FE140" s="885">
        <f t="shared" si="381"/>
        <v>16.749999999999943</v>
      </c>
      <c r="FF140" s="885">
        <f t="shared" si="381"/>
        <v>16.75</v>
      </c>
      <c r="FG140" s="885">
        <f t="shared" si="381"/>
        <v>16.75</v>
      </c>
      <c r="FH140" s="900">
        <f t="shared" si="372"/>
        <v>66.999999999999943</v>
      </c>
      <c r="FI140" s="885">
        <f t="shared" si="381"/>
        <v>71.999999999999773</v>
      </c>
      <c r="FJ140" s="885">
        <f t="shared" si="381"/>
        <v>71.999999999999545</v>
      </c>
      <c r="FK140" s="885">
        <f t="shared" si="381"/>
        <v>72</v>
      </c>
      <c r="FL140" s="885">
        <f t="shared" si="381"/>
        <v>72</v>
      </c>
      <c r="FM140" s="885">
        <f t="shared" si="381"/>
        <v>72.000000000000455</v>
      </c>
    </row>
    <row r="141" spans="1:169" x14ac:dyDescent="0.3">
      <c r="A141" s="164" t="s">
        <v>109</v>
      </c>
      <c r="DZ141" s="1161">
        <f>Inputs!DZ289</f>
        <v>0</v>
      </c>
      <c r="EA141" s="1161">
        <f>Inputs!EA289</f>
        <v>-57</v>
      </c>
      <c r="EB141" s="1161">
        <f>Inputs!EB289</f>
        <v>-131</v>
      </c>
      <c r="EC141" s="1161">
        <f>Inputs!EC289</f>
        <v>-128</v>
      </c>
      <c r="ED141" s="900">
        <f t="shared" si="363"/>
        <v>-316</v>
      </c>
      <c r="EE141" s="1161">
        <f>Inputs!EE289</f>
        <v>-25</v>
      </c>
      <c r="EF141" s="1161">
        <f>Inputs!EF289</f>
        <v>-1271</v>
      </c>
      <c r="EG141" s="1161">
        <f>Inputs!EG289</f>
        <v>0</v>
      </c>
      <c r="EH141" s="1161">
        <f>Inputs!EH289</f>
        <v>0</v>
      </c>
      <c r="EI141" s="900">
        <f t="shared" si="364"/>
        <v>-1296</v>
      </c>
      <c r="EJ141" s="1161">
        <f>Inputs!EJ289</f>
        <v>0</v>
      </c>
      <c r="EK141" s="1161">
        <f>Inputs!EK289</f>
        <v>0</v>
      </c>
      <c r="EL141" s="1161">
        <f>Inputs!EL289</f>
        <v>0</v>
      </c>
      <c r="EM141" s="1161">
        <f>Inputs!EM289</f>
        <v>0</v>
      </c>
      <c r="EN141" s="900">
        <f t="shared" si="365"/>
        <v>0</v>
      </c>
      <c r="EO141" s="1161">
        <f>Inputs!EO289</f>
        <v>0</v>
      </c>
      <c r="EP141" s="1161">
        <f>Inputs!EP289</f>
        <v>0</v>
      </c>
      <c r="EQ141" s="1161">
        <f>Inputs!EQ289</f>
        <v>0</v>
      </c>
      <c r="ER141" s="1161">
        <f>Inputs!ER289</f>
        <v>0</v>
      </c>
      <c r="ES141" s="900">
        <f t="shared" si="366"/>
        <v>0</v>
      </c>
      <c r="ET141" s="885">
        <v>0</v>
      </c>
      <c r="EU141" s="885">
        <v>0</v>
      </c>
      <c r="EV141" s="885">
        <v>0</v>
      </c>
      <c r="EW141" s="885">
        <v>0</v>
      </c>
      <c r="EX141" s="900">
        <f t="shared" si="368"/>
        <v>0</v>
      </c>
      <c r="EY141" s="885">
        <v>0</v>
      </c>
      <c r="EZ141" s="885">
        <v>0</v>
      </c>
      <c r="FA141" s="885">
        <v>0</v>
      </c>
      <c r="FB141" s="885">
        <v>0</v>
      </c>
      <c r="FC141" s="900">
        <f t="shared" si="370"/>
        <v>0</v>
      </c>
      <c r="FD141" s="885">
        <v>0</v>
      </c>
      <c r="FE141" s="885">
        <v>0</v>
      </c>
      <c r="FF141" s="885">
        <v>0</v>
      </c>
      <c r="FG141" s="885">
        <v>0</v>
      </c>
      <c r="FH141" s="900">
        <f t="shared" si="372"/>
        <v>0</v>
      </c>
      <c r="FI141" s="885">
        <v>0</v>
      </c>
      <c r="FJ141" s="885">
        <v>0</v>
      </c>
      <c r="FK141" s="885">
        <v>0</v>
      </c>
      <c r="FL141" s="885">
        <v>0</v>
      </c>
      <c r="FM141" s="885">
        <v>0</v>
      </c>
    </row>
    <row r="142" spans="1:169" x14ac:dyDescent="0.3">
      <c r="A142" s="164" t="s">
        <v>110</v>
      </c>
      <c r="DZ142" s="1110">
        <f>Inputs!DZ290</f>
        <v>-48</v>
      </c>
      <c r="EA142" s="1110">
        <f>Inputs!EA290</f>
        <v>-36</v>
      </c>
      <c r="EB142" s="1110">
        <f>Inputs!EB290</f>
        <v>-3</v>
      </c>
      <c r="EC142" s="1110">
        <f>Inputs!EC290</f>
        <v>0</v>
      </c>
      <c r="ED142" s="1111">
        <f t="shared" si="363"/>
        <v>-87</v>
      </c>
      <c r="EE142" s="1110">
        <f>Inputs!EE290</f>
        <v>-2</v>
      </c>
      <c r="EF142" s="1110">
        <f>Inputs!EF290</f>
        <v>-16</v>
      </c>
      <c r="EG142" s="1110">
        <f>Inputs!EG290</f>
        <v>-8</v>
      </c>
      <c r="EH142" s="1110">
        <f>Inputs!EH290</f>
        <v>-2</v>
      </c>
      <c r="EI142" s="1111">
        <f t="shared" si="364"/>
        <v>-28</v>
      </c>
      <c r="EJ142" s="1110">
        <f>Inputs!EJ290</f>
        <v>-54</v>
      </c>
      <c r="EK142" s="1110">
        <f>Inputs!EK290</f>
        <v>-30</v>
      </c>
      <c r="EL142" s="1110">
        <f>Inputs!EL290</f>
        <v>-4</v>
      </c>
      <c r="EM142" s="1110">
        <f>Inputs!EM290</f>
        <v>-11</v>
      </c>
      <c r="EN142" s="1111">
        <f t="shared" si="365"/>
        <v>-99</v>
      </c>
      <c r="EO142" s="1110">
        <f>Inputs!EO290</f>
        <v>-8</v>
      </c>
      <c r="EP142" s="1110">
        <f>Inputs!EP290</f>
        <v>-24</v>
      </c>
      <c r="EQ142" s="1110">
        <f>Inputs!EQ290</f>
        <v>-16</v>
      </c>
      <c r="ER142" s="1110">
        <f>Inputs!ER290</f>
        <v>-25</v>
      </c>
      <c r="ES142" s="1111">
        <f t="shared" si="366"/>
        <v>-73</v>
      </c>
      <c r="ET142" s="901">
        <v>0</v>
      </c>
      <c r="EU142" s="901">
        <v>0</v>
      </c>
      <c r="EV142" s="901">
        <v>0</v>
      </c>
      <c r="EW142" s="901">
        <v>0</v>
      </c>
      <c r="EX142" s="1111">
        <f t="shared" si="368"/>
        <v>0</v>
      </c>
      <c r="EY142" s="901">
        <v>0</v>
      </c>
      <c r="EZ142" s="901">
        <v>0</v>
      </c>
      <c r="FA142" s="901">
        <v>0</v>
      </c>
      <c r="FB142" s="901">
        <v>0</v>
      </c>
      <c r="FC142" s="1111">
        <f t="shared" si="370"/>
        <v>0</v>
      </c>
      <c r="FD142" s="901">
        <v>0</v>
      </c>
      <c r="FE142" s="901">
        <v>0</v>
      </c>
      <c r="FF142" s="901">
        <v>0</v>
      </c>
      <c r="FG142" s="901">
        <v>0</v>
      </c>
      <c r="FH142" s="1111">
        <f t="shared" si="372"/>
        <v>0</v>
      </c>
      <c r="FI142" s="901">
        <v>0</v>
      </c>
      <c r="FJ142" s="901">
        <v>0</v>
      </c>
      <c r="FK142" s="901">
        <v>0</v>
      </c>
      <c r="FL142" s="901">
        <v>0</v>
      </c>
      <c r="FM142" s="901">
        <v>0</v>
      </c>
    </row>
    <row r="143" spans="1:169" x14ac:dyDescent="0.3">
      <c r="A143" s="1171" t="s">
        <v>111</v>
      </c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90"/>
      <c r="DH143" s="90"/>
      <c r="DI143" s="90"/>
      <c r="DJ143" s="90"/>
      <c r="DK143" s="90"/>
      <c r="DL143" s="90"/>
      <c r="DM143" s="90"/>
      <c r="DN143" s="90"/>
      <c r="DO143" s="90"/>
      <c r="DP143" s="90"/>
      <c r="DQ143" s="90"/>
      <c r="DR143" s="90"/>
      <c r="DS143" s="90"/>
      <c r="DT143" s="90"/>
      <c r="DU143" s="90"/>
      <c r="DV143" s="90"/>
      <c r="DW143" s="90"/>
      <c r="DX143" s="90"/>
      <c r="DZ143" s="900">
        <f>SUM(DZ136:DZ142)</f>
        <v>477</v>
      </c>
      <c r="EA143" s="900">
        <f>SUM(EA136:EA142)</f>
        <v>473</v>
      </c>
      <c r="EB143" s="900">
        <f>SUM(EB136:EB142)</f>
        <v>542</v>
      </c>
      <c r="EC143" s="900">
        <f>SUM(EC136:EC142)</f>
        <v>497</v>
      </c>
      <c r="ED143" s="900">
        <f>SUM(DZ143:EC143)</f>
        <v>1989</v>
      </c>
      <c r="EE143" s="900">
        <f>SUM(EE136:EE142)</f>
        <v>665</v>
      </c>
      <c r="EF143" s="900">
        <f>SUM(EF136:EF142)</f>
        <v>-939</v>
      </c>
      <c r="EG143" s="900">
        <f>SUM(EG136:EG142)</f>
        <v>603</v>
      </c>
      <c r="EH143" s="900">
        <f>SUM(EH136:EH142)</f>
        <v>468</v>
      </c>
      <c r="EI143" s="900">
        <f>SUM(EE143:EH143)</f>
        <v>797</v>
      </c>
      <c r="EJ143" s="900">
        <f>SUM(EJ136:EJ142)</f>
        <v>528</v>
      </c>
      <c r="EK143" s="900">
        <f>SUM(EK136:EK142)</f>
        <v>229</v>
      </c>
      <c r="EL143" s="900">
        <f>SUM(EL136:EL142)</f>
        <v>284</v>
      </c>
      <c r="EM143" s="900">
        <f>SUM(EM136:EM142)</f>
        <v>360</v>
      </c>
      <c r="EN143" s="900">
        <f>SUM(EJ143:EM143)</f>
        <v>1401</v>
      </c>
      <c r="EO143" s="900">
        <f>SUM(EO136:EO142)</f>
        <v>389</v>
      </c>
      <c r="EP143" s="900">
        <f>SUM(EP136:EP142)</f>
        <v>276</v>
      </c>
      <c r="EQ143" s="900">
        <f>SUM(EQ136:EQ142)</f>
        <v>383</v>
      </c>
      <c r="ER143" s="900">
        <f>SUM(ER136:ER142)</f>
        <v>296</v>
      </c>
      <c r="ES143" s="900">
        <f>SUM(EO143:ER143)</f>
        <v>1344</v>
      </c>
      <c r="ET143" s="900">
        <f t="shared" ref="ET143:EW143" si="382">ET105</f>
        <v>405.39022666595861</v>
      </c>
      <c r="EU143" s="900">
        <f t="shared" si="382"/>
        <v>233.98984278163073</v>
      </c>
      <c r="EV143" s="900">
        <f t="shared" si="382"/>
        <v>366.34392195663764</v>
      </c>
      <c r="EW143" s="900">
        <f t="shared" si="382"/>
        <v>282.76909051971847</v>
      </c>
      <c r="EX143" s="900">
        <f>SUM(ET143:EW143)</f>
        <v>1288.4930819239455</v>
      </c>
      <c r="EY143" s="900">
        <f t="shared" ref="EY143:FB143" si="383">EY105</f>
        <v>441.78310533324623</v>
      </c>
      <c r="EZ143" s="900">
        <f t="shared" si="383"/>
        <v>281.19674820169178</v>
      </c>
      <c r="FA143" s="900">
        <f t="shared" si="383"/>
        <v>394.77878771174881</v>
      </c>
      <c r="FB143" s="900">
        <f t="shared" si="383"/>
        <v>302.66274881085053</v>
      </c>
      <c r="FC143" s="900">
        <f>SUM(EY143:FB143)</f>
        <v>1420.4213900575373</v>
      </c>
      <c r="FD143" s="900">
        <f t="shared" ref="FD143:FM143" si="384">FD105</f>
        <v>486.25202787393084</v>
      </c>
      <c r="FE143" s="900">
        <f t="shared" si="384"/>
        <v>319.37450143326527</v>
      </c>
      <c r="FF143" s="900">
        <f t="shared" si="384"/>
        <v>457.44081560287475</v>
      </c>
      <c r="FG143" s="900">
        <f t="shared" si="384"/>
        <v>370.54914955321726</v>
      </c>
      <c r="FH143" s="900">
        <f>SUM(FD143:FG143)</f>
        <v>1633.6164944632883</v>
      </c>
      <c r="FI143" s="900">
        <f t="shared" si="384"/>
        <v>1916.5507270385551</v>
      </c>
      <c r="FJ143" s="900">
        <f t="shared" si="384"/>
        <v>2205.5063344339396</v>
      </c>
      <c r="FK143" s="900">
        <f t="shared" si="384"/>
        <v>2385.4781884852291</v>
      </c>
      <c r="FL143" s="900">
        <f t="shared" si="384"/>
        <v>2634.3299634501946</v>
      </c>
      <c r="FM143" s="900">
        <f t="shared" si="384"/>
        <v>2817.1636029043157</v>
      </c>
    </row>
    <row r="144" spans="1:169" x14ac:dyDescent="0.3">
      <c r="A144" s="187" t="s">
        <v>101</v>
      </c>
      <c r="DZ144" s="1110">
        <f>Inputs!DZ292</f>
        <v>-286</v>
      </c>
      <c r="EA144" s="1110">
        <f>Inputs!EA292</f>
        <v>-225</v>
      </c>
      <c r="EB144" s="1110">
        <f>Inputs!EB292</f>
        <v>-314</v>
      </c>
      <c r="EC144" s="1110">
        <f>Inputs!EC292</f>
        <v>-356</v>
      </c>
      <c r="ED144" s="1111">
        <f>SUM(DZ144:EC144)</f>
        <v>-1181</v>
      </c>
      <c r="EE144" s="1110">
        <f>Inputs!EE292</f>
        <v>-384</v>
      </c>
      <c r="EF144" s="1110">
        <f>Inputs!EF292</f>
        <v>-385</v>
      </c>
      <c r="EG144" s="1110">
        <f>Inputs!EG292</f>
        <v>-377</v>
      </c>
      <c r="EH144" s="1110">
        <f>Inputs!EH292</f>
        <v>-559</v>
      </c>
      <c r="EI144" s="1111">
        <f>SUM(EE144:EH144)</f>
        <v>-1705</v>
      </c>
      <c r="EJ144" s="1110">
        <f>Inputs!EJ292</f>
        <v>-447</v>
      </c>
      <c r="EK144" s="1110">
        <f>Inputs!EK292</f>
        <v>-641</v>
      </c>
      <c r="EL144" s="1110">
        <f>Inputs!EL292</f>
        <v>-772</v>
      </c>
      <c r="EM144" s="1110">
        <f>Inputs!EM292</f>
        <v>-878</v>
      </c>
      <c r="EN144" s="1111">
        <f>SUM(EJ144:EM144)</f>
        <v>-2738</v>
      </c>
      <c r="EO144" s="1110">
        <f>Inputs!EO292</f>
        <v>-1154</v>
      </c>
      <c r="EP144" s="1110">
        <f>Inputs!EP292</f>
        <v>-1057</v>
      </c>
      <c r="EQ144" s="1110">
        <f>Inputs!EQ292</f>
        <v>-671</v>
      </c>
      <c r="ER144" s="1110">
        <f>Inputs!ER292</f>
        <v>-333</v>
      </c>
      <c r="ES144" s="1111">
        <f>SUM(EO144:ER144)</f>
        <v>-3215</v>
      </c>
      <c r="ET144" s="901">
        <f t="shared" ref="ET144:EW144" si="385">ET107</f>
        <v>-1070.569669465669</v>
      </c>
      <c r="EU144" s="901">
        <f t="shared" si="385"/>
        <v>-950.00515993521185</v>
      </c>
      <c r="EV144" s="901">
        <f t="shared" si="385"/>
        <v>-607.65843430558925</v>
      </c>
      <c r="EW144" s="901">
        <f t="shared" si="385"/>
        <v>-480.40638202327114</v>
      </c>
      <c r="EX144" s="1111">
        <f>SUM(ET144:EW144)</f>
        <v>-3108.6396457297415</v>
      </c>
      <c r="EY144" s="901">
        <f t="shared" ref="EY144:FB144" si="386">EY107</f>
        <v>-892.02514030719385</v>
      </c>
      <c r="EZ144" s="901">
        <f t="shared" si="386"/>
        <v>-868.11521752519241</v>
      </c>
      <c r="FA144" s="901">
        <f t="shared" si="386"/>
        <v>-629.74692701584604</v>
      </c>
      <c r="FB144" s="901">
        <f t="shared" si="386"/>
        <v>-195.80869848281174</v>
      </c>
      <c r="FC144" s="1111">
        <f>SUM(EY144:FB144)</f>
        <v>-2585.6959833310443</v>
      </c>
      <c r="FD144" s="901">
        <f t="shared" ref="FD144:FM144" si="387">FD107</f>
        <v>-710.56448210113081</v>
      </c>
      <c r="FE144" s="901">
        <f t="shared" si="387"/>
        <v>-674.74565544694599</v>
      </c>
      <c r="FF144" s="901">
        <f t="shared" si="387"/>
        <v>-503.14248035796345</v>
      </c>
      <c r="FG144" s="901">
        <f t="shared" si="387"/>
        <v>-360.04389669917555</v>
      </c>
      <c r="FH144" s="1111">
        <f>SUM(FD144:FG144)</f>
        <v>-2248.4965146052159</v>
      </c>
      <c r="FI144" s="901">
        <f t="shared" si="387"/>
        <v>-1414.6634666024838</v>
      </c>
      <c r="FJ144" s="901">
        <f t="shared" si="387"/>
        <v>-1388.3472749526786</v>
      </c>
      <c r="FK144" s="901">
        <f t="shared" si="387"/>
        <v>-1360.981876326618</v>
      </c>
      <c r="FL144" s="901">
        <f t="shared" si="387"/>
        <v>-1332.745632004036</v>
      </c>
      <c r="FM144" s="901">
        <f t="shared" si="387"/>
        <v>-1306.146082829664</v>
      </c>
    </row>
    <row r="145" spans="1:169" x14ac:dyDescent="0.3">
      <c r="A145" s="186" t="s">
        <v>103</v>
      </c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90"/>
      <c r="DH145" s="90"/>
      <c r="DI145" s="90"/>
      <c r="DJ145" s="90"/>
      <c r="DK145" s="90"/>
      <c r="DL145" s="90"/>
      <c r="DM145" s="90"/>
      <c r="DN145" s="90"/>
      <c r="DO145" s="90"/>
      <c r="DP145" s="90"/>
      <c r="DQ145" s="90"/>
      <c r="DR145" s="90"/>
      <c r="DS145" s="90"/>
      <c r="DT145" s="90"/>
      <c r="DU145" s="90"/>
      <c r="DV145" s="90"/>
      <c r="DW145" s="90"/>
      <c r="DX145" s="90"/>
      <c r="DZ145" s="886">
        <f>SUM(DZ143:DZ144)</f>
        <v>191</v>
      </c>
      <c r="EA145" s="886">
        <f>SUM(EA143:EA144)</f>
        <v>248</v>
      </c>
      <c r="EB145" s="886">
        <f>SUM(EB143:EB144)</f>
        <v>228</v>
      </c>
      <c r="EC145" s="886">
        <f>SUM(EC143:EC144)</f>
        <v>141</v>
      </c>
      <c r="ED145" s="886">
        <f>SUM(DZ145:EC145)</f>
        <v>808</v>
      </c>
      <c r="EE145" s="886">
        <f>SUM(EE143:EE144)</f>
        <v>281</v>
      </c>
      <c r="EF145" s="886">
        <f>SUM(EF143:EF144)</f>
        <v>-1324</v>
      </c>
      <c r="EG145" s="886">
        <f>SUM(EG143:EG144)</f>
        <v>226</v>
      </c>
      <c r="EH145" s="886">
        <f>SUM(EH143:EH144)</f>
        <v>-91</v>
      </c>
      <c r="EI145" s="886">
        <f>SUM(EE145:EH145)</f>
        <v>-908</v>
      </c>
      <c r="EJ145" s="886">
        <f>SUM(EJ143:EJ144)</f>
        <v>81</v>
      </c>
      <c r="EK145" s="886">
        <f>SUM(EK143:EK144)</f>
        <v>-412</v>
      </c>
      <c r="EL145" s="886">
        <f>SUM(EL143:EL144)</f>
        <v>-488</v>
      </c>
      <c r="EM145" s="886">
        <f>SUM(EM143:EM144)</f>
        <v>-518</v>
      </c>
      <c r="EN145" s="886">
        <f>SUM(EJ145:EM145)</f>
        <v>-1337</v>
      </c>
      <c r="EO145" s="886">
        <f>SUM(EO143:EO144)</f>
        <v>-765</v>
      </c>
      <c r="EP145" s="886">
        <f>SUM(EP143:EP144)</f>
        <v>-781</v>
      </c>
      <c r="EQ145" s="886">
        <f>SUM(EQ143:EQ144)</f>
        <v>-288</v>
      </c>
      <c r="ER145" s="886">
        <f>SUM(ER143:ER144)</f>
        <v>-37</v>
      </c>
      <c r="ES145" s="886">
        <f>SUM(EO145:ER145)</f>
        <v>-1871</v>
      </c>
      <c r="ET145" s="886">
        <f t="shared" ref="ET145:EW145" si="388">SUM(ET143:ET144)</f>
        <v>-665.17944279971039</v>
      </c>
      <c r="EU145" s="886">
        <f t="shared" si="388"/>
        <v>-716.01531715358112</v>
      </c>
      <c r="EV145" s="886">
        <f t="shared" si="388"/>
        <v>-241.31451234895161</v>
      </c>
      <c r="EW145" s="886">
        <f t="shared" si="388"/>
        <v>-197.63729150355266</v>
      </c>
      <c r="EX145" s="886">
        <f>SUM(ET145:EW145)</f>
        <v>-1820.1465638057957</v>
      </c>
      <c r="EY145" s="886">
        <f t="shared" ref="EY145:FB145" si="389">SUM(EY143:EY144)</f>
        <v>-450.24203497394763</v>
      </c>
      <c r="EZ145" s="886">
        <f t="shared" si="389"/>
        <v>-586.91846932350063</v>
      </c>
      <c r="FA145" s="886">
        <f t="shared" si="389"/>
        <v>-234.96813930409724</v>
      </c>
      <c r="FB145" s="886">
        <f t="shared" si="389"/>
        <v>106.8540503280388</v>
      </c>
      <c r="FC145" s="886">
        <f>SUM(EY145:FB145)</f>
        <v>-1165.274593273507</v>
      </c>
      <c r="FD145" s="886">
        <f t="shared" ref="FD145:FM145" si="390">SUM(FD143:FD144)</f>
        <v>-224.31245422719996</v>
      </c>
      <c r="FE145" s="886">
        <f t="shared" si="390"/>
        <v>-355.37115401368072</v>
      </c>
      <c r="FF145" s="886">
        <f t="shared" si="390"/>
        <v>-45.7016647550887</v>
      </c>
      <c r="FG145" s="886">
        <f t="shared" si="390"/>
        <v>10.505252854041714</v>
      </c>
      <c r="FH145" s="886">
        <f>SUM(FD145:FG145)</f>
        <v>-614.88002014192762</v>
      </c>
      <c r="FI145" s="886">
        <f t="shared" si="390"/>
        <v>501.8872604360713</v>
      </c>
      <c r="FJ145" s="886">
        <f t="shared" si="390"/>
        <v>817.15905948126101</v>
      </c>
      <c r="FK145" s="886">
        <f t="shared" si="390"/>
        <v>1024.4963121586111</v>
      </c>
      <c r="FL145" s="886">
        <f t="shared" si="390"/>
        <v>1301.5843314461586</v>
      </c>
      <c r="FM145" s="886">
        <f t="shared" si="390"/>
        <v>1511.0175200746517</v>
      </c>
    </row>
    <row r="146" spans="1:169" x14ac:dyDescent="0.3">
      <c r="A146" s="1170" t="s">
        <v>102</v>
      </c>
      <c r="DZ146" s="888">
        <f>DZ147-DZ145</f>
        <v>54</v>
      </c>
      <c r="EA146" s="888">
        <f>EA147-EA145</f>
        <v>99</v>
      </c>
      <c r="EB146" s="888">
        <f>EB147-EB145</f>
        <v>148</v>
      </c>
      <c r="EC146" s="888">
        <f>EC147-EC145</f>
        <v>170</v>
      </c>
      <c r="ED146" s="886">
        <f>SUM(DZ146:EC146)</f>
        <v>471</v>
      </c>
      <c r="EE146" s="888">
        <f>EE147-EE145</f>
        <v>98</v>
      </c>
      <c r="EF146" s="888">
        <f>EF147-EF145</f>
        <v>1386</v>
      </c>
      <c r="EG146" s="888">
        <f>EG147-EG145</f>
        <v>136</v>
      </c>
      <c r="EH146" s="888">
        <f>EH147-EH145</f>
        <v>163</v>
      </c>
      <c r="EI146" s="886">
        <f>SUM(EE146:EH146)</f>
        <v>1783</v>
      </c>
      <c r="EJ146" s="888">
        <f>EJ147-EJ145</f>
        <v>287</v>
      </c>
      <c r="EK146" s="888">
        <f>EK147-EK145</f>
        <v>355</v>
      </c>
      <c r="EL146" s="888">
        <f>EL147-EL145</f>
        <v>446</v>
      </c>
      <c r="EM146" s="888">
        <f>EM147-EM145</f>
        <v>528</v>
      </c>
      <c r="EN146" s="886">
        <f>SUM(EJ146:EM146)</f>
        <v>1616</v>
      </c>
      <c r="EO146" s="888">
        <f>EO147-EO145</f>
        <v>531</v>
      </c>
      <c r="EP146" s="888">
        <f>EP147-EP145</f>
        <v>443</v>
      </c>
      <c r="EQ146" s="888">
        <f>EQ147-EQ145</f>
        <v>159</v>
      </c>
      <c r="ER146" s="888">
        <f>ER147-ER145</f>
        <v>184</v>
      </c>
      <c r="ES146" s="886">
        <f>SUM(EO146:ER146)</f>
        <v>1317</v>
      </c>
      <c r="ET146" s="1178">
        <v>0</v>
      </c>
      <c r="EU146" s="1178">
        <v>0</v>
      </c>
      <c r="EV146" s="1178">
        <v>0</v>
      </c>
      <c r="EW146" s="1178">
        <v>0</v>
      </c>
      <c r="EX146" s="886">
        <f>SUM(ET146:EW146)</f>
        <v>0</v>
      </c>
      <c r="EY146" s="1178">
        <v>0</v>
      </c>
      <c r="EZ146" s="1178">
        <v>0</v>
      </c>
      <c r="FA146" s="1178">
        <v>0</v>
      </c>
      <c r="FB146" s="1178">
        <v>0</v>
      </c>
      <c r="FC146" s="886">
        <f>SUM(EY146:FB146)</f>
        <v>0</v>
      </c>
      <c r="FD146" s="1178">
        <v>0</v>
      </c>
      <c r="FE146" s="1178">
        <v>0</v>
      </c>
      <c r="FF146" s="1178">
        <v>0</v>
      </c>
      <c r="FG146" s="1178">
        <v>0</v>
      </c>
      <c r="FH146" s="886">
        <f>SUM(FD146:FG146)</f>
        <v>0</v>
      </c>
      <c r="FI146" s="1178">
        <v>0</v>
      </c>
      <c r="FJ146" s="1178">
        <v>0</v>
      </c>
      <c r="FK146" s="1178">
        <v>0</v>
      </c>
      <c r="FL146" s="1178">
        <v>0</v>
      </c>
      <c r="FM146" s="1178">
        <v>0</v>
      </c>
    </row>
    <row r="147" spans="1:169" x14ac:dyDescent="0.3">
      <c r="A147" s="1171" t="s">
        <v>112</v>
      </c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90"/>
      <c r="DH147" s="90"/>
      <c r="DI147" s="90"/>
      <c r="DJ147" s="90"/>
      <c r="DK147" s="90"/>
      <c r="DL147" s="90"/>
      <c r="DM147" s="90"/>
      <c r="DN147" s="90"/>
      <c r="DO147" s="90"/>
      <c r="DP147" s="90"/>
      <c r="DQ147" s="90"/>
      <c r="DR147" s="90"/>
      <c r="DS147" s="90"/>
      <c r="DT147" s="90"/>
      <c r="DU147" s="90"/>
      <c r="DV147" s="90"/>
      <c r="DW147" s="90"/>
      <c r="DX147" s="90"/>
      <c r="DZ147" s="917">
        <f>Inputs!DZ294</f>
        <v>245</v>
      </c>
      <c r="EA147" s="917">
        <f>Inputs!EA294</f>
        <v>347</v>
      </c>
      <c r="EB147" s="917">
        <f>Inputs!EB294</f>
        <v>376</v>
      </c>
      <c r="EC147" s="917">
        <f>Inputs!EC294</f>
        <v>311</v>
      </c>
      <c r="ED147" s="900">
        <f>SUM(DZ147:EC147)</f>
        <v>1279</v>
      </c>
      <c r="EE147" s="917">
        <f>Inputs!EE294</f>
        <v>379</v>
      </c>
      <c r="EF147" s="917">
        <f>Inputs!EF294</f>
        <v>62</v>
      </c>
      <c r="EG147" s="917">
        <f>Inputs!EG294</f>
        <v>362</v>
      </c>
      <c r="EH147" s="917">
        <f>Inputs!EH294</f>
        <v>72</v>
      </c>
      <c r="EI147" s="900">
        <f>SUM(EE147:EH147)</f>
        <v>875</v>
      </c>
      <c r="EJ147" s="917">
        <f>Inputs!EJ294</f>
        <v>368</v>
      </c>
      <c r="EK147" s="917">
        <f>Inputs!EK294</f>
        <v>-57</v>
      </c>
      <c r="EL147" s="917">
        <f>Inputs!EL294</f>
        <v>-42</v>
      </c>
      <c r="EM147" s="917">
        <f>Inputs!EM294</f>
        <v>10</v>
      </c>
      <c r="EN147" s="900">
        <f>SUM(EJ147:EM147)</f>
        <v>279</v>
      </c>
      <c r="EO147" s="917">
        <f>Inputs!EO294</f>
        <v>-234</v>
      </c>
      <c r="EP147" s="917">
        <f>Inputs!EP294</f>
        <v>-338</v>
      </c>
      <c r="EQ147" s="917">
        <f>Inputs!EQ294</f>
        <v>-129</v>
      </c>
      <c r="ER147" s="917">
        <f>Inputs!ER294</f>
        <v>147</v>
      </c>
      <c r="ES147" s="900">
        <f>SUM(EO147:ER147)</f>
        <v>-554</v>
      </c>
      <c r="ET147" s="900">
        <f t="shared" ref="ET147:EW147" si="391">SUM(ET145:ET146)</f>
        <v>-665.17944279971039</v>
      </c>
      <c r="EU147" s="900">
        <f t="shared" si="391"/>
        <v>-716.01531715358112</v>
      </c>
      <c r="EV147" s="900">
        <f t="shared" si="391"/>
        <v>-241.31451234895161</v>
      </c>
      <c r="EW147" s="900">
        <f t="shared" si="391"/>
        <v>-197.63729150355266</v>
      </c>
      <c r="EX147" s="900">
        <f>SUM(ET147:EW147)</f>
        <v>-1820.1465638057957</v>
      </c>
      <c r="EY147" s="900">
        <f t="shared" ref="EY147:FB147" si="392">SUM(EY145:EY146)</f>
        <v>-450.24203497394763</v>
      </c>
      <c r="EZ147" s="900">
        <f t="shared" si="392"/>
        <v>-586.91846932350063</v>
      </c>
      <c r="FA147" s="900">
        <f t="shared" si="392"/>
        <v>-234.96813930409724</v>
      </c>
      <c r="FB147" s="900">
        <f t="shared" si="392"/>
        <v>106.8540503280388</v>
      </c>
      <c r="FC147" s="900">
        <f>SUM(EY147:FB147)</f>
        <v>-1165.274593273507</v>
      </c>
      <c r="FD147" s="900">
        <f t="shared" ref="FD147:FM147" si="393">SUM(FD145:FD146)</f>
        <v>-224.31245422719996</v>
      </c>
      <c r="FE147" s="900">
        <f t="shared" si="393"/>
        <v>-355.37115401368072</v>
      </c>
      <c r="FF147" s="900">
        <f t="shared" si="393"/>
        <v>-45.7016647550887</v>
      </c>
      <c r="FG147" s="900">
        <f t="shared" si="393"/>
        <v>10.505252854041714</v>
      </c>
      <c r="FH147" s="900">
        <f>SUM(FD147:FG147)</f>
        <v>-614.88002014192762</v>
      </c>
      <c r="FI147" s="900">
        <f t="shared" si="393"/>
        <v>501.8872604360713</v>
      </c>
      <c r="FJ147" s="900">
        <f t="shared" si="393"/>
        <v>817.15905948126101</v>
      </c>
      <c r="FK147" s="900">
        <f t="shared" si="393"/>
        <v>1024.4963121586111</v>
      </c>
      <c r="FL147" s="900">
        <f t="shared" si="393"/>
        <v>1301.5843314461586</v>
      </c>
      <c r="FM147" s="900">
        <f t="shared" si="393"/>
        <v>1511.0175200746517</v>
      </c>
    </row>
    <row r="148" spans="1:169" x14ac:dyDescent="0.3">
      <c r="A148" s="187" t="s">
        <v>104</v>
      </c>
      <c r="DZ148" s="76">
        <f>+DZ80</f>
        <v>260</v>
      </c>
      <c r="EA148" s="76">
        <f>+EA80</f>
        <v>260</v>
      </c>
      <c r="EB148" s="76">
        <f>+EB80</f>
        <v>260</v>
      </c>
      <c r="EC148" s="76">
        <f>+EC80</f>
        <v>260</v>
      </c>
      <c r="ED148" s="85">
        <f>AVERAGE(DZ148:EC148)</f>
        <v>260</v>
      </c>
      <c r="EE148" s="76">
        <f>+EE80</f>
        <v>260</v>
      </c>
      <c r="EF148" s="76">
        <f>+EF80</f>
        <v>188.51599999999999</v>
      </c>
      <c r="EG148" s="76">
        <f>+EG80</f>
        <v>244.40299999999999</v>
      </c>
      <c r="EH148" s="76">
        <f>+EH80</f>
        <v>244.30799999999999</v>
      </c>
      <c r="EI148" s="85">
        <f>AVERAGE(EE148:EH148)</f>
        <v>234.30674999999999</v>
      </c>
      <c r="EJ148" s="76">
        <f>+EJ80</f>
        <v>244.43299999999999</v>
      </c>
      <c r="EK148" s="76">
        <f>+EK80</f>
        <v>244.72300000000001</v>
      </c>
      <c r="EL148" s="76">
        <f>+EL80</f>
        <v>244.98400000000001</v>
      </c>
      <c r="EM148" s="76">
        <f>+EM80</f>
        <v>245.01</v>
      </c>
      <c r="EN148" s="85">
        <f>AVERAGE(EJ148:EM148)</f>
        <v>244.78749999999999</v>
      </c>
      <c r="EO148" s="76">
        <f>+EO80</f>
        <v>245.08099999999999</v>
      </c>
      <c r="EP148" s="76">
        <f>+EP80</f>
        <v>245.47399999999999</v>
      </c>
      <c r="EQ148" s="76">
        <f>+EQ80</f>
        <v>245.761</v>
      </c>
      <c r="ER148" s="76">
        <f>+ER80</f>
        <v>245.79900000000001</v>
      </c>
      <c r="ES148" s="85">
        <f>AVERAGE(EO148:ER148)</f>
        <v>245.52874999999997</v>
      </c>
      <c r="ET148" s="76">
        <f t="shared" ref="ET148:EW148" si="394">+ET80</f>
        <v>245.02099999999999</v>
      </c>
      <c r="EU148" s="76">
        <f t="shared" si="394"/>
        <v>245.02099999999999</v>
      </c>
      <c r="EV148" s="76">
        <f t="shared" si="394"/>
        <v>245.02099999999999</v>
      </c>
      <c r="EW148" s="76">
        <f t="shared" si="394"/>
        <v>245.02099999999999</v>
      </c>
      <c r="EX148" s="85">
        <f>AVERAGE(ET148:EW148)</f>
        <v>245.02099999999999</v>
      </c>
      <c r="EY148" s="76">
        <f t="shared" ref="EY148:FB148" si="395">+EY80</f>
        <v>245.02099999999999</v>
      </c>
      <c r="EZ148" s="76">
        <f t="shared" si="395"/>
        <v>245.02099999999999</v>
      </c>
      <c r="FA148" s="76">
        <f t="shared" si="395"/>
        <v>245.02099999999999</v>
      </c>
      <c r="FB148" s="76">
        <f t="shared" si="395"/>
        <v>245.02099999999999</v>
      </c>
      <c r="FC148" s="85">
        <f>AVERAGE(EY148:FB148)</f>
        <v>245.02099999999999</v>
      </c>
      <c r="FD148" s="76">
        <f t="shared" ref="FD148:FM148" si="396">+FD80</f>
        <v>245.02099999999999</v>
      </c>
      <c r="FE148" s="76">
        <f t="shared" si="396"/>
        <v>245.02099999999999</v>
      </c>
      <c r="FF148" s="76">
        <f t="shared" si="396"/>
        <v>245.02099999999999</v>
      </c>
      <c r="FG148" s="76">
        <f t="shared" si="396"/>
        <v>245.02099999999999</v>
      </c>
      <c r="FH148" s="85">
        <f>AVERAGE(FD148:FG148)</f>
        <v>245.02099999999999</v>
      </c>
      <c r="FI148" s="76">
        <f t="shared" si="396"/>
        <v>245.02099999999999</v>
      </c>
      <c r="FJ148" s="76">
        <f t="shared" si="396"/>
        <v>245.02099999999999</v>
      </c>
      <c r="FK148" s="76">
        <f t="shared" si="396"/>
        <v>219.87911986845182</v>
      </c>
      <c r="FL148" s="76">
        <f t="shared" si="396"/>
        <v>172.01072663479673</v>
      </c>
      <c r="FM148" s="76">
        <f t="shared" si="396"/>
        <v>130.74502561883213</v>
      </c>
    </row>
    <row r="149" spans="1:169" ht="12.5" thickBot="1" x14ac:dyDescent="0.35">
      <c r="A149" s="186" t="s">
        <v>105</v>
      </c>
      <c r="DZ149" s="188">
        <f t="shared" ref="DZ149:FM149" si="397">DZ147/DZ148</f>
        <v>0.94230769230769229</v>
      </c>
      <c r="EA149" s="188">
        <f t="shared" si="397"/>
        <v>1.3346153846153845</v>
      </c>
      <c r="EB149" s="188">
        <f t="shared" si="397"/>
        <v>1.4461538461538461</v>
      </c>
      <c r="EC149" s="188">
        <f t="shared" si="397"/>
        <v>1.1961538461538461</v>
      </c>
      <c r="ED149" s="188">
        <f t="shared" si="397"/>
        <v>4.9192307692307695</v>
      </c>
      <c r="EE149" s="188">
        <f t="shared" si="397"/>
        <v>1.4576923076923076</v>
      </c>
      <c r="EF149" s="188">
        <f t="shared" si="397"/>
        <v>0.32888455091345031</v>
      </c>
      <c r="EG149" s="188">
        <f t="shared" si="397"/>
        <v>1.4811602148909793</v>
      </c>
      <c r="EH149" s="188">
        <f t="shared" si="397"/>
        <v>0.29470995628468982</v>
      </c>
      <c r="EI149" s="188">
        <f t="shared" si="397"/>
        <v>3.7344207966693235</v>
      </c>
      <c r="EJ149" s="188">
        <f t="shared" si="397"/>
        <v>1.5055250313991975</v>
      </c>
      <c r="EK149" s="188">
        <f t="shared" si="397"/>
        <v>-0.23291639935764108</v>
      </c>
      <c r="EL149" s="188">
        <f t="shared" si="397"/>
        <v>-0.17143976749502007</v>
      </c>
      <c r="EM149" s="188">
        <f t="shared" si="397"/>
        <v>4.0814660626096892E-2</v>
      </c>
      <c r="EN149" s="188">
        <f t="shared" si="397"/>
        <v>1.1397640810907419</v>
      </c>
      <c r="EO149" s="188">
        <f t="shared" si="397"/>
        <v>-0.95478637674891165</v>
      </c>
      <c r="EP149" s="188">
        <f t="shared" si="397"/>
        <v>-1.3769279027514116</v>
      </c>
      <c r="EQ149" s="188">
        <f t="shared" si="397"/>
        <v>-0.52490020792558623</v>
      </c>
      <c r="ER149" s="188">
        <f t="shared" si="397"/>
        <v>0.59804962591385646</v>
      </c>
      <c r="ES149" s="188">
        <f t="shared" si="397"/>
        <v>-2.2563549075210134</v>
      </c>
      <c r="ET149" s="188">
        <f t="shared" si="397"/>
        <v>-2.7147854379816851</v>
      </c>
      <c r="EU149" s="188">
        <f t="shared" si="397"/>
        <v>-2.9222610190701253</v>
      </c>
      <c r="EV149" s="188">
        <f t="shared" si="397"/>
        <v>-0.98487277559454744</v>
      </c>
      <c r="EW149" s="188">
        <f t="shared" si="397"/>
        <v>-0.80661368414769619</v>
      </c>
      <c r="EX149" s="188">
        <f t="shared" si="397"/>
        <v>-7.4285329167940537</v>
      </c>
      <c r="EY149" s="188">
        <f t="shared" ref="EY149:FC149" si="398">EY147/EY148</f>
        <v>-1.8375650861515855</v>
      </c>
      <c r="EZ149" s="188">
        <f t="shared" si="398"/>
        <v>-2.3953802707665899</v>
      </c>
      <c r="FA149" s="188">
        <f t="shared" si="398"/>
        <v>-0.9589714322613051</v>
      </c>
      <c r="FB149" s="188">
        <f t="shared" si="398"/>
        <v>0.43610160079355975</v>
      </c>
      <c r="FC149" s="188">
        <f t="shared" si="398"/>
        <v>-4.7558151883859221</v>
      </c>
      <c r="FD149" s="188">
        <f t="shared" ref="FD149:FH149" si="399">FD147/FD148</f>
        <v>-0.91548256772766401</v>
      </c>
      <c r="FE149" s="188">
        <f t="shared" si="399"/>
        <v>-1.4503701887335401</v>
      </c>
      <c r="FF149" s="188">
        <f t="shared" si="399"/>
        <v>-0.18652141961337479</v>
      </c>
      <c r="FG149" s="188">
        <f t="shared" si="399"/>
        <v>4.2874908085599663E-2</v>
      </c>
      <c r="FH149" s="188">
        <f t="shared" si="399"/>
        <v>-2.5094992679889789</v>
      </c>
      <c r="FI149" s="188">
        <f t="shared" si="397"/>
        <v>2.0483438580206239</v>
      </c>
      <c r="FJ149" s="188">
        <f t="shared" si="397"/>
        <v>3.3350572378745538</v>
      </c>
      <c r="FK149" s="188">
        <f t="shared" si="397"/>
        <v>4.6593615290598835</v>
      </c>
      <c r="FL149" s="188">
        <f t="shared" si="397"/>
        <v>7.5668788622096077</v>
      </c>
      <c r="FM149" s="188">
        <f t="shared" si="397"/>
        <v>11.556979035514519</v>
      </c>
    </row>
    <row r="150" spans="1:169" ht="12.5" thickTop="1" x14ac:dyDescent="0.3">
      <c r="A150" s="164"/>
      <c r="ET150" s="90"/>
      <c r="EU150" s="90"/>
      <c r="EV150" s="90"/>
      <c r="EW150" s="90"/>
      <c r="EY150" s="90"/>
      <c r="EZ150" s="90"/>
      <c r="FA150" s="90"/>
      <c r="FB150" s="90"/>
      <c r="FD150" s="90"/>
      <c r="FE150" s="90"/>
      <c r="FF150" s="90"/>
      <c r="FG150" s="90"/>
    </row>
    <row r="151" spans="1:169" x14ac:dyDescent="0.3">
      <c r="A151" s="165" t="s">
        <v>113</v>
      </c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  <c r="AF151" s="165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  <c r="AZ151" s="165"/>
      <c r="BA151" s="165"/>
      <c r="BB151" s="165"/>
      <c r="BC151" s="165"/>
      <c r="BD151" s="165"/>
      <c r="BE151" s="165"/>
      <c r="BF151" s="165"/>
      <c r="BG151" s="165"/>
      <c r="BH151" s="165"/>
      <c r="BI151" s="165"/>
      <c r="BJ151" s="165"/>
      <c r="BK151" s="165"/>
      <c r="BL151" s="165"/>
      <c r="BM151" s="165"/>
      <c r="BN151" s="165"/>
      <c r="BO151" s="165"/>
      <c r="BP151" s="165"/>
      <c r="BQ151" s="165"/>
      <c r="BR151" s="165"/>
      <c r="BS151" s="165"/>
      <c r="BT151" s="165"/>
      <c r="BU151" s="165"/>
      <c r="BV151" s="165"/>
      <c r="BW151" s="165"/>
      <c r="BX151" s="165"/>
      <c r="BY151" s="165"/>
      <c r="BZ151" s="165"/>
      <c r="CA151" s="165"/>
      <c r="CB151" s="165"/>
      <c r="CC151" s="165"/>
      <c r="CD151" s="165"/>
      <c r="CE151" s="165"/>
      <c r="CF151" s="165"/>
      <c r="CG151" s="165"/>
      <c r="CH151" s="165"/>
      <c r="CI151" s="165"/>
      <c r="CJ151" s="165"/>
      <c r="CK151" s="165"/>
      <c r="CL151" s="165"/>
      <c r="CM151" s="165"/>
      <c r="CN151" s="165"/>
      <c r="CO151" s="165"/>
      <c r="CP151" s="165"/>
      <c r="CQ151" s="165"/>
      <c r="CR151" s="165"/>
      <c r="CS151" s="165"/>
      <c r="CT151" s="165"/>
      <c r="CU151" s="165"/>
      <c r="CV151" s="165"/>
      <c r="CW151" s="165"/>
      <c r="CX151" s="165"/>
      <c r="CY151" s="165"/>
      <c r="CZ151" s="165"/>
      <c r="DA151" s="165"/>
      <c r="DB151" s="165"/>
      <c r="DC151" s="165"/>
      <c r="DD151" s="165"/>
      <c r="DE151" s="165"/>
      <c r="DF151" s="165"/>
      <c r="DG151" s="165"/>
      <c r="DH151" s="165"/>
      <c r="DI151" s="165"/>
      <c r="DJ151" s="165"/>
      <c r="DK151" s="165"/>
      <c r="DL151" s="165"/>
      <c r="DM151" s="165"/>
      <c r="DN151" s="165"/>
      <c r="DO151" s="165"/>
      <c r="DP151" s="165"/>
      <c r="DQ151" s="165"/>
      <c r="DR151" s="165"/>
      <c r="DS151" s="165"/>
      <c r="DT151" s="165"/>
      <c r="DU151" s="165"/>
      <c r="DV151" s="165"/>
      <c r="DW151" s="165"/>
      <c r="DX151" s="165"/>
      <c r="DY151" s="165"/>
      <c r="DZ151" s="165"/>
      <c r="EA151" s="165"/>
      <c r="EB151" s="165"/>
      <c r="EC151" s="165"/>
      <c r="ED151" s="165"/>
      <c r="EE151" s="165"/>
      <c r="EF151" s="165"/>
      <c r="EG151" s="165"/>
      <c r="EH151" s="165"/>
      <c r="EI151" s="165"/>
      <c r="EJ151" s="165"/>
      <c r="EK151" s="165"/>
      <c r="EL151" s="165"/>
      <c r="EM151" s="165"/>
      <c r="EN151" s="165"/>
      <c r="EO151" s="165"/>
      <c r="EP151" s="165"/>
      <c r="EQ151" s="165"/>
      <c r="ER151" s="165"/>
      <c r="ES151" s="165"/>
      <c r="ET151" s="165"/>
      <c r="EU151" s="165"/>
      <c r="EV151" s="165"/>
      <c r="EW151" s="165"/>
      <c r="EX151" s="165"/>
      <c r="EY151" s="165"/>
      <c r="EZ151" s="165"/>
      <c r="FA151" s="165"/>
      <c r="FB151" s="165"/>
      <c r="FC151" s="165"/>
      <c r="FD151" s="165"/>
      <c r="FE151" s="165"/>
      <c r="FF151" s="165"/>
      <c r="FG151" s="165"/>
      <c r="FH151" s="165"/>
      <c r="FI151" s="165"/>
      <c r="FJ151" s="165"/>
      <c r="FK151" s="165"/>
      <c r="FL151" s="165"/>
      <c r="FM151" s="165"/>
    </row>
    <row r="152" spans="1:169" x14ac:dyDescent="0.3">
      <c r="A152" s="167" t="s">
        <v>114</v>
      </c>
      <c r="EE152" s="76">
        <f>EE74</f>
        <v>147</v>
      </c>
      <c r="EF152" s="76">
        <f t="shared" ref="EF152:EH152" si="400">EF74</f>
        <v>4400</v>
      </c>
      <c r="EG152" s="76">
        <f t="shared" si="400"/>
        <v>157</v>
      </c>
      <c r="EH152" s="76">
        <f t="shared" si="400"/>
        <v>201</v>
      </c>
      <c r="EI152" s="85">
        <f>SUM(EE152:EH152)</f>
        <v>4905</v>
      </c>
      <c r="EJ152" s="76">
        <f>EJ74</f>
        <v>95</v>
      </c>
      <c r="EK152" s="76">
        <f t="shared" ref="EK152:EM152" si="401">EK74</f>
        <v>170</v>
      </c>
      <c r="EL152" s="76">
        <f t="shared" si="401"/>
        <v>195</v>
      </c>
      <c r="EM152" s="76">
        <f t="shared" si="401"/>
        <v>139</v>
      </c>
      <c r="EN152" s="85">
        <f>SUM(EJ152:EM152)</f>
        <v>599</v>
      </c>
      <c r="EO152" s="76">
        <f>EO74</f>
        <v>4</v>
      </c>
      <c r="EP152" s="76">
        <f>EP74</f>
        <v>-2</v>
      </c>
      <c r="EQ152" s="76">
        <f>EQ74</f>
        <v>11</v>
      </c>
      <c r="ER152" s="76">
        <f>ER74</f>
        <v>104</v>
      </c>
      <c r="ES152" s="85">
        <f>SUM(EO152:ER152)</f>
        <v>117</v>
      </c>
      <c r="ET152" s="76">
        <f t="shared" ref="ET152:EW152" si="402">ET74</f>
        <v>-87.308898605106606</v>
      </c>
      <c r="EU152" s="76">
        <f t="shared" si="402"/>
        <v>-85.662019148209026</v>
      </c>
      <c r="EV152" s="76">
        <f t="shared" si="402"/>
        <v>-65.290633455162492</v>
      </c>
      <c r="EW152" s="76">
        <f t="shared" si="402"/>
        <v>-5.9423981890192294</v>
      </c>
      <c r="EX152" s="85">
        <f>SUM(ET152:EW152)</f>
        <v>-244.20394939749735</v>
      </c>
      <c r="EY152" s="76">
        <f t="shared" ref="EY152:FB152" si="403">EY74</f>
        <v>-29.937574020289389</v>
      </c>
      <c r="EZ152" s="76">
        <f t="shared" si="403"/>
        <v>-12.219241135631023</v>
      </c>
      <c r="FA152" s="76">
        <f t="shared" si="403"/>
        <v>-26.672308513182031</v>
      </c>
      <c r="FB152" s="76">
        <f t="shared" si="403"/>
        <v>67.429925646007348</v>
      </c>
      <c r="FC152" s="85">
        <f>SUM(EY152:FB152)</f>
        <v>-1.3991980230950958</v>
      </c>
      <c r="FD152" s="76">
        <f t="shared" ref="FD152:FM152" si="404">FD74</f>
        <v>51.667670222962386</v>
      </c>
      <c r="FE152" s="76">
        <f t="shared" si="404"/>
        <v>78.003771935832788</v>
      </c>
      <c r="FF152" s="76">
        <f t="shared" si="404"/>
        <v>75.628682771798083</v>
      </c>
      <c r="FG152" s="76">
        <f t="shared" si="404"/>
        <v>140.69536805337054</v>
      </c>
      <c r="FH152" s="85">
        <f>SUM(FD152:FG152)</f>
        <v>345.9954929839638</v>
      </c>
      <c r="FI152" s="76">
        <f t="shared" si="404"/>
        <v>670.43013646330292</v>
      </c>
      <c r="FJ152" s="76">
        <f t="shared" si="404"/>
        <v>984.42557286861575</v>
      </c>
      <c r="FK152" s="76">
        <f t="shared" si="404"/>
        <v>1164.9273409394677</v>
      </c>
      <c r="FL152" s="76">
        <f t="shared" si="404"/>
        <v>1408.3435537641765</v>
      </c>
      <c r="FM152" s="76">
        <f t="shared" si="404"/>
        <v>1581.8534308875387</v>
      </c>
    </row>
    <row r="153" spans="1:169" x14ac:dyDescent="0.3">
      <c r="A153" s="167" t="s">
        <v>115</v>
      </c>
      <c r="EE153" s="104">
        <f>EE65+EE107</f>
        <v>3</v>
      </c>
      <c r="EF153" s="104">
        <f t="shared" ref="EF153:EH153" si="405">EF65+EF107</f>
        <v>-87</v>
      </c>
      <c r="EG153" s="104">
        <f t="shared" si="405"/>
        <v>-104</v>
      </c>
      <c r="EH153" s="104">
        <f t="shared" si="405"/>
        <v>-277</v>
      </c>
      <c r="EI153" s="100">
        <f>SUM(EE153:EH153)</f>
        <v>-465</v>
      </c>
      <c r="EJ153" s="104">
        <f>EJ65+EJ107</f>
        <v>-163</v>
      </c>
      <c r="EK153" s="104">
        <f t="shared" ref="EK153:EM153" si="406">EK65+EK107</f>
        <v>-351</v>
      </c>
      <c r="EL153" s="104">
        <f t="shared" si="406"/>
        <v>-476</v>
      </c>
      <c r="EM153" s="104">
        <f t="shared" si="406"/>
        <v>-566</v>
      </c>
      <c r="EN153" s="100">
        <f>SUM(EJ153:EM153)</f>
        <v>-1556</v>
      </c>
      <c r="EO153" s="104">
        <f>EO65+EO107</f>
        <v>-824</v>
      </c>
      <c r="EP153" s="104">
        <f>EP65+EP107</f>
        <v>-703</v>
      </c>
      <c r="EQ153" s="104">
        <f>EQ65+EQ107</f>
        <v>-315</v>
      </c>
      <c r="ER153" s="104">
        <f>ER65+ER107</f>
        <v>46</v>
      </c>
      <c r="ES153" s="100">
        <f>SUM(EO153:ER153)</f>
        <v>-1796</v>
      </c>
      <c r="ET153" s="104">
        <f t="shared" ref="ET153:EW153" si="407">ET65+ET107</f>
        <v>-662.20876850894979</v>
      </c>
      <c r="EU153" s="104">
        <f t="shared" si="407"/>
        <v>-526.89598806385152</v>
      </c>
      <c r="EV153" s="104">
        <f t="shared" si="407"/>
        <v>-206.93403620671427</v>
      </c>
      <c r="EW153" s="104">
        <f t="shared" si="407"/>
        <v>-110.39284355150022</v>
      </c>
      <c r="EX153" s="100">
        <f>SUM(ET153:EW153)</f>
        <v>-1506.4316363310156</v>
      </c>
      <c r="EY153" s="104">
        <f t="shared" ref="EY153:FB153" si="408">EY65+EY107</f>
        <v>-507.14268526800424</v>
      </c>
      <c r="EZ153" s="104">
        <f t="shared" si="408"/>
        <v>-473.74191824634909</v>
      </c>
      <c r="FA153" s="104">
        <f t="shared" si="408"/>
        <v>-251.62626871608524</v>
      </c>
      <c r="FB153" s="104">
        <f t="shared" si="408"/>
        <v>125.93055833132053</v>
      </c>
      <c r="FC153" s="100">
        <f>SUM(EY153:FB153)</f>
        <v>-1106.580313899118</v>
      </c>
      <c r="FD153" s="104">
        <f t="shared" ref="FD153:FM153" si="409">FD65+FD107</f>
        <v>-373.22434164425516</v>
      </c>
      <c r="FE153" s="104">
        <f t="shared" si="409"/>
        <v>-328.07551074483513</v>
      </c>
      <c r="FF153" s="104">
        <f t="shared" si="409"/>
        <v>-165.91078545205681</v>
      </c>
      <c r="FG153" s="104">
        <f t="shared" si="409"/>
        <v>-44.933681550039751</v>
      </c>
      <c r="FH153" s="100">
        <f>SUM(FD153:FG153)</f>
        <v>-912.14431939118697</v>
      </c>
      <c r="FI153" s="104">
        <f t="shared" si="409"/>
        <v>-125.06776590744244</v>
      </c>
      <c r="FJ153" s="104">
        <f t="shared" si="409"/>
        <v>-123.39039128453442</v>
      </c>
      <c r="FK153" s="104">
        <f t="shared" si="409"/>
        <v>-104.24202474664685</v>
      </c>
      <c r="FL153" s="104">
        <f t="shared" si="409"/>
        <v>-71.771203597019849</v>
      </c>
      <c r="FM153" s="104">
        <f t="shared" si="409"/>
        <v>-40.654488980383121</v>
      </c>
    </row>
    <row r="154" spans="1:169" s="90" customFormat="1" x14ac:dyDescent="0.3">
      <c r="A154" s="1216" t="s">
        <v>116</v>
      </c>
      <c r="EE154" s="85">
        <f t="shared" ref="EE154:FM154" si="410">SUM(EE152:EE153)</f>
        <v>150</v>
      </c>
      <c r="EF154" s="85">
        <f t="shared" si="410"/>
        <v>4313</v>
      </c>
      <c r="EG154" s="85">
        <f t="shared" si="410"/>
        <v>53</v>
      </c>
      <c r="EH154" s="85">
        <f t="shared" si="410"/>
        <v>-76</v>
      </c>
      <c r="EI154" s="85">
        <f t="shared" si="410"/>
        <v>4440</v>
      </c>
      <c r="EJ154" s="85">
        <f t="shared" si="410"/>
        <v>-68</v>
      </c>
      <c r="EK154" s="85">
        <f t="shared" si="410"/>
        <v>-181</v>
      </c>
      <c r="EL154" s="85">
        <f t="shared" si="410"/>
        <v>-281</v>
      </c>
      <c r="EM154" s="85">
        <f t="shared" si="410"/>
        <v>-427</v>
      </c>
      <c r="EN154" s="85">
        <f t="shared" si="410"/>
        <v>-957</v>
      </c>
      <c r="EO154" s="85">
        <f t="shared" si="410"/>
        <v>-820</v>
      </c>
      <c r="EP154" s="85">
        <f t="shared" si="410"/>
        <v>-705</v>
      </c>
      <c r="EQ154" s="85">
        <f t="shared" si="410"/>
        <v>-304</v>
      </c>
      <c r="ER154" s="85">
        <f t="shared" si="410"/>
        <v>150</v>
      </c>
      <c r="ES154" s="85">
        <f t="shared" si="410"/>
        <v>-1679</v>
      </c>
      <c r="ET154" s="85">
        <f t="shared" si="410"/>
        <v>-749.51766711405639</v>
      </c>
      <c r="EU154" s="85">
        <f t="shared" si="410"/>
        <v>-612.5580072120606</v>
      </c>
      <c r="EV154" s="85">
        <f t="shared" si="410"/>
        <v>-272.22466966187676</v>
      </c>
      <c r="EW154" s="85">
        <f t="shared" si="410"/>
        <v>-116.33524174051945</v>
      </c>
      <c r="EX154" s="85">
        <f t="shared" si="410"/>
        <v>-1750.635585728513</v>
      </c>
      <c r="EY154" s="85">
        <f t="shared" ref="EY154:FC154" si="411">SUM(EY152:EY153)</f>
        <v>-537.08025928829363</v>
      </c>
      <c r="EZ154" s="85">
        <f t="shared" si="411"/>
        <v>-485.96115938198011</v>
      </c>
      <c r="FA154" s="85">
        <f t="shared" si="411"/>
        <v>-278.29857722926727</v>
      </c>
      <c r="FB154" s="85">
        <f t="shared" si="411"/>
        <v>193.36048397732787</v>
      </c>
      <c r="FC154" s="85">
        <f t="shared" si="411"/>
        <v>-1107.9795119222131</v>
      </c>
      <c r="FD154" s="85">
        <f t="shared" ref="FD154:FH154" si="412">SUM(FD152:FD153)</f>
        <v>-321.55667142129278</v>
      </c>
      <c r="FE154" s="85">
        <f t="shared" si="412"/>
        <v>-250.07173880900234</v>
      </c>
      <c r="FF154" s="85">
        <f t="shared" si="412"/>
        <v>-90.282102680258731</v>
      </c>
      <c r="FG154" s="85">
        <f t="shared" si="412"/>
        <v>95.761686503330793</v>
      </c>
      <c r="FH154" s="85">
        <f t="shared" si="412"/>
        <v>-566.14882640722317</v>
      </c>
      <c r="FI154" s="85">
        <f t="shared" si="410"/>
        <v>545.36237055586048</v>
      </c>
      <c r="FJ154" s="85">
        <f t="shared" si="410"/>
        <v>861.03518158408133</v>
      </c>
      <c r="FK154" s="85">
        <f t="shared" si="410"/>
        <v>1060.6853161928209</v>
      </c>
      <c r="FL154" s="85">
        <f t="shared" si="410"/>
        <v>1336.5723501671566</v>
      </c>
      <c r="FM154" s="85">
        <f t="shared" si="410"/>
        <v>1541.1989419071556</v>
      </c>
    </row>
    <row r="155" spans="1:169" x14ac:dyDescent="0.3">
      <c r="A155" s="166"/>
      <c r="EO155"/>
      <c r="EP155"/>
      <c r="EQ155"/>
      <c r="ER155"/>
    </row>
    <row r="156" spans="1:169" x14ac:dyDescent="0.3">
      <c r="A156" s="166" t="s">
        <v>117</v>
      </c>
      <c r="EO156"/>
      <c r="EP156"/>
      <c r="EQ156"/>
      <c r="ER156"/>
    </row>
    <row r="157" spans="1:169" x14ac:dyDescent="0.3">
      <c r="A157" s="168" t="s">
        <v>118</v>
      </c>
      <c r="DU157" s="76">
        <f>+DU160-SUM(DU158:DU159)</f>
        <v>4878</v>
      </c>
      <c r="DV157" s="76">
        <f>+DV160-SUM(DV158:DV159)</f>
        <v>4947</v>
      </c>
      <c r="DW157" s="76">
        <f>+DW160-SUM(DW158:DW159)</f>
        <v>10798</v>
      </c>
      <c r="DX157" s="76">
        <f>+DX160-SUM(DX158:DX159)</f>
        <v>11164</v>
      </c>
      <c r="DY157" s="85">
        <f>+DU157</f>
        <v>4878</v>
      </c>
      <c r="DZ157" s="76">
        <f>+DY160</f>
        <v>11400</v>
      </c>
      <c r="EA157" s="76">
        <f>+EA160-SUM(EA158:EA159)</f>
        <v>-281</v>
      </c>
      <c r="EB157" s="76">
        <f>+EB160-SUM(EB158:EB159)</f>
        <v>-43</v>
      </c>
      <c r="EC157" s="76">
        <f>+EC160-SUM(EC158:EC159)</f>
        <v>-43</v>
      </c>
      <c r="ED157" s="85">
        <f>+DZ157</f>
        <v>11400</v>
      </c>
      <c r="EE157" s="76">
        <f>+EE160-SUM(EE158:EE159)</f>
        <v>0</v>
      </c>
      <c r="EF157" s="76">
        <f>+EE160</f>
        <v>0</v>
      </c>
      <c r="EG157" s="76">
        <f>+EF160</f>
        <v>0</v>
      </c>
      <c r="EH157" s="76">
        <f>+EG160</f>
        <v>0</v>
      </c>
      <c r="EI157" s="85">
        <f>+EE157</f>
        <v>0</v>
      </c>
      <c r="EJ157" s="76">
        <f>+EI160</f>
        <v>2112</v>
      </c>
      <c r="EK157" s="76">
        <f>+EJ160</f>
        <v>2180</v>
      </c>
      <c r="EL157" s="76">
        <f>+EK160</f>
        <v>2361</v>
      </c>
      <c r="EM157" s="76">
        <f>+EL160</f>
        <v>2642</v>
      </c>
      <c r="EN157" s="85">
        <f>+EJ157</f>
        <v>2112</v>
      </c>
      <c r="EO157" s="76">
        <f>+EN160</f>
        <v>2556</v>
      </c>
      <c r="EP157" s="76">
        <f>+EO160</f>
        <v>3376</v>
      </c>
      <c r="EQ157" s="76">
        <f>+EP160</f>
        <v>4081</v>
      </c>
      <c r="ER157" s="76">
        <f>+EQ160</f>
        <v>4385</v>
      </c>
      <c r="ES157" s="85">
        <f>+EO157</f>
        <v>2556</v>
      </c>
      <c r="ET157" s="76">
        <f t="shared" ref="ET157:EW157" si="413">+ES160</f>
        <v>4235</v>
      </c>
      <c r="EU157" s="76">
        <f t="shared" si="413"/>
        <v>4984.5176671140562</v>
      </c>
      <c r="EV157" s="76">
        <f t="shared" si="413"/>
        <v>5597.0756743261172</v>
      </c>
      <c r="EW157" s="76">
        <f t="shared" si="413"/>
        <v>5869.300343987994</v>
      </c>
      <c r="EX157" s="85">
        <f>+ET157</f>
        <v>4235</v>
      </c>
      <c r="EY157" s="76">
        <f t="shared" ref="EY157" si="414">+EX160</f>
        <v>5985.6355857285134</v>
      </c>
      <c r="EZ157" s="76">
        <f t="shared" ref="EZ157" si="415">+EY160</f>
        <v>6522.7158450168072</v>
      </c>
      <c r="FA157" s="76">
        <f t="shared" ref="FA157" si="416">+EZ160</f>
        <v>7008.6770043987872</v>
      </c>
      <c r="FB157" s="76">
        <f t="shared" ref="FB157" si="417">+FA160</f>
        <v>7286.975581628054</v>
      </c>
      <c r="FC157" s="85">
        <f>+EY157</f>
        <v>5985.6355857285134</v>
      </c>
      <c r="FD157" s="76">
        <f t="shared" ref="FD157" si="418">+FC160</f>
        <v>7093.6150976507261</v>
      </c>
      <c r="FE157" s="76">
        <f t="shared" ref="FE157" si="419">+FD160</f>
        <v>7415.1717690720188</v>
      </c>
      <c r="FF157" s="76">
        <f t="shared" ref="FF157" si="420">+FE160</f>
        <v>7665.2435078810213</v>
      </c>
      <c r="FG157" s="76">
        <f t="shared" ref="FG157" si="421">+FF160</f>
        <v>7755.5256105612798</v>
      </c>
      <c r="FH157" s="85">
        <f>+FD157</f>
        <v>7093.6150976507261</v>
      </c>
      <c r="FI157" s="76">
        <f t="shared" ref="FI157:FM157" si="422">+FH160</f>
        <v>7659.7639240579492</v>
      </c>
      <c r="FJ157" s="76">
        <f t="shared" si="422"/>
        <v>7114.401553502089</v>
      </c>
      <c r="FK157" s="76">
        <f t="shared" si="422"/>
        <v>6253.3663719180076</v>
      </c>
      <c r="FL157" s="76">
        <f t="shared" si="422"/>
        <v>5192.6810557251865</v>
      </c>
      <c r="FM157" s="76">
        <f t="shared" si="422"/>
        <v>3856.1087055580301</v>
      </c>
    </row>
    <row r="158" spans="1:169" x14ac:dyDescent="0.3">
      <c r="A158" s="168" t="s">
        <v>119</v>
      </c>
      <c r="DU158" s="249">
        <f>IF(DU74&lt;0,-DU74,0)</f>
        <v>69</v>
      </c>
      <c r="DV158" s="249">
        <f>IF(DV74&lt;0,-DV74,0)</f>
        <v>5851</v>
      </c>
      <c r="DW158" s="249">
        <f>IF(DW74&lt;0,-DW74,0)</f>
        <v>366</v>
      </c>
      <c r="DX158" s="249">
        <f>IF(DX74&lt;0,-DX74,0)</f>
        <v>236</v>
      </c>
      <c r="DY158" s="85">
        <f>+SUM(DU158:DX158)</f>
        <v>6522</v>
      </c>
      <c r="DZ158" s="249">
        <f>+DZ160-DZ159-DZ157</f>
        <v>-11681</v>
      </c>
      <c r="EA158" s="249">
        <f>IF(EA74&lt;0,-EA74,0)</f>
        <v>238</v>
      </c>
      <c r="EB158" s="249">
        <f>IF(EB74&lt;0,-EB74,0)</f>
        <v>0</v>
      </c>
      <c r="EC158" s="249">
        <f>IF(EC74&lt;0,-EC74,0)</f>
        <v>43</v>
      </c>
      <c r="ED158" s="85">
        <f>+SUM(DZ158:EC158)</f>
        <v>-11400</v>
      </c>
      <c r="EE158" s="249">
        <f>IF(EE74&lt;0,-EE74,0)</f>
        <v>0</v>
      </c>
      <c r="EF158" s="249">
        <f>IF(EF74&lt;0,-EF74,0)</f>
        <v>0</v>
      </c>
      <c r="EG158" s="249">
        <f>IF(EG154&lt;0,-EG154,0)</f>
        <v>0</v>
      </c>
      <c r="EH158" s="249">
        <f>IF(EH154&lt;0,-EH154,0)</f>
        <v>76</v>
      </c>
      <c r="EI158" s="85">
        <f>+SUM(EE158:EH158)</f>
        <v>76</v>
      </c>
      <c r="EJ158" s="249">
        <f>IF(EJ154&lt;0,-EJ154,0)</f>
        <v>68</v>
      </c>
      <c r="EK158" s="249">
        <f>IF(EK154&lt;0,-EK154,0)</f>
        <v>181</v>
      </c>
      <c r="EL158" s="249">
        <f>IF(EL154&lt;0,-EL154,0)</f>
        <v>281</v>
      </c>
      <c r="EM158" s="249">
        <f>IF(EM154&lt;0,-EM154,0)</f>
        <v>427</v>
      </c>
      <c r="EN158" s="85">
        <f>+SUM(EJ158:EM158)</f>
        <v>957</v>
      </c>
      <c r="EO158" s="249">
        <f>IF(EO154&lt;0,-EO154,0)</f>
        <v>820</v>
      </c>
      <c r="EP158" s="249">
        <f>IF(EP154&lt;0,-EP154,0)</f>
        <v>705</v>
      </c>
      <c r="EQ158" s="249">
        <f>IF(EQ154&lt;0,-EQ154,0)</f>
        <v>304</v>
      </c>
      <c r="ER158" s="249">
        <f>IF(ER154&lt;0,-ER154,0)</f>
        <v>0</v>
      </c>
      <c r="ES158" s="85">
        <f>+SUM(EO158:ER158)</f>
        <v>1829</v>
      </c>
      <c r="ET158" s="249">
        <f t="shared" ref="ET158:EW158" si="423">IF(ET154&lt;0,-ET154,0)</f>
        <v>749.51766711405639</v>
      </c>
      <c r="EU158" s="249">
        <f t="shared" si="423"/>
        <v>612.5580072120606</v>
      </c>
      <c r="EV158" s="249">
        <f t="shared" si="423"/>
        <v>272.22466966187676</v>
      </c>
      <c r="EW158" s="249">
        <f t="shared" si="423"/>
        <v>116.33524174051945</v>
      </c>
      <c r="EX158" s="85">
        <f>+SUM(ET158:EW158)</f>
        <v>1750.6355857285132</v>
      </c>
      <c r="EY158" s="249">
        <f t="shared" ref="EY158:FB158" si="424">IF(EY154&lt;0,-EY154,0)</f>
        <v>537.08025928829363</v>
      </c>
      <c r="EZ158" s="249">
        <f t="shared" si="424"/>
        <v>485.96115938198011</v>
      </c>
      <c r="FA158" s="249">
        <f t="shared" si="424"/>
        <v>278.29857722926727</v>
      </c>
      <c r="FB158" s="249">
        <f t="shared" si="424"/>
        <v>0</v>
      </c>
      <c r="FC158" s="85">
        <f>+SUM(EY158:FB158)</f>
        <v>1301.339995899541</v>
      </c>
      <c r="FD158" s="249">
        <f t="shared" ref="FD158:FM158" si="425">IF(FD154&lt;0,-FD154,0)</f>
        <v>321.55667142129278</v>
      </c>
      <c r="FE158" s="249">
        <f t="shared" si="425"/>
        <v>250.07173880900234</v>
      </c>
      <c r="FF158" s="249">
        <f t="shared" si="425"/>
        <v>90.282102680258731</v>
      </c>
      <c r="FG158" s="249">
        <f t="shared" si="425"/>
        <v>0</v>
      </c>
      <c r="FH158" s="85">
        <f>+SUM(FD158:FG158)</f>
        <v>661.91051291055385</v>
      </c>
      <c r="FI158" s="249">
        <f t="shared" si="425"/>
        <v>0</v>
      </c>
      <c r="FJ158" s="249">
        <f t="shared" si="425"/>
        <v>0</v>
      </c>
      <c r="FK158" s="249">
        <f t="shared" si="425"/>
        <v>0</v>
      </c>
      <c r="FL158" s="249">
        <f t="shared" si="425"/>
        <v>0</v>
      </c>
      <c r="FM158" s="249">
        <f t="shared" si="425"/>
        <v>0</v>
      </c>
    </row>
    <row r="159" spans="1:169" x14ac:dyDescent="0.3">
      <c r="A159" s="168" t="s">
        <v>120</v>
      </c>
      <c r="DU159" s="249">
        <v>0</v>
      </c>
      <c r="DV159" s="249">
        <v>0</v>
      </c>
      <c r="DW159" s="249">
        <v>0</v>
      </c>
      <c r="DX159" s="249">
        <v>0</v>
      </c>
      <c r="DY159" s="85">
        <f>+SUM(DU159:DX159)</f>
        <v>0</v>
      </c>
      <c r="DZ159" s="249">
        <v>0</v>
      </c>
      <c r="EA159" s="249">
        <v>0</v>
      </c>
      <c r="EB159" s="249">
        <v>0</v>
      </c>
      <c r="EC159" s="249">
        <v>0</v>
      </c>
      <c r="ED159" s="85">
        <f>+SUM(DZ159:EC159)</f>
        <v>0</v>
      </c>
      <c r="EE159" s="249">
        <v>0</v>
      </c>
      <c r="EF159" s="249">
        <f>IF(EF74&lt;EF157,IF(EF74&gt;0,-EF74,0),-EF157)</f>
        <v>0</v>
      </c>
      <c r="EG159" s="249">
        <f>IF(EG74&lt;EG157,IF(EG74&gt;0,-EG74,0),-EG157)</f>
        <v>0</v>
      </c>
      <c r="EH159" s="249">
        <f>IF(EH74&lt;EH157,IF(EH74&gt;0,-EH74,0),-EH157)</f>
        <v>0</v>
      </c>
      <c r="EI159" s="85">
        <f>+SUM(EE159:EH159)</f>
        <v>0</v>
      </c>
      <c r="EJ159" s="249">
        <f>IF(EJ154&lt;EJ157,IF(EJ154&gt;0,-EJ154,0),-EJ157)</f>
        <v>0</v>
      </c>
      <c r="EK159" s="249">
        <f>IF(EK154&lt;EK157,IF(EK154&gt;0,-EK154,0),-EK157)</f>
        <v>0</v>
      </c>
      <c r="EL159" s="249">
        <f>IF(EL154&lt;EL157,IF(EL154&gt;0,-EL154,0),-EL157)</f>
        <v>0</v>
      </c>
      <c r="EM159" s="249">
        <f>IF(EM154&lt;EM157,IF(EM154&gt;0,-EM154,0),-EM157)</f>
        <v>0</v>
      </c>
      <c r="EN159" s="85">
        <f>+SUM(EJ159:EM159)</f>
        <v>0</v>
      </c>
      <c r="EO159" s="249">
        <f>IF(EO154&lt;EO157,IF(EO154&gt;0,-EO154,0),-EO157)</f>
        <v>0</v>
      </c>
      <c r="EP159" s="249">
        <f>IF(EP154&lt;EP157,IF(EP154&gt;0,-EP154,0),-EP157)</f>
        <v>0</v>
      </c>
      <c r="EQ159" s="249">
        <f>IF(EQ154&lt;EQ157,IF(EQ154&gt;0,-EQ154,0),-EQ157)</f>
        <v>0</v>
      </c>
      <c r="ER159" s="249">
        <f>IF(ER154&lt;ER157,IF(ER154&gt;0,-ER154,0),-ER157)</f>
        <v>-150</v>
      </c>
      <c r="ES159" s="85">
        <f>+SUM(EO159:ER159)</f>
        <v>-150</v>
      </c>
      <c r="ET159" s="249">
        <f t="shared" ref="ET159:EW159" si="426">IF(ET154&lt;ET157,IF(ET154&gt;0,-ET154,0),-ET157)</f>
        <v>0</v>
      </c>
      <c r="EU159" s="249">
        <f t="shared" si="426"/>
        <v>0</v>
      </c>
      <c r="EV159" s="249">
        <f t="shared" si="426"/>
        <v>0</v>
      </c>
      <c r="EW159" s="249">
        <f t="shared" si="426"/>
        <v>0</v>
      </c>
      <c r="EX159" s="85">
        <f>+SUM(ET159:EW159)</f>
        <v>0</v>
      </c>
      <c r="EY159" s="249">
        <f t="shared" ref="EY159:FB159" si="427">IF(EY154&lt;EY157,IF(EY154&gt;0,-EY154,0),-EY157)</f>
        <v>0</v>
      </c>
      <c r="EZ159" s="249">
        <f t="shared" si="427"/>
        <v>0</v>
      </c>
      <c r="FA159" s="249">
        <f t="shared" si="427"/>
        <v>0</v>
      </c>
      <c r="FB159" s="249">
        <f t="shared" si="427"/>
        <v>-193.36048397732787</v>
      </c>
      <c r="FC159" s="85">
        <f>+SUM(EY159:FB159)</f>
        <v>-193.36048397732787</v>
      </c>
      <c r="FD159" s="249">
        <f t="shared" ref="FD159:FM159" si="428">IF(FD154&lt;FD157,IF(FD154&gt;0,-FD154,0),-FD157)</f>
        <v>0</v>
      </c>
      <c r="FE159" s="249">
        <f t="shared" si="428"/>
        <v>0</v>
      </c>
      <c r="FF159" s="249">
        <f t="shared" si="428"/>
        <v>0</v>
      </c>
      <c r="FG159" s="249">
        <f t="shared" si="428"/>
        <v>-95.761686503330793</v>
      </c>
      <c r="FH159" s="85">
        <f>+SUM(FD159:FG159)</f>
        <v>-95.761686503330793</v>
      </c>
      <c r="FI159" s="249">
        <f t="shared" si="428"/>
        <v>-545.36237055586048</v>
      </c>
      <c r="FJ159" s="249">
        <f t="shared" si="428"/>
        <v>-861.03518158408133</v>
      </c>
      <c r="FK159" s="249">
        <f t="shared" si="428"/>
        <v>-1060.6853161928209</v>
      </c>
      <c r="FL159" s="249">
        <f t="shared" si="428"/>
        <v>-1336.5723501671566</v>
      </c>
      <c r="FM159" s="249">
        <f t="shared" si="428"/>
        <v>-1541.1989419071556</v>
      </c>
    </row>
    <row r="160" spans="1:169" x14ac:dyDescent="0.3">
      <c r="A160" s="167" t="s">
        <v>121</v>
      </c>
      <c r="DU160" s="803">
        <f>+DV157</f>
        <v>4947</v>
      </c>
      <c r="DV160" s="803">
        <f>+DW157</f>
        <v>10798</v>
      </c>
      <c r="DW160" s="803">
        <f>+DX157</f>
        <v>11164</v>
      </c>
      <c r="DX160" s="803">
        <f>+DY160</f>
        <v>11400</v>
      </c>
      <c r="DY160" s="854">
        <f>1600+9800</f>
        <v>11400</v>
      </c>
      <c r="DZ160" s="803">
        <f>+EA157</f>
        <v>-281</v>
      </c>
      <c r="EA160" s="803">
        <f>+EB157</f>
        <v>-43</v>
      </c>
      <c r="EB160" s="803">
        <f>+EC157</f>
        <v>-43</v>
      </c>
      <c r="EC160" s="803">
        <f>+ED160</f>
        <v>0</v>
      </c>
      <c r="ED160" s="1786">
        <v>0</v>
      </c>
      <c r="EE160" s="1786">
        <v>0</v>
      </c>
      <c r="EF160" s="1787">
        <f t="shared" ref="EF160:FM160" si="429">EF157+EF158+EF159</f>
        <v>0</v>
      </c>
      <c r="EG160" s="1787">
        <f t="shared" si="429"/>
        <v>0</v>
      </c>
      <c r="EH160" s="1788">
        <f>312+1800</f>
        <v>2112</v>
      </c>
      <c r="EI160" s="1786">
        <f>312+1800</f>
        <v>2112</v>
      </c>
      <c r="EJ160" s="1787">
        <f t="shared" ref="EJ160:ER160" si="430">EJ157+EJ158+EJ159</f>
        <v>2180</v>
      </c>
      <c r="EK160" s="1787">
        <f t="shared" si="430"/>
        <v>2361</v>
      </c>
      <c r="EL160" s="1787">
        <f t="shared" si="430"/>
        <v>2642</v>
      </c>
      <c r="EM160" s="1787">
        <f t="shared" si="430"/>
        <v>3069</v>
      </c>
      <c r="EN160" s="1786">
        <f>156+2400</f>
        <v>2556</v>
      </c>
      <c r="EO160" s="1787">
        <f t="shared" si="430"/>
        <v>3376</v>
      </c>
      <c r="EP160" s="1787">
        <f t="shared" si="430"/>
        <v>4081</v>
      </c>
      <c r="EQ160" s="1787">
        <f t="shared" si="430"/>
        <v>4385</v>
      </c>
      <c r="ER160" s="1787">
        <f t="shared" si="430"/>
        <v>4235</v>
      </c>
      <c r="ES160" s="1787">
        <f>ES157+ES158+ES159</f>
        <v>4235</v>
      </c>
      <c r="ET160" s="1787">
        <f t="shared" ref="ET160:EW160" si="431">ET157+ET158+ET159</f>
        <v>4984.5176671140562</v>
      </c>
      <c r="EU160" s="1787">
        <f t="shared" si="431"/>
        <v>5597.0756743261172</v>
      </c>
      <c r="EV160" s="1787">
        <f t="shared" si="431"/>
        <v>5869.300343987994</v>
      </c>
      <c r="EW160" s="1787">
        <f t="shared" si="431"/>
        <v>5985.6355857285134</v>
      </c>
      <c r="EX160" s="1787">
        <f>EX157+EX158+EX159</f>
        <v>5985.6355857285134</v>
      </c>
      <c r="EY160" s="1787">
        <f t="shared" ref="EY160:FB160" si="432">EY157+EY158+EY159</f>
        <v>6522.7158450168072</v>
      </c>
      <c r="EZ160" s="1787">
        <f t="shared" si="432"/>
        <v>7008.6770043987872</v>
      </c>
      <c r="FA160" s="1787">
        <f t="shared" si="432"/>
        <v>7286.975581628054</v>
      </c>
      <c r="FB160" s="1787">
        <f t="shared" si="432"/>
        <v>7093.6150976507261</v>
      </c>
      <c r="FC160" s="1787">
        <f>FC157+FC158+FC159</f>
        <v>7093.6150976507261</v>
      </c>
      <c r="FD160" s="1787">
        <f t="shared" si="429"/>
        <v>7415.1717690720188</v>
      </c>
      <c r="FE160" s="1787">
        <f t="shared" si="429"/>
        <v>7665.2435078810213</v>
      </c>
      <c r="FF160" s="1787">
        <f t="shared" si="429"/>
        <v>7755.5256105612798</v>
      </c>
      <c r="FG160" s="1787">
        <f t="shared" si="429"/>
        <v>7659.7639240579492</v>
      </c>
      <c r="FH160" s="1787">
        <f>FH157+FH158+FH159</f>
        <v>7659.7639240579492</v>
      </c>
      <c r="FI160" s="1787">
        <f t="shared" si="429"/>
        <v>7114.401553502089</v>
      </c>
      <c r="FJ160" s="1787">
        <f t="shared" si="429"/>
        <v>6253.3663719180076</v>
      </c>
      <c r="FK160" s="1787">
        <f t="shared" si="429"/>
        <v>5192.6810557251865</v>
      </c>
      <c r="FL160" s="1787">
        <f t="shared" si="429"/>
        <v>3856.1087055580301</v>
      </c>
      <c r="FM160" s="1787">
        <f t="shared" si="429"/>
        <v>2314.9097636508745</v>
      </c>
    </row>
    <row r="161" spans="1:169" x14ac:dyDescent="0.3">
      <c r="A161" s="167"/>
      <c r="EO161"/>
      <c r="EP161"/>
      <c r="EQ161"/>
      <c r="ER161"/>
    </row>
    <row r="162" spans="1:169" x14ac:dyDescent="0.3">
      <c r="A162" s="168" t="s">
        <v>114</v>
      </c>
      <c r="DU162" s="76">
        <f t="shared" ref="DU162:FM162" si="433">+DU74</f>
        <v>-69</v>
      </c>
      <c r="DV162" s="76">
        <f t="shared" si="433"/>
        <v>-5851</v>
      </c>
      <c r="DW162" s="76">
        <f t="shared" si="433"/>
        <v>-366</v>
      </c>
      <c r="DX162" s="76">
        <f t="shared" si="433"/>
        <v>-236</v>
      </c>
      <c r="DY162" s="85">
        <f t="shared" si="433"/>
        <v>-6522</v>
      </c>
      <c r="DZ162" s="76">
        <f t="shared" si="433"/>
        <v>-209</v>
      </c>
      <c r="EA162" s="76">
        <f t="shared" si="433"/>
        <v>-238</v>
      </c>
      <c r="EB162" s="76">
        <f t="shared" si="433"/>
        <v>4</v>
      </c>
      <c r="EC162" s="76">
        <f t="shared" si="433"/>
        <v>-43</v>
      </c>
      <c r="ED162" s="85">
        <f t="shared" si="433"/>
        <v>-486</v>
      </c>
      <c r="EE162" s="76">
        <f t="shared" si="433"/>
        <v>147</v>
      </c>
      <c r="EF162" s="76">
        <f t="shared" si="433"/>
        <v>4400</v>
      </c>
      <c r="EG162" s="76">
        <f t="shared" si="433"/>
        <v>157</v>
      </c>
      <c r="EH162" s="76">
        <f t="shared" si="433"/>
        <v>201</v>
      </c>
      <c r="EI162" s="85">
        <f t="shared" si="433"/>
        <v>4905</v>
      </c>
      <c r="EJ162" s="76">
        <f t="shared" si="433"/>
        <v>95</v>
      </c>
      <c r="EK162" s="76">
        <f t="shared" si="433"/>
        <v>170</v>
      </c>
      <c r="EL162" s="76">
        <f t="shared" si="433"/>
        <v>195</v>
      </c>
      <c r="EM162" s="76">
        <f t="shared" si="433"/>
        <v>139</v>
      </c>
      <c r="EN162" s="85">
        <f t="shared" si="433"/>
        <v>599</v>
      </c>
      <c r="EO162" s="76">
        <f t="shared" si="433"/>
        <v>4</v>
      </c>
      <c r="EP162" s="76">
        <f t="shared" si="433"/>
        <v>-2</v>
      </c>
      <c r="EQ162" s="76">
        <f t="shared" si="433"/>
        <v>11</v>
      </c>
      <c r="ER162" s="76">
        <f t="shared" si="433"/>
        <v>104</v>
      </c>
      <c r="ES162" s="85">
        <f t="shared" si="433"/>
        <v>117</v>
      </c>
      <c r="ET162" s="76">
        <f t="shared" si="433"/>
        <v>-87.308898605106606</v>
      </c>
      <c r="EU162" s="76">
        <f t="shared" si="433"/>
        <v>-85.662019148209026</v>
      </c>
      <c r="EV162" s="76">
        <f t="shared" si="433"/>
        <v>-65.290633455162492</v>
      </c>
      <c r="EW162" s="76">
        <f t="shared" si="433"/>
        <v>-5.9423981890192294</v>
      </c>
      <c r="EX162" s="85">
        <f t="shared" si="433"/>
        <v>-244.20394939749735</v>
      </c>
      <c r="EY162" s="76">
        <f t="shared" ref="EY162:FC162" si="434">+EY74</f>
        <v>-29.937574020289389</v>
      </c>
      <c r="EZ162" s="76">
        <f t="shared" si="434"/>
        <v>-12.219241135631023</v>
      </c>
      <c r="FA162" s="76">
        <f t="shared" si="434"/>
        <v>-26.672308513182031</v>
      </c>
      <c r="FB162" s="76">
        <f t="shared" si="434"/>
        <v>67.429925646007348</v>
      </c>
      <c r="FC162" s="85">
        <f t="shared" si="434"/>
        <v>-1.3991980230950958</v>
      </c>
      <c r="FD162" s="76">
        <f t="shared" ref="FD162:FH162" si="435">+FD74</f>
        <v>51.667670222962386</v>
      </c>
      <c r="FE162" s="76">
        <f t="shared" si="435"/>
        <v>78.003771935832788</v>
      </c>
      <c r="FF162" s="76">
        <f t="shared" si="435"/>
        <v>75.628682771798083</v>
      </c>
      <c r="FG162" s="76">
        <f t="shared" si="435"/>
        <v>140.69536805337054</v>
      </c>
      <c r="FH162" s="85">
        <f t="shared" si="435"/>
        <v>345.9954929839638</v>
      </c>
      <c r="FI162" s="76">
        <f t="shared" si="433"/>
        <v>670.43013646330292</v>
      </c>
      <c r="FJ162" s="76">
        <f t="shared" si="433"/>
        <v>984.42557286861575</v>
      </c>
      <c r="FK162" s="76">
        <f t="shared" si="433"/>
        <v>1164.9273409394677</v>
      </c>
      <c r="FL162" s="76">
        <f t="shared" si="433"/>
        <v>1408.3435537641765</v>
      </c>
      <c r="FM162" s="76">
        <f t="shared" si="433"/>
        <v>1581.8534308875387</v>
      </c>
    </row>
    <row r="163" spans="1:169" x14ac:dyDescent="0.3">
      <c r="A163" s="168" t="s">
        <v>122</v>
      </c>
      <c r="DU163" s="250">
        <f>+IF(DU162&gt;0,IF(DU162&lt;DU160,DU162*-1,0),0)</f>
        <v>0</v>
      </c>
      <c r="DV163" s="250">
        <f>+IF(DV162&gt;0,IF(DV162&lt;DV160,DV162*-1,0),0)</f>
        <v>0</v>
      </c>
      <c r="DW163" s="250">
        <f>+IF(DW162&gt;0,IF(DW162&lt;DW160,DW162*-1,0),0)</f>
        <v>0</v>
      </c>
      <c r="DX163" s="250">
        <f>+IF(DX162&gt;0,IF(DX162&lt;DX160,DX162*-1,0),0)</f>
        <v>0</v>
      </c>
      <c r="DY163" s="251">
        <f>+SUM(DU163:DX163)</f>
        <v>0</v>
      </c>
      <c r="DZ163" s="250">
        <f>+IF(DZ162&gt;0,IF(DZ162&lt;DZ160,DZ162*-1,0),0)</f>
        <v>0</v>
      </c>
      <c r="EA163" s="250">
        <f>+IF(EA162&gt;0,IF(EA162&lt;EA160,EA162*-1,0),0)</f>
        <v>0</v>
      </c>
      <c r="EB163" s="250">
        <f>+IF(EB162&gt;0,IF(EB162&lt;EB160,EB162*-1,0),0)</f>
        <v>0</v>
      </c>
      <c r="EC163" s="250">
        <f>+IF(EC162&gt;0,IF(EC162&lt;EC160,EC162*-1,0),0)</f>
        <v>0</v>
      </c>
      <c r="ED163" s="251">
        <f>+SUM(DZ163:EC163)</f>
        <v>0</v>
      </c>
      <c r="EE163" s="250">
        <f>+IF(EE162&gt;0,IF(EE162&lt;EE160,EE162*-1,0),0)</f>
        <v>0</v>
      </c>
      <c r="EF163" s="250">
        <f>+IF(EF162&gt;0,IF(EF162&lt;EF160,EF162*-1,0),0)</f>
        <v>0</v>
      </c>
      <c r="EG163" s="250">
        <f>+IF(EG162&gt;0,IF(EG162&lt;EG160,EG162*-1,0),0)</f>
        <v>0</v>
      </c>
      <c r="EH163" s="250">
        <f>+IF(EH162&gt;0,IF(EH162&lt;EH160,EH162*-1,0),0)</f>
        <v>-201</v>
      </c>
      <c r="EI163" s="85">
        <f>SUM(EE163:EH163)</f>
        <v>-201</v>
      </c>
      <c r="EJ163" s="250">
        <f>+IF(EJ162&gt;0,IF(EJ162&lt;EJ160,EJ162*-1,0),0)</f>
        <v>-95</v>
      </c>
      <c r="EK163" s="250">
        <f>+IF(EK162&gt;0,IF(EK162&lt;EK160,EK162*-1,0),0)</f>
        <v>-170</v>
      </c>
      <c r="EL163" s="250">
        <f>+IF(EL162&gt;0,IF(EL162&lt;EL160,EL162*-1,0),0)</f>
        <v>-195</v>
      </c>
      <c r="EM163" s="250">
        <f>+IF(EM162&gt;0,IF(EM162&lt;EM160,EM162*-1,0),0)</f>
        <v>-139</v>
      </c>
      <c r="EN163" s="85">
        <f>SUM(EJ163:EM163)</f>
        <v>-599</v>
      </c>
      <c r="EO163" s="250">
        <f>+IF(EO162&gt;0,IF(EO162&lt;EO160,EO162*-1,0),0)</f>
        <v>-4</v>
      </c>
      <c r="EP163" s="250">
        <f>+IF(EP162&gt;0,IF(EP162&lt;EP160,EP162*-1,0),0)</f>
        <v>0</v>
      </c>
      <c r="EQ163" s="250">
        <f>+IF(EQ162&gt;0,IF(EQ162&lt;EQ160,EQ162*-1,0),0)</f>
        <v>-11</v>
      </c>
      <c r="ER163" s="250">
        <f>+IF(ER162&gt;0,IF(ER162&lt;ER160,ER162*-1,0),0)</f>
        <v>-104</v>
      </c>
      <c r="ES163" s="85">
        <f>SUM(EO163:ER163)</f>
        <v>-119</v>
      </c>
      <c r="ET163" s="250">
        <f t="shared" ref="ET163:EW163" si="436">+IF(ET162&gt;0,IF(ET162&lt;ET160,ET162*-1,0),0)</f>
        <v>0</v>
      </c>
      <c r="EU163" s="250">
        <f t="shared" si="436"/>
        <v>0</v>
      </c>
      <c r="EV163" s="250">
        <f t="shared" si="436"/>
        <v>0</v>
      </c>
      <c r="EW163" s="250">
        <f t="shared" si="436"/>
        <v>0</v>
      </c>
      <c r="EX163" s="85">
        <f>SUM(ET163:EW163)</f>
        <v>0</v>
      </c>
      <c r="EY163" s="250">
        <f t="shared" ref="EY163:FB163" si="437">+IF(EY162&gt;0,IF(EY162&lt;EY160,EY162*-1,0),0)</f>
        <v>0</v>
      </c>
      <c r="EZ163" s="250">
        <f t="shared" si="437"/>
        <v>0</v>
      </c>
      <c r="FA163" s="250">
        <f t="shared" si="437"/>
        <v>0</v>
      </c>
      <c r="FB163" s="250">
        <f t="shared" si="437"/>
        <v>-67.429925646007348</v>
      </c>
      <c r="FC163" s="85">
        <f>SUM(EY163:FB163)</f>
        <v>-67.429925646007348</v>
      </c>
      <c r="FD163" s="250">
        <f t="shared" ref="FD163:FL163" si="438">+IF(FD162&gt;0,IF(FD162&lt;FD160,FD162*-1,0),0)</f>
        <v>-51.667670222962386</v>
      </c>
      <c r="FE163" s="250">
        <f t="shared" si="438"/>
        <v>-78.003771935832788</v>
      </c>
      <c r="FF163" s="250">
        <f t="shared" si="438"/>
        <v>-75.628682771798083</v>
      </c>
      <c r="FG163" s="250">
        <f t="shared" si="438"/>
        <v>-140.69536805337054</v>
      </c>
      <c r="FH163" s="85">
        <f>SUM(FD163:FG163)</f>
        <v>-345.9954929839638</v>
      </c>
      <c r="FI163" s="250">
        <f t="shared" si="438"/>
        <v>-670.43013646330292</v>
      </c>
      <c r="FJ163" s="250">
        <f t="shared" si="438"/>
        <v>-984.42557286861575</v>
      </c>
      <c r="FK163" s="250">
        <f t="shared" si="438"/>
        <v>-1164.9273409394677</v>
      </c>
      <c r="FL163" s="250">
        <f t="shared" si="438"/>
        <v>-1408.3435537641765</v>
      </c>
      <c r="FM163" s="250">
        <f>+IF(FM162&gt;0,IF(FM162&lt;FM160,FM162*-1,0),0)</f>
        <v>-1581.8534308875387</v>
      </c>
    </row>
    <row r="164" spans="1:169" x14ac:dyDescent="0.3">
      <c r="A164" s="168" t="s">
        <v>123</v>
      </c>
      <c r="DU164" s="803">
        <f>+IF(DU162&lt;0,0,DU162-DU163)</f>
        <v>0</v>
      </c>
      <c r="DV164" s="803">
        <f>+IF(DV162&lt;0,0,DV162-DV163)</f>
        <v>0</v>
      </c>
      <c r="DW164" s="803">
        <f>+IF(DW162&lt;0,0,DW162-DW163)</f>
        <v>0</v>
      </c>
      <c r="DX164" s="803">
        <f>+IF(DX162&lt;0,0,DX162-DX163)</f>
        <v>0</v>
      </c>
      <c r="DY164" s="1789">
        <f>+SUM(DU164:DX164)</f>
        <v>0</v>
      </c>
      <c r="DZ164" s="803">
        <f>+IF(DZ162&lt;0,0,DZ162+DZ163)</f>
        <v>0</v>
      </c>
      <c r="EA164" s="803">
        <f>+IF(EA162&lt;0,0,EA162+EA163)</f>
        <v>0</v>
      </c>
      <c r="EB164" s="803">
        <f>+IF(EB162&lt;0,0,EB162+EB163)</f>
        <v>4</v>
      </c>
      <c r="EC164" s="803">
        <f>+IF(EC162&lt;0,0,EC162+EC163)</f>
        <v>0</v>
      </c>
      <c r="ED164" s="1789">
        <f>+SUM(DZ164:EC164)</f>
        <v>4</v>
      </c>
      <c r="EE164" s="803">
        <f>+IF(EE162&lt;0,0,EE162+EE163)</f>
        <v>147</v>
      </c>
      <c r="EF164" s="803">
        <f>+IF(EF162&lt;0,0,EF162+EF163)</f>
        <v>4400</v>
      </c>
      <c r="EG164" s="803">
        <f>+IF(EG162&lt;0,0,EG162+EG163)</f>
        <v>157</v>
      </c>
      <c r="EH164" s="803">
        <f>+IF(EH162&lt;0,0,EH162+EH163)</f>
        <v>0</v>
      </c>
      <c r="EI164" s="1789">
        <f>+SUM(EE164:EH164)</f>
        <v>4704</v>
      </c>
      <c r="EJ164" s="803">
        <f>+IF(EJ162&lt;0,0,EJ162+EJ163)</f>
        <v>0</v>
      </c>
      <c r="EK164" s="803">
        <f>+IF(EK162&lt;0,0,EK162+EK163)</f>
        <v>0</v>
      </c>
      <c r="EL164" s="803">
        <f>+IF(EL162&lt;0,0,EL162+EL163)</f>
        <v>0</v>
      </c>
      <c r="EM164" s="803">
        <f>+IF(EM162&lt;0,0,EM162+EM163)</f>
        <v>0</v>
      </c>
      <c r="EN164" s="1789">
        <f>+SUM(EJ164:EM164)</f>
        <v>0</v>
      </c>
      <c r="EO164" s="803">
        <f>+IF(EO162&lt;0,0,EO162+EO163)</f>
        <v>0</v>
      </c>
      <c r="EP164" s="803">
        <f>+IF(EP162&lt;0,0,EP162+EP163)</f>
        <v>0</v>
      </c>
      <c r="EQ164" s="803">
        <f>+IF(EQ162&lt;0,0,EQ162+EQ163)</f>
        <v>0</v>
      </c>
      <c r="ER164" s="803">
        <f>+IF(ER162&lt;0,0,ER162+ER163)</f>
        <v>0</v>
      </c>
      <c r="ES164" s="1789">
        <f>+SUM(EO164:ER164)</f>
        <v>0</v>
      </c>
      <c r="ET164" s="803">
        <f t="shared" ref="ET164:EW164" si="439">+IF(ET162&lt;0,0,ET162+ET163)</f>
        <v>0</v>
      </c>
      <c r="EU164" s="803">
        <f t="shared" si="439"/>
        <v>0</v>
      </c>
      <c r="EV164" s="803">
        <f t="shared" si="439"/>
        <v>0</v>
      </c>
      <c r="EW164" s="803">
        <f t="shared" si="439"/>
        <v>0</v>
      </c>
      <c r="EX164" s="1789">
        <f>+SUM(ET164:EW164)</f>
        <v>0</v>
      </c>
      <c r="EY164" s="803">
        <f t="shared" ref="EY164:FB164" si="440">+IF(EY162&lt;0,0,EY162+EY163)</f>
        <v>0</v>
      </c>
      <c r="EZ164" s="803">
        <f t="shared" si="440"/>
        <v>0</v>
      </c>
      <c r="FA164" s="803">
        <f t="shared" si="440"/>
        <v>0</v>
      </c>
      <c r="FB164" s="803">
        <f t="shared" si="440"/>
        <v>0</v>
      </c>
      <c r="FC164" s="1789">
        <f>+SUM(EY164:FB164)</f>
        <v>0</v>
      </c>
      <c r="FD164" s="803">
        <f t="shared" ref="FD164:FL164" si="441">+IF(FD162&lt;0,0,FD162+FD163)</f>
        <v>0</v>
      </c>
      <c r="FE164" s="803">
        <f t="shared" si="441"/>
        <v>0</v>
      </c>
      <c r="FF164" s="803">
        <f t="shared" si="441"/>
        <v>0</v>
      </c>
      <c r="FG164" s="803">
        <f t="shared" si="441"/>
        <v>0</v>
      </c>
      <c r="FH164" s="1789">
        <f>+SUM(FD164:FG164)</f>
        <v>0</v>
      </c>
      <c r="FI164" s="803">
        <f t="shared" si="441"/>
        <v>0</v>
      </c>
      <c r="FJ164" s="803">
        <f t="shared" si="441"/>
        <v>0</v>
      </c>
      <c r="FK164" s="803">
        <f t="shared" si="441"/>
        <v>0</v>
      </c>
      <c r="FL164" s="803">
        <f t="shared" si="441"/>
        <v>0</v>
      </c>
      <c r="FM164" s="803">
        <f>+IF(FM162&lt;0,0,FM162+FM163)</f>
        <v>0</v>
      </c>
    </row>
    <row r="165" spans="1:169" x14ac:dyDescent="0.3">
      <c r="A165" s="168" t="s">
        <v>124</v>
      </c>
      <c r="DU165" s="74" t="str">
        <f>+IFERROR(DU166/DU164,"")</f>
        <v/>
      </c>
      <c r="DV165" s="74" t="str">
        <f>+IFERROR(DV166/DV164,"")</f>
        <v/>
      </c>
      <c r="DW165" s="74" t="str">
        <f>+IFERROR(DW166/DW164,"")</f>
        <v/>
      </c>
      <c r="DX165" s="74" t="str">
        <f>+IFERROR(DX166/DX164,"")</f>
        <v/>
      </c>
      <c r="DY165" s="92" t="str">
        <f>+IFERROR(DY166/DY164,"")</f>
        <v/>
      </c>
      <c r="DZ165" s="74">
        <f t="shared" ref="DZ165:EH165" si="442">+DZ77</f>
        <v>0.11004784688995216</v>
      </c>
      <c r="EA165" s="74">
        <f t="shared" si="442"/>
        <v>0.23949579831932774</v>
      </c>
      <c r="EB165" s="74">
        <f t="shared" si="442"/>
        <v>-2.75</v>
      </c>
      <c r="EC165" s="74">
        <f t="shared" si="442"/>
        <v>-0.16279069767441862</v>
      </c>
      <c r="ED165" s="92">
        <f t="shared" si="442"/>
        <v>0.1728395061728395</v>
      </c>
      <c r="EE165" s="74">
        <f t="shared" si="442"/>
        <v>0.59183673469387754</v>
      </c>
      <c r="EF165" s="74">
        <f t="shared" si="442"/>
        <v>-4.0909090909090909E-2</v>
      </c>
      <c r="EG165" s="74">
        <f t="shared" si="442"/>
        <v>0.19745222929936307</v>
      </c>
      <c r="EH165" s="74">
        <f t="shared" si="442"/>
        <v>5.9701492537313432E-2</v>
      </c>
      <c r="EI165" s="92">
        <f>EI166/EI164</f>
        <v>8.2908163265306128E-3</v>
      </c>
      <c r="EJ165" s="74">
        <f>+EJ77</f>
        <v>0.31578947368421051</v>
      </c>
      <c r="EK165" s="74">
        <f>+EK77</f>
        <v>0.40588235294117647</v>
      </c>
      <c r="EL165" s="74">
        <f>+EL77</f>
        <v>0.38461538461538464</v>
      </c>
      <c r="EM165" s="74">
        <f>+EM77</f>
        <v>-0.11510791366906475</v>
      </c>
      <c r="EN165" s="92">
        <f>AVERAGE(EJ165:EM165)</f>
        <v>0.24779482439292672</v>
      </c>
      <c r="EO165" s="74">
        <f>+EO77</f>
        <v>0.25</v>
      </c>
      <c r="EP165" s="74">
        <f>+EP77</f>
        <v>0</v>
      </c>
      <c r="EQ165" s="74">
        <f>+EQ77</f>
        <v>0</v>
      </c>
      <c r="ER165" s="74">
        <f>+ER77</f>
        <v>0.83653846153846156</v>
      </c>
      <c r="ES165" s="92">
        <f>AVERAGE(EO165:ER165)</f>
        <v>0.27163461538461542</v>
      </c>
      <c r="ET165" s="74">
        <f t="shared" ref="ET165:EW165" si="443">+ET77</f>
        <v>0.25</v>
      </c>
      <c r="EU165" s="74">
        <f t="shared" si="443"/>
        <v>0.25</v>
      </c>
      <c r="EV165" s="74">
        <f t="shared" si="443"/>
        <v>0.25</v>
      </c>
      <c r="EW165" s="74">
        <f t="shared" si="443"/>
        <v>0.25</v>
      </c>
      <c r="EX165" s="92">
        <f>AVERAGE(ET165:EW165)</f>
        <v>0.25</v>
      </c>
      <c r="EY165" s="74">
        <f t="shared" ref="EY165:FB165" si="444">+EY77</f>
        <v>0.25</v>
      </c>
      <c r="EZ165" s="74">
        <f t="shared" si="444"/>
        <v>0.25</v>
      </c>
      <c r="FA165" s="74">
        <f t="shared" si="444"/>
        <v>0.25</v>
      </c>
      <c r="FB165" s="74">
        <f t="shared" si="444"/>
        <v>0.25</v>
      </c>
      <c r="FC165" s="92">
        <f>AVERAGE(EY165:FB165)</f>
        <v>0.25</v>
      </c>
      <c r="FD165" s="74">
        <f t="shared" ref="FD165:FM165" si="445">+FD77</f>
        <v>0.25</v>
      </c>
      <c r="FE165" s="74">
        <f t="shared" si="445"/>
        <v>0.25</v>
      </c>
      <c r="FF165" s="74">
        <f t="shared" si="445"/>
        <v>0.25</v>
      </c>
      <c r="FG165" s="74">
        <f t="shared" si="445"/>
        <v>0.25</v>
      </c>
      <c r="FH165" s="92">
        <f>AVERAGE(FD165:FG165)</f>
        <v>0.25</v>
      </c>
      <c r="FI165" s="74">
        <f t="shared" si="445"/>
        <v>0.25</v>
      </c>
      <c r="FJ165" s="74">
        <f t="shared" si="445"/>
        <v>0.25</v>
      </c>
      <c r="FK165" s="74">
        <f t="shared" si="445"/>
        <v>0.25</v>
      </c>
      <c r="FL165" s="74">
        <f t="shared" si="445"/>
        <v>0.25</v>
      </c>
      <c r="FM165" s="74">
        <f t="shared" si="445"/>
        <v>0.25</v>
      </c>
    </row>
    <row r="166" spans="1:169" x14ac:dyDescent="0.3">
      <c r="A166" s="167" t="s">
        <v>108</v>
      </c>
      <c r="DU166" s="252">
        <f>+Inputs!DU273</f>
        <v>0</v>
      </c>
      <c r="DV166" s="252">
        <f>+Inputs!DV273</f>
        <v>5</v>
      </c>
      <c r="DW166" s="252">
        <f>+Inputs!DW273</f>
        <v>5</v>
      </c>
      <c r="DX166" s="252">
        <f>+Inputs!DX273</f>
        <v>-6</v>
      </c>
      <c r="DY166" s="253">
        <f>+SUM(DU166:DX166)</f>
        <v>4</v>
      </c>
      <c r="DZ166" s="255">
        <f>+Inputs!DZ273</f>
        <v>1</v>
      </c>
      <c r="EA166" s="255">
        <f>+Inputs!EA273</f>
        <v>0</v>
      </c>
      <c r="EB166" s="255">
        <f>+Inputs!EB273</f>
        <v>5</v>
      </c>
      <c r="EC166" s="255">
        <f>+Inputs!EC273</f>
        <v>2</v>
      </c>
      <c r="ED166" s="253">
        <f>+SUM(DZ166:EC166)</f>
        <v>8</v>
      </c>
      <c r="EE166" s="255">
        <f>+Inputs!EE273</f>
        <v>0</v>
      </c>
      <c r="EF166" s="255">
        <f>+Inputs!EF273</f>
        <v>33</v>
      </c>
      <c r="EG166" s="255">
        <f>+Inputs!EG273</f>
        <v>3</v>
      </c>
      <c r="EH166" s="255">
        <f>+Inputs!EH273</f>
        <v>3</v>
      </c>
      <c r="EI166" s="253">
        <f>+SUM(EE166:EH166)</f>
        <v>39</v>
      </c>
      <c r="EJ166" s="255">
        <f>+Inputs!EJ273</f>
        <v>2</v>
      </c>
      <c r="EK166" s="255">
        <f>+Inputs!EK273</f>
        <v>7</v>
      </c>
      <c r="EL166" s="255">
        <f>+Inputs!EL273</f>
        <v>-2</v>
      </c>
      <c r="EM166" s="255">
        <f>+Inputs!EM273</f>
        <v>1</v>
      </c>
      <c r="EN166" s="253">
        <f>+SUM(EJ166:EM166)</f>
        <v>8</v>
      </c>
      <c r="EO166" s="255">
        <f>+Inputs!EO273</f>
        <v>5</v>
      </c>
      <c r="EP166" s="255">
        <f>+Inputs!EP273</f>
        <v>-4</v>
      </c>
      <c r="EQ166" s="255">
        <f>+Inputs!EQ273</f>
        <v>0</v>
      </c>
      <c r="ER166" s="255">
        <f>+Inputs!ER273</f>
        <v>-1</v>
      </c>
      <c r="ES166" s="253">
        <f>+SUM(EO166:ER166)</f>
        <v>0</v>
      </c>
      <c r="ET166" s="257">
        <f>IF(ET164&gt;0,ET164*ET165,5)</f>
        <v>5</v>
      </c>
      <c r="EU166" s="257">
        <f t="shared" ref="EU166:EW166" si="446">IF(EU164&gt;0,EU164*EU165,5)</f>
        <v>5</v>
      </c>
      <c r="EV166" s="257">
        <f t="shared" si="446"/>
        <v>5</v>
      </c>
      <c r="EW166" s="257">
        <f t="shared" si="446"/>
        <v>5</v>
      </c>
      <c r="EX166" s="253">
        <f>+SUM(ET166:EW166)</f>
        <v>20</v>
      </c>
      <c r="EY166" s="257">
        <f>IF(EY164&gt;0,EY164*EY165,5)</f>
        <v>5</v>
      </c>
      <c r="EZ166" s="257">
        <f t="shared" ref="EZ166:FB166" si="447">IF(EZ164&gt;0,EZ164*EZ165,5)</f>
        <v>5</v>
      </c>
      <c r="FA166" s="257">
        <f t="shared" si="447"/>
        <v>5</v>
      </c>
      <c r="FB166" s="257">
        <f t="shared" si="447"/>
        <v>5</v>
      </c>
      <c r="FC166" s="253">
        <f>+SUM(EY166:FB166)</f>
        <v>20</v>
      </c>
      <c r="FD166" s="257">
        <f>IF(FD164&gt;0,FD164*FD165,5)</f>
        <v>5</v>
      </c>
      <c r="FE166" s="257">
        <f t="shared" ref="FE166:FG166" si="448">IF(FE164&gt;0,FE164*FE165,5)</f>
        <v>5</v>
      </c>
      <c r="FF166" s="257">
        <f t="shared" si="448"/>
        <v>5</v>
      </c>
      <c r="FG166" s="257">
        <f t="shared" si="448"/>
        <v>5</v>
      </c>
      <c r="FH166" s="253">
        <f>+SUM(FD166:FG166)</f>
        <v>20</v>
      </c>
      <c r="FI166" s="257">
        <f t="shared" ref="FI166:FM166" si="449">IF(FI164&gt;0,FI164*FI165,20)</f>
        <v>20</v>
      </c>
      <c r="FJ166" s="257">
        <f t="shared" si="449"/>
        <v>20</v>
      </c>
      <c r="FK166" s="257">
        <f t="shared" si="449"/>
        <v>20</v>
      </c>
      <c r="FL166" s="257">
        <f t="shared" si="449"/>
        <v>20</v>
      </c>
      <c r="FM166" s="257">
        <f t="shared" si="449"/>
        <v>20</v>
      </c>
    </row>
    <row r="167" spans="1:169" x14ac:dyDescent="0.3">
      <c r="A167" s="169" t="s">
        <v>125</v>
      </c>
      <c r="DU167" s="77">
        <f t="shared" ref="DU167:FM167" si="450">+DU75</f>
        <v>18</v>
      </c>
      <c r="DV167" s="77">
        <f t="shared" si="450"/>
        <v>-534</v>
      </c>
      <c r="DW167" s="77">
        <f t="shared" si="450"/>
        <v>-21</v>
      </c>
      <c r="DX167" s="77">
        <f t="shared" si="450"/>
        <v>-74</v>
      </c>
      <c r="DY167" s="86">
        <f t="shared" si="450"/>
        <v>-611</v>
      </c>
      <c r="DZ167" s="77">
        <f t="shared" si="450"/>
        <v>-23</v>
      </c>
      <c r="EA167" s="77">
        <f t="shared" si="450"/>
        <v>-57</v>
      </c>
      <c r="EB167" s="77">
        <f t="shared" si="450"/>
        <v>-11</v>
      </c>
      <c r="EC167" s="77">
        <f t="shared" si="450"/>
        <v>7</v>
      </c>
      <c r="ED167" s="86">
        <f t="shared" si="450"/>
        <v>-84</v>
      </c>
      <c r="EE167" s="77">
        <f t="shared" si="450"/>
        <v>87</v>
      </c>
      <c r="EF167" s="77">
        <f t="shared" si="450"/>
        <v>-180</v>
      </c>
      <c r="EG167" s="77">
        <f t="shared" si="450"/>
        <v>31</v>
      </c>
      <c r="EH167" s="77">
        <f t="shared" si="450"/>
        <v>12</v>
      </c>
      <c r="EI167" s="86">
        <f t="shared" si="450"/>
        <v>-50</v>
      </c>
      <c r="EJ167" s="77">
        <f t="shared" si="450"/>
        <v>30</v>
      </c>
      <c r="EK167" s="77">
        <f t="shared" si="450"/>
        <v>69</v>
      </c>
      <c r="EL167" s="77">
        <f t="shared" si="450"/>
        <v>75</v>
      </c>
      <c r="EM167" s="77">
        <f t="shared" si="450"/>
        <v>-16</v>
      </c>
      <c r="EN167" s="86">
        <f t="shared" si="450"/>
        <v>158</v>
      </c>
      <c r="EO167" s="77">
        <f t="shared" si="450"/>
        <v>1</v>
      </c>
      <c r="EP167" s="77">
        <f t="shared" si="450"/>
        <v>0</v>
      </c>
      <c r="EQ167" s="77">
        <f t="shared" si="450"/>
        <v>0</v>
      </c>
      <c r="ER167" s="77">
        <f t="shared" si="450"/>
        <v>87</v>
      </c>
      <c r="ES167" s="86">
        <f t="shared" si="450"/>
        <v>88</v>
      </c>
      <c r="ET167" s="77">
        <f t="shared" si="450"/>
        <v>-21.827224651276651</v>
      </c>
      <c r="EU167" s="77">
        <f t="shared" si="450"/>
        <v>-21.415504787052257</v>
      </c>
      <c r="EV167" s="77">
        <f t="shared" si="450"/>
        <v>-16.322658363790623</v>
      </c>
      <c r="EW167" s="77">
        <f t="shared" si="450"/>
        <v>-1.4855995472548074</v>
      </c>
      <c r="EX167" s="86">
        <f t="shared" si="450"/>
        <v>-61.050987349374338</v>
      </c>
      <c r="EY167" s="77">
        <f t="shared" ref="EY167:FC167" si="451">+EY75</f>
        <v>-7.4843935050723474</v>
      </c>
      <c r="EZ167" s="77">
        <f t="shared" si="451"/>
        <v>-3.0548102839077558</v>
      </c>
      <c r="FA167" s="77">
        <f t="shared" si="451"/>
        <v>-6.6680771282955078</v>
      </c>
      <c r="FB167" s="77">
        <f t="shared" si="451"/>
        <v>16.857481411501837</v>
      </c>
      <c r="FC167" s="86">
        <f t="shared" si="451"/>
        <v>-0.34979950577377394</v>
      </c>
      <c r="FD167" s="77">
        <f t="shared" ref="FD167:FH167" si="452">+FD75</f>
        <v>12.916917555740596</v>
      </c>
      <c r="FE167" s="77">
        <f t="shared" si="452"/>
        <v>19.500942983958197</v>
      </c>
      <c r="FF167" s="77">
        <f t="shared" si="452"/>
        <v>18.907170692949521</v>
      </c>
      <c r="FG167" s="77">
        <f t="shared" si="452"/>
        <v>35.173842013342636</v>
      </c>
      <c r="FH167" s="86">
        <f t="shared" si="452"/>
        <v>86.49887324599095</v>
      </c>
      <c r="FI167" s="77">
        <f t="shared" si="450"/>
        <v>167.60753411582573</v>
      </c>
      <c r="FJ167" s="77">
        <f t="shared" si="450"/>
        <v>246.10639321715394</v>
      </c>
      <c r="FK167" s="77">
        <f t="shared" si="450"/>
        <v>291.23183523486694</v>
      </c>
      <c r="FL167" s="77">
        <f t="shared" si="450"/>
        <v>352.08588844104412</v>
      </c>
      <c r="FM167" s="77">
        <f t="shared" si="450"/>
        <v>395.46335772188468</v>
      </c>
    </row>
    <row r="168" spans="1:169" x14ac:dyDescent="0.3">
      <c r="A168" s="169" t="s">
        <v>126</v>
      </c>
      <c r="DU168" s="254">
        <f>DU167-DU166</f>
        <v>18</v>
      </c>
      <c r="DV168" s="254">
        <f t="shared" ref="DV168:ER168" si="453">DV167-DV166</f>
        <v>-539</v>
      </c>
      <c r="DW168" s="254">
        <f t="shared" si="453"/>
        <v>-26</v>
      </c>
      <c r="DX168" s="254">
        <f t="shared" si="453"/>
        <v>-68</v>
      </c>
      <c r="DY168" s="256">
        <f t="shared" si="453"/>
        <v>-615</v>
      </c>
      <c r="DZ168" s="254">
        <f t="shared" si="453"/>
        <v>-24</v>
      </c>
      <c r="EA168" s="254">
        <f t="shared" si="453"/>
        <v>-57</v>
      </c>
      <c r="EB168" s="254">
        <f t="shared" si="453"/>
        <v>-16</v>
      </c>
      <c r="EC168" s="254">
        <f t="shared" si="453"/>
        <v>5</v>
      </c>
      <c r="ED168" s="256">
        <f t="shared" si="453"/>
        <v>-92</v>
      </c>
      <c r="EE168" s="254">
        <f>EE167-EE166</f>
        <v>87</v>
      </c>
      <c r="EF168" s="254">
        <f t="shared" si="453"/>
        <v>-213</v>
      </c>
      <c r="EG168" s="254">
        <f t="shared" si="453"/>
        <v>28</v>
      </c>
      <c r="EH168" s="254">
        <f t="shared" si="453"/>
        <v>9</v>
      </c>
      <c r="EI168" s="256">
        <f t="shared" si="453"/>
        <v>-89</v>
      </c>
      <c r="EJ168" s="254">
        <f t="shared" si="453"/>
        <v>28</v>
      </c>
      <c r="EK168" s="254">
        <f t="shared" si="453"/>
        <v>62</v>
      </c>
      <c r="EL168" s="254">
        <f t="shared" si="453"/>
        <v>77</v>
      </c>
      <c r="EM168" s="254">
        <f t="shared" si="453"/>
        <v>-17</v>
      </c>
      <c r="EN168" s="256">
        <f t="shared" si="453"/>
        <v>150</v>
      </c>
      <c r="EO168" s="254">
        <f t="shared" si="453"/>
        <v>-4</v>
      </c>
      <c r="EP168" s="254">
        <f t="shared" si="453"/>
        <v>4</v>
      </c>
      <c r="EQ168" s="254">
        <f t="shared" si="453"/>
        <v>0</v>
      </c>
      <c r="ER168" s="254">
        <f t="shared" si="453"/>
        <v>88</v>
      </c>
      <c r="ES168" s="256">
        <f>ES167-ES166</f>
        <v>88</v>
      </c>
      <c r="ET168" s="254">
        <f t="shared" ref="ET168:EW168" si="454">ET167-ET166</f>
        <v>-26.827224651276651</v>
      </c>
      <c r="EU168" s="254">
        <f t="shared" si="454"/>
        <v>-26.415504787052257</v>
      </c>
      <c r="EV168" s="254">
        <f t="shared" si="454"/>
        <v>-21.322658363790623</v>
      </c>
      <c r="EW168" s="254">
        <f t="shared" si="454"/>
        <v>-6.4855995472548074</v>
      </c>
      <c r="EX168" s="256">
        <f>EX167-EX166</f>
        <v>-81.050987349374338</v>
      </c>
      <c r="EY168" s="254">
        <f t="shared" ref="EY168:FB168" si="455">EY167-EY166</f>
        <v>-12.484393505072347</v>
      </c>
      <c r="EZ168" s="254">
        <f t="shared" si="455"/>
        <v>-8.0548102839077558</v>
      </c>
      <c r="FA168" s="254">
        <f t="shared" si="455"/>
        <v>-11.668077128295508</v>
      </c>
      <c r="FB168" s="254">
        <f t="shared" si="455"/>
        <v>11.857481411501837</v>
      </c>
      <c r="FC168" s="256">
        <f>FC167-FC166</f>
        <v>-20.349799505773774</v>
      </c>
      <c r="FD168" s="254">
        <f t="shared" ref="FD168:FL168" si="456">FD167-FD166</f>
        <v>7.9169175557405964</v>
      </c>
      <c r="FE168" s="254">
        <f t="shared" si="456"/>
        <v>14.500942983958197</v>
      </c>
      <c r="FF168" s="254">
        <f t="shared" si="456"/>
        <v>13.907170692949521</v>
      </c>
      <c r="FG168" s="254">
        <f t="shared" si="456"/>
        <v>30.173842013342636</v>
      </c>
      <c r="FH168" s="256">
        <f>FH167-FH166</f>
        <v>66.49887324599095</v>
      </c>
      <c r="FI168" s="254">
        <f t="shared" si="456"/>
        <v>147.60753411582573</v>
      </c>
      <c r="FJ168" s="254">
        <f t="shared" si="456"/>
        <v>226.10639321715394</v>
      </c>
      <c r="FK168" s="254">
        <f t="shared" si="456"/>
        <v>271.23183523486694</v>
      </c>
      <c r="FL168" s="254">
        <f t="shared" si="456"/>
        <v>332.08588844104412</v>
      </c>
      <c r="FM168" s="254">
        <f>FM167-FM166</f>
        <v>375.46335772188468</v>
      </c>
    </row>
    <row r="169" spans="1:169" x14ac:dyDescent="0.3">
      <c r="A169" s="27"/>
      <c r="EB169" s="76"/>
      <c r="EC169" s="76"/>
      <c r="EE169" s="76"/>
      <c r="ET169" s="90"/>
      <c r="EU169" s="90"/>
      <c r="EV169" s="90"/>
      <c r="EW169" s="90"/>
      <c r="EY169" s="90"/>
      <c r="EZ169" s="90"/>
      <c r="FA169" s="90"/>
      <c r="FB169" s="90"/>
      <c r="FD169" s="90"/>
      <c r="FE169" s="90"/>
      <c r="FF169" s="90"/>
      <c r="FG169" s="90"/>
    </row>
    <row r="170" spans="1:169" x14ac:dyDescent="0.3">
      <c r="A170" s="25" t="s">
        <v>127</v>
      </c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</row>
    <row r="171" spans="1:169" x14ac:dyDescent="0.3">
      <c r="A171" s="27" t="s">
        <v>128</v>
      </c>
      <c r="DU171" s="44">
        <f>+Inputs!DU211</f>
        <v>119</v>
      </c>
      <c r="DV171" s="44">
        <f>+Inputs!DV211</f>
        <v>267</v>
      </c>
      <c r="DW171" s="44">
        <f>+Inputs!DW211</f>
        <v>683</v>
      </c>
      <c r="DX171" s="44">
        <f>+Inputs!DX211</f>
        <v>760</v>
      </c>
      <c r="DY171" s="45">
        <f>+DX171</f>
        <v>760</v>
      </c>
      <c r="DZ171" s="44">
        <f>+Inputs!DZ211</f>
        <v>941</v>
      </c>
      <c r="EA171" s="44">
        <f>+Inputs!EA211</f>
        <v>2290</v>
      </c>
      <c r="EB171" s="44">
        <f>+Inputs!EB211</f>
        <v>1767</v>
      </c>
      <c r="EC171" s="44">
        <f>+Inputs!EC211</f>
        <v>1829</v>
      </c>
      <c r="ED171" s="45">
        <f>+EC171</f>
        <v>1829</v>
      </c>
      <c r="EE171" s="44">
        <f>+Inputs!EE211</f>
        <v>2107</v>
      </c>
      <c r="EF171" s="44">
        <f>+Inputs!EF211</f>
        <v>993</v>
      </c>
      <c r="EG171" s="44">
        <f>+Inputs!EG211</f>
        <v>1211</v>
      </c>
      <c r="EH171" s="44">
        <f>+Inputs!EH211</f>
        <v>2127</v>
      </c>
      <c r="EI171" s="45">
        <f>+EH171</f>
        <v>2127</v>
      </c>
      <c r="EJ171" s="44">
        <f>+Inputs!EJ211</f>
        <v>1300</v>
      </c>
      <c r="EK171" s="44">
        <f>+Inputs!EK211</f>
        <v>678</v>
      </c>
      <c r="EL171" s="44">
        <f>+Inputs!EL211</f>
        <v>230</v>
      </c>
      <c r="EM171" s="44">
        <f>+Inputs!EM211</f>
        <v>322</v>
      </c>
      <c r="EN171" s="45">
        <f t="shared" ref="EN171:EN176" si="457">+EM171</f>
        <v>322</v>
      </c>
      <c r="EO171" s="44">
        <f>+Inputs!EO211</f>
        <v>1132</v>
      </c>
      <c r="EP171" s="44">
        <f>+Inputs!EP211</f>
        <v>662</v>
      </c>
      <c r="EQ171" s="44">
        <f>+Inputs!EQ211</f>
        <v>948</v>
      </c>
      <c r="ER171" s="44">
        <f>+Inputs!ER211</f>
        <v>1125</v>
      </c>
      <c r="ES171" s="45">
        <f>+ER171</f>
        <v>1125</v>
      </c>
      <c r="ET171" s="76">
        <f t="shared" ref="ET171:EW171" si="458">+ES171-ES124+ET124</f>
        <v>454.82055720028961</v>
      </c>
      <c r="EU171" s="76">
        <f t="shared" si="458"/>
        <v>234.80524004670849</v>
      </c>
      <c r="EV171" s="76">
        <f t="shared" si="458"/>
        <v>334.49072769775688</v>
      </c>
      <c r="EW171" s="76">
        <f t="shared" si="458"/>
        <v>129.85343619420422</v>
      </c>
      <c r="EX171" s="45">
        <f>+EW171</f>
        <v>129.85343619420422</v>
      </c>
      <c r="EY171" s="76">
        <f t="shared" ref="EY171" si="459">+EX171-EX124+EY124</f>
        <v>-325.3885987797434</v>
      </c>
      <c r="EZ171" s="76">
        <f t="shared" ref="EZ171" si="460">+EY171-EY124+EZ124</f>
        <v>808.69293189675591</v>
      </c>
      <c r="FA171" s="76">
        <f t="shared" ref="FA171" si="461">+EZ171-EZ124+FA124</f>
        <v>564.72479259265867</v>
      </c>
      <c r="FB171" s="76">
        <f t="shared" ref="FB171" si="462">+FA171-FA124+FB124</f>
        <v>664.57884292069753</v>
      </c>
      <c r="FC171" s="45">
        <f>+FB171</f>
        <v>664.57884292069753</v>
      </c>
      <c r="FD171" s="76">
        <f t="shared" ref="FD171" si="463">+FC171-FC124+FD124</f>
        <v>435.26638869349756</v>
      </c>
      <c r="FE171" s="76">
        <f t="shared" ref="FE171" si="464">+FD171-FD124+FE124</f>
        <v>825.89523467981689</v>
      </c>
      <c r="FF171" s="76">
        <f t="shared" ref="FF171" si="465">+FE171-FE124+FF124</f>
        <v>771.19356992472819</v>
      </c>
      <c r="FG171" s="76">
        <f t="shared" ref="FG171" si="466">+FF171-FF124+FG124</f>
        <v>774.69882277876991</v>
      </c>
      <c r="FH171" s="45">
        <f>+FG171</f>
        <v>774.69882277876991</v>
      </c>
      <c r="FI171" s="76">
        <f t="shared" ref="FI171:FM171" si="467">+FH171-FH124+FI124</f>
        <v>1011.5860832148412</v>
      </c>
      <c r="FJ171" s="76">
        <f t="shared" si="467"/>
        <v>1353.7451426961022</v>
      </c>
      <c r="FK171" s="76">
        <f>+FJ171-FJ124+FK124</f>
        <v>1234.7451426961024</v>
      </c>
      <c r="FL171" s="76">
        <f t="shared" si="467"/>
        <v>1234.7451426961024</v>
      </c>
      <c r="FM171" s="76">
        <f t="shared" si="467"/>
        <v>1234.7451426961024</v>
      </c>
    </row>
    <row r="172" spans="1:169" x14ac:dyDescent="0.3">
      <c r="A172" s="27" t="s">
        <v>129</v>
      </c>
      <c r="DU172" s="44"/>
      <c r="DV172" s="44"/>
      <c r="DW172" s="44"/>
      <c r="DX172" s="44"/>
      <c r="DY172" s="45"/>
      <c r="DZ172" s="44"/>
      <c r="EA172" s="44"/>
      <c r="EB172" s="44"/>
      <c r="EC172" s="44"/>
      <c r="ED172" s="45"/>
      <c r="EE172" s="44"/>
      <c r="EF172" s="44"/>
      <c r="EG172" s="44"/>
      <c r="EH172" s="44"/>
      <c r="EI172" s="45"/>
      <c r="EJ172" s="44">
        <f>+Inputs!EJ212</f>
        <v>900</v>
      </c>
      <c r="EK172" s="44">
        <f>+Inputs!EK212</f>
        <v>2300</v>
      </c>
      <c r="EL172" s="44">
        <f>+Inputs!EL212</f>
        <v>2325</v>
      </c>
      <c r="EM172" s="44">
        <f>+Inputs!EM212</f>
        <v>1750</v>
      </c>
      <c r="EN172" s="45">
        <f t="shared" si="457"/>
        <v>1750</v>
      </c>
      <c r="EO172" s="44">
        <f>+Inputs!EO212</f>
        <v>900</v>
      </c>
      <c r="EP172" s="44">
        <f>+Inputs!EP212</f>
        <v>575</v>
      </c>
      <c r="EQ172" s="44">
        <f>+Inputs!EQ212</f>
        <v>1275</v>
      </c>
      <c r="ER172" s="44">
        <f>+Inputs!ER212</f>
        <v>1075</v>
      </c>
      <c r="ES172" s="45">
        <f>ER172</f>
        <v>1075</v>
      </c>
      <c r="ET172" s="76">
        <f t="shared" ref="ET172:EW172" si="468">ES172-ET109</f>
        <v>1075</v>
      </c>
      <c r="EU172" s="76">
        <f t="shared" si="468"/>
        <v>575</v>
      </c>
      <c r="EV172" s="76">
        <f t="shared" si="468"/>
        <v>225</v>
      </c>
      <c r="EW172" s="76">
        <f t="shared" si="468"/>
        <v>225</v>
      </c>
      <c r="EX172" s="45">
        <f>EW172</f>
        <v>225</v>
      </c>
      <c r="EY172" s="76">
        <f t="shared" ref="EY172" si="469">EX172-EY109</f>
        <v>225</v>
      </c>
      <c r="EZ172" s="76">
        <f t="shared" ref="EZ172" si="470">EY172-EZ109</f>
        <v>0</v>
      </c>
      <c r="FA172" s="76">
        <f t="shared" ref="FA172" si="471">EZ172-FA109</f>
        <v>0</v>
      </c>
      <c r="FB172" s="76">
        <f t="shared" ref="FB172" si="472">FA172-FB109</f>
        <v>0</v>
      </c>
      <c r="FC172" s="45">
        <f>FB172</f>
        <v>0</v>
      </c>
      <c r="FD172" s="76">
        <f t="shared" ref="FD172" si="473">FC172-FD109</f>
        <v>0</v>
      </c>
      <c r="FE172" s="76">
        <f t="shared" ref="FE172" si="474">FD172-FE109</f>
        <v>0</v>
      </c>
      <c r="FF172" s="76">
        <f t="shared" ref="FF172" si="475">FE172-FF109</f>
        <v>0</v>
      </c>
      <c r="FG172" s="76">
        <f t="shared" ref="FG172" si="476">FF172-FG109</f>
        <v>0</v>
      </c>
      <c r="FH172" s="45">
        <f>FG172</f>
        <v>0</v>
      </c>
      <c r="FI172" s="76">
        <f t="shared" ref="FI172:FM172" si="477">FH172-FI109</f>
        <v>0</v>
      </c>
      <c r="FJ172" s="76">
        <f t="shared" si="477"/>
        <v>0</v>
      </c>
      <c r="FK172" s="76">
        <f t="shared" si="477"/>
        <v>0</v>
      </c>
      <c r="FL172" s="76">
        <f t="shared" si="477"/>
        <v>0</v>
      </c>
      <c r="FM172" s="76">
        <f t="shared" si="477"/>
        <v>0</v>
      </c>
    </row>
    <row r="173" spans="1:169" x14ac:dyDescent="0.3">
      <c r="A173" s="27" t="s">
        <v>130</v>
      </c>
      <c r="DU173" s="44">
        <f>+Inputs!DU213</f>
        <v>715</v>
      </c>
      <c r="DV173" s="44">
        <f>+Inputs!DV213</f>
        <v>674</v>
      </c>
      <c r="DW173" s="44">
        <f>+Inputs!DW213</f>
        <v>654</v>
      </c>
      <c r="DX173" s="44">
        <f>+Inputs!DX213</f>
        <v>629</v>
      </c>
      <c r="DY173" s="45">
        <f>+DX173</f>
        <v>629</v>
      </c>
      <c r="DZ173" s="44">
        <f>+Inputs!DZ213</f>
        <v>596</v>
      </c>
      <c r="EA173" s="44">
        <f>+Inputs!EA213</f>
        <v>602</v>
      </c>
      <c r="EB173" s="44">
        <f>+Inputs!EB213</f>
        <v>562</v>
      </c>
      <c r="EC173" s="44">
        <f>+Inputs!EC213</f>
        <v>553</v>
      </c>
      <c r="ED173" s="45">
        <f>+EC173</f>
        <v>553</v>
      </c>
      <c r="EE173" s="44">
        <f>+Inputs!EE213</f>
        <v>519</v>
      </c>
      <c r="EF173" s="44">
        <f>+Inputs!EF213</f>
        <v>504</v>
      </c>
      <c r="EG173" s="44">
        <f>+Inputs!EG213</f>
        <v>452</v>
      </c>
      <c r="EH173" s="44">
        <f>+Inputs!EH213</f>
        <v>458</v>
      </c>
      <c r="EI173" s="45">
        <f>+EH173</f>
        <v>458</v>
      </c>
      <c r="EJ173" s="44">
        <f>+Inputs!EJ213</f>
        <v>397</v>
      </c>
      <c r="EK173" s="44">
        <f>+Inputs!EK213</f>
        <v>420</v>
      </c>
      <c r="EL173" s="44">
        <f>+Inputs!EL213</f>
        <v>422</v>
      </c>
      <c r="EM173" s="44">
        <f>+Inputs!EM213</f>
        <v>438</v>
      </c>
      <c r="EN173" s="45">
        <f t="shared" si="457"/>
        <v>438</v>
      </c>
      <c r="EO173" s="44">
        <f>+Inputs!EO213</f>
        <v>430</v>
      </c>
      <c r="EP173" s="44">
        <f>+Inputs!EP213</f>
        <v>431</v>
      </c>
      <c r="EQ173" s="44">
        <f>+Inputs!EQ213</f>
        <v>449</v>
      </c>
      <c r="ER173" s="44">
        <f>+Inputs!ER213</f>
        <v>446</v>
      </c>
      <c r="ES173" s="45">
        <f>+ER173</f>
        <v>446</v>
      </c>
      <c r="ET173" s="76">
        <f t="shared" ref="ET173:EW173" si="478">ES173</f>
        <v>446</v>
      </c>
      <c r="EU173" s="76">
        <f t="shared" si="478"/>
        <v>446</v>
      </c>
      <c r="EV173" s="76">
        <f t="shared" si="478"/>
        <v>446</v>
      </c>
      <c r="EW173" s="76">
        <f t="shared" si="478"/>
        <v>446</v>
      </c>
      <c r="EX173" s="45">
        <f>+EW173</f>
        <v>446</v>
      </c>
      <c r="EY173" s="76">
        <f t="shared" ref="EY173" si="479">EX173</f>
        <v>446</v>
      </c>
      <c r="EZ173" s="76">
        <f t="shared" ref="EZ173" si="480">EY173</f>
        <v>446</v>
      </c>
      <c r="FA173" s="76">
        <f t="shared" ref="FA173" si="481">EZ173</f>
        <v>446</v>
      </c>
      <c r="FB173" s="76">
        <f t="shared" ref="FB173" si="482">FA173</f>
        <v>446</v>
      </c>
      <c r="FC173" s="45">
        <f>+FB173</f>
        <v>446</v>
      </c>
      <c r="FD173" s="76">
        <f t="shared" ref="FD173" si="483">FC173</f>
        <v>446</v>
      </c>
      <c r="FE173" s="76">
        <f t="shared" ref="FE173" si="484">FD173</f>
        <v>446</v>
      </c>
      <c r="FF173" s="76">
        <f t="shared" ref="FF173" si="485">FE173</f>
        <v>446</v>
      </c>
      <c r="FG173" s="76">
        <f t="shared" ref="FG173" si="486">FF173</f>
        <v>446</v>
      </c>
      <c r="FH173" s="45">
        <f>+FG173</f>
        <v>446</v>
      </c>
      <c r="FI173" s="76">
        <f t="shared" ref="FI173:FM173" si="487">FH173</f>
        <v>446</v>
      </c>
      <c r="FJ173" s="76">
        <f t="shared" si="487"/>
        <v>446</v>
      </c>
      <c r="FK173" s="76">
        <f t="shared" si="487"/>
        <v>446</v>
      </c>
      <c r="FL173" s="76">
        <f t="shared" si="487"/>
        <v>446</v>
      </c>
      <c r="FM173" s="76">
        <f t="shared" si="487"/>
        <v>446</v>
      </c>
    </row>
    <row r="174" spans="1:169" x14ac:dyDescent="0.3">
      <c r="A174" s="27" t="s">
        <v>131</v>
      </c>
      <c r="DU174" s="44">
        <f>+Inputs!DU214</f>
        <v>0</v>
      </c>
      <c r="DV174" s="44">
        <f>+Inputs!DV214</f>
        <v>1405</v>
      </c>
      <c r="DW174" s="44">
        <f>+Inputs!DW214</f>
        <v>1402</v>
      </c>
      <c r="DX174" s="44">
        <f>+Inputs!DX214</f>
        <v>1401</v>
      </c>
      <c r="DY174" s="45">
        <f>+DX174</f>
        <v>1401</v>
      </c>
      <c r="DZ174" s="44">
        <f>+Inputs!DZ214</f>
        <v>1406</v>
      </c>
      <c r="EA174" s="44">
        <f>+Inputs!EA214</f>
        <v>0</v>
      </c>
      <c r="EB174" s="44">
        <f>+Inputs!EB214</f>
        <v>0</v>
      </c>
      <c r="EC174" s="44">
        <f>+Inputs!EC214</f>
        <v>0</v>
      </c>
      <c r="ED174" s="45">
        <f>+EC174</f>
        <v>0</v>
      </c>
      <c r="EE174" s="44">
        <f>+Inputs!EE214</f>
        <v>0</v>
      </c>
      <c r="EF174" s="44">
        <f>+Inputs!EF214</f>
        <v>0</v>
      </c>
      <c r="EG174" s="44">
        <f>+Inputs!EG214</f>
        <v>0</v>
      </c>
      <c r="EH174" s="44">
        <f>+Inputs!EH214</f>
        <v>0</v>
      </c>
      <c r="EI174" s="45">
        <f>+EH174</f>
        <v>0</v>
      </c>
      <c r="EJ174" s="44">
        <f>+Inputs!EJ214</f>
        <v>0</v>
      </c>
      <c r="EK174" s="44">
        <f>+Inputs!EK214</f>
        <v>0</v>
      </c>
      <c r="EL174" s="44">
        <f>+Inputs!EL214</f>
        <v>0</v>
      </c>
      <c r="EM174" s="44">
        <f>+Inputs!EM214</f>
        <v>0</v>
      </c>
      <c r="EN174" s="45">
        <f t="shared" si="457"/>
        <v>0</v>
      </c>
      <c r="EO174" s="44">
        <f>+Inputs!EO214</f>
        <v>0</v>
      </c>
      <c r="EP174" s="44">
        <f>+Inputs!EP214</f>
        <v>0</v>
      </c>
      <c r="EQ174" s="44">
        <f>+Inputs!EQ214</f>
        <v>0</v>
      </c>
      <c r="ER174" s="44">
        <f>+Inputs!ER214</f>
        <v>0</v>
      </c>
      <c r="ES174" s="45">
        <f>+ER174</f>
        <v>0</v>
      </c>
      <c r="ET174" s="57">
        <f t="shared" ref="ET174:EW174" si="488">+ES174</f>
        <v>0</v>
      </c>
      <c r="EU174" s="57">
        <f t="shared" si="488"/>
        <v>0</v>
      </c>
      <c r="EV174" s="57">
        <f t="shared" si="488"/>
        <v>0</v>
      </c>
      <c r="EW174" s="57">
        <f t="shared" si="488"/>
        <v>0</v>
      </c>
      <c r="EX174" s="45">
        <f>+EW174</f>
        <v>0</v>
      </c>
      <c r="EY174" s="57">
        <f t="shared" ref="EY174" si="489">+EX174</f>
        <v>0</v>
      </c>
      <c r="EZ174" s="57">
        <f t="shared" ref="EZ174" si="490">+EY174</f>
        <v>0</v>
      </c>
      <c r="FA174" s="57">
        <f t="shared" ref="FA174" si="491">+EZ174</f>
        <v>0</v>
      </c>
      <c r="FB174" s="57">
        <f t="shared" ref="FB174" si="492">+FA174</f>
        <v>0</v>
      </c>
      <c r="FC174" s="45">
        <f>+FB174</f>
        <v>0</v>
      </c>
      <c r="FD174" s="57">
        <f t="shared" ref="FD174" si="493">+FC174</f>
        <v>0</v>
      </c>
      <c r="FE174" s="57">
        <f t="shared" ref="FE174" si="494">+FD174</f>
        <v>0</v>
      </c>
      <c r="FF174" s="57">
        <f t="shared" ref="FF174" si="495">+FE174</f>
        <v>0</v>
      </c>
      <c r="FG174" s="57">
        <f t="shared" ref="FG174" si="496">+FF174</f>
        <v>0</v>
      </c>
      <c r="FH174" s="45">
        <f>+FG174</f>
        <v>0</v>
      </c>
      <c r="FI174" s="57">
        <f t="shared" ref="FI174:FM174" si="497">+FH174</f>
        <v>0</v>
      </c>
      <c r="FJ174" s="57">
        <f t="shared" si="497"/>
        <v>0</v>
      </c>
      <c r="FK174" s="57">
        <f t="shared" si="497"/>
        <v>0</v>
      </c>
      <c r="FL174" s="57">
        <f t="shared" si="497"/>
        <v>0</v>
      </c>
      <c r="FM174" s="57">
        <f t="shared" si="497"/>
        <v>0</v>
      </c>
    </row>
    <row r="175" spans="1:169" x14ac:dyDescent="0.3">
      <c r="A175" s="27" t="s">
        <v>132</v>
      </c>
      <c r="DU175" s="44">
        <f>+Inputs!DU215</f>
        <v>276</v>
      </c>
      <c r="DV175" s="44">
        <f>+Inputs!DV215</f>
        <v>268</v>
      </c>
      <c r="DW175" s="44">
        <f>+Inputs!DW215</f>
        <v>270</v>
      </c>
      <c r="DX175" s="44">
        <f>+Inputs!DX215</f>
        <v>247</v>
      </c>
      <c r="DY175" s="45">
        <f>+DX175</f>
        <v>247</v>
      </c>
      <c r="DZ175" s="44">
        <f>+Inputs!DZ215</f>
        <v>259</v>
      </c>
      <c r="EA175" s="44">
        <f>+Inputs!EA215</f>
        <v>327</v>
      </c>
      <c r="EB175" s="44">
        <f>+Inputs!EB215</f>
        <v>309</v>
      </c>
      <c r="EC175" s="44">
        <f>+Inputs!EC215</f>
        <v>272</v>
      </c>
      <c r="ED175" s="45">
        <f>+EC175</f>
        <v>272</v>
      </c>
      <c r="EE175" s="44">
        <f>+Inputs!EE215</f>
        <v>221</v>
      </c>
      <c r="EF175" s="44">
        <f>+Inputs!EF215</f>
        <v>128</v>
      </c>
      <c r="EG175" s="44">
        <f>+Inputs!EG215</f>
        <v>124</v>
      </c>
      <c r="EH175" s="44">
        <f>+Inputs!EH215</f>
        <v>103</v>
      </c>
      <c r="EI175" s="45">
        <f>+EH175</f>
        <v>103</v>
      </c>
      <c r="EJ175" s="44">
        <f>+Inputs!EJ215</f>
        <v>91</v>
      </c>
      <c r="EK175" s="44">
        <f>+Inputs!EK215</f>
        <v>104</v>
      </c>
      <c r="EL175" s="44">
        <f>+Inputs!EL215</f>
        <v>101</v>
      </c>
      <c r="EM175" s="44">
        <f>+Inputs!EM215</f>
        <v>87</v>
      </c>
      <c r="EN175" s="45">
        <f t="shared" si="457"/>
        <v>87</v>
      </c>
      <c r="EO175" s="44">
        <f>+Inputs!EO215</f>
        <v>82</v>
      </c>
      <c r="EP175" s="44">
        <f>+Inputs!EP215</f>
        <v>93</v>
      </c>
      <c r="EQ175" s="44">
        <f>+Inputs!EQ215</f>
        <v>126</v>
      </c>
      <c r="ER175" s="44">
        <f>+Inputs!ER215</f>
        <v>135</v>
      </c>
      <c r="ES175" s="45">
        <f>+ER175</f>
        <v>135</v>
      </c>
      <c r="ET175" s="76">
        <f t="shared" ref="ET175:EW175" si="498">ES175</f>
        <v>135</v>
      </c>
      <c r="EU175" s="76">
        <f t="shared" si="498"/>
        <v>135</v>
      </c>
      <c r="EV175" s="76">
        <f t="shared" si="498"/>
        <v>135</v>
      </c>
      <c r="EW175" s="76">
        <f t="shared" si="498"/>
        <v>135</v>
      </c>
      <c r="EX175" s="45">
        <f>+EW175</f>
        <v>135</v>
      </c>
      <c r="EY175" s="76">
        <f t="shared" ref="EY175" si="499">EX175</f>
        <v>135</v>
      </c>
      <c r="EZ175" s="76">
        <f t="shared" ref="EZ175" si="500">EY175</f>
        <v>135</v>
      </c>
      <c r="FA175" s="76">
        <f t="shared" ref="FA175" si="501">EZ175</f>
        <v>135</v>
      </c>
      <c r="FB175" s="76">
        <f t="shared" ref="FB175" si="502">FA175</f>
        <v>135</v>
      </c>
      <c r="FC175" s="45">
        <f>+FB175</f>
        <v>135</v>
      </c>
      <c r="FD175" s="76">
        <f t="shared" ref="FD175" si="503">FC175</f>
        <v>135</v>
      </c>
      <c r="FE175" s="76">
        <f t="shared" ref="FE175" si="504">FD175</f>
        <v>135</v>
      </c>
      <c r="FF175" s="76">
        <f t="shared" ref="FF175" si="505">FE175</f>
        <v>135</v>
      </c>
      <c r="FG175" s="76">
        <f t="shared" ref="FG175" si="506">FF175</f>
        <v>135</v>
      </c>
      <c r="FH175" s="45">
        <f>+FG175</f>
        <v>135</v>
      </c>
      <c r="FI175" s="76">
        <f t="shared" ref="FI175:FM175" si="507">FH175</f>
        <v>135</v>
      </c>
      <c r="FJ175" s="76">
        <f t="shared" si="507"/>
        <v>135</v>
      </c>
      <c r="FK175" s="76">
        <f t="shared" si="507"/>
        <v>135</v>
      </c>
      <c r="FL175" s="76">
        <f t="shared" si="507"/>
        <v>135</v>
      </c>
      <c r="FM175" s="76">
        <f t="shared" si="507"/>
        <v>135</v>
      </c>
    </row>
    <row r="176" spans="1:169" x14ac:dyDescent="0.3">
      <c r="A176" s="29" t="s">
        <v>133</v>
      </c>
      <c r="DU176" s="803">
        <f>+SUM(DU171:DU175)</f>
        <v>1110</v>
      </c>
      <c r="DV176" s="803">
        <f>+SUM(DV171:DV175)</f>
        <v>2614</v>
      </c>
      <c r="DW176" s="803">
        <f>+SUM(DW171:DW175)</f>
        <v>3009</v>
      </c>
      <c r="DX176" s="803">
        <f>+SUM(DX171:DX175)</f>
        <v>3037</v>
      </c>
      <c r="DY176" s="858">
        <f>+DX176</f>
        <v>3037</v>
      </c>
      <c r="DZ176" s="803">
        <f>+SUM(DZ171:DZ175)</f>
        <v>3202</v>
      </c>
      <c r="EA176" s="803">
        <f>+SUM(EA171:EA175)</f>
        <v>3219</v>
      </c>
      <c r="EB176" s="803">
        <f>+SUM(EB171:EB175)</f>
        <v>2638</v>
      </c>
      <c r="EC176" s="803">
        <f>+SUM(EC171:EC175)</f>
        <v>2654</v>
      </c>
      <c r="ED176" s="858">
        <f>+EC176</f>
        <v>2654</v>
      </c>
      <c r="EE176" s="803">
        <f>+SUM(EE171:EE175)</f>
        <v>2847</v>
      </c>
      <c r="EF176" s="803">
        <f>+SUM(EF171:EF175)</f>
        <v>1625</v>
      </c>
      <c r="EG176" s="803">
        <f>+SUM(EG171:EG175)</f>
        <v>1787</v>
      </c>
      <c r="EH176" s="803">
        <f>+SUM(EH171:EH175)</f>
        <v>2688</v>
      </c>
      <c r="EI176" s="858">
        <f>+EH176</f>
        <v>2688</v>
      </c>
      <c r="EJ176" s="803">
        <f>+SUM(EJ171:EJ175)</f>
        <v>2688</v>
      </c>
      <c r="EK176" s="803">
        <f>+SUM(EK171:EK175)</f>
        <v>3502</v>
      </c>
      <c r="EL176" s="803">
        <f>+SUM(EL171:EL175)</f>
        <v>3078</v>
      </c>
      <c r="EM176" s="803">
        <f>+SUM(EM171:EM175)</f>
        <v>2597</v>
      </c>
      <c r="EN176" s="858">
        <f t="shared" si="457"/>
        <v>2597</v>
      </c>
      <c r="EO176" s="803">
        <f>+SUM(EO171:EO175)</f>
        <v>2544</v>
      </c>
      <c r="EP176" s="803">
        <f>+SUM(EP171:EP175)</f>
        <v>1761</v>
      </c>
      <c r="EQ176" s="803">
        <f>+SUM(EQ171:EQ175)</f>
        <v>2798</v>
      </c>
      <c r="ER176" s="803">
        <f>+SUM(ER171:ER175)</f>
        <v>2781</v>
      </c>
      <c r="ES176" s="858">
        <f>+ER176</f>
        <v>2781</v>
      </c>
      <c r="ET176" s="803">
        <f t="shared" ref="ET176:EW176" si="508">+SUM(ET171:ET175)</f>
        <v>2110.8205572002898</v>
      </c>
      <c r="EU176" s="803">
        <f t="shared" si="508"/>
        <v>1390.8052400467086</v>
      </c>
      <c r="EV176" s="803">
        <f t="shared" si="508"/>
        <v>1140.4907276977569</v>
      </c>
      <c r="EW176" s="803">
        <f t="shared" si="508"/>
        <v>935.85343619420428</v>
      </c>
      <c r="EX176" s="858">
        <f>+EW176</f>
        <v>935.85343619420428</v>
      </c>
      <c r="EY176" s="803">
        <f t="shared" ref="EY176:FB176" si="509">+SUM(EY171:EY175)</f>
        <v>480.6114012202566</v>
      </c>
      <c r="EZ176" s="803">
        <f t="shared" si="509"/>
        <v>1389.6929318967559</v>
      </c>
      <c r="FA176" s="803">
        <f t="shared" si="509"/>
        <v>1145.7247925926586</v>
      </c>
      <c r="FB176" s="803">
        <f t="shared" si="509"/>
        <v>1245.5788429206975</v>
      </c>
      <c r="FC176" s="858">
        <f>+FB176</f>
        <v>1245.5788429206975</v>
      </c>
      <c r="FD176" s="803">
        <f t="shared" ref="FD176:FL176" si="510">+SUM(FD171:FD175)</f>
        <v>1016.2663886934976</v>
      </c>
      <c r="FE176" s="803">
        <f t="shared" si="510"/>
        <v>1406.8952346798169</v>
      </c>
      <c r="FF176" s="803">
        <f t="shared" si="510"/>
        <v>1352.1935699247283</v>
      </c>
      <c r="FG176" s="803">
        <f t="shared" si="510"/>
        <v>1355.6988227787699</v>
      </c>
      <c r="FH176" s="858">
        <f>+FG176</f>
        <v>1355.6988227787699</v>
      </c>
      <c r="FI176" s="803">
        <f t="shared" si="510"/>
        <v>1592.5860832148412</v>
      </c>
      <c r="FJ176" s="803">
        <f t="shared" si="510"/>
        <v>1934.7451426961022</v>
      </c>
      <c r="FK176" s="803">
        <f t="shared" si="510"/>
        <v>1815.7451426961024</v>
      </c>
      <c r="FL176" s="803">
        <f t="shared" si="510"/>
        <v>1815.7451426961024</v>
      </c>
      <c r="FM176" s="803">
        <f>+SUM(FM171:FM175)</f>
        <v>1815.7451426961024</v>
      </c>
    </row>
    <row r="177" spans="1:170" x14ac:dyDescent="0.3">
      <c r="A177" s="30"/>
      <c r="DW177" s="76"/>
      <c r="DX177" s="76"/>
      <c r="DZ177" s="76"/>
      <c r="EA177" s="76"/>
      <c r="EB177" s="76"/>
      <c r="EC177" s="76"/>
      <c r="EE177" s="76"/>
      <c r="EF177" s="76"/>
      <c r="EG177" s="76"/>
      <c r="EH177" s="76"/>
      <c r="EJ177" s="76"/>
      <c r="EK177" s="76"/>
      <c r="EO177" s="76"/>
      <c r="EP177" s="76"/>
      <c r="EQ177" s="76"/>
      <c r="ER177" s="76"/>
      <c r="ES177" s="90"/>
      <c r="EX177" s="90"/>
      <c r="FC177" s="90"/>
      <c r="FH177" s="90"/>
    </row>
    <row r="178" spans="1:170" x14ac:dyDescent="0.3">
      <c r="A178" s="27" t="s">
        <v>134</v>
      </c>
      <c r="DU178" s="44">
        <f>+Inputs!DU218</f>
        <v>14034</v>
      </c>
      <c r="DV178" s="44">
        <f>+Inputs!DV218</f>
        <v>12999</v>
      </c>
      <c r="DW178" s="44">
        <f>+Inputs!DW218</f>
        <v>12973</v>
      </c>
      <c r="DX178" s="44">
        <f>+Inputs!DX218</f>
        <v>12963</v>
      </c>
      <c r="DY178" s="45">
        <f>+DX178</f>
        <v>12963</v>
      </c>
      <c r="DZ178" s="44">
        <f>+Inputs!DZ218</f>
        <v>12890</v>
      </c>
      <c r="EA178" s="44">
        <f>+Inputs!EA218</f>
        <v>12845</v>
      </c>
      <c r="EB178" s="44">
        <f>+Inputs!EB218</f>
        <v>12858</v>
      </c>
      <c r="EC178" s="44">
        <f>+Inputs!EC218</f>
        <v>12931</v>
      </c>
      <c r="ED178" s="45">
        <f>+EC178</f>
        <v>12931</v>
      </c>
      <c r="EE178" s="44">
        <f>+Inputs!EE218</f>
        <v>12987</v>
      </c>
      <c r="EF178" s="44">
        <f>+Inputs!EF218</f>
        <v>8686</v>
      </c>
      <c r="EG178" s="44">
        <f>+Inputs!EG218</f>
        <v>8918</v>
      </c>
      <c r="EH178" s="44">
        <f>+Inputs!EH218</f>
        <v>9199</v>
      </c>
      <c r="EI178" s="45">
        <f>+EH178</f>
        <v>9199</v>
      </c>
      <c r="EJ178" s="44">
        <f>+Inputs!EJ218</f>
        <v>9575</v>
      </c>
      <c r="EK178" s="44">
        <f>+Inputs!EK218</f>
        <v>10108</v>
      </c>
      <c r="EL178" s="44">
        <f>+Inputs!EL218</f>
        <v>10847</v>
      </c>
      <c r="EM178" s="44">
        <f>+Inputs!EM218</f>
        <v>11850</v>
      </c>
      <c r="EN178" s="45">
        <f>+EM178</f>
        <v>11850</v>
      </c>
      <c r="EO178" s="44">
        <f>+Inputs!EO218</f>
        <v>12748</v>
      </c>
      <c r="EP178" s="44">
        <f>+Inputs!EP218</f>
        <v>13353</v>
      </c>
      <c r="EQ178" s="44">
        <f>+Inputs!EQ218</f>
        <v>13621</v>
      </c>
      <c r="ER178" s="44">
        <f>+Inputs!ER218</f>
        <v>13933</v>
      </c>
      <c r="ES178" s="45">
        <f>+ER178</f>
        <v>13933</v>
      </c>
      <c r="ET178" s="76">
        <f t="shared" ref="ET178:EW178" si="511">+ES178-ET107-ET97-ET108</f>
        <v>14595.20876850895</v>
      </c>
      <c r="EU178" s="76">
        <f t="shared" si="511"/>
        <v>15122.104756572802</v>
      </c>
      <c r="EV178" s="76">
        <f t="shared" si="511"/>
        <v>15329.038792779516</v>
      </c>
      <c r="EW178" s="76">
        <f t="shared" si="511"/>
        <v>15439.431636331017</v>
      </c>
      <c r="EX178" s="45">
        <f>+EW178</f>
        <v>15439.431636331017</v>
      </c>
      <c r="EY178" s="76">
        <f t="shared" ref="EY178" si="512">+EX178-EY107-EY97-EY108</f>
        <v>15946.574321599022</v>
      </c>
      <c r="EZ178" s="76">
        <f t="shared" ref="EZ178" si="513">+EY178-EZ107-EZ97-EZ108</f>
        <v>16420.316239845371</v>
      </c>
      <c r="FA178" s="76">
        <f t="shared" ref="FA178" si="514">+EZ178-FA107-FA97-FA108</f>
        <v>16671.942508561457</v>
      </c>
      <c r="FB178" s="76">
        <f t="shared" ref="FB178" si="515">+FA178-FB107-FB97-FB108</f>
        <v>16546.011950230135</v>
      </c>
      <c r="FC178" s="45">
        <f>+FB178</f>
        <v>16546.011950230135</v>
      </c>
      <c r="FD178" s="76">
        <f t="shared" ref="FD178" si="516">+FC178-FD107-FD97-FD108</f>
        <v>16919.236291874389</v>
      </c>
      <c r="FE178" s="76">
        <f t="shared" ref="FE178" si="517">+FD178-FE107-FE97-FE108</f>
        <v>17247.311802619224</v>
      </c>
      <c r="FF178" s="76">
        <f t="shared" ref="FF178" si="518">+FE178-FF107-FF97-FF108</f>
        <v>17413.222588071283</v>
      </c>
      <c r="FG178" s="76">
        <f t="shared" ref="FG178" si="519">+FF178-FG107-FG97-FG108</f>
        <v>17458.156269621322</v>
      </c>
      <c r="FH178" s="45">
        <f>+FG178</f>
        <v>17458.156269621322</v>
      </c>
      <c r="FI178" s="76">
        <f t="shared" ref="FI178:FM178" si="520">+FH178-FI107-FI97-FI108</f>
        <v>17583.224035528765</v>
      </c>
      <c r="FJ178" s="76">
        <f t="shared" si="520"/>
        <v>17706.614426813299</v>
      </c>
      <c r="FK178" s="76">
        <f t="shared" si="520"/>
        <v>17810.856451559946</v>
      </c>
      <c r="FL178" s="76">
        <f t="shared" si="520"/>
        <v>17882.627655156968</v>
      </c>
      <c r="FM178" s="76">
        <f t="shared" si="520"/>
        <v>17923.282144137349</v>
      </c>
    </row>
    <row r="179" spans="1:170" x14ac:dyDescent="0.3">
      <c r="A179" s="27" t="s">
        <v>135</v>
      </c>
      <c r="DU179" s="44">
        <f>+Inputs!DU219</f>
        <v>8218</v>
      </c>
      <c r="DV179" s="44">
        <f>+Inputs!DV219</f>
        <v>1952</v>
      </c>
      <c r="DW179" s="44">
        <f>+Inputs!DW219</f>
        <v>1579</v>
      </c>
      <c r="DX179" s="44">
        <f>+Inputs!DX219</f>
        <v>1488</v>
      </c>
      <c r="DY179" s="45">
        <f>+DX179</f>
        <v>1488</v>
      </c>
      <c r="DZ179" s="44">
        <f>+Inputs!DZ219</f>
        <v>1396</v>
      </c>
      <c r="EA179" s="44">
        <f>+Inputs!EA219</f>
        <v>1403</v>
      </c>
      <c r="EB179" s="44">
        <f>+Inputs!EB219</f>
        <v>1291</v>
      </c>
      <c r="EC179" s="44">
        <f>+Inputs!EC219</f>
        <v>1210</v>
      </c>
      <c r="ED179" s="45">
        <f>+EC179</f>
        <v>1210</v>
      </c>
      <c r="EE179" s="44">
        <f>+Inputs!EE219</f>
        <v>1126</v>
      </c>
      <c r="EF179" s="44">
        <f>+Inputs!EF219</f>
        <v>4791</v>
      </c>
      <c r="EG179" s="44">
        <f>+Inputs!EG219</f>
        <v>4683</v>
      </c>
      <c r="EH179" s="44">
        <f>+Inputs!EH219</f>
        <v>4594</v>
      </c>
      <c r="EI179" s="45">
        <f>+EH179</f>
        <v>4594</v>
      </c>
      <c r="EJ179" s="44">
        <f>+Inputs!EJ219</f>
        <v>4492</v>
      </c>
      <c r="EK179" s="44">
        <f>+Inputs!EK219</f>
        <v>4425</v>
      </c>
      <c r="EL179" s="44">
        <f>+Inputs!EL219</f>
        <v>4348</v>
      </c>
      <c r="EM179" s="44">
        <f>+Inputs!EM219</f>
        <v>4177</v>
      </c>
      <c r="EN179" s="45">
        <f>+EM179</f>
        <v>4177</v>
      </c>
      <c r="EO179" s="44">
        <f>+Inputs!EO219</f>
        <v>4106</v>
      </c>
      <c r="EP179" s="44">
        <f>+Inputs!EP219</f>
        <v>4036</v>
      </c>
      <c r="EQ179" s="44">
        <f>+Inputs!EQ219</f>
        <v>4090</v>
      </c>
      <c r="ER179" s="44">
        <f>+Inputs!ER219</f>
        <v>3979</v>
      </c>
      <c r="ES179" s="45">
        <f>+ER179</f>
        <v>3979</v>
      </c>
      <c r="ET179" s="57">
        <f t="shared" ref="ET179:EW179" si="521">+ES179</f>
        <v>3979</v>
      </c>
      <c r="EU179" s="57">
        <f t="shared" si="521"/>
        <v>3979</v>
      </c>
      <c r="EV179" s="57">
        <f t="shared" si="521"/>
        <v>3979</v>
      </c>
      <c r="EW179" s="57">
        <f t="shared" si="521"/>
        <v>3979</v>
      </c>
      <c r="EX179" s="45">
        <f>+EW179</f>
        <v>3979</v>
      </c>
      <c r="EY179" s="57">
        <f t="shared" ref="EY179" si="522">+EX179</f>
        <v>3979</v>
      </c>
      <c r="EZ179" s="57">
        <f t="shared" ref="EZ179" si="523">+EY179</f>
        <v>3979</v>
      </c>
      <c r="FA179" s="57">
        <f t="shared" ref="FA179" si="524">+EZ179</f>
        <v>3979</v>
      </c>
      <c r="FB179" s="57">
        <f t="shared" ref="FB179" si="525">+FA179</f>
        <v>3979</v>
      </c>
      <c r="FC179" s="45">
        <f>+FB179</f>
        <v>3979</v>
      </c>
      <c r="FD179" s="57">
        <f t="shared" ref="FD179" si="526">+FC179</f>
        <v>3979</v>
      </c>
      <c r="FE179" s="57">
        <f t="shared" ref="FE179" si="527">+FD179</f>
        <v>3979</v>
      </c>
      <c r="FF179" s="57">
        <f t="shared" ref="FF179" si="528">+FE179</f>
        <v>3979</v>
      </c>
      <c r="FG179" s="57">
        <f t="shared" ref="FG179" si="529">+FF179</f>
        <v>3979</v>
      </c>
      <c r="FH179" s="45">
        <f>+FG179</f>
        <v>3979</v>
      </c>
      <c r="FI179" s="57">
        <f t="shared" ref="FI179:FM179" si="530">+FH179</f>
        <v>3979</v>
      </c>
      <c r="FJ179" s="57">
        <f t="shared" si="530"/>
        <v>3979</v>
      </c>
      <c r="FK179" s="57">
        <f t="shared" si="530"/>
        <v>3979</v>
      </c>
      <c r="FL179" s="57">
        <f t="shared" si="530"/>
        <v>3979</v>
      </c>
      <c r="FM179" s="57">
        <f t="shared" si="530"/>
        <v>3979</v>
      </c>
    </row>
    <row r="180" spans="1:170" x14ac:dyDescent="0.3">
      <c r="A180" s="29" t="s">
        <v>136</v>
      </c>
      <c r="DU180" s="803">
        <f>+SUM(DU178:DU179,DU176)</f>
        <v>23362</v>
      </c>
      <c r="DV180" s="803">
        <f>+SUM(DV178:DV179,DV176)</f>
        <v>17565</v>
      </c>
      <c r="DW180" s="803">
        <f>+SUM(DW178:DW179,DW176)</f>
        <v>17561</v>
      </c>
      <c r="DX180" s="803">
        <f>+SUM(DX178:DX179,DX176)</f>
        <v>17488</v>
      </c>
      <c r="DY180" s="858">
        <f>+DX180</f>
        <v>17488</v>
      </c>
      <c r="DZ180" s="803">
        <f>+SUM(DZ178:DZ179,DZ176)</f>
        <v>17488</v>
      </c>
      <c r="EA180" s="803">
        <f>+SUM(EA178:EA179,EA176)</f>
        <v>17467</v>
      </c>
      <c r="EB180" s="803">
        <f>+SUM(EB178:EB179,EB176)</f>
        <v>16787</v>
      </c>
      <c r="EC180" s="803">
        <f>+SUM(EC178:EC179,EC176)</f>
        <v>16795</v>
      </c>
      <c r="ED180" s="858">
        <f>+EC180</f>
        <v>16795</v>
      </c>
      <c r="EE180" s="803">
        <f>+SUM(EE178:EE179,EE176)</f>
        <v>16960</v>
      </c>
      <c r="EF180" s="803">
        <f>+SUM(EF178:EF179,EF176)</f>
        <v>15102</v>
      </c>
      <c r="EG180" s="803">
        <f>+SUM(EG178:EG179,EG176)</f>
        <v>15388</v>
      </c>
      <c r="EH180" s="803">
        <f>+SUM(EH178:EH179,EH176)</f>
        <v>16481</v>
      </c>
      <c r="EI180" s="858">
        <f>+EH180</f>
        <v>16481</v>
      </c>
      <c r="EJ180" s="803">
        <f>+SUM(EJ178:EJ179,EJ176)</f>
        <v>16755</v>
      </c>
      <c r="EK180" s="803">
        <f>+SUM(EK178:EK179,EK176)</f>
        <v>18035</v>
      </c>
      <c r="EL180" s="803">
        <f>+SUM(EL178:EL179,EL176)</f>
        <v>18273</v>
      </c>
      <c r="EM180" s="803">
        <f>+SUM(EM178:EM179,EM176)</f>
        <v>18624</v>
      </c>
      <c r="EN180" s="858">
        <f>+EM180</f>
        <v>18624</v>
      </c>
      <c r="EO180" s="803">
        <f>+SUM(EO178:EO179,EO176)</f>
        <v>19398</v>
      </c>
      <c r="EP180" s="803">
        <f>+SUM(EP178:EP179,EP176)</f>
        <v>19150</v>
      </c>
      <c r="EQ180" s="803">
        <f>+SUM(EQ178:EQ179,EQ176)</f>
        <v>20509</v>
      </c>
      <c r="ER180" s="803">
        <f>+SUM(ER178:ER179,ER176)</f>
        <v>20693</v>
      </c>
      <c r="ES180" s="858">
        <f>+ER180</f>
        <v>20693</v>
      </c>
      <c r="ET180" s="803">
        <f t="shared" ref="ET180:EW180" si="531">+SUM(ET178:ET179,ET176)</f>
        <v>20685.029325709242</v>
      </c>
      <c r="EU180" s="803">
        <f t="shared" si="531"/>
        <v>20491.90999661951</v>
      </c>
      <c r="EV180" s="803">
        <f t="shared" si="531"/>
        <v>20448.529520477274</v>
      </c>
      <c r="EW180" s="803">
        <f t="shared" si="531"/>
        <v>20354.285072525221</v>
      </c>
      <c r="EX180" s="858">
        <f>+EW180</f>
        <v>20354.285072525221</v>
      </c>
      <c r="EY180" s="803">
        <f t="shared" ref="EY180:FB180" si="532">+SUM(EY178:EY179,EY176)</f>
        <v>20406.185722819278</v>
      </c>
      <c r="EZ180" s="803">
        <f t="shared" si="532"/>
        <v>21789.009171742127</v>
      </c>
      <c r="FA180" s="803">
        <f t="shared" si="532"/>
        <v>21796.667301154113</v>
      </c>
      <c r="FB180" s="803">
        <f t="shared" si="532"/>
        <v>21770.590793150834</v>
      </c>
      <c r="FC180" s="858">
        <f>+FB180</f>
        <v>21770.590793150834</v>
      </c>
      <c r="FD180" s="803">
        <f t="shared" ref="FD180:FL180" si="533">+SUM(FD178:FD179,FD176)</f>
        <v>21914.502680567886</v>
      </c>
      <c r="FE180" s="803">
        <f t="shared" si="533"/>
        <v>22633.207037299042</v>
      </c>
      <c r="FF180" s="803">
        <f t="shared" si="533"/>
        <v>22744.416157996013</v>
      </c>
      <c r="FG180" s="803">
        <f t="shared" si="533"/>
        <v>22792.855092400092</v>
      </c>
      <c r="FH180" s="858">
        <f>+FG180</f>
        <v>22792.855092400092</v>
      </c>
      <c r="FI180" s="803">
        <f t="shared" si="533"/>
        <v>23154.810118743608</v>
      </c>
      <c r="FJ180" s="803">
        <f t="shared" si="533"/>
        <v>23620.359569509401</v>
      </c>
      <c r="FK180" s="803">
        <f t="shared" si="533"/>
        <v>23605.601594256048</v>
      </c>
      <c r="FL180" s="803">
        <f t="shared" si="533"/>
        <v>23677.37279785307</v>
      </c>
      <c r="FM180" s="803">
        <f>+SUM(FM178:FM179,FM176)</f>
        <v>23718.02728683345</v>
      </c>
    </row>
    <row r="181" spans="1:170" x14ac:dyDescent="0.3">
      <c r="A181" s="1"/>
      <c r="EO181"/>
      <c r="EP181"/>
      <c r="EQ181"/>
      <c r="ER181"/>
      <c r="ES181" s="90"/>
      <c r="EX181" s="90"/>
      <c r="FC181" s="90"/>
      <c r="FH181" s="90"/>
    </row>
    <row r="182" spans="1:170" x14ac:dyDescent="0.3">
      <c r="A182" s="27" t="s">
        <v>137</v>
      </c>
      <c r="DU182" s="44">
        <f>+Inputs!DU222</f>
        <v>393</v>
      </c>
      <c r="DV182" s="44">
        <f>+Inputs!DV222</f>
        <v>440</v>
      </c>
      <c r="DW182" s="44">
        <f>+Inputs!DW222</f>
        <v>994</v>
      </c>
      <c r="DX182" s="44">
        <f>+Inputs!DX222</f>
        <v>994</v>
      </c>
      <c r="DY182" s="45">
        <f>+DX182</f>
        <v>994</v>
      </c>
      <c r="DZ182" s="44">
        <f>+Inputs!DZ222</f>
        <v>17306</v>
      </c>
      <c r="EA182" s="44">
        <f>+Inputs!EA222</f>
        <v>6446</v>
      </c>
      <c r="EB182" s="44">
        <f>+Inputs!EB222</f>
        <v>5701</v>
      </c>
      <c r="EC182" s="44">
        <f>+Inputs!EC222</f>
        <v>5781</v>
      </c>
      <c r="ED182" s="45">
        <f>+EC182</f>
        <v>5781</v>
      </c>
      <c r="EE182" s="44">
        <f>+Inputs!EE222</f>
        <v>5782</v>
      </c>
      <c r="EF182" s="44">
        <f>+Inputs!EF222</f>
        <v>15</v>
      </c>
      <c r="EG182" s="44">
        <f>+Inputs!EG222</f>
        <v>15</v>
      </c>
      <c r="EH182" s="44">
        <f>+Inputs!EH222</f>
        <v>15</v>
      </c>
      <c r="EI182" s="45">
        <f>+EH182</f>
        <v>15</v>
      </c>
      <c r="EJ182" s="44">
        <f>+Inputs!EJ222</f>
        <v>15</v>
      </c>
      <c r="EK182" s="44">
        <f>+Inputs!EK222</f>
        <v>15</v>
      </c>
      <c r="EL182" s="44">
        <f>+Inputs!EL222</f>
        <v>15</v>
      </c>
      <c r="EM182" s="44">
        <f>+Inputs!EM222</f>
        <v>15</v>
      </c>
      <c r="EN182" s="45">
        <f>+EM182</f>
        <v>15</v>
      </c>
      <c r="EO182" s="44">
        <f>+Inputs!EO222</f>
        <v>15</v>
      </c>
      <c r="EP182" s="44">
        <f>+Inputs!EP222</f>
        <v>15</v>
      </c>
      <c r="EQ182" s="44">
        <f>+Inputs!EQ222</f>
        <v>15</v>
      </c>
      <c r="ER182" s="44">
        <f>+Inputs!ER222</f>
        <v>15</v>
      </c>
      <c r="ES182" s="45">
        <f>+ER182</f>
        <v>15</v>
      </c>
      <c r="ET182" s="76">
        <f t="shared" ref="ET182:EW182" si="534">+ES182+ET114-ET115</f>
        <v>15</v>
      </c>
      <c r="EU182" s="76">
        <f t="shared" si="534"/>
        <v>15</v>
      </c>
      <c r="EV182" s="76">
        <f t="shared" si="534"/>
        <v>15</v>
      </c>
      <c r="EW182" s="76">
        <f t="shared" si="534"/>
        <v>15</v>
      </c>
      <c r="EX182" s="45">
        <f>+EW182</f>
        <v>15</v>
      </c>
      <c r="EY182" s="76">
        <f t="shared" ref="EY182" si="535">+EX182+EY114-EY115</f>
        <v>15</v>
      </c>
      <c r="EZ182" s="76">
        <f t="shared" ref="EZ182" si="536">+EY182+EZ114-EZ115</f>
        <v>15</v>
      </c>
      <c r="FA182" s="76">
        <f t="shared" ref="FA182" si="537">+EZ182+FA114-FA115</f>
        <v>15</v>
      </c>
      <c r="FB182" s="76">
        <f t="shared" ref="FB182" si="538">+FA182+FB114-FB115</f>
        <v>15</v>
      </c>
      <c r="FC182" s="45">
        <f>+FB182</f>
        <v>15</v>
      </c>
      <c r="FD182" s="76">
        <f t="shared" ref="FD182" si="539">+FC182+FD114-FD115</f>
        <v>15</v>
      </c>
      <c r="FE182" s="76">
        <f t="shared" ref="FE182" si="540">+FD182+FE114-FE115</f>
        <v>15</v>
      </c>
      <c r="FF182" s="76">
        <f t="shared" ref="FF182" si="541">+FE182+FF114-FF115</f>
        <v>15</v>
      </c>
      <c r="FG182" s="76">
        <f t="shared" ref="FG182" si="542">+FF182+FG114-FG115</f>
        <v>15</v>
      </c>
      <c r="FH182" s="45">
        <f>+FG182</f>
        <v>15</v>
      </c>
      <c r="FI182" s="76">
        <f t="shared" ref="FI182:FM182" si="543">+FH182+FI114-FI115</f>
        <v>15</v>
      </c>
      <c r="FJ182" s="76">
        <f t="shared" si="543"/>
        <v>15</v>
      </c>
      <c r="FK182" s="76">
        <f t="shared" si="543"/>
        <v>15</v>
      </c>
      <c r="FL182" s="76">
        <f t="shared" si="543"/>
        <v>15</v>
      </c>
      <c r="FM182" s="76">
        <f t="shared" si="543"/>
        <v>15</v>
      </c>
    </row>
    <row r="183" spans="1:170" x14ac:dyDescent="0.3">
      <c r="A183" s="27" t="s">
        <v>138</v>
      </c>
      <c r="DU183" s="44">
        <f>+Inputs!DU223</f>
        <v>0</v>
      </c>
      <c r="DV183" s="44">
        <f>+Inputs!DV223</f>
        <v>134</v>
      </c>
      <c r="DW183" s="44">
        <f>+Inputs!DW223</f>
        <v>134</v>
      </c>
      <c r="DX183" s="44">
        <f>+Inputs!DX223</f>
        <v>123</v>
      </c>
      <c r="DY183" s="45">
        <f>+DX183</f>
        <v>123</v>
      </c>
      <c r="DZ183" s="44">
        <f>+Inputs!DZ223</f>
        <v>115</v>
      </c>
      <c r="EA183" s="44">
        <f>+Inputs!EA223</f>
        <v>0</v>
      </c>
      <c r="EB183" s="44">
        <f>+Inputs!EB223</f>
        <v>0</v>
      </c>
      <c r="EC183" s="44">
        <f>+Inputs!EC223</f>
        <v>0</v>
      </c>
      <c r="ED183" s="45">
        <f>+EC183</f>
        <v>0</v>
      </c>
      <c r="EE183" s="44">
        <f>+Inputs!EE223</f>
        <v>0</v>
      </c>
      <c r="EF183" s="44">
        <f>+Inputs!EF223</f>
        <v>0</v>
      </c>
      <c r="EG183" s="44">
        <f>+Inputs!EG223</f>
        <v>0</v>
      </c>
      <c r="EH183" s="44">
        <f>+Inputs!EH223</f>
        <v>0</v>
      </c>
      <c r="EI183" s="45">
        <f>+EH183</f>
        <v>0</v>
      </c>
      <c r="EJ183" s="44">
        <f>+Inputs!EJ223</f>
        <v>0</v>
      </c>
      <c r="EK183" s="44">
        <f>+Inputs!EK223</f>
        <v>0</v>
      </c>
      <c r="EL183" s="44">
        <f>+Inputs!EL223</f>
        <v>0</v>
      </c>
      <c r="EM183" s="44">
        <f>+Inputs!EM223</f>
        <v>0</v>
      </c>
      <c r="EN183" s="45">
        <f>+EM183</f>
        <v>0</v>
      </c>
      <c r="EO183" s="44">
        <f>+Inputs!EO223</f>
        <v>0</v>
      </c>
      <c r="EP183" s="44">
        <f>+Inputs!EP223</f>
        <v>0</v>
      </c>
      <c r="EQ183" s="44">
        <f>+Inputs!EQ223</f>
        <v>0</v>
      </c>
      <c r="ER183" s="44">
        <f>+Inputs!ER223</f>
        <v>0</v>
      </c>
      <c r="ES183" s="45">
        <f>+ER183</f>
        <v>0</v>
      </c>
      <c r="ET183" s="57">
        <f t="shared" ref="ET183:EW183" si="544">+ES183</f>
        <v>0</v>
      </c>
      <c r="EU183" s="57">
        <f t="shared" si="544"/>
        <v>0</v>
      </c>
      <c r="EV183" s="57">
        <f t="shared" si="544"/>
        <v>0</v>
      </c>
      <c r="EW183" s="57">
        <f t="shared" si="544"/>
        <v>0</v>
      </c>
      <c r="EX183" s="45">
        <f>+EW183</f>
        <v>0</v>
      </c>
      <c r="EY183" s="57">
        <f t="shared" ref="EY183" si="545">+EX183</f>
        <v>0</v>
      </c>
      <c r="EZ183" s="57">
        <f t="shared" ref="EZ183" si="546">+EY183</f>
        <v>0</v>
      </c>
      <c r="FA183" s="57">
        <f t="shared" ref="FA183" si="547">+EZ183</f>
        <v>0</v>
      </c>
      <c r="FB183" s="57">
        <f t="shared" ref="FB183" si="548">+FA183</f>
        <v>0</v>
      </c>
      <c r="FC183" s="45">
        <f>+FB183</f>
        <v>0</v>
      </c>
      <c r="FD183" s="57">
        <f t="shared" ref="FD183" si="549">+FC183</f>
        <v>0</v>
      </c>
      <c r="FE183" s="57">
        <f t="shared" ref="FE183" si="550">+FD183</f>
        <v>0</v>
      </c>
      <c r="FF183" s="57">
        <f t="shared" ref="FF183" si="551">+FE183</f>
        <v>0</v>
      </c>
      <c r="FG183" s="57">
        <f t="shared" ref="FG183" si="552">+FF183</f>
        <v>0</v>
      </c>
      <c r="FH183" s="45">
        <f>+FG183</f>
        <v>0</v>
      </c>
      <c r="FI183" s="57">
        <f t="shared" ref="FI183:FM183" si="553">+FH183</f>
        <v>0</v>
      </c>
      <c r="FJ183" s="57">
        <f t="shared" si="553"/>
        <v>0</v>
      </c>
      <c r="FK183" s="57">
        <f t="shared" si="553"/>
        <v>0</v>
      </c>
      <c r="FL183" s="57">
        <f t="shared" si="553"/>
        <v>0</v>
      </c>
      <c r="FM183" s="57">
        <f t="shared" si="553"/>
        <v>0</v>
      </c>
    </row>
    <row r="184" spans="1:170" x14ac:dyDescent="0.3">
      <c r="A184" s="27" t="s">
        <v>139</v>
      </c>
      <c r="DU184" s="44">
        <f>+Inputs!DU224</f>
        <v>1617</v>
      </c>
      <c r="DV184" s="44">
        <f>+Inputs!DV224</f>
        <v>1726</v>
      </c>
      <c r="DW184" s="44">
        <f>+Inputs!DW224</f>
        <v>1612</v>
      </c>
      <c r="DX184" s="44">
        <f>+Inputs!DX224</f>
        <v>1687</v>
      </c>
      <c r="DY184" s="45">
        <f>+DX184</f>
        <v>1687</v>
      </c>
      <c r="DZ184" s="44">
        <f>+Inputs!DZ224</f>
        <v>1808</v>
      </c>
      <c r="EA184" s="44">
        <f>+Inputs!EA224</f>
        <v>1366</v>
      </c>
      <c r="EB184" s="44">
        <f>+Inputs!EB224</f>
        <v>1411</v>
      </c>
      <c r="EC184" s="44">
        <f>+Inputs!EC224</f>
        <v>1359</v>
      </c>
      <c r="ED184" s="45">
        <f>+EC184</f>
        <v>1359</v>
      </c>
      <c r="EE184" s="44">
        <f>+Inputs!EE224</f>
        <v>1369</v>
      </c>
      <c r="EF184" s="44">
        <f>+Inputs!EF224</f>
        <v>1376</v>
      </c>
      <c r="EG184" s="44">
        <f>+Inputs!EG224</f>
        <v>1465</v>
      </c>
      <c r="EH184" s="44">
        <f>+Inputs!EH224</f>
        <v>1436</v>
      </c>
      <c r="EI184" s="45">
        <f>+EH184</f>
        <v>1436</v>
      </c>
      <c r="EJ184" s="44">
        <f>+Inputs!EJ224</f>
        <v>1698</v>
      </c>
      <c r="EK184" s="44">
        <f>+Inputs!EK224</f>
        <v>1764</v>
      </c>
      <c r="EL184" s="44">
        <f>+Inputs!EL224</f>
        <v>1962</v>
      </c>
      <c r="EM184" s="44">
        <f>+Inputs!EM224</f>
        <v>2280</v>
      </c>
      <c r="EN184" s="45">
        <f>+EM184</f>
        <v>2280</v>
      </c>
      <c r="EO184" s="44">
        <f>+Inputs!EO224</f>
        <v>2296</v>
      </c>
      <c r="EP184" s="44">
        <f>+Inputs!EP224</f>
        <v>2052</v>
      </c>
      <c r="EQ184" s="44">
        <f>+Inputs!EQ224</f>
        <v>2036</v>
      </c>
      <c r="ER184" s="44">
        <f>+Inputs!ER224</f>
        <v>2260</v>
      </c>
      <c r="ES184" s="45">
        <f>+ER184</f>
        <v>2260</v>
      </c>
      <c r="ET184" s="76">
        <f t="shared" ref="ET184:EW184" si="554">+ES184+ET103</f>
        <v>2255</v>
      </c>
      <c r="EU184" s="76">
        <f t="shared" si="554"/>
        <v>2250</v>
      </c>
      <c r="EV184" s="76">
        <f t="shared" si="554"/>
        <v>2245</v>
      </c>
      <c r="EW184" s="76">
        <f t="shared" si="554"/>
        <v>2240</v>
      </c>
      <c r="EX184" s="45">
        <f>+EW184</f>
        <v>2240</v>
      </c>
      <c r="EY184" s="76">
        <f t="shared" ref="EY184" si="555">+EX184+EY103</f>
        <v>2237.5</v>
      </c>
      <c r="EZ184" s="76">
        <f t="shared" ref="EZ184" si="556">+EY184+EZ103</f>
        <v>2235</v>
      </c>
      <c r="FA184" s="76">
        <f t="shared" ref="FA184" si="557">+EZ184+FA103</f>
        <v>2232.5</v>
      </c>
      <c r="FB184" s="76">
        <f t="shared" ref="FB184" si="558">+FA184+FB103</f>
        <v>2230</v>
      </c>
      <c r="FC184" s="45">
        <f>+FB184</f>
        <v>2230</v>
      </c>
      <c r="FD184" s="76">
        <f t="shared" ref="FD184" si="559">+FC184+FD103</f>
        <v>2228.75</v>
      </c>
      <c r="FE184" s="76">
        <f t="shared" ref="FE184" si="560">+FD184+FE103</f>
        <v>2227.5</v>
      </c>
      <c r="FF184" s="76">
        <f t="shared" ref="FF184" si="561">+FE184+FF103</f>
        <v>2226.25</v>
      </c>
      <c r="FG184" s="76">
        <f t="shared" ref="FG184" si="562">+FF184+FG103</f>
        <v>2225</v>
      </c>
      <c r="FH184" s="45">
        <f>+FG184</f>
        <v>2225</v>
      </c>
      <c r="FI184" s="76">
        <f t="shared" ref="FI184:FM184" si="563">+FH184+FI103</f>
        <v>2225</v>
      </c>
      <c r="FJ184" s="76">
        <f t="shared" si="563"/>
        <v>2225</v>
      </c>
      <c r="FK184" s="76">
        <f t="shared" si="563"/>
        <v>2225</v>
      </c>
      <c r="FL184" s="76">
        <f t="shared" si="563"/>
        <v>2225</v>
      </c>
      <c r="FM184" s="76">
        <f t="shared" si="563"/>
        <v>2225</v>
      </c>
    </row>
    <row r="185" spans="1:170" x14ac:dyDescent="0.3">
      <c r="A185" s="29" t="s">
        <v>140</v>
      </c>
      <c r="DU185" s="803">
        <f>+SUM(DU182:DU184)</f>
        <v>2010</v>
      </c>
      <c r="DV185" s="803">
        <f>+SUM(DV182:DV184)</f>
        <v>2300</v>
      </c>
      <c r="DW185" s="803">
        <f>+SUM(DW182:DW184)</f>
        <v>2740</v>
      </c>
      <c r="DX185" s="803">
        <f>+SUM(DX182:DX184)</f>
        <v>2804</v>
      </c>
      <c r="DY185" s="858">
        <f>+DX185</f>
        <v>2804</v>
      </c>
      <c r="DZ185" s="803">
        <f>+SUM(DZ182:DZ184)</f>
        <v>19229</v>
      </c>
      <c r="EA185" s="803">
        <f>+SUM(EA182:EA184)</f>
        <v>7812</v>
      </c>
      <c r="EB185" s="803">
        <f>+SUM(EB182:EB184)</f>
        <v>7112</v>
      </c>
      <c r="EC185" s="803">
        <f>+SUM(EC182:EC184)</f>
        <v>7140</v>
      </c>
      <c r="ED185" s="858">
        <f>+EC185</f>
        <v>7140</v>
      </c>
      <c r="EE185" s="803">
        <f>+SUM(EE182:EE184)</f>
        <v>7151</v>
      </c>
      <c r="EF185" s="803">
        <f>+SUM(EF182:EF184)</f>
        <v>1391</v>
      </c>
      <c r="EG185" s="803">
        <f>+SUM(EG182:EG184)</f>
        <v>1480</v>
      </c>
      <c r="EH185" s="803">
        <f>+SUM(EH182:EH184)</f>
        <v>1451</v>
      </c>
      <c r="EI185" s="858">
        <f>+EH185</f>
        <v>1451</v>
      </c>
      <c r="EJ185" s="803">
        <f>+SUM(EJ182:EJ184)</f>
        <v>1713</v>
      </c>
      <c r="EK185" s="803">
        <f>+SUM(EK182:EK184)</f>
        <v>1779</v>
      </c>
      <c r="EL185" s="803">
        <f>+SUM(EL182:EL184)</f>
        <v>1977</v>
      </c>
      <c r="EM185" s="803">
        <f>+SUM(EM182:EM184)</f>
        <v>2295</v>
      </c>
      <c r="EN185" s="858">
        <f>+EM185</f>
        <v>2295</v>
      </c>
      <c r="EO185" s="803">
        <f>+SUM(EO182:EO184)</f>
        <v>2311</v>
      </c>
      <c r="EP185" s="803">
        <f>+SUM(EP182:EP184)</f>
        <v>2067</v>
      </c>
      <c r="EQ185" s="803">
        <f>+SUM(EQ182:EQ184)</f>
        <v>2051</v>
      </c>
      <c r="ER185" s="803">
        <f>+SUM(ER182:ER184)</f>
        <v>2275</v>
      </c>
      <c r="ES185" s="858">
        <f>+ER185</f>
        <v>2275</v>
      </c>
      <c r="ET185" s="803">
        <f t="shared" ref="ET185:EW185" si="564">+SUM(ET182:ET184)</f>
        <v>2270</v>
      </c>
      <c r="EU185" s="803">
        <f t="shared" si="564"/>
        <v>2265</v>
      </c>
      <c r="EV185" s="803">
        <f t="shared" si="564"/>
        <v>2260</v>
      </c>
      <c r="EW185" s="803">
        <f t="shared" si="564"/>
        <v>2255</v>
      </c>
      <c r="EX185" s="858">
        <f>+EW185</f>
        <v>2255</v>
      </c>
      <c r="EY185" s="803">
        <f t="shared" ref="EY185:FB185" si="565">+SUM(EY182:EY184)</f>
        <v>2252.5</v>
      </c>
      <c r="EZ185" s="803">
        <f t="shared" si="565"/>
        <v>2250</v>
      </c>
      <c r="FA185" s="803">
        <f t="shared" si="565"/>
        <v>2247.5</v>
      </c>
      <c r="FB185" s="803">
        <f t="shared" si="565"/>
        <v>2245</v>
      </c>
      <c r="FC185" s="858">
        <f>+FB185</f>
        <v>2245</v>
      </c>
      <c r="FD185" s="803">
        <f t="shared" ref="FD185:FL185" si="566">+SUM(FD182:FD184)</f>
        <v>2243.75</v>
      </c>
      <c r="FE185" s="803">
        <f t="shared" si="566"/>
        <v>2242.5</v>
      </c>
      <c r="FF185" s="803">
        <f t="shared" si="566"/>
        <v>2241.25</v>
      </c>
      <c r="FG185" s="803">
        <f t="shared" si="566"/>
        <v>2240</v>
      </c>
      <c r="FH185" s="858">
        <f>+FG185</f>
        <v>2240</v>
      </c>
      <c r="FI185" s="803">
        <f t="shared" si="566"/>
        <v>2240</v>
      </c>
      <c r="FJ185" s="803">
        <f t="shared" si="566"/>
        <v>2240</v>
      </c>
      <c r="FK185" s="803">
        <f t="shared" si="566"/>
        <v>2240</v>
      </c>
      <c r="FL185" s="803">
        <f t="shared" si="566"/>
        <v>2240</v>
      </c>
      <c r="FM185" s="803">
        <f>+SUM(FM182:FM184)</f>
        <v>2240</v>
      </c>
    </row>
    <row r="186" spans="1:170" x14ac:dyDescent="0.3">
      <c r="A186" s="29"/>
      <c r="EO186"/>
      <c r="EP186"/>
      <c r="EQ186"/>
      <c r="ER186"/>
      <c r="ES186" s="90"/>
      <c r="EX186" s="90"/>
      <c r="FC186" s="90"/>
      <c r="FH186" s="90"/>
    </row>
    <row r="187" spans="1:170" x14ac:dyDescent="0.3">
      <c r="A187" s="27" t="s">
        <v>141</v>
      </c>
      <c r="DU187" s="44">
        <f>+Inputs!DU227</f>
        <v>3291</v>
      </c>
      <c r="DV187" s="44">
        <f>+Inputs!DV227</f>
        <v>2679</v>
      </c>
      <c r="DW187" s="44">
        <f>+Inputs!DW227</f>
        <v>2619</v>
      </c>
      <c r="DX187" s="44">
        <f>+Inputs!DX227</f>
        <v>2770</v>
      </c>
      <c r="DY187" s="45">
        <f>+DX187</f>
        <v>2770</v>
      </c>
      <c r="DZ187" s="44">
        <f>+Inputs!DZ227</f>
        <v>2752</v>
      </c>
      <c r="EA187" s="44">
        <f>+Inputs!EA227</f>
        <v>3155</v>
      </c>
      <c r="EB187" s="44">
        <f>+Inputs!EB227</f>
        <v>3014</v>
      </c>
      <c r="EC187" s="44">
        <f>+Inputs!EC227</f>
        <v>2990</v>
      </c>
      <c r="ED187" s="45">
        <f>+EC187</f>
        <v>2990</v>
      </c>
      <c r="EE187" s="44">
        <f>+Inputs!EE227</f>
        <v>3069</v>
      </c>
      <c r="EF187" s="44">
        <f>+Inputs!EF227</f>
        <v>2456</v>
      </c>
      <c r="EG187" s="44">
        <f>+Inputs!EG227</f>
        <v>2527</v>
      </c>
      <c r="EH187" s="44">
        <f>+Inputs!EH227</f>
        <v>2462</v>
      </c>
      <c r="EI187" s="45">
        <f>+EH187</f>
        <v>2462</v>
      </c>
      <c r="EJ187" s="44">
        <f>+Inputs!EJ227</f>
        <v>2407</v>
      </c>
      <c r="EK187" s="44">
        <f>+Inputs!EK227</f>
        <v>2330</v>
      </c>
      <c r="EL187" s="44">
        <f>+Inputs!EL227</f>
        <v>2243</v>
      </c>
      <c r="EM187" s="44">
        <f>+Inputs!EM227</f>
        <v>2085</v>
      </c>
      <c r="EN187" s="45">
        <f>+EM187</f>
        <v>2085</v>
      </c>
      <c r="EO187" s="44">
        <f>+Inputs!EO227</f>
        <v>2085</v>
      </c>
      <c r="EP187" s="44">
        <f>+Inputs!EP227</f>
        <v>2062</v>
      </c>
      <c r="EQ187" s="44">
        <f>+Inputs!EQ227</f>
        <v>1960</v>
      </c>
      <c r="ER187" s="44">
        <f>+Inputs!ER227</f>
        <v>1893</v>
      </c>
      <c r="ES187" s="45">
        <f>+ER187</f>
        <v>1893</v>
      </c>
      <c r="ET187" s="76">
        <f t="shared" ref="ET187:EW187" si="567">+ES187-ET100</f>
        <v>1919.8272246512765</v>
      </c>
      <c r="EU187" s="76">
        <f t="shared" si="567"/>
        <v>1946.2427294383288</v>
      </c>
      <c r="EV187" s="76">
        <f t="shared" si="567"/>
        <v>1967.5653878021194</v>
      </c>
      <c r="EW187" s="76">
        <f t="shared" si="567"/>
        <v>1974.0509873493743</v>
      </c>
      <c r="EX187" s="45">
        <f>+EW187</f>
        <v>1974.0509873493743</v>
      </c>
      <c r="EY187" s="76">
        <f t="shared" ref="EY187" si="568">+EX187-EY100</f>
        <v>1986.5353808544467</v>
      </c>
      <c r="EZ187" s="76">
        <f t="shared" ref="EZ187" si="569">+EY187-EZ100</f>
        <v>1994.5901911383544</v>
      </c>
      <c r="FA187" s="76">
        <f t="shared" ref="FA187" si="570">+EZ187-FA100</f>
        <v>2006.2582682666498</v>
      </c>
      <c r="FB187" s="76">
        <f t="shared" ref="FB187" si="571">+FA187-FB100</f>
        <v>1994.400786855148</v>
      </c>
      <c r="FC187" s="45">
        <f>+FB187</f>
        <v>1994.400786855148</v>
      </c>
      <c r="FD187" s="76">
        <f t="shared" ref="FD187" si="572">+FC187-FD100</f>
        <v>1986.4838692994074</v>
      </c>
      <c r="FE187" s="76">
        <f t="shared" ref="FE187" si="573">+FD187-FE100</f>
        <v>1971.9829263154493</v>
      </c>
      <c r="FF187" s="76">
        <f t="shared" ref="FF187" si="574">+FE187-FF100</f>
        <v>1958.0757556224999</v>
      </c>
      <c r="FG187" s="76">
        <f t="shared" ref="FG187" si="575">+FF187-FG100</f>
        <v>1927.9019136091572</v>
      </c>
      <c r="FH187" s="45">
        <f>+FG187</f>
        <v>1927.9019136091572</v>
      </c>
      <c r="FI187" s="76">
        <f t="shared" ref="FI187:FM187" si="576">+FH187-FI100</f>
        <v>1780.2943794933315</v>
      </c>
      <c r="FJ187" s="76">
        <f t="shared" si="576"/>
        <v>1554.1879862761775</v>
      </c>
      <c r="FK187" s="76">
        <f t="shared" si="576"/>
        <v>1282.9561510413105</v>
      </c>
      <c r="FL187" s="76">
        <f t="shared" si="576"/>
        <v>950.87026260026641</v>
      </c>
      <c r="FM187" s="76">
        <f t="shared" si="576"/>
        <v>575.40690487838174</v>
      </c>
    </row>
    <row r="188" spans="1:170" x14ac:dyDescent="0.3">
      <c r="A188" s="27" t="s">
        <v>142</v>
      </c>
      <c r="DU188" s="44">
        <f>+Inputs!DU228</f>
        <v>0</v>
      </c>
      <c r="DV188" s="44">
        <f>+Inputs!DV228</f>
        <v>0</v>
      </c>
      <c r="DW188" s="44">
        <f>+Inputs!DW228</f>
        <v>0</v>
      </c>
      <c r="DX188" s="44">
        <f>+Inputs!DX228</f>
        <v>0</v>
      </c>
      <c r="DY188" s="45">
        <f>+DX188</f>
        <v>0</v>
      </c>
      <c r="DZ188" s="44">
        <f>+Inputs!DZ228</f>
        <v>0</v>
      </c>
      <c r="EA188" s="44">
        <f>+Inputs!EA228</f>
        <v>11597</v>
      </c>
      <c r="EB188" s="44">
        <f>+Inputs!EB228</f>
        <v>11587</v>
      </c>
      <c r="EC188" s="44">
        <f>+Inputs!EC228</f>
        <v>11565</v>
      </c>
      <c r="ED188" s="45">
        <f>+EC188</f>
        <v>11565</v>
      </c>
      <c r="EE188" s="44">
        <f>+Inputs!EE228</f>
        <v>11570</v>
      </c>
      <c r="EF188" s="44">
        <f>+Inputs!EF228</f>
        <v>0</v>
      </c>
      <c r="EG188" s="44">
        <f>+Inputs!EG228</f>
        <v>0</v>
      </c>
      <c r="EH188" s="44">
        <f>+Inputs!EH228</f>
        <v>0</v>
      </c>
      <c r="EI188" s="182">
        <f>+EH188</f>
        <v>0</v>
      </c>
      <c r="EJ188" s="44">
        <f>+Inputs!EJ228</f>
        <v>0</v>
      </c>
      <c r="EK188" s="44">
        <f>+Inputs!EK228</f>
        <v>0</v>
      </c>
      <c r="EL188" s="44">
        <f>+Inputs!EL228</f>
        <v>0</v>
      </c>
      <c r="EM188" s="44">
        <f>+Inputs!EM228</f>
        <v>0</v>
      </c>
      <c r="EN188" s="182">
        <f>+EM188</f>
        <v>0</v>
      </c>
      <c r="EO188" s="44">
        <f>+Inputs!EO228</f>
        <v>0</v>
      </c>
      <c r="EP188" s="44">
        <f>+Inputs!EP228</f>
        <v>0</v>
      </c>
      <c r="EQ188" s="44">
        <f>+Inputs!EQ228</f>
        <v>0</v>
      </c>
      <c r="ER188" s="44">
        <f>+Inputs!ER228</f>
        <v>0</v>
      </c>
      <c r="ES188" s="182">
        <f>+ER188</f>
        <v>0</v>
      </c>
      <c r="ET188" s="159">
        <v>0</v>
      </c>
      <c r="EU188" s="159">
        <v>0</v>
      </c>
      <c r="EV188" s="159">
        <v>0</v>
      </c>
      <c r="EW188" s="159">
        <v>0</v>
      </c>
      <c r="EX188" s="182">
        <f>+EW188</f>
        <v>0</v>
      </c>
      <c r="EY188" s="159">
        <v>0</v>
      </c>
      <c r="EZ188" s="159">
        <v>0</v>
      </c>
      <c r="FA188" s="159">
        <v>0</v>
      </c>
      <c r="FB188" s="159">
        <v>0</v>
      </c>
      <c r="FC188" s="182">
        <f>+FB188</f>
        <v>0</v>
      </c>
      <c r="FD188" s="159">
        <v>0</v>
      </c>
      <c r="FE188" s="159">
        <v>0</v>
      </c>
      <c r="FF188" s="159">
        <v>0</v>
      </c>
      <c r="FG188" s="159">
        <v>0</v>
      </c>
      <c r="FH188" s="182">
        <f>+FG188</f>
        <v>0</v>
      </c>
      <c r="FI188" s="159">
        <v>0</v>
      </c>
      <c r="FJ188" s="159">
        <v>0</v>
      </c>
      <c r="FK188" s="159">
        <v>0</v>
      </c>
      <c r="FL188" s="159">
        <v>0</v>
      </c>
      <c r="FM188" s="159">
        <v>0</v>
      </c>
    </row>
    <row r="189" spans="1:170" x14ac:dyDescent="0.3">
      <c r="A189" s="27" t="s">
        <v>143</v>
      </c>
      <c r="DU189" s="44">
        <f>+Inputs!DU229</f>
        <v>16526</v>
      </c>
      <c r="DV189" s="44">
        <f>+Inputs!DV229</f>
        <v>16357</v>
      </c>
      <c r="DW189" s="44">
        <f>+Inputs!DW229</f>
        <v>16305</v>
      </c>
      <c r="DX189" s="44">
        <f>+Inputs!DX229</f>
        <v>16308</v>
      </c>
      <c r="DY189" s="45">
        <f>+DX189</f>
        <v>16308</v>
      </c>
      <c r="DZ189" s="44">
        <f>+Inputs!DZ229</f>
        <v>0</v>
      </c>
      <c r="EA189" s="44">
        <f>+Inputs!EA229</f>
        <v>0</v>
      </c>
      <c r="EB189" s="44">
        <f>+Inputs!EB229</f>
        <v>0</v>
      </c>
      <c r="EC189" s="44">
        <f>+Inputs!EC229</f>
        <v>0</v>
      </c>
      <c r="ED189" s="45">
        <f>+EC189</f>
        <v>0</v>
      </c>
      <c r="EE189" s="44">
        <f>+Inputs!EE229</f>
        <v>0</v>
      </c>
      <c r="EF189" s="44">
        <f>+Inputs!EF229</f>
        <v>7007</v>
      </c>
      <c r="EG189" s="44">
        <f>+Inputs!EG229</f>
        <v>6996</v>
      </c>
      <c r="EH189" s="44">
        <f>+Inputs!EH229</f>
        <v>7968</v>
      </c>
      <c r="EI189" s="182">
        <f>+EH189</f>
        <v>7968</v>
      </c>
      <c r="EJ189" s="44">
        <f>+Inputs!EJ229</f>
        <v>7957</v>
      </c>
      <c r="EK189" s="44">
        <f>+Inputs!EK229</f>
        <v>9130</v>
      </c>
      <c r="EL189" s="44">
        <f>+Inputs!EL229</f>
        <v>9120</v>
      </c>
      <c r="EM189" s="44">
        <f>+Inputs!EM229</f>
        <v>9110</v>
      </c>
      <c r="EN189" s="182">
        <f>+EM189</f>
        <v>9110</v>
      </c>
      <c r="EO189" s="44">
        <f>+Inputs!EO229</f>
        <v>9839</v>
      </c>
      <c r="EP189" s="44">
        <f>+Inputs!EP229</f>
        <v>9829</v>
      </c>
      <c r="EQ189" s="44">
        <f>+Inputs!EQ229</f>
        <v>11258</v>
      </c>
      <c r="ER189" s="44">
        <f>+Inputs!ER229</f>
        <v>11246</v>
      </c>
      <c r="ES189" s="182">
        <f>+ER189</f>
        <v>11246</v>
      </c>
      <c r="ET189" s="120">
        <f t="shared" ref="ET189:EW189" si="577">+ES189+ET113-ET112</f>
        <v>11246</v>
      </c>
      <c r="EU189" s="120">
        <f t="shared" si="577"/>
        <v>11246</v>
      </c>
      <c r="EV189" s="120">
        <f t="shared" si="577"/>
        <v>11246</v>
      </c>
      <c r="EW189" s="120">
        <f t="shared" si="577"/>
        <v>11246</v>
      </c>
      <c r="EX189" s="182">
        <f>+EW189</f>
        <v>11246</v>
      </c>
      <c r="EY189" s="120">
        <f t="shared" ref="EY189" si="578">+EX189+EY113-EY112</f>
        <v>11246</v>
      </c>
      <c r="EZ189" s="120">
        <f t="shared" ref="EZ189" si="579">+EY189+EZ113-EZ112</f>
        <v>12746</v>
      </c>
      <c r="FA189" s="120">
        <f t="shared" ref="FA189" si="580">+EZ189+FA113-FA112</f>
        <v>12746</v>
      </c>
      <c r="FB189" s="120">
        <f t="shared" ref="FB189" si="581">+FA189+FB113-FB112</f>
        <v>12746</v>
      </c>
      <c r="FC189" s="182">
        <f>+FB189</f>
        <v>12746</v>
      </c>
      <c r="FD189" s="120">
        <f t="shared" ref="FD189" si="582">+FC189+FD113-FD112</f>
        <v>12746</v>
      </c>
      <c r="FE189" s="120">
        <f t="shared" ref="FE189" si="583">+FD189+FE113-FE112</f>
        <v>13496</v>
      </c>
      <c r="FF189" s="120">
        <f t="shared" ref="FF189" si="584">+FE189+FF113-FF112</f>
        <v>13496</v>
      </c>
      <c r="FG189" s="120">
        <f t="shared" ref="FG189" si="585">+FF189+FG113-FG112</f>
        <v>13496</v>
      </c>
      <c r="FH189" s="182">
        <f>+FG189</f>
        <v>13496</v>
      </c>
      <c r="FI189" s="120">
        <f>+FH189+FI113+FI112</f>
        <v>13256</v>
      </c>
      <c r="FJ189" s="120">
        <f t="shared" ref="FJ189" si="586">+FI189+FJ113+FJ112</f>
        <v>12806</v>
      </c>
      <c r="FK189" s="120">
        <f>+FK196-FK182</f>
        <v>13623.428457970598</v>
      </c>
      <c r="FL189" s="120">
        <f t="shared" ref="FL189:FM189" si="587">+FL196-FL182</f>
        <v>14548.643941609722</v>
      </c>
      <c r="FM189" s="120">
        <f t="shared" si="587"/>
        <v>15405.618688330851</v>
      </c>
      <c r="FN189" s="76"/>
    </row>
    <row r="190" spans="1:170" x14ac:dyDescent="0.3">
      <c r="A190" s="27" t="s">
        <v>144</v>
      </c>
      <c r="DU190" s="44">
        <f>+Inputs!DU230</f>
        <v>1535</v>
      </c>
      <c r="DV190" s="44">
        <f>+Inputs!DV230</f>
        <v>-3771</v>
      </c>
      <c r="DW190" s="44">
        <f>+Inputs!DW230</f>
        <v>-4103</v>
      </c>
      <c r="DX190" s="44">
        <f>+Inputs!DX230</f>
        <v>-4394</v>
      </c>
      <c r="DY190" s="45">
        <f>+DX190</f>
        <v>-4394</v>
      </c>
      <c r="DZ190" s="44">
        <f>+Inputs!DZ230</f>
        <v>-4493</v>
      </c>
      <c r="EA190" s="44">
        <f>+Inputs!EA230</f>
        <v>-5097</v>
      </c>
      <c r="EB190" s="44">
        <f>+Inputs!EB230</f>
        <v>-4926</v>
      </c>
      <c r="EC190" s="44">
        <f>+Inputs!EC230</f>
        <v>-4900</v>
      </c>
      <c r="ED190" s="45">
        <f>+EC190</f>
        <v>-4900</v>
      </c>
      <c r="EE190" s="44">
        <f>+Inputs!EE230</f>
        <v>-4830</v>
      </c>
      <c r="EF190" s="44">
        <f>+Inputs!EF230</f>
        <v>4248</v>
      </c>
      <c r="EG190" s="44">
        <f>+Inputs!EG230</f>
        <v>4385</v>
      </c>
      <c r="EH190" s="44">
        <f>+Inputs!EH230</f>
        <v>4600</v>
      </c>
      <c r="EI190" s="45">
        <f>+EH190</f>
        <v>4600</v>
      </c>
      <c r="EJ190" s="44">
        <f>+Inputs!EJ230</f>
        <v>4678</v>
      </c>
      <c r="EK190" s="44">
        <f>+Inputs!EK230</f>
        <v>4796</v>
      </c>
      <c r="EL190" s="44">
        <f>+Inputs!EL230</f>
        <v>4933</v>
      </c>
      <c r="EM190" s="44">
        <f>+Inputs!EM230</f>
        <v>5134</v>
      </c>
      <c r="EN190" s="45">
        <f>+EM190</f>
        <v>5134</v>
      </c>
      <c r="EO190" s="44">
        <f>+Inputs!EO230</f>
        <v>5163</v>
      </c>
      <c r="EP190" s="44">
        <f>+Inputs!EP230</f>
        <v>5192</v>
      </c>
      <c r="EQ190" s="44">
        <f>+Inputs!EQ230</f>
        <v>5240</v>
      </c>
      <c r="ER190" s="44">
        <f>+Inputs!ER230</f>
        <v>5279</v>
      </c>
      <c r="ES190" s="45">
        <f>+ER190</f>
        <v>5279</v>
      </c>
      <c r="ET190" s="76">
        <f t="shared" ref="ET190:EW190" si="588">+ET191-SUM(ET187:ET189,ET185)</f>
        <v>5249.2021010579647</v>
      </c>
      <c r="EU190" s="76">
        <f t="shared" si="588"/>
        <v>5034.6672671811812</v>
      </c>
      <c r="EV190" s="76">
        <f t="shared" si="588"/>
        <v>4974.9641326751553</v>
      </c>
      <c r="EW190" s="76">
        <f t="shared" si="588"/>
        <v>4879.2340851758472</v>
      </c>
      <c r="EX190" s="45">
        <f>+EW190</f>
        <v>4879.2340851758472</v>
      </c>
      <c r="EY190" s="76">
        <f t="shared" ref="EY190:FB190" si="589">+EY191-SUM(EY187:EY189,EY185)</f>
        <v>4921.1503419648325</v>
      </c>
      <c r="EZ190" s="76">
        <f t="shared" si="589"/>
        <v>4798.4189806037721</v>
      </c>
      <c r="FA190" s="76">
        <f t="shared" si="589"/>
        <v>4796.9090328874627</v>
      </c>
      <c r="FB190" s="76">
        <f t="shared" si="589"/>
        <v>4785.1900062956847</v>
      </c>
      <c r="FC190" s="45">
        <f>+FB190</f>
        <v>4785.1900062956847</v>
      </c>
      <c r="FD190" s="76">
        <f t="shared" ref="FD190:FL190" si="590">+FD191-SUM(FD187:FD189,FD185)</f>
        <v>4938.2688112684773</v>
      </c>
      <c r="FE190" s="76">
        <f t="shared" si="590"/>
        <v>4922.7241109835923</v>
      </c>
      <c r="FF190" s="76">
        <f t="shared" si="590"/>
        <v>5049.0904023735129</v>
      </c>
      <c r="FG190" s="76">
        <f t="shared" si="590"/>
        <v>5128.9531787909327</v>
      </c>
      <c r="FH190" s="45">
        <f>+FG190</f>
        <v>5128.9531787909327</v>
      </c>
      <c r="FI190" s="76">
        <f t="shared" si="590"/>
        <v>5878.515739250277</v>
      </c>
      <c r="FJ190" s="76">
        <f t="shared" si="590"/>
        <v>7020.1715832332229</v>
      </c>
      <c r="FK190" s="76">
        <f t="shared" si="590"/>
        <v>6459.2169852441402</v>
      </c>
      <c r="FL190" s="76">
        <f t="shared" si="590"/>
        <v>5937.8585936430791</v>
      </c>
      <c r="FM190" s="76">
        <f>+FM191-SUM(FM187:FM189,FM185)</f>
        <v>5497.0016936242173</v>
      </c>
    </row>
    <row r="191" spans="1:170" x14ac:dyDescent="0.3">
      <c r="A191" s="4" t="s">
        <v>145</v>
      </c>
      <c r="DU191" s="803">
        <f>+SUM(DU187:DU190,DU185)</f>
        <v>23362</v>
      </c>
      <c r="DV191" s="803">
        <f>+SUM(DV187:DV190,DV185)</f>
        <v>17565</v>
      </c>
      <c r="DW191" s="803">
        <f>+SUM(DW187:DW190,DW185)</f>
        <v>17561</v>
      </c>
      <c r="DX191" s="803">
        <f>+SUM(DX187:DX190,DX185)</f>
        <v>17488</v>
      </c>
      <c r="DY191" s="858">
        <f>+DX191</f>
        <v>17488</v>
      </c>
      <c r="DZ191" s="803">
        <f>+SUM(DZ187:DZ190,DZ185)</f>
        <v>17488</v>
      </c>
      <c r="EA191" s="803">
        <f>+SUM(EA187:EA190,EA185)</f>
        <v>17467</v>
      </c>
      <c r="EB191" s="803">
        <f>+SUM(EB187:EB190,EB185)</f>
        <v>16787</v>
      </c>
      <c r="EC191" s="803">
        <f>+SUM(EC187:EC190,EC185)</f>
        <v>16795</v>
      </c>
      <c r="ED191" s="858">
        <f>+EC191</f>
        <v>16795</v>
      </c>
      <c r="EE191" s="803">
        <f>+SUM(EE187:EE190,EE185)</f>
        <v>16960</v>
      </c>
      <c r="EF191" s="803">
        <f>+SUM(EF187:EF190,EF185)</f>
        <v>15102</v>
      </c>
      <c r="EG191" s="803">
        <f>+SUM(EG187:EG190,EG185)</f>
        <v>15388</v>
      </c>
      <c r="EH191" s="803">
        <f>+SUM(EH187:EH190,EH185)</f>
        <v>16481</v>
      </c>
      <c r="EI191" s="858">
        <f>+EH191</f>
        <v>16481</v>
      </c>
      <c r="EJ191" s="803">
        <f>+SUM(EJ187:EJ190,EJ185)</f>
        <v>16755</v>
      </c>
      <c r="EK191" s="803">
        <f>+SUM(EK187:EK190,EK185)</f>
        <v>18035</v>
      </c>
      <c r="EL191" s="803">
        <f>+SUM(EL187:EL190,EL185)</f>
        <v>18273</v>
      </c>
      <c r="EM191" s="803">
        <f>+SUM(EM187:EM190,EM185)</f>
        <v>18624</v>
      </c>
      <c r="EN191" s="858">
        <f>+EM191</f>
        <v>18624</v>
      </c>
      <c r="EO191" s="803">
        <f>+SUM(EO187:EO190,EO185)</f>
        <v>19398</v>
      </c>
      <c r="EP191" s="803">
        <f>+SUM(EP187:EP190,EP185)</f>
        <v>19150</v>
      </c>
      <c r="EQ191" s="803">
        <f>+SUM(EQ187:EQ190,EQ185)</f>
        <v>20509</v>
      </c>
      <c r="ER191" s="803">
        <f>+SUM(ER187:ER190,ER185)</f>
        <v>20693</v>
      </c>
      <c r="ES191" s="858">
        <f>+ER191</f>
        <v>20693</v>
      </c>
      <c r="ET191" s="803">
        <f t="shared" ref="ET191:EW191" si="591">+ET180</f>
        <v>20685.029325709242</v>
      </c>
      <c r="EU191" s="803">
        <f t="shared" si="591"/>
        <v>20491.90999661951</v>
      </c>
      <c r="EV191" s="803">
        <f t="shared" si="591"/>
        <v>20448.529520477274</v>
      </c>
      <c r="EW191" s="803">
        <f t="shared" si="591"/>
        <v>20354.285072525221</v>
      </c>
      <c r="EX191" s="858">
        <f>+EW191</f>
        <v>20354.285072525221</v>
      </c>
      <c r="EY191" s="803">
        <f t="shared" ref="EY191:FB191" si="592">+EY180</f>
        <v>20406.185722819278</v>
      </c>
      <c r="EZ191" s="803">
        <f t="shared" si="592"/>
        <v>21789.009171742127</v>
      </c>
      <c r="FA191" s="803">
        <f t="shared" si="592"/>
        <v>21796.667301154113</v>
      </c>
      <c r="FB191" s="803">
        <f t="shared" si="592"/>
        <v>21770.590793150834</v>
      </c>
      <c r="FC191" s="858">
        <f>+FB191</f>
        <v>21770.590793150834</v>
      </c>
      <c r="FD191" s="803">
        <f t="shared" ref="FD191:FM191" si="593">+FD180</f>
        <v>21914.502680567886</v>
      </c>
      <c r="FE191" s="803">
        <f t="shared" si="593"/>
        <v>22633.207037299042</v>
      </c>
      <c r="FF191" s="803">
        <f t="shared" si="593"/>
        <v>22744.416157996013</v>
      </c>
      <c r="FG191" s="803">
        <f t="shared" si="593"/>
        <v>22792.855092400092</v>
      </c>
      <c r="FH191" s="858">
        <f>+FG191</f>
        <v>22792.855092400092</v>
      </c>
      <c r="FI191" s="803">
        <f t="shared" si="593"/>
        <v>23154.810118743608</v>
      </c>
      <c r="FJ191" s="803">
        <f t="shared" si="593"/>
        <v>23620.359569509401</v>
      </c>
      <c r="FK191" s="803">
        <f t="shared" si="593"/>
        <v>23605.601594256048</v>
      </c>
      <c r="FL191" s="803">
        <f t="shared" si="593"/>
        <v>23677.37279785307</v>
      </c>
      <c r="FM191" s="803">
        <f t="shared" si="593"/>
        <v>23718.02728683345</v>
      </c>
    </row>
    <row r="192" spans="1:170" x14ac:dyDescent="0.3">
      <c r="A192" s="163" t="s">
        <v>146</v>
      </c>
      <c r="DU192" s="162" t="str">
        <f>+IF(DU191=DU180,"ok",DU191-DU180)</f>
        <v>ok</v>
      </c>
      <c r="DV192" s="162" t="str">
        <f>+IF(DV191=DV180,"ok",DV191-DV180)</f>
        <v>ok</v>
      </c>
      <c r="DW192" s="162" t="str">
        <f>+IF(DW191=DW180,"ok",DW191-DW180)</f>
        <v>ok</v>
      </c>
      <c r="DX192" s="162" t="str">
        <f>+IF(DX191=DX180,"ok",DX191-DX180)</f>
        <v>ok</v>
      </c>
      <c r="DY192" s="1211" t="str">
        <f t="shared" ref="DY192:ED192" si="594">+IF(DY191=DY180,"ok",DY191-DY180)</f>
        <v>ok</v>
      </c>
      <c r="DZ192" s="162" t="str">
        <f t="shared" si="594"/>
        <v>ok</v>
      </c>
      <c r="EA192" s="162" t="str">
        <f t="shared" si="594"/>
        <v>ok</v>
      </c>
      <c r="EB192" s="162" t="str">
        <f>+IF(EB191=EB180,"ok",EB191-EB180)</f>
        <v>ok</v>
      </c>
      <c r="EC192" s="162" t="str">
        <f>+IF(EC191=EC180,"ok",EC191-EC180)</f>
        <v>ok</v>
      </c>
      <c r="ED192" s="1211" t="str">
        <f t="shared" si="594"/>
        <v>ok</v>
      </c>
      <c r="EE192" s="162" t="str">
        <f>+IF(EE191=EE180,"ok",EE191-EE180)</f>
        <v>ok</v>
      </c>
      <c r="EF192" s="162" t="str">
        <f>+IF(EF191=EF180,"ok",EF191-EF180)</f>
        <v>ok</v>
      </c>
      <c r="EG192" s="162" t="str">
        <f>+IF(EG191=EG180,"ok",EG191-EG180)</f>
        <v>ok</v>
      </c>
      <c r="EH192" s="162" t="str">
        <f>+IF(EH191=EH180,"ok",EH191-EH180)</f>
        <v>ok</v>
      </c>
      <c r="EI192" s="1211" t="str">
        <f t="shared" ref="EI192:ER192" si="595">+IF(EI191=EI180,"ok",EI191-EI180)</f>
        <v>ok</v>
      </c>
      <c r="EJ192" s="162" t="str">
        <f t="shared" si="595"/>
        <v>ok</v>
      </c>
      <c r="EK192" s="162" t="str">
        <f t="shared" si="595"/>
        <v>ok</v>
      </c>
      <c r="EL192" s="162" t="str">
        <f t="shared" si="595"/>
        <v>ok</v>
      </c>
      <c r="EM192" s="162" t="str">
        <f t="shared" si="595"/>
        <v>ok</v>
      </c>
      <c r="EN192" s="1211" t="str">
        <f t="shared" si="595"/>
        <v>ok</v>
      </c>
      <c r="EO192" s="162" t="str">
        <f t="shared" si="595"/>
        <v>ok</v>
      </c>
      <c r="EP192" s="162" t="str">
        <f t="shared" si="595"/>
        <v>ok</v>
      </c>
      <c r="EQ192" s="162" t="str">
        <f t="shared" si="595"/>
        <v>ok</v>
      </c>
      <c r="ER192" s="162" t="str">
        <f t="shared" si="595"/>
        <v>ok</v>
      </c>
      <c r="ES192" s="1211" t="str">
        <f>+IF(ES191=ES180,"ok",ES191-ES180)</f>
        <v>ok</v>
      </c>
      <c r="ET192" s="162" t="str">
        <f t="shared" ref="ET192:EW192" si="596">+IF(ET191=ET180,"ok",ET191-ET180)</f>
        <v>ok</v>
      </c>
      <c r="EU192" s="162" t="str">
        <f t="shared" si="596"/>
        <v>ok</v>
      </c>
      <c r="EV192" s="162" t="str">
        <f t="shared" si="596"/>
        <v>ok</v>
      </c>
      <c r="EW192" s="162" t="str">
        <f t="shared" si="596"/>
        <v>ok</v>
      </c>
      <c r="EX192" s="1211" t="str">
        <f>+IF(EX191=EX180,"ok",EX191-EX180)</f>
        <v>ok</v>
      </c>
      <c r="EY192" s="162" t="str">
        <f t="shared" ref="EY192:FB192" si="597">+IF(EY191=EY180,"ok",EY191-EY180)</f>
        <v>ok</v>
      </c>
      <c r="EZ192" s="162" t="str">
        <f t="shared" si="597"/>
        <v>ok</v>
      </c>
      <c r="FA192" s="162" t="str">
        <f t="shared" si="597"/>
        <v>ok</v>
      </c>
      <c r="FB192" s="162" t="str">
        <f t="shared" si="597"/>
        <v>ok</v>
      </c>
      <c r="FC192" s="1211" t="str">
        <f>+IF(FC191=FC180,"ok",FC191-FC180)</f>
        <v>ok</v>
      </c>
      <c r="FD192" s="162" t="str">
        <f t="shared" ref="FD192:FL192" si="598">+IF(FD191=FD180,"ok",FD191-FD180)</f>
        <v>ok</v>
      </c>
      <c r="FE192" s="162" t="str">
        <f t="shared" si="598"/>
        <v>ok</v>
      </c>
      <c r="FF192" s="162" t="str">
        <f t="shared" si="598"/>
        <v>ok</v>
      </c>
      <c r="FG192" s="162" t="str">
        <f t="shared" si="598"/>
        <v>ok</v>
      </c>
      <c r="FH192" s="1211" t="str">
        <f>+IF(FH191=FH180,"ok",FH191-FH180)</f>
        <v>ok</v>
      </c>
      <c r="FI192" s="162" t="str">
        <f t="shared" si="598"/>
        <v>ok</v>
      </c>
      <c r="FJ192" s="162" t="str">
        <f t="shared" si="598"/>
        <v>ok</v>
      </c>
      <c r="FK192" s="162" t="str">
        <f t="shared" si="598"/>
        <v>ok</v>
      </c>
      <c r="FL192" s="162" t="str">
        <f t="shared" si="598"/>
        <v>ok</v>
      </c>
      <c r="FM192" s="162" t="str">
        <f>+IF(FM191=FM180,"ok",FM191-FM180)</f>
        <v>ok</v>
      </c>
    </row>
    <row r="193" spans="1:169" x14ac:dyDescent="0.3">
      <c r="ET193" s="90"/>
      <c r="EU193" s="90"/>
      <c r="EV193" s="90"/>
      <c r="EW193" s="90"/>
      <c r="EY193" s="90"/>
      <c r="EZ193" s="90"/>
      <c r="FA193" s="90"/>
      <c r="FB193" s="90"/>
      <c r="FD193" s="90"/>
      <c r="FE193" s="90"/>
      <c r="FF193" s="90"/>
      <c r="FG193" s="90"/>
    </row>
    <row r="194" spans="1:169" x14ac:dyDescent="0.3">
      <c r="A194" s="54" t="s">
        <v>147</v>
      </c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4"/>
      <c r="CO194" s="54"/>
      <c r="CP194" s="54"/>
      <c r="CQ194" s="54"/>
      <c r="CR194" s="54"/>
      <c r="CS194" s="54"/>
      <c r="CT194" s="54"/>
      <c r="CU194" s="54"/>
      <c r="CV194" s="54"/>
      <c r="CW194" s="54"/>
      <c r="CX194" s="54"/>
      <c r="CY194" s="54"/>
      <c r="CZ194" s="54"/>
      <c r="DA194" s="54"/>
      <c r="DB194" s="54"/>
      <c r="DC194" s="54"/>
      <c r="DD194" s="54"/>
      <c r="DE194" s="54"/>
      <c r="DF194" s="54"/>
      <c r="DG194" s="54"/>
      <c r="DH194" s="54"/>
      <c r="DI194" s="54"/>
      <c r="DJ194" s="54"/>
      <c r="DK194" s="54"/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  <c r="EJ194" s="54"/>
      <c r="EK194" s="54"/>
      <c r="EL194" s="54"/>
      <c r="EM194" s="54"/>
      <c r="EN194" s="54"/>
      <c r="EO194" s="54"/>
      <c r="EP194" s="54"/>
      <c r="EQ194" s="54"/>
      <c r="ER194" s="54"/>
      <c r="ES194" s="54"/>
      <c r="ET194" s="54"/>
      <c r="EU194" s="54"/>
      <c r="EV194" s="54"/>
      <c r="EW194" s="54"/>
      <c r="EX194" s="54"/>
      <c r="EY194" s="54"/>
      <c r="EZ194" s="54"/>
      <c r="FA194" s="54"/>
      <c r="FB194" s="54"/>
      <c r="FC194" s="54"/>
      <c r="FD194" s="54"/>
      <c r="FE194" s="54"/>
      <c r="FF194" s="54"/>
      <c r="FG194" s="54"/>
      <c r="FH194" s="54"/>
      <c r="FI194" s="54"/>
      <c r="FJ194" s="54"/>
      <c r="FK194" s="54"/>
      <c r="FL194" s="54"/>
      <c r="FM194" s="54"/>
    </row>
    <row r="195" spans="1:169" x14ac:dyDescent="0.3">
      <c r="A195" s="1790" t="s">
        <v>148</v>
      </c>
      <c r="DU195" s="76"/>
      <c r="DV195" s="76"/>
      <c r="DW195" s="76"/>
      <c r="ET195" s="90"/>
      <c r="EU195" s="90"/>
      <c r="EV195" s="90"/>
      <c r="EW195" s="90"/>
      <c r="EY195" s="90"/>
      <c r="EZ195" s="90"/>
      <c r="FA195" s="90"/>
      <c r="FB195" s="90"/>
      <c r="FD195" s="90"/>
      <c r="FE195" s="90"/>
      <c r="FF195" s="90"/>
      <c r="FG195" s="90"/>
      <c r="FL195" s="76"/>
      <c r="FM195" s="76"/>
    </row>
    <row r="196" spans="1:169" x14ac:dyDescent="0.3">
      <c r="A196" s="170" t="s">
        <v>149</v>
      </c>
      <c r="DU196" s="179">
        <f>+Inputs!DU277</f>
        <v>16919</v>
      </c>
      <c r="DV196" s="179">
        <f>+Inputs!DV277</f>
        <v>16797</v>
      </c>
      <c r="DW196" s="179">
        <f>+Inputs!DW277</f>
        <v>17299</v>
      </c>
      <c r="DX196" s="76">
        <f>+DX189+DX182</f>
        <v>17302</v>
      </c>
      <c r="DY196" s="85">
        <f>+DX196</f>
        <v>17302</v>
      </c>
      <c r="DZ196" s="79">
        <f>+Inputs!DZ277</f>
        <v>17306</v>
      </c>
      <c r="EA196" s="79">
        <f>+Inputs!EA277</f>
        <v>17511</v>
      </c>
      <c r="EB196" s="79">
        <f>+Inputs!EB277</f>
        <v>16778.261264756416</v>
      </c>
      <c r="EC196" s="79">
        <f>+Inputs!EC277</f>
        <v>16834.551127861221</v>
      </c>
      <c r="ED196" s="85">
        <f>+EC196</f>
        <v>16834.551127861221</v>
      </c>
      <c r="EE196" s="79">
        <f>+Inputs!EE277</f>
        <v>16840.374217147924</v>
      </c>
      <c r="EF196" s="79">
        <f>+Inputs!EF277</f>
        <v>7022</v>
      </c>
      <c r="EG196" s="79">
        <f>+Inputs!EG277</f>
        <v>7011</v>
      </c>
      <c r="EH196" s="79">
        <f>+Inputs!EH277</f>
        <v>7983</v>
      </c>
      <c r="EI196" s="85">
        <f>+EH196</f>
        <v>7983</v>
      </c>
      <c r="EJ196" s="79">
        <f>+Inputs!EJ277</f>
        <v>7983.0000000000009</v>
      </c>
      <c r="EK196" s="79">
        <f>+Inputs!EK277</f>
        <v>9145</v>
      </c>
      <c r="EL196" s="79">
        <f>+Inputs!EL277</f>
        <v>9135</v>
      </c>
      <c r="EM196" s="79">
        <f>+Inputs!EM277</f>
        <v>9125</v>
      </c>
      <c r="EN196" s="85">
        <f>+EM196</f>
        <v>9125</v>
      </c>
      <c r="EO196" s="79">
        <f>+Inputs!EO277</f>
        <v>9854</v>
      </c>
      <c r="EP196" s="79">
        <f>+Inputs!EP277</f>
        <v>9844</v>
      </c>
      <c r="EQ196" s="79">
        <f>+Inputs!EQ277</f>
        <v>11273</v>
      </c>
      <c r="ER196" s="79">
        <f>+Inputs!ER277</f>
        <v>11261</v>
      </c>
      <c r="ES196" s="85">
        <f>+EN196+SUM(ES188:ES189,ES182)-SUM(EN188:EN189,EN182)</f>
        <v>11261</v>
      </c>
      <c r="ET196" s="76">
        <f t="shared" ref="ET196:EW196" si="599">+ES196+SUM(ET188:ET189,ET182)-SUM(ES188:ES189,ES182)</f>
        <v>11261</v>
      </c>
      <c r="EU196" s="76">
        <f t="shared" si="599"/>
        <v>11261</v>
      </c>
      <c r="EV196" s="76">
        <f t="shared" si="599"/>
        <v>11261</v>
      </c>
      <c r="EW196" s="76">
        <f t="shared" si="599"/>
        <v>11261</v>
      </c>
      <c r="EX196" s="85">
        <f>+ES196+SUM(EX188:EX189,EX182)-SUM(ES188:ES189,ES182)</f>
        <v>11261</v>
      </c>
      <c r="EY196" s="76">
        <f t="shared" ref="EY196" si="600">+EX196+SUM(EY188:EY189,EY182)-SUM(EX188:EX189,EX182)</f>
        <v>11261</v>
      </c>
      <c r="EZ196" s="76">
        <f t="shared" ref="EZ196" si="601">+EY196+SUM(EZ188:EZ189,EZ182)-SUM(EY188:EY189,EY182)</f>
        <v>12761</v>
      </c>
      <c r="FA196" s="76">
        <f t="shared" ref="FA196" si="602">+EZ196+SUM(FA188:FA189,FA182)-SUM(EZ188:EZ189,EZ182)</f>
        <v>12761</v>
      </c>
      <c r="FB196" s="76">
        <f t="shared" ref="FB196" si="603">+FA196+SUM(FB188:FB189,FB182)-SUM(FA188:FA189,FA182)</f>
        <v>12761</v>
      </c>
      <c r="FC196" s="76">
        <f>+EX196+SUM(FC188:FC189,FC182)-SUM(EX188:EX189,EX182)</f>
        <v>12761</v>
      </c>
      <c r="FD196" s="76">
        <f t="shared" ref="FD196" si="604">+FC196+SUM(FD188:FD189,FD182)-SUM(FC188:FC189,FC182)</f>
        <v>12761</v>
      </c>
      <c r="FE196" s="76">
        <f t="shared" ref="FE196" si="605">+FD196+SUM(FE188:FE189,FE182)-SUM(FD188:FD189,FD182)</f>
        <v>13511</v>
      </c>
      <c r="FF196" s="76">
        <f t="shared" ref="FF196" si="606">+FE196+SUM(FF188:FF189,FF182)-SUM(FE188:FE189,FE182)</f>
        <v>13511</v>
      </c>
      <c r="FG196" s="76">
        <f t="shared" ref="FG196" si="607">+FF196+SUM(FG188:FG189,FG182)-SUM(FF188:FF189,FF182)</f>
        <v>13511</v>
      </c>
      <c r="FH196" s="76">
        <f>+FC196+SUM(FH188:FH189,FH182)-SUM(FC188:FC189,FC182)</f>
        <v>13511</v>
      </c>
      <c r="FI196" s="76">
        <f t="shared" ref="FI196:FJ196" si="608">+FH196+SUM(FI188:FI189,FI182)-SUM(FH188:FH189,FH182)</f>
        <v>13271</v>
      </c>
      <c r="FJ196" s="76">
        <f t="shared" si="608"/>
        <v>12821</v>
      </c>
      <c r="FK196" s="76">
        <f>+FK198+FK197</f>
        <v>13638.428457970598</v>
      </c>
      <c r="FL196" s="76">
        <f>+FL198+FL197</f>
        <v>14563.643941609722</v>
      </c>
      <c r="FM196" s="76">
        <f>+FM198+FM197</f>
        <v>15420.618688330851</v>
      </c>
    </row>
    <row r="197" spans="1:169" ht="12" customHeight="1" x14ac:dyDescent="0.3">
      <c r="A197" s="171" t="s">
        <v>150</v>
      </c>
      <c r="DU197" s="76">
        <f>+DU171</f>
        <v>119</v>
      </c>
      <c r="DV197" s="76">
        <f>+DV171</f>
        <v>267</v>
      </c>
      <c r="DW197" s="76">
        <f>+DW171</f>
        <v>683</v>
      </c>
      <c r="DX197" s="76">
        <f>+DX171</f>
        <v>760</v>
      </c>
      <c r="DY197" s="85">
        <f>+DX197</f>
        <v>760</v>
      </c>
      <c r="DZ197" s="76">
        <f>+DZ171</f>
        <v>941</v>
      </c>
      <c r="EA197" s="76">
        <f>+EA171</f>
        <v>2290</v>
      </c>
      <c r="EB197" s="76">
        <f>+EB171</f>
        <v>1767</v>
      </c>
      <c r="EC197" s="76">
        <f>+EC171</f>
        <v>1829</v>
      </c>
      <c r="ED197" s="85">
        <f>+EC197</f>
        <v>1829</v>
      </c>
      <c r="EE197" s="76">
        <f>+EE171</f>
        <v>2107</v>
      </c>
      <c r="EF197" s="76">
        <f>+EF171</f>
        <v>993</v>
      </c>
      <c r="EG197" s="76">
        <f>+EG171</f>
        <v>1211</v>
      </c>
      <c r="EH197" s="76">
        <f>+EH171</f>
        <v>2127</v>
      </c>
      <c r="EI197" s="85">
        <f>+EH197</f>
        <v>2127</v>
      </c>
      <c r="EJ197" s="76">
        <f>+EJ171+EJ172</f>
        <v>2200</v>
      </c>
      <c r="EK197" s="76">
        <f>+EK171+EK172</f>
        <v>2978</v>
      </c>
      <c r="EL197" s="76">
        <f t="shared" ref="EL197:ER197" si="609">+EL171+EL172</f>
        <v>2555</v>
      </c>
      <c r="EM197" s="76">
        <f t="shared" si="609"/>
        <v>2072</v>
      </c>
      <c r="EN197" s="85">
        <f>+EM197</f>
        <v>2072</v>
      </c>
      <c r="EO197" s="76">
        <f t="shared" si="609"/>
        <v>2032</v>
      </c>
      <c r="EP197" s="76">
        <f t="shared" si="609"/>
        <v>1237</v>
      </c>
      <c r="EQ197" s="76">
        <f t="shared" si="609"/>
        <v>2223</v>
      </c>
      <c r="ER197" s="76">
        <f t="shared" si="609"/>
        <v>2200</v>
      </c>
      <c r="ES197" s="85">
        <f>ER197</f>
        <v>2200</v>
      </c>
      <c r="ET197" s="76">
        <f t="shared" ref="ET197:FJ197" si="610">+ET171+ET172</f>
        <v>1529.8205572002896</v>
      </c>
      <c r="EU197" s="76">
        <f t="shared" si="610"/>
        <v>809.80524004670849</v>
      </c>
      <c r="EV197" s="76">
        <f t="shared" si="610"/>
        <v>559.49072769775694</v>
      </c>
      <c r="EW197" s="76">
        <f t="shared" si="610"/>
        <v>354.85343619420422</v>
      </c>
      <c r="EX197" s="85">
        <f t="shared" si="610"/>
        <v>354.85343619420422</v>
      </c>
      <c r="EY197" s="76">
        <f t="shared" ref="EY197:FB197" si="611">+EY171+EY172</f>
        <v>-100.3885987797434</v>
      </c>
      <c r="EZ197" s="76">
        <f t="shared" si="611"/>
        <v>808.69293189675591</v>
      </c>
      <c r="FA197" s="76">
        <f t="shared" si="611"/>
        <v>564.72479259265867</v>
      </c>
      <c r="FB197" s="76">
        <f t="shared" si="611"/>
        <v>664.57884292069753</v>
      </c>
      <c r="FC197" s="76">
        <f t="shared" si="610"/>
        <v>664.57884292069753</v>
      </c>
      <c r="FD197" s="76">
        <f t="shared" ref="FD197:FG197" si="612">+FD171+FD172</f>
        <v>435.26638869349756</v>
      </c>
      <c r="FE197" s="76">
        <f t="shared" si="612"/>
        <v>825.89523467981689</v>
      </c>
      <c r="FF197" s="76">
        <f t="shared" si="612"/>
        <v>771.19356992472819</v>
      </c>
      <c r="FG197" s="76">
        <f t="shared" si="612"/>
        <v>774.69882277876991</v>
      </c>
      <c r="FH197" s="76">
        <f t="shared" si="610"/>
        <v>774.69882277876991</v>
      </c>
      <c r="FI197" s="76">
        <f t="shared" si="610"/>
        <v>1011.5860832148412</v>
      </c>
      <c r="FJ197" s="76">
        <f t="shared" si="610"/>
        <v>1353.7451426961022</v>
      </c>
      <c r="FK197" s="76">
        <f>FJ197</f>
        <v>1353.7451426961022</v>
      </c>
      <c r="FL197" s="76">
        <f t="shared" ref="FL197:FM197" si="613">FK197</f>
        <v>1353.7451426961022</v>
      </c>
      <c r="FM197" s="76">
        <f t="shared" si="613"/>
        <v>1353.7451426961022</v>
      </c>
    </row>
    <row r="198" spans="1:169" x14ac:dyDescent="0.3">
      <c r="A198" s="172" t="s">
        <v>151</v>
      </c>
      <c r="DU198" s="803">
        <f>+DU196-DU197</f>
        <v>16800</v>
      </c>
      <c r="DV198" s="803">
        <f>+DV196-DV197</f>
        <v>16530</v>
      </c>
      <c r="DW198" s="803">
        <f>+DW196-DW197</f>
        <v>16616</v>
      </c>
      <c r="DX198" s="803">
        <f>+DX196-DX197</f>
        <v>16542</v>
      </c>
      <c r="DY198" s="803">
        <f>+DX198</f>
        <v>16542</v>
      </c>
      <c r="DZ198" s="803">
        <f>+DZ196-DZ197</f>
        <v>16365</v>
      </c>
      <c r="EA198" s="803">
        <f>+EA196-EA197</f>
        <v>15221</v>
      </c>
      <c r="EB198" s="803">
        <f>+EB196-EB197</f>
        <v>15011.261264756416</v>
      </c>
      <c r="EC198" s="803">
        <f>+EC196-EC197</f>
        <v>15005.551127861221</v>
      </c>
      <c r="ED198" s="803">
        <f>+EC198</f>
        <v>15005.551127861221</v>
      </c>
      <c r="EE198" s="803">
        <f>+EE196-EE197</f>
        <v>14733.374217147924</v>
      </c>
      <c r="EF198" s="803">
        <f>+EF196-EF197</f>
        <v>6029</v>
      </c>
      <c r="EG198" s="803">
        <f>+EG196-EG197</f>
        <v>5800</v>
      </c>
      <c r="EH198" s="803">
        <f>+EH196-EH197</f>
        <v>5856</v>
      </c>
      <c r="EI198" s="803">
        <f>+EH198</f>
        <v>5856</v>
      </c>
      <c r="EJ198" s="803">
        <f>+EJ196-EJ197</f>
        <v>5783.0000000000009</v>
      </c>
      <c r="EK198" s="803">
        <f>+EK196-EK197</f>
        <v>6167</v>
      </c>
      <c r="EL198" s="803">
        <f>+EL196-EL197</f>
        <v>6580</v>
      </c>
      <c r="EM198" s="803">
        <f>+EM196-EM197</f>
        <v>7053</v>
      </c>
      <c r="EN198" s="803">
        <f>+EM198</f>
        <v>7053</v>
      </c>
      <c r="EO198" s="803">
        <f>+EO196-EO197</f>
        <v>7822</v>
      </c>
      <c r="EP198" s="803">
        <f>+EP196-EP197</f>
        <v>8607</v>
      </c>
      <c r="EQ198" s="803">
        <f>+EQ196-EQ197</f>
        <v>9050</v>
      </c>
      <c r="ER198" s="803">
        <f>+ER196-ER197</f>
        <v>9061</v>
      </c>
      <c r="ES198" s="803">
        <f t="shared" ref="ES198:FJ198" si="614">+ES196-ES197</f>
        <v>9061</v>
      </c>
      <c r="ET198" s="803">
        <f t="shared" si="614"/>
        <v>9731.1794427997102</v>
      </c>
      <c r="EU198" s="803">
        <f t="shared" si="614"/>
        <v>10451.194759953292</v>
      </c>
      <c r="EV198" s="803">
        <f t="shared" si="614"/>
        <v>10701.509272302243</v>
      </c>
      <c r="EW198" s="803">
        <f t="shared" si="614"/>
        <v>10906.146563805796</v>
      </c>
      <c r="EX198" s="803">
        <f t="shared" si="614"/>
        <v>10906.146563805796</v>
      </c>
      <c r="EY198" s="803">
        <f t="shared" ref="EY198:FB198" si="615">+EY196-EY197</f>
        <v>11361.388598779744</v>
      </c>
      <c r="EZ198" s="803">
        <f t="shared" si="615"/>
        <v>11952.307068103244</v>
      </c>
      <c r="FA198" s="803">
        <f t="shared" si="615"/>
        <v>12196.275207407341</v>
      </c>
      <c r="FB198" s="803">
        <f t="shared" si="615"/>
        <v>12096.421157079303</v>
      </c>
      <c r="FC198" s="803">
        <f t="shared" si="614"/>
        <v>12096.421157079303</v>
      </c>
      <c r="FD198" s="803">
        <f t="shared" ref="FD198:FG198" si="616">+FD196-FD197</f>
        <v>12325.733611306503</v>
      </c>
      <c r="FE198" s="803">
        <f t="shared" si="616"/>
        <v>12685.104765320182</v>
      </c>
      <c r="FF198" s="803">
        <f t="shared" si="616"/>
        <v>12739.806430075272</v>
      </c>
      <c r="FG198" s="803">
        <f t="shared" si="616"/>
        <v>12736.30117722123</v>
      </c>
      <c r="FH198" s="803">
        <f t="shared" si="614"/>
        <v>12736.30117722123</v>
      </c>
      <c r="FI198" s="803">
        <f t="shared" si="614"/>
        <v>12259.413916785159</v>
      </c>
      <c r="FJ198" s="803">
        <f t="shared" si="614"/>
        <v>11467.254857303898</v>
      </c>
      <c r="FK198" s="803">
        <f>+FK200*FK199</f>
        <v>12284.683315274497</v>
      </c>
      <c r="FL198" s="803">
        <f>+FL200*FL199</f>
        <v>13209.89879891362</v>
      </c>
      <c r="FM198" s="803">
        <f>+FM200*FM199</f>
        <v>14066.873545634749</v>
      </c>
    </row>
    <row r="199" spans="1:169" x14ac:dyDescent="0.3">
      <c r="A199" s="173" t="s">
        <v>152</v>
      </c>
      <c r="DU199" s="76">
        <f>+DU61*4</f>
        <v>3492</v>
      </c>
      <c r="DV199" s="76">
        <f>+SUM(DU48:DV48)*2</f>
        <v>3104</v>
      </c>
      <c r="DW199" s="76">
        <f>+SUM(DU48:DW48)/0.75</f>
        <v>3009.3333333333335</v>
      </c>
      <c r="DX199" s="76">
        <f>+SUM(DU48:DX48)</f>
        <v>2930</v>
      </c>
      <c r="DY199" s="85">
        <f>+DX199</f>
        <v>2930</v>
      </c>
      <c r="DZ199" s="76">
        <f>+SUM(DZ48,DV48:DX48)</f>
        <v>2846</v>
      </c>
      <c r="EA199" s="76">
        <f>+SUM(DZ48:EA48,DW48:DX48)</f>
        <v>2768</v>
      </c>
      <c r="EB199" s="76">
        <f>+SUM(DZ48:EB48,DX48)</f>
        <v>2754</v>
      </c>
      <c r="EC199" s="76">
        <f>+SUM(DZ48:EC48)</f>
        <v>2775</v>
      </c>
      <c r="ED199" s="85">
        <f>+EC199</f>
        <v>2775</v>
      </c>
      <c r="EE199" s="76">
        <f>+SUM(EE48,EA48:EC48)</f>
        <v>2757</v>
      </c>
      <c r="EF199" s="76">
        <f>+SUM(EE48:EF48,EB48:EC48)</f>
        <v>2688</v>
      </c>
      <c r="EG199" s="76">
        <f>+SUM(EE48:EG48,EC48)</f>
        <v>2584</v>
      </c>
      <c r="EH199" s="76">
        <f>+SUM(EE48:EH48)</f>
        <v>2475</v>
      </c>
      <c r="EI199" s="85">
        <f>+EH199</f>
        <v>2475</v>
      </c>
      <c r="EJ199" s="76">
        <f>+SUM(EJ48,EF48:EH48)</f>
        <v>2315</v>
      </c>
      <c r="EK199" s="76">
        <f>+SUM(EJ48:EK48,EG48:EH48)</f>
        <v>2216</v>
      </c>
      <c r="EL199" s="76">
        <f>+SUM(EJ48:EL48,EH48)</f>
        <v>2137</v>
      </c>
      <c r="EM199" s="76">
        <f>+SUM(EJ48:EM48)</f>
        <v>2080</v>
      </c>
      <c r="EN199" s="85">
        <f>+EM199</f>
        <v>2080</v>
      </c>
      <c r="EO199" s="76">
        <f>+SUM(EO48,EK48:EM48)</f>
        <v>2090</v>
      </c>
      <c r="EP199" s="76">
        <f>+SUM(EO48:EP48,EL48:EM48)</f>
        <v>2088</v>
      </c>
      <c r="EQ199" s="76">
        <f>+SUM(EO48:EQ48,EM48)</f>
        <v>2106</v>
      </c>
      <c r="ER199" s="76">
        <f>+SUM(EO48:ER48)</f>
        <v>2127</v>
      </c>
      <c r="ES199" s="76">
        <f t="shared" ref="ES199:FM199" si="617">+ES48</f>
        <v>2127</v>
      </c>
      <c r="ET199" s="76">
        <f t="shared" ref="ET199:EW199" si="618">+SUM(EQ48:ET48)</f>
        <v>3745.9928356849459</v>
      </c>
      <c r="EU199" s="76">
        <f t="shared" si="618"/>
        <v>3780.3808217414307</v>
      </c>
      <c r="EV199" s="76">
        <f t="shared" si="618"/>
        <v>3787.7554197184763</v>
      </c>
      <c r="EW199" s="76">
        <f t="shared" si="618"/>
        <v>2245.7673933345613</v>
      </c>
      <c r="EX199" s="76">
        <f t="shared" ref="EX199" si="619">+EX48</f>
        <v>2245.7673933345618</v>
      </c>
      <c r="EY199" s="76">
        <f t="shared" ref="EY199" si="620">+SUM(EV48:EY48)</f>
        <v>3965.0396792799265</v>
      </c>
      <c r="EZ199" s="76">
        <f t="shared" ref="EZ199" si="621">+SUM(EW48:EZ48)</f>
        <v>4013.7599727794259</v>
      </c>
      <c r="FA199" s="76">
        <f t="shared" ref="FA199" si="622">+SUM(EX48:FA48)</f>
        <v>4033.012182283253</v>
      </c>
      <c r="FB199" s="76">
        <f t="shared" ref="FB199" si="623">+SUM(EY48:FB48)</f>
        <v>2429.2298047421641</v>
      </c>
      <c r="FC199" s="76">
        <f t="shared" si="617"/>
        <v>2429.2298047421641</v>
      </c>
      <c r="FD199" s="76">
        <f t="shared" ref="FD199" si="624">+SUM(FA48:FD48)</f>
        <v>4303.365147668721</v>
      </c>
      <c r="FE199" s="76">
        <f t="shared" ref="FE199" si="625">+SUM(FB48:FE48)</f>
        <v>4362.6532145200854</v>
      </c>
      <c r="FF199" s="76">
        <f t="shared" ref="FF199" si="626">+SUM(FC48:FF48)</f>
        <v>4386.3444097376505</v>
      </c>
      <c r="FG199" s="76">
        <f t="shared" ref="FG199" si="627">+SUM(FD48:FG48)</f>
        <v>2665.7360215313261</v>
      </c>
      <c r="FH199" s="76">
        <f t="shared" si="617"/>
        <v>2665.7360215313256</v>
      </c>
      <c r="FI199" s="76">
        <f t="shared" si="617"/>
        <v>2946.9743288250111</v>
      </c>
      <c r="FJ199" s="76">
        <f t="shared" si="617"/>
        <v>3230.7559482034267</v>
      </c>
      <c r="FK199" s="76">
        <f t="shared" si="617"/>
        <v>3509.9095186498562</v>
      </c>
      <c r="FL199" s="76">
        <f t="shared" si="617"/>
        <v>3774.2567996896059</v>
      </c>
      <c r="FM199" s="76">
        <f t="shared" si="617"/>
        <v>4019.1067273242143</v>
      </c>
    </row>
    <row r="200" spans="1:169" ht="12.5" thickBot="1" x14ac:dyDescent="0.35">
      <c r="A200" s="174" t="s">
        <v>153</v>
      </c>
      <c r="DU200" s="706">
        <f>+DU198/DU199</f>
        <v>4.8109965635738829</v>
      </c>
      <c r="DV200" s="706">
        <f>+DV198/DV199</f>
        <v>5.3253865979381443</v>
      </c>
      <c r="DW200" s="706">
        <f>+DW198/DW199</f>
        <v>5.5214887018165708</v>
      </c>
      <c r="DX200" s="706">
        <f>+DX198/DX199</f>
        <v>5.645733788395904</v>
      </c>
      <c r="DY200" s="706">
        <f t="shared" ref="DY200:ED200" si="628">+DY198/DY199</f>
        <v>5.645733788395904</v>
      </c>
      <c r="DZ200" s="706">
        <f t="shared" si="628"/>
        <v>5.750175685172171</v>
      </c>
      <c r="EA200" s="706">
        <f t="shared" si="628"/>
        <v>5.4989161849710984</v>
      </c>
      <c r="EB200" s="706">
        <f t="shared" si="628"/>
        <v>5.4507121513276751</v>
      </c>
      <c r="EC200" s="706">
        <f t="shared" si="628"/>
        <v>5.4074058118418815</v>
      </c>
      <c r="ED200" s="706">
        <f t="shared" si="628"/>
        <v>5.4074058118418815</v>
      </c>
      <c r="EE200" s="706">
        <f>+EE198/EE199</f>
        <v>5.3439877465172012</v>
      </c>
      <c r="EF200" s="706">
        <f>+EF198/EF199</f>
        <v>2.2429315476190474</v>
      </c>
      <c r="EG200" s="706">
        <f t="shared" ref="EG200:FJ200" si="629">+EG198/EG199</f>
        <v>2.2445820433436534</v>
      </c>
      <c r="EH200" s="706">
        <f t="shared" si="629"/>
        <v>2.3660606060606062</v>
      </c>
      <c r="EI200" s="706">
        <f t="shared" si="629"/>
        <v>2.3660606060606062</v>
      </c>
      <c r="EJ200" s="706">
        <f t="shared" si="629"/>
        <v>2.4980561555075598</v>
      </c>
      <c r="EK200" s="706">
        <f t="shared" si="629"/>
        <v>2.782942238267148</v>
      </c>
      <c r="EL200" s="706">
        <f t="shared" si="629"/>
        <v>3.0790828263921384</v>
      </c>
      <c r="EM200" s="706">
        <f t="shared" si="629"/>
        <v>3.3908653846153847</v>
      </c>
      <c r="EN200" s="706">
        <f t="shared" si="629"/>
        <v>3.3908653846153847</v>
      </c>
      <c r="EO200" s="706">
        <f t="shared" si="629"/>
        <v>3.7425837320574162</v>
      </c>
      <c r="EP200" s="706">
        <f t="shared" si="629"/>
        <v>4.1221264367816088</v>
      </c>
      <c r="EQ200" s="706">
        <f t="shared" si="629"/>
        <v>4.2972459639126308</v>
      </c>
      <c r="ER200" s="706">
        <f t="shared" si="629"/>
        <v>4.2599905970850962</v>
      </c>
      <c r="ES200" s="706">
        <f t="shared" si="629"/>
        <v>4.2599905970850962</v>
      </c>
      <c r="ET200" s="706">
        <f t="shared" si="629"/>
        <v>2.5977570886145025</v>
      </c>
      <c r="EU200" s="706">
        <f t="shared" si="629"/>
        <v>2.7645878160864634</v>
      </c>
      <c r="EV200" s="706">
        <f t="shared" si="629"/>
        <v>2.8252904653219737</v>
      </c>
      <c r="EW200" s="706">
        <f t="shared" si="629"/>
        <v>4.8563117427812177</v>
      </c>
      <c r="EX200" s="706">
        <f t="shared" si="629"/>
        <v>4.8563117427812168</v>
      </c>
      <c r="EY200" s="706">
        <f t="shared" ref="EY200:FB200" si="630">+EY198/EY199</f>
        <v>2.8653908958719514</v>
      </c>
      <c r="EZ200" s="706">
        <f t="shared" si="630"/>
        <v>2.9778330416271945</v>
      </c>
      <c r="FA200" s="706">
        <f t="shared" si="630"/>
        <v>3.0241106786100835</v>
      </c>
      <c r="FB200" s="706">
        <f t="shared" si="630"/>
        <v>4.9795293691299021</v>
      </c>
      <c r="FC200" s="706">
        <f t="shared" si="629"/>
        <v>4.9795293691299021</v>
      </c>
      <c r="FD200" s="706">
        <f t="shared" ref="FD200:FG200" si="631">+FD198/FD199</f>
        <v>2.8642081692704537</v>
      </c>
      <c r="FE200" s="706">
        <f t="shared" si="631"/>
        <v>2.9076582853527611</v>
      </c>
      <c r="FF200" s="706">
        <f t="shared" si="631"/>
        <v>2.9044245595017575</v>
      </c>
      <c r="FG200" s="706">
        <f t="shared" si="631"/>
        <v>4.7777803482225112</v>
      </c>
      <c r="FH200" s="706">
        <f t="shared" si="629"/>
        <v>4.7777803482225121</v>
      </c>
      <c r="FI200" s="706">
        <f t="shared" si="629"/>
        <v>4.1600002405426837</v>
      </c>
      <c r="FJ200" s="706">
        <f t="shared" si="629"/>
        <v>3.5494030007684922</v>
      </c>
      <c r="FK200" s="845">
        <v>3.5</v>
      </c>
      <c r="FL200" s="845">
        <v>3.5</v>
      </c>
      <c r="FM200" s="845">
        <v>3.5</v>
      </c>
    </row>
    <row r="201" spans="1:169" ht="12.5" thickTop="1" x14ac:dyDescent="0.3">
      <c r="A201" s="173"/>
      <c r="EO201"/>
      <c r="EP201"/>
      <c r="EQ201"/>
      <c r="ER201"/>
    </row>
    <row r="202" spans="1:169" x14ac:dyDescent="0.3">
      <c r="A202" s="173" t="s">
        <v>154</v>
      </c>
      <c r="DU202" s="76">
        <f>+DU196</f>
        <v>16919</v>
      </c>
      <c r="DV202" s="76">
        <f>+DV196</f>
        <v>16797</v>
      </c>
      <c r="DW202" s="76">
        <f>+DW196</f>
        <v>17299</v>
      </c>
      <c r="DX202" s="76">
        <f>+AVERAGE(DW196:DX196)</f>
        <v>17300.5</v>
      </c>
      <c r="DY202" s="85">
        <f>+AVERAGE(DU202:DX202)</f>
        <v>17078.875</v>
      </c>
      <c r="DZ202" s="76">
        <f>+DZ196</f>
        <v>17306</v>
      </c>
      <c r="EA202" s="76">
        <f>+AVERAGE(DZ196:EA196)</f>
        <v>17408.5</v>
      </c>
      <c r="EB202" s="76">
        <f>+AVERAGE(EA196:EB196)</f>
        <v>17144.630632378208</v>
      </c>
      <c r="EC202" s="76">
        <f>+AVERAGE(EB196:EC196)</f>
        <v>16806.406196308817</v>
      </c>
      <c r="ED202" s="85">
        <f>+AVERAGE(DZ202:EC202)</f>
        <v>17166.384207171755</v>
      </c>
      <c r="EE202" s="76">
        <f>+AVERAGE(ED196:EE196)</f>
        <v>16837.462672504575</v>
      </c>
      <c r="EF202" s="76">
        <f>+AVERAGE(EE196:EF196)</f>
        <v>11931.187108573962</v>
      </c>
      <c r="EG202" s="76">
        <f>+AVERAGE(EF196:EG196)</f>
        <v>7016.5</v>
      </c>
      <c r="EH202" s="76">
        <f>+AVERAGE(EG196:EH196)</f>
        <v>7497</v>
      </c>
      <c r="EI202" s="85">
        <f>+AVERAGE(EE202:EH202)</f>
        <v>10820.537445269634</v>
      </c>
      <c r="EJ202" s="76">
        <f>+AVERAGE(EI196:EJ196)</f>
        <v>7983</v>
      </c>
      <c r="EK202" s="76">
        <f>+AVERAGE(EJ196:EK196)</f>
        <v>8564</v>
      </c>
      <c r="EL202" s="76">
        <f>+AVERAGE(EK196:EL196)</f>
        <v>9140</v>
      </c>
      <c r="EM202" s="76">
        <f>+AVERAGE(EL196:EM196)</f>
        <v>9130</v>
      </c>
      <c r="EN202" s="85">
        <f>+AVERAGE(EJ202:EM202)</f>
        <v>8704.25</v>
      </c>
      <c r="EO202" s="76">
        <f>+AVERAGE(EN196:EO196)</f>
        <v>9489.5</v>
      </c>
      <c r="EP202" s="76">
        <f>+AVERAGE(EO196:EP196)</f>
        <v>9849</v>
      </c>
      <c r="EQ202" s="76">
        <f>+AVERAGE(EP196:EQ196)</f>
        <v>10558.5</v>
      </c>
      <c r="ER202" s="76">
        <f>+AVERAGE(EQ196:ER196)</f>
        <v>11267</v>
      </c>
      <c r="ES202" s="85">
        <f>+AVERAGE(EO202:ER202)</f>
        <v>10291</v>
      </c>
      <c r="ET202" s="76">
        <f t="shared" ref="ET202:EW202" si="632">+AVERAGE(ES196:ET196)</f>
        <v>11261</v>
      </c>
      <c r="EU202" s="76">
        <f t="shared" si="632"/>
        <v>11261</v>
      </c>
      <c r="EV202" s="76">
        <f t="shared" si="632"/>
        <v>11261</v>
      </c>
      <c r="EW202" s="76">
        <f t="shared" si="632"/>
        <v>11261</v>
      </c>
      <c r="EX202" s="85">
        <f>+AVERAGE(ET202:EW202)</f>
        <v>11261</v>
      </c>
      <c r="EY202" s="76">
        <f t="shared" ref="EY202" si="633">+AVERAGE(EX196:EY196)</f>
        <v>11261</v>
      </c>
      <c r="EZ202" s="76">
        <f t="shared" ref="EZ202" si="634">+AVERAGE(EY196:EZ196)</f>
        <v>12011</v>
      </c>
      <c r="FA202" s="76">
        <f t="shared" ref="FA202" si="635">+AVERAGE(EZ196:FA196)</f>
        <v>12761</v>
      </c>
      <c r="FB202" s="76">
        <f t="shared" ref="FB202" si="636">+AVERAGE(FA196:FB196)</f>
        <v>12761</v>
      </c>
      <c r="FC202" s="85">
        <f>+AVERAGE(EY202:FB202)</f>
        <v>12198.5</v>
      </c>
      <c r="FD202" s="76">
        <f t="shared" ref="FD202" si="637">+AVERAGE(FC196:FD196)</f>
        <v>12761</v>
      </c>
      <c r="FE202" s="76">
        <f t="shared" ref="FE202" si="638">+AVERAGE(FD196:FE196)</f>
        <v>13136</v>
      </c>
      <c r="FF202" s="76">
        <f t="shared" ref="FF202" si="639">+AVERAGE(FE196:FF196)</f>
        <v>13511</v>
      </c>
      <c r="FG202" s="76">
        <f t="shared" ref="FG202" si="640">+AVERAGE(FF196:FG196)</f>
        <v>13511</v>
      </c>
      <c r="FH202" s="85">
        <f>+AVERAGE(FD202:FG202)</f>
        <v>13229.75</v>
      </c>
      <c r="FI202" s="76">
        <f t="shared" ref="FI202:FM202" si="641">+AVERAGE(FH196:FI196)</f>
        <v>13391</v>
      </c>
      <c r="FJ202" s="76">
        <f t="shared" si="641"/>
        <v>13046</v>
      </c>
      <c r="FK202" s="76">
        <f t="shared" si="641"/>
        <v>13229.7142289853</v>
      </c>
      <c r="FL202" s="76">
        <f t="shared" si="641"/>
        <v>14101.03619979016</v>
      </c>
      <c r="FM202" s="76">
        <f t="shared" si="641"/>
        <v>14992.131314970287</v>
      </c>
    </row>
    <row r="203" spans="1:169" x14ac:dyDescent="0.3">
      <c r="A203" s="173" t="s">
        <v>155</v>
      </c>
      <c r="DU203" s="74">
        <f>+DU204/DU202*4</f>
        <v>8.960340445652816E-2</v>
      </c>
      <c r="DV203" s="74">
        <f>+DV204/DV202*4</f>
        <v>9.1206763112460565E-2</v>
      </c>
      <c r="DW203" s="74">
        <f>+DW204/DW202*4</f>
        <v>8.8328805133244689E-2</v>
      </c>
      <c r="DX203" s="74">
        <f>+DX204/DX202*4</f>
        <v>9.0402011502557736E-2</v>
      </c>
      <c r="DY203" s="92">
        <f>+DY204/DY202</f>
        <v>8.9877114271285433E-2</v>
      </c>
      <c r="DZ203" s="74">
        <f>+DZ204/DZ202*4</f>
        <v>8.8524211256211724E-2</v>
      </c>
      <c r="EA203" s="74">
        <f>+EA204/EA202*4</f>
        <v>3.6763649941120718E-2</v>
      </c>
      <c r="EB203" s="74">
        <f>+EB204/EB202*4</f>
        <v>2.8230412796759228E-2</v>
      </c>
      <c r="EC203" s="74">
        <f>+EC204/EC202*4</f>
        <v>2.3324439229970222E-2</v>
      </c>
      <c r="ED203" s="92">
        <f>+ED204/ED202</f>
        <v>4.4389079890315652E-2</v>
      </c>
      <c r="EE203" s="74">
        <f>+EE204/EE202*4</f>
        <v>2.1143328239197512E-2</v>
      </c>
      <c r="EF203" s="74">
        <f>+EF204/EF202*4</f>
        <v>3.0508280248025207E-2</v>
      </c>
      <c r="EG203" s="74">
        <f>+EG204/EG202*4</f>
        <v>5.1307632010261527E-2</v>
      </c>
      <c r="EH203" s="74">
        <f>+EH204/EH202*4</f>
        <v>5.6022408963585436E-2</v>
      </c>
      <c r="EI203" s="92">
        <f>+EI204/EI202</f>
        <v>3.4656319235227738E-2</v>
      </c>
      <c r="EJ203" s="74">
        <f>+EJ204/EJ202*4</f>
        <v>5.1609670549918579E-2</v>
      </c>
      <c r="EK203" s="74">
        <f>+EK204/EK202*4</f>
        <v>5.5114432508173751E-2</v>
      </c>
      <c r="EL203" s="74">
        <f>+EL204/EL202*4</f>
        <v>5.9080962800875277E-2</v>
      </c>
      <c r="EM203" s="74">
        <f>+EM204/EM202*4</f>
        <v>7.4041621029572832E-2</v>
      </c>
      <c r="EN203" s="92">
        <f>+EN204/EN202</f>
        <v>6.0315363184651173E-2</v>
      </c>
      <c r="EO203" s="74">
        <f>+EO204/EO202*4</f>
        <v>6.6599926234258922E-2</v>
      </c>
      <c r="EP203" s="74">
        <f>+EP204/EP202*4</f>
        <v>6.9448674992385009E-2</v>
      </c>
      <c r="EQ203" s="74">
        <f>+EQ204/EQ202*4</f>
        <v>7.4252971539517917E-2</v>
      </c>
      <c r="ER203" s="74">
        <f>+ER204/ER202*4</f>
        <v>7.4909026360166858E-2</v>
      </c>
      <c r="ES203" s="92">
        <f>+ES204/ES202</f>
        <v>7.151880283743077E-2</v>
      </c>
      <c r="ET203" s="74">
        <f t="shared" ref="ET203:EW203" si="642">+ET204/ET202*4</f>
        <v>7.2086256401148505E-2</v>
      </c>
      <c r="EU203" s="74">
        <f t="shared" si="642"/>
        <v>7.2086256401148505E-2</v>
      </c>
      <c r="EV203" s="74">
        <f t="shared" si="642"/>
        <v>7.2086256401148505E-2</v>
      </c>
      <c r="EW203" s="74">
        <f t="shared" si="642"/>
        <v>7.2086256401148505E-2</v>
      </c>
      <c r="EX203" s="92">
        <f>+EX204/EX202</f>
        <v>7.2086256401148505E-2</v>
      </c>
      <c r="EY203" s="74">
        <f t="shared" ref="EY203:FB203" si="643">+EY204/EY202*4</f>
        <v>7.2086256401148505E-2</v>
      </c>
      <c r="EZ203" s="74">
        <f t="shared" si="643"/>
        <v>6.7584991535536862E-2</v>
      </c>
      <c r="FA203" s="74">
        <f t="shared" si="643"/>
        <v>7.3604210746284246E-2</v>
      </c>
      <c r="FB203" s="74">
        <f t="shared" si="643"/>
        <v>7.3604210746284246E-2</v>
      </c>
      <c r="FC203" s="92">
        <f>+FC204/FC202</f>
        <v>7.177221243049009E-2</v>
      </c>
      <c r="FD203" s="74">
        <f t="shared" ref="FD203:FG203" si="644">+FD204/FD202*4</f>
        <v>6.8608520753336996E-2</v>
      </c>
      <c r="FE203" s="74">
        <f t="shared" si="644"/>
        <v>6.6649918798213553E-2</v>
      </c>
      <c r="FF203" s="74">
        <f t="shared" si="644"/>
        <v>6.9518417092245821E-2</v>
      </c>
      <c r="FG203" s="74">
        <f t="shared" si="644"/>
        <v>6.9518417092245821E-2</v>
      </c>
      <c r="FH203" s="92">
        <f>+FH204/FH202</f>
        <v>6.8586959945073286E-2</v>
      </c>
      <c r="FI203" s="74">
        <f t="shared" ref="FI203:FM203" si="645">+FI204/FI202</f>
        <v>6.8026920444079361E-2</v>
      </c>
      <c r="FJ203" s="74">
        <f t="shared" si="645"/>
        <v>6.9398550641320458E-2</v>
      </c>
      <c r="FK203" s="74">
        <f t="shared" si="645"/>
        <v>7.6512788455601791E-2</v>
      </c>
      <c r="FL203" s="74">
        <f t="shared" si="645"/>
        <v>7.2969021775415699E-2</v>
      </c>
      <c r="FM203" s="74">
        <f t="shared" si="645"/>
        <v>7.3089121190742873E-2</v>
      </c>
    </row>
    <row r="204" spans="1:169" x14ac:dyDescent="0.3">
      <c r="A204" s="174" t="s">
        <v>156</v>
      </c>
      <c r="DU204" s="803">
        <f>DU209</f>
        <v>379</v>
      </c>
      <c r="DV204" s="803">
        <f t="shared" ref="DV204:DX204" si="646">DV209</f>
        <v>383</v>
      </c>
      <c r="DW204" s="803">
        <f t="shared" si="646"/>
        <v>382</v>
      </c>
      <c r="DX204" s="803">
        <f t="shared" si="646"/>
        <v>391</v>
      </c>
      <c r="DY204" s="803">
        <f>+SUM(DU204:DX204)</f>
        <v>1535</v>
      </c>
      <c r="DZ204" s="803">
        <f>DZ209</f>
        <v>383</v>
      </c>
      <c r="EA204" s="803">
        <f t="shared" ref="EA204:EC204" si="647">EA209</f>
        <v>160</v>
      </c>
      <c r="EB204" s="803">
        <f t="shared" si="647"/>
        <v>121</v>
      </c>
      <c r="EC204" s="803">
        <f t="shared" si="647"/>
        <v>98</v>
      </c>
      <c r="ED204" s="803">
        <f>+SUM(DZ204:EC204)</f>
        <v>762</v>
      </c>
      <c r="EE204" s="803">
        <f>EE209</f>
        <v>89</v>
      </c>
      <c r="EF204" s="803">
        <f t="shared" ref="EF204:EH204" si="648">EF209</f>
        <v>91</v>
      </c>
      <c r="EG204" s="803">
        <f t="shared" si="648"/>
        <v>90</v>
      </c>
      <c r="EH204" s="803">
        <f t="shared" si="648"/>
        <v>105</v>
      </c>
      <c r="EI204" s="803">
        <f>+SUM(EE204:EH204)</f>
        <v>375</v>
      </c>
      <c r="EJ204" s="803">
        <f>EJ209</f>
        <v>103</v>
      </c>
      <c r="EK204" s="803">
        <f t="shared" ref="EK204:EM204" si="649">EK209</f>
        <v>118</v>
      </c>
      <c r="EL204" s="803">
        <f t="shared" si="649"/>
        <v>135</v>
      </c>
      <c r="EM204" s="803">
        <f t="shared" si="649"/>
        <v>169</v>
      </c>
      <c r="EN204" s="803">
        <f>+SUM(EJ204:EM204)</f>
        <v>525</v>
      </c>
      <c r="EO204" s="803">
        <f>EO209</f>
        <v>158</v>
      </c>
      <c r="EP204" s="803">
        <f>EP209</f>
        <v>171</v>
      </c>
      <c r="EQ204" s="803">
        <f>EQ209</f>
        <v>196</v>
      </c>
      <c r="ER204" s="803">
        <f>ER209</f>
        <v>211</v>
      </c>
      <c r="ES204" s="803">
        <f>+SUM(EO204:ER204)</f>
        <v>736</v>
      </c>
      <c r="ET204" s="803">
        <f>ES204/4+EQ113*0.085*7/12/4</f>
        <v>202.94083333333333</v>
      </c>
      <c r="EU204" s="803">
        <f>ET204</f>
        <v>202.94083333333333</v>
      </c>
      <c r="EV204" s="803">
        <f t="shared" ref="EV204:EW204" si="650">EU204</f>
        <v>202.94083333333333</v>
      </c>
      <c r="EW204" s="803">
        <f t="shared" si="650"/>
        <v>202.94083333333333</v>
      </c>
      <c r="EX204" s="803">
        <f>+SUM(ET204:EW204)</f>
        <v>811.76333333333332</v>
      </c>
      <c r="EY204" s="803">
        <f>EX204/4</f>
        <v>202.94083333333333</v>
      </c>
      <c r="EZ204" s="803">
        <f>EY204</f>
        <v>202.94083333333333</v>
      </c>
      <c r="FA204" s="803">
        <f>EZ204+$EZ$113*0.085/4</f>
        <v>234.81583333333333</v>
      </c>
      <c r="FB204" s="803">
        <f t="shared" ref="FB204" si="651">FA204</f>
        <v>234.81583333333333</v>
      </c>
      <c r="FC204" s="803">
        <f>+SUM(EY204:FB204)</f>
        <v>875.51333333333332</v>
      </c>
      <c r="FD204" s="803">
        <f>FC204/4</f>
        <v>218.87833333333333</v>
      </c>
      <c r="FE204" s="803">
        <f>FD204</f>
        <v>218.87833333333333</v>
      </c>
      <c r="FF204" s="803">
        <f>FE204+$FE$113*0.085/4</f>
        <v>234.81583333333333</v>
      </c>
      <c r="FG204" s="803">
        <f t="shared" ref="FG204" si="652">FF204</f>
        <v>234.81583333333333</v>
      </c>
      <c r="FH204" s="803">
        <f>+SUM(FD204:FG204)</f>
        <v>907.38833333333332</v>
      </c>
      <c r="FI204" s="803">
        <f>FH204+FI113*0.085/2-Debt!C11*Debt!E11*8/12-Debt!C15*Debt!E15*2/12-Debt!C22*Debt!E22*7/12</f>
        <v>910.94849166666677</v>
      </c>
      <c r="FJ204" s="803">
        <f>FI204+FJ113*0.085/2-Debt!C16*Debt!E16*7/12-Debt!C24*Debt!E24*10/12-Debt!C26*Debt!E26*10/12</f>
        <v>905.37349166666672</v>
      </c>
      <c r="FK204" s="803">
        <f>FJ204+FK113*0.085/2-Debt!C19*Debt!E19*1/12-Debt!C25*Debt!E25*2/12</f>
        <v>1012.2423261304172</v>
      </c>
      <c r="FL204" s="803">
        <f>FK204+FL113*0.085/2-Debt!C14*Debt!E14*7/12-Debt!C17*Debt!E17*7/12-Debt!C21*Debt!E21*11/12</f>
        <v>1028.9388175184133</v>
      </c>
      <c r="FM204" s="803">
        <f>FL204+FM113*0.085/2-Debt!C13*Debt!E13*1/12-Debt!C18*Debt!E18*1/12</f>
        <v>1095.7617025873947</v>
      </c>
    </row>
    <row r="205" spans="1:169" x14ac:dyDescent="0.3">
      <c r="A205" s="175" t="s">
        <v>157</v>
      </c>
      <c r="DU205" s="180">
        <f t="shared" ref="DU205:FM205" si="653">+DU48/DU204</f>
        <v>2.0343007915567282</v>
      </c>
      <c r="DV205" s="180">
        <f t="shared" si="653"/>
        <v>2.0391644908616189</v>
      </c>
      <c r="DW205" s="180">
        <f t="shared" si="653"/>
        <v>1.8455497382198953</v>
      </c>
      <c r="DX205" s="180">
        <f t="shared" si="653"/>
        <v>1.7212276214833759</v>
      </c>
      <c r="DY205" s="181">
        <f t="shared" si="653"/>
        <v>1.9087947882736156</v>
      </c>
      <c r="DZ205" s="180">
        <f t="shared" si="653"/>
        <v>1.793733681462141</v>
      </c>
      <c r="EA205" s="180">
        <f t="shared" si="653"/>
        <v>4.3937499999999998</v>
      </c>
      <c r="EB205" s="180">
        <f t="shared" si="653"/>
        <v>5.7107438016528924</v>
      </c>
      <c r="EC205" s="180">
        <f t="shared" si="653"/>
        <v>7.0816326530612246</v>
      </c>
      <c r="ED205" s="181">
        <f t="shared" si="653"/>
        <v>3.6417322834645671</v>
      </c>
      <c r="EE205" s="180">
        <f t="shared" si="653"/>
        <v>7.5168539325842696</v>
      </c>
      <c r="EF205" s="180">
        <f t="shared" si="653"/>
        <v>6.9670329670329672</v>
      </c>
      <c r="EG205" s="180">
        <f t="shared" si="653"/>
        <v>6.5222222222222221</v>
      </c>
      <c r="EH205" s="180">
        <f t="shared" si="653"/>
        <v>5.5714285714285712</v>
      </c>
      <c r="EI205" s="181">
        <f t="shared" si="653"/>
        <v>6.6</v>
      </c>
      <c r="EJ205" s="180">
        <f t="shared" si="653"/>
        <v>4.941747572815534</v>
      </c>
      <c r="EK205" s="180">
        <f t="shared" si="653"/>
        <v>4.5338983050847457</v>
      </c>
      <c r="EL205" s="180">
        <f t="shared" si="653"/>
        <v>3.7629629629629631</v>
      </c>
      <c r="EM205" s="180">
        <f t="shared" si="653"/>
        <v>3.1242603550295858</v>
      </c>
      <c r="EN205" s="181">
        <f t="shared" si="653"/>
        <v>3.961904761904762</v>
      </c>
      <c r="EO205" s="180">
        <f t="shared" si="653"/>
        <v>3.2848101265822787</v>
      </c>
      <c r="EP205" s="180">
        <f t="shared" si="653"/>
        <v>3.1169590643274856</v>
      </c>
      <c r="EQ205" s="180">
        <f t="shared" si="653"/>
        <v>2.6836734693877551</v>
      </c>
      <c r="ER205" s="180">
        <f t="shared" si="653"/>
        <v>2.6018957345971563</v>
      </c>
      <c r="ES205" s="181">
        <f t="shared" si="653"/>
        <v>2.8899456521739131</v>
      </c>
      <c r="ET205" s="180">
        <f t="shared" si="653"/>
        <v>2.6805489400520477</v>
      </c>
      <c r="EU205" s="180">
        <f t="shared" si="653"/>
        <v>2.7613367741327788</v>
      </c>
      <c r="EV205" s="180">
        <f t="shared" si="653"/>
        <v>2.7415606255208003</v>
      </c>
      <c r="EW205" s="180">
        <f t="shared" si="653"/>
        <v>2.8826725701633156</v>
      </c>
      <c r="EX205" s="181">
        <f t="shared" si="653"/>
        <v>2.766529727467236</v>
      </c>
      <c r="EY205" s="180">
        <f t="shared" ref="EY205:FC205" si="654">+EY48/EY204</f>
        <v>2.8475576100697668</v>
      </c>
      <c r="EZ205" s="180">
        <f t="shared" si="654"/>
        <v>2.9816320428854666</v>
      </c>
      <c r="FA205" s="180">
        <f t="shared" si="654"/>
        <v>2.5733536556801413</v>
      </c>
      <c r="FB205" s="180">
        <f t="shared" si="654"/>
        <v>2.7339937289583949</v>
      </c>
      <c r="FC205" s="181">
        <f t="shared" si="654"/>
        <v>2.774634848213426</v>
      </c>
      <c r="FD205" s="180">
        <f t="shared" ref="FD205:FH205" si="655">+FD48/FD204</f>
        <v>2.8686537148332243</v>
      </c>
      <c r="FE205" s="180">
        <f t="shared" si="655"/>
        <v>3.0316031736258817</v>
      </c>
      <c r="FF205" s="180">
        <f t="shared" si="655"/>
        <v>2.8348863939940365</v>
      </c>
      <c r="FG205" s="180">
        <f t="shared" si="655"/>
        <v>3.0177752772314745</v>
      </c>
      <c r="FH205" s="181">
        <f t="shared" si="655"/>
        <v>2.9378116552795208</v>
      </c>
      <c r="FI205" s="180">
        <f t="shared" si="653"/>
        <v>3.235061428592128</v>
      </c>
      <c r="FJ205" s="180">
        <f t="shared" si="653"/>
        <v>3.5684233942569428</v>
      </c>
      <c r="FK205" s="180">
        <f t="shared" si="653"/>
        <v>3.4674597456001259</v>
      </c>
      <c r="FL205" s="180">
        <f t="shared" si="653"/>
        <v>3.6681061453122443</v>
      </c>
      <c r="FM205" s="180">
        <f t="shared" si="653"/>
        <v>3.6678656662611937</v>
      </c>
    </row>
    <row r="206" spans="1:169" x14ac:dyDescent="0.3">
      <c r="A206" s="176"/>
      <c r="ET206" s="90"/>
      <c r="EU206" s="90"/>
      <c r="EV206" s="90"/>
      <c r="EW206" s="90"/>
      <c r="EY206" s="90"/>
      <c r="EZ206" s="90"/>
      <c r="FA206" s="90"/>
      <c r="FB206" s="90"/>
      <c r="FD206" s="90"/>
      <c r="FE206" s="90"/>
      <c r="FF206" s="90"/>
      <c r="FG206" s="90"/>
    </row>
    <row r="207" spans="1:169" x14ac:dyDescent="0.3">
      <c r="A207" s="1299" t="s">
        <v>158</v>
      </c>
      <c r="DU207" s="134">
        <f>DU73</f>
        <v>379</v>
      </c>
      <c r="DV207" s="134">
        <f t="shared" ref="DV207:DX207" si="656">DV73</f>
        <v>383</v>
      </c>
      <c r="DW207" s="134">
        <f t="shared" si="656"/>
        <v>382</v>
      </c>
      <c r="DX207" s="134">
        <f t="shared" si="656"/>
        <v>391</v>
      </c>
      <c r="DY207" s="85">
        <f>SUM(DU207:DX207)</f>
        <v>1535</v>
      </c>
      <c r="DZ207" s="134">
        <f>DZ73</f>
        <v>383</v>
      </c>
      <c r="EA207" s="134">
        <f t="shared" ref="EA207:EC207" si="657">EA73</f>
        <v>160</v>
      </c>
      <c r="EB207" s="134">
        <f t="shared" si="657"/>
        <v>121</v>
      </c>
      <c r="EC207" s="134">
        <f t="shared" si="657"/>
        <v>98</v>
      </c>
      <c r="ED207" s="85">
        <f>SUM(DZ207:EC207)</f>
        <v>762</v>
      </c>
      <c r="EE207" s="134">
        <f>EE73</f>
        <v>89</v>
      </c>
      <c r="EF207" s="134">
        <f t="shared" ref="EF207:EH207" si="658">EF73</f>
        <v>91</v>
      </c>
      <c r="EG207" s="134">
        <f t="shared" si="658"/>
        <v>90</v>
      </c>
      <c r="EH207" s="134">
        <f t="shared" si="658"/>
        <v>105</v>
      </c>
      <c r="EI207" s="85">
        <f>SUM(EE207:EH207)</f>
        <v>375</v>
      </c>
      <c r="EJ207" s="134">
        <f>EJ73</f>
        <v>103</v>
      </c>
      <c r="EK207" s="134">
        <f t="shared" ref="EK207:EM207" si="659">EK73</f>
        <v>118</v>
      </c>
      <c r="EL207" s="134">
        <f t="shared" si="659"/>
        <v>135</v>
      </c>
      <c r="EM207" s="134">
        <f t="shared" si="659"/>
        <v>136</v>
      </c>
      <c r="EN207" s="85">
        <f>SUM(EJ207:EM207)</f>
        <v>492</v>
      </c>
      <c r="EO207" s="134">
        <f>EO73</f>
        <v>141</v>
      </c>
      <c r="EP207" s="134">
        <f>EP73</f>
        <v>149</v>
      </c>
      <c r="EQ207" s="134">
        <f>EQ73</f>
        <v>170</v>
      </c>
      <c r="ER207" s="134">
        <f>ER73</f>
        <v>193</v>
      </c>
      <c r="ES207" s="85">
        <f>SUM(EO207:ER207)</f>
        <v>653</v>
      </c>
      <c r="ET207" s="1062">
        <f t="shared" ref="ET207:EW207" si="660">ET209-ET208</f>
        <v>184.94083333333333</v>
      </c>
      <c r="EU207" s="1062">
        <f t="shared" si="660"/>
        <v>184.94083333333333</v>
      </c>
      <c r="EV207" s="1062">
        <f t="shared" si="660"/>
        <v>184.94083333333333</v>
      </c>
      <c r="EW207" s="1062">
        <f t="shared" si="660"/>
        <v>184.94083333333333</v>
      </c>
      <c r="EX207" s="85">
        <f>SUM(ET207:EW207)</f>
        <v>739.76333333333332</v>
      </c>
      <c r="EY207" s="1062">
        <f t="shared" ref="EY207:FB207" si="661">EY209-EY208</f>
        <v>184.94083333333333</v>
      </c>
      <c r="EZ207" s="1062">
        <f t="shared" si="661"/>
        <v>184.94083333333333</v>
      </c>
      <c r="FA207" s="1062">
        <f t="shared" si="661"/>
        <v>216.81583333333333</v>
      </c>
      <c r="FB207" s="1062">
        <f t="shared" si="661"/>
        <v>216.81583333333333</v>
      </c>
      <c r="FC207" s="85">
        <f>SUM(EY207:FB207)</f>
        <v>803.51333333333332</v>
      </c>
      <c r="FD207" s="1062">
        <f t="shared" ref="FD207:FM207" si="662">FD209-FD208</f>
        <v>200.87833333333333</v>
      </c>
      <c r="FE207" s="1062">
        <f t="shared" si="662"/>
        <v>200.87833333333333</v>
      </c>
      <c r="FF207" s="1062">
        <f t="shared" si="662"/>
        <v>216.81583333333333</v>
      </c>
      <c r="FG207" s="1062">
        <f t="shared" si="662"/>
        <v>216.81583333333333</v>
      </c>
      <c r="FH207" s="85">
        <f>SUM(FD207:FG207)</f>
        <v>835.38833333333332</v>
      </c>
      <c r="FI207" s="1062">
        <f t="shared" si="662"/>
        <v>838.94849166666677</v>
      </c>
      <c r="FJ207" s="1062">
        <f t="shared" si="662"/>
        <v>833.37349166666672</v>
      </c>
      <c r="FK207" s="1062">
        <f t="shared" si="662"/>
        <v>940.24232613041715</v>
      </c>
      <c r="FL207" s="1062">
        <f t="shared" si="662"/>
        <v>956.93881751841332</v>
      </c>
      <c r="FM207" s="1062">
        <f t="shared" si="662"/>
        <v>1023.7617025873947</v>
      </c>
    </row>
    <row r="208" spans="1:169" x14ac:dyDescent="0.3">
      <c r="A208" s="1299" t="s">
        <v>159</v>
      </c>
      <c r="DU208" s="1110">
        <f>Inputs!DU281</f>
        <v>0</v>
      </c>
      <c r="DV208" s="1110">
        <f>Inputs!DV281</f>
        <v>0</v>
      </c>
      <c r="DW208" s="1110">
        <f>Inputs!DW281</f>
        <v>0</v>
      </c>
      <c r="DX208" s="1110">
        <f>Inputs!DX281</f>
        <v>0</v>
      </c>
      <c r="DY208" s="1111">
        <f>SUM(DU208:DX208)</f>
        <v>0</v>
      </c>
      <c r="DZ208" s="1110">
        <f>Inputs!DZ281</f>
        <v>0</v>
      </c>
      <c r="EA208" s="1110">
        <f>Inputs!EA281</f>
        <v>0</v>
      </c>
      <c r="EB208" s="1110">
        <f>Inputs!EB281</f>
        <v>0</v>
      </c>
      <c r="EC208" s="1110">
        <f>Inputs!EC281</f>
        <v>0</v>
      </c>
      <c r="ED208" s="1111">
        <f>SUM(DZ208:EC208)</f>
        <v>0</v>
      </c>
      <c r="EE208" s="1110">
        <f>Inputs!EE281</f>
        <v>0</v>
      </c>
      <c r="EF208" s="1110">
        <f>Inputs!EF281</f>
        <v>0</v>
      </c>
      <c r="EG208" s="1110">
        <f>Inputs!EG281</f>
        <v>0</v>
      </c>
      <c r="EH208" s="1110">
        <f>Inputs!EH281</f>
        <v>0</v>
      </c>
      <c r="EI208" s="1111">
        <f>SUM(EE208:EH208)</f>
        <v>0</v>
      </c>
      <c r="EJ208" s="1110">
        <f>Inputs!EJ281</f>
        <v>0</v>
      </c>
      <c r="EK208" s="1110">
        <f>Inputs!EK281</f>
        <v>0</v>
      </c>
      <c r="EL208" s="1110">
        <f>Inputs!EL281</f>
        <v>0</v>
      </c>
      <c r="EM208" s="901">
        <f>EN208-SUM(EJ208:EL208)</f>
        <v>33</v>
      </c>
      <c r="EN208" s="1142">
        <f>Inputs!EN281</f>
        <v>33</v>
      </c>
      <c r="EO208" s="1110">
        <f>Inputs!EO281</f>
        <v>17</v>
      </c>
      <c r="EP208" s="1110">
        <f>Inputs!EP281</f>
        <v>22</v>
      </c>
      <c r="EQ208" s="1110">
        <f>Inputs!EQ281</f>
        <v>26</v>
      </c>
      <c r="ER208" s="1110">
        <f>Inputs!ER281</f>
        <v>18</v>
      </c>
      <c r="ES208" s="866">
        <f>SUM(EO208:ER208)</f>
        <v>83</v>
      </c>
      <c r="ET208" s="866">
        <f>ER208</f>
        <v>18</v>
      </c>
      <c r="EU208" s="866">
        <f t="shared" ref="EU208:EW208" si="663">ET208</f>
        <v>18</v>
      </c>
      <c r="EV208" s="866">
        <f t="shared" si="663"/>
        <v>18</v>
      </c>
      <c r="EW208" s="866">
        <f t="shared" si="663"/>
        <v>18</v>
      </c>
      <c r="EX208" s="866">
        <f>SUM(ET208:EW208)</f>
        <v>72</v>
      </c>
      <c r="EY208" s="866">
        <f>EW208</f>
        <v>18</v>
      </c>
      <c r="EZ208" s="866">
        <f t="shared" ref="EZ208" si="664">EY208</f>
        <v>18</v>
      </c>
      <c r="FA208" s="866">
        <f t="shared" ref="FA208" si="665">EZ208</f>
        <v>18</v>
      </c>
      <c r="FB208" s="866">
        <f t="shared" ref="FB208" si="666">FA208</f>
        <v>18</v>
      </c>
      <c r="FC208" s="866">
        <f>SUM(EY208:FB208)</f>
        <v>72</v>
      </c>
      <c r="FD208" s="866">
        <f>FB208</f>
        <v>18</v>
      </c>
      <c r="FE208" s="866">
        <f t="shared" ref="FE208" si="667">FD208</f>
        <v>18</v>
      </c>
      <c r="FF208" s="866">
        <f t="shared" ref="FF208" si="668">FE208</f>
        <v>18</v>
      </c>
      <c r="FG208" s="866">
        <f t="shared" ref="FG208" si="669">FF208</f>
        <v>18</v>
      </c>
      <c r="FH208" s="866">
        <f>SUM(FD208:FG208)</f>
        <v>72</v>
      </c>
      <c r="FI208" s="866">
        <f t="shared" ref="FI208:FM208" si="670">FH208</f>
        <v>72</v>
      </c>
      <c r="FJ208" s="866">
        <f t="shared" si="670"/>
        <v>72</v>
      </c>
      <c r="FK208" s="866">
        <f t="shared" si="670"/>
        <v>72</v>
      </c>
      <c r="FL208" s="866">
        <f t="shared" si="670"/>
        <v>72</v>
      </c>
      <c r="FM208" s="866">
        <f t="shared" si="670"/>
        <v>72</v>
      </c>
    </row>
    <row r="209" spans="1:169" x14ac:dyDescent="0.3">
      <c r="A209" s="1299" t="s">
        <v>156</v>
      </c>
      <c r="DU209" s="76">
        <f t="shared" ref="DU209:ER209" si="671">SUM(DU207:DU208)</f>
        <v>379</v>
      </c>
      <c r="DV209" s="76">
        <f t="shared" si="671"/>
        <v>383</v>
      </c>
      <c r="DW209" s="76">
        <f t="shared" si="671"/>
        <v>382</v>
      </c>
      <c r="DX209" s="76">
        <f t="shared" si="671"/>
        <v>391</v>
      </c>
      <c r="DY209" s="85">
        <f t="shared" si="671"/>
        <v>1535</v>
      </c>
      <c r="DZ209" s="76">
        <f t="shared" si="671"/>
        <v>383</v>
      </c>
      <c r="EA209" s="76">
        <f t="shared" si="671"/>
        <v>160</v>
      </c>
      <c r="EB209" s="76">
        <f t="shared" si="671"/>
        <v>121</v>
      </c>
      <c r="EC209" s="76">
        <f t="shared" si="671"/>
        <v>98</v>
      </c>
      <c r="ED209" s="85">
        <f t="shared" si="671"/>
        <v>762</v>
      </c>
      <c r="EE209" s="76">
        <f t="shared" si="671"/>
        <v>89</v>
      </c>
      <c r="EF209" s="76">
        <f t="shared" si="671"/>
        <v>91</v>
      </c>
      <c r="EG209" s="76">
        <f t="shared" si="671"/>
        <v>90</v>
      </c>
      <c r="EH209" s="76">
        <f t="shared" si="671"/>
        <v>105</v>
      </c>
      <c r="EI209" s="85">
        <f t="shared" si="671"/>
        <v>375</v>
      </c>
      <c r="EJ209" s="76">
        <f t="shared" si="671"/>
        <v>103</v>
      </c>
      <c r="EK209" s="76">
        <f t="shared" si="671"/>
        <v>118</v>
      </c>
      <c r="EL209" s="76">
        <f t="shared" si="671"/>
        <v>135</v>
      </c>
      <c r="EM209" s="76">
        <f t="shared" si="671"/>
        <v>169</v>
      </c>
      <c r="EN209" s="85">
        <f t="shared" si="671"/>
        <v>525</v>
      </c>
      <c r="EO209" s="85">
        <f t="shared" si="671"/>
        <v>158</v>
      </c>
      <c r="EP209" s="85">
        <f t="shared" si="671"/>
        <v>171</v>
      </c>
      <c r="EQ209" s="85">
        <f t="shared" si="671"/>
        <v>196</v>
      </c>
      <c r="ER209" s="85">
        <f t="shared" si="671"/>
        <v>211</v>
      </c>
      <c r="ES209" s="85">
        <f>SUM(ES207:ES208)</f>
        <v>736</v>
      </c>
      <c r="ET209" s="85">
        <f t="shared" ref="ET209:EW209" si="672">ET204</f>
        <v>202.94083333333333</v>
      </c>
      <c r="EU209" s="85">
        <f t="shared" si="672"/>
        <v>202.94083333333333</v>
      </c>
      <c r="EV209" s="85">
        <f t="shared" si="672"/>
        <v>202.94083333333333</v>
      </c>
      <c r="EW209" s="85">
        <f t="shared" si="672"/>
        <v>202.94083333333333</v>
      </c>
      <c r="EX209" s="85">
        <f>SUM(EX207:EX208)</f>
        <v>811.76333333333332</v>
      </c>
      <c r="EY209" s="85">
        <f t="shared" ref="EY209:FB209" si="673">EY204</f>
        <v>202.94083333333333</v>
      </c>
      <c r="EZ209" s="85">
        <f t="shared" si="673"/>
        <v>202.94083333333333</v>
      </c>
      <c r="FA209" s="85">
        <f t="shared" si="673"/>
        <v>234.81583333333333</v>
      </c>
      <c r="FB209" s="85">
        <f t="shared" si="673"/>
        <v>234.81583333333333</v>
      </c>
      <c r="FC209" s="85">
        <f>SUM(FC207:FC208)</f>
        <v>875.51333333333332</v>
      </c>
      <c r="FD209" s="85">
        <f t="shared" ref="FD209:FM209" si="674">FD204</f>
        <v>218.87833333333333</v>
      </c>
      <c r="FE209" s="85">
        <f t="shared" si="674"/>
        <v>218.87833333333333</v>
      </c>
      <c r="FF209" s="85">
        <f t="shared" si="674"/>
        <v>234.81583333333333</v>
      </c>
      <c r="FG209" s="85">
        <f t="shared" si="674"/>
        <v>234.81583333333333</v>
      </c>
      <c r="FH209" s="85">
        <f>SUM(FH207:FH208)</f>
        <v>907.38833333333332</v>
      </c>
      <c r="FI209" s="85">
        <f t="shared" si="674"/>
        <v>910.94849166666677</v>
      </c>
      <c r="FJ209" s="85">
        <f t="shared" si="674"/>
        <v>905.37349166666672</v>
      </c>
      <c r="FK209" s="85">
        <f t="shared" si="674"/>
        <v>1012.2423261304172</v>
      </c>
      <c r="FL209" s="85">
        <f t="shared" si="674"/>
        <v>1028.9388175184133</v>
      </c>
      <c r="FM209" s="85">
        <f t="shared" si="674"/>
        <v>1095.7617025873947</v>
      </c>
    </row>
    <row r="210" spans="1:169" x14ac:dyDescent="0.3">
      <c r="A210" s="176"/>
      <c r="ET210" s="90"/>
      <c r="EU210" s="90"/>
      <c r="EV210" s="90"/>
      <c r="EW210" s="90"/>
      <c r="EY210" s="90"/>
      <c r="EZ210" s="90"/>
      <c r="FA210" s="90"/>
      <c r="FB210" s="90"/>
      <c r="FD210" s="90"/>
      <c r="FE210" s="90"/>
      <c r="FF210" s="90"/>
      <c r="FG210" s="90"/>
    </row>
    <row r="211" spans="1:169" x14ac:dyDescent="0.3">
      <c r="A211" s="173" t="s">
        <v>154</v>
      </c>
      <c r="EE211" s="76">
        <f>EE202</f>
        <v>16837.462672504575</v>
      </c>
      <c r="EF211" s="76">
        <f t="shared" ref="EF211:EH211" si="675">EF202</f>
        <v>11931.187108573962</v>
      </c>
      <c r="EG211" s="76">
        <f t="shared" si="675"/>
        <v>7016.5</v>
      </c>
      <c r="EH211" s="76">
        <f t="shared" si="675"/>
        <v>7497</v>
      </c>
      <c r="EI211" s="85">
        <f>+AVERAGE(EE211:EH211)</f>
        <v>10820.537445269634</v>
      </c>
      <c r="EJ211" s="76">
        <f>EJ202</f>
        <v>7983</v>
      </c>
      <c r="EK211" s="76">
        <f t="shared" ref="EK211:EM211" si="676">EK202</f>
        <v>8564</v>
      </c>
      <c r="EL211" s="76">
        <f t="shared" si="676"/>
        <v>9140</v>
      </c>
      <c r="EM211" s="76">
        <f t="shared" si="676"/>
        <v>9130</v>
      </c>
      <c r="EN211" s="85">
        <f>+AVERAGE(EJ211:EM211)</f>
        <v>8704.25</v>
      </c>
      <c r="EO211" s="76">
        <f>EO202</f>
        <v>9489.5</v>
      </c>
      <c r="EP211" s="76">
        <f t="shared" ref="EP211:FM211" si="677">EP202</f>
        <v>9849</v>
      </c>
      <c r="EQ211" s="76">
        <f t="shared" si="677"/>
        <v>10558.5</v>
      </c>
      <c r="ER211" s="76">
        <f t="shared" si="677"/>
        <v>11267</v>
      </c>
      <c r="ES211" s="85">
        <f>+AVERAGE(EO211:ER211)</f>
        <v>10291</v>
      </c>
      <c r="ET211" s="76">
        <f t="shared" ref="ET211:EW211" si="678">ET202</f>
        <v>11261</v>
      </c>
      <c r="EU211" s="76">
        <f t="shared" si="678"/>
        <v>11261</v>
      </c>
      <c r="EV211" s="76">
        <f t="shared" si="678"/>
        <v>11261</v>
      </c>
      <c r="EW211" s="76">
        <f t="shared" si="678"/>
        <v>11261</v>
      </c>
      <c r="EX211" s="85">
        <f>+AVERAGE(ET211:EW211)</f>
        <v>11261</v>
      </c>
      <c r="EY211" s="76">
        <f t="shared" ref="EY211:FB211" si="679">EY202</f>
        <v>11261</v>
      </c>
      <c r="EZ211" s="76">
        <f t="shared" si="679"/>
        <v>12011</v>
      </c>
      <c r="FA211" s="76">
        <f t="shared" si="679"/>
        <v>12761</v>
      </c>
      <c r="FB211" s="76">
        <f t="shared" si="679"/>
        <v>12761</v>
      </c>
      <c r="FC211" s="85">
        <f>+AVERAGE(EY211:FB211)</f>
        <v>12198.5</v>
      </c>
      <c r="FD211" s="76">
        <f t="shared" si="677"/>
        <v>12761</v>
      </c>
      <c r="FE211" s="76">
        <f t="shared" si="677"/>
        <v>13136</v>
      </c>
      <c r="FF211" s="76">
        <f t="shared" si="677"/>
        <v>13511</v>
      </c>
      <c r="FG211" s="76">
        <f t="shared" si="677"/>
        <v>13511</v>
      </c>
      <c r="FH211" s="85">
        <f>+AVERAGE(FD211:FG211)</f>
        <v>13229.75</v>
      </c>
      <c r="FI211" s="76">
        <f t="shared" si="677"/>
        <v>13391</v>
      </c>
      <c r="FJ211" s="76">
        <f t="shared" si="677"/>
        <v>13046</v>
      </c>
      <c r="FK211" s="76">
        <f t="shared" si="677"/>
        <v>13229.7142289853</v>
      </c>
      <c r="FL211" s="76">
        <f t="shared" si="677"/>
        <v>14101.03619979016</v>
      </c>
      <c r="FM211" s="76">
        <f t="shared" si="677"/>
        <v>14992.131314970287</v>
      </c>
    </row>
    <row r="212" spans="1:169" x14ac:dyDescent="0.3">
      <c r="A212" s="173" t="s">
        <v>155</v>
      </c>
      <c r="EE212" s="74">
        <f>+EE213/EE211*4</f>
        <v>9.502619433347197E-3</v>
      </c>
      <c r="EF212" s="74">
        <f>+EF213/EF211*4</f>
        <v>4.2912745843376114E-2</v>
      </c>
      <c r="EG212" s="74">
        <f>+EG213/EG211*4</f>
        <v>2.1093137604218628E-2</v>
      </c>
      <c r="EH212" s="74">
        <f>+EH213/EH211*4</f>
        <v>8.5367480325463513E-2</v>
      </c>
      <c r="EI212" s="92">
        <f>+EI213/EI211</f>
        <v>3.3732150722288329E-2</v>
      </c>
      <c r="EJ212" s="74">
        <f>+EJ213/EJ211*4</f>
        <v>1.8038331454340473E-2</v>
      </c>
      <c r="EK212" s="74">
        <f>+EK213/EK211*4</f>
        <v>7.5665576833255491E-2</v>
      </c>
      <c r="EL212" s="74">
        <f>+EL213/EL211*4</f>
        <v>3.8512035010940922E-2</v>
      </c>
      <c r="EM212" s="74">
        <f>+EM213/EM211*4</f>
        <v>9.9014238773274921E-2</v>
      </c>
      <c r="EN212" s="92">
        <f>+EN213/EN211</f>
        <v>5.882183990579315E-2</v>
      </c>
      <c r="EO212" s="74">
        <f>+EO213/EO211*4</f>
        <v>3.4986037199009432E-2</v>
      </c>
      <c r="EP212" s="74">
        <f>+EP213/EP211*4</f>
        <v>9.3816631130063971E-2</v>
      </c>
      <c r="EQ212" s="74">
        <f>+EQ213/EQ211*4</f>
        <v>5.1143628356300611E-2</v>
      </c>
      <c r="ER212" s="74">
        <f>+ER213/ER211*4</f>
        <v>9.3014999556226149E-2</v>
      </c>
      <c r="ES212" s="92">
        <f>+ES213/ES211</f>
        <v>6.9089495675833251E-2</v>
      </c>
      <c r="ET212" s="99">
        <f>EO212/EO203*ET203*0.81</f>
        <v>3.0673158340817814E-2</v>
      </c>
      <c r="EU212" s="99">
        <f t="shared" ref="EU212:EW212" si="680">EP212/EP203*EU203</f>
        <v>9.737967969979712E-2</v>
      </c>
      <c r="EV212" s="99">
        <f t="shared" si="680"/>
        <v>4.9651248031403312E-2</v>
      </c>
      <c r="EW212" s="99">
        <f t="shared" si="680"/>
        <v>8.9509948706639378E-2</v>
      </c>
      <c r="EX212" s="92">
        <f>+EX213/EX211</f>
        <v>6.6803508694664407E-2</v>
      </c>
      <c r="EY212" s="99">
        <f t="shared" ref="EY212:FB212" si="681">ET212/ET203*EY203</f>
        <v>3.0673158340817814E-2</v>
      </c>
      <c r="EZ212" s="99">
        <f t="shared" si="681"/>
        <v>9.1299023653269112E-2</v>
      </c>
      <c r="FA212" s="99">
        <f t="shared" si="681"/>
        <v>5.0696777809940682E-2</v>
      </c>
      <c r="FB212" s="99">
        <f t="shared" si="681"/>
        <v>9.1394801969319775E-2</v>
      </c>
      <c r="FC212" s="92">
        <f>+FC213/FC211</f>
        <v>6.6713810278692207E-2</v>
      </c>
      <c r="FD212" s="99">
        <f t="shared" ref="FD212:FG212" si="682">EY212/EY203*FD203</f>
        <v>2.9193359811688906E-2</v>
      </c>
      <c r="FE212" s="99">
        <f t="shared" si="682"/>
        <v>9.0035855218639368E-2</v>
      </c>
      <c r="FF212" s="99">
        <f t="shared" si="682"/>
        <v>4.7882583201291767E-2</v>
      </c>
      <c r="FG212" s="99">
        <f t="shared" si="682"/>
        <v>8.6321446815964001E-2</v>
      </c>
      <c r="FH212" s="92">
        <f>+FH213/FH211</f>
        <v>6.3653472444153356E-2</v>
      </c>
      <c r="FI212" s="99">
        <f t="shared" ref="FI212:FM212" si="683">FH212/FH203*FI203</f>
        <v>6.3133716808786183E-2</v>
      </c>
      <c r="FJ212" s="99">
        <f t="shared" si="683"/>
        <v>6.4406685096541974E-2</v>
      </c>
      <c r="FK212" s="99">
        <f t="shared" si="683"/>
        <v>7.1009192935279311E-2</v>
      </c>
      <c r="FL212" s="99">
        <f t="shared" si="683"/>
        <v>6.7720330811832222E-2</v>
      </c>
      <c r="FM212" s="99">
        <f t="shared" si="683"/>
        <v>6.7831791428109856E-2</v>
      </c>
    </row>
    <row r="213" spans="1:169" x14ac:dyDescent="0.3">
      <c r="A213" s="174" t="s">
        <v>160</v>
      </c>
      <c r="EE213" s="855">
        <f>Inputs!EE272</f>
        <v>40</v>
      </c>
      <c r="EF213" s="855">
        <f>Inputs!EF272</f>
        <v>128</v>
      </c>
      <c r="EG213" s="855">
        <f>Inputs!EG272</f>
        <v>37</v>
      </c>
      <c r="EH213" s="855">
        <f>Inputs!EH272</f>
        <v>160</v>
      </c>
      <c r="EI213" s="803">
        <f>SUM(EE213:EH213)</f>
        <v>365</v>
      </c>
      <c r="EJ213" s="855">
        <f>Inputs!EJ272</f>
        <v>36</v>
      </c>
      <c r="EK213" s="855">
        <f>Inputs!EK272</f>
        <v>162</v>
      </c>
      <c r="EL213" s="855">
        <f>Inputs!EL272</f>
        <v>88</v>
      </c>
      <c r="EM213" s="855">
        <f>Inputs!EM272</f>
        <v>226</v>
      </c>
      <c r="EN213" s="803">
        <f>SUM(EJ213:EM213)</f>
        <v>512</v>
      </c>
      <c r="EO213" s="855">
        <f>Inputs!EO272</f>
        <v>83</v>
      </c>
      <c r="EP213" s="855">
        <f>Inputs!EP272</f>
        <v>231</v>
      </c>
      <c r="EQ213" s="855">
        <f>Inputs!EQ272</f>
        <v>135</v>
      </c>
      <c r="ER213" s="855">
        <f>Inputs!ER272</f>
        <v>262</v>
      </c>
      <c r="ES213" s="803">
        <f>SUM(EO213:ER213)</f>
        <v>711</v>
      </c>
      <c r="ET213" s="803">
        <f t="shared" ref="ET213:EW213" si="684">+ET211*ET212/4</f>
        <v>86.352609018987351</v>
      </c>
      <c r="EU213" s="803">
        <f t="shared" si="684"/>
        <v>274.14814327485385</v>
      </c>
      <c r="EV213" s="803">
        <f t="shared" si="684"/>
        <v>139.78067602040818</v>
      </c>
      <c r="EW213" s="803">
        <f t="shared" si="684"/>
        <v>251.99288309636651</v>
      </c>
      <c r="EX213" s="803">
        <f>SUM(ET213:EW213)</f>
        <v>752.27431141061584</v>
      </c>
      <c r="EY213" s="803">
        <f t="shared" ref="EY213:FB213" si="685">+EY211*EY212/4</f>
        <v>86.352609018987351</v>
      </c>
      <c r="EZ213" s="803">
        <f t="shared" si="685"/>
        <v>274.14814327485385</v>
      </c>
      <c r="FA213" s="803">
        <f t="shared" si="685"/>
        <v>161.73539540816327</v>
      </c>
      <c r="FB213" s="803">
        <f t="shared" si="685"/>
        <v>291.57226698262241</v>
      </c>
      <c r="FC213" s="803">
        <f>SUM(EY213:FB213)</f>
        <v>813.80841468462688</v>
      </c>
      <c r="FD213" s="803">
        <f t="shared" ref="FD213:FG213" si="686">+FD211*FD212/4</f>
        <v>93.134116139240533</v>
      </c>
      <c r="FE213" s="803">
        <f t="shared" si="686"/>
        <v>295.67774853801171</v>
      </c>
      <c r="FF213" s="803">
        <f t="shared" si="686"/>
        <v>161.73539540816327</v>
      </c>
      <c r="FG213" s="803">
        <f t="shared" si="686"/>
        <v>291.57226698262241</v>
      </c>
      <c r="FH213" s="803">
        <f>SUM(FD213:FG213)</f>
        <v>842.11952706803788</v>
      </c>
      <c r="FI213" s="803">
        <f t="shared" ref="FI213:FM213" si="687">+FI211*FI212</f>
        <v>845.42360178645583</v>
      </c>
      <c r="FJ213" s="803">
        <f t="shared" si="687"/>
        <v>840.24961376948659</v>
      </c>
      <c r="FK213" s="803">
        <f t="shared" si="687"/>
        <v>939.43133016462718</v>
      </c>
      <c r="FL213" s="803">
        <f t="shared" si="687"/>
        <v>954.92683623941116</v>
      </c>
      <c r="FM213" s="803">
        <f t="shared" si="687"/>
        <v>1016.9431244198988</v>
      </c>
    </row>
    <row r="214" spans="1:169" x14ac:dyDescent="0.3">
      <c r="A214" s="176"/>
      <c r="ET214" s="90"/>
      <c r="EU214" s="90"/>
      <c r="EV214" s="90"/>
      <c r="EW214" s="90"/>
      <c r="EY214" s="90"/>
      <c r="EZ214" s="90"/>
      <c r="FA214" s="90"/>
      <c r="FB214" s="90"/>
      <c r="FD214" s="90"/>
      <c r="FE214" s="90"/>
      <c r="FF214" s="90"/>
      <c r="FG214" s="90"/>
    </row>
    <row r="215" spans="1:169" x14ac:dyDescent="0.3">
      <c r="A215" s="176"/>
      <c r="ET215" s="90"/>
      <c r="EU215" s="90"/>
      <c r="EV215" s="90"/>
      <c r="EW215" s="90"/>
      <c r="EY215" s="90"/>
      <c r="EZ215" s="90"/>
      <c r="FA215" s="90"/>
      <c r="FB215" s="90"/>
      <c r="FD215" s="90"/>
      <c r="FE215" s="90"/>
      <c r="FF215" s="90"/>
      <c r="FG215" s="90"/>
    </row>
    <row r="216" spans="1:169" x14ac:dyDescent="0.3">
      <c r="A216" s="105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4"/>
      <c r="CO216" s="54"/>
      <c r="CP216" s="54"/>
      <c r="CQ216" s="54"/>
      <c r="CR216" s="54"/>
      <c r="CS216" s="54"/>
      <c r="CT216" s="54"/>
      <c r="CU216" s="54"/>
      <c r="CV216" s="54"/>
      <c r="CW216" s="54"/>
      <c r="CX216" s="54"/>
      <c r="CY216" s="54"/>
      <c r="CZ216" s="54"/>
      <c r="DA216" s="54"/>
      <c r="DB216" s="54"/>
      <c r="DC216" s="54"/>
      <c r="DD216" s="54"/>
      <c r="DE216" s="54"/>
      <c r="DF216" s="54"/>
      <c r="DG216" s="54"/>
      <c r="DH216" s="54"/>
      <c r="DI216" s="54"/>
      <c r="DJ216" s="54"/>
      <c r="DK216" s="54"/>
      <c r="DL216" s="54"/>
      <c r="DM216" s="54"/>
      <c r="DN216" s="54"/>
      <c r="DO216" s="54"/>
      <c r="DP216" s="54"/>
      <c r="DQ216" s="54"/>
      <c r="DR216" s="54"/>
      <c r="DS216" s="54"/>
      <c r="DT216" s="54"/>
      <c r="DU216" s="54"/>
      <c r="DV216" s="54"/>
      <c r="DW216" s="54"/>
      <c r="DX216" s="54"/>
      <c r="DY216" s="54"/>
      <c r="DZ216" s="54"/>
      <c r="EA216" s="54"/>
      <c r="EB216" s="54"/>
      <c r="EC216" s="54"/>
      <c r="ED216" s="54"/>
      <c r="EE216" s="54"/>
      <c r="EF216" s="54"/>
      <c r="EG216" s="54"/>
      <c r="EH216" s="54"/>
      <c r="EI216" s="54"/>
      <c r="EJ216" s="54"/>
      <c r="EK216" s="54"/>
      <c r="EL216" s="54"/>
      <c r="EM216" s="54"/>
      <c r="EN216" s="54"/>
      <c r="EO216" s="54"/>
      <c r="EP216" s="54"/>
      <c r="EQ216" s="54"/>
      <c r="ER216" s="54"/>
      <c r="ES216" s="54"/>
      <c r="ET216" s="54"/>
      <c r="EU216" s="54"/>
      <c r="EV216" s="54"/>
      <c r="EW216" s="54"/>
      <c r="EX216" s="54"/>
      <c r="EY216" s="54"/>
      <c r="EZ216" s="54"/>
      <c r="FA216" s="54"/>
      <c r="FB216" s="54"/>
      <c r="FC216" s="54"/>
      <c r="FD216" s="54"/>
      <c r="FE216" s="54"/>
      <c r="FF216" s="54"/>
      <c r="FG216" s="54"/>
      <c r="FH216" s="54"/>
      <c r="FI216" s="54"/>
      <c r="FJ216" s="54"/>
      <c r="FK216" s="54"/>
      <c r="FL216" s="54"/>
      <c r="FM216" s="54"/>
    </row>
    <row r="217" spans="1:169" x14ac:dyDescent="0.3">
      <c r="A217" s="164"/>
      <c r="ET217" s="90"/>
      <c r="EU217" s="90"/>
      <c r="EV217" s="90"/>
      <c r="EW217" s="90"/>
      <c r="EY217" s="90"/>
      <c r="EZ217" s="90"/>
      <c r="FA217" s="90"/>
      <c r="FB217" s="90"/>
      <c r="FD217" s="90"/>
      <c r="FE217" s="90"/>
      <c r="FF217" s="90"/>
      <c r="FG217" s="90"/>
    </row>
    <row r="218" spans="1:169" hidden="1" outlineLevel="1" x14ac:dyDescent="0.3">
      <c r="A218" s="164"/>
      <c r="EQ218" s="76">
        <v>2000</v>
      </c>
      <c r="ER218" s="76">
        <v>0</v>
      </c>
      <c r="ET218" s="76">
        <v>0</v>
      </c>
      <c r="EU218" s="76">
        <v>0</v>
      </c>
      <c r="EV218" s="76">
        <v>0</v>
      </c>
      <c r="EW218" s="76">
        <v>0</v>
      </c>
      <c r="EX218" s="76">
        <v>0</v>
      </c>
      <c r="EY218" s="76">
        <v>0</v>
      </c>
      <c r="EZ218" s="76">
        <v>0</v>
      </c>
      <c r="FA218" s="76">
        <v>0</v>
      </c>
      <c r="FB218" s="76">
        <v>0</v>
      </c>
      <c r="FC218" s="76">
        <f>FC202-EX202</f>
        <v>937.5</v>
      </c>
      <c r="FD218" s="76">
        <v>0</v>
      </c>
      <c r="FE218" s="76">
        <v>0</v>
      </c>
      <c r="FF218" s="76">
        <v>0</v>
      </c>
      <c r="FG218" s="76">
        <v>0</v>
      </c>
      <c r="FH218" s="76">
        <f>FH202-FC202</f>
        <v>1031.25</v>
      </c>
      <c r="FI218" s="76">
        <f t="shared" ref="FI218:FM218" si="688">FI202-FH202</f>
        <v>161.25</v>
      </c>
      <c r="FJ218" s="76">
        <f t="shared" si="688"/>
        <v>-345</v>
      </c>
      <c r="FK218" s="76">
        <f t="shared" si="688"/>
        <v>183.7142289853</v>
      </c>
      <c r="FL218" s="76">
        <f t="shared" si="688"/>
        <v>871.32197080486003</v>
      </c>
      <c r="FM218" s="76">
        <f t="shared" si="688"/>
        <v>891.09511518012732</v>
      </c>
    </row>
    <row r="219" spans="1:169" hidden="1" outlineLevel="1" x14ac:dyDescent="0.3">
      <c r="A219" s="164"/>
      <c r="EQ219" s="146">
        <v>0.08</v>
      </c>
      <c r="ER219" s="146">
        <v>0.08</v>
      </c>
      <c r="ET219" s="146">
        <v>0.08</v>
      </c>
      <c r="EU219" s="146">
        <v>0.08</v>
      </c>
      <c r="EV219" s="146">
        <v>0.08</v>
      </c>
      <c r="EW219" s="146">
        <v>0.08</v>
      </c>
      <c r="EX219" s="146">
        <v>0.08</v>
      </c>
      <c r="EY219" s="146">
        <v>0.08</v>
      </c>
      <c r="EZ219" s="146">
        <v>0.08</v>
      </c>
      <c r="FA219" s="146">
        <v>0.08</v>
      </c>
      <c r="FB219" s="146">
        <v>0.08</v>
      </c>
      <c r="FC219" s="146">
        <f>EX219</f>
        <v>0.08</v>
      </c>
      <c r="FD219" s="146">
        <v>0.08</v>
      </c>
      <c r="FE219" s="146">
        <v>0.08</v>
      </c>
      <c r="FF219" s="146">
        <v>0.08</v>
      </c>
      <c r="FG219" s="146">
        <v>0.08</v>
      </c>
      <c r="FH219" s="146">
        <f>FC219</f>
        <v>0.08</v>
      </c>
      <c r="FI219" s="146">
        <f t="shared" ref="FI219:FM219" si="689">FH219</f>
        <v>0.08</v>
      </c>
      <c r="FJ219" s="146">
        <f t="shared" si="689"/>
        <v>0.08</v>
      </c>
      <c r="FK219" s="146">
        <f t="shared" si="689"/>
        <v>0.08</v>
      </c>
      <c r="FL219" s="146">
        <f t="shared" si="689"/>
        <v>0.08</v>
      </c>
      <c r="FM219" s="146">
        <f t="shared" si="689"/>
        <v>0.08</v>
      </c>
    </row>
    <row r="220" spans="1:169" hidden="1" outlineLevel="1" x14ac:dyDescent="0.3">
      <c r="A220" s="164"/>
      <c r="EQ220" s="885">
        <f>EQ218*EQ219/4</f>
        <v>40</v>
      </c>
      <c r="ER220" s="885">
        <f>ER218*ER219/4</f>
        <v>0</v>
      </c>
      <c r="ET220" s="885">
        <f t="shared" ref="ET220:EW220" si="690">ET218*ET219/4</f>
        <v>0</v>
      </c>
      <c r="EU220" s="885">
        <f t="shared" si="690"/>
        <v>0</v>
      </c>
      <c r="EV220" s="885">
        <f t="shared" si="690"/>
        <v>0</v>
      </c>
      <c r="EW220" s="885">
        <f t="shared" si="690"/>
        <v>0</v>
      </c>
      <c r="EX220" s="885">
        <f>EX218*EX219</f>
        <v>0</v>
      </c>
      <c r="EY220" s="885">
        <f t="shared" ref="EY220:FB220" si="691">EY218*EY219/4</f>
        <v>0</v>
      </c>
      <c r="EZ220" s="885">
        <f t="shared" si="691"/>
        <v>0</v>
      </c>
      <c r="FA220" s="885">
        <f t="shared" si="691"/>
        <v>0</v>
      </c>
      <c r="FB220" s="885">
        <f t="shared" si="691"/>
        <v>0</v>
      </c>
      <c r="FC220" s="885">
        <f t="shared" ref="FC220:FM220" si="692">FC218*FC219</f>
        <v>75</v>
      </c>
      <c r="FD220" s="885">
        <f t="shared" ref="FD220:FG220" si="693">FD218*FD219/4</f>
        <v>0</v>
      </c>
      <c r="FE220" s="885">
        <f t="shared" si="693"/>
        <v>0</v>
      </c>
      <c r="FF220" s="885">
        <f t="shared" si="693"/>
        <v>0</v>
      </c>
      <c r="FG220" s="885">
        <f t="shared" si="693"/>
        <v>0</v>
      </c>
      <c r="FH220" s="885">
        <f t="shared" si="692"/>
        <v>82.5</v>
      </c>
      <c r="FI220" s="885">
        <f t="shared" si="692"/>
        <v>12.9</v>
      </c>
      <c r="FJ220" s="885">
        <f t="shared" si="692"/>
        <v>-27.6</v>
      </c>
      <c r="FK220" s="885">
        <f t="shared" si="692"/>
        <v>14.697138318824001</v>
      </c>
      <c r="FL220" s="885">
        <f t="shared" si="692"/>
        <v>69.705757664388798</v>
      </c>
      <c r="FM220" s="885">
        <f t="shared" si="692"/>
        <v>71.287609214410182</v>
      </c>
    </row>
    <row r="221" spans="1:169" hidden="1" outlineLevel="1" x14ac:dyDescent="0.3">
      <c r="A221" s="164"/>
      <c r="EQ221" s="885">
        <f>EP204+EQ220</f>
        <v>211</v>
      </c>
      <c r="ER221" s="885">
        <f>EQ204+ER220</f>
        <v>196</v>
      </c>
      <c r="ET221" s="885">
        <f t="shared" ref="ET221:EW221" si="694">ES204+ET220</f>
        <v>736</v>
      </c>
      <c r="EU221" s="885">
        <f t="shared" si="694"/>
        <v>202.94083333333333</v>
      </c>
      <c r="EV221" s="885">
        <f t="shared" si="694"/>
        <v>202.94083333333333</v>
      </c>
      <c r="EW221" s="885">
        <f t="shared" si="694"/>
        <v>202.94083333333333</v>
      </c>
      <c r="EX221" s="885">
        <f>ER221*4</f>
        <v>784</v>
      </c>
      <c r="EY221" s="885">
        <f t="shared" ref="EY221" si="695">EX204+EY220</f>
        <v>811.76333333333332</v>
      </c>
      <c r="EZ221" s="885">
        <f t="shared" ref="EZ221" si="696">EY204+EZ220</f>
        <v>202.94083333333333</v>
      </c>
      <c r="FA221" s="885">
        <f t="shared" ref="FA221" si="697">EZ204+FA220</f>
        <v>202.94083333333333</v>
      </c>
      <c r="FB221" s="885">
        <f t="shared" ref="FB221" si="698">FA204+FB220</f>
        <v>234.81583333333333</v>
      </c>
      <c r="FC221" s="885">
        <f>EX204+FC220</f>
        <v>886.76333333333332</v>
      </c>
      <c r="FD221" s="885">
        <f t="shared" ref="FD221" si="699">FC204+FD220</f>
        <v>875.51333333333332</v>
      </c>
      <c r="FE221" s="885">
        <f t="shared" ref="FE221" si="700">FD204+FE220</f>
        <v>218.87833333333333</v>
      </c>
      <c r="FF221" s="885">
        <f t="shared" ref="FF221" si="701">FE204+FF220</f>
        <v>218.87833333333333</v>
      </c>
      <c r="FG221" s="885">
        <f t="shared" ref="FG221" si="702">FF204+FG220</f>
        <v>234.81583333333333</v>
      </c>
      <c r="FH221" s="885">
        <f>FC204+FH220</f>
        <v>958.01333333333332</v>
      </c>
      <c r="FI221" s="885">
        <f t="shared" ref="FI221:FM221" si="703">FH204+FI220</f>
        <v>920.2883333333333</v>
      </c>
      <c r="FJ221" s="885">
        <f t="shared" si="703"/>
        <v>883.34849166666675</v>
      </c>
      <c r="FK221" s="885">
        <f t="shared" si="703"/>
        <v>920.07062998549077</v>
      </c>
      <c r="FL221" s="885">
        <f t="shared" si="703"/>
        <v>1081.9480837948061</v>
      </c>
      <c r="FM221" s="885">
        <f t="shared" si="703"/>
        <v>1100.2264267328235</v>
      </c>
    </row>
    <row r="222" spans="1:169" collapsed="1" x14ac:dyDescent="0.3">
      <c r="A222" s="164"/>
      <c r="ET222" s="90"/>
      <c r="EU222" s="90"/>
      <c r="EV222" s="90"/>
      <c r="EW222" s="90"/>
      <c r="EY222" s="90"/>
      <c r="EZ222" s="90"/>
      <c r="FA222" s="90"/>
      <c r="FB222" s="90"/>
      <c r="FD222" s="90"/>
      <c r="FE222" s="90"/>
      <c r="FF222" s="90"/>
      <c r="FG222" s="90"/>
    </row>
    <row r="223" spans="1:169" x14ac:dyDescent="0.3">
      <c r="A223" s="164"/>
      <c r="EN223" s="92"/>
      <c r="EO223" s="92"/>
      <c r="EP223" s="92"/>
      <c r="EQ223" s="92"/>
      <c r="ER223" s="92"/>
      <c r="ET223" s="92"/>
      <c r="EU223" s="92"/>
      <c r="EV223" s="92"/>
      <c r="EW223" s="92"/>
      <c r="EY223" s="92"/>
      <c r="EZ223" s="92"/>
      <c r="FA223" s="92"/>
      <c r="FB223" s="92"/>
      <c r="FD223" s="92"/>
      <c r="FE223" s="92"/>
      <c r="FF223" s="92"/>
      <c r="FG223" s="92"/>
    </row>
    <row r="224" spans="1:169" x14ac:dyDescent="0.3">
      <c r="A224" s="164"/>
      <c r="ET224" s="90"/>
      <c r="EU224" s="90"/>
      <c r="EV224" s="90"/>
      <c r="EW224" s="90"/>
      <c r="EY224" s="90"/>
      <c r="EZ224" s="90"/>
      <c r="FA224" s="90"/>
      <c r="FB224" s="90"/>
      <c r="FD224" s="90"/>
      <c r="FE224" s="90"/>
      <c r="FF224" s="90"/>
      <c r="FG224" s="90"/>
    </row>
    <row r="225" spans="1:163" x14ac:dyDescent="0.3">
      <c r="A225" s="164"/>
      <c r="ET225" s="90"/>
      <c r="EU225" s="90"/>
      <c r="EV225" s="90"/>
      <c r="EW225" s="90"/>
      <c r="EY225" s="90"/>
      <c r="EZ225" s="90"/>
      <c r="FA225" s="90"/>
      <c r="FB225" s="90"/>
      <c r="FD225" s="90"/>
      <c r="FE225" s="90"/>
      <c r="FF225" s="90"/>
      <c r="FG225" s="90"/>
    </row>
    <row r="226" spans="1:163" x14ac:dyDescent="0.3">
      <c r="A226" s="164"/>
      <c r="ET226" s="90"/>
      <c r="EU226" s="90"/>
      <c r="EV226" s="90"/>
      <c r="EW226" s="90"/>
      <c r="EY226" s="90"/>
      <c r="EZ226" s="90"/>
      <c r="FA226" s="90"/>
      <c r="FB226" s="90"/>
      <c r="FD226" s="90"/>
      <c r="FE226" s="90"/>
      <c r="FF226" s="90"/>
      <c r="FG226" s="90"/>
    </row>
    <row r="227" spans="1:163" x14ac:dyDescent="0.3">
      <c r="A227" s="164"/>
      <c r="ET227" s="90"/>
      <c r="EU227" s="90"/>
      <c r="EV227" s="90"/>
      <c r="EW227" s="90"/>
      <c r="EY227" s="90"/>
      <c r="EZ227" s="90"/>
      <c r="FA227" s="90"/>
      <c r="FB227" s="90"/>
      <c r="FD227" s="90"/>
      <c r="FE227" s="90"/>
      <c r="FF227" s="90"/>
      <c r="FG227" s="90"/>
    </row>
    <row r="228" spans="1:163" x14ac:dyDescent="0.3">
      <c r="A228" s="164"/>
      <c r="ET228" s="90"/>
      <c r="EU228" s="90"/>
      <c r="EV228" s="90"/>
      <c r="EW228" s="90"/>
      <c r="EY228" s="90"/>
      <c r="EZ228" s="90"/>
      <c r="FA228" s="90"/>
      <c r="FB228" s="90"/>
      <c r="FD228" s="90"/>
      <c r="FE228" s="90"/>
      <c r="FF228" s="90"/>
      <c r="FG228" s="90"/>
    </row>
    <row r="229" spans="1:163" x14ac:dyDescent="0.3">
      <c r="A229" s="164"/>
      <c r="ET229" s="90"/>
      <c r="EU229" s="90"/>
      <c r="EV229" s="90"/>
      <c r="EW229" s="90"/>
      <c r="EY229" s="90"/>
      <c r="EZ229" s="90"/>
      <c r="FA229" s="90"/>
      <c r="FB229" s="90"/>
      <c r="FD229" s="90"/>
      <c r="FE229" s="90"/>
      <c r="FF229" s="90"/>
      <c r="FG229" s="90"/>
    </row>
    <row r="230" spans="1:163" x14ac:dyDescent="0.3">
      <c r="A230" s="164"/>
      <c r="ET230" s="90"/>
      <c r="EU230" s="90"/>
      <c r="EV230" s="90"/>
      <c r="EW230" s="90"/>
      <c r="EY230" s="90"/>
      <c r="EZ230" s="90"/>
      <c r="FA230" s="90"/>
      <c r="FB230" s="90"/>
      <c r="FD230" s="90"/>
      <c r="FE230" s="90"/>
      <c r="FF230" s="90"/>
      <c r="FG230" s="90"/>
    </row>
    <row r="231" spans="1:163" x14ac:dyDescent="0.3">
      <c r="A231" s="164"/>
      <c r="ET231" s="90"/>
      <c r="EU231" s="90"/>
      <c r="EV231" s="90"/>
      <c r="EW231" s="90"/>
      <c r="EY231" s="90"/>
      <c r="EZ231" s="90"/>
      <c r="FA231" s="90"/>
      <c r="FB231" s="90"/>
      <c r="FD231" s="90"/>
      <c r="FE231" s="90"/>
      <c r="FF231" s="90"/>
      <c r="FG231" s="90"/>
    </row>
    <row r="232" spans="1:163" x14ac:dyDescent="0.3">
      <c r="A232" s="164"/>
      <c r="ET232" s="90"/>
      <c r="EU232" s="90"/>
      <c r="EV232" s="90"/>
      <c r="EW232" s="90"/>
      <c r="EY232" s="90"/>
      <c r="EZ232" s="90"/>
      <c r="FA232" s="90"/>
      <c r="FB232" s="90"/>
      <c r="FD232" s="90"/>
      <c r="FE232" s="90"/>
      <c r="FF232" s="90"/>
      <c r="FG232" s="90"/>
    </row>
    <row r="233" spans="1:163" x14ac:dyDescent="0.3">
      <c r="A233" s="164"/>
      <c r="ET233" s="90"/>
      <c r="EU233" s="90"/>
      <c r="EV233" s="90"/>
      <c r="EW233" s="90"/>
      <c r="EY233" s="90"/>
      <c r="EZ233" s="90"/>
      <c r="FA233" s="90"/>
      <c r="FB233" s="90"/>
      <c r="FD233" s="90"/>
      <c r="FE233" s="90"/>
      <c r="FF233" s="90"/>
      <c r="FG233" s="90"/>
    </row>
    <row r="234" spans="1:163" x14ac:dyDescent="0.3">
      <c r="A234" s="164"/>
      <c r="ET234" s="90"/>
      <c r="EU234" s="90"/>
      <c r="EV234" s="90"/>
      <c r="EW234" s="90"/>
      <c r="EY234" s="90"/>
      <c r="EZ234" s="90"/>
      <c r="FA234" s="90"/>
      <c r="FB234" s="90"/>
      <c r="FD234" s="90"/>
      <c r="FE234" s="90"/>
      <c r="FF234" s="90"/>
      <c r="FG234" s="90"/>
    </row>
    <row r="235" spans="1:163" x14ac:dyDescent="0.3">
      <c r="A235" s="164"/>
      <c r="ET235" s="90"/>
      <c r="EU235" s="90"/>
      <c r="EV235" s="90"/>
      <c r="EW235" s="90"/>
      <c r="EY235" s="90"/>
      <c r="EZ235" s="90"/>
      <c r="FA235" s="90"/>
      <c r="FB235" s="90"/>
      <c r="FD235" s="90"/>
      <c r="FE235" s="90"/>
      <c r="FF235" s="90"/>
      <c r="FG235" s="90"/>
    </row>
  </sheetData>
  <pageMargins left="0.7" right="0.7" top="0.75" bottom="0.75" header="0.3" footer="0.3"/>
  <pageSetup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F8325-4788-4483-9867-A59004EC9125}">
  <dimension ref="A1:FY674"/>
  <sheetViews>
    <sheetView showGridLines="0" zoomScaleNormal="100" workbookViewId="0">
      <pane xSplit="2" ySplit="5" topLeftCell="ES546" activePane="bottomRight" state="frozen"/>
      <selection pane="topRight" activeCell="EV110" sqref="EV110"/>
      <selection pane="bottomLeft" activeCell="EV110" sqref="EV110"/>
      <selection pane="bottomRight" activeCell="EV110" sqref="EV110"/>
    </sheetView>
  </sheetViews>
  <sheetFormatPr defaultRowHeight="12" outlineLevelRow="1" outlineLevelCol="1" x14ac:dyDescent="0.3"/>
  <cols>
    <col min="1" max="1" width="53.33203125" customWidth="1"/>
    <col min="2" max="4" width="2.44140625" customWidth="1"/>
    <col min="5" max="123" width="9.33203125" hidden="1" customWidth="1" outlineLevel="1"/>
    <col min="124" max="124" width="9.33203125" collapsed="1"/>
    <col min="125" max="128" width="10.109375" bestFit="1" customWidth="1"/>
    <col min="129" max="129" width="9.77734375" style="90" customWidth="1"/>
    <col min="130" max="130" width="9.77734375" bestFit="1" customWidth="1"/>
    <col min="134" max="134" width="9.33203125" style="90"/>
    <col min="135" max="137" width="10.44140625" bestFit="1" customWidth="1"/>
    <col min="139" max="139" width="9.33203125" style="90"/>
    <col min="144" max="148" width="9.33203125" style="90"/>
    <col min="164" max="164" width="10" bestFit="1" customWidth="1"/>
    <col min="170" max="170" width="10.77734375" bestFit="1" customWidth="1"/>
    <col min="171" max="171" width="0" hidden="1" customWidth="1"/>
    <col min="173" max="173" width="14.77734375" bestFit="1" customWidth="1"/>
  </cols>
  <sheetData>
    <row r="1" spans="1:171" ht="21.5" thickBot="1" x14ac:dyDescent="0.55000000000000004">
      <c r="A1" s="38" t="s">
        <v>13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1199"/>
      <c r="DZ1" s="38"/>
      <c r="EA1" s="38"/>
      <c r="EB1" s="38"/>
      <c r="EC1" s="38"/>
      <c r="ED1" s="1199"/>
      <c r="EE1" s="38"/>
      <c r="EF1" s="38"/>
      <c r="EG1" s="38"/>
      <c r="EH1" s="38"/>
      <c r="EI1" s="1199"/>
      <c r="EJ1" s="38"/>
      <c r="EK1" s="38"/>
      <c r="EL1" s="38"/>
      <c r="EM1" s="38"/>
      <c r="EN1" s="1199"/>
      <c r="EO1" s="1199"/>
      <c r="EP1" s="1199"/>
      <c r="EQ1" s="1199"/>
      <c r="ER1" s="1199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</row>
    <row r="2" spans="1:171" x14ac:dyDescent="0.3">
      <c r="A2" s="39" t="s">
        <v>282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</row>
    <row r="3" spans="1:171" x14ac:dyDescent="0.3">
      <c r="A3" s="40" t="s">
        <v>15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39"/>
      <c r="DZ3" s="40"/>
      <c r="EA3" s="40"/>
      <c r="EB3" s="592"/>
      <c r="EC3" s="40"/>
      <c r="ED3" s="39"/>
      <c r="EE3" s="40"/>
      <c r="EF3" s="40"/>
      <c r="EG3" s="40"/>
      <c r="EH3" s="40"/>
      <c r="EI3" s="39"/>
      <c r="EJ3" s="40"/>
      <c r="EK3" s="40"/>
      <c r="EL3" s="40"/>
      <c r="EM3" s="40"/>
      <c r="EN3" s="39"/>
      <c r="EO3" s="39"/>
      <c r="EP3" s="39"/>
      <c r="EQ3" s="39"/>
      <c r="ER3" s="39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</row>
    <row r="4" spans="1:171" x14ac:dyDescent="0.3">
      <c r="A4" s="1124"/>
      <c r="B4" s="1124"/>
      <c r="C4" s="1124"/>
      <c r="D4" s="1124"/>
      <c r="E4" s="1124"/>
      <c r="F4" s="1124"/>
      <c r="G4" s="1124"/>
      <c r="H4" s="1124"/>
      <c r="I4" s="1124"/>
      <c r="J4" s="1124"/>
      <c r="K4" s="1124"/>
      <c r="L4" s="1124"/>
      <c r="M4" s="1124"/>
      <c r="N4" s="1124"/>
      <c r="O4" s="1124"/>
      <c r="P4" s="1124"/>
      <c r="Q4" s="1124"/>
      <c r="R4" s="1124"/>
      <c r="S4" s="1124"/>
      <c r="T4" s="1124"/>
      <c r="U4" s="1124"/>
      <c r="V4" s="1124"/>
      <c r="W4" s="1124"/>
      <c r="X4" s="1124"/>
      <c r="Y4" s="1124"/>
      <c r="Z4" s="1124"/>
      <c r="AA4" s="1124"/>
      <c r="AB4" s="1124"/>
      <c r="AC4" s="1124"/>
      <c r="AD4" s="1124"/>
      <c r="AE4" s="1124"/>
      <c r="AF4" s="1124"/>
      <c r="AG4" s="1124"/>
      <c r="AH4" s="1124"/>
      <c r="AI4" s="1124"/>
      <c r="AJ4" s="1124"/>
      <c r="AK4" s="1124"/>
      <c r="AL4" s="1124"/>
      <c r="AM4" s="1124"/>
      <c r="AN4" s="1124"/>
      <c r="AO4" s="1124"/>
      <c r="AP4" s="1124"/>
      <c r="AQ4" s="1124"/>
      <c r="AR4" s="1124"/>
      <c r="AS4" s="1124"/>
      <c r="AT4" s="1124"/>
      <c r="AU4" s="1124"/>
      <c r="AV4" s="1124"/>
      <c r="AW4" s="1124"/>
      <c r="AX4" s="1124"/>
      <c r="AY4" s="1124"/>
      <c r="AZ4" s="1124"/>
      <c r="BA4" s="1124"/>
      <c r="BB4" s="1124"/>
      <c r="BC4" s="1124"/>
      <c r="BD4" s="1124"/>
      <c r="BE4" s="1124"/>
      <c r="BF4" s="1124"/>
      <c r="BG4" s="1124"/>
      <c r="BH4" s="1124"/>
      <c r="BI4" s="1124"/>
      <c r="BJ4" s="1124"/>
      <c r="BK4" s="1124"/>
      <c r="BL4" s="1124"/>
      <c r="BM4" s="1124"/>
      <c r="BN4" s="1124"/>
      <c r="BO4" s="1124"/>
      <c r="BP4" s="1124"/>
      <c r="BQ4" s="1124"/>
      <c r="BR4" s="1124"/>
      <c r="BS4" s="1124"/>
      <c r="BT4" s="1124"/>
      <c r="BU4" s="1124"/>
      <c r="BV4" s="1124"/>
      <c r="BW4" s="1124"/>
      <c r="BX4" s="1124"/>
      <c r="BY4" s="1124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4"/>
      <c r="CK4" s="1124"/>
      <c r="CL4" s="1124"/>
      <c r="CM4" s="1124"/>
      <c r="CN4" s="1124"/>
      <c r="CO4" s="1124"/>
      <c r="CP4" s="1124"/>
      <c r="CQ4" s="1124"/>
      <c r="CR4" s="1124"/>
      <c r="CS4" s="1124"/>
      <c r="CT4" s="1124"/>
      <c r="CU4" s="1124"/>
      <c r="CV4" s="1124"/>
      <c r="CW4" s="1124"/>
      <c r="CX4" s="1124"/>
      <c r="CY4" s="1124"/>
      <c r="CZ4" s="1124"/>
      <c r="DA4" s="1124"/>
      <c r="DB4" s="1124"/>
      <c r="DC4" s="1124"/>
      <c r="DD4" s="1124"/>
      <c r="DE4" s="1124"/>
      <c r="DF4" s="1124"/>
      <c r="DG4" s="1124"/>
      <c r="DH4" s="1124"/>
      <c r="DI4" s="1124"/>
      <c r="DJ4" s="1124"/>
      <c r="DK4" s="1124"/>
      <c r="DL4" s="1124"/>
      <c r="DM4" s="1124"/>
      <c r="DN4" s="1124"/>
      <c r="DO4" s="1124"/>
      <c r="DP4" s="1124"/>
      <c r="DQ4" s="1124"/>
      <c r="DR4" s="1124"/>
      <c r="DS4" s="1124"/>
      <c r="DT4" s="1124"/>
      <c r="DU4" s="1124"/>
      <c r="DV4" s="1124"/>
      <c r="DW4" s="1124"/>
      <c r="DX4" s="1124"/>
      <c r="DY4" s="1253"/>
      <c r="DZ4" s="1124"/>
      <c r="EA4" s="1124"/>
      <c r="EB4" s="1124"/>
      <c r="EC4" s="1124"/>
      <c r="ED4" s="1253"/>
      <c r="EE4" s="1124"/>
      <c r="EF4" s="1124"/>
      <c r="EG4" s="1124"/>
      <c r="EH4" s="1124"/>
      <c r="EI4" s="1253"/>
      <c r="EJ4" s="1124"/>
      <c r="EK4" s="1124"/>
      <c r="EL4" s="1124"/>
      <c r="EM4" s="1124"/>
      <c r="EN4" s="1253"/>
      <c r="EO4" s="1253"/>
      <c r="EP4" s="1253"/>
      <c r="EQ4" s="1253"/>
      <c r="ER4" s="1253"/>
      <c r="ES4" s="1124"/>
      <c r="ET4" s="1124"/>
      <c r="EU4" s="1124"/>
      <c r="EV4" s="1124"/>
      <c r="EW4" s="1124"/>
      <c r="EX4" s="1124"/>
      <c r="EY4" s="1124"/>
      <c r="EZ4" s="1124"/>
      <c r="FA4" s="1124"/>
      <c r="FB4" s="1124"/>
      <c r="FC4" s="1124"/>
      <c r="FD4" s="1124"/>
      <c r="FE4" s="1124"/>
      <c r="FF4" s="1124"/>
      <c r="FG4" s="1124"/>
      <c r="FH4" s="1124"/>
      <c r="FI4" s="1124"/>
      <c r="FJ4" s="1124"/>
      <c r="FK4" s="1124"/>
      <c r="FL4" s="1124"/>
      <c r="FM4" s="1124"/>
      <c r="FN4" s="1782" t="s">
        <v>16</v>
      </c>
      <c r="FO4" s="1782" t="s">
        <v>283</v>
      </c>
    </row>
    <row r="5" spans="1:171" x14ac:dyDescent="0.3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1234" t="str">
        <f>+Inputs!BC5</f>
        <v>1Q05</v>
      </c>
      <c r="BD5" s="1234" t="str">
        <f>+Inputs!BD5</f>
        <v>2Q05</v>
      </c>
      <c r="BE5" s="1234" t="str">
        <f>+Inputs!BE5</f>
        <v>3Q05</v>
      </c>
      <c r="BF5" s="1234" t="str">
        <f>+Inputs!BF5</f>
        <v>4Q05</v>
      </c>
      <c r="BG5" s="1234">
        <f>+Inputs!BG5</f>
        <v>2005</v>
      </c>
      <c r="BH5" s="1234" t="str">
        <f>+Inputs!BH5</f>
        <v>1Q06</v>
      </c>
      <c r="BI5" s="1234" t="str">
        <f>+Inputs!BI5</f>
        <v>2Q06</v>
      </c>
      <c r="BJ5" s="1234" t="str">
        <f>+Inputs!BJ5</f>
        <v>3Q06</v>
      </c>
      <c r="BK5" s="1234" t="str">
        <f>+Inputs!BK5</f>
        <v>4Q06</v>
      </c>
      <c r="BL5" s="1234">
        <f>+Inputs!BL5</f>
        <v>2006</v>
      </c>
      <c r="BM5" s="1234" t="str">
        <f>+Inputs!BM5</f>
        <v>1Q07</v>
      </c>
      <c r="BN5" s="1234" t="str">
        <f>+Inputs!BN5</f>
        <v>2Q07</v>
      </c>
      <c r="BO5" s="1234" t="str">
        <f>+Inputs!BO5</f>
        <v>3Q07</v>
      </c>
      <c r="BP5" s="1234" t="str">
        <f>+Inputs!BP5</f>
        <v>4Q07</v>
      </c>
      <c r="BQ5" s="1234">
        <f>+Inputs!BQ5</f>
        <v>2007</v>
      </c>
      <c r="BR5" s="1234" t="str">
        <f>+Inputs!BR5</f>
        <v>1Q08</v>
      </c>
      <c r="BS5" s="1234" t="str">
        <f>+Inputs!BS5</f>
        <v>2Q08</v>
      </c>
      <c r="BT5" s="1234" t="str">
        <f>+Inputs!BT5</f>
        <v>3Q08</v>
      </c>
      <c r="BU5" s="1234" t="str">
        <f>+Inputs!BU5</f>
        <v>4Q08</v>
      </c>
      <c r="BV5" s="1234">
        <f>+Inputs!BV5</f>
        <v>2008</v>
      </c>
      <c r="BW5" s="1234" t="str">
        <f>+Inputs!BW5</f>
        <v>1Q09</v>
      </c>
      <c r="BX5" s="1234" t="str">
        <f>+Inputs!BX5</f>
        <v>2Q09</v>
      </c>
      <c r="BY5" s="1234" t="str">
        <f>+Inputs!BY5</f>
        <v>3Q09</v>
      </c>
      <c r="BZ5" s="1234" t="str">
        <f>+Inputs!BZ5</f>
        <v>4Q09</v>
      </c>
      <c r="CA5" s="1234">
        <f>+Inputs!CA5</f>
        <v>2009</v>
      </c>
      <c r="CB5" s="1234" t="str">
        <f>+Inputs!CB5</f>
        <v>1Q10</v>
      </c>
      <c r="CC5" s="1234" t="str">
        <f>+Inputs!CC5</f>
        <v>2Q10</v>
      </c>
      <c r="CD5" s="1234" t="str">
        <f>+Inputs!CD5</f>
        <v>3Q10</v>
      </c>
      <c r="CE5" s="1234" t="str">
        <f>+Inputs!CE5</f>
        <v>4Q10</v>
      </c>
      <c r="CF5" s="1234">
        <f>+Inputs!CF5</f>
        <v>2010</v>
      </c>
      <c r="CG5" s="1234" t="str">
        <f>+Inputs!CG5</f>
        <v>1Q11</v>
      </c>
      <c r="CH5" s="1234" t="str">
        <f>+Inputs!CH5</f>
        <v>2Q11</v>
      </c>
      <c r="CI5" s="1234" t="str">
        <f>+Inputs!CI5</f>
        <v>3Q11</v>
      </c>
      <c r="CJ5" s="1234" t="str">
        <f>+Inputs!CJ5</f>
        <v>4Q11</v>
      </c>
      <c r="CK5" s="1234">
        <f>+Inputs!CK5</f>
        <v>2011</v>
      </c>
      <c r="CL5" s="1234" t="str">
        <f>+Inputs!CL5</f>
        <v>1Q12</v>
      </c>
      <c r="CM5" s="1234" t="str">
        <f>+Inputs!CM5</f>
        <v>2Q12</v>
      </c>
      <c r="CN5" s="1234" t="str">
        <f>+Inputs!CN5</f>
        <v>3Q12</v>
      </c>
      <c r="CO5" s="1234" t="str">
        <f>+Inputs!CO5</f>
        <v>4Q12</v>
      </c>
      <c r="CP5" s="1234">
        <f>+Inputs!CP5</f>
        <v>2012</v>
      </c>
      <c r="CQ5" s="1234" t="str">
        <f>+Inputs!CQ5</f>
        <v>1Q13</v>
      </c>
      <c r="CR5" s="1234" t="str">
        <f>+Inputs!CR5</f>
        <v>2Q13</v>
      </c>
      <c r="CS5" s="1234" t="str">
        <f>+Inputs!CS5</f>
        <v>3Q13</v>
      </c>
      <c r="CT5" s="1234" t="str">
        <f>+Inputs!CT5</f>
        <v>4Q13</v>
      </c>
      <c r="CU5" s="1234">
        <f>+Inputs!CU5</f>
        <v>2013</v>
      </c>
      <c r="CV5" s="1234" t="str">
        <f>+Inputs!CV5</f>
        <v>1Q14</v>
      </c>
      <c r="CW5" s="1234" t="str">
        <f>+Inputs!CW5</f>
        <v>2Q14</v>
      </c>
      <c r="CX5" s="1234" t="str">
        <f>+Inputs!CX5</f>
        <v>3Q14</v>
      </c>
      <c r="CY5" s="1234" t="str">
        <f>+Inputs!CY5</f>
        <v>4Q14</v>
      </c>
      <c r="CZ5" s="1234">
        <f>+Inputs!CZ5</f>
        <v>2014</v>
      </c>
      <c r="DA5" s="1234" t="str">
        <f>+Inputs!DA5</f>
        <v>1Q15</v>
      </c>
      <c r="DB5" s="1234" t="str">
        <f>+Inputs!DB5</f>
        <v>2Q15</v>
      </c>
      <c r="DC5" s="1234" t="str">
        <f>+Inputs!DC5</f>
        <v>3Q15</v>
      </c>
      <c r="DD5" s="1234" t="str">
        <f>+Inputs!DD5</f>
        <v>4Q15</v>
      </c>
      <c r="DE5" s="1234">
        <f>+Inputs!DE5</f>
        <v>2015</v>
      </c>
      <c r="DF5" s="1234" t="str">
        <f>+Inputs!DF5</f>
        <v>1Q16</v>
      </c>
      <c r="DG5" s="1234" t="str">
        <f>+Inputs!DG5</f>
        <v>2Q16</v>
      </c>
      <c r="DH5" s="1234" t="str">
        <f>+Inputs!DH5</f>
        <v>3Q16</v>
      </c>
      <c r="DI5" s="1234" t="str">
        <f>+Inputs!DI5</f>
        <v>4Q16</v>
      </c>
      <c r="DJ5" s="1234">
        <f>+Inputs!DJ5</f>
        <v>2016</v>
      </c>
      <c r="DK5" s="1234" t="str">
        <f>+Inputs!DK5</f>
        <v>1Q17</v>
      </c>
      <c r="DL5" s="1234" t="str">
        <f>+Inputs!DL5</f>
        <v>2Q17</v>
      </c>
      <c r="DM5" s="1234" t="str">
        <f>+Inputs!DM5</f>
        <v>3Q17</v>
      </c>
      <c r="DN5" s="1234" t="str">
        <f>+Inputs!DN5</f>
        <v>4Q17</v>
      </c>
      <c r="DO5" s="1234">
        <f>+Inputs!DO5</f>
        <v>2017</v>
      </c>
      <c r="DP5" s="1234" t="str">
        <f>+Inputs!DP5</f>
        <v>1Q18</v>
      </c>
      <c r="DQ5" s="1234" t="str">
        <f>+Inputs!DQ5</f>
        <v>2Q18</v>
      </c>
      <c r="DR5" s="1234" t="str">
        <f>+Inputs!DR5</f>
        <v>3Q18</v>
      </c>
      <c r="DS5" s="1234" t="str">
        <f>+Inputs!DS5</f>
        <v>4Q18</v>
      </c>
      <c r="DT5" s="1234">
        <f>+Inputs!DT5</f>
        <v>2018</v>
      </c>
      <c r="DU5" s="1234" t="str">
        <f>+Inputs!DU5</f>
        <v>1Q19</v>
      </c>
      <c r="DV5" s="1234" t="str">
        <f>+Inputs!DV5</f>
        <v>2Q19</v>
      </c>
      <c r="DW5" s="1234" t="str">
        <f>+Inputs!DW5</f>
        <v>3Q19</v>
      </c>
      <c r="DX5" s="1234" t="str">
        <f>+Inputs!DX5</f>
        <v>4Q19</v>
      </c>
      <c r="DY5" s="1234">
        <f>+Inputs!DY5</f>
        <v>2019</v>
      </c>
      <c r="DZ5" s="1234" t="str">
        <f>+Inputs!DZ5</f>
        <v>1Q20</v>
      </c>
      <c r="EA5" s="1234" t="str">
        <f>+Inputs!EA5</f>
        <v>2Q20</v>
      </c>
      <c r="EB5" s="1234" t="str">
        <f>+Inputs!EB5</f>
        <v>3Q20</v>
      </c>
      <c r="EC5" s="1234" t="str">
        <f>+Inputs!EC5</f>
        <v>4Q20</v>
      </c>
      <c r="ED5" s="1234">
        <f>+Inputs!ED5</f>
        <v>2020</v>
      </c>
      <c r="EE5" s="1234" t="str">
        <f>+Inputs!EE5</f>
        <v>1Q21</v>
      </c>
      <c r="EF5" s="1234" t="str">
        <f>+Inputs!EF5</f>
        <v>2Q21</v>
      </c>
      <c r="EG5" s="1234" t="str">
        <f>+Inputs!EG5</f>
        <v>3Q21</v>
      </c>
      <c r="EH5" s="1234" t="str">
        <f>+Inputs!EH5</f>
        <v>4Q21</v>
      </c>
      <c r="EI5" s="1234">
        <f>+Inputs!EI5</f>
        <v>2021</v>
      </c>
      <c r="EJ5" s="1234" t="str">
        <f>+Inputs!EJ5</f>
        <v>1Q22</v>
      </c>
      <c r="EK5" s="1234" t="str">
        <f>+Inputs!EK5</f>
        <v>2Q22</v>
      </c>
      <c r="EL5" s="1234" t="str">
        <f>+Inputs!EL5</f>
        <v>3Q22</v>
      </c>
      <c r="EM5" s="1234" t="str">
        <f>+Inputs!EM5</f>
        <v>4Q22</v>
      </c>
      <c r="EN5" s="1234">
        <f>+Inputs!EN5</f>
        <v>2022</v>
      </c>
      <c r="EO5" s="1234" t="str">
        <f>+Inputs!EO5</f>
        <v>1Q23</v>
      </c>
      <c r="EP5" s="1234" t="str">
        <f>+Inputs!EP5</f>
        <v>2Q23</v>
      </c>
      <c r="EQ5" s="1234" t="str">
        <f>+Inputs!EQ5</f>
        <v>3Q23</v>
      </c>
      <c r="ER5" s="1234" t="str">
        <f>+Inputs!ER5</f>
        <v>4Q23</v>
      </c>
      <c r="ES5" s="1234">
        <f>+Inputs!ES5</f>
        <v>2023</v>
      </c>
      <c r="ET5" s="1234" t="str">
        <f>+Inputs!ET5</f>
        <v>1Q24</v>
      </c>
      <c r="EU5" s="1234" t="str">
        <f>+Inputs!EU5</f>
        <v>2Q24</v>
      </c>
      <c r="EV5" s="1234" t="str">
        <f>+Inputs!EV5</f>
        <v>3Q24</v>
      </c>
      <c r="EW5" s="1234" t="str">
        <f>+Inputs!EW5</f>
        <v>4Q24</v>
      </c>
      <c r="EX5" s="1234">
        <f>+Inputs!EX5</f>
        <v>2024</v>
      </c>
      <c r="EY5" s="1234" t="s">
        <v>3373</v>
      </c>
      <c r="EZ5" s="1234" t="s">
        <v>3600</v>
      </c>
      <c r="FA5" s="1234" t="s">
        <v>3375</v>
      </c>
      <c r="FB5" s="1234" t="s">
        <v>3376</v>
      </c>
      <c r="FC5" s="1234" t="str">
        <f>+Inputs!FC5</f>
        <v>2025E</v>
      </c>
      <c r="FD5" s="1234" t="s">
        <v>3601</v>
      </c>
      <c r="FE5" s="1234" t="s">
        <v>3602</v>
      </c>
      <c r="FF5" s="1234" t="s">
        <v>3603</v>
      </c>
      <c r="FG5" s="1234" t="s">
        <v>3604</v>
      </c>
      <c r="FH5" s="1234" t="str">
        <f>+Inputs!FD5</f>
        <v>2026E</v>
      </c>
      <c r="FI5" s="1234" t="str">
        <f>+Inputs!FE5</f>
        <v>2027E</v>
      </c>
      <c r="FJ5" s="1234" t="str">
        <f>+Inputs!FF5</f>
        <v>2028E</v>
      </c>
      <c r="FK5" s="1234" t="str">
        <f>+Inputs!FG5</f>
        <v>2029E</v>
      </c>
      <c r="FL5" s="1234" t="str">
        <f>+Inputs!FH5</f>
        <v>2030E</v>
      </c>
      <c r="FM5" s="1234" t="str">
        <f>+Inputs!FI5</f>
        <v>2031E</v>
      </c>
      <c r="FN5" s="190" t="s">
        <v>17</v>
      </c>
      <c r="FO5" s="190" t="s">
        <v>17</v>
      </c>
    </row>
    <row r="6" spans="1:171" x14ac:dyDescent="0.3">
      <c r="A6" s="4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4"/>
      <c r="DZ6" s="1"/>
      <c r="EA6" s="1"/>
      <c r="EB6" s="1"/>
      <c r="EC6" s="1"/>
      <c r="ED6" s="4"/>
      <c r="EE6" s="1"/>
      <c r="EF6" s="1"/>
      <c r="EG6" s="1"/>
      <c r="EH6" s="1"/>
      <c r="EI6" s="4"/>
      <c r="EJ6" s="1"/>
      <c r="EK6" s="1"/>
      <c r="EL6" s="1"/>
      <c r="EM6" s="1"/>
      <c r="EN6" s="4"/>
      <c r="EO6" s="4"/>
      <c r="EP6" s="4"/>
      <c r="EQ6" s="4"/>
      <c r="ER6" s="4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</row>
    <row r="7" spans="1:171" x14ac:dyDescent="0.3">
      <c r="A7" s="54" t="s">
        <v>18</v>
      </c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</row>
    <row r="8" spans="1:171" x14ac:dyDescent="0.3">
      <c r="A8" s="90" t="s">
        <v>284</v>
      </c>
    </row>
    <row r="9" spans="1:171" x14ac:dyDescent="0.3">
      <c r="A9" t="s">
        <v>285</v>
      </c>
      <c r="DY9"/>
      <c r="DZ9" s="887">
        <f>DZ206</f>
        <v>724</v>
      </c>
      <c r="EA9" s="887">
        <f t="shared" ref="EA9:EC9" si="0">EA206</f>
        <v>710</v>
      </c>
      <c r="EB9" s="887">
        <f t="shared" si="0"/>
        <v>689</v>
      </c>
      <c r="EC9" s="887">
        <f t="shared" si="0"/>
        <v>690</v>
      </c>
      <c r="ED9" s="916">
        <f>SUM(DZ9:EC9)</f>
        <v>2813</v>
      </c>
      <c r="EE9" s="887">
        <f>EE206</f>
        <v>678</v>
      </c>
      <c r="EF9" s="887">
        <f t="shared" ref="EF9:EM9" si="1">EF206</f>
        <v>680</v>
      </c>
      <c r="EG9" s="887">
        <f t="shared" si="1"/>
        <v>684</v>
      </c>
      <c r="EH9" s="887">
        <f t="shared" si="1"/>
        <v>675</v>
      </c>
      <c r="EI9" s="916">
        <f>SUM(EE9:EH9)</f>
        <v>2717</v>
      </c>
      <c r="EJ9" s="887">
        <f t="shared" si="1"/>
        <v>672</v>
      </c>
      <c r="EK9" s="887">
        <f t="shared" si="1"/>
        <v>685</v>
      </c>
      <c r="EL9" s="887">
        <f t="shared" si="1"/>
        <v>691</v>
      </c>
      <c r="EM9" s="887">
        <f t="shared" si="1"/>
        <v>721</v>
      </c>
      <c r="EN9" s="916">
        <f>SUM(EJ9:EM9)</f>
        <v>2769</v>
      </c>
      <c r="EO9" s="887">
        <f t="shared" ref="EO9:ER9" si="2">EO206</f>
        <v>729</v>
      </c>
      <c r="EP9" s="887">
        <f t="shared" si="2"/>
        <v>746</v>
      </c>
      <c r="EQ9" s="887">
        <f t="shared" si="2"/>
        <v>760</v>
      </c>
      <c r="ER9" s="887">
        <f t="shared" si="2"/>
        <v>762</v>
      </c>
      <c r="ES9" s="916">
        <f>SUM(EO9:ER9)</f>
        <v>2997</v>
      </c>
      <c r="ET9" s="887">
        <f t="shared" ref="ET9:EW9" si="3">ET206</f>
        <v>789.97506963189664</v>
      </c>
      <c r="EU9" s="887">
        <f t="shared" si="3"/>
        <v>816.79010988444156</v>
      </c>
      <c r="EV9" s="887">
        <f t="shared" si="3"/>
        <v>834.45230035139934</v>
      </c>
      <c r="EW9" s="887">
        <f t="shared" si="3"/>
        <v>842.88360455972929</v>
      </c>
      <c r="EX9" s="916">
        <f>SUM(ET9:EW9)</f>
        <v>3284.101084427467</v>
      </c>
      <c r="EY9" s="887">
        <f t="shared" ref="EY9:FB9" si="4">EY206</f>
        <v>873.59563152107194</v>
      </c>
      <c r="EZ9" s="887">
        <f t="shared" si="4"/>
        <v>910.08074651570291</v>
      </c>
      <c r="FA9" s="887">
        <f t="shared" si="4"/>
        <v>932.43936416493648</v>
      </c>
      <c r="FB9" s="887">
        <f t="shared" si="4"/>
        <v>946.57963661140786</v>
      </c>
      <c r="FC9" s="916">
        <f>SUM(EY9:FB9)</f>
        <v>3662.6953788131191</v>
      </c>
      <c r="FD9" s="887">
        <f t="shared" ref="FD9:FM9" si="5">FD206</f>
        <v>980.75061711240949</v>
      </c>
      <c r="FE9" s="887">
        <f t="shared" si="5"/>
        <v>1025.2208745013543</v>
      </c>
      <c r="FF9" s="887">
        <f t="shared" si="5"/>
        <v>1051.2911638792989</v>
      </c>
      <c r="FG9" s="887">
        <f t="shared" si="5"/>
        <v>1068.2007508053921</v>
      </c>
      <c r="FH9" s="916">
        <f>SUM(FD9:FG9)</f>
        <v>4125.4634062984551</v>
      </c>
      <c r="FI9" s="887">
        <f t="shared" si="5"/>
        <v>4607.8468289865432</v>
      </c>
      <c r="FJ9" s="887">
        <f t="shared" si="5"/>
        <v>5070.4371296805848</v>
      </c>
      <c r="FK9" s="887">
        <f t="shared" si="5"/>
        <v>5494.6601976161328</v>
      </c>
      <c r="FL9" s="887">
        <f t="shared" si="5"/>
        <v>5878.4380881064735</v>
      </c>
      <c r="FM9" s="887">
        <f t="shared" si="5"/>
        <v>6222.6041504241011</v>
      </c>
    </row>
    <row r="10" spans="1:171" x14ac:dyDescent="0.3">
      <c r="A10" t="s">
        <v>286</v>
      </c>
      <c r="DY10"/>
      <c r="DZ10" s="887">
        <f>DZ344</f>
        <v>937</v>
      </c>
      <c r="EA10" s="887">
        <f t="shared" ref="EA10:EC10" si="6">EA344</f>
        <v>911</v>
      </c>
      <c r="EB10" s="887">
        <f t="shared" si="6"/>
        <v>889</v>
      </c>
      <c r="EC10" s="887">
        <f t="shared" si="6"/>
        <v>867</v>
      </c>
      <c r="ED10" s="916">
        <f>SUM(DZ10:EC10)</f>
        <v>3604</v>
      </c>
      <c r="EE10" s="887">
        <f>EE344</f>
        <v>857</v>
      </c>
      <c r="EF10" s="887">
        <f t="shared" ref="EF10:EM10" si="7">EF344</f>
        <v>834</v>
      </c>
      <c r="EG10" s="887">
        <f t="shared" si="7"/>
        <v>809</v>
      </c>
      <c r="EH10" s="887">
        <f t="shared" si="7"/>
        <v>784</v>
      </c>
      <c r="EI10" s="916">
        <f>SUM(EE10:EH10)</f>
        <v>3284</v>
      </c>
      <c r="EJ10" s="887">
        <f t="shared" si="7"/>
        <v>770</v>
      </c>
      <c r="EK10" s="887">
        <f t="shared" si="7"/>
        <v>757</v>
      </c>
      <c r="EL10" s="887">
        <f t="shared" si="7"/>
        <v>735</v>
      </c>
      <c r="EM10" s="887">
        <f t="shared" si="7"/>
        <v>702</v>
      </c>
      <c r="EN10" s="916">
        <f>SUM(EJ10:EM10)</f>
        <v>2964</v>
      </c>
      <c r="EO10" s="887">
        <f t="shared" ref="EO10:ER10" si="8">EO344</f>
        <v>689</v>
      </c>
      <c r="EP10" s="887">
        <f t="shared" si="8"/>
        <v>682</v>
      </c>
      <c r="EQ10" s="887">
        <f t="shared" si="8"/>
        <v>661</v>
      </c>
      <c r="ER10" s="887">
        <f t="shared" si="8"/>
        <v>647</v>
      </c>
      <c r="ES10" s="916">
        <f>SUM(EO10:ER10)</f>
        <v>2679</v>
      </c>
      <c r="ET10" s="887">
        <f t="shared" ref="ET10:EW10" si="9">ET344</f>
        <v>622.4387090730404</v>
      </c>
      <c r="EU10" s="887">
        <f t="shared" si="9"/>
        <v>608.88418961092896</v>
      </c>
      <c r="EV10" s="887">
        <f t="shared" si="9"/>
        <v>586.43864026782171</v>
      </c>
      <c r="EW10" s="887">
        <f t="shared" si="9"/>
        <v>574.45763964496734</v>
      </c>
      <c r="EX10" s="916">
        <f>SUM(ET10:EW10)</f>
        <v>2392.2191785967584</v>
      </c>
      <c r="EY10" s="887">
        <f t="shared" ref="EY10:FB10" si="10">EY344</f>
        <v>555.00328363775157</v>
      </c>
      <c r="EZ10" s="887">
        <f t="shared" si="10"/>
        <v>542.99564060039768</v>
      </c>
      <c r="FA10" s="887">
        <f t="shared" si="10"/>
        <v>522.41319563971763</v>
      </c>
      <c r="FB10" s="887">
        <f t="shared" si="10"/>
        <v>513.25794948675286</v>
      </c>
      <c r="FC10" s="916">
        <f>SUM(EY10:FB10)</f>
        <v>2133.6700693646198</v>
      </c>
      <c r="FD10" s="887">
        <f t="shared" ref="FD10:FM10" si="11">FD344</f>
        <v>499.88258674294968</v>
      </c>
      <c r="FE10" s="887">
        <f t="shared" si="11"/>
        <v>488.97134754622664</v>
      </c>
      <c r="FF10" s="887">
        <f t="shared" si="11"/>
        <v>469.79045976675184</v>
      </c>
      <c r="FG10" s="887">
        <f t="shared" si="11"/>
        <v>463.03668754761998</v>
      </c>
      <c r="FH10" s="916">
        <f>SUM(FD10:FG10)</f>
        <v>1921.6810816035481</v>
      </c>
      <c r="FI10" s="887">
        <f t="shared" si="11"/>
        <v>1747.771500981587</v>
      </c>
      <c r="FJ10" s="887">
        <f t="shared" si="11"/>
        <v>1606.5937284652464</v>
      </c>
      <c r="FK10" s="887">
        <f t="shared" si="11"/>
        <v>1500.7454339082524</v>
      </c>
      <c r="FL10" s="887">
        <f t="shared" si="11"/>
        <v>1418.7700553602933</v>
      </c>
      <c r="FM10" s="887">
        <f t="shared" si="11"/>
        <v>1354.2842371837696</v>
      </c>
    </row>
    <row r="11" spans="1:171" x14ac:dyDescent="0.3">
      <c r="A11" t="s">
        <v>28</v>
      </c>
      <c r="DY11"/>
      <c r="DZ11" s="908">
        <f>Inputs!DZ172</f>
        <v>128</v>
      </c>
      <c r="EA11" s="908">
        <f>Inputs!EA172</f>
        <v>133</v>
      </c>
      <c r="EB11" s="908">
        <f>Inputs!EB172</f>
        <v>149</v>
      </c>
      <c r="EC11" s="908">
        <f>Inputs!EC172</f>
        <v>139</v>
      </c>
      <c r="ED11" s="100">
        <f>SUM(DZ11:EC11)</f>
        <v>549</v>
      </c>
      <c r="EE11" s="908">
        <f>Inputs!EE172</f>
        <v>140</v>
      </c>
      <c r="EF11" s="908">
        <f>Inputs!EF172</f>
        <v>103</v>
      </c>
      <c r="EG11" s="908">
        <f>Inputs!EG172</f>
        <v>83</v>
      </c>
      <c r="EH11" s="908">
        <f>Inputs!EH172</f>
        <v>84</v>
      </c>
      <c r="EI11" s="100">
        <f>SUM(EE11:EH11)</f>
        <v>410</v>
      </c>
      <c r="EJ11" s="908">
        <f>Inputs!EJ172</f>
        <v>5</v>
      </c>
      <c r="EK11" s="908">
        <f>Inputs!EK172</f>
        <v>17</v>
      </c>
      <c r="EL11" s="908">
        <f>Inputs!EL172</f>
        <v>18</v>
      </c>
      <c r="EM11" s="908">
        <f>Inputs!EM172</f>
        <v>14</v>
      </c>
      <c r="EN11" s="1153">
        <f>SUM(EJ11:EM11)</f>
        <v>54</v>
      </c>
      <c r="EO11" s="908">
        <f>Inputs!EO172</f>
        <v>22</v>
      </c>
      <c r="EP11" s="908">
        <f>Inputs!EP172</f>
        <v>21</v>
      </c>
      <c r="EQ11" s="908">
        <f>Inputs!EQ172</f>
        <v>15</v>
      </c>
      <c r="ER11" s="908">
        <f>Inputs!ER172</f>
        <v>17</v>
      </c>
      <c r="ES11" s="1153">
        <f>SUM(EO11:ER11)</f>
        <v>75</v>
      </c>
      <c r="ET11" s="1157">
        <v>20</v>
      </c>
      <c r="EU11" s="1157">
        <v>20</v>
      </c>
      <c r="EV11" s="1157">
        <v>20</v>
      </c>
      <c r="EW11" s="1157">
        <v>20</v>
      </c>
      <c r="EX11" s="1153">
        <f>SUM(ET11:EW11)</f>
        <v>80</v>
      </c>
      <c r="EY11" s="1157">
        <v>20</v>
      </c>
      <c r="EZ11" s="1157">
        <v>20</v>
      </c>
      <c r="FA11" s="1157">
        <v>20</v>
      </c>
      <c r="FB11" s="1157">
        <v>20</v>
      </c>
      <c r="FC11" s="1153">
        <f>SUM(EY11:FB11)</f>
        <v>80</v>
      </c>
      <c r="FD11" s="1157">
        <v>20</v>
      </c>
      <c r="FE11" s="1157">
        <v>20</v>
      </c>
      <c r="FF11" s="1157">
        <v>20</v>
      </c>
      <c r="FG11" s="1157">
        <v>20</v>
      </c>
      <c r="FH11" s="1153">
        <f>SUM(FD11:FG11)</f>
        <v>80</v>
      </c>
      <c r="FI11" s="945">
        <f t="shared" ref="FI11:FM11" si="12">FH11</f>
        <v>80</v>
      </c>
      <c r="FJ11" s="945">
        <f t="shared" si="12"/>
        <v>80</v>
      </c>
      <c r="FK11" s="945">
        <f t="shared" si="12"/>
        <v>80</v>
      </c>
      <c r="FL11" s="945">
        <f t="shared" si="12"/>
        <v>80</v>
      </c>
      <c r="FM11" s="945">
        <f t="shared" si="12"/>
        <v>80</v>
      </c>
    </row>
    <row r="12" spans="1:171" x14ac:dyDescent="0.3">
      <c r="A12" s="90" t="s">
        <v>19</v>
      </c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Z12" s="916">
        <f t="shared" ref="DZ12:FM12" si="13">SUM(DZ9:DZ11)</f>
        <v>1789</v>
      </c>
      <c r="EA12" s="916">
        <f t="shared" si="13"/>
        <v>1754</v>
      </c>
      <c r="EB12" s="916">
        <f t="shared" si="13"/>
        <v>1727</v>
      </c>
      <c r="EC12" s="916">
        <f t="shared" si="13"/>
        <v>1696</v>
      </c>
      <c r="ED12" s="916">
        <f t="shared" si="13"/>
        <v>6966</v>
      </c>
      <c r="EE12" s="916">
        <f t="shared" si="13"/>
        <v>1675</v>
      </c>
      <c r="EF12" s="916">
        <f t="shared" si="13"/>
        <v>1617</v>
      </c>
      <c r="EG12" s="916">
        <f t="shared" si="13"/>
        <v>1576</v>
      </c>
      <c r="EH12" s="916">
        <f t="shared" si="13"/>
        <v>1543</v>
      </c>
      <c r="EI12" s="916">
        <f t="shared" si="13"/>
        <v>6411</v>
      </c>
      <c r="EJ12" s="916">
        <f t="shared" si="13"/>
        <v>1447</v>
      </c>
      <c r="EK12" s="916">
        <f t="shared" si="13"/>
        <v>1459</v>
      </c>
      <c r="EL12" s="916">
        <f t="shared" si="13"/>
        <v>1444</v>
      </c>
      <c r="EM12" s="916">
        <f t="shared" si="13"/>
        <v>1437</v>
      </c>
      <c r="EN12" s="916">
        <f t="shared" si="13"/>
        <v>5787</v>
      </c>
      <c r="EO12" s="916">
        <f t="shared" si="13"/>
        <v>1440</v>
      </c>
      <c r="EP12" s="916">
        <f t="shared" si="13"/>
        <v>1449</v>
      </c>
      <c r="EQ12" s="916">
        <f t="shared" si="13"/>
        <v>1436</v>
      </c>
      <c r="ER12" s="916">
        <f t="shared" si="13"/>
        <v>1426</v>
      </c>
      <c r="ES12" s="916">
        <f t="shared" si="13"/>
        <v>5751</v>
      </c>
      <c r="ET12" s="916">
        <f t="shared" si="13"/>
        <v>1432.4137787049372</v>
      </c>
      <c r="EU12" s="916">
        <f t="shared" si="13"/>
        <v>1445.6742994953706</v>
      </c>
      <c r="EV12" s="916">
        <f t="shared" si="13"/>
        <v>1440.8909406192211</v>
      </c>
      <c r="EW12" s="916">
        <f t="shared" si="13"/>
        <v>1437.3412442046965</v>
      </c>
      <c r="EX12" s="916">
        <f t="shared" si="13"/>
        <v>5756.3202630242249</v>
      </c>
      <c r="EY12" s="916">
        <f t="shared" ref="EY12:FC12" si="14">SUM(EY9:EY11)</f>
        <v>1448.5989151588235</v>
      </c>
      <c r="EZ12" s="916">
        <f t="shared" si="14"/>
        <v>1473.0763871161007</v>
      </c>
      <c r="FA12" s="916">
        <f t="shared" si="14"/>
        <v>1474.852559804654</v>
      </c>
      <c r="FB12" s="916">
        <f t="shared" si="14"/>
        <v>1479.8375860981607</v>
      </c>
      <c r="FC12" s="916">
        <f t="shared" si="14"/>
        <v>5876.3654481777394</v>
      </c>
      <c r="FD12" s="916">
        <f t="shared" si="13"/>
        <v>1500.6332038553592</v>
      </c>
      <c r="FE12" s="916">
        <f t="shared" si="13"/>
        <v>1534.1922220475808</v>
      </c>
      <c r="FF12" s="916">
        <f t="shared" si="13"/>
        <v>1541.0816236460507</v>
      </c>
      <c r="FG12" s="916">
        <f t="shared" si="13"/>
        <v>1551.2374383530121</v>
      </c>
      <c r="FH12" s="916">
        <f t="shared" ref="FH12" si="15">SUM(FH9:FH11)</f>
        <v>6127.1444879020037</v>
      </c>
      <c r="FI12" s="916">
        <f t="shared" si="13"/>
        <v>6435.6183299681306</v>
      </c>
      <c r="FJ12" s="916">
        <f t="shared" si="13"/>
        <v>6757.0308581458312</v>
      </c>
      <c r="FK12" s="916">
        <f t="shared" si="13"/>
        <v>7075.4056315243852</v>
      </c>
      <c r="FL12" s="916">
        <f t="shared" si="13"/>
        <v>7377.2081434667671</v>
      </c>
      <c r="FM12" s="916">
        <f t="shared" si="13"/>
        <v>7656.8883876078708</v>
      </c>
      <c r="FN12" s="189">
        <f>+(FJ12/ES12)^0.2-1</f>
        <v>3.2767367323505159E-2</v>
      </c>
      <c r="FO12" s="189">
        <f>+(FM12/EI12)^0.1-1</f>
        <v>1.7917671481755937E-2</v>
      </c>
    </row>
    <row r="13" spans="1:171" x14ac:dyDescent="0.3">
      <c r="A13" s="1158" t="s">
        <v>287</v>
      </c>
      <c r="EE13" s="1137">
        <f>EE9/DZ9-1</f>
        <v>-6.3535911602209949E-2</v>
      </c>
      <c r="EF13" s="1137">
        <f t="shared" ref="EF13:EX14" si="16">EF9/EA9-1</f>
        <v>-4.2253521126760618E-2</v>
      </c>
      <c r="EG13" s="1137">
        <f t="shared" si="16"/>
        <v>-7.2568940493469292E-3</v>
      </c>
      <c r="EH13" s="1137">
        <f t="shared" si="16"/>
        <v>-2.1739130434782594E-2</v>
      </c>
      <c r="EI13" s="1163">
        <f t="shared" si="16"/>
        <v>-3.412726626377538E-2</v>
      </c>
      <c r="EJ13" s="1137">
        <f t="shared" si="16"/>
        <v>-8.8495575221239076E-3</v>
      </c>
      <c r="EK13" s="1137">
        <f t="shared" si="16"/>
        <v>7.3529411764705621E-3</v>
      </c>
      <c r="EL13" s="1137">
        <f t="shared" si="16"/>
        <v>1.023391812865504E-2</v>
      </c>
      <c r="EM13" s="1137">
        <f t="shared" si="16"/>
        <v>6.8148148148148069E-2</v>
      </c>
      <c r="EN13" s="1163">
        <f t="shared" si="16"/>
        <v>1.9138755980861344E-2</v>
      </c>
      <c r="EO13" s="1137">
        <f t="shared" si="16"/>
        <v>8.4821428571428603E-2</v>
      </c>
      <c r="EP13" s="1137">
        <f t="shared" si="16"/>
        <v>8.9051094890510996E-2</v>
      </c>
      <c r="EQ13" s="1137">
        <f t="shared" si="16"/>
        <v>9.9855282199710516E-2</v>
      </c>
      <c r="ER13" s="1137">
        <f t="shared" si="16"/>
        <v>5.6865464632454898E-2</v>
      </c>
      <c r="ES13" s="1163">
        <f t="shared" si="16"/>
        <v>8.234019501625145E-2</v>
      </c>
      <c r="ET13" s="1137">
        <f t="shared" si="16"/>
        <v>8.3642070825646897E-2</v>
      </c>
      <c r="EU13" s="1137">
        <f t="shared" si="16"/>
        <v>9.4892908692280953E-2</v>
      </c>
      <c r="EV13" s="1137">
        <f t="shared" si="16"/>
        <v>9.7963553093946443E-2</v>
      </c>
      <c r="EW13" s="1137">
        <f t="shared" si="16"/>
        <v>0.10614646267681005</v>
      </c>
      <c r="EX13" s="1163">
        <f t="shared" si="16"/>
        <v>9.5796157633455836E-2</v>
      </c>
      <c r="EY13" s="1137">
        <f t="shared" ref="EY13:EY14" si="17">EY9/ET9-1</f>
        <v>0.10585215293963612</v>
      </c>
      <c r="EZ13" s="1137">
        <f t="shared" ref="EZ13:EZ14" si="18">EZ9/EU9-1</f>
        <v>0.11421616826929992</v>
      </c>
      <c r="FA13" s="1137">
        <f t="shared" ref="FA13:FA14" si="19">FA9/EV9-1</f>
        <v>0.11742680051606724</v>
      </c>
      <c r="FB13" s="1137">
        <f t="shared" ref="FB13:FC14" si="20">FB9/EW9-1</f>
        <v>0.12302532816004064</v>
      </c>
      <c r="FC13" s="1163">
        <f t="shared" si="20"/>
        <v>0.11528095044968878</v>
      </c>
      <c r="FD13" s="1137">
        <f t="shared" ref="FD13:FD14" si="21">FD9/EY9-1</f>
        <v>0.12265970859396735</v>
      </c>
      <c r="FE13" s="1137">
        <f t="shared" ref="FE13:FE14" si="22">FE9/EZ9-1</f>
        <v>0.12651638706397428</v>
      </c>
      <c r="FF13" s="1137">
        <f t="shared" ref="FF13:FF14" si="23">FF9/FA9-1</f>
        <v>0.12746330140276996</v>
      </c>
      <c r="FG13" s="1137">
        <f t="shared" ref="FG13:FH14" si="24">FG9/FB9-1</f>
        <v>0.12848481996651318</v>
      </c>
      <c r="FH13" s="1163">
        <f t="shared" si="24"/>
        <v>0.12634630500866106</v>
      </c>
      <c r="FI13" s="1137">
        <f t="shared" ref="FI13:FM14" si="25">FI9/FH9-1</f>
        <v>0.11692829997028231</v>
      </c>
      <c r="FJ13" s="1137">
        <f t="shared" si="25"/>
        <v>0.10039185716504906</v>
      </c>
      <c r="FK13" s="1137">
        <f t="shared" si="25"/>
        <v>8.3665975355910138E-2</v>
      </c>
      <c r="FL13" s="1137">
        <f t="shared" si="25"/>
        <v>6.9845609498626171E-2</v>
      </c>
      <c r="FM13" s="1137">
        <f t="shared" si="25"/>
        <v>5.8547195217375947E-2</v>
      </c>
    </row>
    <row r="14" spans="1:171" x14ac:dyDescent="0.3">
      <c r="A14" s="1158" t="s">
        <v>288</v>
      </c>
      <c r="EE14" s="1137">
        <f>EE10/DZ10-1</f>
        <v>-8.5378868729989343E-2</v>
      </c>
      <c r="EF14" s="1137">
        <f t="shared" si="16"/>
        <v>-8.4522502744237116E-2</v>
      </c>
      <c r="EG14" s="1137">
        <f t="shared" si="16"/>
        <v>-8.9988751406074208E-2</v>
      </c>
      <c r="EH14" s="1137">
        <f t="shared" si="16"/>
        <v>-9.5732410611303331E-2</v>
      </c>
      <c r="EI14" s="1163">
        <f t="shared" si="16"/>
        <v>-8.8790233074361846E-2</v>
      </c>
      <c r="EJ14" s="1137">
        <f t="shared" si="16"/>
        <v>-0.10151691948658115</v>
      </c>
      <c r="EK14" s="1137">
        <f t="shared" si="16"/>
        <v>-9.2326139088728998E-2</v>
      </c>
      <c r="EL14" s="1137">
        <f t="shared" si="16"/>
        <v>-9.1470951792336219E-2</v>
      </c>
      <c r="EM14" s="1137">
        <f t="shared" si="16"/>
        <v>-0.10459183673469385</v>
      </c>
      <c r="EN14" s="1163">
        <f t="shared" si="16"/>
        <v>-9.7442143727161978E-2</v>
      </c>
      <c r="EO14" s="1137">
        <f t="shared" si="16"/>
        <v>-0.10519480519480517</v>
      </c>
      <c r="EP14" s="1137">
        <f t="shared" si="16"/>
        <v>-9.9075297225891701E-2</v>
      </c>
      <c r="EQ14" s="1137">
        <f t="shared" si="16"/>
        <v>-0.10068027210884356</v>
      </c>
      <c r="ER14" s="1137">
        <f t="shared" si="16"/>
        <v>-7.8347578347578328E-2</v>
      </c>
      <c r="ES14" s="1163">
        <f t="shared" si="16"/>
        <v>-9.6153846153846145E-2</v>
      </c>
      <c r="ET14" s="1137">
        <f t="shared" si="16"/>
        <v>-9.6605647208939938E-2</v>
      </c>
      <c r="EU14" s="1137">
        <f t="shared" si="16"/>
        <v>-0.1072079331218051</v>
      </c>
      <c r="EV14" s="1137">
        <f t="shared" si="16"/>
        <v>-0.11280084679603375</v>
      </c>
      <c r="EW14" s="1137">
        <f t="shared" si="16"/>
        <v>-0.11212111337717567</v>
      </c>
      <c r="EX14" s="1163">
        <f t="shared" si="16"/>
        <v>-0.10704771235656652</v>
      </c>
      <c r="EY14" s="1137">
        <f t="shared" si="17"/>
        <v>-0.10834066784778895</v>
      </c>
      <c r="EZ14" s="1137">
        <f t="shared" si="18"/>
        <v>-0.10821195579512977</v>
      </c>
      <c r="FA14" s="1137">
        <f t="shared" si="19"/>
        <v>-0.10917671557055686</v>
      </c>
      <c r="FB14" s="1137">
        <f t="shared" si="20"/>
        <v>-0.10653473108310962</v>
      </c>
      <c r="FC14" s="1163">
        <f t="shared" si="20"/>
        <v>-0.10807918920865767</v>
      </c>
      <c r="FD14" s="1137">
        <f t="shared" si="21"/>
        <v>-9.9315983382143314E-2</v>
      </c>
      <c r="FE14" s="1137">
        <f t="shared" si="22"/>
        <v>-9.9493051167843016E-2</v>
      </c>
      <c r="FF14" s="1137">
        <f t="shared" si="23"/>
        <v>-0.10073010466078858</v>
      </c>
      <c r="FG14" s="1137">
        <f t="shared" si="24"/>
        <v>-9.7847996293779937E-2</v>
      </c>
      <c r="FH14" s="1163">
        <f t="shared" si="24"/>
        <v>-9.9354155454877469E-2</v>
      </c>
      <c r="FI14" s="1137">
        <f t="shared" si="25"/>
        <v>-9.0498669257253694E-2</v>
      </c>
      <c r="FJ14" s="1137">
        <f t="shared" si="25"/>
        <v>-8.0775875128443309E-2</v>
      </c>
      <c r="FK14" s="1137">
        <f t="shared" si="25"/>
        <v>-6.5883672195153675E-2</v>
      </c>
      <c r="FL14" s="1137">
        <f t="shared" si="25"/>
        <v>-5.4623107087841127E-2</v>
      </c>
      <c r="FM14" s="1137">
        <f t="shared" si="25"/>
        <v>-4.545191656173464E-2</v>
      </c>
    </row>
    <row r="15" spans="1:171" x14ac:dyDescent="0.3">
      <c r="A15" s="1158" t="s">
        <v>289</v>
      </c>
      <c r="EE15" s="1137">
        <f t="shared" ref="EE15:EX15" si="26">EE12/DZ12-1</f>
        <v>-6.3722750139742823E-2</v>
      </c>
      <c r="EF15" s="1137">
        <f t="shared" si="26"/>
        <v>-7.8107183580387707E-2</v>
      </c>
      <c r="EG15" s="1137">
        <f t="shared" si="26"/>
        <v>-8.7434858135495119E-2</v>
      </c>
      <c r="EH15" s="1137">
        <f t="shared" si="26"/>
        <v>-9.0212264150943411E-2</v>
      </c>
      <c r="EI15" s="1163">
        <f t="shared" si="26"/>
        <v>-7.9672695951765737E-2</v>
      </c>
      <c r="EJ15" s="1137">
        <f t="shared" si="26"/>
        <v>-0.13611940298507463</v>
      </c>
      <c r="EK15" s="1137">
        <f t="shared" si="26"/>
        <v>-9.7711811997526321E-2</v>
      </c>
      <c r="EL15" s="1137">
        <f t="shared" si="26"/>
        <v>-8.3756345177664948E-2</v>
      </c>
      <c r="EM15" s="1137">
        <f t="shared" si="26"/>
        <v>-6.8697342838626052E-2</v>
      </c>
      <c r="EN15" s="1163">
        <f t="shared" si="26"/>
        <v>-9.7332709405708928E-2</v>
      </c>
      <c r="EO15" s="1137">
        <f t="shared" si="26"/>
        <v>-4.8375950241880128E-3</v>
      </c>
      <c r="EP15" s="1137">
        <f t="shared" si="26"/>
        <v>-6.8540095956134417E-3</v>
      </c>
      <c r="EQ15" s="1137">
        <f t="shared" si="26"/>
        <v>-5.5401662049860967E-3</v>
      </c>
      <c r="ER15" s="1137">
        <f t="shared" si="26"/>
        <v>-7.6548364648573175E-3</v>
      </c>
      <c r="ES15" s="1163">
        <f t="shared" si="26"/>
        <v>-6.2208398133748455E-3</v>
      </c>
      <c r="ET15" s="1137">
        <f t="shared" si="26"/>
        <v>-5.2682092326825636E-3</v>
      </c>
      <c r="EU15" s="1137">
        <f t="shared" si="26"/>
        <v>-2.2951694303859904E-3</v>
      </c>
      <c r="EV15" s="1137">
        <f t="shared" si="26"/>
        <v>3.4059475064214251E-3</v>
      </c>
      <c r="EW15" s="1137">
        <f t="shared" si="26"/>
        <v>7.9531866793103312E-3</v>
      </c>
      <c r="EX15" s="1163">
        <f t="shared" si="26"/>
        <v>9.2510224730046886E-4</v>
      </c>
      <c r="EY15" s="1137">
        <f t="shared" ref="EY15" si="27">EY12/ET12-1</f>
        <v>1.1299204667327034E-2</v>
      </c>
      <c r="EZ15" s="1137">
        <f t="shared" ref="EZ15" si="28">EZ12/EU12-1</f>
        <v>1.8954537429554552E-2</v>
      </c>
      <c r="FA15" s="1137">
        <f t="shared" ref="FA15" si="29">FA12/EV12-1</f>
        <v>2.3569874879522779E-2</v>
      </c>
      <c r="FB15" s="1137">
        <f t="shared" ref="FB15:FC15" si="30">FB12/EW12-1</f>
        <v>2.95659378486548E-2</v>
      </c>
      <c r="FC15" s="1163">
        <f t="shared" si="30"/>
        <v>2.0854500734544867E-2</v>
      </c>
      <c r="FD15" s="1137">
        <f t="shared" ref="FD15" si="31">FD12/EY12-1</f>
        <v>3.5920425006552348E-2</v>
      </c>
      <c r="FE15" s="1137">
        <f t="shared" ref="FE15" si="32">FE12/EZ12-1</f>
        <v>4.1488571445455591E-2</v>
      </c>
      <c r="FF15" s="1137">
        <f t="shared" ref="FF15" si="33">FF12/FA12-1</f>
        <v>4.4905548965632702E-2</v>
      </c>
      <c r="FG15" s="1137">
        <f t="shared" ref="FG15:FH15" si="34">FG12/FB12-1</f>
        <v>4.8248438156722973E-2</v>
      </c>
      <c r="FH15" s="1163">
        <f t="shared" si="34"/>
        <v>4.2675875409013297E-2</v>
      </c>
      <c r="FI15" s="1137">
        <f t="shared" ref="FI15:FM15" si="35">FI12/FH12-1</f>
        <v>5.0345449283137667E-2</v>
      </c>
      <c r="FJ15" s="1137">
        <f t="shared" si="35"/>
        <v>4.9942757898026491E-2</v>
      </c>
      <c r="FK15" s="1137">
        <f t="shared" si="35"/>
        <v>4.7117555041907622E-2</v>
      </c>
      <c r="FL15" s="1137">
        <f t="shared" si="35"/>
        <v>4.2655153309897109E-2</v>
      </c>
      <c r="FM15" s="1137">
        <f t="shared" si="35"/>
        <v>3.7911393944982885E-2</v>
      </c>
    </row>
    <row r="16" spans="1:171" x14ac:dyDescent="0.3">
      <c r="A16" s="90"/>
      <c r="EO16"/>
      <c r="EP16"/>
      <c r="EQ16"/>
      <c r="ER16"/>
      <c r="ES16" s="90"/>
      <c r="EX16" s="90"/>
      <c r="FC16" s="90"/>
      <c r="FH16" s="90"/>
    </row>
    <row r="17" spans="1:171" x14ac:dyDescent="0.3">
      <c r="A17" s="90" t="s">
        <v>290</v>
      </c>
      <c r="EO17"/>
      <c r="EP17"/>
      <c r="EQ17"/>
      <c r="ER17"/>
      <c r="ES17" s="90"/>
      <c r="EX17" s="90"/>
      <c r="FC17" s="90"/>
      <c r="FH17" s="90"/>
    </row>
    <row r="18" spans="1:171" x14ac:dyDescent="0.3">
      <c r="A18" t="s">
        <v>291</v>
      </c>
      <c r="DZ18" s="887">
        <f>DZ243</f>
        <v>463</v>
      </c>
      <c r="EA18" s="887">
        <f t="shared" ref="EA18:EC18" si="36">EA243</f>
        <v>430</v>
      </c>
      <c r="EB18" s="887">
        <f t="shared" si="36"/>
        <v>429</v>
      </c>
      <c r="EC18" s="887">
        <f t="shared" si="36"/>
        <v>415</v>
      </c>
      <c r="ED18" s="916">
        <f>SUM(DZ18:EC18)</f>
        <v>1737</v>
      </c>
      <c r="EE18" s="887">
        <f>EE243</f>
        <v>409</v>
      </c>
      <c r="EF18" s="887">
        <f t="shared" ref="EF18:EM18" si="37">EF243</f>
        <v>404</v>
      </c>
      <c r="EG18" s="887">
        <f t="shared" si="37"/>
        <v>406</v>
      </c>
      <c r="EH18" s="887">
        <f t="shared" si="37"/>
        <v>402</v>
      </c>
      <c r="EI18" s="916">
        <f>SUM(EE18:EH18)</f>
        <v>1621</v>
      </c>
      <c r="EJ18" s="887">
        <f t="shared" si="37"/>
        <v>398</v>
      </c>
      <c r="EK18" s="887">
        <f t="shared" si="37"/>
        <v>393</v>
      </c>
      <c r="EL18" s="887">
        <f t="shared" si="37"/>
        <v>415</v>
      </c>
      <c r="EM18" s="887">
        <f t="shared" si="37"/>
        <v>395</v>
      </c>
      <c r="EN18" s="916">
        <f>SUM(EJ18:EM18)</f>
        <v>1601</v>
      </c>
      <c r="EO18" s="887">
        <f t="shared" ref="EO18:ER18" si="38">EO243</f>
        <v>407</v>
      </c>
      <c r="EP18" s="887">
        <f t="shared" si="38"/>
        <v>423</v>
      </c>
      <c r="EQ18" s="887">
        <f t="shared" si="38"/>
        <v>432</v>
      </c>
      <c r="ER18" s="887">
        <f t="shared" si="38"/>
        <v>406</v>
      </c>
      <c r="ES18" s="916">
        <f>SUM(EO18:ER18)</f>
        <v>1668</v>
      </c>
      <c r="ET18" s="887">
        <f t="shared" ref="ET18:EW18" si="39">ET243</f>
        <v>425.84848512234225</v>
      </c>
      <c r="EU18" s="887">
        <f t="shared" si="39"/>
        <v>441.44095474458709</v>
      </c>
      <c r="EV18" s="887">
        <f t="shared" si="39"/>
        <v>454.62929871418527</v>
      </c>
      <c r="EW18" s="887">
        <f t="shared" si="39"/>
        <v>430.08715725063399</v>
      </c>
      <c r="EX18" s="916">
        <f>SUM(ET18:EW18)</f>
        <v>1752.0058958317486</v>
      </c>
      <c r="EY18" s="887">
        <f t="shared" ref="EY18:FB18" si="40">EY243</f>
        <v>454.21994988049238</v>
      </c>
      <c r="EZ18" s="887">
        <f t="shared" si="40"/>
        <v>470.18419167832633</v>
      </c>
      <c r="FA18" s="887">
        <f t="shared" si="40"/>
        <v>487.04732381893916</v>
      </c>
      <c r="FB18" s="887">
        <f t="shared" si="40"/>
        <v>462.96510797433274</v>
      </c>
      <c r="FC18" s="916">
        <f>SUM(EY18:FB18)</f>
        <v>1874.4165733520906</v>
      </c>
      <c r="FD18" s="887">
        <f t="shared" ref="FD18:FM18" si="41">FD243</f>
        <v>507.33878007688816</v>
      </c>
      <c r="FE18" s="887">
        <f t="shared" si="41"/>
        <v>524.14072931536134</v>
      </c>
      <c r="FF18" s="887">
        <f t="shared" si="41"/>
        <v>540.71497661436786</v>
      </c>
      <c r="FG18" s="887">
        <f t="shared" si="41"/>
        <v>505.85477101859567</v>
      </c>
      <c r="FH18" s="916">
        <f>SUM(FD18:FG18)</f>
        <v>2078.0492570252131</v>
      </c>
      <c r="FI18" s="887">
        <f t="shared" si="41"/>
        <v>2184.3796770241665</v>
      </c>
      <c r="FJ18" s="887">
        <f t="shared" si="41"/>
        <v>2290.8339213586332</v>
      </c>
      <c r="FK18" s="887">
        <f t="shared" si="41"/>
        <v>2389.1239728038245</v>
      </c>
      <c r="FL18" s="887">
        <f t="shared" si="41"/>
        <v>2479.513679138769</v>
      </c>
      <c r="FM18" s="887">
        <f t="shared" si="41"/>
        <v>2562.8202557521304</v>
      </c>
    </row>
    <row r="19" spans="1:171" x14ac:dyDescent="0.3">
      <c r="A19" t="s">
        <v>292</v>
      </c>
      <c r="DZ19" s="887">
        <f>DZ380</f>
        <v>625</v>
      </c>
      <c r="EA19" s="887">
        <f t="shared" ref="EA19:EC19" si="42">EA380</f>
        <v>609</v>
      </c>
      <c r="EB19" s="887">
        <f t="shared" si="42"/>
        <v>583</v>
      </c>
      <c r="EC19" s="887">
        <f t="shared" si="42"/>
        <v>564</v>
      </c>
      <c r="ED19" s="916">
        <f>SUM(DZ19:EC19)</f>
        <v>2381</v>
      </c>
      <c r="EE19" s="887">
        <f>EE380</f>
        <v>560</v>
      </c>
      <c r="EF19" s="887">
        <f t="shared" ref="EF19:EM19" si="43">EF380</f>
        <v>566</v>
      </c>
      <c r="EG19" s="887">
        <f t="shared" si="43"/>
        <v>582</v>
      </c>
      <c r="EH19" s="887">
        <f t="shared" si="43"/>
        <v>556</v>
      </c>
      <c r="EI19" s="916">
        <f>SUM(EE19:EH19)</f>
        <v>2264</v>
      </c>
      <c r="EJ19" s="887">
        <f t="shared" si="43"/>
        <v>540</v>
      </c>
      <c r="EK19" s="887">
        <f t="shared" si="43"/>
        <v>530</v>
      </c>
      <c r="EL19" s="887">
        <f t="shared" si="43"/>
        <v>520</v>
      </c>
      <c r="EM19" s="887">
        <f t="shared" si="43"/>
        <v>515</v>
      </c>
      <c r="EN19" s="916">
        <f>SUM(EJ19:EM19)</f>
        <v>2105</v>
      </c>
      <c r="EO19" s="887">
        <f t="shared" ref="EO19:ER19" si="44">EO380</f>
        <v>513</v>
      </c>
      <c r="EP19" s="887">
        <f t="shared" si="44"/>
        <v>493</v>
      </c>
      <c r="EQ19" s="887">
        <f t="shared" si="44"/>
        <v>478</v>
      </c>
      <c r="ER19" s="887">
        <f t="shared" si="44"/>
        <v>470</v>
      </c>
      <c r="ES19" s="916">
        <f>SUM(EO19:ER19)</f>
        <v>1954</v>
      </c>
      <c r="ET19" s="887">
        <f t="shared" ref="ET19:EW19" si="45">ET380</f>
        <v>462.57245789764897</v>
      </c>
      <c r="EU19" s="887">
        <f t="shared" si="45"/>
        <v>443.84535869429897</v>
      </c>
      <c r="EV19" s="887">
        <f t="shared" si="45"/>
        <v>429.88704392799013</v>
      </c>
      <c r="EW19" s="887">
        <f t="shared" si="45"/>
        <v>422.24211333797746</v>
      </c>
      <c r="EX19" s="916">
        <f>SUM(ET19:EW19)</f>
        <v>1758.5469738579154</v>
      </c>
      <c r="EY19" s="887">
        <f t="shared" ref="EY19:FB19" si="46">EY380</f>
        <v>416.49325092609757</v>
      </c>
      <c r="EZ19" s="887">
        <f t="shared" si="46"/>
        <v>397.79730396122875</v>
      </c>
      <c r="FA19" s="887">
        <f t="shared" si="46"/>
        <v>383.54105286580324</v>
      </c>
      <c r="FB19" s="887">
        <f t="shared" si="46"/>
        <v>374.88746233035533</v>
      </c>
      <c r="FC19" s="916">
        <f>SUM(EY19:FB19)</f>
        <v>1572.7190700834849</v>
      </c>
      <c r="FD19" s="887">
        <f t="shared" ref="FD19:FM19" si="47">FD380</f>
        <v>365.40827976529977</v>
      </c>
      <c r="FE19" s="887">
        <f t="shared" si="47"/>
        <v>346.49924276094254</v>
      </c>
      <c r="FF19" s="887">
        <f t="shared" si="47"/>
        <v>334.69043602064505</v>
      </c>
      <c r="FG19" s="887">
        <f t="shared" si="47"/>
        <v>336.76125079857673</v>
      </c>
      <c r="FH19" s="916">
        <f>SUM(FD19:FG19)</f>
        <v>1383.359209345464</v>
      </c>
      <c r="FI19" s="887">
        <f t="shared" si="47"/>
        <v>1304.2643241189533</v>
      </c>
      <c r="FJ19" s="887">
        <f t="shared" si="47"/>
        <v>1235.4409885837711</v>
      </c>
      <c r="FK19" s="887">
        <f t="shared" si="47"/>
        <v>1176.3721400707043</v>
      </c>
      <c r="FL19" s="887">
        <f t="shared" si="47"/>
        <v>1123.4376646383912</v>
      </c>
      <c r="FM19" s="887">
        <f t="shared" si="47"/>
        <v>1074.9614045315261</v>
      </c>
    </row>
    <row r="20" spans="1:171" x14ac:dyDescent="0.3">
      <c r="A20" t="s">
        <v>293</v>
      </c>
      <c r="DZ20" s="866">
        <f>DZ21-DZ18-DZ19</f>
        <v>14</v>
      </c>
      <c r="EA20" s="866">
        <f t="shared" ref="EA20:EC20" si="48">EA21-EA18-EA19</f>
        <v>12</v>
      </c>
      <c r="EB20" s="866">
        <f t="shared" si="48"/>
        <v>24</v>
      </c>
      <c r="EC20" s="866">
        <f t="shared" si="48"/>
        <v>23</v>
      </c>
      <c r="ED20" s="941">
        <f>SUM(DZ20:EC20)</f>
        <v>73</v>
      </c>
      <c r="EE20" s="866">
        <f>EE21-EE18-EE19</f>
        <v>37</v>
      </c>
      <c r="EF20" s="866">
        <f t="shared" ref="EF20:EH20" si="49">EF21-EF18-EF19</f>
        <v>13</v>
      </c>
      <c r="EG20" s="866">
        <f t="shared" si="49"/>
        <v>1</v>
      </c>
      <c r="EH20" s="866">
        <f t="shared" si="49"/>
        <v>0</v>
      </c>
      <c r="EI20" s="941">
        <f>SUM(EE20:EH20)</f>
        <v>51</v>
      </c>
      <c r="EJ20" s="866">
        <f t="shared" ref="EJ20:EM20" si="50">EJ21-EJ18-EJ19</f>
        <v>0</v>
      </c>
      <c r="EK20" s="866">
        <f t="shared" si="50"/>
        <v>1</v>
      </c>
      <c r="EL20" s="866">
        <f t="shared" si="50"/>
        <v>1</v>
      </c>
      <c r="EM20" s="866">
        <f t="shared" si="50"/>
        <v>-1</v>
      </c>
      <c r="EN20" s="941">
        <f>SUM(EJ20:EM20)</f>
        <v>1</v>
      </c>
      <c r="EO20" s="866">
        <f t="shared" ref="EO20:ER20" si="51">EO21-EO18-EO19</f>
        <v>1</v>
      </c>
      <c r="EP20" s="866">
        <f t="shared" si="51"/>
        <v>0</v>
      </c>
      <c r="EQ20" s="866">
        <f t="shared" si="51"/>
        <v>0</v>
      </c>
      <c r="ER20" s="866">
        <f t="shared" si="51"/>
        <v>1</v>
      </c>
      <c r="ES20" s="941">
        <f>SUM(EO20:ER20)</f>
        <v>2</v>
      </c>
      <c r="ET20" s="866">
        <v>0</v>
      </c>
      <c r="EU20" s="866">
        <v>0</v>
      </c>
      <c r="EV20" s="866">
        <v>0</v>
      </c>
      <c r="EW20" s="866">
        <v>0</v>
      </c>
      <c r="EX20" s="941">
        <f>SUM(ET20:EW20)</f>
        <v>0</v>
      </c>
      <c r="EY20" s="866">
        <v>0</v>
      </c>
      <c r="EZ20" s="866">
        <v>0</v>
      </c>
      <c r="FA20" s="866">
        <v>0</v>
      </c>
      <c r="FB20" s="866">
        <v>0</v>
      </c>
      <c r="FC20" s="941">
        <f>SUM(EY20:FB20)</f>
        <v>0</v>
      </c>
      <c r="FD20" s="866">
        <v>0</v>
      </c>
      <c r="FE20" s="866">
        <v>0</v>
      </c>
      <c r="FF20" s="866">
        <v>0</v>
      </c>
      <c r="FG20" s="866">
        <v>0</v>
      </c>
      <c r="FH20" s="941">
        <f>SUM(FD20:FG20)</f>
        <v>0</v>
      </c>
      <c r="FI20" s="866">
        <f t="shared" ref="FI20:FM20" si="52">FH20</f>
        <v>0</v>
      </c>
      <c r="FJ20" s="866">
        <f t="shared" si="52"/>
        <v>0</v>
      </c>
      <c r="FK20" s="866">
        <f t="shared" si="52"/>
        <v>0</v>
      </c>
      <c r="FL20" s="866">
        <f t="shared" si="52"/>
        <v>0</v>
      </c>
      <c r="FM20" s="866">
        <f t="shared" si="52"/>
        <v>0</v>
      </c>
    </row>
    <row r="21" spans="1:171" x14ac:dyDescent="0.3">
      <c r="A21" s="90" t="s">
        <v>294</v>
      </c>
      <c r="DZ21" s="916">
        <f>DZ12-DZ30</f>
        <v>1102</v>
      </c>
      <c r="EA21" s="916">
        <f>EA12-EA30</f>
        <v>1051</v>
      </c>
      <c r="EB21" s="916">
        <f>EB12-EB30</f>
        <v>1036</v>
      </c>
      <c r="EC21" s="916">
        <f>EC12-EC30</f>
        <v>1002</v>
      </c>
      <c r="ED21" s="916">
        <f>SUM(ED18:ED19)</f>
        <v>4118</v>
      </c>
      <c r="EE21" s="916">
        <f>EE12-EE30</f>
        <v>1006</v>
      </c>
      <c r="EF21" s="916">
        <f>EF12-EF30</f>
        <v>983</v>
      </c>
      <c r="EG21" s="916">
        <f>EG12-EG30</f>
        <v>989</v>
      </c>
      <c r="EH21" s="916">
        <f>EH12-EH30</f>
        <v>958</v>
      </c>
      <c r="EI21" s="916">
        <f t="shared" ref="EI21:EN21" si="53">SUM(EI18:EI19)</f>
        <v>3885</v>
      </c>
      <c r="EJ21" s="916">
        <f>EJ12-EJ30</f>
        <v>938</v>
      </c>
      <c r="EK21" s="916">
        <f>EK12-EK30</f>
        <v>924</v>
      </c>
      <c r="EL21" s="916">
        <f>EL12-EL30</f>
        <v>936</v>
      </c>
      <c r="EM21" s="916">
        <f>EM12-EM30</f>
        <v>909</v>
      </c>
      <c r="EN21" s="916">
        <f t="shared" si="53"/>
        <v>3706</v>
      </c>
      <c r="EO21" s="916">
        <f>EO12-EO30</f>
        <v>921</v>
      </c>
      <c r="EP21" s="916">
        <f>EP12-EP30</f>
        <v>916</v>
      </c>
      <c r="EQ21" s="916">
        <f>EQ12-EQ30</f>
        <v>910</v>
      </c>
      <c r="ER21" s="916">
        <f>ER12-ER30</f>
        <v>877</v>
      </c>
      <c r="ES21" s="916">
        <f>SUM(ES18:ES20)</f>
        <v>3624</v>
      </c>
      <c r="ET21" s="916">
        <f t="shared" ref="ET21:EW21" si="54">SUM(ET18:ET20)</f>
        <v>888.42094301999123</v>
      </c>
      <c r="EU21" s="916">
        <f t="shared" si="54"/>
        <v>885.28631343888605</v>
      </c>
      <c r="EV21" s="916">
        <f t="shared" si="54"/>
        <v>884.51634264217546</v>
      </c>
      <c r="EW21" s="916">
        <f t="shared" si="54"/>
        <v>852.32927058861151</v>
      </c>
      <c r="EX21" s="916">
        <f>SUM(EX18:EX20)</f>
        <v>3510.552869689664</v>
      </c>
      <c r="EY21" s="916">
        <f t="shared" ref="EY21:FB21" si="55">SUM(EY18:EY20)</f>
        <v>870.71320080658995</v>
      </c>
      <c r="EZ21" s="916">
        <f t="shared" si="55"/>
        <v>867.98149563955508</v>
      </c>
      <c r="FA21" s="916">
        <f t="shared" si="55"/>
        <v>870.58837668474234</v>
      </c>
      <c r="FB21" s="916">
        <f t="shared" si="55"/>
        <v>837.85257030468802</v>
      </c>
      <c r="FC21" s="916">
        <f>SUM(FC18:FC20)</f>
        <v>3447.1356434355757</v>
      </c>
      <c r="FD21" s="916">
        <f t="shared" ref="FD21:FG21" si="56">SUM(FD18:FD20)</f>
        <v>872.74705984218792</v>
      </c>
      <c r="FE21" s="916">
        <f t="shared" si="56"/>
        <v>870.63997207630382</v>
      </c>
      <c r="FF21" s="916">
        <f t="shared" si="56"/>
        <v>875.40541263501291</v>
      </c>
      <c r="FG21" s="916">
        <f t="shared" si="56"/>
        <v>842.6160218171724</v>
      </c>
      <c r="FH21" s="916">
        <f>SUM(FH18:FH20)</f>
        <v>3461.4084663706772</v>
      </c>
      <c r="FI21" s="916">
        <f t="shared" ref="FI21:FM21" si="57">FI12-FI30</f>
        <v>3488.64400114312</v>
      </c>
      <c r="FJ21" s="916">
        <f t="shared" si="57"/>
        <v>3526.2749099424041</v>
      </c>
      <c r="FK21" s="916">
        <f t="shared" si="57"/>
        <v>3565.496112874529</v>
      </c>
      <c r="FL21" s="916">
        <f t="shared" si="57"/>
        <v>3602.9513437771602</v>
      </c>
      <c r="FM21" s="916">
        <f t="shared" si="57"/>
        <v>3637.7816602836565</v>
      </c>
      <c r="FN21" s="189">
        <f>+(FJ21/ES21)^0.2-1</f>
        <v>-5.4523498346250587E-3</v>
      </c>
      <c r="FO21" s="189">
        <f>+(FM21/EI21)^0.1-1</f>
        <v>-6.5533248837204017E-3</v>
      </c>
    </row>
    <row r="22" spans="1:171" x14ac:dyDescent="0.3">
      <c r="A22" s="1158" t="s">
        <v>295</v>
      </c>
      <c r="EE22" s="1137">
        <f>EE18/DZ18-1</f>
        <v>-0.11663066954643631</v>
      </c>
      <c r="EF22" s="1137">
        <f t="shared" ref="EF22:EX23" si="58">EF18/EA18-1</f>
        <v>-6.0465116279069808E-2</v>
      </c>
      <c r="EG22" s="1137">
        <f t="shared" si="58"/>
        <v>-5.3613053613053574E-2</v>
      </c>
      <c r="EH22" s="1137">
        <f t="shared" si="58"/>
        <v>-3.1325301204819245E-2</v>
      </c>
      <c r="EI22" s="1163">
        <f t="shared" si="58"/>
        <v>-6.6781807714450192E-2</v>
      </c>
      <c r="EJ22" s="1137">
        <f t="shared" si="58"/>
        <v>-2.6894865525672329E-2</v>
      </c>
      <c r="EK22" s="1137">
        <f t="shared" si="58"/>
        <v>-2.7227722772277252E-2</v>
      </c>
      <c r="EL22" s="1137">
        <f t="shared" si="58"/>
        <v>2.2167487684729092E-2</v>
      </c>
      <c r="EM22" s="1137">
        <f t="shared" si="58"/>
        <v>-1.7412935323383061E-2</v>
      </c>
      <c r="EN22" s="1163">
        <f t="shared" si="58"/>
        <v>-1.2338062924120874E-2</v>
      </c>
      <c r="EO22" s="1137">
        <f t="shared" si="58"/>
        <v>2.2613065326633208E-2</v>
      </c>
      <c r="EP22" s="1137">
        <f t="shared" si="58"/>
        <v>7.6335877862595325E-2</v>
      </c>
      <c r="EQ22" s="1137">
        <f t="shared" si="58"/>
        <v>4.0963855421686679E-2</v>
      </c>
      <c r="ER22" s="1137">
        <f t="shared" si="58"/>
        <v>2.7848101265822711E-2</v>
      </c>
      <c r="ES22" s="1163">
        <f t="shared" si="58"/>
        <v>4.1848844472204938E-2</v>
      </c>
      <c r="ET22" s="1137">
        <f t="shared" si="58"/>
        <v>4.6310774256369092E-2</v>
      </c>
      <c r="EU22" s="1137">
        <f t="shared" si="58"/>
        <v>4.3595637694059386E-2</v>
      </c>
      <c r="EV22" s="1137">
        <f t="shared" si="58"/>
        <v>5.2382635912465947E-2</v>
      </c>
      <c r="EW22" s="1137">
        <f t="shared" si="58"/>
        <v>5.9327973523729094E-2</v>
      </c>
      <c r="EX22" s="1163">
        <f t="shared" si="58"/>
        <v>5.0363246901528047E-2</v>
      </c>
      <c r="EY22" s="1137">
        <f t="shared" ref="EY22:EY23" si="59">EY18/ET18-1</f>
        <v>6.6623378383039888E-2</v>
      </c>
      <c r="EZ22" s="1137">
        <f t="shared" ref="EZ22:EZ23" si="60">EZ18/EU18-1</f>
        <v>6.5112302392445143E-2</v>
      </c>
      <c r="FA22" s="1137">
        <f t="shared" ref="FA22:FA23" si="61">FA18/EV18-1</f>
        <v>7.1306502234767644E-2</v>
      </c>
      <c r="FB22" s="1137">
        <f t="shared" ref="FB22:FC23" si="62">FB18/EW18-1</f>
        <v>7.6444855814513657E-2</v>
      </c>
      <c r="FC22" s="1163">
        <f t="shared" si="62"/>
        <v>6.9868873050925817E-2</v>
      </c>
      <c r="FD22" s="1137">
        <f t="shared" ref="FD22:FD23" si="63">FD18/EY18-1</f>
        <v>0.11694517206998856</v>
      </c>
      <c r="FE22" s="1137">
        <f t="shared" ref="FE22:FE23" si="64">FE18/EZ18-1</f>
        <v>0.11475617128776006</v>
      </c>
      <c r="FF22" s="1137">
        <f t="shared" ref="FF22:FF23" si="65">FF18/FA18-1</f>
        <v>0.11018981148406803</v>
      </c>
      <c r="FG22" s="1137">
        <f t="shared" ref="FG22:FH23" si="66">FG18/FB18-1</f>
        <v>9.2641242947925972E-2</v>
      </c>
      <c r="FH22" s="1163">
        <f t="shared" si="66"/>
        <v>0.10863790182401045</v>
      </c>
      <c r="FI22" s="1137">
        <f t="shared" ref="FI22:FM23" si="67">FI18/FH18-1</f>
        <v>5.1168382866519924E-2</v>
      </c>
      <c r="FJ22" s="1137">
        <f t="shared" si="67"/>
        <v>4.8734313660842909E-2</v>
      </c>
      <c r="FK22" s="1137">
        <f t="shared" si="67"/>
        <v>4.2905795365077326E-2</v>
      </c>
      <c r="FL22" s="1137">
        <f t="shared" si="67"/>
        <v>3.783382836716731E-2</v>
      </c>
      <c r="FM22" s="1137">
        <f t="shared" si="67"/>
        <v>3.3597949998927623E-2</v>
      </c>
    </row>
    <row r="23" spans="1:171" x14ac:dyDescent="0.3">
      <c r="A23" s="1158" t="s">
        <v>296</v>
      </c>
      <c r="EE23" s="1137">
        <f>EE19/DZ19-1</f>
        <v>-0.10399999999999998</v>
      </c>
      <c r="EF23" s="1137">
        <f t="shared" si="58"/>
        <v>-7.0607553366174081E-2</v>
      </c>
      <c r="EG23" s="1137">
        <f t="shared" si="58"/>
        <v>-1.7152658662092923E-3</v>
      </c>
      <c r="EH23" s="1137">
        <f t="shared" si="58"/>
        <v>-1.4184397163120588E-2</v>
      </c>
      <c r="EI23" s="1163">
        <f t="shared" si="58"/>
        <v>-4.9139017219655634E-2</v>
      </c>
      <c r="EJ23" s="1137">
        <f t="shared" si="58"/>
        <v>-3.5714285714285698E-2</v>
      </c>
      <c r="EK23" s="1137">
        <f t="shared" si="58"/>
        <v>-6.360424028268552E-2</v>
      </c>
      <c r="EL23" s="1137">
        <f t="shared" si="58"/>
        <v>-0.10652920962199308</v>
      </c>
      <c r="EM23" s="1137">
        <f t="shared" si="58"/>
        <v>-7.374100719424459E-2</v>
      </c>
      <c r="EN23" s="1163">
        <f t="shared" si="58"/>
        <v>-7.0229681978798641E-2</v>
      </c>
      <c r="EO23" s="1137">
        <f t="shared" si="58"/>
        <v>-5.0000000000000044E-2</v>
      </c>
      <c r="EP23" s="1137">
        <f t="shared" si="58"/>
        <v>-6.9811320754716966E-2</v>
      </c>
      <c r="EQ23" s="1137">
        <f t="shared" si="58"/>
        <v>-8.0769230769230815E-2</v>
      </c>
      <c r="ER23" s="1137">
        <f t="shared" si="58"/>
        <v>-8.737864077669899E-2</v>
      </c>
      <c r="ES23" s="1163">
        <f t="shared" si="58"/>
        <v>-7.1733966745843203E-2</v>
      </c>
      <c r="ET23" s="1137">
        <f t="shared" si="58"/>
        <v>-9.8299302343764161E-2</v>
      </c>
      <c r="EU23" s="1137">
        <f t="shared" si="58"/>
        <v>-9.9705154778298222E-2</v>
      </c>
      <c r="EV23" s="1137">
        <f t="shared" si="58"/>
        <v>-0.10065471981592022</v>
      </c>
      <c r="EW23" s="1137">
        <f t="shared" si="58"/>
        <v>-0.10161252481281391</v>
      </c>
      <c r="EX23" s="1163">
        <f t="shared" si="58"/>
        <v>-0.10002713722726952</v>
      </c>
      <c r="EY23" s="1137">
        <f t="shared" si="59"/>
        <v>-9.9615111502698084E-2</v>
      </c>
      <c r="EZ23" s="1137">
        <f t="shared" si="60"/>
        <v>-0.10374796949219889</v>
      </c>
      <c r="FA23" s="1137">
        <f t="shared" si="61"/>
        <v>-0.10780969493453785</v>
      </c>
      <c r="FB23" s="1137">
        <f t="shared" si="62"/>
        <v>-0.11215046891762259</v>
      </c>
      <c r="FC23" s="1163">
        <f t="shared" si="62"/>
        <v>-0.10567127664878906</v>
      </c>
      <c r="FD23" s="1137">
        <f t="shared" si="63"/>
        <v>-0.12265497951577209</v>
      </c>
      <c r="FE23" s="1137">
        <f t="shared" si="64"/>
        <v>-0.12895527619082603</v>
      </c>
      <c r="FF23" s="1137">
        <f t="shared" si="65"/>
        <v>-0.12736737431403589</v>
      </c>
      <c r="FG23" s="1137">
        <f t="shared" si="66"/>
        <v>-0.10170041775945371</v>
      </c>
      <c r="FH23" s="1163">
        <f t="shared" si="66"/>
        <v>-0.12040285155820551</v>
      </c>
      <c r="FI23" s="1137">
        <f t="shared" si="67"/>
        <v>-5.7175955957190938E-2</v>
      </c>
      <c r="FJ23" s="1137">
        <f t="shared" si="67"/>
        <v>-5.2767935350584105E-2</v>
      </c>
      <c r="FK23" s="1137">
        <f t="shared" si="67"/>
        <v>-4.7811954645263555E-2</v>
      </c>
      <c r="FL23" s="1137">
        <f t="shared" si="67"/>
        <v>-4.4998069598223833E-2</v>
      </c>
      <c r="FM23" s="1137">
        <f t="shared" si="67"/>
        <v>-4.3149933131775953E-2</v>
      </c>
    </row>
    <row r="24" spans="1:171" x14ac:dyDescent="0.3">
      <c r="A24" s="1158" t="s">
        <v>297</v>
      </c>
      <c r="EE24" s="1137">
        <f t="shared" ref="EE24:EX24" si="68">EE21/DZ21-1</f>
        <v>-8.7114337568058087E-2</v>
      </c>
      <c r="EF24" s="1137">
        <f t="shared" si="68"/>
        <v>-6.4700285442435779E-2</v>
      </c>
      <c r="EG24" s="1137">
        <f t="shared" si="68"/>
        <v>-4.5366795366795332E-2</v>
      </c>
      <c r="EH24" s="1137">
        <f t="shared" si="68"/>
        <v>-4.3912175648702645E-2</v>
      </c>
      <c r="EI24" s="1163">
        <f t="shared" si="68"/>
        <v>-5.6580864497328798E-2</v>
      </c>
      <c r="EJ24" s="1137">
        <f t="shared" si="68"/>
        <v>-6.7594433399602361E-2</v>
      </c>
      <c r="EK24" s="1137">
        <f t="shared" si="68"/>
        <v>-6.0020345879959303E-2</v>
      </c>
      <c r="EL24" s="1137">
        <f t="shared" si="68"/>
        <v>-5.3589484327603687E-2</v>
      </c>
      <c r="EM24" s="1137">
        <f t="shared" si="68"/>
        <v>-5.1148225469728636E-2</v>
      </c>
      <c r="EN24" s="1163">
        <f t="shared" si="68"/>
        <v>-4.6074646074646064E-2</v>
      </c>
      <c r="EO24" s="1137">
        <f t="shared" si="68"/>
        <v>-1.8123667377398678E-2</v>
      </c>
      <c r="EP24" s="1137">
        <f t="shared" si="68"/>
        <v>-8.6580086580086979E-3</v>
      </c>
      <c r="EQ24" s="1137">
        <f t="shared" si="68"/>
        <v>-2.777777777777779E-2</v>
      </c>
      <c r="ER24" s="1137">
        <f t="shared" si="68"/>
        <v>-3.5203520352035222E-2</v>
      </c>
      <c r="ES24" s="1163">
        <f t="shared" si="68"/>
        <v>-2.2126281705342699E-2</v>
      </c>
      <c r="ET24" s="1137">
        <f t="shared" si="68"/>
        <v>-3.5373568925090915E-2</v>
      </c>
      <c r="EU24" s="1137">
        <f t="shared" si="68"/>
        <v>-3.3530225503399458E-2</v>
      </c>
      <c r="EV24" s="1137">
        <f t="shared" si="68"/>
        <v>-2.8004019074532427E-2</v>
      </c>
      <c r="EW24" s="1137">
        <f t="shared" si="68"/>
        <v>-2.813082030945091E-2</v>
      </c>
      <c r="EX24" s="1163">
        <f t="shared" si="68"/>
        <v>-3.1304395780997751E-2</v>
      </c>
      <c r="EY24" s="1137">
        <f t="shared" ref="EY24" si="69">EY21/ET21-1</f>
        <v>-1.9931702817819308E-2</v>
      </c>
      <c r="EZ24" s="1137">
        <f t="shared" ref="EZ24" si="70">EZ21/EU21-1</f>
        <v>-1.954714258725021E-2</v>
      </c>
      <c r="FA24" s="1137">
        <f t="shared" ref="FA24" si="71">FA21/EV21-1</f>
        <v>-1.5746420146210416E-2</v>
      </c>
      <c r="FB24" s="1137">
        <f t="shared" ref="FB24:FC24" si="72">FB21/EW21-1</f>
        <v>-1.6984868153039012E-2</v>
      </c>
      <c r="FC24" s="1163">
        <f t="shared" si="72"/>
        <v>-1.8064740400760448E-2</v>
      </c>
      <c r="FD24" s="1137">
        <f t="shared" ref="FD24" si="73">FD21/EY21-1</f>
        <v>2.3358541408513567E-3</v>
      </c>
      <c r="FE24" s="1137">
        <f t="shared" ref="FE24" si="74">FE21/EZ21-1</f>
        <v>3.0628261663456779E-3</v>
      </c>
      <c r="FF24" s="1137">
        <f t="shared" ref="FF24" si="75">FF21/FA21-1</f>
        <v>5.533080936152901E-3</v>
      </c>
      <c r="FG24" s="1137">
        <f t="shared" ref="FG24:FH24" si="76">FG21/FB21-1</f>
        <v>5.685309899750246E-3</v>
      </c>
      <c r="FH24" s="1163">
        <f t="shared" si="76"/>
        <v>4.1404877589545919E-3</v>
      </c>
      <c r="FI24" s="1137">
        <f t="shared" ref="FI24:FM24" si="77">FI21/FH21-1</f>
        <v>7.8683388675591104E-3</v>
      </c>
      <c r="FJ24" s="1137">
        <f t="shared" si="77"/>
        <v>1.0786686399344214E-2</v>
      </c>
      <c r="FK24" s="1137">
        <f t="shared" si="77"/>
        <v>1.1122559622773531E-2</v>
      </c>
      <c r="FL24" s="1137">
        <f t="shared" si="77"/>
        <v>1.0504914243879115E-2</v>
      </c>
      <c r="FM24" s="1137">
        <f t="shared" si="77"/>
        <v>9.6671626073034922E-3</v>
      </c>
    </row>
    <row r="25" spans="1:171" x14ac:dyDescent="0.3">
      <c r="A25" s="90"/>
      <c r="EO25"/>
      <c r="EP25"/>
      <c r="EQ25"/>
      <c r="ER25"/>
      <c r="ES25" s="90"/>
      <c r="EX25" s="90"/>
      <c r="FC25" s="90"/>
      <c r="FH25" s="90"/>
    </row>
    <row r="26" spans="1:171" x14ac:dyDescent="0.3">
      <c r="A26" s="48" t="s">
        <v>44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4"/>
      <c r="DZ26" s="1"/>
      <c r="EA26" s="1"/>
      <c r="EB26" s="1"/>
      <c r="EC26" s="1"/>
      <c r="ED26" s="58"/>
      <c r="EE26" s="59"/>
      <c r="EF26" s="59"/>
      <c r="EG26" s="59"/>
      <c r="EH26" s="59"/>
      <c r="EI26" s="58"/>
      <c r="EJ26" s="59"/>
      <c r="EK26" s="59"/>
      <c r="EL26" s="59"/>
      <c r="EM26" s="59"/>
      <c r="EN26" s="58"/>
      <c r="EO26" s="59"/>
      <c r="EP26" s="59"/>
      <c r="EQ26" s="59"/>
      <c r="ER26" s="59"/>
      <c r="ES26" s="58"/>
      <c r="ET26" s="1293"/>
      <c r="EU26" s="1293"/>
      <c r="EV26" s="1293"/>
      <c r="EW26" s="1293"/>
      <c r="EX26" s="58"/>
      <c r="EY26" s="1293"/>
      <c r="EZ26" s="1293"/>
      <c r="FA26" s="1293"/>
      <c r="FB26" s="1293"/>
      <c r="FC26" s="58"/>
      <c r="FD26" s="1293"/>
      <c r="FE26" s="1293"/>
      <c r="FF26" s="1293"/>
      <c r="FG26" s="1293"/>
      <c r="FH26" s="58"/>
      <c r="FI26" s="59"/>
      <c r="FJ26" s="59"/>
      <c r="FK26" s="59"/>
      <c r="FL26" s="59"/>
      <c r="FM26" s="59"/>
    </row>
    <row r="27" spans="1:171" x14ac:dyDescent="0.3">
      <c r="A27" s="27" t="s">
        <v>298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4"/>
      <c r="DZ27" s="44">
        <f>Inputs!DZ186</f>
        <v>271</v>
      </c>
      <c r="EA27" s="44">
        <f>Inputs!EA186</f>
        <v>289</v>
      </c>
      <c r="EB27" s="44">
        <f>Inputs!EB186</f>
        <v>269</v>
      </c>
      <c r="EC27" s="44">
        <f>Inputs!EC186</f>
        <v>283</v>
      </c>
      <c r="ED27" s="45">
        <f>SUM(DZ27:EC27)</f>
        <v>1112</v>
      </c>
      <c r="EE27" s="44">
        <f>Inputs!EE186</f>
        <v>275</v>
      </c>
      <c r="EF27" s="44">
        <f>Inputs!EF186</f>
        <v>278</v>
      </c>
      <c r="EG27" s="44">
        <f>Inputs!EG186</f>
        <v>278</v>
      </c>
      <c r="EH27" s="44">
        <f>Inputs!EH186</f>
        <v>273</v>
      </c>
      <c r="EI27" s="58">
        <f>SUM(EE27:EH27)</f>
        <v>1104</v>
      </c>
      <c r="EJ27" s="44">
        <f>Inputs!EJ186</f>
        <v>274</v>
      </c>
      <c r="EK27" s="44">
        <f>Inputs!EK186</f>
        <v>292</v>
      </c>
      <c r="EL27" s="44">
        <f>Inputs!EL186</f>
        <v>276</v>
      </c>
      <c r="EM27" s="44">
        <f>Inputs!EM186</f>
        <v>326</v>
      </c>
      <c r="EN27" s="58">
        <f>SUM(EJ27:EM27)</f>
        <v>1168</v>
      </c>
      <c r="EO27" s="44">
        <f>Inputs!EO186</f>
        <v>322</v>
      </c>
      <c r="EP27" s="44">
        <f>Inputs!EP186</f>
        <v>323</v>
      </c>
      <c r="EQ27" s="44">
        <f>Inputs!EQ186</f>
        <v>328</v>
      </c>
      <c r="ER27" s="44">
        <f>Inputs!ER186</f>
        <v>356</v>
      </c>
      <c r="ES27" s="58">
        <f>SUM(EO27:ER27)</f>
        <v>1329</v>
      </c>
      <c r="ET27" s="1114">
        <f t="shared" ref="ET27:EW27" si="78">ET251</f>
        <v>364.12658450955439</v>
      </c>
      <c r="EU27" s="1114">
        <f t="shared" si="78"/>
        <v>375.34915513985447</v>
      </c>
      <c r="EV27" s="1114">
        <f t="shared" si="78"/>
        <v>379.82300163721408</v>
      </c>
      <c r="EW27" s="1114">
        <f t="shared" si="78"/>
        <v>412.7964473090953</v>
      </c>
      <c r="EX27" s="58">
        <f>SUM(ET27:EW27)</f>
        <v>1532.0951885957184</v>
      </c>
      <c r="EY27" s="1114">
        <f t="shared" ref="EY27:FB27" si="79">EY251</f>
        <v>419.37568164057956</v>
      </c>
      <c r="EZ27" s="1114">
        <f t="shared" si="79"/>
        <v>439.89655483737658</v>
      </c>
      <c r="FA27" s="1114">
        <f t="shared" si="79"/>
        <v>445.39204034599732</v>
      </c>
      <c r="FB27" s="1114">
        <f t="shared" si="79"/>
        <v>483.61452863707513</v>
      </c>
      <c r="FC27" s="58">
        <f>SUM(EY27:FB27)</f>
        <v>1788.2788054610287</v>
      </c>
      <c r="FD27" s="1114">
        <f t="shared" ref="FD27:FM27" si="80">FD251</f>
        <v>473.41183703552133</v>
      </c>
      <c r="FE27" s="1114">
        <f t="shared" si="80"/>
        <v>501.08014518599293</v>
      </c>
      <c r="FF27" s="1114">
        <f t="shared" si="80"/>
        <v>510.57618726493104</v>
      </c>
      <c r="FG27" s="1114">
        <f t="shared" si="80"/>
        <v>562.34597978679642</v>
      </c>
      <c r="FH27" s="58">
        <f>SUM(FD27:FG27)</f>
        <v>2047.4141492732415</v>
      </c>
      <c r="FI27" s="1114">
        <f t="shared" si="80"/>
        <v>2423.4671519623766</v>
      </c>
      <c r="FJ27" s="1114">
        <f t="shared" si="80"/>
        <v>2779.6032083219516</v>
      </c>
      <c r="FK27" s="1114">
        <f t="shared" si="80"/>
        <v>3105.5362248123083</v>
      </c>
      <c r="FL27" s="1114">
        <f t="shared" si="80"/>
        <v>3398.9244089677045</v>
      </c>
      <c r="FM27" s="1114">
        <f t="shared" si="80"/>
        <v>3659.7838946719708</v>
      </c>
    </row>
    <row r="28" spans="1:171" x14ac:dyDescent="0.3">
      <c r="A28" s="27" t="s">
        <v>299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4"/>
      <c r="DZ28" s="44">
        <f>Inputs!DZ187</f>
        <v>333</v>
      </c>
      <c r="EA28" s="44">
        <f>Inputs!EA187</f>
        <v>319</v>
      </c>
      <c r="EB28" s="44">
        <f>Inputs!EB187</f>
        <v>322</v>
      </c>
      <c r="EC28" s="44">
        <f>Inputs!EC187</f>
        <v>319</v>
      </c>
      <c r="ED28" s="45">
        <f>SUM(DZ28:EC28)</f>
        <v>1293</v>
      </c>
      <c r="EE28" s="44">
        <f>Inputs!EE187</f>
        <v>311</v>
      </c>
      <c r="EF28" s="44">
        <f>Inputs!EF187</f>
        <v>272</v>
      </c>
      <c r="EG28" s="44">
        <f>Inputs!EG187</f>
        <v>227</v>
      </c>
      <c r="EH28" s="44">
        <f>Inputs!EH187</f>
        <v>228</v>
      </c>
      <c r="EI28" s="58">
        <f>SUM(EE28:EH28)</f>
        <v>1038</v>
      </c>
      <c r="EJ28" s="44">
        <f>Inputs!EJ187</f>
        <v>230</v>
      </c>
      <c r="EK28" s="44">
        <f>Inputs!EK187</f>
        <v>227</v>
      </c>
      <c r="EL28" s="44">
        <f>Inputs!EL187</f>
        <v>215</v>
      </c>
      <c r="EM28" s="44">
        <f>Inputs!EM187</f>
        <v>187</v>
      </c>
      <c r="EN28" s="58">
        <f>SUM(EJ28:EM28)</f>
        <v>859</v>
      </c>
      <c r="EO28" s="44">
        <f>Inputs!EO187</f>
        <v>176</v>
      </c>
      <c r="EP28" s="44">
        <f>Inputs!EP187</f>
        <v>189</v>
      </c>
      <c r="EQ28" s="44">
        <f>Inputs!EQ187</f>
        <v>183</v>
      </c>
      <c r="ER28" s="44">
        <f>Inputs!ER187</f>
        <v>177</v>
      </c>
      <c r="ES28" s="58">
        <f>SUM(EO28:ER28)</f>
        <v>725</v>
      </c>
      <c r="ET28" s="1114">
        <f t="shared" ref="ET28:EW28" si="81">ET388</f>
        <v>159.86625117539143</v>
      </c>
      <c r="EU28" s="1114">
        <f t="shared" si="81"/>
        <v>165.03883091662999</v>
      </c>
      <c r="EV28" s="1114">
        <f t="shared" si="81"/>
        <v>156.55159633983158</v>
      </c>
      <c r="EW28" s="1114">
        <f t="shared" si="81"/>
        <v>152.21552630698989</v>
      </c>
      <c r="EX28" s="58">
        <f>SUM(ET28:EW28)</f>
        <v>633.67220473884288</v>
      </c>
      <c r="EY28" s="1114">
        <f t="shared" ref="EY28:FB28" si="82">EY388</f>
        <v>138.51003271165399</v>
      </c>
      <c r="EZ28" s="1114">
        <f t="shared" si="82"/>
        <v>145.19833663916893</v>
      </c>
      <c r="FA28" s="1114">
        <f t="shared" si="82"/>
        <v>138.87214277391439</v>
      </c>
      <c r="FB28" s="1114">
        <f t="shared" si="82"/>
        <v>138.37048715639753</v>
      </c>
      <c r="FC28" s="58">
        <f>SUM(EY28:FB28)</f>
        <v>560.95099928113484</v>
      </c>
      <c r="FD28" s="1114">
        <f t="shared" ref="FD28:FM28" si="83">FD388</f>
        <v>134.47430697764992</v>
      </c>
      <c r="FE28" s="1114">
        <f t="shared" si="83"/>
        <v>142.4721047852841</v>
      </c>
      <c r="FF28" s="1114">
        <f t="shared" si="83"/>
        <v>135.10002374610679</v>
      </c>
      <c r="FG28" s="1114">
        <f t="shared" si="83"/>
        <v>126.27543674904325</v>
      </c>
      <c r="FH28" s="58">
        <f>SUM(FD28:FG28)</f>
        <v>538.32187225808411</v>
      </c>
      <c r="FI28" s="1114">
        <f t="shared" si="83"/>
        <v>443.50717686263374</v>
      </c>
      <c r="FJ28" s="1114">
        <f t="shared" si="83"/>
        <v>371.15273988147533</v>
      </c>
      <c r="FK28" s="1114">
        <f t="shared" si="83"/>
        <v>324.37329383754809</v>
      </c>
      <c r="FL28" s="1114">
        <f t="shared" si="83"/>
        <v>295.33239072190213</v>
      </c>
      <c r="FM28" s="1114">
        <f t="shared" si="83"/>
        <v>279.32283265224351</v>
      </c>
    </row>
    <row r="29" spans="1:171" x14ac:dyDescent="0.3">
      <c r="A29" s="27" t="s">
        <v>300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4"/>
      <c r="DZ29" s="44">
        <f>Inputs!DZ188</f>
        <v>83</v>
      </c>
      <c r="EA29" s="44">
        <f>Inputs!EA188</f>
        <v>95</v>
      </c>
      <c r="EB29" s="44">
        <f>Inputs!EB188</f>
        <v>100</v>
      </c>
      <c r="EC29" s="44">
        <f>Inputs!EC188</f>
        <v>92</v>
      </c>
      <c r="ED29" s="45">
        <f>SUM(DZ29:EC29)</f>
        <v>370</v>
      </c>
      <c r="EE29" s="44">
        <f>Inputs!EE188</f>
        <v>83</v>
      </c>
      <c r="EF29" s="44">
        <f>Inputs!EF188</f>
        <v>84</v>
      </c>
      <c r="EG29" s="44">
        <f>Inputs!EG188</f>
        <v>82</v>
      </c>
      <c r="EH29" s="44">
        <f>Inputs!EH188</f>
        <v>84</v>
      </c>
      <c r="EI29" s="58">
        <f>SUM(EE29:EH29)</f>
        <v>333</v>
      </c>
      <c r="EJ29" s="44">
        <f>Inputs!EJ188</f>
        <v>5</v>
      </c>
      <c r="EK29" s="44">
        <f>Inputs!EK188</f>
        <v>16</v>
      </c>
      <c r="EL29" s="44">
        <f>Inputs!EL188</f>
        <v>17</v>
      </c>
      <c r="EM29" s="44">
        <f>Inputs!EM188</f>
        <v>15</v>
      </c>
      <c r="EN29" s="58">
        <f>SUM(EJ29:EM29)</f>
        <v>53</v>
      </c>
      <c r="EO29" s="44">
        <f>Inputs!EO188</f>
        <v>21</v>
      </c>
      <c r="EP29" s="44">
        <f>Inputs!EP188</f>
        <v>21</v>
      </c>
      <c r="EQ29" s="44">
        <f>Inputs!EQ188</f>
        <v>15</v>
      </c>
      <c r="ER29" s="44">
        <f>Inputs!ER188</f>
        <v>16</v>
      </c>
      <c r="ES29" s="58">
        <f>SUM(EO29:ER29)</f>
        <v>73</v>
      </c>
      <c r="ET29" s="1114">
        <f t="shared" ref="ET29:EW29" si="84">ET11</f>
        <v>20</v>
      </c>
      <c r="EU29" s="1114">
        <f t="shared" si="84"/>
        <v>20</v>
      </c>
      <c r="EV29" s="1114">
        <f t="shared" si="84"/>
        <v>20</v>
      </c>
      <c r="EW29" s="1114">
        <f t="shared" si="84"/>
        <v>20</v>
      </c>
      <c r="EX29" s="58">
        <f>SUM(ET29:EW29)</f>
        <v>80</v>
      </c>
      <c r="EY29" s="1114">
        <f t="shared" ref="EY29:FB29" si="85">EY11</f>
        <v>20</v>
      </c>
      <c r="EZ29" s="1114">
        <f t="shared" si="85"/>
        <v>20</v>
      </c>
      <c r="FA29" s="1114">
        <f t="shared" si="85"/>
        <v>20</v>
      </c>
      <c r="FB29" s="1114">
        <f t="shared" si="85"/>
        <v>20</v>
      </c>
      <c r="FC29" s="58">
        <f>SUM(EY29:FB29)</f>
        <v>80</v>
      </c>
      <c r="FD29" s="1114">
        <f t="shared" ref="FD29:FM29" si="86">FD11</f>
        <v>20</v>
      </c>
      <c r="FE29" s="1114">
        <f t="shared" si="86"/>
        <v>20</v>
      </c>
      <c r="FF29" s="1114">
        <f t="shared" si="86"/>
        <v>20</v>
      </c>
      <c r="FG29" s="1114">
        <f t="shared" si="86"/>
        <v>20</v>
      </c>
      <c r="FH29" s="58">
        <f>SUM(FD29:FG29)</f>
        <v>80</v>
      </c>
      <c r="FI29" s="1114">
        <f t="shared" si="86"/>
        <v>80</v>
      </c>
      <c r="FJ29" s="1114">
        <f t="shared" si="86"/>
        <v>80</v>
      </c>
      <c r="FK29" s="1114">
        <f t="shared" si="86"/>
        <v>80</v>
      </c>
      <c r="FL29" s="1114">
        <f t="shared" si="86"/>
        <v>80</v>
      </c>
      <c r="FM29" s="1114">
        <f t="shared" si="86"/>
        <v>80</v>
      </c>
    </row>
    <row r="30" spans="1:171" x14ac:dyDescent="0.3">
      <c r="A30" s="48" t="s">
        <v>301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50"/>
      <c r="DV30" s="50"/>
      <c r="DW30" s="50"/>
      <c r="DX30" s="50"/>
      <c r="DY30" s="51"/>
      <c r="DZ30" s="50">
        <f t="shared" ref="DZ30:FM30" si="87">DZ12-DZ71</f>
        <v>687</v>
      </c>
      <c r="EA30" s="50">
        <f t="shared" si="87"/>
        <v>703</v>
      </c>
      <c r="EB30" s="50">
        <f t="shared" si="87"/>
        <v>691</v>
      </c>
      <c r="EC30" s="50">
        <f t="shared" si="87"/>
        <v>694</v>
      </c>
      <c r="ED30" s="50">
        <f t="shared" si="87"/>
        <v>2775</v>
      </c>
      <c r="EE30" s="50">
        <f t="shared" si="87"/>
        <v>669</v>
      </c>
      <c r="EF30" s="50">
        <f t="shared" si="87"/>
        <v>634</v>
      </c>
      <c r="EG30" s="50">
        <f t="shared" si="87"/>
        <v>587</v>
      </c>
      <c r="EH30" s="50">
        <f t="shared" si="87"/>
        <v>585</v>
      </c>
      <c r="EI30" s="50">
        <f t="shared" si="87"/>
        <v>2475</v>
      </c>
      <c r="EJ30" s="50">
        <f t="shared" si="87"/>
        <v>509</v>
      </c>
      <c r="EK30" s="50">
        <f t="shared" si="87"/>
        <v>535</v>
      </c>
      <c r="EL30" s="50">
        <f t="shared" si="87"/>
        <v>508</v>
      </c>
      <c r="EM30" s="50">
        <f t="shared" si="87"/>
        <v>528</v>
      </c>
      <c r="EN30" s="50">
        <f t="shared" si="87"/>
        <v>2080</v>
      </c>
      <c r="EO30" s="50">
        <f t="shared" si="87"/>
        <v>519</v>
      </c>
      <c r="EP30" s="50">
        <f t="shared" si="87"/>
        <v>533</v>
      </c>
      <c r="EQ30" s="50">
        <f t="shared" si="87"/>
        <v>526</v>
      </c>
      <c r="ER30" s="50">
        <f t="shared" si="87"/>
        <v>549</v>
      </c>
      <c r="ES30" s="50">
        <f t="shared" si="87"/>
        <v>2127</v>
      </c>
      <c r="ET30" s="50">
        <f t="shared" si="87"/>
        <v>543.99283568494593</v>
      </c>
      <c r="EU30" s="50">
        <f t="shared" si="87"/>
        <v>560.38798605648469</v>
      </c>
      <c r="EV30" s="50">
        <f t="shared" si="87"/>
        <v>556.37459797704582</v>
      </c>
      <c r="EW30" s="50">
        <f t="shared" si="87"/>
        <v>585.01197361608513</v>
      </c>
      <c r="EX30" s="50">
        <f t="shared" si="87"/>
        <v>2245.7673933345613</v>
      </c>
      <c r="EY30" s="50">
        <f t="shared" ref="EY30:FC30" si="88">EY12-EY71</f>
        <v>577.88571435223355</v>
      </c>
      <c r="EZ30" s="50">
        <f t="shared" si="88"/>
        <v>605.09489147654563</v>
      </c>
      <c r="FA30" s="50">
        <f t="shared" si="88"/>
        <v>604.26418311991165</v>
      </c>
      <c r="FB30" s="50">
        <f t="shared" si="88"/>
        <v>641.98501579347271</v>
      </c>
      <c r="FC30" s="50">
        <f t="shared" si="88"/>
        <v>2429.2298047421637</v>
      </c>
      <c r="FD30" s="50">
        <f t="shared" si="87"/>
        <v>627.88614401317136</v>
      </c>
      <c r="FE30" s="50">
        <f t="shared" si="87"/>
        <v>663.55224997127686</v>
      </c>
      <c r="FF30" s="50">
        <f t="shared" si="87"/>
        <v>665.67621101103782</v>
      </c>
      <c r="FG30" s="50">
        <f t="shared" si="87"/>
        <v>708.62141653583967</v>
      </c>
      <c r="FH30" s="50">
        <f t="shared" ref="FH30" si="89">FH12-FH71</f>
        <v>2665.7360215313265</v>
      </c>
      <c r="FI30" s="50">
        <f t="shared" si="87"/>
        <v>2946.9743288250106</v>
      </c>
      <c r="FJ30" s="50">
        <f t="shared" si="87"/>
        <v>3230.7559482034271</v>
      </c>
      <c r="FK30" s="50">
        <f t="shared" si="87"/>
        <v>3509.9095186498562</v>
      </c>
      <c r="FL30" s="50">
        <f t="shared" si="87"/>
        <v>3774.2567996896069</v>
      </c>
      <c r="FM30" s="50">
        <f t="shared" si="87"/>
        <v>4019.1067273242143</v>
      </c>
      <c r="FN30" s="189">
        <f>+(FJ30/ES30)^0.2-1</f>
        <v>8.7194714927279593E-2</v>
      </c>
      <c r="FO30" s="189">
        <f>+(FM30/EI30)^0.1-1</f>
        <v>4.9676401349607158E-2</v>
      </c>
    </row>
    <row r="31" spans="1:171" x14ac:dyDescent="0.3">
      <c r="A31" s="46" t="s">
        <v>302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47"/>
      <c r="DV31" s="47"/>
      <c r="DW31" s="47"/>
      <c r="DX31" s="47"/>
      <c r="DY31" s="52"/>
      <c r="DZ31" s="47">
        <f t="shared" ref="DZ31:FM32" si="90">DZ27/DZ9</f>
        <v>0.37430939226519339</v>
      </c>
      <c r="EA31" s="47">
        <f t="shared" si="90"/>
        <v>0.40704225352112677</v>
      </c>
      <c r="EB31" s="47">
        <f t="shared" si="90"/>
        <v>0.39042089985486211</v>
      </c>
      <c r="EC31" s="47">
        <f t="shared" si="90"/>
        <v>0.41014492753623188</v>
      </c>
      <c r="ED31" s="52">
        <f t="shared" si="90"/>
        <v>0.3953075008887309</v>
      </c>
      <c r="EE31" s="47">
        <f t="shared" si="90"/>
        <v>0.4056047197640118</v>
      </c>
      <c r="EF31" s="47">
        <f t="shared" si="90"/>
        <v>0.4088235294117647</v>
      </c>
      <c r="EG31" s="47">
        <f t="shared" si="90"/>
        <v>0.4064327485380117</v>
      </c>
      <c r="EH31" s="47">
        <f t="shared" si="90"/>
        <v>0.40444444444444444</v>
      </c>
      <c r="EI31" s="52">
        <f>EI27/EI9</f>
        <v>0.40633051159366951</v>
      </c>
      <c r="EJ31" s="47">
        <f t="shared" si="90"/>
        <v>0.40773809523809523</v>
      </c>
      <c r="EK31" s="47">
        <f t="shared" si="90"/>
        <v>0.42627737226277373</v>
      </c>
      <c r="EL31" s="47">
        <f t="shared" si="90"/>
        <v>0.39942112879884228</v>
      </c>
      <c r="EM31" s="47">
        <f t="shared" si="90"/>
        <v>0.45214979195561722</v>
      </c>
      <c r="EN31" s="52">
        <f t="shared" si="90"/>
        <v>0.4218129288551824</v>
      </c>
      <c r="EO31" s="47">
        <f t="shared" si="90"/>
        <v>0.44170096021947874</v>
      </c>
      <c r="EP31" s="47">
        <f t="shared" si="90"/>
        <v>0.43297587131367293</v>
      </c>
      <c r="EQ31" s="47">
        <f t="shared" si="90"/>
        <v>0.43157894736842106</v>
      </c>
      <c r="ER31" s="47">
        <f t="shared" si="90"/>
        <v>0.46719160104986879</v>
      </c>
      <c r="ES31" s="52">
        <f t="shared" si="90"/>
        <v>0.44344344344344344</v>
      </c>
      <c r="ET31" s="47">
        <f t="shared" si="90"/>
        <v>0.46093427312741125</v>
      </c>
      <c r="EU31" s="47">
        <f t="shared" si="90"/>
        <v>0.45954174836049178</v>
      </c>
      <c r="EV31" s="47">
        <f t="shared" si="90"/>
        <v>0.45517640909763851</v>
      </c>
      <c r="EW31" s="47">
        <f t="shared" si="90"/>
        <v>0.48974312120439789</v>
      </c>
      <c r="EX31" s="52">
        <f t="shared" si="90"/>
        <v>0.46651888879444031</v>
      </c>
      <c r="EY31" s="47">
        <f t="shared" ref="EY31:FC31" si="91">EY27/EY9</f>
        <v>0.48005698118061596</v>
      </c>
      <c r="EZ31" s="47">
        <f t="shared" si="91"/>
        <v>0.48335991781118998</v>
      </c>
      <c r="FA31" s="47">
        <f t="shared" si="91"/>
        <v>0.47766327491426375</v>
      </c>
      <c r="FB31" s="47">
        <f t="shared" si="91"/>
        <v>0.51090738690336912</v>
      </c>
      <c r="FC31" s="52">
        <f t="shared" si="91"/>
        <v>0.48824120504406043</v>
      </c>
      <c r="FD31" s="47">
        <f t="shared" si="90"/>
        <v>0.48270358312837125</v>
      </c>
      <c r="FE31" s="47">
        <f t="shared" si="90"/>
        <v>0.48875335807974812</v>
      </c>
      <c r="FF31" s="47">
        <f t="shared" si="90"/>
        <v>0.48566582199824465</v>
      </c>
      <c r="FG31" s="47">
        <f t="shared" si="90"/>
        <v>0.52644222479978975</v>
      </c>
      <c r="FH31" s="52">
        <f t="shared" ref="FH31" si="92">FH27/FH9</f>
        <v>0.49628707071971589</v>
      </c>
      <c r="FI31" s="47">
        <f t="shared" si="90"/>
        <v>0.52594351372903547</v>
      </c>
      <c r="FJ31" s="47">
        <f t="shared" si="90"/>
        <v>0.54819794373371011</v>
      </c>
      <c r="FK31" s="47">
        <f t="shared" si="90"/>
        <v>0.56519167939805459</v>
      </c>
      <c r="FL31" s="47">
        <f t="shared" si="90"/>
        <v>0.57820195739486735</v>
      </c>
      <c r="FM31" s="47">
        <f t="shared" si="90"/>
        <v>0.58814345348041119</v>
      </c>
    </row>
    <row r="32" spans="1:171" x14ac:dyDescent="0.3">
      <c r="A32" s="46" t="s">
        <v>303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47"/>
      <c r="DV32" s="47"/>
      <c r="DW32" s="47"/>
      <c r="DX32" s="47"/>
      <c r="DY32" s="52"/>
      <c r="DZ32" s="47">
        <f t="shared" si="90"/>
        <v>0.35538954108858056</v>
      </c>
      <c r="EA32" s="47">
        <f t="shared" si="90"/>
        <v>0.35016465422612514</v>
      </c>
      <c r="EB32" s="47">
        <f t="shared" si="90"/>
        <v>0.36220472440944884</v>
      </c>
      <c r="EC32" s="47">
        <f t="shared" si="90"/>
        <v>0.36793540945790082</v>
      </c>
      <c r="ED32" s="52">
        <f t="shared" si="90"/>
        <v>0.35876803551609321</v>
      </c>
      <c r="EE32" s="47">
        <f t="shared" si="90"/>
        <v>0.36289381563593931</v>
      </c>
      <c r="EF32" s="47">
        <f t="shared" si="90"/>
        <v>0.32613908872901681</v>
      </c>
      <c r="EG32" s="47">
        <f t="shared" si="90"/>
        <v>0.28059332509270707</v>
      </c>
      <c r="EH32" s="47">
        <f t="shared" si="90"/>
        <v>0.29081632653061223</v>
      </c>
      <c r="EI32" s="52">
        <f t="shared" si="90"/>
        <v>0.31607795371498171</v>
      </c>
      <c r="EJ32" s="47">
        <f t="shared" si="90"/>
        <v>0.29870129870129869</v>
      </c>
      <c r="EK32" s="47">
        <f t="shared" si="90"/>
        <v>0.29986789960369881</v>
      </c>
      <c r="EL32" s="47">
        <f t="shared" si="90"/>
        <v>0.29251700680272108</v>
      </c>
      <c r="EM32" s="47">
        <f t="shared" si="90"/>
        <v>0.26638176638176636</v>
      </c>
      <c r="EN32" s="52">
        <f t="shared" si="90"/>
        <v>0.28981106612685559</v>
      </c>
      <c r="EO32" s="47">
        <f t="shared" si="90"/>
        <v>0.25544267053701014</v>
      </c>
      <c r="EP32" s="47">
        <f t="shared" si="90"/>
        <v>0.27712609970674484</v>
      </c>
      <c r="EQ32" s="47">
        <f t="shared" si="90"/>
        <v>0.27685325264750377</v>
      </c>
      <c r="ER32" s="47">
        <f t="shared" si="90"/>
        <v>0.27357032457496139</v>
      </c>
      <c r="ES32" s="52">
        <f t="shared" si="90"/>
        <v>0.27062336692795819</v>
      </c>
      <c r="ET32" s="47">
        <f t="shared" si="90"/>
        <v>0.25683854304863268</v>
      </c>
      <c r="EU32" s="47">
        <f t="shared" si="90"/>
        <v>0.27105126678045</v>
      </c>
      <c r="EV32" s="47">
        <f t="shared" si="90"/>
        <v>0.26695307162627574</v>
      </c>
      <c r="EW32" s="47">
        <f t="shared" si="90"/>
        <v>0.26497258597007051</v>
      </c>
      <c r="EX32" s="52">
        <f t="shared" si="90"/>
        <v>0.26488885734564921</v>
      </c>
      <c r="EY32" s="47">
        <f t="shared" ref="EY32:FC32" si="93">EY28/EY10</f>
        <v>0.2495661499582387</v>
      </c>
      <c r="EZ32" s="47">
        <f t="shared" si="93"/>
        <v>0.26740239844029162</v>
      </c>
      <c r="FA32" s="47">
        <f t="shared" si="93"/>
        <v>0.26582816807270615</v>
      </c>
      <c r="FB32" s="47">
        <f t="shared" si="93"/>
        <v>0.26959248715926387</v>
      </c>
      <c r="FC32" s="52">
        <f t="shared" si="93"/>
        <v>0.26290428278266048</v>
      </c>
      <c r="FD32" s="47">
        <f t="shared" si="90"/>
        <v>0.26901178505503631</v>
      </c>
      <c r="FE32" s="47">
        <f t="shared" si="90"/>
        <v>0.29137107010511487</v>
      </c>
      <c r="FF32" s="47">
        <f t="shared" si="90"/>
        <v>0.2875750687086816</v>
      </c>
      <c r="FG32" s="47">
        <f t="shared" si="90"/>
        <v>0.27271151540461191</v>
      </c>
      <c r="FH32" s="52">
        <f t="shared" ref="FH32" si="94">FH28/FH10</f>
        <v>0.28013070296184683</v>
      </c>
      <c r="FI32" s="47">
        <f t="shared" si="90"/>
        <v>0.25375581225208804</v>
      </c>
      <c r="FJ32" s="47">
        <f t="shared" si="90"/>
        <v>0.23101841698089515</v>
      </c>
      <c r="FK32" s="47">
        <f t="shared" si="90"/>
        <v>0.2161414497812682</v>
      </c>
      <c r="FL32" s="47">
        <f t="shared" si="90"/>
        <v>0.20816085707905863</v>
      </c>
      <c r="FM32" s="47">
        <f t="shared" si="90"/>
        <v>0.20625126172412267</v>
      </c>
    </row>
    <row r="33" spans="1:170" x14ac:dyDescent="0.3">
      <c r="A33" s="46" t="s">
        <v>304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47"/>
      <c r="DV33" s="47"/>
      <c r="DW33" s="47"/>
      <c r="DX33" s="47"/>
      <c r="DY33" s="52"/>
      <c r="DZ33" s="47">
        <f t="shared" ref="DZ33:FM33" si="95">DZ30/DZ12</f>
        <v>0.3840134153158189</v>
      </c>
      <c r="EA33" s="47">
        <f t="shared" si="95"/>
        <v>0.40079817559863168</v>
      </c>
      <c r="EB33" s="47">
        <f t="shared" si="95"/>
        <v>0.40011580775911987</v>
      </c>
      <c r="EC33" s="47">
        <f t="shared" si="95"/>
        <v>0.40919811320754718</v>
      </c>
      <c r="ED33" s="52">
        <f t="shared" si="95"/>
        <v>0.39836347975882858</v>
      </c>
      <c r="EE33" s="47">
        <f t="shared" si="95"/>
        <v>0.39940298507462685</v>
      </c>
      <c r="EF33" s="47">
        <f t="shared" si="95"/>
        <v>0.39208410636982066</v>
      </c>
      <c r="EG33" s="47">
        <f t="shared" si="95"/>
        <v>0.37246192893401014</v>
      </c>
      <c r="EH33" s="47">
        <f t="shared" si="95"/>
        <v>0.37913156189241737</v>
      </c>
      <c r="EI33" s="52">
        <f t="shared" si="95"/>
        <v>0.38605521759475903</v>
      </c>
      <c r="EJ33" s="47">
        <f t="shared" si="95"/>
        <v>0.35176226675881134</v>
      </c>
      <c r="EK33" s="47">
        <f t="shared" si="95"/>
        <v>0.36668951336531869</v>
      </c>
      <c r="EL33" s="47">
        <f t="shared" si="95"/>
        <v>0.35180055401662053</v>
      </c>
      <c r="EM33" s="47">
        <f t="shared" si="95"/>
        <v>0.36743215031315241</v>
      </c>
      <c r="EN33" s="52">
        <f t="shared" si="95"/>
        <v>0.35942630032832212</v>
      </c>
      <c r="EO33" s="47">
        <f t="shared" si="95"/>
        <v>0.36041666666666666</v>
      </c>
      <c r="EP33" s="47">
        <f t="shared" si="95"/>
        <v>0.36783988957902003</v>
      </c>
      <c r="EQ33" s="47">
        <f t="shared" si="95"/>
        <v>0.36629526462395545</v>
      </c>
      <c r="ER33" s="47">
        <f t="shared" si="95"/>
        <v>0.38499298737727911</v>
      </c>
      <c r="ES33" s="52">
        <f t="shared" si="95"/>
        <v>0.36984872196139801</v>
      </c>
      <c r="ET33" s="47">
        <f t="shared" si="95"/>
        <v>0.37977352897064182</v>
      </c>
      <c r="EU33" s="47">
        <f t="shared" si="95"/>
        <v>0.38763086972777661</v>
      </c>
      <c r="EV33" s="47">
        <f t="shared" si="95"/>
        <v>0.38613234512942701</v>
      </c>
      <c r="EW33" s="47">
        <f t="shared" si="95"/>
        <v>0.40700980089093697</v>
      </c>
      <c r="EX33" s="52">
        <f t="shared" si="95"/>
        <v>0.39013941037302396</v>
      </c>
      <c r="EY33" s="47">
        <f t="shared" ref="EY33:FC33" si="96">EY30/EY12</f>
        <v>0.39892734165749011</v>
      </c>
      <c r="EZ33" s="47">
        <f t="shared" si="96"/>
        <v>0.41076952747926643</v>
      </c>
      <c r="FA33" s="47">
        <f t="shared" si="96"/>
        <v>0.40971158717041328</v>
      </c>
      <c r="FB33" s="47">
        <f t="shared" si="96"/>
        <v>0.43382126648517799</v>
      </c>
      <c r="FC33" s="52">
        <f t="shared" si="96"/>
        <v>0.41338984550313623</v>
      </c>
      <c r="FD33" s="47">
        <f t="shared" si="95"/>
        <v>0.41841413504648212</v>
      </c>
      <c r="FE33" s="47">
        <f t="shared" si="95"/>
        <v>0.43250919958757145</v>
      </c>
      <c r="FF33" s="47">
        <f t="shared" si="95"/>
        <v>0.43195389575544479</v>
      </c>
      <c r="FG33" s="47">
        <f t="shared" si="95"/>
        <v>0.45681041407058931</v>
      </c>
      <c r="FH33" s="52">
        <f t="shared" ref="FH33" si="97">FH30/FH12</f>
        <v>0.43506988072417752</v>
      </c>
      <c r="FI33" s="47">
        <f t="shared" si="95"/>
        <v>0.45791626813885405</v>
      </c>
      <c r="FJ33" s="47">
        <f t="shared" si="95"/>
        <v>0.47813248393096219</v>
      </c>
      <c r="FK33" s="47">
        <f t="shared" si="95"/>
        <v>0.49607184399598186</v>
      </c>
      <c r="FL33" s="47">
        <f t="shared" si="95"/>
        <v>0.51161045293700669</v>
      </c>
      <c r="FM33" s="47">
        <f t="shared" si="95"/>
        <v>0.52490078526269923</v>
      </c>
    </row>
    <row r="34" spans="1:170" x14ac:dyDescent="0.3">
      <c r="A34" s="46" t="s">
        <v>305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4"/>
      <c r="DZ34" s="47"/>
      <c r="EA34" s="47"/>
      <c r="EB34" s="47"/>
      <c r="EC34" s="47"/>
      <c r="ED34" s="52"/>
      <c r="EE34" s="47">
        <f>EE27/DZ27-1</f>
        <v>1.4760147601476037E-2</v>
      </c>
      <c r="EF34" s="47">
        <f t="shared" ref="EF34:EX35" si="98">EF27/EA27-1</f>
        <v>-3.8062283737024249E-2</v>
      </c>
      <c r="EG34" s="47">
        <f t="shared" si="98"/>
        <v>3.3457249070631967E-2</v>
      </c>
      <c r="EH34" s="47">
        <f t="shared" si="98"/>
        <v>-3.5335689045936425E-2</v>
      </c>
      <c r="EI34" s="52">
        <f t="shared" si="98"/>
        <v>-7.194244604316502E-3</v>
      </c>
      <c r="EJ34" s="47">
        <f t="shared" si="98"/>
        <v>-3.6363636363636598E-3</v>
      </c>
      <c r="EK34" s="47">
        <f t="shared" si="98"/>
        <v>5.0359712230215736E-2</v>
      </c>
      <c r="EL34" s="47">
        <f t="shared" si="98"/>
        <v>-7.194244604316502E-3</v>
      </c>
      <c r="EM34" s="47">
        <f t="shared" si="98"/>
        <v>0.19413919413919412</v>
      </c>
      <c r="EN34" s="52">
        <f t="shared" si="98"/>
        <v>5.7971014492753659E-2</v>
      </c>
      <c r="EO34" s="47">
        <f t="shared" si="98"/>
        <v>0.17518248175182483</v>
      </c>
      <c r="EP34" s="47">
        <f t="shared" si="98"/>
        <v>0.10616438356164393</v>
      </c>
      <c r="EQ34" s="47">
        <f t="shared" si="98"/>
        <v>0.18840579710144922</v>
      </c>
      <c r="ER34" s="47">
        <f t="shared" si="98"/>
        <v>9.2024539877300526E-2</v>
      </c>
      <c r="ES34" s="52">
        <f t="shared" si="98"/>
        <v>0.13784246575342474</v>
      </c>
      <c r="ET34" s="47">
        <f t="shared" si="98"/>
        <v>0.13082790220358498</v>
      </c>
      <c r="EU34" s="47">
        <f t="shared" si="98"/>
        <v>0.16207168773948744</v>
      </c>
      <c r="EV34" s="47">
        <f t="shared" si="98"/>
        <v>0.15799695621101861</v>
      </c>
      <c r="EW34" s="47">
        <f t="shared" si="98"/>
        <v>0.15954058232891932</v>
      </c>
      <c r="EX34" s="52">
        <f t="shared" si="98"/>
        <v>0.15281805010964522</v>
      </c>
      <c r="EY34" s="47">
        <f t="shared" ref="EY34:EY35" si="99">EY27/ET27-1</f>
        <v>0.15173046814321656</v>
      </c>
      <c r="EZ34" s="47">
        <f t="shared" ref="EZ34:EZ35" si="100">EZ27/EU27-1</f>
        <v>0.17196628476084319</v>
      </c>
      <c r="FA34" s="47">
        <f t="shared" ref="FA34:FA35" si="101">FA27/EV27-1</f>
        <v>0.17263051059612011</v>
      </c>
      <c r="FB34" s="47">
        <f t="shared" ref="FB34:FC35" si="102">FB27/EW27-1</f>
        <v>0.17155690604806106</v>
      </c>
      <c r="FC34" s="52">
        <f t="shared" si="102"/>
        <v>0.16721129259607048</v>
      </c>
      <c r="FD34" s="47">
        <f t="shared" ref="FD34:FD35" si="103">FD27/EY27-1</f>
        <v>0.12884904337694225</v>
      </c>
      <c r="FE34" s="47">
        <f t="shared" ref="FE34:FE35" si="104">FE27/EZ27-1</f>
        <v>0.1390863139886036</v>
      </c>
      <c r="FF34" s="47">
        <f t="shared" ref="FF34:FF35" si="105">FF27/FA27-1</f>
        <v>0.14635229419074536</v>
      </c>
      <c r="FG34" s="47">
        <f t="shared" ref="FG34:FH35" si="106">FG27/FB27-1</f>
        <v>0.16279794441164253</v>
      </c>
      <c r="FH34" s="52">
        <f t="shared" si="106"/>
        <v>0.14490768610625349</v>
      </c>
      <c r="FI34" s="47">
        <f t="shared" ref="FI34:FM35" si="107">FI27/FH27-1</f>
        <v>0.18367217146693093</v>
      </c>
      <c r="FJ34" s="47">
        <f t="shared" si="107"/>
        <v>0.14695311882861617</v>
      </c>
      <c r="FK34" s="47">
        <f t="shared" si="107"/>
        <v>0.11725882871142712</v>
      </c>
      <c r="FL34" s="47">
        <f t="shared" si="107"/>
        <v>9.4472633038800824E-2</v>
      </c>
      <c r="FM34" s="47">
        <f t="shared" si="107"/>
        <v>7.6747657293000149E-2</v>
      </c>
    </row>
    <row r="35" spans="1:170" x14ac:dyDescent="0.3">
      <c r="A35" s="46" t="s">
        <v>306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4"/>
      <c r="DZ35" s="47"/>
      <c r="EA35" s="47"/>
      <c r="EB35" s="47"/>
      <c r="EC35" s="47"/>
      <c r="ED35" s="52"/>
      <c r="EE35" s="47">
        <f>EE28/DZ28-1</f>
        <v>-6.606606606606602E-2</v>
      </c>
      <c r="EF35" s="47">
        <f t="shared" si="98"/>
        <v>-0.14733542319749215</v>
      </c>
      <c r="EG35" s="47">
        <f t="shared" si="98"/>
        <v>-0.29503105590062106</v>
      </c>
      <c r="EH35" s="47">
        <f t="shared" si="98"/>
        <v>-0.28526645768025083</v>
      </c>
      <c r="EI35" s="52">
        <f t="shared" si="98"/>
        <v>-0.19721577726218098</v>
      </c>
      <c r="EJ35" s="47">
        <f t="shared" si="98"/>
        <v>-0.26045016077170413</v>
      </c>
      <c r="EK35" s="47">
        <f t="shared" si="98"/>
        <v>-0.1654411764705882</v>
      </c>
      <c r="EL35" s="47">
        <f t="shared" si="98"/>
        <v>-5.2863436123347984E-2</v>
      </c>
      <c r="EM35" s="47">
        <f t="shared" si="98"/>
        <v>-0.17982456140350878</v>
      </c>
      <c r="EN35" s="52">
        <f t="shared" si="98"/>
        <v>-0.17244701348747593</v>
      </c>
      <c r="EO35" s="47">
        <f t="shared" si="98"/>
        <v>-0.23478260869565215</v>
      </c>
      <c r="EP35" s="47">
        <f t="shared" si="98"/>
        <v>-0.16740088105726869</v>
      </c>
      <c r="EQ35" s="47">
        <f t="shared" si="98"/>
        <v>-0.14883720930232558</v>
      </c>
      <c r="ER35" s="47">
        <f t="shared" si="98"/>
        <v>-5.3475935828876997E-2</v>
      </c>
      <c r="ES35" s="52">
        <f t="shared" si="98"/>
        <v>-0.15599534342258436</v>
      </c>
      <c r="ET35" s="47">
        <f t="shared" si="98"/>
        <v>-9.1669027412548676E-2</v>
      </c>
      <c r="EU35" s="47">
        <f t="shared" si="98"/>
        <v>-0.12677867239878315</v>
      </c>
      <c r="EV35" s="47">
        <f t="shared" si="98"/>
        <v>-0.14452679595720452</v>
      </c>
      <c r="EW35" s="47">
        <f t="shared" si="98"/>
        <v>-0.140025275101752</v>
      </c>
      <c r="EX35" s="52">
        <f t="shared" si="98"/>
        <v>-0.12596937277400977</v>
      </c>
      <c r="EY35" s="47">
        <f t="shared" si="99"/>
        <v>-0.13358803566555921</v>
      </c>
      <c r="EZ35" s="47">
        <f t="shared" si="100"/>
        <v>-0.12021712809807505</v>
      </c>
      <c r="FA35" s="47">
        <f t="shared" si="101"/>
        <v>-0.11293052245561153</v>
      </c>
      <c r="FB35" s="47">
        <f t="shared" si="102"/>
        <v>-9.0956812925046426E-2</v>
      </c>
      <c r="FC35" s="52">
        <f t="shared" si="102"/>
        <v>-0.11476155165694668</v>
      </c>
      <c r="FD35" s="47">
        <f t="shared" si="103"/>
        <v>-2.9136703349175619E-2</v>
      </c>
      <c r="FE35" s="47">
        <f t="shared" si="104"/>
        <v>-1.8775916563422923E-2</v>
      </c>
      <c r="FF35" s="47">
        <f t="shared" si="105"/>
        <v>-2.7162532041783649E-2</v>
      </c>
      <c r="FG35" s="47">
        <f t="shared" si="106"/>
        <v>-8.7410622423287898E-2</v>
      </c>
      <c r="FH35" s="52">
        <f t="shared" si="106"/>
        <v>-4.0340648384707745E-2</v>
      </c>
      <c r="FI35" s="47">
        <f t="shared" si="107"/>
        <v>-0.17613011895231701</v>
      </c>
      <c r="FJ35" s="47">
        <f t="shared" si="107"/>
        <v>-0.16314152454756903</v>
      </c>
      <c r="FK35" s="47">
        <f t="shared" si="107"/>
        <v>-0.12603826138765906</v>
      </c>
      <c r="FL35" s="47">
        <f t="shared" si="107"/>
        <v>-8.952926664237093E-2</v>
      </c>
      <c r="FM35" s="47">
        <f t="shared" si="107"/>
        <v>-5.42086089186673E-2</v>
      </c>
    </row>
    <row r="36" spans="1:170" x14ac:dyDescent="0.3">
      <c r="A36" s="46" t="s">
        <v>307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4"/>
      <c r="DZ36" s="47" t="str">
        <f t="shared" ref="DZ36:EX36" si="108">+IFERROR(DZ30/DU30-1,"")</f>
        <v/>
      </c>
      <c r="EA36" s="47" t="str">
        <f t="shared" si="108"/>
        <v/>
      </c>
      <c r="EB36" s="47" t="str">
        <f t="shared" si="108"/>
        <v/>
      </c>
      <c r="EC36" s="47" t="str">
        <f t="shared" si="108"/>
        <v/>
      </c>
      <c r="ED36" s="52" t="str">
        <f t="shared" si="108"/>
        <v/>
      </c>
      <c r="EE36" s="47">
        <f t="shared" si="108"/>
        <v>-2.6200873362445365E-2</v>
      </c>
      <c r="EF36" s="47">
        <f t="shared" si="108"/>
        <v>-9.8150782361308697E-2</v>
      </c>
      <c r="EG36" s="47">
        <f t="shared" si="108"/>
        <v>-0.15050651230101297</v>
      </c>
      <c r="EH36" s="47">
        <f t="shared" si="108"/>
        <v>-0.15706051873198845</v>
      </c>
      <c r="EI36" s="52">
        <f t="shared" si="108"/>
        <v>-0.10810810810810811</v>
      </c>
      <c r="EJ36" s="47">
        <f t="shared" si="108"/>
        <v>-0.23916292974588937</v>
      </c>
      <c r="EK36" s="47">
        <f t="shared" si="108"/>
        <v>-0.15615141955835965</v>
      </c>
      <c r="EL36" s="47">
        <f t="shared" si="108"/>
        <v>-0.13458262350936967</v>
      </c>
      <c r="EM36" s="47">
        <f t="shared" si="108"/>
        <v>-9.7435897435897423E-2</v>
      </c>
      <c r="EN36" s="52">
        <f t="shared" si="108"/>
        <v>-0.15959595959595962</v>
      </c>
      <c r="EO36" s="47">
        <f t="shared" si="108"/>
        <v>1.9646365422396839E-2</v>
      </c>
      <c r="EP36" s="47">
        <f t="shared" si="108"/>
        <v>-3.7383177570093906E-3</v>
      </c>
      <c r="EQ36" s="47">
        <f t="shared" si="108"/>
        <v>3.5433070866141669E-2</v>
      </c>
      <c r="ER36" s="47">
        <f t="shared" si="108"/>
        <v>3.9772727272727293E-2</v>
      </c>
      <c r="ES36" s="52">
        <f t="shared" si="108"/>
        <v>2.2596153846153877E-2</v>
      </c>
      <c r="ET36" s="47">
        <f t="shared" si="108"/>
        <v>4.8155752764828419E-2</v>
      </c>
      <c r="EU36" s="47">
        <f t="shared" si="108"/>
        <v>5.1384589224173993E-2</v>
      </c>
      <c r="EV36" s="47">
        <f t="shared" si="108"/>
        <v>5.7746383986779115E-2</v>
      </c>
      <c r="EW36" s="47">
        <f t="shared" si="108"/>
        <v>6.5595580357167727E-2</v>
      </c>
      <c r="EX36" s="52">
        <f t="shared" si="108"/>
        <v>5.5837984642483018E-2</v>
      </c>
      <c r="EY36" s="47">
        <f t="shared" ref="EY36" si="109">+IFERROR(EY30/ET30-1,"")</f>
        <v>6.230390630901006E-2</v>
      </c>
      <c r="EZ36" s="47">
        <f t="shared" ref="EZ36" si="110">+IFERROR(EZ30/EU30-1,"")</f>
        <v>7.9778486570828644E-2</v>
      </c>
      <c r="FA36" s="47">
        <f t="shared" ref="FA36" si="111">+IFERROR(FA30/EV30-1,"")</f>
        <v>8.6074355869211638E-2</v>
      </c>
      <c r="FB36" s="47">
        <f t="shared" ref="FB36:FC36" si="112">+IFERROR(FB30/EW30-1,"")</f>
        <v>9.7387822381181266E-2</v>
      </c>
      <c r="FC36" s="52">
        <f t="shared" si="112"/>
        <v>8.1692526105828556E-2</v>
      </c>
      <c r="FD36" s="47">
        <f t="shared" ref="FD36" si="113">+IFERROR(FD30/EY30-1,"")</f>
        <v>8.6523041527310607E-2</v>
      </c>
      <c r="FE36" s="47">
        <f t="shared" ref="FE36" si="114">+IFERROR(FE30/EZ30-1,"")</f>
        <v>9.6608580436176261E-2</v>
      </c>
      <c r="FF36" s="47">
        <f t="shared" ref="FF36" si="115">+IFERROR(FF30/FA30-1,"")</f>
        <v>0.10163109051747221</v>
      </c>
      <c r="FG36" s="47">
        <f t="shared" ref="FG36:FH36" si="116">+IFERROR(FG30/FB30-1,"")</f>
        <v>0.10379743935301433</v>
      </c>
      <c r="FH36" s="52">
        <f t="shared" si="116"/>
        <v>9.7358519283549327E-2</v>
      </c>
      <c r="FI36" s="47">
        <f t="shared" ref="FI36:FM36" si="117">+IFERROR(FI30/FH30-1,"")</f>
        <v>0.10550118429660849</v>
      </c>
      <c r="FJ36" s="47">
        <f t="shared" si="117"/>
        <v>9.6295925146915984E-2</v>
      </c>
      <c r="FK36" s="47">
        <f t="shared" si="117"/>
        <v>8.6405031801198628E-2</v>
      </c>
      <c r="FL36" s="47">
        <f t="shared" si="117"/>
        <v>7.5314557151728634E-2</v>
      </c>
      <c r="FM36" s="47">
        <f t="shared" si="117"/>
        <v>6.4873679940046447E-2</v>
      </c>
    </row>
    <row r="37" spans="1:170" x14ac:dyDescent="0.3">
      <c r="A37" s="49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4"/>
      <c r="DZ37" s="1"/>
      <c r="EA37" s="1"/>
      <c r="EB37" s="1"/>
      <c r="EC37" s="1"/>
      <c r="ED37" s="4"/>
      <c r="EE37" s="1"/>
      <c r="EF37" s="1"/>
      <c r="EG37" s="1"/>
      <c r="EH37" s="1"/>
      <c r="EI37" s="4"/>
      <c r="EJ37" s="1"/>
      <c r="EK37" s="1"/>
      <c r="EL37" s="1"/>
      <c r="EM37" s="1"/>
      <c r="EN37" s="4"/>
      <c r="EO37" s="4"/>
      <c r="EP37" s="4"/>
      <c r="EQ37" s="4"/>
      <c r="ER37" s="4"/>
      <c r="ES37" s="1"/>
      <c r="ET37" s="4"/>
      <c r="EU37" s="4"/>
      <c r="EV37" s="4"/>
      <c r="EW37" s="4"/>
      <c r="EX37" s="1"/>
      <c r="EY37" s="4"/>
      <c r="EZ37" s="4"/>
      <c r="FA37" s="4"/>
      <c r="FB37" s="4"/>
      <c r="FC37" s="1"/>
      <c r="FD37" s="4"/>
      <c r="FE37" s="4"/>
      <c r="FF37" s="4"/>
      <c r="FG37" s="4"/>
      <c r="FH37" s="1"/>
      <c r="FI37" s="1"/>
      <c r="FJ37" s="1"/>
      <c r="FK37" s="1"/>
      <c r="FL37" s="1"/>
      <c r="FM37" s="1"/>
    </row>
    <row r="38" spans="1:170" x14ac:dyDescent="0.3">
      <c r="A38" s="54" t="s">
        <v>46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</row>
    <row r="39" spans="1:170" x14ac:dyDescent="0.3">
      <c r="A39" s="90" t="s">
        <v>19</v>
      </c>
      <c r="ET39" s="90"/>
      <c r="EU39" s="90"/>
      <c r="EV39" s="90"/>
      <c r="EW39" s="90"/>
      <c r="EY39" s="90"/>
      <c r="EZ39" s="90"/>
      <c r="FA39" s="90"/>
      <c r="FB39" s="90"/>
      <c r="FD39" s="90"/>
      <c r="FE39" s="90"/>
      <c r="FF39" s="90"/>
      <c r="FG39" s="90"/>
    </row>
    <row r="40" spans="1:170" x14ac:dyDescent="0.3">
      <c r="A40" t="s">
        <v>20</v>
      </c>
      <c r="DZ40" s="885">
        <f t="shared" ref="DZ40:EC42" si="118">DZ199+DZ337</f>
        <v>382.779225</v>
      </c>
      <c r="EA40" s="885">
        <f t="shared" si="118"/>
        <v>385.52034000000003</v>
      </c>
      <c r="EB40" s="885">
        <f t="shared" si="118"/>
        <v>387.71291999999994</v>
      </c>
      <c r="EC40" s="885">
        <f t="shared" si="118"/>
        <v>395.48181</v>
      </c>
      <c r="ED40" s="1079">
        <f>+SUM(DZ40:EC40)</f>
        <v>1551.494295</v>
      </c>
      <c r="EE40" s="885">
        <f t="shared" ref="EE40:EM42" si="119">EE199+EE337</f>
        <v>400.26067499999999</v>
      </c>
      <c r="EF40" s="885">
        <f t="shared" si="119"/>
        <v>414.28289999999993</v>
      </c>
      <c r="EG40" s="885">
        <f t="shared" si="119"/>
        <v>417.34663499999999</v>
      </c>
      <c r="EH40" s="885">
        <f t="shared" si="119"/>
        <v>415.08333000000005</v>
      </c>
      <c r="EI40" s="1079">
        <f>+SUM(EE40:EH40)</f>
        <v>1646.97354</v>
      </c>
      <c r="EJ40" s="885">
        <f t="shared" si="119"/>
        <v>420.93863999999996</v>
      </c>
      <c r="EK40" s="885">
        <f t="shared" si="119"/>
        <v>440.63338499999998</v>
      </c>
      <c r="EL40" s="885">
        <f t="shared" si="119"/>
        <v>446.60699999999997</v>
      </c>
      <c r="EM40" s="885">
        <f t="shared" si="119"/>
        <v>439.38000000000005</v>
      </c>
      <c r="EN40" s="1079">
        <f>+SUM(EJ40:EM40)</f>
        <v>1747.559025</v>
      </c>
      <c r="EO40" s="885">
        <f t="shared" ref="EO40:ER42" si="120">EO199+EO337</f>
        <v>446.88504</v>
      </c>
      <c r="EP40" s="885">
        <f t="shared" si="120"/>
        <v>469.19583</v>
      </c>
      <c r="EQ40" s="885">
        <f t="shared" si="120"/>
        <v>487.72060499999998</v>
      </c>
      <c r="ER40" s="885">
        <f t="shared" si="120"/>
        <v>491.29236000000003</v>
      </c>
      <c r="ES40" s="1079">
        <f>+SUM(EO40:ER40)</f>
        <v>1895.0938350000001</v>
      </c>
      <c r="ET40" s="885">
        <f t="shared" ref="ET40:EW42" si="121">ET199+ET337</f>
        <v>496.68248081179195</v>
      </c>
      <c r="EU40" s="885">
        <f t="shared" si="121"/>
        <v>524.09936925270347</v>
      </c>
      <c r="EV40" s="885">
        <f t="shared" si="121"/>
        <v>547.27290885070909</v>
      </c>
      <c r="EW40" s="885">
        <f t="shared" si="121"/>
        <v>554.96579769996129</v>
      </c>
      <c r="EX40" s="1079">
        <f>+SUM(ET40:EW40)</f>
        <v>2123.0205566151658</v>
      </c>
      <c r="EY40" s="885">
        <f t="shared" ref="EY40:FB40" si="122">EY199+EY337</f>
        <v>562.9583506405703</v>
      </c>
      <c r="EZ40" s="885">
        <f t="shared" si="122"/>
        <v>596.64335328419793</v>
      </c>
      <c r="FA40" s="885">
        <f t="shared" si="122"/>
        <v>625.51257032111914</v>
      </c>
      <c r="FB40" s="885">
        <f t="shared" si="122"/>
        <v>637.71389047006801</v>
      </c>
      <c r="FC40" s="885">
        <f t="shared" ref="FC40:FM42" si="123">FC199+FC337</f>
        <v>2422.8281647159552</v>
      </c>
      <c r="FD40" s="885">
        <f t="shared" si="123"/>
        <v>649.55288974269524</v>
      </c>
      <c r="FE40" s="885">
        <f t="shared" si="123"/>
        <v>688.66065549607833</v>
      </c>
      <c r="FF40" s="885">
        <f t="shared" si="123"/>
        <v>722.00173769142305</v>
      </c>
      <c r="FG40" s="885">
        <f t="shared" si="123"/>
        <v>736.30695771342641</v>
      </c>
      <c r="FH40" s="885">
        <f t="shared" si="123"/>
        <v>2796.5222406436228</v>
      </c>
      <c r="FI40" s="885">
        <f t="shared" si="123"/>
        <v>3184.0794161122881</v>
      </c>
      <c r="FJ40" s="885">
        <f t="shared" si="123"/>
        <v>3552.5826092886737</v>
      </c>
      <c r="FK40" s="885">
        <f t="shared" si="123"/>
        <v>3886.7293062753361</v>
      </c>
      <c r="FL40" s="885">
        <f t="shared" si="123"/>
        <v>4182.5001027720054</v>
      </c>
      <c r="FM40" s="885">
        <f t="shared" si="123"/>
        <v>4438.9647420778501</v>
      </c>
    </row>
    <row r="41" spans="1:170" x14ac:dyDescent="0.3">
      <c r="A41" t="s">
        <v>21</v>
      </c>
      <c r="DZ41" s="885">
        <f t="shared" si="118"/>
        <v>189.15551999999997</v>
      </c>
      <c r="EA41" s="885">
        <f t="shared" si="118"/>
        <v>176.92068</v>
      </c>
      <c r="EB41" s="885">
        <f t="shared" si="118"/>
        <v>166.32964499999997</v>
      </c>
      <c r="EC41" s="885">
        <f t="shared" si="118"/>
        <v>157.26242999999999</v>
      </c>
      <c r="ED41" s="1079">
        <f>+SUM(DZ41:EC41)</f>
        <v>689.66827499999999</v>
      </c>
      <c r="EE41" s="885">
        <f t="shared" si="119"/>
        <v>150.88261499999999</v>
      </c>
      <c r="EF41" s="885">
        <f t="shared" si="119"/>
        <v>145.75359</v>
      </c>
      <c r="EG41" s="885">
        <f t="shared" si="119"/>
        <v>138.31398000000002</v>
      </c>
      <c r="EH41" s="885">
        <f t="shared" si="119"/>
        <v>132.15633</v>
      </c>
      <c r="EI41" s="1079">
        <f>+SUM(EE41:EH41)</f>
        <v>567.10651500000006</v>
      </c>
      <c r="EJ41" s="885">
        <f t="shared" si="119"/>
        <v>127.35054</v>
      </c>
      <c r="EK41" s="885">
        <f t="shared" si="119"/>
        <v>124.74431999999999</v>
      </c>
      <c r="EL41" s="885">
        <f t="shared" si="119"/>
        <v>117.460725</v>
      </c>
      <c r="EM41" s="885">
        <f t="shared" si="119"/>
        <v>111.01582500000001</v>
      </c>
      <c r="EN41" s="1079">
        <f>+SUM(EJ41:EM41)</f>
        <v>480.57140999999996</v>
      </c>
      <c r="EO41" s="885">
        <f t="shared" si="120"/>
        <v>109.645965</v>
      </c>
      <c r="EP41" s="885">
        <f t="shared" si="120"/>
        <v>104.77818000000001</v>
      </c>
      <c r="EQ41" s="885">
        <f t="shared" si="120"/>
        <v>97.200809999999976</v>
      </c>
      <c r="ER41" s="885">
        <f t="shared" si="120"/>
        <v>90.525750000000002</v>
      </c>
      <c r="ES41" s="1079">
        <f>+SUM(EO41:ER41)</f>
        <v>402.15070500000002</v>
      </c>
      <c r="ET41" s="885">
        <f t="shared" si="121"/>
        <v>85.869907484142544</v>
      </c>
      <c r="EU41" s="885">
        <f t="shared" si="121"/>
        <v>82.386128606087809</v>
      </c>
      <c r="EV41" s="885">
        <f t="shared" si="121"/>
        <v>77.117666075481992</v>
      </c>
      <c r="EW41" s="885">
        <f t="shared" si="121"/>
        <v>71.978399158650916</v>
      </c>
      <c r="EX41" s="1079">
        <f>+SUM(ET41:EW41)</f>
        <v>317.35210132436328</v>
      </c>
      <c r="EY41" s="885">
        <f t="shared" ref="EY41:FB41" si="124">EY200+EY338</f>
        <v>68.193186980761681</v>
      </c>
      <c r="EZ41" s="885">
        <f t="shared" si="124"/>
        <v>65.558786575899731</v>
      </c>
      <c r="FA41" s="885">
        <f t="shared" si="124"/>
        <v>61.488577648930416</v>
      </c>
      <c r="FB41" s="885">
        <f t="shared" si="124"/>
        <v>57.547852845782366</v>
      </c>
      <c r="FC41" s="885">
        <f t="shared" si="123"/>
        <v>252.78840405137421</v>
      </c>
      <c r="FD41" s="885">
        <f t="shared" si="123"/>
        <v>54.568878562099805</v>
      </c>
      <c r="FE41" s="885">
        <f t="shared" si="123"/>
        <v>52.537444455126973</v>
      </c>
      <c r="FF41" s="885">
        <f t="shared" si="123"/>
        <v>49.346333064370782</v>
      </c>
      <c r="FG41" s="885">
        <f t="shared" si="123"/>
        <v>46.274418441460519</v>
      </c>
      <c r="FH41" s="885">
        <f t="shared" si="123"/>
        <v>202.72707452305806</v>
      </c>
      <c r="FI41" s="885">
        <f t="shared" si="123"/>
        <v>162.07674749076958</v>
      </c>
      <c r="FJ41" s="885">
        <f t="shared" si="123"/>
        <v>127.3401130163108</v>
      </c>
      <c r="FK41" s="885">
        <f t="shared" si="123"/>
        <v>100.51395710717985</v>
      </c>
      <c r="FL41" s="885">
        <f t="shared" si="123"/>
        <v>79.551433631083313</v>
      </c>
      <c r="FM41" s="885">
        <f t="shared" si="123"/>
        <v>63.057049399189431</v>
      </c>
    </row>
    <row r="42" spans="1:170" x14ac:dyDescent="0.3">
      <c r="A42" t="s">
        <v>22</v>
      </c>
      <c r="DZ42" s="901">
        <f t="shared" si="118"/>
        <v>308.06525500000009</v>
      </c>
      <c r="EA42" s="901">
        <f t="shared" si="118"/>
        <v>296.55897999999991</v>
      </c>
      <c r="EB42" s="901">
        <f t="shared" si="118"/>
        <v>284.95743500000003</v>
      </c>
      <c r="EC42" s="901">
        <f t="shared" si="118"/>
        <v>285.25576000000001</v>
      </c>
      <c r="ED42" s="1111">
        <f>+SUM(DZ42:EC42)</f>
        <v>1174.83743</v>
      </c>
      <c r="EE42" s="901">
        <f t="shared" si="119"/>
        <v>268.85670999999996</v>
      </c>
      <c r="EF42" s="901">
        <f t="shared" si="119"/>
        <v>255.96351000000004</v>
      </c>
      <c r="EG42" s="901">
        <f t="shared" si="119"/>
        <v>244.33938499999999</v>
      </c>
      <c r="EH42" s="901">
        <f t="shared" si="119"/>
        <v>234.76033999999999</v>
      </c>
      <c r="EI42" s="1111">
        <f>+SUM(EE42:EH42)</f>
        <v>1003.9199450000001</v>
      </c>
      <c r="EJ42" s="901">
        <f t="shared" si="119"/>
        <v>227.71082000000001</v>
      </c>
      <c r="EK42" s="901">
        <f t="shared" si="119"/>
        <v>225.62229500000001</v>
      </c>
      <c r="EL42" s="901">
        <f t="shared" si="119"/>
        <v>220.93227500000006</v>
      </c>
      <c r="EM42" s="901">
        <f t="shared" si="119"/>
        <v>213.60417499999994</v>
      </c>
      <c r="EN42" s="1111">
        <f>+SUM(EJ42:EM42)</f>
        <v>887.86956499999997</v>
      </c>
      <c r="EO42" s="901">
        <f t="shared" si="120"/>
        <v>204.46899500000001</v>
      </c>
      <c r="EP42" s="901">
        <f t="shared" si="120"/>
        <v>201.02598999999998</v>
      </c>
      <c r="EQ42" s="901">
        <f t="shared" si="120"/>
        <v>202.07858500000003</v>
      </c>
      <c r="ER42" s="901">
        <f t="shared" si="120"/>
        <v>192.18188999999995</v>
      </c>
      <c r="ES42" s="1111">
        <f>+SUM(EO42:ER42)</f>
        <v>799.75545999999997</v>
      </c>
      <c r="ET42" s="901">
        <f t="shared" si="121"/>
        <v>176.0159777772279</v>
      </c>
      <c r="EU42" s="901">
        <f t="shared" si="121"/>
        <v>168.72072587225327</v>
      </c>
      <c r="EV42" s="901">
        <f t="shared" si="121"/>
        <v>164.08670611006801</v>
      </c>
      <c r="EW42" s="901">
        <f t="shared" si="121"/>
        <v>156.69839308274504</v>
      </c>
      <c r="EX42" s="1111">
        <f>+SUM(ET42:EW42)</f>
        <v>665.52180284229416</v>
      </c>
      <c r="EY42" s="901">
        <f t="shared" ref="EY42:FB42" si="125">EY201+EY339</f>
        <v>142.72032432014936</v>
      </c>
      <c r="EZ42" s="901">
        <f t="shared" si="125"/>
        <v>138.78184498432205</v>
      </c>
      <c r="FA42" s="901">
        <f t="shared" si="125"/>
        <v>132.97017901457596</v>
      </c>
      <c r="FB42" s="901">
        <f t="shared" si="125"/>
        <v>128.06149501013465</v>
      </c>
      <c r="FC42" s="901">
        <f t="shared" si="123"/>
        <v>542.53384332918199</v>
      </c>
      <c r="FD42" s="901">
        <f t="shared" si="123"/>
        <v>116.13750554993771</v>
      </c>
      <c r="FE42" s="901">
        <f t="shared" si="123"/>
        <v>114.64104932143997</v>
      </c>
      <c r="FF42" s="901">
        <f t="shared" si="123"/>
        <v>107.95345596752787</v>
      </c>
      <c r="FG42" s="901">
        <f t="shared" si="123"/>
        <v>104.97087555106194</v>
      </c>
      <c r="FH42" s="901">
        <f t="shared" si="123"/>
        <v>443.70288638996749</v>
      </c>
      <c r="FI42" s="901">
        <f t="shared" si="123"/>
        <v>365.52490894790787</v>
      </c>
      <c r="FJ42" s="901">
        <f t="shared" si="123"/>
        <v>308.02413095959128</v>
      </c>
      <c r="FK42" s="901">
        <f t="shared" si="123"/>
        <v>268.63021514531897</v>
      </c>
      <c r="FL42" s="901">
        <f t="shared" si="123"/>
        <v>239.71730411881958</v>
      </c>
      <c r="FM42" s="901">
        <f t="shared" si="123"/>
        <v>217.76894631665533</v>
      </c>
    </row>
    <row r="43" spans="1:170" x14ac:dyDescent="0.3">
      <c r="A43" s="90" t="s">
        <v>23</v>
      </c>
      <c r="DZ43" s="1151">
        <f>SUM(DZ40:DZ42)</f>
        <v>880.00000000000011</v>
      </c>
      <c r="EA43" s="1151">
        <f>SUM(EA40:EA42)</f>
        <v>858.99999999999989</v>
      </c>
      <c r="EB43" s="1151">
        <f>SUM(EB40:EB42)</f>
        <v>839</v>
      </c>
      <c r="EC43" s="1151">
        <f>SUM(EC40:EC42)</f>
        <v>838</v>
      </c>
      <c r="ED43" s="1079">
        <f t="shared" ref="ED43:ED49" si="126">SUM(DZ43:EC43)</f>
        <v>3416</v>
      </c>
      <c r="EE43" s="1151">
        <f t="shared" ref="EE43:EH43" si="127">SUM(EE40:EE42)</f>
        <v>820</v>
      </c>
      <c r="EF43" s="1151">
        <f t="shared" si="127"/>
        <v>816</v>
      </c>
      <c r="EG43" s="1151">
        <f t="shared" si="127"/>
        <v>800</v>
      </c>
      <c r="EH43" s="1151">
        <f t="shared" si="127"/>
        <v>782</v>
      </c>
      <c r="EI43" s="1079">
        <f t="shared" ref="EI43:EI49" si="128">SUM(EE43:EH43)</f>
        <v>3218</v>
      </c>
      <c r="EJ43" s="1151">
        <f t="shared" ref="EJ43:EM43" si="129">SUM(EJ40:EJ42)</f>
        <v>776</v>
      </c>
      <c r="EK43" s="1151">
        <f t="shared" si="129"/>
        <v>791</v>
      </c>
      <c r="EL43" s="1151">
        <f t="shared" si="129"/>
        <v>785</v>
      </c>
      <c r="EM43" s="1151">
        <f t="shared" si="129"/>
        <v>764</v>
      </c>
      <c r="EN43" s="1079">
        <f t="shared" ref="EN43:EN49" si="130">SUM(EJ43:EM43)</f>
        <v>3116</v>
      </c>
      <c r="EO43" s="1151">
        <f t="shared" ref="EO43:ER43" si="131">SUM(EO40:EO42)</f>
        <v>761</v>
      </c>
      <c r="EP43" s="1151">
        <f t="shared" si="131"/>
        <v>775</v>
      </c>
      <c r="EQ43" s="1151">
        <f t="shared" si="131"/>
        <v>787</v>
      </c>
      <c r="ER43" s="1151">
        <f t="shared" si="131"/>
        <v>774</v>
      </c>
      <c r="ES43" s="1079">
        <f t="shared" ref="ES43:ES49" si="132">SUM(EO43:ER43)</f>
        <v>3097</v>
      </c>
      <c r="ET43" s="1151">
        <f t="shared" ref="ET43:EW43" si="133">SUM(ET40:ET42)</f>
        <v>758.56836607316245</v>
      </c>
      <c r="EU43" s="1151">
        <f t="shared" si="133"/>
        <v>775.20622373104459</v>
      </c>
      <c r="EV43" s="1151">
        <f t="shared" si="133"/>
        <v>788.47728103625911</v>
      </c>
      <c r="EW43" s="1151">
        <f t="shared" si="133"/>
        <v>783.6425899413573</v>
      </c>
      <c r="EX43" s="1079">
        <f t="shared" ref="EX43:EX49" si="134">SUM(ET43:EW43)</f>
        <v>3105.8944607818239</v>
      </c>
      <c r="EY43" s="1151">
        <f t="shared" ref="EY43:FB43" si="135">SUM(EY40:EY42)</f>
        <v>773.87186194148126</v>
      </c>
      <c r="EZ43" s="1151">
        <f t="shared" si="135"/>
        <v>800.98398484441964</v>
      </c>
      <c r="FA43" s="1151">
        <f t="shared" si="135"/>
        <v>819.97132698462553</v>
      </c>
      <c r="FB43" s="1151">
        <f t="shared" si="135"/>
        <v>823.32323832598502</v>
      </c>
      <c r="FC43" s="1151">
        <f t="shared" ref="FC43:FM43" si="136">SUM(FC40:FC42)</f>
        <v>3218.150412096511</v>
      </c>
      <c r="FD43" s="1151">
        <f t="shared" si="136"/>
        <v>820.25927385473278</v>
      </c>
      <c r="FE43" s="1151">
        <f t="shared" si="136"/>
        <v>855.83914927264527</v>
      </c>
      <c r="FF43" s="1151">
        <f t="shared" si="136"/>
        <v>879.30152672332179</v>
      </c>
      <c r="FG43" s="1151">
        <f t="shared" si="136"/>
        <v>887.55225170594883</v>
      </c>
      <c r="FH43" s="1151">
        <f t="shared" si="136"/>
        <v>3442.9522015566481</v>
      </c>
      <c r="FI43" s="1151">
        <f t="shared" si="136"/>
        <v>3711.6810725509658</v>
      </c>
      <c r="FJ43" s="1151">
        <f t="shared" si="136"/>
        <v>3987.9468532645756</v>
      </c>
      <c r="FK43" s="1151">
        <f t="shared" si="136"/>
        <v>4255.8734785278348</v>
      </c>
      <c r="FL43" s="1151">
        <f t="shared" si="136"/>
        <v>4501.7688405219087</v>
      </c>
      <c r="FM43" s="1151">
        <f t="shared" si="136"/>
        <v>4719.7907377936945</v>
      </c>
    </row>
    <row r="44" spans="1:170" x14ac:dyDescent="0.3">
      <c r="A44" t="s">
        <v>24</v>
      </c>
      <c r="DZ44" s="885">
        <f t="shared" ref="DZ44:EC45" si="137">DZ203+DZ341</f>
        <v>67.46624570499273</v>
      </c>
      <c r="EA44" s="885">
        <f t="shared" si="137"/>
        <v>65.75035108013671</v>
      </c>
      <c r="EB44" s="885">
        <f t="shared" si="137"/>
        <v>64.888547649374999</v>
      </c>
      <c r="EC44" s="885">
        <f t="shared" si="137"/>
        <v>65.004899062500002</v>
      </c>
      <c r="ED44" s="1079">
        <f t="shared" si="126"/>
        <v>263.11004349700443</v>
      </c>
      <c r="EE44" s="885">
        <f t="shared" ref="EE44:EM45" si="138">EE203+EE341</f>
        <v>61.672804499999998</v>
      </c>
      <c r="EF44" s="885">
        <f t="shared" si="138"/>
        <v>61.207440000000005</v>
      </c>
      <c r="EG44" s="885">
        <f t="shared" si="138"/>
        <v>60.125250000000001</v>
      </c>
      <c r="EH44" s="885">
        <f t="shared" si="138"/>
        <v>59.386109999999988</v>
      </c>
      <c r="EI44" s="1079">
        <f t="shared" si="128"/>
        <v>242.39160449999997</v>
      </c>
      <c r="EJ44" s="885">
        <f t="shared" si="138"/>
        <v>59.439525000000003</v>
      </c>
      <c r="EK44" s="885">
        <f t="shared" si="138"/>
        <v>59.293064999999999</v>
      </c>
      <c r="EL44" s="885">
        <f t="shared" si="138"/>
        <v>60.266295</v>
      </c>
      <c r="EM44" s="885">
        <f t="shared" si="138"/>
        <v>60.579569999999997</v>
      </c>
      <c r="EN44" s="1079">
        <f t="shared" si="130"/>
        <v>239.57845499999999</v>
      </c>
      <c r="EO44" s="885">
        <f t="shared" ref="EO44:ER45" si="139">EO203+EO341</f>
        <v>59.643569999999997</v>
      </c>
      <c r="EP44" s="885">
        <f t="shared" si="139"/>
        <v>59.631839999999997</v>
      </c>
      <c r="EQ44" s="885">
        <f t="shared" si="139"/>
        <v>58.748910000000009</v>
      </c>
      <c r="ER44" s="885">
        <f t="shared" si="139"/>
        <v>59.266887411514013</v>
      </c>
      <c r="ES44" s="1079">
        <f t="shared" si="132"/>
        <v>237.29120741151399</v>
      </c>
      <c r="ET44" s="885">
        <f t="shared" ref="ET44:EW45" si="140">ET203+ET341</f>
        <v>62.339359221333495</v>
      </c>
      <c r="EU44" s="885">
        <f t="shared" si="140"/>
        <v>62.640273816232423</v>
      </c>
      <c r="EV44" s="885">
        <f t="shared" si="140"/>
        <v>62.261422717882049</v>
      </c>
      <c r="EW44" s="885">
        <f t="shared" si="140"/>
        <v>63.393886864867213</v>
      </c>
      <c r="EX44" s="1079">
        <f t="shared" si="134"/>
        <v>250.6349426203152</v>
      </c>
      <c r="EY44" s="885">
        <f t="shared" ref="EY44:FB44" si="141">EY203+EY341</f>
        <v>67.456645292779911</v>
      </c>
      <c r="EZ44" s="885">
        <f t="shared" si="141"/>
        <v>68.223738700666331</v>
      </c>
      <c r="FA44" s="885">
        <f t="shared" si="141"/>
        <v>68.317754974662023</v>
      </c>
      <c r="FB44" s="885">
        <f t="shared" si="141"/>
        <v>70.099283503624193</v>
      </c>
      <c r="FC44" s="885">
        <f t="shared" ref="FC44:FM45" si="142">FC203+FC341</f>
        <v>274.09742247173244</v>
      </c>
      <c r="FD44" s="885">
        <f t="shared" si="142"/>
        <v>75.271526868172131</v>
      </c>
      <c r="FE44" s="885">
        <f t="shared" si="142"/>
        <v>76.428073315854249</v>
      </c>
      <c r="FF44" s="885">
        <f t="shared" si="142"/>
        <v>76.889999349367514</v>
      </c>
      <c r="FG44" s="885">
        <f t="shared" si="142"/>
        <v>79.196797838997696</v>
      </c>
      <c r="FH44" s="885">
        <f t="shared" si="142"/>
        <v>307.7863973723916</v>
      </c>
      <c r="FI44" s="885">
        <f t="shared" si="142"/>
        <v>349.67148636528702</v>
      </c>
      <c r="FJ44" s="885">
        <f t="shared" si="142"/>
        <v>395.70904953763556</v>
      </c>
      <c r="FK44" s="885">
        <f t="shared" si="142"/>
        <v>446.11988305569611</v>
      </c>
      <c r="FL44" s="885">
        <f t="shared" si="142"/>
        <v>501.31317492592257</v>
      </c>
      <c r="FM44" s="885">
        <f t="shared" si="142"/>
        <v>561.77735406506645</v>
      </c>
    </row>
    <row r="45" spans="1:170" x14ac:dyDescent="0.3">
      <c r="A45" t="s">
        <v>308</v>
      </c>
      <c r="DZ45" s="885">
        <f t="shared" si="137"/>
        <v>713.53375429500727</v>
      </c>
      <c r="EA45" s="885">
        <f t="shared" si="137"/>
        <v>696.24964891986338</v>
      </c>
      <c r="EB45" s="885">
        <f t="shared" si="137"/>
        <v>674.11145235062497</v>
      </c>
      <c r="EC45" s="885">
        <f t="shared" si="137"/>
        <v>653.99510093749996</v>
      </c>
      <c r="ED45" s="1151">
        <f t="shared" si="126"/>
        <v>2737.8899565029956</v>
      </c>
      <c r="EE45" s="885">
        <f t="shared" si="138"/>
        <v>653.32719550000002</v>
      </c>
      <c r="EF45" s="885">
        <f t="shared" si="138"/>
        <v>636.79255999999998</v>
      </c>
      <c r="EG45" s="885">
        <f t="shared" si="138"/>
        <v>632.87474999999995</v>
      </c>
      <c r="EH45" s="885">
        <f t="shared" si="138"/>
        <v>617.61389000000008</v>
      </c>
      <c r="EI45" s="1151">
        <f t="shared" si="128"/>
        <v>2540.6083954999999</v>
      </c>
      <c r="EJ45" s="885">
        <f t="shared" si="138"/>
        <v>606.560475</v>
      </c>
      <c r="EK45" s="885">
        <f t="shared" si="138"/>
        <v>591.70693499999993</v>
      </c>
      <c r="EL45" s="885">
        <f t="shared" si="138"/>
        <v>580.73370499999999</v>
      </c>
      <c r="EM45" s="885">
        <f t="shared" si="138"/>
        <v>598.42043000000001</v>
      </c>
      <c r="EN45" s="1151">
        <f t="shared" si="130"/>
        <v>2377.4215450000002</v>
      </c>
      <c r="EO45" s="885">
        <f t="shared" si="139"/>
        <v>597.35643000000005</v>
      </c>
      <c r="EP45" s="885">
        <f t="shared" si="139"/>
        <v>593.36815999999999</v>
      </c>
      <c r="EQ45" s="885">
        <f t="shared" si="139"/>
        <v>575.25108999999998</v>
      </c>
      <c r="ER45" s="885">
        <f t="shared" si="139"/>
        <v>575.73311258848594</v>
      </c>
      <c r="ES45" s="1151">
        <f t="shared" si="132"/>
        <v>2341.7087925884862</v>
      </c>
      <c r="ET45" s="885">
        <f t="shared" si="140"/>
        <v>591.50605341044115</v>
      </c>
      <c r="EU45" s="885">
        <f t="shared" si="140"/>
        <v>587.82780194809345</v>
      </c>
      <c r="EV45" s="885">
        <f t="shared" si="140"/>
        <v>570.15223686507989</v>
      </c>
      <c r="EW45" s="885">
        <f t="shared" si="140"/>
        <v>570.30476739847211</v>
      </c>
      <c r="EX45" s="1151">
        <f t="shared" si="134"/>
        <v>2319.7908596220864</v>
      </c>
      <c r="EY45" s="885">
        <f t="shared" ref="EY45:FB45" si="143">EY204+EY342</f>
        <v>587.27040792456228</v>
      </c>
      <c r="EZ45" s="885">
        <f t="shared" si="143"/>
        <v>583.86866357101462</v>
      </c>
      <c r="FA45" s="885">
        <f t="shared" si="143"/>
        <v>566.56347784536683</v>
      </c>
      <c r="FB45" s="885">
        <f t="shared" si="143"/>
        <v>566.41506426855165</v>
      </c>
      <c r="FC45" s="885">
        <f t="shared" si="142"/>
        <v>2304.1176136094955</v>
      </c>
      <c r="FD45" s="885">
        <f t="shared" si="142"/>
        <v>585.10240313245413</v>
      </c>
      <c r="FE45" s="885">
        <f t="shared" si="142"/>
        <v>581.92499945908139</v>
      </c>
      <c r="FF45" s="885">
        <f t="shared" si="142"/>
        <v>564.89009757336157</v>
      </c>
      <c r="FG45" s="885">
        <f t="shared" si="142"/>
        <v>564.48838880806557</v>
      </c>
      <c r="FH45" s="885">
        <f t="shared" si="142"/>
        <v>2296.4058889729631</v>
      </c>
      <c r="FI45" s="885">
        <f t="shared" si="142"/>
        <v>2294.2657710518788</v>
      </c>
      <c r="FJ45" s="885">
        <f t="shared" si="142"/>
        <v>2293.3749553436196</v>
      </c>
      <c r="FK45" s="885">
        <f t="shared" si="142"/>
        <v>2293.4122699408545</v>
      </c>
      <c r="FL45" s="885">
        <f t="shared" si="142"/>
        <v>2294.1261280189351</v>
      </c>
      <c r="FM45" s="885">
        <f t="shared" si="142"/>
        <v>2295.3202957491103</v>
      </c>
    </row>
    <row r="46" spans="1:170" s="90" customFormat="1" x14ac:dyDescent="0.3">
      <c r="A46" s="90" t="s">
        <v>26</v>
      </c>
      <c r="DZ46" s="1153">
        <f>SUM(DZ44:DZ45)</f>
        <v>781</v>
      </c>
      <c r="EA46" s="1153">
        <f t="shared" ref="EA46:EC46" si="144">SUM(EA44:EA45)</f>
        <v>762.00000000000011</v>
      </c>
      <c r="EB46" s="1153">
        <f t="shared" si="144"/>
        <v>739</v>
      </c>
      <c r="EC46" s="1153">
        <f t="shared" si="144"/>
        <v>719</v>
      </c>
      <c r="ED46" s="1111">
        <f t="shared" si="126"/>
        <v>3001</v>
      </c>
      <c r="EE46" s="1153">
        <f t="shared" ref="EE46:EH46" si="145">SUM(EE44:EE45)</f>
        <v>715</v>
      </c>
      <c r="EF46" s="1153">
        <f t="shared" si="145"/>
        <v>698</v>
      </c>
      <c r="EG46" s="1153">
        <f t="shared" si="145"/>
        <v>693</v>
      </c>
      <c r="EH46" s="1153">
        <f t="shared" si="145"/>
        <v>677.00000000000011</v>
      </c>
      <c r="EI46" s="1111">
        <f t="shared" si="128"/>
        <v>2783</v>
      </c>
      <c r="EJ46" s="1153">
        <f t="shared" ref="EJ46:EM46" si="146">SUM(EJ44:EJ45)</f>
        <v>666</v>
      </c>
      <c r="EK46" s="1153">
        <f t="shared" si="146"/>
        <v>650.99999999999989</v>
      </c>
      <c r="EL46" s="1153">
        <f t="shared" si="146"/>
        <v>641</v>
      </c>
      <c r="EM46" s="1153">
        <f t="shared" si="146"/>
        <v>659</v>
      </c>
      <c r="EN46" s="1111">
        <f t="shared" si="130"/>
        <v>2617</v>
      </c>
      <c r="EO46" s="1153">
        <f t="shared" ref="EO46:ER46" si="147">SUM(EO44:EO45)</f>
        <v>657</v>
      </c>
      <c r="EP46" s="1153">
        <f t="shared" si="147"/>
        <v>653</v>
      </c>
      <c r="EQ46" s="1153">
        <f t="shared" si="147"/>
        <v>634</v>
      </c>
      <c r="ER46" s="1153">
        <f t="shared" si="147"/>
        <v>635</v>
      </c>
      <c r="ES46" s="1111">
        <f t="shared" si="132"/>
        <v>2579</v>
      </c>
      <c r="ET46" s="1153">
        <f t="shared" ref="ET46:EW46" si="148">SUM(ET44:ET45)</f>
        <v>653.84541263177471</v>
      </c>
      <c r="EU46" s="1153">
        <f t="shared" si="148"/>
        <v>650.46807576432593</v>
      </c>
      <c r="EV46" s="1153">
        <f t="shared" si="148"/>
        <v>632.41365958296194</v>
      </c>
      <c r="EW46" s="1153">
        <f t="shared" si="148"/>
        <v>633.69865426333934</v>
      </c>
      <c r="EX46" s="1111">
        <f t="shared" si="134"/>
        <v>2570.4258022424019</v>
      </c>
      <c r="EY46" s="1153">
        <f t="shared" ref="EY46:FB46" si="149">SUM(EY44:EY45)</f>
        <v>654.72705321734225</v>
      </c>
      <c r="EZ46" s="1153">
        <f t="shared" si="149"/>
        <v>652.09240227168095</v>
      </c>
      <c r="FA46" s="1153">
        <f t="shared" si="149"/>
        <v>634.8812328200288</v>
      </c>
      <c r="FB46" s="1153">
        <f t="shared" si="149"/>
        <v>636.51434777217582</v>
      </c>
      <c r="FC46" s="1153">
        <f t="shared" ref="FC46:FM46" si="150">SUM(FC44:FC45)</f>
        <v>2578.2150360812279</v>
      </c>
      <c r="FD46" s="1153">
        <f t="shared" si="150"/>
        <v>660.37393000062627</v>
      </c>
      <c r="FE46" s="1153">
        <f t="shared" si="150"/>
        <v>658.35307277493564</v>
      </c>
      <c r="FF46" s="1153">
        <f t="shared" si="150"/>
        <v>641.78009692272906</v>
      </c>
      <c r="FG46" s="1153">
        <f t="shared" si="150"/>
        <v>643.68518664706323</v>
      </c>
      <c r="FH46" s="1153">
        <f t="shared" si="150"/>
        <v>2604.1922863453547</v>
      </c>
      <c r="FI46" s="1153">
        <f t="shared" si="150"/>
        <v>2643.9372574171657</v>
      </c>
      <c r="FJ46" s="1153">
        <f t="shared" si="150"/>
        <v>2689.0840048812552</v>
      </c>
      <c r="FK46" s="1153">
        <f t="shared" si="150"/>
        <v>2739.5321529965504</v>
      </c>
      <c r="FL46" s="1153">
        <f t="shared" si="150"/>
        <v>2795.4393029448574</v>
      </c>
      <c r="FM46" s="1153">
        <f t="shared" si="150"/>
        <v>2857.0976498141767</v>
      </c>
    </row>
    <row r="47" spans="1:170" x14ac:dyDescent="0.3">
      <c r="A47" s="90" t="s">
        <v>27</v>
      </c>
      <c r="DZ47" s="1151">
        <f>DZ43+DZ46</f>
        <v>1661</v>
      </c>
      <c r="EA47" s="1151">
        <f>EA43+EA46</f>
        <v>1621</v>
      </c>
      <c r="EB47" s="1151">
        <f>EB43+EB46</f>
        <v>1578</v>
      </c>
      <c r="EC47" s="1151">
        <f>EC43+EC46</f>
        <v>1557</v>
      </c>
      <c r="ED47" s="900">
        <f t="shared" si="126"/>
        <v>6417</v>
      </c>
      <c r="EE47" s="1151">
        <f t="shared" ref="EE47:EH47" si="151">EE43+EE46</f>
        <v>1535</v>
      </c>
      <c r="EF47" s="1151">
        <f t="shared" si="151"/>
        <v>1514</v>
      </c>
      <c r="EG47" s="1151">
        <f t="shared" si="151"/>
        <v>1493</v>
      </c>
      <c r="EH47" s="1151">
        <f t="shared" si="151"/>
        <v>1459</v>
      </c>
      <c r="EI47" s="900">
        <f t="shared" si="128"/>
        <v>6001</v>
      </c>
      <c r="EJ47" s="1151">
        <f t="shared" ref="EJ47:EM47" si="152">EJ43+EJ46</f>
        <v>1442</v>
      </c>
      <c r="EK47" s="1151">
        <f t="shared" si="152"/>
        <v>1442</v>
      </c>
      <c r="EL47" s="1151">
        <f t="shared" si="152"/>
        <v>1426</v>
      </c>
      <c r="EM47" s="1151">
        <f t="shared" si="152"/>
        <v>1423</v>
      </c>
      <c r="EN47" s="900">
        <f t="shared" si="130"/>
        <v>5733</v>
      </c>
      <c r="EO47" s="1151">
        <f t="shared" ref="EO47:ER47" si="153">EO43+EO46</f>
        <v>1418</v>
      </c>
      <c r="EP47" s="1151">
        <f t="shared" si="153"/>
        <v>1428</v>
      </c>
      <c r="EQ47" s="1151">
        <f t="shared" si="153"/>
        <v>1421</v>
      </c>
      <c r="ER47" s="1151">
        <f t="shared" si="153"/>
        <v>1409</v>
      </c>
      <c r="ES47" s="900">
        <f t="shared" si="132"/>
        <v>5676</v>
      </c>
      <c r="ET47" s="1151">
        <f t="shared" ref="ET47:EW47" si="154">ET43+ET46</f>
        <v>1412.4137787049372</v>
      </c>
      <c r="EU47" s="1151">
        <f t="shared" si="154"/>
        <v>1425.6742994953706</v>
      </c>
      <c r="EV47" s="1151">
        <f t="shared" si="154"/>
        <v>1420.8909406192211</v>
      </c>
      <c r="EW47" s="1151">
        <f t="shared" si="154"/>
        <v>1417.3412442046965</v>
      </c>
      <c r="EX47" s="900">
        <f t="shared" si="134"/>
        <v>5676.3202630242258</v>
      </c>
      <c r="EY47" s="1151">
        <f t="shared" ref="EY47:FB47" si="155">EY43+EY46</f>
        <v>1428.5989151588235</v>
      </c>
      <c r="EZ47" s="1151">
        <f t="shared" si="155"/>
        <v>1453.0763871161007</v>
      </c>
      <c r="FA47" s="1151">
        <f t="shared" si="155"/>
        <v>1454.8525598046544</v>
      </c>
      <c r="FB47" s="1151">
        <f t="shared" si="155"/>
        <v>1459.837586098161</v>
      </c>
      <c r="FC47" s="1151">
        <f t="shared" ref="FC47:FM47" si="156">FC43+FC46</f>
        <v>5796.3654481777394</v>
      </c>
      <c r="FD47" s="1151">
        <f t="shared" si="156"/>
        <v>1480.6332038553592</v>
      </c>
      <c r="FE47" s="1151">
        <f t="shared" si="156"/>
        <v>1514.1922220475808</v>
      </c>
      <c r="FF47" s="1151">
        <f t="shared" si="156"/>
        <v>1521.081623646051</v>
      </c>
      <c r="FG47" s="1151">
        <f t="shared" si="156"/>
        <v>1531.2374383530121</v>
      </c>
      <c r="FH47" s="1151">
        <f t="shared" si="156"/>
        <v>6047.1444879020028</v>
      </c>
      <c r="FI47" s="1151">
        <f t="shared" si="156"/>
        <v>6355.6183299681315</v>
      </c>
      <c r="FJ47" s="1151">
        <f t="shared" si="156"/>
        <v>6677.0308581458303</v>
      </c>
      <c r="FK47" s="1151">
        <f t="shared" si="156"/>
        <v>6995.4056315243852</v>
      </c>
      <c r="FL47" s="1151">
        <f t="shared" si="156"/>
        <v>7297.2081434667662</v>
      </c>
      <c r="FM47" s="1151">
        <f t="shared" si="156"/>
        <v>7576.8883876078708</v>
      </c>
    </row>
    <row r="48" spans="1:170" x14ac:dyDescent="0.3">
      <c r="A48" t="s">
        <v>28</v>
      </c>
      <c r="DZ48" s="1110">
        <f>Inputs!DZ172</f>
        <v>128</v>
      </c>
      <c r="EA48" s="1110">
        <f>Inputs!EA172</f>
        <v>133</v>
      </c>
      <c r="EB48" s="1110">
        <f>Inputs!EB172</f>
        <v>149</v>
      </c>
      <c r="EC48" s="1110">
        <f>Inputs!EC172</f>
        <v>139</v>
      </c>
      <c r="ED48" s="1111">
        <f t="shared" si="126"/>
        <v>549</v>
      </c>
      <c r="EE48" s="1110">
        <f>Inputs!EE172</f>
        <v>140</v>
      </c>
      <c r="EF48" s="1110">
        <f>Inputs!EF172</f>
        <v>103</v>
      </c>
      <c r="EG48" s="1110">
        <f>Inputs!EG172</f>
        <v>83</v>
      </c>
      <c r="EH48" s="1110">
        <f>Inputs!EH172</f>
        <v>84</v>
      </c>
      <c r="EI48" s="1111">
        <f t="shared" si="128"/>
        <v>410</v>
      </c>
      <c r="EJ48" s="1110">
        <f>Inputs!EJ172</f>
        <v>5</v>
      </c>
      <c r="EK48" s="1110">
        <f>Inputs!EK172</f>
        <v>17</v>
      </c>
      <c r="EL48" s="1110">
        <f>Inputs!EL172</f>
        <v>18</v>
      </c>
      <c r="EM48" s="1110">
        <f>Inputs!EM172</f>
        <v>14</v>
      </c>
      <c r="EN48" s="1153">
        <f>SUM(EJ48:EM48)</f>
        <v>54</v>
      </c>
      <c r="EO48" s="1110">
        <f>Inputs!EO172</f>
        <v>22</v>
      </c>
      <c r="EP48" s="1110">
        <f>Inputs!EP172</f>
        <v>21</v>
      </c>
      <c r="EQ48" s="1110">
        <f>Inputs!EQ172</f>
        <v>15</v>
      </c>
      <c r="ER48" s="1110">
        <f>Inputs!ER172</f>
        <v>17</v>
      </c>
      <c r="ES48" s="1153">
        <f>SUM(EO48:ER48)</f>
        <v>75</v>
      </c>
      <c r="ET48" s="945">
        <f t="shared" ref="ET48:EW48" si="157">ET11</f>
        <v>20</v>
      </c>
      <c r="EU48" s="945">
        <f t="shared" si="157"/>
        <v>20</v>
      </c>
      <c r="EV48" s="945">
        <f t="shared" si="157"/>
        <v>20</v>
      </c>
      <c r="EW48" s="945">
        <f t="shared" si="157"/>
        <v>20</v>
      </c>
      <c r="EX48" s="1153">
        <f>SUM(ET48:EW48)</f>
        <v>80</v>
      </c>
      <c r="EY48" s="945">
        <f t="shared" ref="EY48:FB48" si="158">EY11</f>
        <v>20</v>
      </c>
      <c r="EZ48" s="945">
        <f t="shared" si="158"/>
        <v>20</v>
      </c>
      <c r="FA48" s="945">
        <f t="shared" si="158"/>
        <v>20</v>
      </c>
      <c r="FB48" s="945">
        <f t="shared" si="158"/>
        <v>20</v>
      </c>
      <c r="FC48" s="945">
        <f t="shared" ref="FC48:FM48" si="159">FC11</f>
        <v>80</v>
      </c>
      <c r="FD48" s="945">
        <f t="shared" si="159"/>
        <v>20</v>
      </c>
      <c r="FE48" s="945">
        <f t="shared" si="159"/>
        <v>20</v>
      </c>
      <c r="FF48" s="945">
        <f t="shared" si="159"/>
        <v>20</v>
      </c>
      <c r="FG48" s="945">
        <f t="shared" si="159"/>
        <v>20</v>
      </c>
      <c r="FH48" s="945">
        <f t="shared" si="159"/>
        <v>80</v>
      </c>
      <c r="FI48" s="945">
        <f t="shared" si="159"/>
        <v>80</v>
      </c>
      <c r="FJ48" s="945">
        <f t="shared" si="159"/>
        <v>80</v>
      </c>
      <c r="FK48" s="945">
        <f t="shared" si="159"/>
        <v>80</v>
      </c>
      <c r="FL48" s="945">
        <f t="shared" si="159"/>
        <v>80</v>
      </c>
      <c r="FM48" s="945">
        <f t="shared" si="159"/>
        <v>80</v>
      </c>
    </row>
    <row r="49" spans="1:170" x14ac:dyDescent="0.3">
      <c r="A49" s="90" t="s">
        <v>19</v>
      </c>
      <c r="DZ49" s="1151">
        <f>SUM(DZ47:DZ48)</f>
        <v>1789</v>
      </c>
      <c r="EA49" s="1151">
        <f>SUM(EA47:EA48)</f>
        <v>1754</v>
      </c>
      <c r="EB49" s="1151">
        <f>SUM(EB47:EB48)</f>
        <v>1727</v>
      </c>
      <c r="EC49" s="1151">
        <f>SUM(EC47:EC48)</f>
        <v>1696</v>
      </c>
      <c r="ED49" s="900">
        <f t="shared" si="126"/>
        <v>6966</v>
      </c>
      <c r="EE49" s="1151">
        <f t="shared" ref="EE49:EM49" si="160">SUM(EE47:EE48)</f>
        <v>1675</v>
      </c>
      <c r="EF49" s="1151">
        <f t="shared" si="160"/>
        <v>1617</v>
      </c>
      <c r="EG49" s="1151">
        <f t="shared" si="160"/>
        <v>1576</v>
      </c>
      <c r="EH49" s="1151">
        <f t="shared" si="160"/>
        <v>1543</v>
      </c>
      <c r="EI49" s="900">
        <f t="shared" si="128"/>
        <v>6411</v>
      </c>
      <c r="EJ49" s="1151">
        <f t="shared" si="160"/>
        <v>1447</v>
      </c>
      <c r="EK49" s="1151">
        <f t="shared" si="160"/>
        <v>1459</v>
      </c>
      <c r="EL49" s="1151">
        <f t="shared" si="160"/>
        <v>1444</v>
      </c>
      <c r="EM49" s="1151">
        <f t="shared" si="160"/>
        <v>1437</v>
      </c>
      <c r="EN49" s="900">
        <f t="shared" si="130"/>
        <v>5787</v>
      </c>
      <c r="EO49" s="1151">
        <f t="shared" ref="EO49:ER49" si="161">SUM(EO47:EO48)</f>
        <v>1440</v>
      </c>
      <c r="EP49" s="1151">
        <f t="shared" si="161"/>
        <v>1449</v>
      </c>
      <c r="EQ49" s="1151">
        <f t="shared" si="161"/>
        <v>1436</v>
      </c>
      <c r="ER49" s="1151">
        <f t="shared" si="161"/>
        <v>1426</v>
      </c>
      <c r="ES49" s="900">
        <f t="shared" si="132"/>
        <v>5751</v>
      </c>
      <c r="ET49" s="1151">
        <f t="shared" ref="ET49:EW49" si="162">SUM(ET47:ET48)</f>
        <v>1432.4137787049372</v>
      </c>
      <c r="EU49" s="1151">
        <f t="shared" si="162"/>
        <v>1445.6742994953706</v>
      </c>
      <c r="EV49" s="1151">
        <f t="shared" si="162"/>
        <v>1440.8909406192211</v>
      </c>
      <c r="EW49" s="1151">
        <f t="shared" si="162"/>
        <v>1437.3412442046965</v>
      </c>
      <c r="EX49" s="900">
        <f t="shared" si="134"/>
        <v>5756.3202630242258</v>
      </c>
      <c r="EY49" s="1151">
        <f t="shared" ref="EY49:FB49" si="163">SUM(EY47:EY48)</f>
        <v>1448.5989151588235</v>
      </c>
      <c r="EZ49" s="1151">
        <f t="shared" si="163"/>
        <v>1473.0763871161007</v>
      </c>
      <c r="FA49" s="1151">
        <f t="shared" si="163"/>
        <v>1474.8525598046544</v>
      </c>
      <c r="FB49" s="1151">
        <f t="shared" si="163"/>
        <v>1479.837586098161</v>
      </c>
      <c r="FC49" s="1151">
        <f t="shared" ref="FC49:FM49" si="164">SUM(FC47:FC48)</f>
        <v>5876.3654481777394</v>
      </c>
      <c r="FD49" s="1151">
        <f t="shared" si="164"/>
        <v>1500.6332038553592</v>
      </c>
      <c r="FE49" s="1151">
        <f t="shared" si="164"/>
        <v>1534.1922220475808</v>
      </c>
      <c r="FF49" s="1151">
        <f t="shared" si="164"/>
        <v>1541.081623646051</v>
      </c>
      <c r="FG49" s="1151">
        <f t="shared" si="164"/>
        <v>1551.2374383530121</v>
      </c>
      <c r="FH49" s="1151">
        <f t="shared" si="164"/>
        <v>6127.1444879020028</v>
      </c>
      <c r="FI49" s="1151">
        <f t="shared" si="164"/>
        <v>6435.6183299681315</v>
      </c>
      <c r="FJ49" s="1151">
        <f t="shared" si="164"/>
        <v>6757.0308581458303</v>
      </c>
      <c r="FK49" s="1151">
        <f t="shared" si="164"/>
        <v>7075.4056315243852</v>
      </c>
      <c r="FL49" s="1151">
        <f t="shared" si="164"/>
        <v>7377.2081434667662</v>
      </c>
      <c r="FM49" s="1151">
        <f t="shared" si="164"/>
        <v>7656.8883876078708</v>
      </c>
    </row>
    <row r="50" spans="1:170" s="94" customFormat="1" x14ac:dyDescent="0.3">
      <c r="A50" s="1158" t="s">
        <v>309</v>
      </c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13"/>
      <c r="DZ50" s="33"/>
      <c r="EA50" s="33"/>
      <c r="EB50" s="33"/>
      <c r="EC50" s="33"/>
      <c r="ED50" s="1200"/>
      <c r="EE50" s="1137">
        <f>EE43/DZ43-1</f>
        <v>-6.8181818181818343E-2</v>
      </c>
      <c r="EF50" s="1137">
        <f t="shared" ref="EF50:EX50" si="165">EF43/EA43-1</f>
        <v>-5.0058207217694828E-2</v>
      </c>
      <c r="EG50" s="1137">
        <f t="shared" si="165"/>
        <v>-4.6483909415971358E-2</v>
      </c>
      <c r="EH50" s="1137">
        <f t="shared" si="165"/>
        <v>-6.6825775656324637E-2</v>
      </c>
      <c r="EI50" s="1163">
        <f t="shared" si="165"/>
        <v>-5.7962529274004693E-2</v>
      </c>
      <c r="EJ50" s="1137">
        <f t="shared" si="165"/>
        <v>-5.3658536585365901E-2</v>
      </c>
      <c r="EK50" s="1137">
        <f t="shared" si="165"/>
        <v>-3.0637254901960786E-2</v>
      </c>
      <c r="EL50" s="1137">
        <f t="shared" si="165"/>
        <v>-1.8750000000000044E-2</v>
      </c>
      <c r="EM50" s="1137">
        <f t="shared" si="165"/>
        <v>-2.3017902813299185E-2</v>
      </c>
      <c r="EN50" s="1163">
        <f t="shared" si="165"/>
        <v>-3.1696706028589205E-2</v>
      </c>
      <c r="EO50" s="1137">
        <f t="shared" si="165"/>
        <v>-1.9329896907216537E-2</v>
      </c>
      <c r="EP50" s="1137">
        <f t="shared" si="165"/>
        <v>-2.0227560050568916E-2</v>
      </c>
      <c r="EQ50" s="1137">
        <f t="shared" si="165"/>
        <v>2.5477707006369421E-3</v>
      </c>
      <c r="ER50" s="1137">
        <f t="shared" si="165"/>
        <v>1.308900523560208E-2</v>
      </c>
      <c r="ES50" s="1163">
        <f t="shared" si="165"/>
        <v>-6.0975609756097615E-3</v>
      </c>
      <c r="ET50" s="1137">
        <f t="shared" si="165"/>
        <v>-3.195313964306945E-3</v>
      </c>
      <c r="EU50" s="1137">
        <f t="shared" si="165"/>
        <v>2.6609513683162334E-4</v>
      </c>
      <c r="EV50" s="1137">
        <f t="shared" si="165"/>
        <v>1.8771042392111692E-3</v>
      </c>
      <c r="EW50" s="1137">
        <f t="shared" si="165"/>
        <v>1.2458126539221404E-2</v>
      </c>
      <c r="EX50" s="1163">
        <f t="shared" si="165"/>
        <v>2.871960213698399E-3</v>
      </c>
      <c r="EY50" s="1137">
        <f t="shared" ref="EY50" si="166">EY43/ET43-1</f>
        <v>2.0174181461770635E-2</v>
      </c>
      <c r="EZ50" s="1137">
        <f t="shared" ref="EZ50" si="167">EZ43/EU43-1</f>
        <v>3.3252778840328956E-2</v>
      </c>
      <c r="FA50" s="1137">
        <f t="shared" ref="FA50" si="168">FA43/EV43-1</f>
        <v>3.9942870525039531E-2</v>
      </c>
      <c r="FB50" s="1137">
        <f t="shared" ref="FB50" si="169">FB43/EW43-1</f>
        <v>5.0636155938891925E-2</v>
      </c>
      <c r="FC50" s="1137">
        <f>FC43/EX43-1</f>
        <v>3.6142873729981817E-2</v>
      </c>
      <c r="FD50" s="1137">
        <f t="shared" ref="FD50" si="170">FD43/EY43-1</f>
        <v>5.994198031296194E-2</v>
      </c>
      <c r="FE50" s="1137">
        <f t="shared" ref="FE50" si="171">FE43/EZ43-1</f>
        <v>6.8484720626318829E-2</v>
      </c>
      <c r="FF50" s="1137">
        <f t="shared" ref="FF50" si="172">FF43/FA43-1</f>
        <v>7.2356432214377486E-2</v>
      </c>
      <c r="FG50" s="1137">
        <f t="shared" ref="FG50" si="173">FG43/FB43-1</f>
        <v>7.8011903940130356E-2</v>
      </c>
      <c r="FH50" s="1137">
        <f>FH43/FC43-1</f>
        <v>6.9854345096842962E-2</v>
      </c>
      <c r="FI50" s="1137">
        <f t="shared" ref="FI50:FM50" si="174">FI43/FH43-1</f>
        <v>7.8051873875222055E-2</v>
      </c>
      <c r="FJ50" s="1137">
        <f t="shared" si="174"/>
        <v>7.4431443681053588E-2</v>
      </c>
      <c r="FK50" s="1137">
        <f t="shared" si="174"/>
        <v>6.7184101273549235E-2</v>
      </c>
      <c r="FL50" s="1137">
        <f t="shared" si="174"/>
        <v>5.7777883490825133E-2</v>
      </c>
      <c r="FM50" s="1137">
        <f t="shared" si="174"/>
        <v>4.8430273742467334E-2</v>
      </c>
    </row>
    <row r="51" spans="1:170" s="94" customFormat="1" x14ac:dyDescent="0.3">
      <c r="A51" s="1158" t="s">
        <v>310</v>
      </c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13"/>
      <c r="DZ51" s="33"/>
      <c r="EA51" s="33"/>
      <c r="EB51" s="33"/>
      <c r="EC51" s="33"/>
      <c r="ED51" s="1200"/>
      <c r="EE51" s="1137">
        <f t="shared" ref="EE51:EX51" si="175">EE46/DZ46-1</f>
        <v>-8.4507042253521125E-2</v>
      </c>
      <c r="EF51" s="1137">
        <f t="shared" si="175"/>
        <v>-8.3989501312336068E-2</v>
      </c>
      <c r="EG51" s="1137">
        <f t="shared" si="175"/>
        <v>-6.224627875507438E-2</v>
      </c>
      <c r="EH51" s="1137">
        <f t="shared" si="175"/>
        <v>-5.841446453407495E-2</v>
      </c>
      <c r="EI51" s="1163">
        <f t="shared" si="175"/>
        <v>-7.2642452515828015E-2</v>
      </c>
      <c r="EJ51" s="1137">
        <f t="shared" si="175"/>
        <v>-6.853146853146852E-2</v>
      </c>
      <c r="EK51" s="1137">
        <f t="shared" si="175"/>
        <v>-6.7335243553008794E-2</v>
      </c>
      <c r="EL51" s="1137">
        <f t="shared" si="175"/>
        <v>-7.5036075036075012E-2</v>
      </c>
      <c r="EM51" s="1137">
        <f t="shared" si="175"/>
        <v>-2.6587887740029736E-2</v>
      </c>
      <c r="EN51" s="1163">
        <f t="shared" si="175"/>
        <v>-5.964786201940353E-2</v>
      </c>
      <c r="EO51" s="1137">
        <f t="shared" si="175"/>
        <v>-1.3513513513513487E-2</v>
      </c>
      <c r="EP51" s="1137">
        <f t="shared" si="175"/>
        <v>3.0721966205840001E-3</v>
      </c>
      <c r="EQ51" s="1137">
        <f t="shared" si="175"/>
        <v>-1.0920436817472678E-2</v>
      </c>
      <c r="ER51" s="1137">
        <f t="shared" si="175"/>
        <v>-3.6418816388467334E-2</v>
      </c>
      <c r="ES51" s="1163">
        <f t="shared" si="175"/>
        <v>-1.4520443255636173E-2</v>
      </c>
      <c r="ET51" s="1137">
        <f t="shared" si="175"/>
        <v>-4.8015028435697271E-3</v>
      </c>
      <c r="EU51" s="1137">
        <f t="shared" si="175"/>
        <v>-3.877372489546782E-3</v>
      </c>
      <c r="EV51" s="1137">
        <f t="shared" si="175"/>
        <v>-2.5021142224574966E-3</v>
      </c>
      <c r="EW51" s="1137">
        <f t="shared" si="175"/>
        <v>-2.0493633648199783E-3</v>
      </c>
      <c r="EX51" s="1163">
        <f t="shared" si="175"/>
        <v>-3.3246210770058182E-3</v>
      </c>
      <c r="EY51" s="1137">
        <f t="shared" ref="EY51" si="176">EY46/ET46-1</f>
        <v>1.3483930123772137E-3</v>
      </c>
      <c r="EZ51" s="1137">
        <f t="shared" ref="EZ51" si="177">EZ46/EU46-1</f>
        <v>2.4971656071612891E-3</v>
      </c>
      <c r="FA51" s="1137">
        <f t="shared" ref="FA51" si="178">FA46/EV46-1</f>
        <v>3.9018341866525752E-3</v>
      </c>
      <c r="FB51" s="1137">
        <f t="shared" ref="FB51" si="179">FB46/EW46-1</f>
        <v>4.4432688785014385E-3</v>
      </c>
      <c r="FC51" s="1137">
        <f>FC46/EX46-1</f>
        <v>3.0303282172279289E-3</v>
      </c>
      <c r="FD51" s="1137">
        <f t="shared" ref="FD51" si="180">FD46/EY46-1</f>
        <v>8.624779983559705E-3</v>
      </c>
      <c r="FE51" s="1137">
        <f t="shared" ref="FE51" si="181">FE46/EZ46-1</f>
        <v>9.600894722043174E-3</v>
      </c>
      <c r="FF51" s="1137">
        <f t="shared" ref="FF51" si="182">FF46/FA46-1</f>
        <v>1.0866385311244287E-2</v>
      </c>
      <c r="FG51" s="1137">
        <f t="shared" ref="FG51" si="183">FG46/FB46-1</f>
        <v>1.1265792986419942E-2</v>
      </c>
      <c r="FH51" s="1137">
        <f>FH46/FC46-1</f>
        <v>1.0075672471296704E-2</v>
      </c>
      <c r="FI51" s="1137">
        <f t="shared" ref="FI51:FM51" si="184">FI46/FH46-1</f>
        <v>1.5261918745480996E-2</v>
      </c>
      <c r="FJ51" s="1137">
        <f t="shared" si="184"/>
        <v>1.7075574443923491E-2</v>
      </c>
      <c r="FK51" s="1137">
        <f t="shared" si="184"/>
        <v>1.8760346654742355E-2</v>
      </c>
      <c r="FL51" s="1137">
        <f t="shared" si="184"/>
        <v>2.0407553854461913E-2</v>
      </c>
      <c r="FM51" s="1137">
        <f t="shared" si="184"/>
        <v>2.2056764675364438E-2</v>
      </c>
    </row>
    <row r="52" spans="1:170" s="94" customFormat="1" x14ac:dyDescent="0.3">
      <c r="A52" s="1158" t="s">
        <v>289</v>
      </c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13"/>
      <c r="DZ52" s="33"/>
      <c r="EA52" s="33"/>
      <c r="EB52" s="33"/>
      <c r="EC52" s="33"/>
      <c r="ED52" s="1200"/>
      <c r="EE52" s="1137">
        <f t="shared" ref="EE52:EX52" si="185">EE49/DZ49-1</f>
        <v>-6.3722750139742823E-2</v>
      </c>
      <c r="EF52" s="1137">
        <f t="shared" si="185"/>
        <v>-7.8107183580387707E-2</v>
      </c>
      <c r="EG52" s="1137">
        <f t="shared" si="185"/>
        <v>-8.7434858135495119E-2</v>
      </c>
      <c r="EH52" s="1137">
        <f t="shared" si="185"/>
        <v>-9.0212264150943411E-2</v>
      </c>
      <c r="EI52" s="1163">
        <f t="shared" si="185"/>
        <v>-7.9672695951765737E-2</v>
      </c>
      <c r="EJ52" s="1137">
        <f t="shared" si="185"/>
        <v>-0.13611940298507463</v>
      </c>
      <c r="EK52" s="1137">
        <f t="shared" si="185"/>
        <v>-9.7711811997526321E-2</v>
      </c>
      <c r="EL52" s="1137">
        <f t="shared" si="185"/>
        <v>-8.3756345177664948E-2</v>
      </c>
      <c r="EM52" s="1137">
        <f t="shared" si="185"/>
        <v>-6.8697342838626052E-2</v>
      </c>
      <c r="EN52" s="1163">
        <f t="shared" si="185"/>
        <v>-9.7332709405708928E-2</v>
      </c>
      <c r="EO52" s="1137">
        <f t="shared" si="185"/>
        <v>-4.8375950241880128E-3</v>
      </c>
      <c r="EP52" s="1137">
        <f t="shared" si="185"/>
        <v>-6.8540095956134417E-3</v>
      </c>
      <c r="EQ52" s="1137">
        <f t="shared" si="185"/>
        <v>-5.5401662049860967E-3</v>
      </c>
      <c r="ER52" s="1137">
        <f t="shared" si="185"/>
        <v>-7.6548364648573175E-3</v>
      </c>
      <c r="ES52" s="1163">
        <f t="shared" si="185"/>
        <v>-6.2208398133748455E-3</v>
      </c>
      <c r="ET52" s="1137">
        <f t="shared" si="185"/>
        <v>-5.2682092326825636E-3</v>
      </c>
      <c r="EU52" s="1137">
        <f t="shared" si="185"/>
        <v>-2.2951694303859904E-3</v>
      </c>
      <c r="EV52" s="1137">
        <f t="shared" si="185"/>
        <v>3.4059475064214251E-3</v>
      </c>
      <c r="EW52" s="1137">
        <f t="shared" si="185"/>
        <v>7.9531866793103312E-3</v>
      </c>
      <c r="EX52" s="1163">
        <f t="shared" si="185"/>
        <v>9.2510224730069091E-4</v>
      </c>
      <c r="EY52" s="1137">
        <f t="shared" ref="EY52" si="186">EY49/ET49-1</f>
        <v>1.1299204667327034E-2</v>
      </c>
      <c r="EZ52" s="1137">
        <f t="shared" ref="EZ52" si="187">EZ49/EU49-1</f>
        <v>1.8954537429554552E-2</v>
      </c>
      <c r="FA52" s="1137">
        <f t="shared" ref="FA52" si="188">FA49/EV49-1</f>
        <v>2.3569874879523001E-2</v>
      </c>
      <c r="FB52" s="1137">
        <f t="shared" ref="FB52" si="189">FB49/EW49-1</f>
        <v>2.9565937848655022E-2</v>
      </c>
      <c r="FC52" s="1137">
        <f>FC49/EX49-1</f>
        <v>2.0854500734544645E-2</v>
      </c>
      <c r="FD52" s="1137">
        <f t="shared" ref="FD52" si="190">FD49/EY49-1</f>
        <v>3.5920425006552348E-2</v>
      </c>
      <c r="FE52" s="1137">
        <f t="shared" ref="FE52" si="191">FE49/EZ49-1</f>
        <v>4.1488571445455591E-2</v>
      </c>
      <c r="FF52" s="1137">
        <f t="shared" ref="FF52" si="192">FF49/FA49-1</f>
        <v>4.4905548965632702E-2</v>
      </c>
      <c r="FG52" s="1137">
        <f t="shared" ref="FG52" si="193">FG49/FB49-1</f>
        <v>4.824843815672275E-2</v>
      </c>
      <c r="FH52" s="1137">
        <f>FH49/FC49-1</f>
        <v>4.2675875409013297E-2</v>
      </c>
      <c r="FI52" s="1137">
        <f t="shared" ref="FI52:FM52" si="194">FI49/FH49-1</f>
        <v>5.0345449283137889E-2</v>
      </c>
      <c r="FJ52" s="1137">
        <f t="shared" si="194"/>
        <v>4.9942757898026269E-2</v>
      </c>
      <c r="FK52" s="1137">
        <f t="shared" si="194"/>
        <v>4.7117555041907622E-2</v>
      </c>
      <c r="FL52" s="1137">
        <f t="shared" si="194"/>
        <v>4.2655153309896887E-2</v>
      </c>
      <c r="FM52" s="1137">
        <f t="shared" si="194"/>
        <v>3.7911393944982885E-2</v>
      </c>
    </row>
    <row r="53" spans="1:170" s="94" customFormat="1" x14ac:dyDescent="0.3">
      <c r="A53" s="1158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13"/>
      <c r="DZ53" s="33"/>
      <c r="EA53" s="33"/>
      <c r="EB53" s="33"/>
      <c r="EC53" s="33"/>
      <c r="ED53" s="1200"/>
      <c r="EE53" s="1137"/>
      <c r="EF53" s="1137"/>
      <c r="EG53" s="1137"/>
      <c r="EH53" s="1137"/>
      <c r="EI53" s="1163"/>
      <c r="EJ53" s="1137"/>
      <c r="EK53" s="1137"/>
      <c r="EL53" s="1137"/>
      <c r="EM53" s="1137"/>
      <c r="EN53" s="1163"/>
      <c r="EO53" s="1137"/>
      <c r="EP53" s="1137"/>
      <c r="EQ53" s="1137"/>
      <c r="ER53" s="1137"/>
      <c r="ES53" s="1163"/>
      <c r="ET53" s="1137"/>
      <c r="EU53" s="1137"/>
      <c r="EV53" s="1137"/>
      <c r="EW53" s="1137"/>
      <c r="EX53" s="1163"/>
      <c r="EY53" s="1137"/>
      <c r="EZ53" s="1137"/>
      <c r="FA53" s="1137"/>
      <c r="FB53" s="1137"/>
      <c r="FC53" s="1137"/>
      <c r="FD53" s="1137"/>
      <c r="FE53" s="1137"/>
      <c r="FF53" s="1137"/>
      <c r="FG53" s="1137"/>
      <c r="FH53" s="1137"/>
      <c r="FI53" s="1137"/>
      <c r="FJ53" s="1137"/>
      <c r="FK53" s="1137"/>
      <c r="FL53" s="1137"/>
      <c r="FM53" s="1137"/>
    </row>
    <row r="54" spans="1:170" x14ac:dyDescent="0.3">
      <c r="A54" s="4" t="s">
        <v>19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44">
        <f>+Inputs!DU47</f>
        <v>2101</v>
      </c>
      <c r="DV54" s="44">
        <f>+Inputs!DV47</f>
        <v>2067</v>
      </c>
      <c r="DW54" s="44">
        <f>+Inputs!DW47</f>
        <v>1997</v>
      </c>
      <c r="DX54" s="44">
        <f>+Inputs!DX47</f>
        <v>1942</v>
      </c>
      <c r="DY54" s="45">
        <f>+SUM(DU54:DX54)</f>
        <v>8107</v>
      </c>
      <c r="DZ54" s="363">
        <f>DZ49</f>
        <v>1789</v>
      </c>
      <c r="EA54" s="363">
        <f t="shared" ref="EA54:EC54" si="195">EA49</f>
        <v>1754</v>
      </c>
      <c r="EB54" s="363">
        <f t="shared" si="195"/>
        <v>1727</v>
      </c>
      <c r="EC54" s="363">
        <f t="shared" si="195"/>
        <v>1696</v>
      </c>
      <c r="ED54" s="45">
        <f>+SUM(DZ54:EC54)</f>
        <v>6966</v>
      </c>
      <c r="EE54" s="44">
        <f>+Inputs!EE47</f>
        <v>1676</v>
      </c>
      <c r="EF54" s="44">
        <f>+Inputs!EF47</f>
        <v>1616</v>
      </c>
      <c r="EG54" s="44">
        <f>+Inputs!EG47</f>
        <v>1576</v>
      </c>
      <c r="EH54" s="44">
        <f>+Inputs!EH47</f>
        <v>1543</v>
      </c>
      <c r="EI54" s="45">
        <f>+SUM(EE54:EH54)</f>
        <v>6411</v>
      </c>
      <c r="EJ54" s="44">
        <f>+Inputs!EJ47</f>
        <v>1447</v>
      </c>
      <c r="EK54" s="44">
        <f>+Inputs!EK47</f>
        <v>1459</v>
      </c>
      <c r="EL54" s="44">
        <f>+Inputs!EL47</f>
        <v>1444</v>
      </c>
      <c r="EM54" s="44">
        <f>+Inputs!EM47</f>
        <v>1437</v>
      </c>
      <c r="EN54" s="45">
        <f>+SUM(EJ54:EM54)</f>
        <v>5787</v>
      </c>
      <c r="EO54" s="44">
        <f>+Inputs!EO47</f>
        <v>1440</v>
      </c>
      <c r="EP54" s="44">
        <f>+Inputs!EP47</f>
        <v>1449</v>
      </c>
      <c r="EQ54" s="44">
        <f>+Inputs!EQ47</f>
        <v>1436</v>
      </c>
      <c r="ER54" s="44">
        <f>+Inputs!ER47</f>
        <v>1426</v>
      </c>
      <c r="ES54" s="45">
        <f>+SUM(EO54:ER54)</f>
        <v>5751</v>
      </c>
      <c r="ET54" s="59">
        <f t="shared" ref="ET54:EW54" si="196">ET12</f>
        <v>1432.4137787049372</v>
      </c>
      <c r="EU54" s="59">
        <f t="shared" si="196"/>
        <v>1445.6742994953706</v>
      </c>
      <c r="EV54" s="59">
        <f t="shared" si="196"/>
        <v>1440.8909406192211</v>
      </c>
      <c r="EW54" s="59">
        <f t="shared" si="196"/>
        <v>1437.3412442046965</v>
      </c>
      <c r="EX54" s="45">
        <f>+SUM(ET54:EW54)</f>
        <v>5756.3202630242258</v>
      </c>
      <c r="EY54" s="59">
        <f t="shared" ref="EY54:FB54" si="197">EY12</f>
        <v>1448.5989151588235</v>
      </c>
      <c r="EZ54" s="59">
        <f t="shared" si="197"/>
        <v>1473.0763871161007</v>
      </c>
      <c r="FA54" s="59">
        <f t="shared" si="197"/>
        <v>1474.852559804654</v>
      </c>
      <c r="FB54" s="59">
        <f t="shared" si="197"/>
        <v>1479.8375860981607</v>
      </c>
      <c r="FC54" s="59">
        <f t="shared" ref="FC54:FM54" si="198">FC12</f>
        <v>5876.3654481777394</v>
      </c>
      <c r="FD54" s="59">
        <f t="shared" si="198"/>
        <v>1500.6332038553592</v>
      </c>
      <c r="FE54" s="59">
        <f t="shared" si="198"/>
        <v>1534.1922220475808</v>
      </c>
      <c r="FF54" s="59">
        <f t="shared" si="198"/>
        <v>1541.0816236460507</v>
      </c>
      <c r="FG54" s="59">
        <f t="shared" si="198"/>
        <v>1551.2374383530121</v>
      </c>
      <c r="FH54" s="59">
        <f t="shared" si="198"/>
        <v>6127.1444879020037</v>
      </c>
      <c r="FI54" s="59">
        <f t="shared" si="198"/>
        <v>6435.6183299681306</v>
      </c>
      <c r="FJ54" s="59">
        <f t="shared" si="198"/>
        <v>6757.0308581458312</v>
      </c>
      <c r="FK54" s="59">
        <f t="shared" si="198"/>
        <v>7075.4056315243852</v>
      </c>
      <c r="FL54" s="59">
        <f t="shared" si="198"/>
        <v>7377.2081434667671</v>
      </c>
      <c r="FM54" s="59">
        <f t="shared" si="198"/>
        <v>7656.8883876078708</v>
      </c>
      <c r="FN54" s="189">
        <f>+(FJ54/ES54)^0.2-1</f>
        <v>3.2767367323505159E-2</v>
      </c>
    </row>
    <row r="55" spans="1:170" x14ac:dyDescent="0.3">
      <c r="A55" s="46" t="s">
        <v>29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4"/>
      <c r="DZ55" s="47"/>
      <c r="EA55" s="47"/>
      <c r="EB55" s="47"/>
      <c r="EC55" s="47"/>
      <c r="ED55" s="52"/>
      <c r="EE55" s="47">
        <f t="shared" ref="EE55:EX55" si="199">+IFERROR(EE54/DZ54-1,"")</f>
        <v>-6.3163778647288948E-2</v>
      </c>
      <c r="EF55" s="47">
        <f t="shared" si="199"/>
        <v>-7.8677309007981755E-2</v>
      </c>
      <c r="EG55" s="47">
        <f t="shared" si="199"/>
        <v>-8.7434858135495119E-2</v>
      </c>
      <c r="EH55" s="47">
        <f t="shared" si="199"/>
        <v>-9.0212264150943411E-2</v>
      </c>
      <c r="EI55" s="52">
        <f t="shared" si="199"/>
        <v>-7.9672695951765737E-2</v>
      </c>
      <c r="EJ55" s="47">
        <f t="shared" si="199"/>
        <v>-0.13663484486873512</v>
      </c>
      <c r="EK55" s="47">
        <f t="shared" si="199"/>
        <v>-9.7153465346534684E-2</v>
      </c>
      <c r="EL55" s="47">
        <f t="shared" si="199"/>
        <v>-8.3756345177664948E-2</v>
      </c>
      <c r="EM55" s="47">
        <f t="shared" si="199"/>
        <v>-6.8697342838626052E-2</v>
      </c>
      <c r="EN55" s="52">
        <f t="shared" si="199"/>
        <v>-9.7332709405708928E-2</v>
      </c>
      <c r="EO55" s="47">
        <f t="shared" si="199"/>
        <v>-4.8375950241880128E-3</v>
      </c>
      <c r="EP55" s="47">
        <f t="shared" si="199"/>
        <v>-6.8540095956134417E-3</v>
      </c>
      <c r="EQ55" s="47">
        <f t="shared" si="199"/>
        <v>-5.5401662049860967E-3</v>
      </c>
      <c r="ER55" s="47">
        <f t="shared" si="199"/>
        <v>-7.6548364648573175E-3</v>
      </c>
      <c r="ES55" s="52">
        <f t="shared" si="199"/>
        <v>-6.2208398133748455E-3</v>
      </c>
      <c r="ET55" s="47">
        <f t="shared" si="199"/>
        <v>-5.2682092326825636E-3</v>
      </c>
      <c r="EU55" s="47">
        <f t="shared" si="199"/>
        <v>-2.2951694303859904E-3</v>
      </c>
      <c r="EV55" s="47">
        <f t="shared" si="199"/>
        <v>3.4059475064214251E-3</v>
      </c>
      <c r="EW55" s="47">
        <f t="shared" si="199"/>
        <v>7.9531866793103312E-3</v>
      </c>
      <c r="EX55" s="52">
        <f t="shared" si="199"/>
        <v>9.2510224730069091E-4</v>
      </c>
      <c r="EY55" s="47">
        <f t="shared" ref="EY55" si="200">+IFERROR(EY54/ET54-1,"")</f>
        <v>1.1299204667327034E-2</v>
      </c>
      <c r="EZ55" s="47">
        <f t="shared" ref="EZ55" si="201">+IFERROR(EZ54/EU54-1,"")</f>
        <v>1.8954537429554552E-2</v>
      </c>
      <c r="FA55" s="47">
        <f t="shared" ref="FA55" si="202">+IFERROR(FA54/EV54-1,"")</f>
        <v>2.3569874879522779E-2</v>
      </c>
      <c r="FB55" s="47">
        <f t="shared" ref="FB55" si="203">+IFERROR(FB54/EW54-1,"")</f>
        <v>2.95659378486548E-2</v>
      </c>
      <c r="FC55" s="47">
        <f>+IFERROR(FC54/EX54-1,"")</f>
        <v>2.0854500734544645E-2</v>
      </c>
      <c r="FD55" s="47">
        <f t="shared" ref="FD55" si="204">+IFERROR(FD54/EY54-1,"")</f>
        <v>3.5920425006552348E-2</v>
      </c>
      <c r="FE55" s="47">
        <f t="shared" ref="FE55" si="205">+IFERROR(FE54/EZ54-1,"")</f>
        <v>4.1488571445455591E-2</v>
      </c>
      <c r="FF55" s="47">
        <f t="shared" ref="FF55" si="206">+IFERROR(FF54/FA54-1,"")</f>
        <v>4.4905548965632702E-2</v>
      </c>
      <c r="FG55" s="47">
        <f t="shared" ref="FG55" si="207">+IFERROR(FG54/FB54-1,"")</f>
        <v>4.8248438156722973E-2</v>
      </c>
      <c r="FH55" s="47">
        <f>+IFERROR(FH54/FC54-1,"")</f>
        <v>4.2675875409013297E-2</v>
      </c>
      <c r="FI55" s="47">
        <f t="shared" ref="FI55:FM55" si="208">+IFERROR(FI54/FH54-1,"")</f>
        <v>5.0345449283137667E-2</v>
      </c>
      <c r="FJ55" s="47">
        <f t="shared" si="208"/>
        <v>4.9942757898026491E-2</v>
      </c>
      <c r="FK55" s="47">
        <f t="shared" si="208"/>
        <v>4.7117555041907622E-2</v>
      </c>
      <c r="FL55" s="47">
        <f t="shared" si="208"/>
        <v>4.2655153309897109E-2</v>
      </c>
      <c r="FM55" s="47">
        <f t="shared" si="208"/>
        <v>3.7911393944982885E-2</v>
      </c>
    </row>
    <row r="56" spans="1:170" x14ac:dyDescent="0.3">
      <c r="A56" s="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4"/>
      <c r="DZ56" s="1"/>
      <c r="EA56" s="1"/>
      <c r="EB56" s="1"/>
      <c r="EC56" s="1"/>
      <c r="ED56" s="4"/>
      <c r="EE56" s="1"/>
      <c r="EF56" s="1"/>
      <c r="EG56" s="1"/>
      <c r="EH56" s="1"/>
      <c r="EI56" s="4"/>
      <c r="EJ56" s="1"/>
      <c r="EK56" s="1"/>
      <c r="EL56" s="1"/>
      <c r="EM56" s="1"/>
      <c r="EN56" s="4"/>
      <c r="EO56" s="1"/>
      <c r="EP56" s="1"/>
      <c r="EQ56" s="1"/>
      <c r="ER56" s="1"/>
      <c r="ES56" s="4"/>
      <c r="ET56" s="1"/>
      <c r="EU56" s="1"/>
      <c r="EV56" s="1"/>
      <c r="EW56" s="1"/>
      <c r="EX56" s="4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</row>
    <row r="57" spans="1:170" x14ac:dyDescent="0.3">
      <c r="A57" s="30" t="s">
        <v>311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44"/>
      <c r="DV57" s="44"/>
      <c r="DW57" s="44"/>
      <c r="DX57" s="44"/>
      <c r="DY57" s="45"/>
      <c r="DZ57" s="44">
        <f>Inputs!DZ181</f>
        <v>170</v>
      </c>
      <c r="EA57" s="44">
        <f>Inputs!EA181</f>
        <v>155</v>
      </c>
      <c r="EB57" s="44">
        <f>Inputs!EB181</f>
        <v>136</v>
      </c>
      <c r="EC57" s="44">
        <f>Inputs!EC181</f>
        <v>116</v>
      </c>
      <c r="ED57" s="45">
        <f>+SUM(DZ57:EC57)</f>
        <v>577</v>
      </c>
      <c r="EE57" s="44">
        <f>Inputs!EE181</f>
        <v>111</v>
      </c>
      <c r="EF57" s="44">
        <f>Inputs!EF181</f>
        <v>108</v>
      </c>
      <c r="EG57" s="44">
        <f>Inputs!EG181</f>
        <v>95</v>
      </c>
      <c r="EH57" s="44">
        <f>Inputs!EH181</f>
        <v>93</v>
      </c>
      <c r="EI57" s="45">
        <f>SUM(EE57:EH57)</f>
        <v>407</v>
      </c>
      <c r="EJ57" s="44">
        <f>Inputs!EJ181</f>
        <v>92</v>
      </c>
      <c r="EK57" s="44">
        <f>Inputs!EK181</f>
        <v>87</v>
      </c>
      <c r="EL57" s="44">
        <f>Inputs!EL181</f>
        <v>81</v>
      </c>
      <c r="EM57" s="44">
        <f>Inputs!EM181</f>
        <v>76</v>
      </c>
      <c r="EN57" s="45">
        <f>SUM(EJ57:EM57)</f>
        <v>336</v>
      </c>
      <c r="EO57" s="44">
        <f>Inputs!EO181</f>
        <v>76</v>
      </c>
      <c r="EP57" s="44">
        <f>Inputs!EP181</f>
        <v>71</v>
      </c>
      <c r="EQ57" s="44">
        <f>Inputs!EQ181</f>
        <v>65</v>
      </c>
      <c r="ER57" s="44">
        <f>Inputs!ER181</f>
        <v>61</v>
      </c>
      <c r="ES57" s="45">
        <f>SUM(EO57:ER57)</f>
        <v>273</v>
      </c>
      <c r="ET57" s="59">
        <f t="shared" ref="ET57:EW57" si="209">ET67</f>
        <v>60.570635382412505</v>
      </c>
      <c r="EU57" s="59">
        <f t="shared" si="209"/>
        <v>56.889781503646581</v>
      </c>
      <c r="EV57" s="59">
        <f t="shared" si="209"/>
        <v>52.578188131660681</v>
      </c>
      <c r="EW57" s="59">
        <f t="shared" si="209"/>
        <v>49.382564952452341</v>
      </c>
      <c r="EX57" s="45">
        <f>SUM(ET57:EW57)</f>
        <v>219.42116997017212</v>
      </c>
      <c r="EY57" s="59">
        <f t="shared" ref="EY57:FB57" si="210">EY67</f>
        <v>48.894808511109211</v>
      </c>
      <c r="EZ57" s="59">
        <f t="shared" si="210"/>
        <v>46.073557115968029</v>
      </c>
      <c r="FA57" s="59">
        <f t="shared" si="210"/>
        <v>42.692931363762625</v>
      </c>
      <c r="FB57" s="59">
        <f t="shared" si="210"/>
        <v>40.162096425115593</v>
      </c>
      <c r="FC57" s="59">
        <f t="shared" ref="FC57:FM57" si="211">FC67</f>
        <v>177.82339341595548</v>
      </c>
      <c r="FD57" s="59">
        <f t="shared" si="211"/>
        <v>39.732034285982451</v>
      </c>
      <c r="FE57" s="59">
        <f t="shared" si="211"/>
        <v>37.536683630979226</v>
      </c>
      <c r="FF57" s="59">
        <f t="shared" si="211"/>
        <v>34.853081753638534</v>
      </c>
      <c r="FG57" s="59">
        <f t="shared" si="211"/>
        <v>32.823400631696138</v>
      </c>
      <c r="FH57" s="59">
        <f t="shared" si="211"/>
        <v>144.94520030229634</v>
      </c>
      <c r="FI57" s="59">
        <f t="shared" si="211"/>
        <v>117.67421058688591</v>
      </c>
      <c r="FJ57" s="59">
        <f t="shared" si="211"/>
        <v>93.807864083453993</v>
      </c>
      <c r="FK57" s="59">
        <f t="shared" si="211"/>
        <v>75.06939221523686</v>
      </c>
      <c r="FL57" s="59">
        <f t="shared" si="211"/>
        <v>60.190534179855376</v>
      </c>
      <c r="FM57" s="59">
        <f t="shared" si="211"/>
        <v>48.301920464746715</v>
      </c>
      <c r="FN57" s="189">
        <f>+(FJ57/ES57)^0.2-1</f>
        <v>-0.19236464914115281</v>
      </c>
    </row>
    <row r="58" spans="1:170" x14ac:dyDescent="0.3">
      <c r="A58" s="30" t="s">
        <v>312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44">
        <f>+Inputs!DU537+Inputs!DU536</f>
        <v>794</v>
      </c>
      <c r="DV58" s="44">
        <f>+Inputs!DV537+Inputs!DV536</f>
        <v>763</v>
      </c>
      <c r="DW58" s="44">
        <f>+Inputs!DW537+Inputs!DW536</f>
        <v>771</v>
      </c>
      <c r="DX58" s="44">
        <f>+Inputs!DX537+Inputs!DX536</f>
        <v>729</v>
      </c>
      <c r="DY58" s="45">
        <f>+SUM(DU58:DX58)</f>
        <v>3057</v>
      </c>
      <c r="DZ58" s="44">
        <f>Inputs!DZ182</f>
        <v>583</v>
      </c>
      <c r="EA58" s="44">
        <f>Inputs!EA182</f>
        <v>580</v>
      </c>
      <c r="EB58" s="44">
        <f>Inputs!EB182</f>
        <v>582</v>
      </c>
      <c r="EC58" s="44">
        <f>Inputs!EC182</f>
        <v>570</v>
      </c>
      <c r="ED58" s="45">
        <f>+SUM(DZ58:EC58)</f>
        <v>2315</v>
      </c>
      <c r="EE58" s="44">
        <f>Inputs!EE182</f>
        <v>567</v>
      </c>
      <c r="EF58" s="44">
        <f>Inputs!EF182</f>
        <v>537</v>
      </c>
      <c r="EG58" s="44">
        <f>Inputs!EG182</f>
        <v>540</v>
      </c>
      <c r="EH58" s="44">
        <f>Inputs!EH182</f>
        <v>505</v>
      </c>
      <c r="EI58" s="45">
        <f>+SUM(EE58:EH58)</f>
        <v>2149</v>
      </c>
      <c r="EJ58" s="44">
        <f>Inputs!EJ182</f>
        <v>460</v>
      </c>
      <c r="EK58" s="44">
        <f>Inputs!EK182</f>
        <v>451</v>
      </c>
      <c r="EL58" s="44">
        <f>Inputs!EL182</f>
        <v>459</v>
      </c>
      <c r="EM58" s="44">
        <f>Inputs!EM182</f>
        <v>442</v>
      </c>
      <c r="EN58" s="45">
        <f>+SUM(EJ58:EM58)</f>
        <v>1812</v>
      </c>
      <c r="EO58" s="44">
        <f>Inputs!EO182</f>
        <v>467</v>
      </c>
      <c r="EP58" s="44">
        <f>Inputs!EP182</f>
        <v>460</v>
      </c>
      <c r="EQ58" s="44">
        <f>Inputs!EQ182</f>
        <v>482</v>
      </c>
      <c r="ER58" s="44">
        <f>Inputs!ER182</f>
        <v>453</v>
      </c>
      <c r="ES58" s="45">
        <f>+SUM(EO58:ER58)</f>
        <v>1862</v>
      </c>
      <c r="ET58" s="59">
        <f t="shared" ref="ET58:EW59" si="212">+ET68</f>
        <v>462.77438581687494</v>
      </c>
      <c r="EU58" s="59">
        <f t="shared" si="212"/>
        <v>456.51114753749988</v>
      </c>
      <c r="EV58" s="59">
        <f t="shared" si="212"/>
        <v>478.97121442500003</v>
      </c>
      <c r="EW58" s="59">
        <f t="shared" si="212"/>
        <v>451.05991425000002</v>
      </c>
      <c r="EX58" s="45">
        <f>+SUM(ET58:EW58)</f>
        <v>1849.3166620293748</v>
      </c>
      <c r="EY58" s="59">
        <f t="shared" ref="EY58:FB58" si="213">+EY68</f>
        <v>461.30599677196585</v>
      </c>
      <c r="EZ58" s="59">
        <f t="shared" si="213"/>
        <v>455.03120690530062</v>
      </c>
      <c r="FA58" s="59">
        <f t="shared" si="213"/>
        <v>477.45116273627337</v>
      </c>
      <c r="FB58" s="59">
        <f t="shared" si="213"/>
        <v>449.65955012309348</v>
      </c>
      <c r="FC58" s="59">
        <f t="shared" ref="FC58:FM59" si="214">+FC68</f>
        <v>1843.4484014477725</v>
      </c>
      <c r="FD58" s="59">
        <f t="shared" si="214"/>
        <v>459.84227184564691</v>
      </c>
      <c r="FE58" s="59">
        <f t="shared" si="214"/>
        <v>453.55606454503817</v>
      </c>
      <c r="FF58" s="59">
        <f t="shared" si="214"/>
        <v>475.93593561116205</v>
      </c>
      <c r="FG58" s="59">
        <f t="shared" si="214"/>
        <v>448.26353411912646</v>
      </c>
      <c r="FH58" s="59">
        <f t="shared" si="214"/>
        <v>1837.5987729361646</v>
      </c>
      <c r="FI58" s="59">
        <f t="shared" si="214"/>
        <v>1832.825318788048</v>
      </c>
      <c r="FJ58" s="59">
        <f t="shared" si="214"/>
        <v>1827.1985450593681</v>
      </c>
      <c r="FK58" s="59">
        <f t="shared" si="214"/>
        <v>1821.5890455260358</v>
      </c>
      <c r="FL58" s="59">
        <f t="shared" si="214"/>
        <v>1815.9967671562708</v>
      </c>
      <c r="FM58" s="59">
        <f t="shared" si="214"/>
        <v>1810.4216570811009</v>
      </c>
      <c r="FN58" s="189">
        <f>+(FJ58/ES58)^0.2-1</f>
        <v>-3.7663364243528674E-3</v>
      </c>
    </row>
    <row r="59" spans="1:170" x14ac:dyDescent="0.3">
      <c r="A59" s="30" t="s">
        <v>42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44">
        <f>+Inputs!DU538</f>
        <v>434</v>
      </c>
      <c r="DV59" s="44">
        <f>+Inputs!DV538</f>
        <v>422</v>
      </c>
      <c r="DW59" s="44">
        <f>+Inputs!DW538</f>
        <v>422</v>
      </c>
      <c r="DX59" s="44">
        <f>+Inputs!DX538</f>
        <v>439</v>
      </c>
      <c r="DY59" s="45">
        <f>+SUM(DU59:DX59)</f>
        <v>1717</v>
      </c>
      <c r="DZ59" s="44">
        <f>Inputs!DZ183</f>
        <v>349</v>
      </c>
      <c r="EA59" s="44">
        <f>Inputs!EA183</f>
        <v>316</v>
      </c>
      <c r="EB59" s="44">
        <f>Inputs!EB183</f>
        <v>318</v>
      </c>
      <c r="EC59" s="44">
        <f>Inputs!EC183</f>
        <v>316</v>
      </c>
      <c r="ED59" s="45">
        <f>+SUM(DZ59:EC59)</f>
        <v>1299</v>
      </c>
      <c r="EE59" s="44">
        <f>Inputs!EE183</f>
        <v>328</v>
      </c>
      <c r="EF59" s="44">
        <f>Inputs!EF183</f>
        <v>338</v>
      </c>
      <c r="EG59" s="44">
        <f>Inputs!EG183</f>
        <v>354</v>
      </c>
      <c r="EH59" s="44">
        <f>Inputs!EH183</f>
        <v>360</v>
      </c>
      <c r="EI59" s="45">
        <f>+SUM(EE59:EH59)</f>
        <v>1380</v>
      </c>
      <c r="EJ59" s="44">
        <f>Inputs!EJ183</f>
        <v>386</v>
      </c>
      <c r="EK59" s="44">
        <f>Inputs!EK183</f>
        <v>386</v>
      </c>
      <c r="EL59" s="44">
        <f>Inputs!EL183</f>
        <v>396</v>
      </c>
      <c r="EM59" s="44">
        <f>Inputs!EM183</f>
        <v>391</v>
      </c>
      <c r="EN59" s="45">
        <f>+SUM(EJ59:EM59)</f>
        <v>1559</v>
      </c>
      <c r="EO59" s="44">
        <f>Inputs!EO183</f>
        <v>378</v>
      </c>
      <c r="EP59" s="44">
        <f>Inputs!EP183</f>
        <v>385</v>
      </c>
      <c r="EQ59" s="44">
        <f>Inputs!EQ183</f>
        <v>363</v>
      </c>
      <c r="ER59" s="44">
        <f>Inputs!ER183</f>
        <v>363</v>
      </c>
      <c r="ES59" s="45">
        <f>+SUM(EO59:ER59)</f>
        <v>1489</v>
      </c>
      <c r="ET59" s="59">
        <f t="shared" si="212"/>
        <v>365.07592182070374</v>
      </c>
      <c r="EU59" s="59">
        <f t="shared" si="212"/>
        <v>371.88538439773953</v>
      </c>
      <c r="EV59" s="59">
        <f t="shared" si="212"/>
        <v>352.96694008551452</v>
      </c>
      <c r="EW59" s="59">
        <f t="shared" si="212"/>
        <v>351.88679138615908</v>
      </c>
      <c r="EX59" s="45">
        <f>+SUM(ET59:EW59)</f>
        <v>1441.8150376901169</v>
      </c>
      <c r="EY59" s="59">
        <f t="shared" ref="EY59:FB59" si="215">+EY69</f>
        <v>360.5123955235149</v>
      </c>
      <c r="EZ59" s="59">
        <f t="shared" si="215"/>
        <v>366.87673161828644</v>
      </c>
      <c r="FA59" s="59">
        <f t="shared" si="215"/>
        <v>350.44428258470629</v>
      </c>
      <c r="FB59" s="59">
        <f t="shared" si="215"/>
        <v>348.03092375647896</v>
      </c>
      <c r="FC59" s="59">
        <f t="shared" si="214"/>
        <v>1425.8638485718475</v>
      </c>
      <c r="FD59" s="59">
        <f t="shared" si="214"/>
        <v>373.17275371055848</v>
      </c>
      <c r="FE59" s="59">
        <f t="shared" si="214"/>
        <v>379.5472239002865</v>
      </c>
      <c r="FF59" s="59">
        <f t="shared" si="214"/>
        <v>364.61639527021231</v>
      </c>
      <c r="FG59" s="59">
        <f t="shared" si="214"/>
        <v>361.5290870663498</v>
      </c>
      <c r="FH59" s="59">
        <f t="shared" si="214"/>
        <v>1478.8644931322165</v>
      </c>
      <c r="FI59" s="59">
        <f t="shared" si="214"/>
        <v>1538.1444717681863</v>
      </c>
      <c r="FJ59" s="59">
        <f t="shared" si="214"/>
        <v>1605.2685007995817</v>
      </c>
      <c r="FK59" s="59">
        <f t="shared" si="214"/>
        <v>1668.8376751332564</v>
      </c>
      <c r="FL59" s="59">
        <f t="shared" si="214"/>
        <v>1726.7640424410342</v>
      </c>
      <c r="FM59" s="59">
        <f t="shared" si="214"/>
        <v>1779.0580827378089</v>
      </c>
      <c r="FN59" s="189">
        <f>+(FJ59/ES59)^0.2-1</f>
        <v>1.51508841911423E-2</v>
      </c>
    </row>
    <row r="60" spans="1:170" x14ac:dyDescent="0.3">
      <c r="A60" s="48" t="s">
        <v>43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858">
        <f>+SUM(DU58:DU59)</f>
        <v>1228</v>
      </c>
      <c r="DV60" s="858">
        <f>+SUM(DV58:DV59)</f>
        <v>1185</v>
      </c>
      <c r="DW60" s="858">
        <f>+SUM(DW58:DW59)</f>
        <v>1193</v>
      </c>
      <c r="DX60" s="858">
        <f>+SUM(DX58:DX59)</f>
        <v>1168</v>
      </c>
      <c r="DY60" s="858">
        <f>+SUM(DU60:DX60)</f>
        <v>4774</v>
      </c>
      <c r="DZ60" s="858">
        <f>SUM(DZ57:DZ59)</f>
        <v>1102</v>
      </c>
      <c r="EA60" s="858">
        <f>SUM(EA57:EA59)</f>
        <v>1051</v>
      </c>
      <c r="EB60" s="858">
        <f>SUM(EB57:EB59)</f>
        <v>1036</v>
      </c>
      <c r="EC60" s="858">
        <f>SUM(EC57:EC59)</f>
        <v>1002</v>
      </c>
      <c r="ED60" s="858">
        <f>+SUM(DZ60:EC60)</f>
        <v>4191</v>
      </c>
      <c r="EE60" s="858">
        <f>SUM(EE57:EE59)</f>
        <v>1006</v>
      </c>
      <c r="EF60" s="858">
        <f>SUM(EF57:EF59)</f>
        <v>983</v>
      </c>
      <c r="EG60" s="858">
        <f>SUM(EG57:EG59)</f>
        <v>989</v>
      </c>
      <c r="EH60" s="858">
        <f>SUM(EH57:EH59)</f>
        <v>958</v>
      </c>
      <c r="EI60" s="858">
        <f>+SUM(EE60:EH60)</f>
        <v>3936</v>
      </c>
      <c r="EJ60" s="858">
        <f>SUM(EJ57:EJ59)</f>
        <v>938</v>
      </c>
      <c r="EK60" s="858">
        <f>SUM(EK57:EK59)</f>
        <v>924</v>
      </c>
      <c r="EL60" s="858">
        <f>SUM(EL57:EL59)</f>
        <v>936</v>
      </c>
      <c r="EM60" s="858">
        <f>SUM(EM57:EM59)</f>
        <v>909</v>
      </c>
      <c r="EN60" s="858">
        <f>+SUM(EJ60:EM60)</f>
        <v>3707</v>
      </c>
      <c r="EO60" s="858">
        <f>SUM(EO57:EO59)</f>
        <v>921</v>
      </c>
      <c r="EP60" s="858">
        <f>SUM(EP57:EP59)</f>
        <v>916</v>
      </c>
      <c r="EQ60" s="858">
        <f>SUM(EQ57:EQ59)</f>
        <v>910</v>
      </c>
      <c r="ER60" s="858">
        <f>SUM(ER57:ER59)</f>
        <v>877</v>
      </c>
      <c r="ES60" s="858">
        <f>+SUM(EO60:ER60)</f>
        <v>3624</v>
      </c>
      <c r="ET60" s="858">
        <f t="shared" ref="ET60:EW60" si="216">SUM(ET57:ET59)</f>
        <v>888.42094301999123</v>
      </c>
      <c r="EU60" s="858">
        <f t="shared" si="216"/>
        <v>885.28631343888605</v>
      </c>
      <c r="EV60" s="858">
        <f t="shared" si="216"/>
        <v>884.51634264217523</v>
      </c>
      <c r="EW60" s="858">
        <f t="shared" si="216"/>
        <v>852.32927058861151</v>
      </c>
      <c r="EX60" s="858">
        <f>+SUM(ET60:EW60)</f>
        <v>3510.552869689664</v>
      </c>
      <c r="EY60" s="858">
        <f t="shared" ref="EY60:FB60" si="217">SUM(EY57:EY59)</f>
        <v>870.71320080658995</v>
      </c>
      <c r="EZ60" s="858">
        <f t="shared" si="217"/>
        <v>867.98149563955508</v>
      </c>
      <c r="FA60" s="858">
        <f t="shared" si="217"/>
        <v>870.58837668474234</v>
      </c>
      <c r="FB60" s="858">
        <f t="shared" si="217"/>
        <v>837.85257030468802</v>
      </c>
      <c r="FC60" s="858">
        <f t="shared" ref="FC60:FM60" si="218">SUM(FC57:FC59)</f>
        <v>3447.1356434355757</v>
      </c>
      <c r="FD60" s="858">
        <f t="shared" si="218"/>
        <v>872.74705984218781</v>
      </c>
      <c r="FE60" s="858">
        <f t="shared" si="218"/>
        <v>870.63997207630382</v>
      </c>
      <c r="FF60" s="858">
        <f t="shared" si="218"/>
        <v>875.40541263501291</v>
      </c>
      <c r="FG60" s="858">
        <f t="shared" si="218"/>
        <v>842.6160218171724</v>
      </c>
      <c r="FH60" s="858">
        <f t="shared" si="218"/>
        <v>3461.4084663706772</v>
      </c>
      <c r="FI60" s="858">
        <f t="shared" si="218"/>
        <v>3488.6440011431205</v>
      </c>
      <c r="FJ60" s="858">
        <f t="shared" si="218"/>
        <v>3526.2749099424036</v>
      </c>
      <c r="FK60" s="858">
        <f t="shared" si="218"/>
        <v>3565.496112874529</v>
      </c>
      <c r="FL60" s="858">
        <f t="shared" si="218"/>
        <v>3602.9513437771602</v>
      </c>
      <c r="FM60" s="858">
        <f t="shared" si="218"/>
        <v>3637.7816602836565</v>
      </c>
      <c r="FN60" s="189">
        <f>+(FJ60/ES60)^0.2-1</f>
        <v>-5.4523498346250587E-3</v>
      </c>
    </row>
    <row r="61" spans="1:170" x14ac:dyDescent="0.3">
      <c r="A61" s="49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4"/>
      <c r="DZ61" s="1"/>
      <c r="EA61" s="1"/>
      <c r="EB61" s="1"/>
      <c r="EC61" s="1"/>
      <c r="ED61" s="4"/>
      <c r="EE61" s="1"/>
      <c r="EF61" s="1"/>
      <c r="EG61" s="1"/>
      <c r="EH61" s="1"/>
      <c r="EI61" s="4"/>
      <c r="EJ61" s="1"/>
      <c r="EK61" s="1"/>
      <c r="EL61" s="1"/>
      <c r="EM61" s="1"/>
      <c r="EN61" s="4"/>
      <c r="EO61" s="1"/>
      <c r="EP61" s="1"/>
      <c r="EQ61" s="1"/>
      <c r="ER61" s="1"/>
      <c r="ES61" s="4"/>
      <c r="ET61" s="1"/>
      <c r="EU61" s="1"/>
      <c r="EV61" s="1"/>
      <c r="EW61" s="1"/>
      <c r="EX61" s="4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</row>
    <row r="62" spans="1:170" x14ac:dyDescent="0.3">
      <c r="A62" s="48" t="s">
        <v>44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50">
        <f>+DU54-DU60</f>
        <v>873</v>
      </c>
      <c r="DV62" s="50">
        <f>+DV54-DV60</f>
        <v>882</v>
      </c>
      <c r="DW62" s="50">
        <f>+DW54-DW60</f>
        <v>804</v>
      </c>
      <c r="DX62" s="50">
        <f>+DX54-DX60</f>
        <v>774</v>
      </c>
      <c r="DY62" s="50">
        <f>+SUM(DU62:DX62)</f>
        <v>3333</v>
      </c>
      <c r="DZ62" s="50">
        <f>+DZ54-DZ60</f>
        <v>687</v>
      </c>
      <c r="EA62" s="50">
        <f>+EA54-EA60</f>
        <v>703</v>
      </c>
      <c r="EB62" s="50">
        <f>+EB54-EB60</f>
        <v>691</v>
      </c>
      <c r="EC62" s="50">
        <f>+EC54-EC60</f>
        <v>694</v>
      </c>
      <c r="ED62" s="50">
        <f>+SUM(DZ62:EC62)</f>
        <v>2775</v>
      </c>
      <c r="EE62" s="50">
        <f>+EE54-EE60</f>
        <v>670</v>
      </c>
      <c r="EF62" s="50">
        <f>+EF54-EF60</f>
        <v>633</v>
      </c>
      <c r="EG62" s="50">
        <f>+EG54-EG60</f>
        <v>587</v>
      </c>
      <c r="EH62" s="50">
        <f>+EH54-EH60</f>
        <v>585</v>
      </c>
      <c r="EI62" s="50">
        <f>+SUM(EE62:EH62)</f>
        <v>2475</v>
      </c>
      <c r="EJ62" s="50">
        <f>+EJ54-EJ60</f>
        <v>509</v>
      </c>
      <c r="EK62" s="50">
        <f>+EK54-EK60</f>
        <v>535</v>
      </c>
      <c r="EL62" s="50">
        <f>+EL54-EL60</f>
        <v>508</v>
      </c>
      <c r="EM62" s="50">
        <f>+EM54-EM60</f>
        <v>528</v>
      </c>
      <c r="EN62" s="50">
        <f>+SUM(EJ62:EM62)</f>
        <v>2080</v>
      </c>
      <c r="EO62" s="50">
        <f>+EO54-EO60</f>
        <v>519</v>
      </c>
      <c r="EP62" s="50">
        <f>+EP54-EP60</f>
        <v>533</v>
      </c>
      <c r="EQ62" s="50">
        <f>+EQ54-EQ60</f>
        <v>526</v>
      </c>
      <c r="ER62" s="50">
        <f>+ER54-ER60</f>
        <v>549</v>
      </c>
      <c r="ES62" s="50">
        <f>+SUM(EO62:ER62)</f>
        <v>2127</v>
      </c>
      <c r="ET62" s="50">
        <f t="shared" ref="ET62:EW62" si="219">+ET54-ET60</f>
        <v>543.99283568494593</v>
      </c>
      <c r="EU62" s="50">
        <f t="shared" si="219"/>
        <v>560.38798605648458</v>
      </c>
      <c r="EV62" s="50">
        <f t="shared" si="219"/>
        <v>556.37459797704582</v>
      </c>
      <c r="EW62" s="50">
        <f t="shared" si="219"/>
        <v>585.01197361608502</v>
      </c>
      <c r="EX62" s="50">
        <f>+SUM(ET62:EW62)</f>
        <v>2245.7673933345613</v>
      </c>
      <c r="EY62" s="50">
        <f t="shared" ref="EY62:FB62" si="220">+EY54-EY60</f>
        <v>577.88571435223355</v>
      </c>
      <c r="EZ62" s="50">
        <f t="shared" si="220"/>
        <v>605.09489147654563</v>
      </c>
      <c r="FA62" s="50">
        <f t="shared" si="220"/>
        <v>604.26418311991165</v>
      </c>
      <c r="FB62" s="50">
        <f t="shared" si="220"/>
        <v>641.98501579347271</v>
      </c>
      <c r="FC62" s="50">
        <f t="shared" ref="FC62:FM62" si="221">+FC54-FC60</f>
        <v>2429.2298047421637</v>
      </c>
      <c r="FD62" s="50">
        <f t="shared" si="221"/>
        <v>627.88614401317136</v>
      </c>
      <c r="FE62" s="50">
        <f t="shared" si="221"/>
        <v>663.55224997127698</v>
      </c>
      <c r="FF62" s="50">
        <f t="shared" si="221"/>
        <v>665.67621101103782</v>
      </c>
      <c r="FG62" s="50">
        <f t="shared" si="221"/>
        <v>708.62141653583967</v>
      </c>
      <c r="FH62" s="50">
        <f t="shared" si="221"/>
        <v>2665.7360215313265</v>
      </c>
      <c r="FI62" s="50">
        <f t="shared" si="221"/>
        <v>2946.9743288250102</v>
      </c>
      <c r="FJ62" s="50">
        <f t="shared" si="221"/>
        <v>3230.7559482034276</v>
      </c>
      <c r="FK62" s="50">
        <f t="shared" si="221"/>
        <v>3509.9095186498562</v>
      </c>
      <c r="FL62" s="50">
        <f t="shared" si="221"/>
        <v>3774.2567996896069</v>
      </c>
      <c r="FM62" s="50">
        <f t="shared" si="221"/>
        <v>4019.1067273242143</v>
      </c>
      <c r="FN62" s="189">
        <f>+(FJ62/ES62)^0.2-1</f>
        <v>8.7194714927279593E-2</v>
      </c>
    </row>
    <row r="63" spans="1:170" x14ac:dyDescent="0.3">
      <c r="A63" s="46" t="s">
        <v>45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47">
        <f t="shared" ref="DU63:FM63" si="222">+DU62/DU54</f>
        <v>0.41551642075202283</v>
      </c>
      <c r="DV63" s="47">
        <f t="shared" si="222"/>
        <v>0.42670537010159654</v>
      </c>
      <c r="DW63" s="47">
        <f t="shared" si="222"/>
        <v>0.40260390585878819</v>
      </c>
      <c r="DX63" s="47">
        <f t="shared" si="222"/>
        <v>0.39855818743563337</v>
      </c>
      <c r="DY63" s="52">
        <f t="shared" si="222"/>
        <v>0.41112618724559025</v>
      </c>
      <c r="DZ63" s="47">
        <f t="shared" si="222"/>
        <v>0.3840134153158189</v>
      </c>
      <c r="EA63" s="47">
        <f t="shared" si="222"/>
        <v>0.40079817559863168</v>
      </c>
      <c r="EB63" s="47">
        <f t="shared" si="222"/>
        <v>0.40011580775911987</v>
      </c>
      <c r="EC63" s="47">
        <f t="shared" si="222"/>
        <v>0.40919811320754718</v>
      </c>
      <c r="ED63" s="52">
        <f t="shared" si="222"/>
        <v>0.39836347975882858</v>
      </c>
      <c r="EE63" s="47">
        <f t="shared" si="222"/>
        <v>0.3997613365155131</v>
      </c>
      <c r="EF63" s="47">
        <f t="shared" si="222"/>
        <v>0.39170792079207922</v>
      </c>
      <c r="EG63" s="47">
        <f t="shared" si="222"/>
        <v>0.37246192893401014</v>
      </c>
      <c r="EH63" s="47">
        <f t="shared" si="222"/>
        <v>0.37913156189241737</v>
      </c>
      <c r="EI63" s="52">
        <f t="shared" si="222"/>
        <v>0.38605521759475903</v>
      </c>
      <c r="EJ63" s="47">
        <f t="shared" si="222"/>
        <v>0.35176226675881134</v>
      </c>
      <c r="EK63" s="47">
        <f t="shared" si="222"/>
        <v>0.36668951336531869</v>
      </c>
      <c r="EL63" s="47">
        <f t="shared" si="222"/>
        <v>0.35180055401662053</v>
      </c>
      <c r="EM63" s="47">
        <f t="shared" si="222"/>
        <v>0.36743215031315241</v>
      </c>
      <c r="EN63" s="52">
        <f t="shared" si="222"/>
        <v>0.35942630032832212</v>
      </c>
      <c r="EO63" s="47">
        <f t="shared" si="222"/>
        <v>0.36041666666666666</v>
      </c>
      <c r="EP63" s="47">
        <f t="shared" si="222"/>
        <v>0.36783988957902003</v>
      </c>
      <c r="EQ63" s="47">
        <f t="shared" si="222"/>
        <v>0.36629526462395545</v>
      </c>
      <c r="ER63" s="47">
        <f t="shared" si="222"/>
        <v>0.38499298737727911</v>
      </c>
      <c r="ES63" s="52">
        <f t="shared" si="222"/>
        <v>0.36984872196139801</v>
      </c>
      <c r="ET63" s="47">
        <f t="shared" si="222"/>
        <v>0.37977352897064182</v>
      </c>
      <c r="EU63" s="47">
        <f t="shared" si="222"/>
        <v>0.38763086972777649</v>
      </c>
      <c r="EV63" s="47">
        <f t="shared" si="222"/>
        <v>0.38613234512942701</v>
      </c>
      <c r="EW63" s="47">
        <f t="shared" si="222"/>
        <v>0.40700980089093686</v>
      </c>
      <c r="EX63" s="52">
        <f t="shared" si="222"/>
        <v>0.39013941037302391</v>
      </c>
      <c r="EY63" s="47">
        <f t="shared" ref="EY63:FB63" si="223">+EY62/EY54</f>
        <v>0.39892734165749011</v>
      </c>
      <c r="EZ63" s="47">
        <f t="shared" si="223"/>
        <v>0.41076952747926643</v>
      </c>
      <c r="FA63" s="47">
        <f t="shared" si="223"/>
        <v>0.40971158717041328</v>
      </c>
      <c r="FB63" s="47">
        <f t="shared" si="223"/>
        <v>0.43382126648517799</v>
      </c>
      <c r="FC63" s="47">
        <f t="shared" si="222"/>
        <v>0.41338984550313623</v>
      </c>
      <c r="FD63" s="47">
        <f t="shared" si="222"/>
        <v>0.41841413504648212</v>
      </c>
      <c r="FE63" s="47">
        <f t="shared" si="222"/>
        <v>0.4325091995875715</v>
      </c>
      <c r="FF63" s="47">
        <f t="shared" si="222"/>
        <v>0.43195389575544479</v>
      </c>
      <c r="FG63" s="47">
        <f t="shared" si="222"/>
        <v>0.45681041407058931</v>
      </c>
      <c r="FH63" s="47">
        <f t="shared" si="222"/>
        <v>0.43506988072417752</v>
      </c>
      <c r="FI63" s="47">
        <f t="shared" si="222"/>
        <v>0.457916268138854</v>
      </c>
      <c r="FJ63" s="47">
        <f t="shared" si="222"/>
        <v>0.47813248393096225</v>
      </c>
      <c r="FK63" s="47">
        <f t="shared" si="222"/>
        <v>0.49607184399598186</v>
      </c>
      <c r="FL63" s="47">
        <f t="shared" si="222"/>
        <v>0.51161045293700669</v>
      </c>
      <c r="FM63" s="47">
        <f t="shared" si="222"/>
        <v>0.52490078526269923</v>
      </c>
    </row>
    <row r="64" spans="1:170" x14ac:dyDescent="0.3">
      <c r="A64" s="46" t="s">
        <v>29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4"/>
      <c r="DZ64" s="47"/>
      <c r="EA64" s="47"/>
      <c r="EB64" s="47"/>
      <c r="EC64" s="47"/>
      <c r="ED64" s="52"/>
      <c r="EE64" s="47">
        <f t="shared" ref="EE64:ER64" si="224">+IFERROR(EE62/DZ62-1,"")</f>
        <v>-2.4745269286754024E-2</v>
      </c>
      <c r="EF64" s="47">
        <f t="shared" si="224"/>
        <v>-9.9573257467994281E-2</v>
      </c>
      <c r="EG64" s="47">
        <f t="shared" si="224"/>
        <v>-0.15050651230101297</v>
      </c>
      <c r="EH64" s="47">
        <f t="shared" si="224"/>
        <v>-0.15706051873198845</v>
      </c>
      <c r="EI64" s="52">
        <f t="shared" si="224"/>
        <v>-0.10810810810810811</v>
      </c>
      <c r="EJ64" s="47">
        <f t="shared" si="224"/>
        <v>-0.24029850746268655</v>
      </c>
      <c r="EK64" s="47">
        <f t="shared" si="224"/>
        <v>-0.15481832543443919</v>
      </c>
      <c r="EL64" s="47">
        <f t="shared" si="224"/>
        <v>-0.13458262350936967</v>
      </c>
      <c r="EM64" s="47">
        <f t="shared" si="224"/>
        <v>-9.7435897435897423E-2</v>
      </c>
      <c r="EN64" s="52">
        <f>+IFERROR(EN62/EI62-1,"")</f>
        <v>-0.15959595959595962</v>
      </c>
      <c r="EO64" s="47">
        <f t="shared" si="224"/>
        <v>1.9646365422396839E-2</v>
      </c>
      <c r="EP64" s="47">
        <f t="shared" si="224"/>
        <v>-3.7383177570093906E-3</v>
      </c>
      <c r="EQ64" s="47">
        <f t="shared" si="224"/>
        <v>3.5433070866141669E-2</v>
      </c>
      <c r="ER64" s="47">
        <f t="shared" si="224"/>
        <v>3.9772727272727293E-2</v>
      </c>
      <c r="ES64" s="52">
        <f>+IFERROR(ES62/EN62-1,"")</f>
        <v>2.2596153846153877E-2</v>
      </c>
      <c r="ET64" s="47">
        <f t="shared" ref="ET64:EW64" si="225">+IFERROR(ET62/EO62-1,"")</f>
        <v>4.8155752764828419E-2</v>
      </c>
      <c r="EU64" s="47">
        <f t="shared" si="225"/>
        <v>5.1384589224173771E-2</v>
      </c>
      <c r="EV64" s="47">
        <f t="shared" si="225"/>
        <v>5.7746383986779115E-2</v>
      </c>
      <c r="EW64" s="47">
        <f t="shared" si="225"/>
        <v>6.5595580357167504E-2</v>
      </c>
      <c r="EX64" s="52">
        <f>+IFERROR(EX62/ES62-1,"")</f>
        <v>5.5837984642483018E-2</v>
      </c>
      <c r="EY64" s="47">
        <f t="shared" ref="EY64" si="226">+IFERROR(EY62/ET62-1,"")</f>
        <v>6.230390630901006E-2</v>
      </c>
      <c r="EZ64" s="47">
        <f t="shared" ref="EZ64" si="227">+IFERROR(EZ62/EU62-1,"")</f>
        <v>7.9778486570828866E-2</v>
      </c>
      <c r="FA64" s="47">
        <f t="shared" ref="FA64" si="228">+IFERROR(FA62/EV62-1,"")</f>
        <v>8.6074355869211638E-2</v>
      </c>
      <c r="FB64" s="47">
        <f t="shared" ref="FB64" si="229">+IFERROR(FB62/EW62-1,"")</f>
        <v>9.7387822381181488E-2</v>
      </c>
      <c r="FC64" s="47">
        <f>+IFERROR(FC62/EX62-1,"")</f>
        <v>8.1692526105828556E-2</v>
      </c>
      <c r="FD64" s="47">
        <f t="shared" ref="FD64" si="230">+IFERROR(FD62/EY62-1,"")</f>
        <v>8.6523041527310607E-2</v>
      </c>
      <c r="FE64" s="47">
        <f t="shared" ref="FE64" si="231">+IFERROR(FE62/EZ62-1,"")</f>
        <v>9.6608580436176483E-2</v>
      </c>
      <c r="FF64" s="47">
        <f t="shared" ref="FF64" si="232">+IFERROR(FF62/FA62-1,"")</f>
        <v>0.10163109051747221</v>
      </c>
      <c r="FG64" s="47">
        <f t="shared" ref="FG64" si="233">+IFERROR(FG62/FB62-1,"")</f>
        <v>0.10379743935301433</v>
      </c>
      <c r="FH64" s="47">
        <f>+IFERROR(FH62/FC62-1,"")</f>
        <v>9.7358519283549327E-2</v>
      </c>
      <c r="FI64" s="47">
        <f t="shared" ref="FI64:FM64" si="234">+IFERROR(FI62/FH62-1,"")</f>
        <v>0.10550118429660826</v>
      </c>
      <c r="FJ64" s="47">
        <f t="shared" si="234"/>
        <v>9.6295925146916428E-2</v>
      </c>
      <c r="FK64" s="47">
        <f t="shared" si="234"/>
        <v>8.6405031801198628E-2</v>
      </c>
      <c r="FL64" s="47">
        <f t="shared" si="234"/>
        <v>7.5314557151728634E-2</v>
      </c>
      <c r="FM64" s="47">
        <f t="shared" si="234"/>
        <v>6.4873679940046447E-2</v>
      </c>
    </row>
    <row r="65" spans="1:171" x14ac:dyDescent="0.3">
      <c r="A65" s="49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4"/>
      <c r="DZ65" s="1"/>
      <c r="EA65" s="1"/>
      <c r="EB65" s="1"/>
      <c r="EC65" s="1"/>
      <c r="ED65" s="4"/>
      <c r="EE65" s="1"/>
      <c r="EF65" s="1"/>
      <c r="EG65" s="1"/>
      <c r="EH65" s="1"/>
      <c r="EI65" s="4"/>
      <c r="EJ65" s="1"/>
      <c r="EK65" s="1"/>
      <c r="EL65" s="1"/>
      <c r="EM65" s="1"/>
      <c r="EN65" s="4"/>
      <c r="EO65" s="4"/>
      <c r="EP65" s="4"/>
      <c r="EQ65" s="4"/>
      <c r="ER65" s="4"/>
      <c r="ES65" s="1"/>
      <c r="ET65" s="4"/>
      <c r="EU65" s="4"/>
      <c r="EV65" s="4"/>
      <c r="EW65" s="4"/>
      <c r="EX65" s="1"/>
      <c r="EY65" s="4"/>
      <c r="EZ65" s="4"/>
      <c r="FA65" s="4"/>
      <c r="FB65" s="4"/>
      <c r="FC65" s="1"/>
      <c r="FD65" s="4"/>
      <c r="FE65" s="4"/>
      <c r="FF65" s="4"/>
      <c r="FG65" s="4"/>
      <c r="FH65" s="1"/>
      <c r="FI65" s="1"/>
      <c r="FJ65" s="1"/>
      <c r="FK65" s="1"/>
      <c r="FL65" s="1"/>
      <c r="FM65" s="1"/>
    </row>
    <row r="66" spans="1:171" x14ac:dyDescent="0.3">
      <c r="A66" s="54" t="s">
        <v>313</v>
      </c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4"/>
      <c r="DF66" s="54"/>
      <c r="DG66" s="54"/>
      <c r="DH66" s="54"/>
      <c r="DI66" s="54"/>
      <c r="DJ66" s="54"/>
      <c r="DK66" s="54"/>
      <c r="DL66" s="54"/>
      <c r="DM66" s="54"/>
      <c r="DN66" s="54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4"/>
      <c r="DZ66" s="54"/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  <c r="EP66" s="54"/>
      <c r="EQ66" s="54"/>
      <c r="ER66" s="54"/>
      <c r="ES66" s="54"/>
      <c r="ET66" s="54"/>
      <c r="EU66" s="54"/>
      <c r="EV66" s="54"/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4"/>
      <c r="FI66" s="54"/>
      <c r="FJ66" s="54"/>
      <c r="FK66" s="54"/>
      <c r="FL66" s="54"/>
      <c r="FM66" s="54"/>
      <c r="FN66" s="54"/>
    </row>
    <row r="67" spans="1:171" x14ac:dyDescent="0.3">
      <c r="A67" s="30" t="s">
        <v>40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44"/>
      <c r="DV67" s="44"/>
      <c r="DW67" s="44"/>
      <c r="DX67" s="44"/>
      <c r="DY67" s="45"/>
      <c r="DZ67" s="363">
        <f>DZ483</f>
        <v>170</v>
      </c>
      <c r="EA67" s="363">
        <f>EA483</f>
        <v>155</v>
      </c>
      <c r="EB67" s="363">
        <f>EB483</f>
        <v>136</v>
      </c>
      <c r="EC67" s="363">
        <f>EC483</f>
        <v>116</v>
      </c>
      <c r="ED67" s="1154">
        <f>SUM(DZ67:EC67)</f>
        <v>577</v>
      </c>
      <c r="EE67" s="363">
        <f>EE483</f>
        <v>111</v>
      </c>
      <c r="EF67" s="363">
        <f>EF483</f>
        <v>108</v>
      </c>
      <c r="EG67" s="363">
        <f>EG483</f>
        <v>95</v>
      </c>
      <c r="EH67" s="363">
        <f>EH483</f>
        <v>93</v>
      </c>
      <c r="EI67" s="1154">
        <f>SUM(EE67:EH67)</f>
        <v>407</v>
      </c>
      <c r="EJ67" s="363">
        <f>EJ483</f>
        <v>92</v>
      </c>
      <c r="EK67" s="363">
        <f>EK483</f>
        <v>87</v>
      </c>
      <c r="EL67" s="363">
        <f>EL483</f>
        <v>81</v>
      </c>
      <c r="EM67" s="363">
        <f>EM483</f>
        <v>76</v>
      </c>
      <c r="EN67" s="1154">
        <f>SUM(EJ67:EM67)</f>
        <v>336</v>
      </c>
      <c r="EO67" s="363">
        <f>EO483</f>
        <v>76</v>
      </c>
      <c r="EP67" s="363">
        <f>EP483</f>
        <v>71</v>
      </c>
      <c r="EQ67" s="363">
        <f>EQ483</f>
        <v>65</v>
      </c>
      <c r="ER67" s="363">
        <f>ER483</f>
        <v>61</v>
      </c>
      <c r="ES67" s="1154">
        <f>SUM(EO67:ER67)</f>
        <v>273</v>
      </c>
      <c r="ET67" s="363">
        <f t="shared" ref="ET67:EW67" si="235">ET483</f>
        <v>60.570635382412505</v>
      </c>
      <c r="EU67" s="363">
        <f t="shared" si="235"/>
        <v>56.889781503646581</v>
      </c>
      <c r="EV67" s="363">
        <f t="shared" si="235"/>
        <v>52.578188131660681</v>
      </c>
      <c r="EW67" s="363">
        <f t="shared" si="235"/>
        <v>49.382564952452341</v>
      </c>
      <c r="EX67" s="1154">
        <f>SUM(ET67:EW67)</f>
        <v>219.42116997017212</v>
      </c>
      <c r="EY67" s="363">
        <f t="shared" ref="EY67:FB67" si="236">EY483</f>
        <v>48.894808511109211</v>
      </c>
      <c r="EZ67" s="363">
        <f t="shared" si="236"/>
        <v>46.073557115968029</v>
      </c>
      <c r="FA67" s="363">
        <f t="shared" si="236"/>
        <v>42.692931363762625</v>
      </c>
      <c r="FB67" s="363">
        <f t="shared" si="236"/>
        <v>40.162096425115593</v>
      </c>
      <c r="FC67" s="363">
        <f t="shared" ref="FC67:FM67" si="237">FC483</f>
        <v>177.82339341595548</v>
      </c>
      <c r="FD67" s="363">
        <f t="shared" si="237"/>
        <v>39.732034285982451</v>
      </c>
      <c r="FE67" s="363">
        <f t="shared" si="237"/>
        <v>37.536683630979226</v>
      </c>
      <c r="FF67" s="363">
        <f t="shared" si="237"/>
        <v>34.853081753638534</v>
      </c>
      <c r="FG67" s="363">
        <f t="shared" si="237"/>
        <v>32.823400631696138</v>
      </c>
      <c r="FH67" s="363">
        <f t="shared" si="237"/>
        <v>144.94520030229634</v>
      </c>
      <c r="FI67" s="363">
        <f t="shared" si="237"/>
        <v>117.67421058688591</v>
      </c>
      <c r="FJ67" s="363">
        <f t="shared" si="237"/>
        <v>93.807864083453993</v>
      </c>
      <c r="FK67" s="363">
        <f t="shared" si="237"/>
        <v>75.06939221523686</v>
      </c>
      <c r="FL67" s="363">
        <f t="shared" si="237"/>
        <v>60.190534179855376</v>
      </c>
      <c r="FM67" s="363">
        <f t="shared" si="237"/>
        <v>48.301920464746715</v>
      </c>
      <c r="FN67" s="189">
        <f>+(FJ67/ES67)^0.2-1</f>
        <v>-0.19236464914115281</v>
      </c>
      <c r="FO67" s="189">
        <f t="shared" ref="FO67:FO71" si="238">+(FM67/EI67)^0.1-1</f>
        <v>-0.19195229910299538</v>
      </c>
    </row>
    <row r="68" spans="1:171" x14ac:dyDescent="0.3">
      <c r="A68" s="30" t="s">
        <v>312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44"/>
      <c r="DV68" s="44"/>
      <c r="DW68" s="44"/>
      <c r="DX68" s="44"/>
      <c r="DY68" s="45"/>
      <c r="DZ68" s="44">
        <f>Inputs!DZ182</f>
        <v>583</v>
      </c>
      <c r="EA68" s="44">
        <f>Inputs!EA182</f>
        <v>580</v>
      </c>
      <c r="EB68" s="44">
        <f>Inputs!EB182</f>
        <v>582</v>
      </c>
      <c r="EC68" s="44">
        <f>Inputs!EC182</f>
        <v>570</v>
      </c>
      <c r="ED68" s="45">
        <f>+SUM(DZ68:EC68)</f>
        <v>2315</v>
      </c>
      <c r="EE68" s="44">
        <f>Inputs!EE182</f>
        <v>567</v>
      </c>
      <c r="EF68" s="44">
        <f>Inputs!EF182</f>
        <v>537</v>
      </c>
      <c r="EG68" s="44">
        <f>Inputs!EG182</f>
        <v>540</v>
      </c>
      <c r="EH68" s="44">
        <f>Inputs!EH182</f>
        <v>505</v>
      </c>
      <c r="EI68" s="45">
        <f>+SUM(EE68:EH68)</f>
        <v>2149</v>
      </c>
      <c r="EJ68" s="44">
        <f>Inputs!EJ182</f>
        <v>460</v>
      </c>
      <c r="EK68" s="44">
        <f>Inputs!EK182</f>
        <v>451</v>
      </c>
      <c r="EL68" s="44">
        <f>Inputs!EL182</f>
        <v>459</v>
      </c>
      <c r="EM68" s="44">
        <f>Inputs!EM182</f>
        <v>442</v>
      </c>
      <c r="EN68" s="45">
        <f>+SUM(EJ68:EM68)</f>
        <v>1812</v>
      </c>
      <c r="EO68" s="44">
        <f>Inputs!EO182</f>
        <v>467</v>
      </c>
      <c r="EP68" s="44">
        <f>Inputs!EP182</f>
        <v>460</v>
      </c>
      <c r="EQ68" s="44">
        <f>Inputs!EQ182</f>
        <v>482</v>
      </c>
      <c r="ER68" s="44">
        <f>Inputs!ER182</f>
        <v>453</v>
      </c>
      <c r="ES68" s="45">
        <f>+SUM(EO68:ER68)</f>
        <v>1862</v>
      </c>
      <c r="ET68" s="59">
        <f t="shared" ref="ET68:EW68" si="239">ET76*ET108*3/1000</f>
        <v>462.77438581687494</v>
      </c>
      <c r="EU68" s="59">
        <f t="shared" si="239"/>
        <v>456.51114753749988</v>
      </c>
      <c r="EV68" s="59">
        <f t="shared" si="239"/>
        <v>478.97121442500003</v>
      </c>
      <c r="EW68" s="59">
        <f t="shared" si="239"/>
        <v>451.05991425000002</v>
      </c>
      <c r="EX68" s="45">
        <f>+SUM(ET68:EW68)</f>
        <v>1849.3166620293748</v>
      </c>
      <c r="EY68" s="59">
        <f t="shared" ref="EY68:FB68" si="240">EY76*EY108*3/1000</f>
        <v>461.30599677196585</v>
      </c>
      <c r="EZ68" s="59">
        <f t="shared" si="240"/>
        <v>455.03120690530062</v>
      </c>
      <c r="FA68" s="59">
        <f t="shared" si="240"/>
        <v>477.45116273627337</v>
      </c>
      <c r="FB68" s="59">
        <f t="shared" si="240"/>
        <v>449.65955012309348</v>
      </c>
      <c r="FC68" s="59">
        <f t="shared" ref="FC68:FM68" si="241">FC76*FC108*12/1000</f>
        <v>1843.4484014477725</v>
      </c>
      <c r="FD68" s="59">
        <f t="shared" ref="FD68:FG68" si="242">FD76*FD108*3/1000</f>
        <v>459.84227184564691</v>
      </c>
      <c r="FE68" s="59">
        <f t="shared" si="242"/>
        <v>453.55606454503817</v>
      </c>
      <c r="FF68" s="59">
        <f t="shared" si="242"/>
        <v>475.93593561116205</v>
      </c>
      <c r="FG68" s="59">
        <f t="shared" si="242"/>
        <v>448.26353411912646</v>
      </c>
      <c r="FH68" s="59">
        <f t="shared" si="241"/>
        <v>1837.5987729361646</v>
      </c>
      <c r="FI68" s="59">
        <f t="shared" si="241"/>
        <v>1832.825318788048</v>
      </c>
      <c r="FJ68" s="59">
        <f t="shared" si="241"/>
        <v>1827.1985450593681</v>
      </c>
      <c r="FK68" s="59">
        <f t="shared" si="241"/>
        <v>1821.5890455260358</v>
      </c>
      <c r="FL68" s="59">
        <f t="shared" si="241"/>
        <v>1815.9967671562708</v>
      </c>
      <c r="FM68" s="59">
        <f t="shared" si="241"/>
        <v>1810.4216570811009</v>
      </c>
      <c r="FN68" s="189">
        <f>+(FJ68/ES68)^0.2-1</f>
        <v>-3.7663364243528674E-3</v>
      </c>
      <c r="FO68" s="189">
        <f t="shared" si="238"/>
        <v>-1.6998157015858384E-2</v>
      </c>
    </row>
    <row r="69" spans="1:171" x14ac:dyDescent="0.3">
      <c r="A69" s="30" t="s">
        <v>42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44"/>
      <c r="DV69" s="44"/>
      <c r="DW69" s="44"/>
      <c r="DX69" s="44"/>
      <c r="DY69" s="45"/>
      <c r="DZ69" s="161">
        <f>+Inputs!DZ183</f>
        <v>349</v>
      </c>
      <c r="EA69" s="161">
        <f>+Inputs!EA183</f>
        <v>316</v>
      </c>
      <c r="EB69" s="161">
        <f>+Inputs!EB183</f>
        <v>318</v>
      </c>
      <c r="EC69" s="161">
        <f>+Inputs!EC183</f>
        <v>316</v>
      </c>
      <c r="ED69" s="160">
        <f>+SUM(DZ69:EC69)</f>
        <v>1299</v>
      </c>
      <c r="EE69" s="161">
        <f>+Inputs!EE183</f>
        <v>328</v>
      </c>
      <c r="EF69" s="161">
        <f>+Inputs!EF183</f>
        <v>338</v>
      </c>
      <c r="EG69" s="161">
        <f>+Inputs!EG183</f>
        <v>354</v>
      </c>
      <c r="EH69" s="161">
        <f>+Inputs!EH183</f>
        <v>360</v>
      </c>
      <c r="EI69" s="160">
        <f>+SUM(EE69:EH69)</f>
        <v>1380</v>
      </c>
      <c r="EJ69" s="161">
        <f>+Inputs!EJ183</f>
        <v>386</v>
      </c>
      <c r="EK69" s="161">
        <f>+Inputs!EK183</f>
        <v>386</v>
      </c>
      <c r="EL69" s="161">
        <f>+Inputs!EL183</f>
        <v>396</v>
      </c>
      <c r="EM69" s="161">
        <f>+Inputs!EM183</f>
        <v>391</v>
      </c>
      <c r="EN69" s="160">
        <f>+SUM(EJ69:EM69)</f>
        <v>1559</v>
      </c>
      <c r="EO69" s="161">
        <f>+Inputs!EO183</f>
        <v>378</v>
      </c>
      <c r="EP69" s="161">
        <f>+Inputs!EP183</f>
        <v>385</v>
      </c>
      <c r="EQ69" s="161">
        <f>+Inputs!EQ183</f>
        <v>363</v>
      </c>
      <c r="ER69" s="161">
        <f>+Inputs!ER183</f>
        <v>363</v>
      </c>
      <c r="ES69" s="160">
        <f>+SUM(EO69:ER69)</f>
        <v>1489</v>
      </c>
      <c r="ET69" s="157">
        <f t="shared" ref="ET69:EW69" si="243">ET70-ET68</f>
        <v>365.07592182070374</v>
      </c>
      <c r="EU69" s="157">
        <f t="shared" si="243"/>
        <v>371.88538439773953</v>
      </c>
      <c r="EV69" s="157">
        <f t="shared" si="243"/>
        <v>352.96694008551452</v>
      </c>
      <c r="EW69" s="157">
        <f t="shared" si="243"/>
        <v>351.88679138615908</v>
      </c>
      <c r="EX69" s="160">
        <f>+SUM(ET69:EW69)</f>
        <v>1441.8150376901169</v>
      </c>
      <c r="EY69" s="157">
        <f t="shared" ref="EY69:FB69" si="244">EY70-EY68</f>
        <v>360.5123955235149</v>
      </c>
      <c r="EZ69" s="157">
        <f t="shared" si="244"/>
        <v>366.87673161828644</v>
      </c>
      <c r="FA69" s="157">
        <f t="shared" si="244"/>
        <v>350.44428258470629</v>
      </c>
      <c r="FB69" s="157">
        <f t="shared" si="244"/>
        <v>348.03092375647896</v>
      </c>
      <c r="FC69" s="157">
        <f t="shared" ref="FC69:FM69" si="245">FC70-FC68</f>
        <v>1425.8638485718475</v>
      </c>
      <c r="FD69" s="157">
        <f t="shared" si="245"/>
        <v>373.17275371055848</v>
      </c>
      <c r="FE69" s="157">
        <f t="shared" si="245"/>
        <v>379.5472239002865</v>
      </c>
      <c r="FF69" s="157">
        <f t="shared" si="245"/>
        <v>364.61639527021231</v>
      </c>
      <c r="FG69" s="157">
        <f t="shared" si="245"/>
        <v>361.5290870663498</v>
      </c>
      <c r="FH69" s="157">
        <f t="shared" si="245"/>
        <v>1478.8644931322165</v>
      </c>
      <c r="FI69" s="157">
        <f t="shared" si="245"/>
        <v>1538.1444717681863</v>
      </c>
      <c r="FJ69" s="157">
        <f t="shared" si="245"/>
        <v>1605.2685007995817</v>
      </c>
      <c r="FK69" s="157">
        <f t="shared" si="245"/>
        <v>1668.8376751332564</v>
      </c>
      <c r="FL69" s="157">
        <f t="shared" si="245"/>
        <v>1726.7640424410342</v>
      </c>
      <c r="FM69" s="157">
        <f t="shared" si="245"/>
        <v>1779.0580827378089</v>
      </c>
      <c r="FN69" s="189">
        <f>+(FJ69/ES69)^0.2-1</f>
        <v>1.51508841911423E-2</v>
      </c>
      <c r="FO69" s="189">
        <f t="shared" si="238"/>
        <v>2.5725385851993021E-2</v>
      </c>
    </row>
    <row r="70" spans="1:171" x14ac:dyDescent="0.3">
      <c r="A70" s="29" t="s">
        <v>314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53"/>
      <c r="DV70" s="53"/>
      <c r="DW70" s="53"/>
      <c r="DX70" s="53"/>
      <c r="DY70" s="45"/>
      <c r="DZ70" s="1154">
        <f>SUM(DZ68:DZ69)</f>
        <v>932</v>
      </c>
      <c r="EA70" s="1154">
        <f>SUM(EA68:EA69)</f>
        <v>896</v>
      </c>
      <c r="EB70" s="1154">
        <f>SUM(EB68:EB69)</f>
        <v>900</v>
      </c>
      <c r="EC70" s="1154">
        <f>SUM(EC68:EC69)</f>
        <v>886</v>
      </c>
      <c r="ED70" s="45">
        <f>SUM(DZ70:EC70)</f>
        <v>3614</v>
      </c>
      <c r="EE70" s="1154">
        <f>SUM(EE68:EE69)</f>
        <v>895</v>
      </c>
      <c r="EF70" s="1154">
        <f>SUM(EF68:EF69)</f>
        <v>875</v>
      </c>
      <c r="EG70" s="1154">
        <f>SUM(EG68:EG69)</f>
        <v>894</v>
      </c>
      <c r="EH70" s="1154">
        <f>SUM(EH68:EH69)</f>
        <v>865</v>
      </c>
      <c r="EI70" s="45">
        <f>SUM(EE70:EH70)</f>
        <v>3529</v>
      </c>
      <c r="EJ70" s="1154">
        <f>SUM(EJ68:EJ69)</f>
        <v>846</v>
      </c>
      <c r="EK70" s="1154">
        <f>SUM(EK68:EK69)</f>
        <v>837</v>
      </c>
      <c r="EL70" s="1154">
        <f>SUM(EL68:EL69)</f>
        <v>855</v>
      </c>
      <c r="EM70" s="1154">
        <f>SUM(EM68:EM69)</f>
        <v>833</v>
      </c>
      <c r="EN70" s="45">
        <f>SUM(EJ70:EM70)</f>
        <v>3371</v>
      </c>
      <c r="EO70" s="1154">
        <f>SUM(EO68:EO69)</f>
        <v>845</v>
      </c>
      <c r="EP70" s="1154">
        <f>SUM(EP68:EP69)</f>
        <v>845</v>
      </c>
      <c r="EQ70" s="1154">
        <f>SUM(EQ68:EQ69)</f>
        <v>845</v>
      </c>
      <c r="ER70" s="1154">
        <f>SUM(ER68:ER69)</f>
        <v>816</v>
      </c>
      <c r="ES70" s="45">
        <f>SUM(EO70:ER70)</f>
        <v>3351</v>
      </c>
      <c r="ET70" s="1154">
        <f t="shared" ref="ET70:EW70" si="246">ET510</f>
        <v>827.85030763757868</v>
      </c>
      <c r="EU70" s="1154">
        <f t="shared" si="246"/>
        <v>828.39653193523941</v>
      </c>
      <c r="EV70" s="1154">
        <f t="shared" si="246"/>
        <v>831.93815451051455</v>
      </c>
      <c r="EW70" s="1154">
        <f t="shared" si="246"/>
        <v>802.94670563615909</v>
      </c>
      <c r="EX70" s="45">
        <f>SUM(ET70:EW70)</f>
        <v>3291.1316997194917</v>
      </c>
      <c r="EY70" s="1154">
        <f t="shared" ref="EY70:FB70" si="247">EY510</f>
        <v>821.81839229548075</v>
      </c>
      <c r="EZ70" s="1154">
        <f t="shared" si="247"/>
        <v>821.90793852358706</v>
      </c>
      <c r="FA70" s="1154">
        <f t="shared" si="247"/>
        <v>827.89544532097966</v>
      </c>
      <c r="FB70" s="1154">
        <f t="shared" si="247"/>
        <v>797.69047387957244</v>
      </c>
      <c r="FC70" s="1154">
        <f t="shared" ref="FC70:FM70" si="248">FC510</f>
        <v>3269.31225001962</v>
      </c>
      <c r="FD70" s="1154">
        <f t="shared" si="248"/>
        <v>833.01502555620539</v>
      </c>
      <c r="FE70" s="1154">
        <f t="shared" si="248"/>
        <v>833.10328844532467</v>
      </c>
      <c r="FF70" s="1154">
        <f t="shared" si="248"/>
        <v>840.55233088137436</v>
      </c>
      <c r="FG70" s="1154">
        <f t="shared" si="248"/>
        <v>809.79262118547626</v>
      </c>
      <c r="FH70" s="1154">
        <f t="shared" si="248"/>
        <v>3316.463266068381</v>
      </c>
      <c r="FI70" s="1154">
        <f t="shared" si="248"/>
        <v>3370.9697905562343</v>
      </c>
      <c r="FJ70" s="1154">
        <f t="shared" si="248"/>
        <v>3432.4670458589499</v>
      </c>
      <c r="FK70" s="1154">
        <f t="shared" si="248"/>
        <v>3490.4267206592922</v>
      </c>
      <c r="FL70" s="1154">
        <f t="shared" si="248"/>
        <v>3542.7608095973051</v>
      </c>
      <c r="FM70" s="1154">
        <f t="shared" si="248"/>
        <v>3589.4797398189098</v>
      </c>
      <c r="FN70" s="189">
        <f>+(FJ70/ES70)^0.2-1</f>
        <v>4.8156479879937208E-3</v>
      </c>
      <c r="FO70" s="189">
        <f t="shared" si="238"/>
        <v>1.7007173856351532E-3</v>
      </c>
    </row>
    <row r="71" spans="1:171" x14ac:dyDescent="0.3">
      <c r="A71" s="48" t="s">
        <v>43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58"/>
      <c r="DV71" s="58"/>
      <c r="DW71" s="58"/>
      <c r="DX71" s="58"/>
      <c r="DY71" s="45"/>
      <c r="DZ71" s="1783">
        <f>DZ67+DZ70</f>
        <v>1102</v>
      </c>
      <c r="EA71" s="1783">
        <f>EA67+EA70</f>
        <v>1051</v>
      </c>
      <c r="EB71" s="1783">
        <f>EB67+EB70</f>
        <v>1036</v>
      </c>
      <c r="EC71" s="1783">
        <f>EC67+EC70</f>
        <v>1002</v>
      </c>
      <c r="ED71" s="858">
        <f>+SUM(DZ71:EC71)</f>
        <v>4191</v>
      </c>
      <c r="EE71" s="1783">
        <f>EE67+EE70</f>
        <v>1006</v>
      </c>
      <c r="EF71" s="1783">
        <f>EF67+EF70</f>
        <v>983</v>
      </c>
      <c r="EG71" s="1783">
        <f>EG67+EG70</f>
        <v>989</v>
      </c>
      <c r="EH71" s="1783">
        <f>EH67+EH70</f>
        <v>958</v>
      </c>
      <c r="EI71" s="858">
        <f>+SUM(EE71:EH71)</f>
        <v>3936</v>
      </c>
      <c r="EJ71" s="1783">
        <f>EJ67+EJ70</f>
        <v>938</v>
      </c>
      <c r="EK71" s="1783">
        <f>EK67+EK70</f>
        <v>924</v>
      </c>
      <c r="EL71" s="1783">
        <f>EL67+EL70</f>
        <v>936</v>
      </c>
      <c r="EM71" s="1783">
        <f>EM67+EM70</f>
        <v>909</v>
      </c>
      <c r="EN71" s="858">
        <f>+SUM(EJ71:EM71)</f>
        <v>3707</v>
      </c>
      <c r="EO71" s="1783">
        <f>EO67+EO70</f>
        <v>921</v>
      </c>
      <c r="EP71" s="1783">
        <f>EP67+EP70</f>
        <v>916</v>
      </c>
      <c r="EQ71" s="1783">
        <f>EQ67+EQ70</f>
        <v>910</v>
      </c>
      <c r="ER71" s="1783">
        <f>ER67+ER70</f>
        <v>877</v>
      </c>
      <c r="ES71" s="858">
        <f>+SUM(EO71:ER71)</f>
        <v>3624</v>
      </c>
      <c r="ET71" s="1783">
        <f t="shared" ref="ET71:EW71" si="249">ET67+ET70</f>
        <v>888.42094301999123</v>
      </c>
      <c r="EU71" s="1783">
        <f t="shared" si="249"/>
        <v>885.28631343888594</v>
      </c>
      <c r="EV71" s="1783">
        <f t="shared" si="249"/>
        <v>884.51634264217523</v>
      </c>
      <c r="EW71" s="1783">
        <f t="shared" si="249"/>
        <v>852.32927058861139</v>
      </c>
      <c r="EX71" s="858">
        <f>+SUM(ET71:EW71)</f>
        <v>3510.5528696896636</v>
      </c>
      <c r="EY71" s="1783">
        <f t="shared" ref="EY71:FB71" si="250">EY67+EY70</f>
        <v>870.71320080658995</v>
      </c>
      <c r="EZ71" s="1783">
        <f t="shared" si="250"/>
        <v>867.98149563955508</v>
      </c>
      <c r="FA71" s="1783">
        <f t="shared" si="250"/>
        <v>870.58837668474234</v>
      </c>
      <c r="FB71" s="1783">
        <f t="shared" si="250"/>
        <v>837.85257030468802</v>
      </c>
      <c r="FC71" s="1783">
        <f t="shared" ref="FC71:FM71" si="251">FC67+FC70</f>
        <v>3447.1356434355757</v>
      </c>
      <c r="FD71" s="1783">
        <f t="shared" si="251"/>
        <v>872.74705984218781</v>
      </c>
      <c r="FE71" s="1783">
        <f t="shared" si="251"/>
        <v>870.63997207630393</v>
      </c>
      <c r="FF71" s="1783">
        <f t="shared" si="251"/>
        <v>875.40541263501291</v>
      </c>
      <c r="FG71" s="1783">
        <f t="shared" si="251"/>
        <v>842.6160218171724</v>
      </c>
      <c r="FH71" s="1783">
        <f t="shared" si="251"/>
        <v>3461.4084663706772</v>
      </c>
      <c r="FI71" s="1783">
        <f t="shared" si="251"/>
        <v>3488.64400114312</v>
      </c>
      <c r="FJ71" s="1783">
        <f t="shared" si="251"/>
        <v>3526.2749099424041</v>
      </c>
      <c r="FK71" s="1783">
        <f t="shared" si="251"/>
        <v>3565.496112874529</v>
      </c>
      <c r="FL71" s="1783">
        <f t="shared" si="251"/>
        <v>3602.9513437771602</v>
      </c>
      <c r="FM71" s="1783">
        <f t="shared" si="251"/>
        <v>3637.7816602836565</v>
      </c>
      <c r="FN71" s="189">
        <f>+(FJ71/ES71)^0.2-1</f>
        <v>-5.4523498346250587E-3</v>
      </c>
      <c r="FO71" s="189">
        <f t="shared" si="238"/>
        <v>-7.848133049842998E-3</v>
      </c>
    </row>
    <row r="72" spans="1:171" s="94" customFormat="1" x14ac:dyDescent="0.3">
      <c r="A72" s="1158" t="s">
        <v>315</v>
      </c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13"/>
      <c r="DZ72" s="1159">
        <f>DZ67/DZ452*1000/3</f>
        <v>95.398428731762053</v>
      </c>
      <c r="EA72" s="1159">
        <f>EA67/EA452*1000/3</f>
        <v>92.344355078939529</v>
      </c>
      <c r="EB72" s="1159">
        <f>EB67/EB452*1000/3</f>
        <v>86.845466155810982</v>
      </c>
      <c r="EC72" s="1159">
        <f>EC67/EC452*1000/3</f>
        <v>79.725085910652922</v>
      </c>
      <c r="ED72" s="1164">
        <f>ED67/ED452*1000/12</f>
        <v>89.022602792563461</v>
      </c>
      <c r="EE72" s="1159">
        <f>EE67/EE452*1000/3</f>
        <v>81.677704194260485</v>
      </c>
      <c r="EF72" s="1159">
        <f>EF67/EF452*1000/3</f>
        <v>85.106382978723403</v>
      </c>
      <c r="EG72" s="1159">
        <f>EG67/EG452*1000/3</f>
        <v>79.664570230607964</v>
      </c>
      <c r="EH72" s="1159">
        <f>EH67/EH452*1000/3</f>
        <v>82.228116710875327</v>
      </c>
      <c r="EI72" s="1164">
        <f>EI67/EI452*1000/12</f>
        <v>82.197313945269102</v>
      </c>
      <c r="EJ72" s="1159">
        <f>EJ67/EJ452*1000/3</f>
        <v>85.303662494204914</v>
      </c>
      <c r="EK72" s="1159">
        <f>EK67/EK452*1000/3</f>
        <v>85.043988269794724</v>
      </c>
      <c r="EL72" s="1159">
        <f>EL67/EL452*1000/3</f>
        <v>84.243369734789397</v>
      </c>
      <c r="EM72" s="1159">
        <f>EM67/EM452*1000/3</f>
        <v>83.885209713024281</v>
      </c>
      <c r="EN72" s="1164">
        <f>EN67/EN452*1000/12</f>
        <v>84.656084656084644</v>
      </c>
      <c r="EO72" s="1159">
        <f>EO67/EO452*1000/3</f>
        <v>88.8888888888889</v>
      </c>
      <c r="EP72" s="1159">
        <f>EP67/EP452*1000/3</f>
        <v>89.139987445072208</v>
      </c>
      <c r="EQ72" s="1159">
        <f>EQ67/EQ452*1000/3</f>
        <v>88.255261371350983</v>
      </c>
      <c r="ER72" s="1159">
        <f>ER67/ER452*1000/3</f>
        <v>88.791848617176129</v>
      </c>
      <c r="ES72" s="1164">
        <f t="shared" ref="ES72:FM72" si="252">ES67/ES452*1000/12</f>
        <v>88.780487804878064</v>
      </c>
      <c r="ET72" s="1159">
        <f t="shared" ref="ET72:EW72" si="253">ET67/ET452*1000/3</f>
        <v>94.005688888888912</v>
      </c>
      <c r="EU72" s="1159">
        <f t="shared" si="253"/>
        <v>94.385987445072217</v>
      </c>
      <c r="EV72" s="1159">
        <f t="shared" si="253"/>
        <v>93.521661371351001</v>
      </c>
      <c r="EW72" s="1159">
        <f t="shared" si="253"/>
        <v>94.073848617176125</v>
      </c>
      <c r="EX72" s="1164">
        <f t="shared" ref="EX72" si="254">EX67/EX452*1000/12</f>
        <v>94.002637272820337</v>
      </c>
      <c r="EY72" s="1159">
        <f t="shared" ref="EY72:FB72" si="255">EY67/EY452*1000/3</f>
        <v>99.327160888888898</v>
      </c>
      <c r="EZ72" s="1159">
        <f t="shared" si="255"/>
        <v>99.841827445072184</v>
      </c>
      <c r="FA72" s="1159">
        <f t="shared" si="255"/>
        <v>98.998717371351006</v>
      </c>
      <c r="FB72" s="1159">
        <f t="shared" si="255"/>
        <v>99.567128617176138</v>
      </c>
      <c r="FC72" s="1159">
        <f t="shared" si="252"/>
        <v>99.434889581495838</v>
      </c>
      <c r="FD72" s="1159">
        <f t="shared" ref="FD72:FG72" si="256">FD67/FD452*1000/3</f>
        <v>104.86149176888891</v>
      </c>
      <c r="FE72" s="1159">
        <f t="shared" si="256"/>
        <v>105.51590104507221</v>
      </c>
      <c r="FF72" s="1159">
        <f t="shared" si="256"/>
        <v>104.69485561135099</v>
      </c>
      <c r="FG72" s="1159">
        <f t="shared" si="256"/>
        <v>105.28013981717613</v>
      </c>
      <c r="FH72" s="1159">
        <f t="shared" si="252"/>
        <v>105.08468300027586</v>
      </c>
      <c r="FI72" s="1159">
        <f t="shared" si="252"/>
        <v>110.96073924926371</v>
      </c>
      <c r="FJ72" s="1159">
        <f t="shared" si="252"/>
        <v>117.07183774821102</v>
      </c>
      <c r="FK72" s="1159">
        <f t="shared" si="252"/>
        <v>123.42738018711628</v>
      </c>
      <c r="FL72" s="1159">
        <f t="shared" si="252"/>
        <v>130.03714432357773</v>
      </c>
      <c r="FM72" s="1159">
        <f t="shared" si="252"/>
        <v>136.91129902549764</v>
      </c>
    </row>
    <row r="73" spans="1:171" s="94" customFormat="1" x14ac:dyDescent="0.3">
      <c r="A73" s="1158" t="s">
        <v>316</v>
      </c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13"/>
      <c r="DZ73" s="1159"/>
      <c r="EA73" s="1159"/>
      <c r="EB73" s="1159"/>
      <c r="EC73" s="1159"/>
      <c r="ED73" s="1164"/>
      <c r="EE73" s="1137">
        <f>EE72/DZ72-1</f>
        <v>-0.14382547721075178</v>
      </c>
      <c r="EF73" s="1137">
        <f>EF72/EA72-1</f>
        <v>-7.838023335621136E-2</v>
      </c>
      <c r="EG73" s="1137">
        <f>EG72/EB72-1</f>
        <v>-8.2685904550499512E-2</v>
      </c>
      <c r="EH73" s="1137">
        <f>EH72/EC72-1</f>
        <v>3.1395774261410381E-2</v>
      </c>
      <c r="EI73" s="199">
        <f>+EI72/ED72-1</f>
        <v>-7.666916752814279E-2</v>
      </c>
      <c r="EJ73" s="1137">
        <f>EJ72/EE72-1</f>
        <v>4.4393489456076463E-2</v>
      </c>
      <c r="EK73" s="1137">
        <f>EK72/EF72-1</f>
        <v>-7.3313782991202281E-4</v>
      </c>
      <c r="EL73" s="1137">
        <f>EL72/EG72-1</f>
        <v>5.7475983249856366E-2</v>
      </c>
      <c r="EM73" s="1137">
        <f>EM72/EH72-1</f>
        <v>2.0152389090650091E-2</v>
      </c>
      <c r="EN73" s="199">
        <f>+EN72/EI72-1</f>
        <v>2.9913029913029909E-2</v>
      </c>
      <c r="EO73" s="1137">
        <f>EO72/EJ72-1</f>
        <v>4.202898550724643E-2</v>
      </c>
      <c r="EP73" s="1137">
        <f>EP72/EK72-1</f>
        <v>4.8163300647228402E-2</v>
      </c>
      <c r="EQ73" s="1137">
        <f>EQ72/EL72-1</f>
        <v>4.7622639611777373E-2</v>
      </c>
      <c r="ER73" s="1137">
        <f>ER72/EM72-1</f>
        <v>5.8492300620547111E-2</v>
      </c>
      <c r="ES73" s="199">
        <f>+ES72/EN72-1</f>
        <v>4.8719512195122272E-2</v>
      </c>
      <c r="ET73" s="1137">
        <f t="shared" ref="ET73:EW73" si="257">ET72/EO72-1</f>
        <v>5.7564000000000171E-2</v>
      </c>
      <c r="EU73" s="1137">
        <f t="shared" si="257"/>
        <v>5.8851253521126745E-2</v>
      </c>
      <c r="EV73" s="1137">
        <f t="shared" si="257"/>
        <v>5.9672363076923363E-2</v>
      </c>
      <c r="EW73" s="1137">
        <f t="shared" si="257"/>
        <v>5.9487442622950804E-2</v>
      </c>
      <c r="EX73" s="199">
        <f>+EX72/ES72-1</f>
        <v>5.8820914336712438E-2</v>
      </c>
      <c r="EY73" s="1137">
        <f t="shared" ref="EY73" si="258">EY72/ET72-1</f>
        <v>5.6607978335117215E-2</v>
      </c>
      <c r="EZ73" s="1137">
        <f t="shared" ref="EZ73" si="259">EZ72/EU72-1</f>
        <v>5.7803495494233026E-2</v>
      </c>
      <c r="FA73" s="1137">
        <f t="shared" ref="FA73" si="260">FA72/EV72-1</f>
        <v>5.8564571241436658E-2</v>
      </c>
      <c r="FB73" s="1137">
        <f t="shared" ref="FB73" si="261">FB72/EW72-1</f>
        <v>5.8393273802949786E-2</v>
      </c>
      <c r="FC73" s="199">
        <f>+FC72/EX72-1</f>
        <v>5.7788296863519717E-2</v>
      </c>
      <c r="FD73" s="1137">
        <f t="shared" ref="FD73" si="262">FD72/EY72-1</f>
        <v>5.5718202659501337E-2</v>
      </c>
      <c r="FE73" s="1137">
        <f t="shared" ref="FE73" si="263">FE72/EZ72-1</f>
        <v>5.6830626453843847E-2</v>
      </c>
      <c r="FF73" s="1137">
        <f t="shared" ref="FF73" si="264">FF72/FA72-1</f>
        <v>5.7537495345857614E-2</v>
      </c>
      <c r="FG73" s="1137">
        <f t="shared" ref="FG73" si="265">FG72/FB72-1</f>
        <v>5.7378487050338212E-2</v>
      </c>
      <c r="FH73" s="199">
        <f>+FH72/FC72-1</f>
        <v>5.6819024414458852E-2</v>
      </c>
      <c r="FI73" s="199">
        <f t="shared" ref="FI73:FM73" si="266">+FI72/FH72-1</f>
        <v>5.5917342863111896E-2</v>
      </c>
      <c r="FJ73" s="199">
        <f t="shared" si="266"/>
        <v>5.5074421279938113E-2</v>
      </c>
      <c r="FK73" s="199">
        <f t="shared" si="266"/>
        <v>5.4287543111557479E-2</v>
      </c>
      <c r="FL73" s="199">
        <f t="shared" si="266"/>
        <v>5.3551846652185597E-2</v>
      </c>
      <c r="FM73" s="199">
        <f t="shared" si="266"/>
        <v>5.2863008778588849E-2</v>
      </c>
    </row>
    <row r="74" spans="1:171" s="94" customFormat="1" x14ac:dyDescent="0.3">
      <c r="A74" s="1158" t="s">
        <v>317</v>
      </c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13"/>
      <c r="DZ74" s="1160">
        <f>DZ70/DZ108*1000/3</f>
        <v>20.438596491228072</v>
      </c>
      <c r="EA74" s="1160">
        <f>EA70/EA108*1000/3</f>
        <v>19.649122807017545</v>
      </c>
      <c r="EB74" s="1160">
        <f>EB70/EB108*1000/3</f>
        <v>19.736842105263158</v>
      </c>
      <c r="EC74" s="1160">
        <f>EC70/EC108*1000/3</f>
        <v>19.429824561403507</v>
      </c>
      <c r="ED74" s="1165">
        <f>ED70/ED108*1000/12</f>
        <v>19.813596491228072</v>
      </c>
      <c r="EE74" s="1160">
        <f>EE70/EE108*1000/3</f>
        <v>19.62719298245614</v>
      </c>
      <c r="EF74" s="1160">
        <f>EF70/EF108*1000/3</f>
        <v>19.125683060109292</v>
      </c>
      <c r="EG74" s="1160">
        <f>EG70/EG108*1000/3</f>
        <v>19.477124183006534</v>
      </c>
      <c r="EH74" s="1160">
        <f>EH70/EH108*1000/3</f>
        <v>18.845315904139433</v>
      </c>
      <c r="EI74" s="1165">
        <f>EI70/EI108*1000/12</f>
        <v>19.268359268359269</v>
      </c>
      <c r="EJ74" s="1160">
        <f>EJ70/EJ108*1000/3</f>
        <v>18.43137254901961</v>
      </c>
      <c r="EK74" s="1160">
        <f>EK70/EK108*1000/3</f>
        <v>18.235294117647058</v>
      </c>
      <c r="EL74" s="1160">
        <f>EL70/EL108*1000/3</f>
        <v>18.627450980392158</v>
      </c>
      <c r="EM74" s="1160">
        <f>EM70/EM108*1000/3</f>
        <v>18.089033659066232</v>
      </c>
      <c r="EN74" s="1165">
        <f t="shared" ref="EN74:FM74" si="267">EN70/EN108*1000/12</f>
        <v>18.345578231292517</v>
      </c>
      <c r="EO74" s="1160">
        <f>EO70/EO108*1000/3</f>
        <v>18.29004329004329</v>
      </c>
      <c r="EP74" s="1160">
        <f>EP70/EP108*1000/3</f>
        <v>18.29004329004329</v>
      </c>
      <c r="EQ74" s="1160">
        <f>EQ70/EQ108*1000/3</f>
        <v>18.29004329004329</v>
      </c>
      <c r="ER74" s="1160">
        <f>ER70/ER108*1000/3</f>
        <v>17.662337662337663</v>
      </c>
      <c r="ES74" s="1165">
        <f t="shared" ref="ES74" si="268">ES70/ES108*1000/12</f>
        <v>18.133116883116884</v>
      </c>
      <c r="ET74" s="1160">
        <f t="shared" ref="ET74:EW74" si="269">ET70/ET108*1000/3</f>
        <v>17.901631003702846</v>
      </c>
      <c r="EU74" s="1160">
        <f t="shared" si="269"/>
        <v>17.887017659249157</v>
      </c>
      <c r="EV74" s="1160">
        <f t="shared" si="269"/>
        <v>17.939977172388595</v>
      </c>
      <c r="EW74" s="1160">
        <f t="shared" si="269"/>
        <v>17.280006784115219</v>
      </c>
      <c r="EX74" s="1165">
        <f t="shared" ref="EX74" si="270">EX70/EX108*1000/12</f>
        <v>17.751772170463177</v>
      </c>
      <c r="EY74" s="1160">
        <f t="shared" ref="EY74:FB74" si="271">EY70/EY108*1000/3</f>
        <v>17.649485527520138</v>
      </c>
      <c r="EZ74" s="1160">
        <f t="shared" si="271"/>
        <v>17.626587372636056</v>
      </c>
      <c r="FA74" s="1160">
        <f t="shared" si="271"/>
        <v>17.730541112199237</v>
      </c>
      <c r="FB74" s="1160">
        <f t="shared" si="271"/>
        <v>17.048147714810387</v>
      </c>
      <c r="FC74" s="1160">
        <f t="shared" si="267"/>
        <v>17.513314499524618</v>
      </c>
      <c r="FD74" s="1160">
        <f t="shared" ref="FD74:FG74" si="272">FD70/FD108*1000/3</f>
        <v>17.76742258356024</v>
      </c>
      <c r="FE74" s="1160">
        <f t="shared" si="272"/>
        <v>17.745543709724785</v>
      </c>
      <c r="FF74" s="1160">
        <f t="shared" si="272"/>
        <v>17.878328209727666</v>
      </c>
      <c r="FG74" s="1160">
        <f t="shared" si="272"/>
        <v>17.187084596883249</v>
      </c>
      <c r="FH74" s="1160">
        <f t="shared" si="267"/>
        <v>17.644226522528289</v>
      </c>
      <c r="FI74" s="1160">
        <f t="shared" si="267"/>
        <v>17.801110873163115</v>
      </c>
      <c r="FJ74" s="1160">
        <f t="shared" si="267"/>
        <v>17.999860962571368</v>
      </c>
      <c r="FK74" s="1160">
        <f t="shared" si="267"/>
        <v>18.176565601740357</v>
      </c>
      <c r="FL74" s="1160">
        <f t="shared" si="267"/>
        <v>18.320851932092214</v>
      </c>
      <c r="FM74" s="1160">
        <f t="shared" si="267"/>
        <v>18.433417891522591</v>
      </c>
    </row>
    <row r="75" spans="1:171" s="94" customFormat="1" x14ac:dyDescent="0.3">
      <c r="A75" s="1158" t="s">
        <v>318</v>
      </c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13"/>
      <c r="DZ75" s="33"/>
      <c r="EA75" s="33"/>
      <c r="EB75" s="33"/>
      <c r="EC75" s="33"/>
      <c r="ED75" s="1200"/>
      <c r="EE75" s="1137">
        <f t="shared" ref="EE75:EX75" si="273">EE74/DZ74-1</f>
        <v>-3.9699570815450724E-2</v>
      </c>
      <c r="EF75" s="1137">
        <f t="shared" si="273"/>
        <v>-2.6639344262294973E-2</v>
      </c>
      <c r="EG75" s="1137">
        <f t="shared" si="273"/>
        <v>-1.3159041394335547E-2</v>
      </c>
      <c r="EH75" s="1137">
        <f t="shared" si="273"/>
        <v>-3.0083064075893673E-2</v>
      </c>
      <c r="EI75" s="1163">
        <f t="shared" si="273"/>
        <v>-2.751833687085492E-2</v>
      </c>
      <c r="EJ75" s="1137">
        <f t="shared" si="273"/>
        <v>-6.0926717055537205E-2</v>
      </c>
      <c r="EK75" s="1137">
        <f t="shared" si="273"/>
        <v>-4.6554621848739708E-2</v>
      </c>
      <c r="EL75" s="1137">
        <f t="shared" si="273"/>
        <v>-4.3624161073825385E-2</v>
      </c>
      <c r="EM75" s="1137">
        <f t="shared" si="273"/>
        <v>-4.0131046299260009E-2</v>
      </c>
      <c r="EN75" s="1163">
        <f t="shared" si="273"/>
        <v>-4.7891002249582204E-2</v>
      </c>
      <c r="EO75" s="1137">
        <f t="shared" si="273"/>
        <v>-7.6678640508428542E-3</v>
      </c>
      <c r="EP75" s="1137">
        <f t="shared" si="273"/>
        <v>3.0023739701159347E-3</v>
      </c>
      <c r="EQ75" s="1137">
        <f t="shared" si="273"/>
        <v>-1.8113465481886637E-2</v>
      </c>
      <c r="ER75" s="1137">
        <f t="shared" si="273"/>
        <v>-2.3588656241717354E-2</v>
      </c>
      <c r="ES75" s="1163">
        <f t="shared" si="273"/>
        <v>-1.1581065774925126E-2</v>
      </c>
      <c r="ET75" s="1137">
        <f t="shared" si="273"/>
        <v>-2.1236269383347328E-2</v>
      </c>
      <c r="EU75" s="1137">
        <f t="shared" si="273"/>
        <v>-2.203524750614072E-2</v>
      </c>
      <c r="EV75" s="1137">
        <f t="shared" si="273"/>
        <v>-1.9139709627984502E-2</v>
      </c>
      <c r="EW75" s="1137">
        <f t="shared" si="273"/>
        <v>-2.1646674722888393E-2</v>
      </c>
      <c r="EX75" s="1163">
        <f t="shared" si="273"/>
        <v>-2.103029033076842E-2</v>
      </c>
      <c r="EY75" s="1137">
        <f t="shared" ref="EY75" si="274">EY74/ET74-1</f>
        <v>-1.4085056056096446E-2</v>
      </c>
      <c r="EZ75" s="1137">
        <f t="shared" ref="EZ75" si="275">EZ74/EU74-1</f>
        <v>-1.4559737770395431E-2</v>
      </c>
      <c r="FA75" s="1137">
        <f t="shared" ref="FA75" si="276">FA74/EV74-1</f>
        <v>-1.1674265701502762E-2</v>
      </c>
      <c r="FB75" s="1137">
        <f t="shared" ref="FB75" si="277">FB74/EW74-1</f>
        <v>-1.3417764946595412E-2</v>
      </c>
      <c r="FC75" s="1137">
        <f>FC74/EX74-1</f>
        <v>-1.343289383441526E-2</v>
      </c>
      <c r="FD75" s="1137">
        <f t="shared" ref="FD75" si="278">FD74/EY74-1</f>
        <v>6.6821809540118515E-3</v>
      </c>
      <c r="FE75" s="1137">
        <f t="shared" ref="FE75" si="279">FE74/EZ74-1</f>
        <v>6.7486879095723928E-3</v>
      </c>
      <c r="FF75" s="1137">
        <f t="shared" ref="FF75" si="280">FF74/FA74-1</f>
        <v>8.3351713065737965E-3</v>
      </c>
      <c r="FG75" s="1137">
        <f t="shared" ref="FG75" si="281">FG74/FB74-1</f>
        <v>8.1496761054082878E-3</v>
      </c>
      <c r="FH75" s="1137">
        <f>FH74/FC74-1</f>
        <v>7.4749998355378988E-3</v>
      </c>
      <c r="FI75" s="1137">
        <f t="shared" ref="FI75:FM75" si="282">FI74/FH74-1</f>
        <v>8.8915402686831069E-3</v>
      </c>
      <c r="FJ75" s="1137">
        <f t="shared" si="282"/>
        <v>1.1165038565536189E-2</v>
      </c>
      <c r="FK75" s="1137">
        <f t="shared" si="282"/>
        <v>9.8170002277475632E-3</v>
      </c>
      <c r="FL75" s="1137">
        <f t="shared" si="282"/>
        <v>7.938041405249896E-3</v>
      </c>
      <c r="FM75" s="1137">
        <f t="shared" si="282"/>
        <v>6.1441443797272122E-3</v>
      </c>
    </row>
    <row r="76" spans="1:171" s="94" customFormat="1" x14ac:dyDescent="0.3">
      <c r="A76" s="1158" t="s">
        <v>319</v>
      </c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13"/>
      <c r="DZ76" s="1160">
        <f>DZ68/DZ108*1000/3</f>
        <v>12.785087719298247</v>
      </c>
      <c r="EA76" s="1160">
        <f>EA68/EA108*1000/3</f>
        <v>12.719298245614034</v>
      </c>
      <c r="EB76" s="1160">
        <f>EB68/EB108*1000/3</f>
        <v>12.763157894736842</v>
      </c>
      <c r="EC76" s="1160">
        <f>EC68/EC108*1000/3</f>
        <v>12.5</v>
      </c>
      <c r="ED76" s="1165">
        <f>ED68/ED108*1000/12</f>
        <v>12.691885964912281</v>
      </c>
      <c r="EE76" s="1160">
        <f>EE68/EE108*1000/3</f>
        <v>12.434210526315788</v>
      </c>
      <c r="EF76" s="1160">
        <f>EF68/EF108*1000/3</f>
        <v>11.737704918032788</v>
      </c>
      <c r="EG76" s="1160">
        <f>EG68/EG108*1000/3</f>
        <v>11.764705882352942</v>
      </c>
      <c r="EH76" s="1160">
        <f>EH68/EH108*1000/3</f>
        <v>11.002178649237473</v>
      </c>
      <c r="EI76" s="1165">
        <f>EI68/EI108*1000/12</f>
        <v>11.733551733551733</v>
      </c>
      <c r="EJ76" s="1160">
        <f>EJ68/EJ108*1000/3</f>
        <v>10.021786492374728</v>
      </c>
      <c r="EK76" s="1160">
        <f>EK68/EK108*1000/3</f>
        <v>9.8257080610021799</v>
      </c>
      <c r="EL76" s="1160">
        <f>EL68/EL108*1000/3</f>
        <v>10</v>
      </c>
      <c r="EM76" s="1160">
        <f>EM68/EM108*1000/3</f>
        <v>9.5982627578718773</v>
      </c>
      <c r="EN76" s="1165">
        <f>EN68/EN108*1000/12</f>
        <v>9.8612244897959176</v>
      </c>
      <c r="EO76" s="1160">
        <f>EO68/EO108*1000/3</f>
        <v>10.108225108225108</v>
      </c>
      <c r="EP76" s="1160">
        <f>EP68/EP108*1000/3</f>
        <v>9.9567099567099557</v>
      </c>
      <c r="EQ76" s="1160">
        <f>EQ68/EQ108*1000/3</f>
        <v>10.432900432900434</v>
      </c>
      <c r="ER76" s="1160">
        <f>ER68/ER108*1000/3</f>
        <v>9.8051948051948052</v>
      </c>
      <c r="ES76" s="1165">
        <f>ES68/ES108*1000/12</f>
        <v>10.075757575757576</v>
      </c>
      <c r="ET76" s="1160">
        <f t="shared" ref="ET76:EW76" si="283">EO76*(1+ET77)</f>
        <v>10.007142857142856</v>
      </c>
      <c r="EU76" s="1160">
        <f t="shared" si="283"/>
        <v>9.8571428571428559</v>
      </c>
      <c r="EV76" s="1160">
        <f t="shared" si="283"/>
        <v>10.328571428571429</v>
      </c>
      <c r="EW76" s="1160">
        <f t="shared" si="283"/>
        <v>9.7071428571428573</v>
      </c>
      <c r="EX76" s="1165">
        <f>EX68/EX108*1000/12</f>
        <v>9.9748813024361649</v>
      </c>
      <c r="EY76" s="1160">
        <f t="shared" ref="EY76" si="284">ET76*(1+EY77)</f>
        <v>9.9070714285714274</v>
      </c>
      <c r="EZ76" s="1160">
        <f t="shared" ref="EZ76" si="285">EU76*(1+EZ77)</f>
        <v>9.7585714285714271</v>
      </c>
      <c r="FA76" s="1160">
        <f t="shared" ref="FA76" si="286">EV76*(1+FA77)</f>
        <v>10.225285714285715</v>
      </c>
      <c r="FB76" s="1160">
        <f t="shared" ref="FB76" si="287">EW76*(1+FB77)</f>
        <v>9.6100714285714286</v>
      </c>
      <c r="FC76" s="1159">
        <f>EX76*(1+FC77)</f>
        <v>9.8751324894118024</v>
      </c>
      <c r="FD76" s="1160">
        <f t="shared" ref="FD76" si="288">EY76*(1+FD77)</f>
        <v>9.8080007142857131</v>
      </c>
      <c r="FE76" s="1160">
        <f t="shared" ref="FE76" si="289">EZ76*(1+FE77)</f>
        <v>9.6609857142857134</v>
      </c>
      <c r="FF76" s="1160">
        <f t="shared" ref="FF76" si="290">FA76*(1+FF77)</f>
        <v>10.123032857142856</v>
      </c>
      <c r="FG76" s="1160">
        <f t="shared" ref="FG76" si="291">FB76*(1+FG77)</f>
        <v>9.5139707142857137</v>
      </c>
      <c r="FH76" s="1159">
        <f>FC76*(1+FH77)</f>
        <v>9.7763811645176837</v>
      </c>
      <c r="FI76" s="1159">
        <f t="shared" ref="FI76:FM76" si="292">FH76*(1+FI77)</f>
        <v>9.6786173528725072</v>
      </c>
      <c r="FJ76" s="1159">
        <f t="shared" si="292"/>
        <v>9.5818311793437818</v>
      </c>
      <c r="FK76" s="1159">
        <f t="shared" si="292"/>
        <v>9.4860128675503432</v>
      </c>
      <c r="FL76" s="1159">
        <f t="shared" si="292"/>
        <v>9.3911527388748404</v>
      </c>
      <c r="FM76" s="1159">
        <f t="shared" si="292"/>
        <v>9.2972412114860923</v>
      </c>
    </row>
    <row r="77" spans="1:171" s="94" customFormat="1" x14ac:dyDescent="0.3">
      <c r="A77" s="1158" t="s">
        <v>320</v>
      </c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13"/>
      <c r="DZ77" s="33"/>
      <c r="EA77" s="33"/>
      <c r="EB77" s="33"/>
      <c r="EC77" s="33"/>
      <c r="ED77" s="1200"/>
      <c r="EE77" s="1137">
        <f t="shared" ref="EE77:ER77" si="293">EE76/DZ76-1</f>
        <v>-2.7444253859348455E-2</v>
      </c>
      <c r="EF77" s="1137">
        <f t="shared" si="293"/>
        <v>-7.7173544375353176E-2</v>
      </c>
      <c r="EG77" s="1137">
        <f t="shared" si="293"/>
        <v>-7.8229229836264347E-2</v>
      </c>
      <c r="EH77" s="1137">
        <f t="shared" si="293"/>
        <v>-0.11982570806100212</v>
      </c>
      <c r="EI77" s="1163">
        <f t="shared" si="293"/>
        <v>-7.550763015125872E-2</v>
      </c>
      <c r="EJ77" s="1137">
        <f t="shared" si="293"/>
        <v>-0.19401505458150325</v>
      </c>
      <c r="EK77" s="1137">
        <f t="shared" si="293"/>
        <v>-0.16289358698165801</v>
      </c>
      <c r="EL77" s="1137">
        <f t="shared" si="293"/>
        <v>-0.15000000000000002</v>
      </c>
      <c r="EM77" s="1137">
        <f t="shared" si="293"/>
        <v>-0.12760344438352644</v>
      </c>
      <c r="EN77" s="1163">
        <f>EN76/EI76-1</f>
        <v>-0.15957037445038513</v>
      </c>
      <c r="EO77" s="1137">
        <f t="shared" si="293"/>
        <v>8.6250705815922313E-3</v>
      </c>
      <c r="EP77" s="1137">
        <f t="shared" si="293"/>
        <v>1.3332565438995303E-2</v>
      </c>
      <c r="EQ77" s="1137">
        <f t="shared" si="293"/>
        <v>4.3290043290043378E-2</v>
      </c>
      <c r="ER77" s="1137">
        <f t="shared" si="293"/>
        <v>2.155932302991137E-2</v>
      </c>
      <c r="ES77" s="1163">
        <f>ES76/EN76-1</f>
        <v>2.1755217740317301E-2</v>
      </c>
      <c r="ET77" s="1112">
        <v>-0.01</v>
      </c>
      <c r="EU77" s="1112">
        <v>-0.01</v>
      </c>
      <c r="EV77" s="1112">
        <v>-0.01</v>
      </c>
      <c r="EW77" s="1112">
        <v>-0.01</v>
      </c>
      <c r="EX77" s="1163">
        <f>EX76/ES76-1</f>
        <v>-1.0011780510094992E-2</v>
      </c>
      <c r="EY77" s="1112">
        <v>-0.01</v>
      </c>
      <c r="EZ77" s="1112">
        <v>-0.01</v>
      </c>
      <c r="FA77" s="1112">
        <v>-0.01</v>
      </c>
      <c r="FB77" s="1112">
        <v>-0.01</v>
      </c>
      <c r="FC77" s="1112">
        <v>-0.01</v>
      </c>
      <c r="FD77" s="1112">
        <v>-0.01</v>
      </c>
      <c r="FE77" s="1112">
        <v>-0.01</v>
      </c>
      <c r="FF77" s="1112">
        <v>-0.01</v>
      </c>
      <c r="FG77" s="1112">
        <v>-0.01</v>
      </c>
      <c r="FH77" s="1112">
        <v>-0.01</v>
      </c>
      <c r="FI77" s="1112">
        <v>-0.01</v>
      </c>
      <c r="FJ77" s="1112">
        <v>-0.01</v>
      </c>
      <c r="FK77" s="1112">
        <v>-0.01</v>
      </c>
      <c r="FL77" s="1112">
        <v>-0.01</v>
      </c>
      <c r="FM77" s="1112">
        <v>-0.01</v>
      </c>
    </row>
    <row r="78" spans="1:171" s="94" customFormat="1" x14ac:dyDescent="0.3">
      <c r="A78" s="1158" t="s">
        <v>321</v>
      </c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13"/>
      <c r="DZ78" s="33"/>
      <c r="EA78" s="33"/>
      <c r="EB78" s="33"/>
      <c r="EC78" s="33"/>
      <c r="ED78" s="1200"/>
      <c r="EE78" s="1137">
        <f t="shared" ref="EE78:EX78" si="294">EE69/DZ69-1</f>
        <v>-6.017191977077363E-2</v>
      </c>
      <c r="EF78" s="1137">
        <f t="shared" si="294"/>
        <v>6.9620253164556889E-2</v>
      </c>
      <c r="EG78" s="1137">
        <f t="shared" si="294"/>
        <v>0.1132075471698113</v>
      </c>
      <c r="EH78" s="1137">
        <f t="shared" si="294"/>
        <v>0.139240506329114</v>
      </c>
      <c r="EI78" s="1163">
        <f t="shared" si="294"/>
        <v>6.2355658198614217E-2</v>
      </c>
      <c r="EJ78" s="1137">
        <f t="shared" si="294"/>
        <v>0.17682926829268286</v>
      </c>
      <c r="EK78" s="1137">
        <f t="shared" si="294"/>
        <v>0.14201183431952669</v>
      </c>
      <c r="EL78" s="1137">
        <f t="shared" si="294"/>
        <v>0.11864406779661008</v>
      </c>
      <c r="EM78" s="1137">
        <f t="shared" si="294"/>
        <v>8.6111111111111027E-2</v>
      </c>
      <c r="EN78" s="1163">
        <f t="shared" si="294"/>
        <v>0.12971014492753619</v>
      </c>
      <c r="EO78" s="1137">
        <f t="shared" si="294"/>
        <v>-2.0725388601036232E-2</v>
      </c>
      <c r="EP78" s="1137">
        <f t="shared" si="294"/>
        <v>-2.5906735751295429E-3</v>
      </c>
      <c r="EQ78" s="1137">
        <f t="shared" si="294"/>
        <v>-8.333333333333337E-2</v>
      </c>
      <c r="ER78" s="1137">
        <f t="shared" si="294"/>
        <v>-7.1611253196930957E-2</v>
      </c>
      <c r="ES78" s="1163">
        <f t="shared" si="294"/>
        <v>-4.4900577293136679E-2</v>
      </c>
      <c r="ET78" s="1137">
        <f t="shared" si="294"/>
        <v>-3.4190683014011292E-2</v>
      </c>
      <c r="EU78" s="1137">
        <f t="shared" si="294"/>
        <v>-3.4063936629248004E-2</v>
      </c>
      <c r="EV78" s="1137">
        <f t="shared" si="294"/>
        <v>-2.7639283510979329E-2</v>
      </c>
      <c r="EW78" s="1137">
        <f t="shared" si="294"/>
        <v>-3.0614899762647196E-2</v>
      </c>
      <c r="EX78" s="1163">
        <f t="shared" si="294"/>
        <v>-3.1689027743373455E-2</v>
      </c>
      <c r="EY78" s="1137">
        <f t="shared" ref="EY78" si="295">EY69/ET69-1</f>
        <v>-1.2500211666739536E-2</v>
      </c>
      <c r="EZ78" s="1137">
        <f t="shared" ref="EZ78" si="296">EZ69/EU69-1</f>
        <v>-1.3468270035845831E-2</v>
      </c>
      <c r="FA78" s="1137">
        <f t="shared" ref="FA78" si="297">FA69/EV69-1</f>
        <v>-7.1470078761400879E-3</v>
      </c>
      <c r="FB78" s="1137">
        <f t="shared" ref="FB78" si="298">FB69/EW69-1</f>
        <v>-1.0957693565282756E-2</v>
      </c>
      <c r="FC78" s="195">
        <f>FC69/EX69-1</f>
        <v>-1.106327004594454E-2</v>
      </c>
      <c r="FD78" s="1137">
        <f t="shared" ref="FD78" si="299">FD69/EY69-1</f>
        <v>3.5117677905801115E-2</v>
      </c>
      <c r="FE78" s="1137">
        <f t="shared" ref="FE78" si="300">FE69/EZ69-1</f>
        <v>3.4536102156467408E-2</v>
      </c>
      <c r="FF78" s="1137">
        <f t="shared" ref="FF78" si="301">FF69/FA69-1</f>
        <v>4.0440416322330641E-2</v>
      </c>
      <c r="FG78" s="1137">
        <f t="shared" ref="FG78" si="302">FG69/FB69-1</f>
        <v>3.878437917004085E-2</v>
      </c>
      <c r="FH78" s="195">
        <f>FH69/FC69-1</f>
        <v>3.7170901424743219E-2</v>
      </c>
      <c r="FI78" s="195">
        <f t="shared" ref="FI78:FM78" si="303">FI69/FH69-1</f>
        <v>4.0084794050613493E-2</v>
      </c>
      <c r="FJ78" s="195">
        <f t="shared" si="303"/>
        <v>4.3639612704411634E-2</v>
      </c>
      <c r="FK78" s="195">
        <f t="shared" si="303"/>
        <v>3.9600337452588841E-2</v>
      </c>
      <c r="FL78" s="195">
        <f t="shared" si="303"/>
        <v>3.4710606172737801E-2</v>
      </c>
      <c r="FM78" s="195">
        <f t="shared" si="303"/>
        <v>3.0284415827219524E-2</v>
      </c>
    </row>
    <row r="79" spans="1:171" s="94" customFormat="1" x14ac:dyDescent="0.3">
      <c r="A79" s="1158" t="s">
        <v>322</v>
      </c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13"/>
      <c r="DZ79" s="33"/>
      <c r="EA79" s="33"/>
      <c r="EB79" s="33"/>
      <c r="EC79" s="33"/>
      <c r="ED79" s="1200"/>
      <c r="EE79" s="1137">
        <f t="shared" ref="EE79:EX79" si="304">EE71/DZ71-1</f>
        <v>-8.7114337568058087E-2</v>
      </c>
      <c r="EF79" s="1137">
        <f t="shared" si="304"/>
        <v>-6.4700285442435779E-2</v>
      </c>
      <c r="EG79" s="1137">
        <f t="shared" si="304"/>
        <v>-4.5366795366795332E-2</v>
      </c>
      <c r="EH79" s="1137">
        <f t="shared" si="304"/>
        <v>-4.3912175648702645E-2</v>
      </c>
      <c r="EI79" s="1163">
        <f t="shared" si="304"/>
        <v>-6.0844667143879705E-2</v>
      </c>
      <c r="EJ79" s="1137">
        <f t="shared" si="304"/>
        <v>-6.7594433399602361E-2</v>
      </c>
      <c r="EK79" s="1137">
        <f t="shared" si="304"/>
        <v>-6.0020345879959303E-2</v>
      </c>
      <c r="EL79" s="1137">
        <f t="shared" si="304"/>
        <v>-5.3589484327603687E-2</v>
      </c>
      <c r="EM79" s="1137">
        <f t="shared" si="304"/>
        <v>-5.1148225469728636E-2</v>
      </c>
      <c r="EN79" s="1163">
        <f t="shared" si="304"/>
        <v>-5.8180894308943132E-2</v>
      </c>
      <c r="EO79" s="1137">
        <f t="shared" si="304"/>
        <v>-1.8123667377398678E-2</v>
      </c>
      <c r="EP79" s="1137">
        <f t="shared" si="304"/>
        <v>-8.6580086580086979E-3</v>
      </c>
      <c r="EQ79" s="1137">
        <f t="shared" si="304"/>
        <v>-2.777777777777779E-2</v>
      </c>
      <c r="ER79" s="1137">
        <f t="shared" si="304"/>
        <v>-3.5203520352035222E-2</v>
      </c>
      <c r="ES79" s="1163">
        <f t="shared" si="304"/>
        <v>-2.2390072835176689E-2</v>
      </c>
      <c r="ET79" s="1137">
        <f t="shared" si="304"/>
        <v>-3.5373568925090915E-2</v>
      </c>
      <c r="EU79" s="1137">
        <f t="shared" si="304"/>
        <v>-3.353022550339968E-2</v>
      </c>
      <c r="EV79" s="1137">
        <f t="shared" si="304"/>
        <v>-2.800401907453276E-2</v>
      </c>
      <c r="EW79" s="1137">
        <f t="shared" si="304"/>
        <v>-2.8130820309451132E-2</v>
      </c>
      <c r="EX79" s="1163">
        <f t="shared" si="304"/>
        <v>-3.1304395780997862E-2</v>
      </c>
      <c r="EY79" s="1137">
        <f t="shared" ref="EY79" si="305">EY71/ET71-1</f>
        <v>-1.9931702817819308E-2</v>
      </c>
      <c r="EZ79" s="1137">
        <f t="shared" ref="EZ79" si="306">EZ71/EU71-1</f>
        <v>-1.9547142587250099E-2</v>
      </c>
      <c r="FA79" s="1137">
        <f t="shared" ref="FA79" si="307">FA71/EV71-1</f>
        <v>-1.5746420146210194E-2</v>
      </c>
      <c r="FB79" s="1137">
        <f t="shared" ref="FB79" si="308">FB71/EW71-1</f>
        <v>-1.6984868153038901E-2</v>
      </c>
      <c r="FC79" s="1137">
        <f>FC71/EX71-1</f>
        <v>-1.8064740400760337E-2</v>
      </c>
      <c r="FD79" s="1137">
        <f t="shared" ref="FD79" si="309">FD71/EY71-1</f>
        <v>2.3358541408511346E-3</v>
      </c>
      <c r="FE79" s="1137">
        <f t="shared" ref="FE79" si="310">FE71/EZ71-1</f>
        <v>3.0628261663459E-3</v>
      </c>
      <c r="FF79" s="1137">
        <f t="shared" ref="FF79" si="311">FF71/FA71-1</f>
        <v>5.533080936152901E-3</v>
      </c>
      <c r="FG79" s="1137">
        <f t="shared" ref="FG79" si="312">FG71/FB71-1</f>
        <v>5.685309899750246E-3</v>
      </c>
      <c r="FH79" s="1137">
        <f>FH71/FC71-1</f>
        <v>4.1404877589545919E-3</v>
      </c>
      <c r="FI79" s="1137">
        <f t="shared" ref="FI79:FM79" si="313">FI71/FH71-1</f>
        <v>7.8683388675591104E-3</v>
      </c>
      <c r="FJ79" s="1137">
        <f t="shared" si="313"/>
        <v>1.0786686399344214E-2</v>
      </c>
      <c r="FK79" s="1137">
        <f t="shared" si="313"/>
        <v>1.1122559622773531E-2</v>
      </c>
      <c r="FL79" s="1137">
        <f t="shared" si="313"/>
        <v>1.0504914243879115E-2</v>
      </c>
      <c r="FM79" s="1137">
        <f t="shared" si="313"/>
        <v>9.6671626073034922E-3</v>
      </c>
    </row>
    <row r="80" spans="1:171" x14ac:dyDescent="0.3">
      <c r="A80" s="1158" t="s">
        <v>323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4"/>
      <c r="DZ80" s="1"/>
      <c r="EA80" s="1"/>
      <c r="EB80" s="1"/>
      <c r="EC80" s="1"/>
      <c r="ED80" s="58"/>
      <c r="EE80" s="1300">
        <f t="shared" ref="EE80:ER80" si="314">EE70/DZ70-1</f>
        <v>-3.9699570815450613E-2</v>
      </c>
      <c r="EF80" s="1300">
        <f t="shared" si="314"/>
        <v>-2.34375E-2</v>
      </c>
      <c r="EG80" s="1300">
        <f t="shared" si="314"/>
        <v>-6.6666666666667096E-3</v>
      </c>
      <c r="EH80" s="1300">
        <f t="shared" si="314"/>
        <v>-2.3702031602708784E-2</v>
      </c>
      <c r="EI80" s="1301">
        <f t="shared" si="314"/>
        <v>-2.3519645821804103E-2</v>
      </c>
      <c r="EJ80" s="1300">
        <f t="shared" si="314"/>
        <v>-5.4748603351955305E-2</v>
      </c>
      <c r="EK80" s="1300">
        <f t="shared" si="314"/>
        <v>-4.3428571428571483E-2</v>
      </c>
      <c r="EL80" s="1300">
        <f t="shared" si="314"/>
        <v>-4.3624161073825496E-2</v>
      </c>
      <c r="EM80" s="1300">
        <f t="shared" si="314"/>
        <v>-3.6994219653179172E-2</v>
      </c>
      <c r="EN80" s="1301">
        <f t="shared" si="314"/>
        <v>-4.4771890053839636E-2</v>
      </c>
      <c r="EO80" s="1300">
        <f t="shared" si="314"/>
        <v>-1.1820330969266601E-3</v>
      </c>
      <c r="EP80" s="1300">
        <f t="shared" si="314"/>
        <v>9.5579450418159517E-3</v>
      </c>
      <c r="EQ80" s="1300">
        <f t="shared" si="314"/>
        <v>-1.1695906432748537E-2</v>
      </c>
      <c r="ER80" s="1300">
        <f t="shared" si="314"/>
        <v>-2.0408163265306145E-2</v>
      </c>
      <c r="ES80" s="1301">
        <f>ES70/EN70-1</f>
        <v>-5.932957579353304E-3</v>
      </c>
      <c r="ET80" s="1300">
        <f t="shared" ref="ET80:EW80" si="315">ET70/EO70-1</f>
        <v>-2.0295493920025276E-2</v>
      </c>
      <c r="EU80" s="1300">
        <f t="shared" si="315"/>
        <v>-1.9649074632852814E-2</v>
      </c>
      <c r="EV80" s="1300">
        <f t="shared" si="315"/>
        <v>-1.5457805313000561E-2</v>
      </c>
      <c r="EW80" s="1300">
        <f t="shared" si="315"/>
        <v>-1.599668426941292E-2</v>
      </c>
      <c r="EX80" s="1301">
        <f>EX70/ES70-1</f>
        <v>-1.7865801337066056E-2</v>
      </c>
      <c r="EY80" s="1300">
        <f t="shared" ref="EY80" si="316">EY70/ET70-1</f>
        <v>-7.2862391744602517E-3</v>
      </c>
      <c r="EZ80" s="1300">
        <f t="shared" ref="EZ80" si="317">EZ70/EU70-1</f>
        <v>-7.8327143602281435E-3</v>
      </c>
      <c r="FA80" s="1300">
        <f t="shared" ref="FA80" si="318">FA70/EV70-1</f>
        <v>-4.8593866835131561E-3</v>
      </c>
      <c r="FB80" s="1300">
        <f t="shared" ref="FB80" si="319">FB70/EW70-1</f>
        <v>-6.5461776226135582E-3</v>
      </c>
      <c r="FC80" s="1300">
        <f>FC70/EX70-1</f>
        <v>-6.6297710607361449E-3</v>
      </c>
      <c r="FD80" s="1300">
        <f t="shared" ref="FD80" si="320">FD70/EY70-1</f>
        <v>1.3624218398727406E-2</v>
      </c>
      <c r="FE80" s="1300">
        <f t="shared" ref="FE80" si="321">FE70/EZ70-1</f>
        <v>1.3621172636254286E-2</v>
      </c>
      <c r="FF80" s="1300">
        <f t="shared" ref="FF80" si="322">FF70/FA70-1</f>
        <v>1.5288024148372381E-2</v>
      </c>
      <c r="FG80" s="1300">
        <f t="shared" ref="FG80" si="323">FG70/FB70-1</f>
        <v>1.5171482802151193E-2</v>
      </c>
      <c r="FH80" s="1300">
        <f>FH70/FC70-1</f>
        <v>1.4422304277750708E-2</v>
      </c>
      <c r="FI80" s="1300">
        <f t="shared" ref="FI80:FM80" si="324">FI70/FH70-1</f>
        <v>1.6435135900802589E-2</v>
      </c>
      <c r="FJ80" s="1300">
        <f t="shared" si="324"/>
        <v>1.8243193835494997E-2</v>
      </c>
      <c r="FK80" s="1300">
        <f t="shared" si="324"/>
        <v>1.6885719229341678E-2</v>
      </c>
      <c r="FL80" s="1300">
        <f t="shared" si="324"/>
        <v>1.4993607695086508E-2</v>
      </c>
      <c r="FM80" s="1300">
        <f t="shared" si="324"/>
        <v>1.318715339038512E-2</v>
      </c>
    </row>
    <row r="81" spans="1:170" x14ac:dyDescent="0.3">
      <c r="A81" s="54" t="s">
        <v>324</v>
      </c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4"/>
      <c r="CO81" s="54"/>
      <c r="CP81" s="54"/>
      <c r="CQ81" s="54"/>
      <c r="CR81" s="54"/>
      <c r="CS81" s="54"/>
      <c r="CT81" s="54"/>
      <c r="CU81" s="54"/>
      <c r="CV81" s="54"/>
      <c r="CW81" s="54"/>
      <c r="CX81" s="54"/>
      <c r="CY81" s="54"/>
      <c r="CZ81" s="54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  <c r="FK81" s="54"/>
      <c r="FL81" s="54"/>
      <c r="FM81" s="54"/>
      <c r="FN81" s="54"/>
    </row>
    <row r="82" spans="1:170" x14ac:dyDescent="0.3">
      <c r="A82" s="60" t="s">
        <v>325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135">
        <f>DV82</f>
        <v>3223</v>
      </c>
      <c r="DV82" s="1135">
        <f>DW82</f>
        <v>3223</v>
      </c>
      <c r="DW82" s="1135">
        <f>DX82</f>
        <v>3223</v>
      </c>
      <c r="DX82" s="1075">
        <f>DX90-DX86</f>
        <v>3223</v>
      </c>
      <c r="DY82" s="1075">
        <f t="shared" ref="DY82:ES82" si="325">DX82</f>
        <v>3223</v>
      </c>
      <c r="DZ82" s="1075">
        <f t="shared" si="325"/>
        <v>3223</v>
      </c>
      <c r="EA82" s="1075">
        <f t="shared" si="325"/>
        <v>3223</v>
      </c>
      <c r="EB82" s="1075">
        <f t="shared" si="325"/>
        <v>3223</v>
      </c>
      <c r="EC82" s="1075">
        <f t="shared" si="325"/>
        <v>3223</v>
      </c>
      <c r="ED82" s="1075">
        <f t="shared" si="325"/>
        <v>3223</v>
      </c>
      <c r="EE82" s="1075">
        <f t="shared" si="325"/>
        <v>3223</v>
      </c>
      <c r="EF82" s="1075">
        <f t="shared" si="325"/>
        <v>3223</v>
      </c>
      <c r="EG82" s="1075">
        <f t="shared" si="325"/>
        <v>3223</v>
      </c>
      <c r="EH82" s="1075">
        <f t="shared" si="325"/>
        <v>3223</v>
      </c>
      <c r="EI82" s="1075">
        <f t="shared" si="325"/>
        <v>3223</v>
      </c>
      <c r="EJ82" s="1075">
        <f t="shared" si="325"/>
        <v>3223</v>
      </c>
      <c r="EK82" s="1075">
        <f t="shared" si="325"/>
        <v>3223</v>
      </c>
      <c r="EL82" s="1075">
        <f t="shared" si="325"/>
        <v>3223</v>
      </c>
      <c r="EM82" s="1075">
        <f t="shared" si="325"/>
        <v>3223</v>
      </c>
      <c r="EN82" s="1075">
        <f t="shared" si="325"/>
        <v>3223</v>
      </c>
      <c r="EO82" s="1075">
        <f t="shared" si="325"/>
        <v>3223</v>
      </c>
      <c r="EP82" s="1075">
        <f t="shared" si="325"/>
        <v>3223</v>
      </c>
      <c r="EQ82" s="1075">
        <f t="shared" si="325"/>
        <v>3223</v>
      </c>
      <c r="ER82" s="1075">
        <f t="shared" si="325"/>
        <v>3223</v>
      </c>
      <c r="ES82" s="1075">
        <f t="shared" si="325"/>
        <v>3223</v>
      </c>
      <c r="ET82" s="1115">
        <f t="shared" ref="ET82:EW82" si="326">EO82*(1+ET84)</f>
        <v>3223</v>
      </c>
      <c r="EU82" s="1115">
        <f t="shared" si="326"/>
        <v>3223</v>
      </c>
      <c r="EV82" s="1115">
        <f t="shared" si="326"/>
        <v>3223</v>
      </c>
      <c r="EW82" s="1115">
        <f t="shared" si="326"/>
        <v>3223</v>
      </c>
      <c r="EX82" s="1075">
        <f t="shared" ref="EX82" si="327">EW82</f>
        <v>3223</v>
      </c>
      <c r="EY82" s="1115">
        <f t="shared" ref="EY82" si="328">ET82*(1+EY84)</f>
        <v>3223</v>
      </c>
      <c r="EZ82" s="1115">
        <f t="shared" ref="EZ82" si="329">EU82*(1+EZ84)</f>
        <v>3223</v>
      </c>
      <c r="FA82" s="1115">
        <f t="shared" ref="FA82" si="330">EV82*(1+FA84)</f>
        <v>3223</v>
      </c>
      <c r="FB82" s="1115">
        <f t="shared" ref="FB82" si="331">EW82*(1+FB84)</f>
        <v>3223</v>
      </c>
      <c r="FC82" s="1075">
        <f t="shared" ref="FC82" si="332">FB82</f>
        <v>3223</v>
      </c>
      <c r="FD82" s="1115">
        <f t="shared" ref="FD82" si="333">EY82*(1+FD84)</f>
        <v>3223</v>
      </c>
      <c r="FE82" s="1115">
        <f t="shared" ref="FE82" si="334">EZ82*(1+FE84)</f>
        <v>3223</v>
      </c>
      <c r="FF82" s="1115">
        <f t="shared" ref="FF82" si="335">FA82*(1+FF84)</f>
        <v>3223</v>
      </c>
      <c r="FG82" s="1115">
        <f t="shared" ref="FG82" si="336">FB82*(1+FG84)</f>
        <v>3223</v>
      </c>
      <c r="FH82" s="1075">
        <f t="shared" ref="FH82" si="337">FG82</f>
        <v>3223</v>
      </c>
      <c r="FI82" s="1115">
        <f t="shared" ref="FI82:FM82" si="338">FH82*(1+FI84)</f>
        <v>3223</v>
      </c>
      <c r="FJ82" s="1115">
        <f t="shared" si="338"/>
        <v>3223</v>
      </c>
      <c r="FK82" s="1115">
        <f t="shared" si="338"/>
        <v>3223</v>
      </c>
      <c r="FL82" s="1115">
        <f t="shared" si="338"/>
        <v>3223</v>
      </c>
      <c r="FM82" s="1115">
        <f t="shared" si="338"/>
        <v>3223</v>
      </c>
    </row>
    <row r="83" spans="1:170" x14ac:dyDescent="0.3">
      <c r="A83" s="70" t="s">
        <v>326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136">
        <v>0</v>
      </c>
      <c r="DV83" s="1136">
        <f>DV82-DU82</f>
        <v>0</v>
      </c>
      <c r="DW83" s="1136">
        <f>DW82-DV82</f>
        <v>0</v>
      </c>
      <c r="DX83" s="1136">
        <f>DX82-DW82</f>
        <v>0</v>
      </c>
      <c r="DY83" s="1201">
        <f>SUM(DU83:DX83)</f>
        <v>0</v>
      </c>
      <c r="DZ83" s="1136">
        <f>DZ82-DY82</f>
        <v>0</v>
      </c>
      <c r="EA83" s="1136">
        <f>EA82-DZ82</f>
        <v>0</v>
      </c>
      <c r="EB83" s="1136">
        <f>EB82-EA82</f>
        <v>0</v>
      </c>
      <c r="EC83" s="1136">
        <f>EC82-EB82</f>
        <v>0</v>
      </c>
      <c r="ED83" s="1201">
        <f>SUM(DZ83:EC83)</f>
        <v>0</v>
      </c>
      <c r="EE83" s="1136">
        <f>EE82-ED82</f>
        <v>0</v>
      </c>
      <c r="EF83" s="1136">
        <f>EF82-EE82</f>
        <v>0</v>
      </c>
      <c r="EG83" s="1136">
        <f>EG82-EF82</f>
        <v>0</v>
      </c>
      <c r="EH83" s="1136">
        <f>EH82-EG82</f>
        <v>0</v>
      </c>
      <c r="EI83" s="1201">
        <f>SUM(EE83:EH83)</f>
        <v>0</v>
      </c>
      <c r="EJ83" s="1136">
        <f>EJ82-EI82</f>
        <v>0</v>
      </c>
      <c r="EK83" s="1136">
        <f>EK82-EJ82</f>
        <v>0</v>
      </c>
      <c r="EL83" s="1136">
        <f>EL82-EK82</f>
        <v>0</v>
      </c>
      <c r="EM83" s="1136">
        <f>EM82-EL82</f>
        <v>0</v>
      </c>
      <c r="EN83" s="1201">
        <f>SUM(EJ83:EM83)</f>
        <v>0</v>
      </c>
      <c r="EO83" s="1136">
        <f>EO82-EN82</f>
        <v>0</v>
      </c>
      <c r="EP83" s="1136">
        <f>EP82-EO82</f>
        <v>0</v>
      </c>
      <c r="EQ83" s="1136">
        <f>EQ82-EP82</f>
        <v>0</v>
      </c>
      <c r="ER83" s="1136">
        <f>ER82-EQ82</f>
        <v>0</v>
      </c>
      <c r="ES83" s="1201">
        <f>SUM(EO83:ER83)</f>
        <v>0</v>
      </c>
      <c r="ET83" s="1136">
        <f t="shared" ref="ET83:EW83" si="339">ET82-EO82</f>
        <v>0</v>
      </c>
      <c r="EU83" s="1136">
        <f t="shared" si="339"/>
        <v>0</v>
      </c>
      <c r="EV83" s="1136">
        <f t="shared" si="339"/>
        <v>0</v>
      </c>
      <c r="EW83" s="1136">
        <f t="shared" si="339"/>
        <v>0</v>
      </c>
      <c r="EX83" s="1201">
        <f>SUM(ET83:EW83)</f>
        <v>0</v>
      </c>
      <c r="EY83" s="1136">
        <f t="shared" ref="EY83" si="340">EY82-ET82</f>
        <v>0</v>
      </c>
      <c r="EZ83" s="1136">
        <f t="shared" ref="EZ83" si="341">EZ82-EU82</f>
        <v>0</v>
      </c>
      <c r="FA83" s="1136">
        <f t="shared" ref="FA83" si="342">FA82-EV82</f>
        <v>0</v>
      </c>
      <c r="FB83" s="1136">
        <f t="shared" ref="FB83" si="343">FB82-EW82</f>
        <v>0</v>
      </c>
      <c r="FC83" s="1201">
        <f>SUM(EY83:FB83)</f>
        <v>0</v>
      </c>
      <c r="FD83" s="1136">
        <f t="shared" ref="FD83" si="344">FD82-EY82</f>
        <v>0</v>
      </c>
      <c r="FE83" s="1136">
        <f t="shared" ref="FE83" si="345">FE82-EZ82</f>
        <v>0</v>
      </c>
      <c r="FF83" s="1136">
        <f t="shared" ref="FF83" si="346">FF82-FA82</f>
        <v>0</v>
      </c>
      <c r="FG83" s="1136">
        <f t="shared" ref="FG83" si="347">FG82-FB82</f>
        <v>0</v>
      </c>
      <c r="FH83" s="1201">
        <f>SUM(FD83:FG83)</f>
        <v>0</v>
      </c>
      <c r="FI83" s="1136">
        <f t="shared" ref="FI83:FM83" si="348">FI82-FH82</f>
        <v>0</v>
      </c>
      <c r="FJ83" s="1136">
        <f t="shared" si="348"/>
        <v>0</v>
      </c>
      <c r="FK83" s="1136">
        <f t="shared" si="348"/>
        <v>0</v>
      </c>
      <c r="FL83" s="1136">
        <f t="shared" si="348"/>
        <v>0</v>
      </c>
      <c r="FM83" s="1136">
        <f t="shared" si="348"/>
        <v>0</v>
      </c>
    </row>
    <row r="84" spans="1:170" x14ac:dyDescent="0.3">
      <c r="A84" s="61" t="s">
        <v>29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136"/>
      <c r="DV84" s="1136"/>
      <c r="DW84" s="1136"/>
      <c r="DX84" s="1136"/>
      <c r="DY84" s="1201"/>
      <c r="DZ84" s="1137">
        <f>DZ82/DU82-1</f>
        <v>0</v>
      </c>
      <c r="EA84" s="1137">
        <f t="shared" ref="EA84:ES84" si="349">EA82/DV82-1</f>
        <v>0</v>
      </c>
      <c r="EB84" s="1137">
        <f t="shared" si="349"/>
        <v>0</v>
      </c>
      <c r="EC84" s="1137">
        <f t="shared" si="349"/>
        <v>0</v>
      </c>
      <c r="ED84" s="1163">
        <f t="shared" si="349"/>
        <v>0</v>
      </c>
      <c r="EE84" s="1137">
        <f t="shared" si="349"/>
        <v>0</v>
      </c>
      <c r="EF84" s="1137">
        <f t="shared" si="349"/>
        <v>0</v>
      </c>
      <c r="EG84" s="1137">
        <f t="shared" si="349"/>
        <v>0</v>
      </c>
      <c r="EH84" s="1137">
        <f t="shared" si="349"/>
        <v>0</v>
      </c>
      <c r="EI84" s="1163">
        <f t="shared" si="349"/>
        <v>0</v>
      </c>
      <c r="EJ84" s="1137">
        <f t="shared" si="349"/>
        <v>0</v>
      </c>
      <c r="EK84" s="1137">
        <f t="shared" si="349"/>
        <v>0</v>
      </c>
      <c r="EL84" s="1137">
        <f t="shared" si="349"/>
        <v>0</v>
      </c>
      <c r="EM84" s="1137">
        <f t="shared" si="349"/>
        <v>0</v>
      </c>
      <c r="EN84" s="1163">
        <f t="shared" si="349"/>
        <v>0</v>
      </c>
      <c r="EO84" s="1137">
        <f t="shared" si="349"/>
        <v>0</v>
      </c>
      <c r="EP84" s="1137">
        <f t="shared" si="349"/>
        <v>0</v>
      </c>
      <c r="EQ84" s="1137">
        <f t="shared" si="349"/>
        <v>0</v>
      </c>
      <c r="ER84" s="1137">
        <f t="shared" si="349"/>
        <v>0</v>
      </c>
      <c r="ES84" s="1163">
        <f t="shared" si="349"/>
        <v>0</v>
      </c>
      <c r="ET84" s="364">
        <v>0</v>
      </c>
      <c r="EU84" s="364">
        <v>0</v>
      </c>
      <c r="EV84" s="364">
        <v>0</v>
      </c>
      <c r="EW84" s="364">
        <v>0</v>
      </c>
      <c r="EX84" s="1163">
        <f t="shared" ref="EX84" si="350">EX82/ES82-1</f>
        <v>0</v>
      </c>
      <c r="EY84" s="364">
        <v>0</v>
      </c>
      <c r="EZ84" s="364">
        <v>0</v>
      </c>
      <c r="FA84" s="364">
        <v>0</v>
      </c>
      <c r="FB84" s="364">
        <v>0</v>
      </c>
      <c r="FC84" s="1163">
        <f t="shared" ref="FC84" si="351">FC82/EX82-1</f>
        <v>0</v>
      </c>
      <c r="FD84" s="364">
        <v>0</v>
      </c>
      <c r="FE84" s="364">
        <v>0</v>
      </c>
      <c r="FF84" s="364">
        <v>0</v>
      </c>
      <c r="FG84" s="364">
        <v>0</v>
      </c>
      <c r="FH84" s="1163">
        <f t="shared" ref="FH84" si="352">FH82/FC82-1</f>
        <v>0</v>
      </c>
      <c r="FI84" s="364">
        <v>0</v>
      </c>
      <c r="FJ84" s="364">
        <v>0</v>
      </c>
      <c r="FK84" s="364">
        <v>0</v>
      </c>
      <c r="FL84" s="364">
        <v>0</v>
      </c>
      <c r="FM84" s="364">
        <v>0</v>
      </c>
    </row>
    <row r="85" spans="1:170" x14ac:dyDescent="0.3">
      <c r="A85" s="55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4"/>
      <c r="DZ85" s="1"/>
      <c r="EA85" s="1"/>
      <c r="EB85" s="1"/>
      <c r="EC85" s="1"/>
      <c r="ED85" s="4"/>
      <c r="EE85" s="1"/>
      <c r="EF85" s="1"/>
      <c r="EG85" s="1"/>
      <c r="EH85" s="1"/>
      <c r="EI85" s="4"/>
      <c r="EJ85" s="1"/>
      <c r="EK85" s="1"/>
      <c r="EL85" s="1"/>
      <c r="EM85" s="1"/>
      <c r="EN85" s="4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59"/>
    </row>
    <row r="86" spans="1:170" x14ac:dyDescent="0.3">
      <c r="A86" s="60" t="s">
        <v>327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075">
        <v>0</v>
      </c>
      <c r="DV86" s="1075">
        <v>0</v>
      </c>
      <c r="DW86" s="1075">
        <v>0</v>
      </c>
      <c r="DX86" s="1075">
        <v>0</v>
      </c>
      <c r="DY86" s="1075">
        <f>DX86</f>
        <v>0</v>
      </c>
      <c r="DZ86" s="1075">
        <f>DY86+DZ87</f>
        <v>9</v>
      </c>
      <c r="EA86" s="1075">
        <f>DZ86+EA87</f>
        <v>17</v>
      </c>
      <c r="EB86" s="1075">
        <f>EA86+EB87</f>
        <v>26</v>
      </c>
      <c r="EC86" s="1075">
        <f>EB86+EC87</f>
        <v>86</v>
      </c>
      <c r="ED86" s="1075">
        <f>EC86</f>
        <v>86</v>
      </c>
      <c r="EE86" s="1075">
        <f>ED86+EE87</f>
        <v>190</v>
      </c>
      <c r="EF86" s="1075">
        <f>EE86+EF87</f>
        <v>347</v>
      </c>
      <c r="EG86" s="1075">
        <f>EF86+EG87</f>
        <v>532</v>
      </c>
      <c r="EH86" s="1075">
        <f>EG86+EH87</f>
        <v>724</v>
      </c>
      <c r="EI86" s="1075">
        <f>EH86</f>
        <v>724</v>
      </c>
      <c r="EJ86" s="1075">
        <f>EI86+EJ87</f>
        <v>935</v>
      </c>
      <c r="EK86" s="1075">
        <f>EJ86+EK87</f>
        <v>1216</v>
      </c>
      <c r="EL86" s="1075">
        <f>EK86+EL87</f>
        <v>1567</v>
      </c>
      <c r="EM86" s="1075">
        <f>EL86+EM87</f>
        <v>1948</v>
      </c>
      <c r="EN86" s="1075">
        <f>EM86</f>
        <v>1948</v>
      </c>
      <c r="EO86" s="1075">
        <f>EN86+EO87</f>
        <v>2287</v>
      </c>
      <c r="EP86" s="1075">
        <f>EO86+EP87</f>
        <v>2603</v>
      </c>
      <c r="EQ86" s="1075">
        <f>EP86+EQ87</f>
        <v>2935</v>
      </c>
      <c r="ER86" s="1075">
        <f>EQ86+ER87</f>
        <v>3268</v>
      </c>
      <c r="ES86" s="1075">
        <f>ER86</f>
        <v>3268</v>
      </c>
      <c r="ET86" s="1075">
        <f t="shared" ref="ET86:EW86" si="353">ES86+ET87</f>
        <v>3607</v>
      </c>
      <c r="EU86" s="1075">
        <f t="shared" si="353"/>
        <v>3923</v>
      </c>
      <c r="EV86" s="1075">
        <f t="shared" si="353"/>
        <v>4255</v>
      </c>
      <c r="EW86" s="1075">
        <f t="shared" si="353"/>
        <v>4588</v>
      </c>
      <c r="EX86" s="1075">
        <f>EW86</f>
        <v>4588</v>
      </c>
      <c r="EY86" s="1075">
        <f t="shared" ref="EY86" si="354">EX86+EY87</f>
        <v>4927</v>
      </c>
      <c r="EZ86" s="1075">
        <f t="shared" ref="EZ86" si="355">EY86+EZ87</f>
        <v>5243</v>
      </c>
      <c r="FA86" s="1075">
        <f t="shared" ref="FA86" si="356">EZ86+FA87</f>
        <v>5575</v>
      </c>
      <c r="FB86" s="1075">
        <f t="shared" ref="FB86" si="357">FA86+FB87</f>
        <v>5908</v>
      </c>
      <c r="FC86" s="1075">
        <f>FB86</f>
        <v>5908</v>
      </c>
      <c r="FD86" s="1075">
        <f t="shared" ref="FD86" si="358">FC86+FD87</f>
        <v>6247</v>
      </c>
      <c r="FE86" s="1075">
        <f t="shared" ref="FE86" si="359">FD86+FE87</f>
        <v>6563</v>
      </c>
      <c r="FF86" s="1075">
        <f t="shared" ref="FF86" si="360">FE86+FF87</f>
        <v>6777</v>
      </c>
      <c r="FG86" s="1075">
        <f t="shared" ref="FG86" si="361">FF86+FG87</f>
        <v>6777</v>
      </c>
      <c r="FH86" s="1075">
        <f>FG86</f>
        <v>6777</v>
      </c>
      <c r="FI86" s="1075">
        <f t="shared" ref="FI86:FM86" si="362">FH86+FI87</f>
        <v>6877</v>
      </c>
      <c r="FJ86" s="1075">
        <f t="shared" si="362"/>
        <v>6978</v>
      </c>
      <c r="FK86" s="1075">
        <f t="shared" si="362"/>
        <v>7080.01</v>
      </c>
      <c r="FL86" s="1075">
        <f t="shared" si="362"/>
        <v>7183.0401000000002</v>
      </c>
      <c r="FM86" s="1075">
        <f t="shared" si="362"/>
        <v>7287.1005009999999</v>
      </c>
    </row>
    <row r="87" spans="1:170" x14ac:dyDescent="0.3">
      <c r="A87" s="70" t="s">
        <v>326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136">
        <v>0</v>
      </c>
      <c r="DV87" s="1136">
        <f>DV86-DU86</f>
        <v>0</v>
      </c>
      <c r="DW87" s="1136">
        <f>DW86-DV86</f>
        <v>0</v>
      </c>
      <c r="DX87" s="1136">
        <f>DX86-DW86</f>
        <v>0</v>
      </c>
      <c r="DY87" s="1201">
        <f>SUM(DU87:DX87)</f>
        <v>0</v>
      </c>
      <c r="DZ87" s="455">
        <f>Inputs!DZ551</f>
        <v>9</v>
      </c>
      <c r="EA87" s="455">
        <f>Inputs!EA551</f>
        <v>8</v>
      </c>
      <c r="EB87" s="455">
        <f>Inputs!EB551</f>
        <v>9</v>
      </c>
      <c r="EC87" s="455">
        <f>Inputs!EC551</f>
        <v>60</v>
      </c>
      <c r="ED87" s="824">
        <f>SUM(DZ87:EC87)</f>
        <v>86</v>
      </c>
      <c r="EE87" s="455">
        <f>Inputs!EE354</f>
        <v>104</v>
      </c>
      <c r="EF87" s="455">
        <f>Inputs!EF354</f>
        <v>157</v>
      </c>
      <c r="EG87" s="455">
        <f>Inputs!EG354</f>
        <v>185</v>
      </c>
      <c r="EH87" s="455">
        <f>Inputs!EH354</f>
        <v>192</v>
      </c>
      <c r="EI87" s="938">
        <f>SUM(EE87:EH87)</f>
        <v>638</v>
      </c>
      <c r="EJ87" s="455">
        <f>Inputs!EJ354</f>
        <v>211</v>
      </c>
      <c r="EK87" s="455">
        <f>Inputs!EK354</f>
        <v>281</v>
      </c>
      <c r="EL87" s="455">
        <f>Inputs!EL354</f>
        <v>351</v>
      </c>
      <c r="EM87" s="455">
        <f>Inputs!EM354</f>
        <v>381</v>
      </c>
      <c r="EN87" s="938">
        <f>SUM(EJ87:EM87)</f>
        <v>1224</v>
      </c>
      <c r="EO87" s="455">
        <f>Inputs!EO354</f>
        <v>339</v>
      </c>
      <c r="EP87" s="455">
        <f>Inputs!EP354</f>
        <v>316</v>
      </c>
      <c r="EQ87" s="455">
        <f>Inputs!EQ354</f>
        <v>332</v>
      </c>
      <c r="ER87" s="455">
        <f>Inputs!ER354</f>
        <v>333</v>
      </c>
      <c r="ES87" s="938">
        <f>SUM(EO87:ER87)</f>
        <v>1320</v>
      </c>
      <c r="ET87" s="118">
        <f>EO87</f>
        <v>339</v>
      </c>
      <c r="EU87" s="118">
        <f t="shared" ref="EU87:EW87" si="363">EP87</f>
        <v>316</v>
      </c>
      <c r="EV87" s="118">
        <f t="shared" si="363"/>
        <v>332</v>
      </c>
      <c r="EW87" s="118">
        <f t="shared" si="363"/>
        <v>333</v>
      </c>
      <c r="EX87" s="907">
        <f>SUM(ET87:EW87)</f>
        <v>1320</v>
      </c>
      <c r="EY87" s="118">
        <f>ET87</f>
        <v>339</v>
      </c>
      <c r="EZ87" s="118">
        <f t="shared" ref="EZ87" si="364">EU87</f>
        <v>316</v>
      </c>
      <c r="FA87" s="118">
        <f t="shared" ref="FA87" si="365">EV87</f>
        <v>332</v>
      </c>
      <c r="FB87" s="118">
        <f t="shared" ref="FB87" si="366">EW87</f>
        <v>333</v>
      </c>
      <c r="FC87" s="907">
        <f>SUM(EY87:FB87)</f>
        <v>1320</v>
      </c>
      <c r="FD87" s="118">
        <f>EY87</f>
        <v>339</v>
      </c>
      <c r="FE87" s="118">
        <f t="shared" ref="FE87" si="367">EZ87</f>
        <v>316</v>
      </c>
      <c r="FF87" s="118">
        <f>869-FD87-FE87</f>
        <v>214</v>
      </c>
      <c r="FG87" s="118">
        <v>0</v>
      </c>
      <c r="FH87" s="907">
        <f>SUM(FD87:FG87)</f>
        <v>869</v>
      </c>
      <c r="FI87" s="118">
        <f t="shared" ref="FI87:FJ87" si="368">FH90*0.01</f>
        <v>100</v>
      </c>
      <c r="FJ87" s="118">
        <f t="shared" si="368"/>
        <v>101</v>
      </c>
      <c r="FK87" s="118">
        <f>FJ90*0.01</f>
        <v>102.01</v>
      </c>
      <c r="FL87" s="118">
        <f t="shared" ref="FL87:FM87" si="369">FK90*0.01</f>
        <v>103.0301</v>
      </c>
      <c r="FM87" s="118">
        <f t="shared" si="369"/>
        <v>104.060401</v>
      </c>
    </row>
    <row r="88" spans="1:170" x14ac:dyDescent="0.3">
      <c r="A88" s="61" t="s">
        <v>29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136"/>
      <c r="DV88" s="1136"/>
      <c r="DW88" s="1136"/>
      <c r="DX88" s="1136"/>
      <c r="DY88" s="1201"/>
      <c r="DZ88" s="1137"/>
      <c r="EA88" s="1137"/>
      <c r="EB88" s="1137"/>
      <c r="EC88" s="1137"/>
      <c r="ED88" s="1163"/>
      <c r="EE88" s="1137">
        <f t="shared" ref="EE88:ER88" si="370">EE86/DZ86-1</f>
        <v>20.111111111111111</v>
      </c>
      <c r="EF88" s="1137">
        <f t="shared" si="370"/>
        <v>19.411764705882351</v>
      </c>
      <c r="EG88" s="1137">
        <f t="shared" si="370"/>
        <v>19.46153846153846</v>
      </c>
      <c r="EH88" s="1137">
        <f t="shared" si="370"/>
        <v>7.4186046511627914</v>
      </c>
      <c r="EI88" s="1163">
        <f t="shared" si="370"/>
        <v>7.4186046511627914</v>
      </c>
      <c r="EJ88" s="1137">
        <f t="shared" si="370"/>
        <v>3.9210526315789478</v>
      </c>
      <c r="EK88" s="1137">
        <f t="shared" si="370"/>
        <v>2.5043227665706054</v>
      </c>
      <c r="EL88" s="1137">
        <f t="shared" si="370"/>
        <v>1.9454887218045114</v>
      </c>
      <c r="EM88" s="1137">
        <f t="shared" si="370"/>
        <v>1.6906077348066297</v>
      </c>
      <c r="EN88" s="1163">
        <f t="shared" si="370"/>
        <v>1.6906077348066297</v>
      </c>
      <c r="EO88" s="1137">
        <f t="shared" si="370"/>
        <v>1.4459893048128341</v>
      </c>
      <c r="EP88" s="1137">
        <f t="shared" si="370"/>
        <v>1.140625</v>
      </c>
      <c r="EQ88" s="1137">
        <f t="shared" si="370"/>
        <v>0.87300574345883852</v>
      </c>
      <c r="ER88" s="1137">
        <f t="shared" si="370"/>
        <v>0.67761806981519501</v>
      </c>
      <c r="ES88" s="1138">
        <f>ES86/EN86-1</f>
        <v>0.67761806981519501</v>
      </c>
      <c r="ET88" s="1137">
        <f t="shared" ref="ET88:EW88" si="371">ET86/EO86-1</f>
        <v>0.57717533887188455</v>
      </c>
      <c r="EU88" s="1137">
        <f t="shared" si="371"/>
        <v>0.50710718401844024</v>
      </c>
      <c r="EV88" s="1137">
        <f t="shared" si="371"/>
        <v>0.44974446337308338</v>
      </c>
      <c r="EW88" s="1137">
        <f t="shared" si="371"/>
        <v>0.40391676866585069</v>
      </c>
      <c r="EX88" s="1138">
        <f>EX86/ES86-1</f>
        <v>0.40391676866585069</v>
      </c>
      <c r="EY88" s="1137">
        <f t="shared" ref="EY88" si="372">EY86/ET86-1</f>
        <v>0.36595508733019133</v>
      </c>
      <c r="EZ88" s="1137">
        <f t="shared" ref="EZ88" si="373">EZ86/EU86-1</f>
        <v>0.33647718582717312</v>
      </c>
      <c r="FA88" s="1137">
        <f t="shared" ref="FA88" si="374">FA86/EV86-1</f>
        <v>0.31022326674500578</v>
      </c>
      <c r="FB88" s="1137">
        <f t="shared" ref="FB88" si="375">FB86/EW86-1</f>
        <v>0.28770706190061035</v>
      </c>
      <c r="FC88" s="1138">
        <f>FC86/EX86-1</f>
        <v>0.28770706190061035</v>
      </c>
      <c r="FD88" s="1137">
        <f t="shared" ref="FD88" si="376">FD86/EY86-1</f>
        <v>0.26791150801704888</v>
      </c>
      <c r="FE88" s="1137">
        <f t="shared" ref="FE88" si="377">FE86/EZ86-1</f>
        <v>0.25176425710471095</v>
      </c>
      <c r="FF88" s="1137">
        <f t="shared" ref="FF88" si="378">FF86/FA86-1</f>
        <v>0.21560538116591932</v>
      </c>
      <c r="FG88" s="1137">
        <f t="shared" ref="FG88" si="379">FG86/FB86-1</f>
        <v>0.14708869329722418</v>
      </c>
      <c r="FH88" s="1138">
        <f>FH86/FC86-1</f>
        <v>0.14708869329722418</v>
      </c>
      <c r="FI88" s="1138">
        <f t="shared" ref="FI88:FM88" si="380">FI86/FH86-1</f>
        <v>1.4755791648221939E-2</v>
      </c>
      <c r="FJ88" s="1138">
        <f t="shared" si="380"/>
        <v>1.4686636614803072E-2</v>
      </c>
      <c r="FK88" s="1138">
        <f t="shared" si="380"/>
        <v>1.4618801948982574E-2</v>
      </c>
      <c r="FL88" s="1138">
        <f t="shared" si="380"/>
        <v>1.4552253457269071E-2</v>
      </c>
      <c r="FM88" s="1138">
        <f t="shared" si="380"/>
        <v>1.448695810566325E-2</v>
      </c>
    </row>
    <row r="89" spans="1:170" x14ac:dyDescent="0.3">
      <c r="A89" s="55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4"/>
      <c r="DZ89" s="1"/>
      <c r="EA89" s="1"/>
      <c r="EB89" s="1"/>
      <c r="EC89" s="1"/>
      <c r="ED89" s="4"/>
      <c r="EE89" s="1"/>
      <c r="EF89" s="1"/>
      <c r="EG89" s="1"/>
      <c r="EH89" s="1"/>
      <c r="EI89" s="4"/>
      <c r="EJ89" s="1"/>
      <c r="EK89" s="1"/>
      <c r="EL89" s="1"/>
      <c r="EM89" s="1"/>
      <c r="EN89" s="4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59"/>
    </row>
    <row r="90" spans="1:170" x14ac:dyDescent="0.3">
      <c r="A90" s="60" t="s">
        <v>328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58">
        <f t="shared" ref="DU90:DW91" si="381">DU82+DU86</f>
        <v>3223</v>
      </c>
      <c r="DV90" s="58">
        <f t="shared" si="381"/>
        <v>3223</v>
      </c>
      <c r="DW90" s="58">
        <f t="shared" si="381"/>
        <v>3223</v>
      </c>
      <c r="DX90" s="58">
        <f>DZ90-DZ91</f>
        <v>3223</v>
      </c>
      <c r="DY90" s="58">
        <f>DX90</f>
        <v>3223</v>
      </c>
      <c r="DZ90" s="58">
        <f>EA90-EA91</f>
        <v>3232</v>
      </c>
      <c r="EA90" s="58">
        <f>EB90-EB91</f>
        <v>3240</v>
      </c>
      <c r="EB90" s="58">
        <f>EC90-EC91</f>
        <v>3249</v>
      </c>
      <c r="EC90" s="58">
        <f>EE90-EE91</f>
        <v>3309</v>
      </c>
      <c r="ED90" s="58">
        <f>EC90</f>
        <v>3309</v>
      </c>
      <c r="EE90" s="58">
        <f>EF90-EF91</f>
        <v>3413</v>
      </c>
      <c r="EF90" s="53">
        <f>Inputs!EF350*1000-30</f>
        <v>3570</v>
      </c>
      <c r="EG90" s="1115">
        <f>EG82+EG86</f>
        <v>3755</v>
      </c>
      <c r="EH90" s="1115">
        <f>EH82+EH86</f>
        <v>3947</v>
      </c>
      <c r="EI90" s="1115">
        <f>EH90</f>
        <v>3947</v>
      </c>
      <c r="EJ90" s="1115">
        <f>EJ82+EJ86</f>
        <v>4158</v>
      </c>
      <c r="EK90" s="1115">
        <f>EK82+EK86</f>
        <v>4439</v>
      </c>
      <c r="EL90" s="1115">
        <f>EL82+EL86</f>
        <v>4790</v>
      </c>
      <c r="EM90" s="1115">
        <f>EM82+EM86</f>
        <v>5171</v>
      </c>
      <c r="EN90" s="1115">
        <f>EM90</f>
        <v>5171</v>
      </c>
      <c r="EO90" s="1115">
        <f>EO82+EO86</f>
        <v>5510</v>
      </c>
      <c r="EP90" s="1115">
        <f>EP82+EP86</f>
        <v>5826</v>
      </c>
      <c r="EQ90" s="1115">
        <f>EQ82+EQ86</f>
        <v>6158</v>
      </c>
      <c r="ER90" s="1115">
        <f>ER82+ER86</f>
        <v>6491</v>
      </c>
      <c r="ES90" s="1115">
        <f>ER90</f>
        <v>6491</v>
      </c>
      <c r="ET90" s="1115">
        <f t="shared" ref="ET90:EW90" si="382">ET82+ET86</f>
        <v>6830</v>
      </c>
      <c r="EU90" s="1115">
        <f t="shared" si="382"/>
        <v>7146</v>
      </c>
      <c r="EV90" s="1115">
        <f t="shared" si="382"/>
        <v>7478</v>
      </c>
      <c r="EW90" s="1115">
        <f t="shared" si="382"/>
        <v>7811</v>
      </c>
      <c r="EX90" s="1115">
        <f>EW90</f>
        <v>7811</v>
      </c>
      <c r="EY90" s="1115">
        <f t="shared" ref="EY90:FB90" si="383">EY82+EY86</f>
        <v>8150</v>
      </c>
      <c r="EZ90" s="1115">
        <f t="shared" si="383"/>
        <v>8466</v>
      </c>
      <c r="FA90" s="1115">
        <f t="shared" si="383"/>
        <v>8798</v>
      </c>
      <c r="FB90" s="1115">
        <f t="shared" si="383"/>
        <v>9131</v>
      </c>
      <c r="FC90" s="1115">
        <f>FB90</f>
        <v>9131</v>
      </c>
      <c r="FD90" s="1115">
        <f t="shared" ref="FD90:FM90" si="384">FD82+FD86</f>
        <v>9470</v>
      </c>
      <c r="FE90" s="1115">
        <f t="shared" si="384"/>
        <v>9786</v>
      </c>
      <c r="FF90" s="1115">
        <f t="shared" si="384"/>
        <v>10000</v>
      </c>
      <c r="FG90" s="1115">
        <f t="shared" si="384"/>
        <v>10000</v>
      </c>
      <c r="FH90" s="1115">
        <f>FG90</f>
        <v>10000</v>
      </c>
      <c r="FI90" s="1115">
        <f t="shared" si="384"/>
        <v>10100</v>
      </c>
      <c r="FJ90" s="1115">
        <f t="shared" si="384"/>
        <v>10201</v>
      </c>
      <c r="FK90" s="1115">
        <f t="shared" si="384"/>
        <v>10303.01</v>
      </c>
      <c r="FL90" s="1115">
        <f t="shared" si="384"/>
        <v>10406.0401</v>
      </c>
      <c r="FM90" s="1115">
        <f t="shared" si="384"/>
        <v>10510.100501000001</v>
      </c>
    </row>
    <row r="91" spans="1:170" x14ac:dyDescent="0.3">
      <c r="A91" s="70" t="s">
        <v>326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136">
        <f t="shared" si="381"/>
        <v>0</v>
      </c>
      <c r="DV91" s="1136">
        <f t="shared" si="381"/>
        <v>0</v>
      </c>
      <c r="DW91" s="1136">
        <f t="shared" si="381"/>
        <v>0</v>
      </c>
      <c r="DX91" s="1136">
        <f>DX83+DX87</f>
        <v>0</v>
      </c>
      <c r="DY91" s="1201">
        <f>SUM(DU91:DX91)</f>
        <v>0</v>
      </c>
      <c r="DZ91" s="62">
        <f>DZ87</f>
        <v>9</v>
      </c>
      <c r="EA91" s="62">
        <f>EA87</f>
        <v>8</v>
      </c>
      <c r="EB91" s="62">
        <f>EB87</f>
        <v>9</v>
      </c>
      <c r="EC91" s="62">
        <f>EC87</f>
        <v>60</v>
      </c>
      <c r="ED91" s="824">
        <f>SUM(DZ91:EC91)</f>
        <v>86</v>
      </c>
      <c r="EE91" s="62">
        <f>EE87</f>
        <v>104</v>
      </c>
      <c r="EF91" s="62">
        <f>EF87</f>
        <v>157</v>
      </c>
      <c r="EG91" s="1136">
        <f>EG90-EF90</f>
        <v>185</v>
      </c>
      <c r="EH91" s="1136">
        <f>EH90-EG90</f>
        <v>192</v>
      </c>
      <c r="EI91" s="824">
        <f>SUM(EE91:EH91)</f>
        <v>638</v>
      </c>
      <c r="EJ91" s="1136">
        <f>EJ90-EI90</f>
        <v>211</v>
      </c>
      <c r="EK91" s="1136">
        <f>EK90-EJ90</f>
        <v>281</v>
      </c>
      <c r="EL91" s="1136">
        <f>EL90-EK90</f>
        <v>351</v>
      </c>
      <c r="EM91" s="1136">
        <f>EM90-EL90</f>
        <v>381</v>
      </c>
      <c r="EN91" s="1200">
        <f>SUM(EJ91:EM91)</f>
        <v>1224</v>
      </c>
      <c r="EO91" s="1136">
        <f>EO90-EN90</f>
        <v>339</v>
      </c>
      <c r="EP91" s="1136">
        <f>EP90-EO90</f>
        <v>316</v>
      </c>
      <c r="EQ91" s="1136">
        <f>EQ90-EP90</f>
        <v>332</v>
      </c>
      <c r="ER91" s="1136">
        <f>ER90-EQ90</f>
        <v>333</v>
      </c>
      <c r="ES91" s="1200">
        <f>SUM(EO91:ER91)</f>
        <v>1320</v>
      </c>
      <c r="ET91" s="1136">
        <f t="shared" ref="ET91:EW91" si="385">ET90-ES90</f>
        <v>339</v>
      </c>
      <c r="EU91" s="1136">
        <f t="shared" si="385"/>
        <v>316</v>
      </c>
      <c r="EV91" s="1136">
        <f t="shared" si="385"/>
        <v>332</v>
      </c>
      <c r="EW91" s="1136">
        <f t="shared" si="385"/>
        <v>333</v>
      </c>
      <c r="EX91" s="1200">
        <f>SUM(ET91:EW91)</f>
        <v>1320</v>
      </c>
      <c r="EY91" s="1136">
        <f t="shared" ref="EY91" si="386">EY90-EX90</f>
        <v>339</v>
      </c>
      <c r="EZ91" s="1136">
        <f t="shared" ref="EZ91" si="387">EZ90-EY90</f>
        <v>316</v>
      </c>
      <c r="FA91" s="1136">
        <f t="shared" ref="FA91" si="388">FA90-EZ90</f>
        <v>332</v>
      </c>
      <c r="FB91" s="1136">
        <f t="shared" ref="FB91" si="389">FB90-FA90</f>
        <v>333</v>
      </c>
      <c r="FC91" s="1200">
        <f>SUM(EY91:FB91)</f>
        <v>1320</v>
      </c>
      <c r="FD91" s="1136">
        <f t="shared" ref="FD91" si="390">FD90-FC90</f>
        <v>339</v>
      </c>
      <c r="FE91" s="1136">
        <f t="shared" ref="FE91" si="391">FE90-FD90</f>
        <v>316</v>
      </c>
      <c r="FF91" s="1136">
        <f t="shared" ref="FF91" si="392">FF90-FE90</f>
        <v>214</v>
      </c>
      <c r="FG91" s="1136">
        <f t="shared" ref="FG91" si="393">FG90-FF90</f>
        <v>0</v>
      </c>
      <c r="FH91" s="1200">
        <f>SUM(FD91:FG91)</f>
        <v>869</v>
      </c>
      <c r="FI91" s="1136">
        <f t="shared" ref="FI91:FM91" si="394">FI90-FH90</f>
        <v>100</v>
      </c>
      <c r="FJ91" s="1136">
        <f t="shared" si="394"/>
        <v>101</v>
      </c>
      <c r="FK91" s="1136">
        <f t="shared" si="394"/>
        <v>102.01000000000022</v>
      </c>
      <c r="FL91" s="1136">
        <f t="shared" si="394"/>
        <v>103.03009999999995</v>
      </c>
      <c r="FM91" s="1136">
        <f t="shared" si="394"/>
        <v>104.06040100000064</v>
      </c>
    </row>
    <row r="92" spans="1:170" x14ac:dyDescent="0.3">
      <c r="A92" s="61" t="s">
        <v>29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136"/>
      <c r="DV92" s="1136"/>
      <c r="DW92" s="1136"/>
      <c r="DX92" s="1136"/>
      <c r="DY92" s="1201"/>
      <c r="DZ92" s="1137"/>
      <c r="EA92" s="1137"/>
      <c r="EB92" s="1137"/>
      <c r="EC92" s="1137"/>
      <c r="ED92" s="1163"/>
      <c r="EE92" s="1137">
        <f t="shared" ref="EE92:EX92" si="395">EE90/DZ90-1</f>
        <v>5.6002475247524774E-2</v>
      </c>
      <c r="EF92" s="1137">
        <f t="shared" si="395"/>
        <v>0.10185185185185186</v>
      </c>
      <c r="EG92" s="1137">
        <f t="shared" si="395"/>
        <v>0.15574022776238849</v>
      </c>
      <c r="EH92" s="1137">
        <f t="shared" si="395"/>
        <v>0.19280749471139313</v>
      </c>
      <c r="EI92" s="1163">
        <f t="shared" si="395"/>
        <v>0.19280749471139313</v>
      </c>
      <c r="EJ92" s="1137">
        <f t="shared" si="395"/>
        <v>0.21828303545268102</v>
      </c>
      <c r="EK92" s="1137">
        <f t="shared" si="395"/>
        <v>0.24341736694677873</v>
      </c>
      <c r="EL92" s="1137">
        <f t="shared" si="395"/>
        <v>0.27563249001331558</v>
      </c>
      <c r="EM92" s="1137">
        <f t="shared" si="395"/>
        <v>0.31010894350139351</v>
      </c>
      <c r="EN92" s="1163">
        <f t="shared" si="395"/>
        <v>0.31010894350139351</v>
      </c>
      <c r="EO92" s="1137">
        <f t="shared" si="395"/>
        <v>0.3251563251563252</v>
      </c>
      <c r="EP92" s="1137">
        <f t="shared" si="395"/>
        <v>0.31245776075692722</v>
      </c>
      <c r="EQ92" s="1137">
        <f t="shared" si="395"/>
        <v>0.28559498956158658</v>
      </c>
      <c r="ER92" s="1137">
        <f t="shared" si="395"/>
        <v>0.25526977373815507</v>
      </c>
      <c r="ES92" s="1163">
        <f t="shared" si="395"/>
        <v>0.25526977373815507</v>
      </c>
      <c r="ET92" s="1137">
        <f t="shared" si="395"/>
        <v>0.23956442831215963</v>
      </c>
      <c r="EU92" s="1137">
        <f t="shared" si="395"/>
        <v>0.22657054582904212</v>
      </c>
      <c r="EV92" s="1137">
        <f t="shared" si="395"/>
        <v>0.21435531016563814</v>
      </c>
      <c r="EW92" s="1137">
        <f t="shared" si="395"/>
        <v>0.20335849637960246</v>
      </c>
      <c r="EX92" s="1163">
        <f t="shared" si="395"/>
        <v>0.20335849637960246</v>
      </c>
      <c r="EY92" s="1137">
        <f t="shared" ref="EY92" si="396">EY90/ET90-1</f>
        <v>0.19326500732064411</v>
      </c>
      <c r="EZ92" s="1137">
        <f t="shared" ref="EZ92" si="397">EZ90/EU90-1</f>
        <v>0.18471872376154486</v>
      </c>
      <c r="FA92" s="1137">
        <f t="shared" ref="FA92" si="398">FA90/EV90-1</f>
        <v>0.17651778550414554</v>
      </c>
      <c r="FB92" s="1137">
        <f t="shared" ref="FB92:FC92" si="399">FB90/EW90-1</f>
        <v>0.16899244654973744</v>
      </c>
      <c r="FC92" s="1163">
        <f t="shared" si="399"/>
        <v>0.16899244654973744</v>
      </c>
      <c r="FD92" s="1137">
        <f t="shared" ref="FD92" si="400">FD90/EY90-1</f>
        <v>0.16196319018404903</v>
      </c>
      <c r="FE92" s="1137">
        <f t="shared" ref="FE92" si="401">FE90/EZ90-1</f>
        <v>0.15591778880226781</v>
      </c>
      <c r="FF92" s="1137">
        <f t="shared" ref="FF92" si="402">FF90/FA90-1</f>
        <v>0.13662195953625833</v>
      </c>
      <c r="FG92" s="1137">
        <f t="shared" ref="FG92:FH92" si="403">FG90/FB90-1</f>
        <v>9.5170298981491541E-2</v>
      </c>
      <c r="FH92" s="1163">
        <f t="shared" si="403"/>
        <v>9.5170298981491541E-2</v>
      </c>
      <c r="FI92" s="1138">
        <f t="shared" ref="FI92:FM92" si="404">FI90/FH90-1</f>
        <v>1.0000000000000009E-2</v>
      </c>
      <c r="FJ92" s="1138">
        <f t="shared" si="404"/>
        <v>1.0000000000000009E-2</v>
      </c>
      <c r="FK92" s="1138">
        <f t="shared" si="404"/>
        <v>1.0000000000000009E-2</v>
      </c>
      <c r="FL92" s="1138">
        <f t="shared" si="404"/>
        <v>1.0000000000000009E-2</v>
      </c>
      <c r="FM92" s="1138">
        <f t="shared" si="404"/>
        <v>1.0000000000000009E-2</v>
      </c>
    </row>
    <row r="93" spans="1:170" x14ac:dyDescent="0.3">
      <c r="A93" s="55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4"/>
      <c r="DZ93" s="1"/>
      <c r="EA93" s="1"/>
      <c r="EB93" s="1"/>
      <c r="EC93" s="1"/>
      <c r="ED93" s="4"/>
      <c r="EE93" s="1"/>
      <c r="EF93" s="1"/>
      <c r="EG93" s="1"/>
      <c r="EH93" s="1"/>
      <c r="EI93" s="4"/>
      <c r="EJ93" s="1"/>
      <c r="EK93" s="1"/>
      <c r="EL93" s="1"/>
      <c r="EM93" s="1"/>
      <c r="EN93" s="4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59"/>
    </row>
    <row r="94" spans="1:170" x14ac:dyDescent="0.3">
      <c r="A94" s="60" t="s">
        <v>329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58">
        <f>DU99-DU90</f>
        <v>11977</v>
      </c>
      <c r="DV94" s="58">
        <f t="shared" ref="DV94:EM94" si="405">DV99-DV90</f>
        <v>11977</v>
      </c>
      <c r="DW94" s="58">
        <f t="shared" si="405"/>
        <v>11977</v>
      </c>
      <c r="DX94" s="58">
        <f t="shared" si="405"/>
        <v>11977</v>
      </c>
      <c r="DY94" s="58">
        <f>DX94</f>
        <v>11977</v>
      </c>
      <c r="DZ94" s="58">
        <f t="shared" si="405"/>
        <v>11968</v>
      </c>
      <c r="EA94" s="58">
        <f t="shared" si="405"/>
        <v>11960</v>
      </c>
      <c r="EB94" s="58">
        <f t="shared" si="405"/>
        <v>11951</v>
      </c>
      <c r="EC94" s="58">
        <f t="shared" si="405"/>
        <v>11891</v>
      </c>
      <c r="ED94" s="58">
        <f>EC94</f>
        <v>11891</v>
      </c>
      <c r="EE94" s="58">
        <f t="shared" si="405"/>
        <v>11787</v>
      </c>
      <c r="EF94" s="58">
        <f t="shared" si="405"/>
        <v>11730</v>
      </c>
      <c r="EG94" s="58">
        <f t="shared" si="405"/>
        <v>11545</v>
      </c>
      <c r="EH94" s="58">
        <f t="shared" si="405"/>
        <v>11353</v>
      </c>
      <c r="EI94" s="1115">
        <f>EH94</f>
        <v>11353</v>
      </c>
      <c r="EJ94" s="58">
        <f t="shared" si="405"/>
        <v>11142</v>
      </c>
      <c r="EK94" s="58">
        <f t="shared" si="405"/>
        <v>10861</v>
      </c>
      <c r="EL94" s="58">
        <f t="shared" si="405"/>
        <v>10510</v>
      </c>
      <c r="EM94" s="58">
        <f t="shared" si="405"/>
        <v>10229</v>
      </c>
      <c r="EN94" s="1115">
        <f>EM94</f>
        <v>10229</v>
      </c>
      <c r="EO94" s="58">
        <f t="shared" ref="EO94:ER94" si="406">EO99-EO90</f>
        <v>9890</v>
      </c>
      <c r="EP94" s="58">
        <f t="shared" si="406"/>
        <v>9574</v>
      </c>
      <c r="EQ94" s="58">
        <f t="shared" si="406"/>
        <v>9242</v>
      </c>
      <c r="ER94" s="58">
        <f t="shared" si="406"/>
        <v>8909</v>
      </c>
      <c r="ES94" s="1115">
        <f>ER94</f>
        <v>8909</v>
      </c>
      <c r="ET94" s="1115">
        <f t="shared" ref="ET94:EW94" si="407">ET99-ET90</f>
        <v>8599.6045749999994</v>
      </c>
      <c r="EU94" s="1115">
        <f t="shared" si="407"/>
        <v>8299.5454999999984</v>
      </c>
      <c r="EV94" s="1115">
        <f t="shared" si="407"/>
        <v>7992.0700000000015</v>
      </c>
      <c r="EW94" s="1115">
        <f t="shared" si="407"/>
        <v>7696.7999999999993</v>
      </c>
      <c r="EX94" s="1115">
        <f>EW94</f>
        <v>7696.7999999999993</v>
      </c>
      <c r="EY94" s="1115">
        <f t="shared" ref="EY94:FB94" si="408">EY99-EY90</f>
        <v>7384.4038842266255</v>
      </c>
      <c r="EZ94" s="1115">
        <f t="shared" si="408"/>
        <v>7085.5127540118483</v>
      </c>
      <c r="FA94" s="1115">
        <f t="shared" si="408"/>
        <v>6779.2775851000024</v>
      </c>
      <c r="FB94" s="1115">
        <f t="shared" si="408"/>
        <v>6485.3545999999969</v>
      </c>
      <c r="FC94" s="1115">
        <f>FB94</f>
        <v>6485.3545999999969</v>
      </c>
      <c r="FD94" s="1115">
        <f t="shared" ref="FD94:FM94" si="409">FD99-FD90</f>
        <v>6169.9150001078542</v>
      </c>
      <c r="FE94" s="1115">
        <f t="shared" si="409"/>
        <v>5872.207017563298</v>
      </c>
      <c r="FF94" s="1115">
        <f t="shared" si="409"/>
        <v>5685.2281187647477</v>
      </c>
      <c r="FG94" s="1115">
        <f t="shared" si="409"/>
        <v>5725.6690821999946</v>
      </c>
      <c r="FH94" s="1115">
        <f>FG94</f>
        <v>5725.6690821999946</v>
      </c>
      <c r="FI94" s="1115">
        <f t="shared" si="409"/>
        <v>5735.7487657753936</v>
      </c>
      <c r="FJ94" s="1115">
        <f t="shared" si="409"/>
        <v>5745.5990071358192</v>
      </c>
      <c r="FK94" s="1115">
        <f t="shared" si="409"/>
        <v>5755.2152001857685</v>
      </c>
      <c r="FL94" s="1115">
        <f t="shared" si="409"/>
        <v>5764.5926765870681</v>
      </c>
      <c r="FM94" s="1115">
        <f t="shared" si="409"/>
        <v>5773.7267050231749</v>
      </c>
    </row>
    <row r="95" spans="1:170" x14ac:dyDescent="0.3">
      <c r="A95" s="70" t="s">
        <v>326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074">
        <v>0</v>
      </c>
      <c r="DV95" s="1074">
        <f>DV94-DU94-DV96</f>
        <v>0</v>
      </c>
      <c r="DW95" s="1074">
        <f>DW94-DV94-DW96</f>
        <v>0</v>
      </c>
      <c r="DX95" s="1074">
        <f>DX94-DW94-DX96</f>
        <v>0</v>
      </c>
      <c r="DY95" s="1115">
        <f>SUM(DU95:DX95)</f>
        <v>0</v>
      </c>
      <c r="DZ95" s="1074">
        <f>DZ94-DY94-DZ96</f>
        <v>0</v>
      </c>
      <c r="EA95" s="1074">
        <f>EA94-DZ94-EA96</f>
        <v>0</v>
      </c>
      <c r="EB95" s="1074">
        <f>EB94-EA94-EB96</f>
        <v>0</v>
      </c>
      <c r="EC95" s="1074">
        <f>EC94-EB94-EC96</f>
        <v>0</v>
      </c>
      <c r="ED95" s="1115">
        <f>SUM(DZ95:EC95)</f>
        <v>0</v>
      </c>
      <c r="EE95" s="1074">
        <f>EE94-ED94-EE96</f>
        <v>0</v>
      </c>
      <c r="EF95" s="1074">
        <f>EF94-EE94-EF96</f>
        <v>100</v>
      </c>
      <c r="EG95" s="1074">
        <f>EG94-EF94-EG96</f>
        <v>0</v>
      </c>
      <c r="EH95" s="1074">
        <f>EH94-EG94-EH96</f>
        <v>0</v>
      </c>
      <c r="EI95" s="1115">
        <f>SUM(EE95:EH95)</f>
        <v>100</v>
      </c>
      <c r="EJ95" s="1074">
        <f>EJ94-EI94-EJ96</f>
        <v>0</v>
      </c>
      <c r="EK95" s="1074">
        <f>EK94-EJ94-EK96</f>
        <v>0</v>
      </c>
      <c r="EL95" s="1074">
        <f>EL94-EK94-EL96</f>
        <v>0</v>
      </c>
      <c r="EM95" s="1074">
        <f>EM94-EL94-EM96</f>
        <v>100</v>
      </c>
      <c r="EN95" s="1115">
        <f>SUM(EJ95:EM95)</f>
        <v>100</v>
      </c>
      <c r="EO95" s="1074">
        <f>EO94-EN94-EO96</f>
        <v>0</v>
      </c>
      <c r="EP95" s="1074">
        <f>EP94-EO94-EP96</f>
        <v>0</v>
      </c>
      <c r="EQ95" s="1074">
        <f>EQ94-EP94-EQ96</f>
        <v>0</v>
      </c>
      <c r="ER95" s="1074">
        <f>ER94-EQ94-ER96</f>
        <v>0</v>
      </c>
      <c r="ES95" s="1115">
        <f>SUM(EO95:ER95)</f>
        <v>0</v>
      </c>
      <c r="ET95" s="1074">
        <f t="shared" ref="ET95:EW95" si="410">ET94-ES94-ET96</f>
        <v>29.604574999999386</v>
      </c>
      <c r="EU95" s="1074">
        <f t="shared" si="410"/>
        <v>15.94092499999897</v>
      </c>
      <c r="EV95" s="1074">
        <f t="shared" si="410"/>
        <v>24.524500000003172</v>
      </c>
      <c r="EW95" s="1074">
        <f t="shared" si="410"/>
        <v>37.729999999997744</v>
      </c>
      <c r="EX95" s="1115">
        <f>SUM(ET95:EW95)</f>
        <v>107.79999999999927</v>
      </c>
      <c r="EY95" s="1074">
        <f t="shared" ref="EY95" si="411">EY94-EX94-EY96</f>
        <v>26.603884226626178</v>
      </c>
      <c r="EZ95" s="1074">
        <f t="shared" ref="EZ95" si="412">EZ94-EY94-EZ96</f>
        <v>17.108869785222851</v>
      </c>
      <c r="FA95" s="1074">
        <f t="shared" ref="FA95" si="413">FA94-EZ94-FA96</f>
        <v>25.764831088154097</v>
      </c>
      <c r="FB95" s="1074">
        <f t="shared" ref="FB95" si="414">FB94-FA94-FB96</f>
        <v>39.077014899994538</v>
      </c>
      <c r="FC95" s="1115">
        <f>SUM(EY95:FB95)</f>
        <v>108.55459999999766</v>
      </c>
      <c r="FD95" s="1074">
        <f t="shared" ref="FD95" si="415">FD94-FC94-FD96</f>
        <v>23.560400107857276</v>
      </c>
      <c r="FE95" s="1074">
        <f t="shared" ref="FE95" si="416">FE94-FD94-FE96</f>
        <v>18.292017455443784</v>
      </c>
      <c r="FF95" s="1074">
        <f t="shared" ref="FF95" si="417">FF94-FE94-FF96</f>
        <v>27.02110120144971</v>
      </c>
      <c r="FG95" s="1074">
        <f t="shared" ref="FG95" si="418">FG94-FF94-FG96</f>
        <v>40.440963435246886</v>
      </c>
      <c r="FH95" s="1115">
        <f>SUM(FD95:FG95)</f>
        <v>109.31448219999766</v>
      </c>
      <c r="FI95" s="1074">
        <f t="shared" ref="FI95:FM95" si="419">FI94-FH94-FI96</f>
        <v>110.07968357539903</v>
      </c>
      <c r="FJ95" s="1074">
        <f t="shared" si="419"/>
        <v>110.85024136042557</v>
      </c>
      <c r="FK95" s="1074">
        <f t="shared" si="419"/>
        <v>111.62619304994929</v>
      </c>
      <c r="FL95" s="1074">
        <f t="shared" si="419"/>
        <v>112.40757640129965</v>
      </c>
      <c r="FM95" s="1074">
        <f t="shared" si="419"/>
        <v>113.19442943610674</v>
      </c>
    </row>
    <row r="96" spans="1:170" x14ac:dyDescent="0.3">
      <c r="A96" s="70" t="s">
        <v>330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074">
        <f>-DU87</f>
        <v>0</v>
      </c>
      <c r="DV96" s="1074">
        <f>-DV87</f>
        <v>0</v>
      </c>
      <c r="DW96" s="1074">
        <f>-DW87</f>
        <v>0</v>
      </c>
      <c r="DX96" s="1074">
        <f>-DX87</f>
        <v>0</v>
      </c>
      <c r="DY96" s="1115">
        <f>SUM(DU96:DX96)</f>
        <v>0</v>
      </c>
      <c r="DZ96" s="1074">
        <f>-DZ87</f>
        <v>-9</v>
      </c>
      <c r="EA96" s="1074">
        <f>-EA87</f>
        <v>-8</v>
      </c>
      <c r="EB96" s="1074">
        <f>-EB87</f>
        <v>-9</v>
      </c>
      <c r="EC96" s="1074">
        <f>-EC87</f>
        <v>-60</v>
      </c>
      <c r="ED96" s="1115">
        <f>SUM(DZ96:EC96)</f>
        <v>-86</v>
      </c>
      <c r="EE96" s="1074">
        <f>-EE87</f>
        <v>-104</v>
      </c>
      <c r="EF96" s="1074">
        <f>-EF87</f>
        <v>-157</v>
      </c>
      <c r="EG96" s="1074">
        <f>-EG87</f>
        <v>-185</v>
      </c>
      <c r="EH96" s="1074">
        <f>-EH87</f>
        <v>-192</v>
      </c>
      <c r="EI96" s="1115">
        <f>SUM(EE96:EH96)</f>
        <v>-638</v>
      </c>
      <c r="EJ96" s="1074">
        <f>-EJ87</f>
        <v>-211</v>
      </c>
      <c r="EK96" s="1074">
        <f>-EK87</f>
        <v>-281</v>
      </c>
      <c r="EL96" s="1074">
        <f>-EL87</f>
        <v>-351</v>
      </c>
      <c r="EM96" s="1074">
        <f>-EM87</f>
        <v>-381</v>
      </c>
      <c r="EN96" s="1115">
        <f>SUM(EJ96:EM96)</f>
        <v>-1224</v>
      </c>
      <c r="EO96" s="1074">
        <f>-EO87</f>
        <v>-339</v>
      </c>
      <c r="EP96" s="1074">
        <f>-EP87</f>
        <v>-316</v>
      </c>
      <c r="EQ96" s="1074">
        <f>-EQ87</f>
        <v>-332</v>
      </c>
      <c r="ER96" s="1074">
        <f>-ER87</f>
        <v>-333</v>
      </c>
      <c r="ES96" s="1115">
        <f>SUM(EO96:ER96)</f>
        <v>-1320</v>
      </c>
      <c r="ET96" s="1074">
        <f t="shared" ref="ET96:EW96" si="420">-ET87</f>
        <v>-339</v>
      </c>
      <c r="EU96" s="1074">
        <f t="shared" si="420"/>
        <v>-316</v>
      </c>
      <c r="EV96" s="1074">
        <f t="shared" si="420"/>
        <v>-332</v>
      </c>
      <c r="EW96" s="1074">
        <f t="shared" si="420"/>
        <v>-333</v>
      </c>
      <c r="EX96" s="1115">
        <f>SUM(ET96:EW96)</f>
        <v>-1320</v>
      </c>
      <c r="EY96" s="1074">
        <f t="shared" ref="EY96:FB96" si="421">-EY87</f>
        <v>-339</v>
      </c>
      <c r="EZ96" s="1074">
        <f t="shared" si="421"/>
        <v>-316</v>
      </c>
      <c r="FA96" s="1074">
        <f t="shared" si="421"/>
        <v>-332</v>
      </c>
      <c r="FB96" s="1074">
        <f t="shared" si="421"/>
        <v>-333</v>
      </c>
      <c r="FC96" s="1115">
        <f>SUM(EY96:FB96)</f>
        <v>-1320</v>
      </c>
      <c r="FD96" s="1074">
        <f t="shared" ref="FD96:FM96" si="422">-FD87</f>
        <v>-339</v>
      </c>
      <c r="FE96" s="1074">
        <f t="shared" si="422"/>
        <v>-316</v>
      </c>
      <c r="FF96" s="1074">
        <f t="shared" si="422"/>
        <v>-214</v>
      </c>
      <c r="FG96" s="1074">
        <f t="shared" si="422"/>
        <v>0</v>
      </c>
      <c r="FH96" s="1115">
        <f>SUM(FD96:FG96)</f>
        <v>-869</v>
      </c>
      <c r="FI96" s="1074">
        <f t="shared" si="422"/>
        <v>-100</v>
      </c>
      <c r="FJ96" s="1074">
        <f t="shared" si="422"/>
        <v>-101</v>
      </c>
      <c r="FK96" s="1074">
        <f t="shared" si="422"/>
        <v>-102.01</v>
      </c>
      <c r="FL96" s="1074">
        <f t="shared" si="422"/>
        <v>-103.0301</v>
      </c>
      <c r="FM96" s="1074">
        <f t="shared" si="422"/>
        <v>-104.060401</v>
      </c>
    </row>
    <row r="97" spans="1:170" x14ac:dyDescent="0.3">
      <c r="A97" s="61" t="s">
        <v>29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136"/>
      <c r="DV97" s="1136"/>
      <c r="DW97" s="1136"/>
      <c r="DX97" s="1136"/>
      <c r="DY97" s="1201"/>
      <c r="DZ97" s="1137"/>
      <c r="EA97" s="1137"/>
      <c r="EB97" s="1137"/>
      <c r="EC97" s="1137"/>
      <c r="ED97" s="1163"/>
      <c r="EE97" s="1137">
        <f>EE94/DZ94-1</f>
        <v>-1.512366310160429E-2</v>
      </c>
      <c r="EF97" s="1137">
        <f t="shared" ref="EF97:EX97" si="423">EF94/EA94-1</f>
        <v>-1.9230769230769273E-2</v>
      </c>
      <c r="EG97" s="1137">
        <f t="shared" si="423"/>
        <v>-3.3972052547903919E-2</v>
      </c>
      <c r="EH97" s="1137">
        <f t="shared" si="423"/>
        <v>-4.5244302413590121E-2</v>
      </c>
      <c r="EI97" s="1163">
        <f t="shared" si="423"/>
        <v>-4.5244302413590121E-2</v>
      </c>
      <c r="EJ97" s="1137">
        <f t="shared" si="423"/>
        <v>-5.4721303130567556E-2</v>
      </c>
      <c r="EK97" s="1137">
        <f t="shared" si="423"/>
        <v>-7.4083546462063055E-2</v>
      </c>
      <c r="EL97" s="1137">
        <f t="shared" si="423"/>
        <v>-8.9649198787353779E-2</v>
      </c>
      <c r="EM97" s="1137">
        <f t="shared" si="423"/>
        <v>-9.9004668369593984E-2</v>
      </c>
      <c r="EN97" s="1163">
        <f t="shared" si="423"/>
        <v>-9.9004668369593984E-2</v>
      </c>
      <c r="EO97" s="1137">
        <f t="shared" si="423"/>
        <v>-0.1123676180218991</v>
      </c>
      <c r="EP97" s="1137">
        <f t="shared" si="423"/>
        <v>-0.11849737593223464</v>
      </c>
      <c r="EQ97" s="1137">
        <f t="shared" si="423"/>
        <v>-0.12064700285442431</v>
      </c>
      <c r="ER97" s="1137">
        <f t="shared" si="423"/>
        <v>-0.12904487242154661</v>
      </c>
      <c r="ES97" s="1163">
        <f t="shared" si="423"/>
        <v>-0.12904487242154661</v>
      </c>
      <c r="ET97" s="1137">
        <f t="shared" si="423"/>
        <v>-0.13047476491405463</v>
      </c>
      <c r="EU97" s="1137">
        <f t="shared" si="423"/>
        <v>-0.13311620012533965</v>
      </c>
      <c r="EV97" s="1137">
        <f t="shared" si="423"/>
        <v>-0.13524453581475859</v>
      </c>
      <c r="EW97" s="1137">
        <f t="shared" si="423"/>
        <v>-0.13606465372095644</v>
      </c>
      <c r="EX97" s="1163">
        <f t="shared" si="423"/>
        <v>-0.13606465372095644</v>
      </c>
      <c r="EY97" s="1137">
        <f t="shared" ref="EY97" si="424">EY94/ET94-1</f>
        <v>-0.14130890323795775</v>
      </c>
      <c r="EZ97" s="1137">
        <f t="shared" ref="EZ97" si="425">EZ94/EU94-1</f>
        <v>-0.14627701552912153</v>
      </c>
      <c r="FA97" s="1137">
        <f t="shared" ref="FA97" si="426">FA94/EV94-1</f>
        <v>-0.15174947352813462</v>
      </c>
      <c r="FB97" s="1137">
        <f t="shared" ref="FB97:FC97" si="427">FB94/EW94-1</f>
        <v>-0.15739598274607658</v>
      </c>
      <c r="FC97" s="1163">
        <f t="shared" si="427"/>
        <v>-0.15739598274607658</v>
      </c>
      <c r="FD97" s="1137">
        <f t="shared" ref="FD97" si="428">FD94/EY94-1</f>
        <v>-0.16446674683016282</v>
      </c>
      <c r="FE97" s="1137">
        <f t="shared" ref="FE97" si="429">FE94/EZ94-1</f>
        <v>-0.17123753475167636</v>
      </c>
      <c r="FF97" s="1137">
        <f t="shared" ref="FF97" si="430">FF94/FA94-1</f>
        <v>-0.16138142340414519</v>
      </c>
      <c r="FG97" s="1137">
        <f t="shared" ref="FG97:FH97" si="431">FG94/FB94-1</f>
        <v>-0.1171386245865419</v>
      </c>
      <c r="FH97" s="1163">
        <f t="shared" si="431"/>
        <v>-0.1171386245865419</v>
      </c>
      <c r="FI97" s="1137">
        <f t="shared" ref="FI97:FM97" si="432">FI94/FH94-1</f>
        <v>1.7604376764865926E-3</v>
      </c>
      <c r="FJ97" s="1137">
        <f t="shared" si="432"/>
        <v>1.7173418437015364E-3</v>
      </c>
      <c r="FK97" s="1137">
        <f t="shared" si="432"/>
        <v>1.6736624045650128E-3</v>
      </c>
      <c r="FL97" s="1137">
        <f t="shared" si="432"/>
        <v>1.6293876206396884E-3</v>
      </c>
      <c r="FM97" s="1137">
        <f t="shared" si="432"/>
        <v>1.5845054366467881E-3</v>
      </c>
    </row>
    <row r="98" spans="1:170" x14ac:dyDescent="0.3">
      <c r="A98" s="55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4"/>
      <c r="DZ98" s="1"/>
      <c r="EA98" s="1"/>
      <c r="EB98" s="1"/>
      <c r="EC98" s="1"/>
      <c r="ED98" s="4"/>
      <c r="EE98" s="1"/>
      <c r="EF98" s="1"/>
      <c r="EG98" s="1"/>
      <c r="EH98" s="1"/>
      <c r="EI98" s="4"/>
      <c r="EJ98" s="1"/>
      <c r="EK98" s="1"/>
      <c r="EL98" s="1"/>
      <c r="EM98" s="1"/>
      <c r="EN98" s="4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59"/>
    </row>
    <row r="99" spans="1:170" x14ac:dyDescent="0.3">
      <c r="A99" s="60" t="s">
        <v>331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075">
        <f t="shared" ref="DU99:ED99" si="433">DV99</f>
        <v>15200</v>
      </c>
      <c r="DV99" s="1075">
        <f t="shared" si="433"/>
        <v>15200</v>
      </c>
      <c r="DW99" s="1075">
        <f t="shared" si="433"/>
        <v>15200</v>
      </c>
      <c r="DX99" s="1075">
        <f t="shared" si="433"/>
        <v>15200</v>
      </c>
      <c r="DY99" s="1075">
        <f t="shared" si="433"/>
        <v>15200</v>
      </c>
      <c r="DZ99" s="1075">
        <f t="shared" si="433"/>
        <v>15200</v>
      </c>
      <c r="EA99" s="1075">
        <f t="shared" si="433"/>
        <v>15200</v>
      </c>
      <c r="EB99" s="1075">
        <f t="shared" si="433"/>
        <v>15200</v>
      </c>
      <c r="EC99" s="1075">
        <f t="shared" si="433"/>
        <v>15200</v>
      </c>
      <c r="ED99" s="1075">
        <f t="shared" si="433"/>
        <v>15200</v>
      </c>
      <c r="EE99" s="1233">
        <f>Inputs!EE352*1000</f>
        <v>15200</v>
      </c>
      <c r="EF99" s="1233">
        <f>Inputs!EF352*1000</f>
        <v>15300</v>
      </c>
      <c r="EG99" s="1233">
        <f>Inputs!EG352*1000</f>
        <v>15300</v>
      </c>
      <c r="EH99" s="1233">
        <f>Inputs!EH352*1000</f>
        <v>15300</v>
      </c>
      <c r="EI99" s="1075">
        <f>EH99</f>
        <v>15300</v>
      </c>
      <c r="EJ99" s="1233">
        <f>Inputs!EJ352*1000</f>
        <v>15300</v>
      </c>
      <c r="EK99" s="1233">
        <f>Inputs!EK352*1000</f>
        <v>15300</v>
      </c>
      <c r="EL99" s="1233">
        <f>Inputs!EL352*1000</f>
        <v>15300</v>
      </c>
      <c r="EM99" s="1233">
        <f>Inputs!EM352*1000</f>
        <v>15400</v>
      </c>
      <c r="EN99" s="1075">
        <f>EM99</f>
        <v>15400</v>
      </c>
      <c r="EO99" s="1233">
        <f>Inputs!EO352*1000</f>
        <v>15400</v>
      </c>
      <c r="EP99" s="1233">
        <f>Inputs!EP352*1000</f>
        <v>15400</v>
      </c>
      <c r="EQ99" s="1233">
        <f>Inputs!EQ352*1000</f>
        <v>15400</v>
      </c>
      <c r="ER99" s="1233">
        <f>Inputs!ER352*1000</f>
        <v>15400</v>
      </c>
      <c r="ES99" s="1075">
        <f>ER99</f>
        <v>15400</v>
      </c>
      <c r="ET99" s="1075">
        <f t="shared" ref="ET99:EW99" si="434">EO99*(1+ET101)</f>
        <v>15429.604574999999</v>
      </c>
      <c r="EU99" s="1075">
        <f t="shared" si="434"/>
        <v>15445.545499999998</v>
      </c>
      <c r="EV99" s="1075">
        <f t="shared" si="434"/>
        <v>15470.070000000002</v>
      </c>
      <c r="EW99" s="1075">
        <f t="shared" si="434"/>
        <v>15507.8</v>
      </c>
      <c r="EX99" s="1075">
        <f>EW99</f>
        <v>15507.8</v>
      </c>
      <c r="EY99" s="1075">
        <f t="shared" ref="EY99" si="435">ET99*(1+EY101)</f>
        <v>15534.403884226625</v>
      </c>
      <c r="EZ99" s="1075">
        <f t="shared" ref="EZ99" si="436">EU99*(1+EZ101)</f>
        <v>15551.512754011848</v>
      </c>
      <c r="FA99" s="1075">
        <f t="shared" ref="FA99" si="437">EV99*(1+FA101)</f>
        <v>15577.277585100002</v>
      </c>
      <c r="FB99" s="1075">
        <f t="shared" ref="FB99" si="438">EW99*(1+FB101)</f>
        <v>15616.354599999997</v>
      </c>
      <c r="FC99" s="1075">
        <f>FB99</f>
        <v>15616.354599999997</v>
      </c>
      <c r="FD99" s="1075">
        <f t="shared" ref="FD99" si="439">EY99*(1+FD101)</f>
        <v>15639.915000107854</v>
      </c>
      <c r="FE99" s="1075">
        <f t="shared" ref="FE99" si="440">EZ99*(1+FE101)</f>
        <v>15658.207017563298</v>
      </c>
      <c r="FF99" s="1075">
        <f t="shared" ref="FF99" si="441">FA99*(1+FF101)</f>
        <v>15685.228118764748</v>
      </c>
      <c r="FG99" s="1075">
        <f t="shared" ref="FG99" si="442">FB99*(1+FG101)</f>
        <v>15725.669082199995</v>
      </c>
      <c r="FH99" s="1075">
        <f>FG99</f>
        <v>15725.669082199995</v>
      </c>
      <c r="FI99" s="1075">
        <f t="shared" ref="FI99:FM99" si="443">FH99*(1+FI101)</f>
        <v>15835.748765775394</v>
      </c>
      <c r="FJ99" s="1075">
        <f t="shared" si="443"/>
        <v>15946.599007135819</v>
      </c>
      <c r="FK99" s="1075">
        <f t="shared" si="443"/>
        <v>16058.225200185769</v>
      </c>
      <c r="FL99" s="1075">
        <f t="shared" si="443"/>
        <v>16170.632776587068</v>
      </c>
      <c r="FM99" s="1075">
        <f t="shared" si="443"/>
        <v>16283.827206023176</v>
      </c>
    </row>
    <row r="100" spans="1:170" x14ac:dyDescent="0.3">
      <c r="A100" s="70" t="s">
        <v>326</v>
      </c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114">
        <v>0</v>
      </c>
      <c r="DV100" s="1114">
        <f>DV99-DU99</f>
        <v>0</v>
      </c>
      <c r="DW100" s="1114">
        <f>DW99-DV99</f>
        <v>0</v>
      </c>
      <c r="DX100" s="1114">
        <f>DX99-DW99</f>
        <v>0</v>
      </c>
      <c r="DY100" s="1115">
        <f>SUM(DU100:DX100)</f>
        <v>0</v>
      </c>
      <c r="DZ100" s="1114">
        <f>DZ99-DY99</f>
        <v>0</v>
      </c>
      <c r="EA100" s="1114">
        <f>EA99-DZ99</f>
        <v>0</v>
      </c>
      <c r="EB100" s="1114">
        <f>EB99-EA99</f>
        <v>0</v>
      </c>
      <c r="EC100" s="1114">
        <f>EC99-EB99</f>
        <v>0</v>
      </c>
      <c r="ED100" s="1115">
        <f>SUM(DZ100:EC100)</f>
        <v>0</v>
      </c>
      <c r="EE100" s="1114">
        <f>EE99-ED99</f>
        <v>0</v>
      </c>
      <c r="EF100" s="1114">
        <f>EF99-EE99</f>
        <v>100</v>
      </c>
      <c r="EG100" s="1114">
        <f>EG99-EF99</f>
        <v>0</v>
      </c>
      <c r="EH100" s="1114">
        <f>EH99-EG99</f>
        <v>0</v>
      </c>
      <c r="EI100" s="1115">
        <f>SUM(EE100:EH100)</f>
        <v>100</v>
      </c>
      <c r="EJ100" s="1114">
        <f>EJ99-EI99</f>
        <v>0</v>
      </c>
      <c r="EK100" s="1114">
        <f>EK99-EJ99</f>
        <v>0</v>
      </c>
      <c r="EL100" s="1114">
        <f>EL99-EK99</f>
        <v>0</v>
      </c>
      <c r="EM100" s="1114">
        <f>EM99-EL99</f>
        <v>100</v>
      </c>
      <c r="EN100" s="1115">
        <f>SUM(EJ100:EM100)</f>
        <v>100</v>
      </c>
      <c r="EO100" s="1114">
        <f>EO99-EN99</f>
        <v>0</v>
      </c>
      <c r="EP100" s="1114">
        <f>EP99-EO99</f>
        <v>0</v>
      </c>
      <c r="EQ100" s="1114">
        <f>EQ99-EP99</f>
        <v>0</v>
      </c>
      <c r="ER100" s="1114">
        <f>ER99-EQ99</f>
        <v>0</v>
      </c>
      <c r="ES100" s="1115">
        <f>SUM(EO100:ER100)</f>
        <v>0</v>
      </c>
      <c r="ET100" s="1114">
        <f t="shared" ref="ET100:EW100" si="444">ET99-ES99</f>
        <v>29.604574999999386</v>
      </c>
      <c r="EU100" s="1114">
        <f t="shared" si="444"/>
        <v>15.94092499999897</v>
      </c>
      <c r="EV100" s="1114">
        <f t="shared" si="444"/>
        <v>24.524500000003172</v>
      </c>
      <c r="EW100" s="1114">
        <f t="shared" si="444"/>
        <v>37.729999999997744</v>
      </c>
      <c r="EX100" s="1115">
        <f>SUM(ET100:EW100)</f>
        <v>107.79999999999927</v>
      </c>
      <c r="EY100" s="1114">
        <f t="shared" ref="EY100" si="445">EY99-EX99</f>
        <v>26.603884226626178</v>
      </c>
      <c r="EZ100" s="1114">
        <f t="shared" ref="EZ100" si="446">EZ99-EY99</f>
        <v>17.108869785222851</v>
      </c>
      <c r="FA100" s="1114">
        <f t="shared" ref="FA100" si="447">FA99-EZ99</f>
        <v>25.764831088154097</v>
      </c>
      <c r="FB100" s="1114">
        <f t="shared" ref="FB100" si="448">FB99-FA99</f>
        <v>39.077014899994538</v>
      </c>
      <c r="FC100" s="1115">
        <f>SUM(EY100:FB100)</f>
        <v>108.55459999999766</v>
      </c>
      <c r="FD100" s="1114">
        <f t="shared" ref="FD100" si="449">FD99-FC99</f>
        <v>23.560400107857276</v>
      </c>
      <c r="FE100" s="1114">
        <f t="shared" ref="FE100" si="450">FE99-FD99</f>
        <v>18.292017455443784</v>
      </c>
      <c r="FF100" s="1114">
        <f t="shared" ref="FF100" si="451">FF99-FE99</f>
        <v>27.02110120144971</v>
      </c>
      <c r="FG100" s="1114">
        <f t="shared" ref="FG100" si="452">FG99-FF99</f>
        <v>40.440963435246886</v>
      </c>
      <c r="FH100" s="1115">
        <f>SUM(FD100:FG100)</f>
        <v>109.31448219999766</v>
      </c>
      <c r="FI100" s="1114">
        <f t="shared" ref="FI100:FM100" si="453">FI99-FH99</f>
        <v>110.07968357539903</v>
      </c>
      <c r="FJ100" s="1114">
        <f t="shared" si="453"/>
        <v>110.85024136042557</v>
      </c>
      <c r="FK100" s="1114">
        <f t="shared" si="453"/>
        <v>111.62619304994951</v>
      </c>
      <c r="FL100" s="1114">
        <f t="shared" si="453"/>
        <v>112.40757640129959</v>
      </c>
      <c r="FM100" s="1114">
        <f t="shared" si="453"/>
        <v>113.19442943610738</v>
      </c>
    </row>
    <row r="101" spans="1:170" x14ac:dyDescent="0.3">
      <c r="A101" s="61" t="s">
        <v>29</v>
      </c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136"/>
      <c r="DV101" s="1136"/>
      <c r="DW101" s="1136"/>
      <c r="DX101" s="1136"/>
      <c r="DY101" s="1201"/>
      <c r="DZ101" s="1137">
        <f t="shared" ref="DZ101:ES101" si="454">DZ99/DU99-1</f>
        <v>0</v>
      </c>
      <c r="EA101" s="1137">
        <f t="shared" si="454"/>
        <v>0</v>
      </c>
      <c r="EB101" s="1137">
        <f t="shared" si="454"/>
        <v>0</v>
      </c>
      <c r="EC101" s="1137">
        <f t="shared" si="454"/>
        <v>0</v>
      </c>
      <c r="ED101" s="1163">
        <f t="shared" si="454"/>
        <v>0</v>
      </c>
      <c r="EE101" s="1137">
        <f t="shared" si="454"/>
        <v>0</v>
      </c>
      <c r="EF101" s="1137">
        <f t="shared" si="454"/>
        <v>6.5789473684210176E-3</v>
      </c>
      <c r="EG101" s="1137">
        <f t="shared" si="454"/>
        <v>6.5789473684210176E-3</v>
      </c>
      <c r="EH101" s="1137">
        <f t="shared" si="454"/>
        <v>6.5789473684210176E-3</v>
      </c>
      <c r="EI101" s="1163">
        <f t="shared" si="454"/>
        <v>6.5789473684210176E-3</v>
      </c>
      <c r="EJ101" s="1137">
        <f t="shared" si="454"/>
        <v>6.5789473684210176E-3</v>
      </c>
      <c r="EK101" s="1137">
        <f t="shared" si="454"/>
        <v>0</v>
      </c>
      <c r="EL101" s="1137">
        <f t="shared" si="454"/>
        <v>0</v>
      </c>
      <c r="EM101" s="1137">
        <f t="shared" si="454"/>
        <v>6.5359477124182774E-3</v>
      </c>
      <c r="EN101" s="1163">
        <f t="shared" si="454"/>
        <v>6.5359477124182774E-3</v>
      </c>
      <c r="EO101" s="1137">
        <f t="shared" si="454"/>
        <v>6.5359477124182774E-3</v>
      </c>
      <c r="EP101" s="1137">
        <f t="shared" si="454"/>
        <v>6.5359477124182774E-3</v>
      </c>
      <c r="EQ101" s="1137">
        <f t="shared" si="454"/>
        <v>6.5359477124182774E-3</v>
      </c>
      <c r="ER101" s="1137">
        <f t="shared" si="454"/>
        <v>0</v>
      </c>
      <c r="ES101" s="1163">
        <f t="shared" si="454"/>
        <v>0</v>
      </c>
      <c r="ET101" s="1270">
        <f>EU101*0.65</f>
        <v>1.922375E-3</v>
      </c>
      <c r="EU101" s="1270">
        <f>EV101*0.65</f>
        <v>2.9575000000000001E-3</v>
      </c>
      <c r="EV101" s="1270">
        <f>EW101*0.65</f>
        <v>4.5500000000000002E-3</v>
      </c>
      <c r="EW101" s="1270">
        <v>7.0000000000000001E-3</v>
      </c>
      <c r="EX101" s="1163">
        <f t="shared" ref="EX101" si="455">EX99/ES99-1</f>
        <v>6.9999999999998952E-3</v>
      </c>
      <c r="EY101" s="1270">
        <f>EZ101*0.99</f>
        <v>6.7920929999999999E-3</v>
      </c>
      <c r="EZ101" s="1270">
        <f>FA101*0.99</f>
        <v>6.8607E-3</v>
      </c>
      <c r="FA101" s="1270">
        <f>FB101*0.99</f>
        <v>6.9300000000000004E-3</v>
      </c>
      <c r="FB101" s="1270">
        <v>7.0000000000000001E-3</v>
      </c>
      <c r="FC101" s="1163">
        <f t="shared" ref="FC101" si="456">FC99/EX99-1</f>
        <v>6.9999999999998952E-3</v>
      </c>
      <c r="FD101" s="1270">
        <f>FE101*0.99</f>
        <v>6.7920929999999999E-3</v>
      </c>
      <c r="FE101" s="1270">
        <f>FF101*0.99</f>
        <v>6.8607E-3</v>
      </c>
      <c r="FF101" s="1270">
        <f>FG101*0.99</f>
        <v>6.9300000000000004E-3</v>
      </c>
      <c r="FG101" s="1270">
        <v>7.0000000000000001E-3</v>
      </c>
      <c r="FH101" s="1163">
        <f t="shared" ref="FH101" si="457">FH99/FC99-1</f>
        <v>6.9999999999998952E-3</v>
      </c>
      <c r="FI101" s="1270">
        <v>7.0000000000000001E-3</v>
      </c>
      <c r="FJ101" s="1270">
        <v>7.0000000000000001E-3</v>
      </c>
      <c r="FK101" s="1270">
        <v>7.0000000000000001E-3</v>
      </c>
      <c r="FL101" s="1270">
        <v>7.0000000000000001E-3</v>
      </c>
      <c r="FM101" s="1270">
        <v>7.0000000000000001E-3</v>
      </c>
    </row>
    <row r="102" spans="1:170" x14ac:dyDescent="0.3">
      <c r="A102" s="55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4"/>
      <c r="DZ102" s="1"/>
      <c r="EA102" s="1"/>
      <c r="EB102" s="1"/>
      <c r="EC102" s="1"/>
      <c r="ED102" s="4"/>
      <c r="EE102" s="1"/>
      <c r="EF102" s="1"/>
      <c r="EG102" s="1"/>
      <c r="EH102" s="1"/>
      <c r="EI102" s="4"/>
      <c r="EJ102" s="1"/>
      <c r="EK102" s="1"/>
      <c r="EL102" s="1"/>
      <c r="EM102" s="1"/>
      <c r="EN102" s="4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59"/>
    </row>
    <row r="103" spans="1:170" x14ac:dyDescent="0.3">
      <c r="A103" s="55" t="s">
        <v>332</v>
      </c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4"/>
      <c r="DZ103" s="1"/>
      <c r="EA103" s="1"/>
      <c r="EB103" s="1"/>
      <c r="EC103" s="1"/>
      <c r="ED103" s="4"/>
      <c r="EE103" s="1"/>
      <c r="EF103" s="1"/>
      <c r="EG103" s="1"/>
      <c r="EH103" s="1"/>
      <c r="EI103" s="4"/>
      <c r="EJ103" s="1"/>
      <c r="EK103" s="1"/>
      <c r="EL103" s="1"/>
      <c r="EM103" s="1"/>
      <c r="EN103" s="4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59"/>
    </row>
    <row r="104" spans="1:170" x14ac:dyDescent="0.3">
      <c r="A104" s="67" t="s">
        <v>325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114">
        <f>DU82</f>
        <v>3223</v>
      </c>
      <c r="DV104" s="1114">
        <f>AVERAGE(DU82:DV82)</f>
        <v>3223</v>
      </c>
      <c r="DW104" s="1114">
        <f t="shared" ref="DW104:DX104" si="458">AVERAGE(DV82:DW82)</f>
        <v>3223</v>
      </c>
      <c r="DX104" s="1114">
        <f t="shared" si="458"/>
        <v>3223</v>
      </c>
      <c r="DY104" s="1115">
        <f>AVERAGE(DU104:DX104)</f>
        <v>3223</v>
      </c>
      <c r="DZ104" s="1114">
        <f t="shared" ref="DZ104:EC104" si="459">AVERAGE(DY82:DZ82)</f>
        <v>3223</v>
      </c>
      <c r="EA104" s="1114">
        <f t="shared" si="459"/>
        <v>3223</v>
      </c>
      <c r="EB104" s="1114">
        <f t="shared" si="459"/>
        <v>3223</v>
      </c>
      <c r="EC104" s="1114">
        <f t="shared" si="459"/>
        <v>3223</v>
      </c>
      <c r="ED104" s="1115">
        <f>AVERAGE(DZ104:EC104)</f>
        <v>3223</v>
      </c>
      <c r="EE104" s="1114">
        <f t="shared" ref="EE104:ER104" si="460">AVERAGE(ED82:EE82)</f>
        <v>3223</v>
      </c>
      <c r="EF104" s="1114">
        <f t="shared" si="460"/>
        <v>3223</v>
      </c>
      <c r="EG104" s="1114">
        <f t="shared" si="460"/>
        <v>3223</v>
      </c>
      <c r="EH104" s="1114">
        <f t="shared" si="460"/>
        <v>3223</v>
      </c>
      <c r="EI104" s="1115">
        <f>AVERAGE(EE104:EH104)</f>
        <v>3223</v>
      </c>
      <c r="EJ104" s="1114">
        <f t="shared" si="460"/>
        <v>3223</v>
      </c>
      <c r="EK104" s="1114">
        <f t="shared" si="460"/>
        <v>3223</v>
      </c>
      <c r="EL104" s="1114">
        <f t="shared" si="460"/>
        <v>3223</v>
      </c>
      <c r="EM104" s="1114">
        <f t="shared" si="460"/>
        <v>3223</v>
      </c>
      <c r="EN104" s="1115">
        <f>AVERAGE(EJ104:EM104)</f>
        <v>3223</v>
      </c>
      <c r="EO104" s="1114">
        <f t="shared" si="460"/>
        <v>3223</v>
      </c>
      <c r="EP104" s="1114">
        <f t="shared" si="460"/>
        <v>3223</v>
      </c>
      <c r="EQ104" s="1114">
        <f t="shared" si="460"/>
        <v>3223</v>
      </c>
      <c r="ER104" s="1114">
        <f t="shared" si="460"/>
        <v>3223</v>
      </c>
      <c r="ES104" s="1115">
        <f>AVERAGE(EO104:ER104)</f>
        <v>3223</v>
      </c>
      <c r="ET104" s="1114">
        <f t="shared" ref="ET104:EW104" si="461">AVERAGE(ES82:ET82)</f>
        <v>3223</v>
      </c>
      <c r="EU104" s="1114">
        <f t="shared" si="461"/>
        <v>3223</v>
      </c>
      <c r="EV104" s="1114">
        <f t="shared" si="461"/>
        <v>3223</v>
      </c>
      <c r="EW104" s="1114">
        <f t="shared" si="461"/>
        <v>3223</v>
      </c>
      <c r="EX104" s="1115">
        <f>AVERAGE(ET104:EW104)</f>
        <v>3223</v>
      </c>
      <c r="EY104" s="1114">
        <f t="shared" ref="EY104" si="462">AVERAGE(EX82:EY82)</f>
        <v>3223</v>
      </c>
      <c r="EZ104" s="1114">
        <f t="shared" ref="EZ104" si="463">AVERAGE(EY82:EZ82)</f>
        <v>3223</v>
      </c>
      <c r="FA104" s="1114">
        <f t="shared" ref="FA104" si="464">AVERAGE(EZ82:FA82)</f>
        <v>3223</v>
      </c>
      <c r="FB104" s="1114">
        <f t="shared" ref="FB104" si="465">AVERAGE(FA82:FB82)</f>
        <v>3223</v>
      </c>
      <c r="FC104" s="1115">
        <f>AVERAGE(EY104:FB104)</f>
        <v>3223</v>
      </c>
      <c r="FD104" s="1114">
        <f t="shared" ref="FD104" si="466">AVERAGE(FC82:FD82)</f>
        <v>3223</v>
      </c>
      <c r="FE104" s="1114">
        <f t="shared" ref="FE104" si="467">AVERAGE(FD82:FE82)</f>
        <v>3223</v>
      </c>
      <c r="FF104" s="1114">
        <f t="shared" ref="FF104" si="468">AVERAGE(FE82:FF82)</f>
        <v>3223</v>
      </c>
      <c r="FG104" s="1114">
        <f t="shared" ref="FG104" si="469">AVERAGE(FF82:FG82)</f>
        <v>3223</v>
      </c>
      <c r="FH104" s="1115">
        <f>AVERAGE(FD104:FG104)</f>
        <v>3223</v>
      </c>
      <c r="FI104" s="1114">
        <f t="shared" ref="FI104:FM104" si="470">AVERAGE(FH82:FI82)</f>
        <v>3223</v>
      </c>
      <c r="FJ104" s="1114">
        <f t="shared" si="470"/>
        <v>3223</v>
      </c>
      <c r="FK104" s="1114">
        <f t="shared" si="470"/>
        <v>3223</v>
      </c>
      <c r="FL104" s="1114">
        <f t="shared" si="470"/>
        <v>3223</v>
      </c>
      <c r="FM104" s="1114">
        <f t="shared" si="470"/>
        <v>3223</v>
      </c>
    </row>
    <row r="105" spans="1:170" x14ac:dyDescent="0.3">
      <c r="A105" s="56" t="s">
        <v>327</v>
      </c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114">
        <f>DU86</f>
        <v>0</v>
      </c>
      <c r="DV105" s="1114">
        <f>AVERAGE(DU86:DV86)</f>
        <v>0</v>
      </c>
      <c r="DW105" s="1114">
        <f t="shared" ref="DW105:DX105" si="471">AVERAGE(DV86:DW86)</f>
        <v>0</v>
      </c>
      <c r="DX105" s="1114">
        <f t="shared" si="471"/>
        <v>0</v>
      </c>
      <c r="DY105" s="1115">
        <f t="shared" ref="DY105:DY108" si="472">AVERAGE(DU105:DX105)</f>
        <v>0</v>
      </c>
      <c r="DZ105" s="1114">
        <f t="shared" ref="DZ105:EC105" si="473">AVERAGE(DY86:DZ86)</f>
        <v>4.5</v>
      </c>
      <c r="EA105" s="1114">
        <f t="shared" si="473"/>
        <v>13</v>
      </c>
      <c r="EB105" s="1114">
        <f t="shared" si="473"/>
        <v>21.5</v>
      </c>
      <c r="EC105" s="1114">
        <f t="shared" si="473"/>
        <v>56</v>
      </c>
      <c r="ED105" s="1115">
        <f t="shared" ref="ED105:ED108" si="474">AVERAGE(DZ105:EC105)</f>
        <v>23.75</v>
      </c>
      <c r="EE105" s="1114">
        <f t="shared" ref="EE105:ER105" si="475">AVERAGE(ED86:EE86)</f>
        <v>138</v>
      </c>
      <c r="EF105" s="1114">
        <f t="shared" si="475"/>
        <v>268.5</v>
      </c>
      <c r="EG105" s="1114">
        <f t="shared" si="475"/>
        <v>439.5</v>
      </c>
      <c r="EH105" s="1114">
        <f t="shared" si="475"/>
        <v>628</v>
      </c>
      <c r="EI105" s="1115">
        <f t="shared" ref="EI105:EI108" si="476">AVERAGE(EE105:EH105)</f>
        <v>368.5</v>
      </c>
      <c r="EJ105" s="1114">
        <f t="shared" si="475"/>
        <v>829.5</v>
      </c>
      <c r="EK105" s="1114">
        <f t="shared" si="475"/>
        <v>1075.5</v>
      </c>
      <c r="EL105" s="1114">
        <f t="shared" si="475"/>
        <v>1391.5</v>
      </c>
      <c r="EM105" s="1114">
        <f t="shared" si="475"/>
        <v>1757.5</v>
      </c>
      <c r="EN105" s="1115">
        <f t="shared" ref="EN105:EN108" si="477">AVERAGE(EJ105:EM105)</f>
        <v>1263.5</v>
      </c>
      <c r="EO105" s="1114">
        <f t="shared" si="475"/>
        <v>2117.5</v>
      </c>
      <c r="EP105" s="1114">
        <f t="shared" si="475"/>
        <v>2445</v>
      </c>
      <c r="EQ105" s="1114">
        <f t="shared" si="475"/>
        <v>2769</v>
      </c>
      <c r="ER105" s="1114">
        <f t="shared" si="475"/>
        <v>3101.5</v>
      </c>
      <c r="ES105" s="1115">
        <f t="shared" ref="ES105:ES108" si="478">AVERAGE(EO105:ER105)</f>
        <v>2608.25</v>
      </c>
      <c r="ET105" s="1114">
        <f t="shared" ref="ET105:EW105" si="479">AVERAGE(ES86:ET86)</f>
        <v>3437.5</v>
      </c>
      <c r="EU105" s="1114">
        <f t="shared" si="479"/>
        <v>3765</v>
      </c>
      <c r="EV105" s="1114">
        <f t="shared" si="479"/>
        <v>4089</v>
      </c>
      <c r="EW105" s="1114">
        <f t="shared" si="479"/>
        <v>4421.5</v>
      </c>
      <c r="EX105" s="1115">
        <f t="shared" ref="EX105:EX108" si="480">AVERAGE(ET105:EW105)</f>
        <v>3928.25</v>
      </c>
      <c r="EY105" s="1114">
        <f t="shared" ref="EY105" si="481">AVERAGE(EX86:EY86)</f>
        <v>4757.5</v>
      </c>
      <c r="EZ105" s="1114">
        <f t="shared" ref="EZ105" si="482">AVERAGE(EY86:EZ86)</f>
        <v>5085</v>
      </c>
      <c r="FA105" s="1114">
        <f t="shared" ref="FA105" si="483">AVERAGE(EZ86:FA86)</f>
        <v>5409</v>
      </c>
      <c r="FB105" s="1114">
        <f t="shared" ref="FB105" si="484">AVERAGE(FA86:FB86)</f>
        <v>5741.5</v>
      </c>
      <c r="FC105" s="1115">
        <f t="shared" ref="FC105:FC108" si="485">AVERAGE(EY105:FB105)</f>
        <v>5248.25</v>
      </c>
      <c r="FD105" s="1114">
        <f t="shared" ref="FD105" si="486">AVERAGE(FC86:FD86)</f>
        <v>6077.5</v>
      </c>
      <c r="FE105" s="1114">
        <f t="shared" ref="FE105" si="487">AVERAGE(FD86:FE86)</f>
        <v>6405</v>
      </c>
      <c r="FF105" s="1114">
        <f t="shared" ref="FF105" si="488">AVERAGE(FE86:FF86)</f>
        <v>6670</v>
      </c>
      <c r="FG105" s="1114">
        <f t="shared" ref="FG105" si="489">AVERAGE(FF86:FG86)</f>
        <v>6777</v>
      </c>
      <c r="FH105" s="1115">
        <f t="shared" ref="FH105:FH108" si="490">AVERAGE(FD105:FG105)</f>
        <v>6482.375</v>
      </c>
      <c r="FI105" s="1114">
        <f t="shared" ref="FI105:FM105" si="491">AVERAGE(FH86:FI86)</f>
        <v>6827</v>
      </c>
      <c r="FJ105" s="1114">
        <f t="shared" si="491"/>
        <v>6927.5</v>
      </c>
      <c r="FK105" s="1114">
        <f t="shared" si="491"/>
        <v>7029.0050000000001</v>
      </c>
      <c r="FL105" s="1114">
        <f t="shared" si="491"/>
        <v>7131.5250500000002</v>
      </c>
      <c r="FM105" s="1114">
        <f t="shared" si="491"/>
        <v>7235.0703004999996</v>
      </c>
    </row>
    <row r="106" spans="1:170" x14ac:dyDescent="0.3">
      <c r="A106" s="56" t="s">
        <v>328</v>
      </c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114">
        <f>SUM(DU104:DU105)</f>
        <v>3223</v>
      </c>
      <c r="DV106" s="1114">
        <f>SUM(DV104:DV105)</f>
        <v>3223</v>
      </c>
      <c r="DW106" s="1114">
        <f t="shared" ref="DW106:DX106" si="492">SUM(DW104:DW105)</f>
        <v>3223</v>
      </c>
      <c r="DX106" s="1114">
        <f t="shared" si="492"/>
        <v>3223</v>
      </c>
      <c r="DY106" s="1115">
        <f t="shared" si="472"/>
        <v>3223</v>
      </c>
      <c r="DZ106" s="1114">
        <f t="shared" ref="DZ106:EC106" si="493">SUM(DZ104:DZ105)</f>
        <v>3227.5</v>
      </c>
      <c r="EA106" s="1114">
        <f t="shared" si="493"/>
        <v>3236</v>
      </c>
      <c r="EB106" s="1114">
        <f t="shared" si="493"/>
        <v>3244.5</v>
      </c>
      <c r="EC106" s="1114">
        <f t="shared" si="493"/>
        <v>3279</v>
      </c>
      <c r="ED106" s="1115">
        <f t="shared" si="474"/>
        <v>3246.75</v>
      </c>
      <c r="EE106" s="1114">
        <f t="shared" ref="EE106:EH106" si="494">SUM(EE104:EE105)</f>
        <v>3361</v>
      </c>
      <c r="EF106" s="1114">
        <f t="shared" si="494"/>
        <v>3491.5</v>
      </c>
      <c r="EG106" s="1114">
        <f t="shared" si="494"/>
        <v>3662.5</v>
      </c>
      <c r="EH106" s="1114">
        <f t="shared" si="494"/>
        <v>3851</v>
      </c>
      <c r="EI106" s="1115">
        <f t="shared" si="476"/>
        <v>3591.5</v>
      </c>
      <c r="EJ106" s="1114">
        <f t="shared" ref="EJ106:EM106" si="495">SUM(EJ104:EJ105)</f>
        <v>4052.5</v>
      </c>
      <c r="EK106" s="1114">
        <f t="shared" si="495"/>
        <v>4298.5</v>
      </c>
      <c r="EL106" s="1114">
        <f t="shared" si="495"/>
        <v>4614.5</v>
      </c>
      <c r="EM106" s="1114">
        <f t="shared" si="495"/>
        <v>4980.5</v>
      </c>
      <c r="EN106" s="1115">
        <f t="shared" si="477"/>
        <v>4486.5</v>
      </c>
      <c r="EO106" s="1114">
        <f t="shared" ref="EO106:ER106" si="496">SUM(EO104:EO105)</f>
        <v>5340.5</v>
      </c>
      <c r="EP106" s="1114">
        <f t="shared" si="496"/>
        <v>5668</v>
      </c>
      <c r="EQ106" s="1114">
        <f t="shared" si="496"/>
        <v>5992</v>
      </c>
      <c r="ER106" s="1114">
        <f t="shared" si="496"/>
        <v>6324.5</v>
      </c>
      <c r="ES106" s="1115">
        <f t="shared" si="478"/>
        <v>5831.25</v>
      </c>
      <c r="ET106" s="1114">
        <f t="shared" ref="ET106:EW106" si="497">SUM(ET104:ET105)</f>
        <v>6660.5</v>
      </c>
      <c r="EU106" s="1114">
        <f t="shared" si="497"/>
        <v>6988</v>
      </c>
      <c r="EV106" s="1114">
        <f t="shared" si="497"/>
        <v>7312</v>
      </c>
      <c r="EW106" s="1114">
        <f t="shared" si="497"/>
        <v>7644.5</v>
      </c>
      <c r="EX106" s="1115">
        <f t="shared" si="480"/>
        <v>7151.25</v>
      </c>
      <c r="EY106" s="1114">
        <f t="shared" ref="EY106:FB106" si="498">SUM(EY104:EY105)</f>
        <v>7980.5</v>
      </c>
      <c r="EZ106" s="1114">
        <f t="shared" si="498"/>
        <v>8308</v>
      </c>
      <c r="FA106" s="1114">
        <f t="shared" si="498"/>
        <v>8632</v>
      </c>
      <c r="FB106" s="1114">
        <f t="shared" si="498"/>
        <v>8964.5</v>
      </c>
      <c r="FC106" s="1115">
        <f t="shared" si="485"/>
        <v>8471.25</v>
      </c>
      <c r="FD106" s="1114">
        <f t="shared" ref="FD106:FM106" si="499">SUM(FD104:FD105)</f>
        <v>9300.5</v>
      </c>
      <c r="FE106" s="1114">
        <f t="shared" si="499"/>
        <v>9628</v>
      </c>
      <c r="FF106" s="1114">
        <f t="shared" si="499"/>
        <v>9893</v>
      </c>
      <c r="FG106" s="1114">
        <f t="shared" si="499"/>
        <v>10000</v>
      </c>
      <c r="FH106" s="1115">
        <f t="shared" si="490"/>
        <v>9705.375</v>
      </c>
      <c r="FI106" s="1114">
        <f t="shared" si="499"/>
        <v>10050</v>
      </c>
      <c r="FJ106" s="1114">
        <f t="shared" si="499"/>
        <v>10150.5</v>
      </c>
      <c r="FK106" s="1114">
        <f t="shared" si="499"/>
        <v>10252.005000000001</v>
      </c>
      <c r="FL106" s="1114">
        <f t="shared" si="499"/>
        <v>10354.52505</v>
      </c>
      <c r="FM106" s="1114">
        <f t="shared" si="499"/>
        <v>10458.0703005</v>
      </c>
    </row>
    <row r="107" spans="1:170" x14ac:dyDescent="0.3">
      <c r="A107" s="56" t="s">
        <v>329</v>
      </c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59">
        <f>DU94</f>
        <v>11977</v>
      </c>
      <c r="DV107" s="59">
        <f>AVERAGE(DU94:DV94)</f>
        <v>11977</v>
      </c>
      <c r="DW107" s="59">
        <f t="shared" ref="DW107:DX107" si="500">AVERAGE(DV94:DW94)</f>
        <v>11977</v>
      </c>
      <c r="DX107" s="59">
        <f t="shared" si="500"/>
        <v>11977</v>
      </c>
      <c r="DY107" s="1115">
        <f t="shared" si="472"/>
        <v>11977</v>
      </c>
      <c r="DZ107" s="59">
        <f t="shared" ref="DZ107:EC107" si="501">AVERAGE(DY94:DZ94)</f>
        <v>11972.5</v>
      </c>
      <c r="EA107" s="59">
        <f t="shared" si="501"/>
        <v>11964</v>
      </c>
      <c r="EB107" s="59">
        <f t="shared" si="501"/>
        <v>11955.5</v>
      </c>
      <c r="EC107" s="59">
        <f t="shared" si="501"/>
        <v>11921</v>
      </c>
      <c r="ED107" s="1115">
        <f t="shared" si="474"/>
        <v>11953.25</v>
      </c>
      <c r="EE107" s="59">
        <f t="shared" ref="EE107:ER107" si="502">AVERAGE(ED94:EE94)</f>
        <v>11839</v>
      </c>
      <c r="EF107" s="59">
        <f t="shared" si="502"/>
        <v>11758.5</v>
      </c>
      <c r="EG107" s="59">
        <f t="shared" si="502"/>
        <v>11637.5</v>
      </c>
      <c r="EH107" s="59">
        <f t="shared" si="502"/>
        <v>11449</v>
      </c>
      <c r="EI107" s="1115">
        <f t="shared" si="476"/>
        <v>11671</v>
      </c>
      <c r="EJ107" s="59">
        <f t="shared" si="502"/>
        <v>11247.5</v>
      </c>
      <c r="EK107" s="59">
        <f t="shared" si="502"/>
        <v>11001.5</v>
      </c>
      <c r="EL107" s="59">
        <f t="shared" si="502"/>
        <v>10685.5</v>
      </c>
      <c r="EM107" s="59">
        <f t="shared" si="502"/>
        <v>10369.5</v>
      </c>
      <c r="EN107" s="1115">
        <f t="shared" si="477"/>
        <v>10826</v>
      </c>
      <c r="EO107" s="59">
        <f t="shared" si="502"/>
        <v>10059.5</v>
      </c>
      <c r="EP107" s="59">
        <f t="shared" si="502"/>
        <v>9732</v>
      </c>
      <c r="EQ107" s="59">
        <f t="shared" si="502"/>
        <v>9408</v>
      </c>
      <c r="ER107" s="59">
        <f t="shared" si="502"/>
        <v>9075.5</v>
      </c>
      <c r="ES107" s="1115">
        <f t="shared" si="478"/>
        <v>9568.75</v>
      </c>
      <c r="ET107" s="59">
        <f t="shared" ref="ET107:EW107" si="503">AVERAGE(ES94:ET94)</f>
        <v>8754.3022874999988</v>
      </c>
      <c r="EU107" s="59">
        <f t="shared" si="503"/>
        <v>8449.5750374999989</v>
      </c>
      <c r="EV107" s="59">
        <f t="shared" si="503"/>
        <v>8145.8077499999999</v>
      </c>
      <c r="EW107" s="59">
        <f t="shared" si="503"/>
        <v>7844.4350000000004</v>
      </c>
      <c r="EX107" s="1115">
        <f t="shared" si="480"/>
        <v>8298.5300187499997</v>
      </c>
      <c r="EY107" s="59">
        <f t="shared" ref="EY107" si="504">AVERAGE(EX94:EY94)</f>
        <v>7540.6019421133124</v>
      </c>
      <c r="EZ107" s="59">
        <f t="shared" ref="EZ107" si="505">AVERAGE(EY94:EZ94)</f>
        <v>7234.9583191192369</v>
      </c>
      <c r="FA107" s="59">
        <f t="shared" ref="FA107" si="506">AVERAGE(EZ94:FA94)</f>
        <v>6932.3951695559253</v>
      </c>
      <c r="FB107" s="59">
        <f t="shared" ref="FB107" si="507">AVERAGE(FA94:FB94)</f>
        <v>6632.3160925499997</v>
      </c>
      <c r="FC107" s="1115">
        <f t="shared" si="485"/>
        <v>7085.0678808346183</v>
      </c>
      <c r="FD107" s="59">
        <f t="shared" ref="FD107" si="508">AVERAGE(FC94:FD94)</f>
        <v>6327.6348000539256</v>
      </c>
      <c r="FE107" s="59">
        <f t="shared" ref="FE107" si="509">AVERAGE(FD94:FE94)</f>
        <v>6021.0610088355761</v>
      </c>
      <c r="FF107" s="59">
        <f t="shared" ref="FF107" si="510">AVERAGE(FE94:FF94)</f>
        <v>5778.7175681640229</v>
      </c>
      <c r="FG107" s="59">
        <f t="shared" ref="FG107" si="511">AVERAGE(FF94:FG94)</f>
        <v>5705.4486004823711</v>
      </c>
      <c r="FH107" s="1115">
        <f t="shared" si="490"/>
        <v>5958.2154943839732</v>
      </c>
      <c r="FI107" s="59">
        <f t="shared" ref="FI107:FM107" si="512">AVERAGE(FH94:FI94)</f>
        <v>5730.7089239876941</v>
      </c>
      <c r="FJ107" s="59">
        <f t="shared" si="512"/>
        <v>5740.6738864556064</v>
      </c>
      <c r="FK107" s="59">
        <f t="shared" si="512"/>
        <v>5750.4071036607938</v>
      </c>
      <c r="FL107" s="59">
        <f t="shared" si="512"/>
        <v>5759.9039383864183</v>
      </c>
      <c r="FM107" s="59">
        <f t="shared" si="512"/>
        <v>5769.1596908051215</v>
      </c>
    </row>
    <row r="108" spans="1:170" x14ac:dyDescent="0.3">
      <c r="A108" s="56" t="s">
        <v>331</v>
      </c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114">
        <f>DU106+DU107</f>
        <v>15200</v>
      </c>
      <c r="DV108" s="1114">
        <f>DV106+DV107</f>
        <v>15200</v>
      </c>
      <c r="DW108" s="1114">
        <f t="shared" ref="DW108:DX108" si="513">DW106+DW107</f>
        <v>15200</v>
      </c>
      <c r="DX108" s="1114">
        <f t="shared" si="513"/>
        <v>15200</v>
      </c>
      <c r="DY108" s="1115">
        <f t="shared" si="472"/>
        <v>15200</v>
      </c>
      <c r="DZ108" s="1114">
        <f t="shared" ref="DZ108:EC108" si="514">DZ106+DZ107</f>
        <v>15200</v>
      </c>
      <c r="EA108" s="1114">
        <f t="shared" si="514"/>
        <v>15200</v>
      </c>
      <c r="EB108" s="1114">
        <f t="shared" si="514"/>
        <v>15200</v>
      </c>
      <c r="EC108" s="1114">
        <f t="shared" si="514"/>
        <v>15200</v>
      </c>
      <c r="ED108" s="1115">
        <f t="shared" si="474"/>
        <v>15200</v>
      </c>
      <c r="EE108" s="1114">
        <f t="shared" ref="EE108:EH108" si="515">EE106+EE107</f>
        <v>15200</v>
      </c>
      <c r="EF108" s="1114">
        <f t="shared" si="515"/>
        <v>15250</v>
      </c>
      <c r="EG108" s="1114">
        <f t="shared" si="515"/>
        <v>15300</v>
      </c>
      <c r="EH108" s="1114">
        <f t="shared" si="515"/>
        <v>15300</v>
      </c>
      <c r="EI108" s="1115">
        <f t="shared" si="476"/>
        <v>15262.5</v>
      </c>
      <c r="EJ108" s="1114">
        <f t="shared" ref="EJ108:EM108" si="516">EJ106+EJ107</f>
        <v>15300</v>
      </c>
      <c r="EK108" s="1114">
        <f t="shared" si="516"/>
        <v>15300</v>
      </c>
      <c r="EL108" s="1114">
        <f t="shared" si="516"/>
        <v>15300</v>
      </c>
      <c r="EM108" s="1114">
        <f t="shared" si="516"/>
        <v>15350</v>
      </c>
      <c r="EN108" s="1115">
        <f t="shared" si="477"/>
        <v>15312.5</v>
      </c>
      <c r="EO108" s="1114">
        <f t="shared" ref="EO108:ER108" si="517">EO106+EO107</f>
        <v>15400</v>
      </c>
      <c r="EP108" s="1114">
        <f t="shared" si="517"/>
        <v>15400</v>
      </c>
      <c r="EQ108" s="1114">
        <f t="shared" si="517"/>
        <v>15400</v>
      </c>
      <c r="ER108" s="1114">
        <f t="shared" si="517"/>
        <v>15400</v>
      </c>
      <c r="ES108" s="1115">
        <f t="shared" si="478"/>
        <v>15400</v>
      </c>
      <c r="ET108" s="1114">
        <f t="shared" ref="ET108:EW108" si="518">ET106+ET107</f>
        <v>15414.802287499999</v>
      </c>
      <c r="EU108" s="1114">
        <f t="shared" si="518"/>
        <v>15437.575037499999</v>
      </c>
      <c r="EV108" s="1114">
        <f t="shared" si="518"/>
        <v>15457.80775</v>
      </c>
      <c r="EW108" s="1114">
        <f t="shared" si="518"/>
        <v>15488.935000000001</v>
      </c>
      <c r="EX108" s="1115">
        <f t="shared" si="480"/>
        <v>15449.78001875</v>
      </c>
      <c r="EY108" s="1114">
        <f t="shared" ref="EY108:FB108" si="519">EY106+EY107</f>
        <v>15521.101942113313</v>
      </c>
      <c r="EZ108" s="1114">
        <f t="shared" si="519"/>
        <v>15542.958319119236</v>
      </c>
      <c r="FA108" s="1114">
        <f t="shared" si="519"/>
        <v>15564.395169555926</v>
      </c>
      <c r="FB108" s="1114">
        <f t="shared" si="519"/>
        <v>15596.81609255</v>
      </c>
      <c r="FC108" s="1115">
        <f t="shared" si="485"/>
        <v>15556.317880834618</v>
      </c>
      <c r="FD108" s="1114">
        <f t="shared" ref="FD108:FM108" si="520">FD106+FD107</f>
        <v>15628.134800053926</v>
      </c>
      <c r="FE108" s="1114">
        <f t="shared" si="520"/>
        <v>15649.061008835575</v>
      </c>
      <c r="FF108" s="1114">
        <f t="shared" si="520"/>
        <v>15671.717568164022</v>
      </c>
      <c r="FG108" s="1114">
        <f t="shared" si="520"/>
        <v>15705.44860048237</v>
      </c>
      <c r="FH108" s="1115">
        <f t="shared" si="490"/>
        <v>15663.590494383974</v>
      </c>
      <c r="FI108" s="1114">
        <f t="shared" si="520"/>
        <v>15780.708923987695</v>
      </c>
      <c r="FJ108" s="1114">
        <f t="shared" si="520"/>
        <v>15891.173886455606</v>
      </c>
      <c r="FK108" s="1114">
        <f t="shared" si="520"/>
        <v>16002.412103660794</v>
      </c>
      <c r="FL108" s="1114">
        <f t="shared" si="520"/>
        <v>16114.428988386418</v>
      </c>
      <c r="FM108" s="1114">
        <f t="shared" si="520"/>
        <v>16227.229991305121</v>
      </c>
    </row>
    <row r="109" spans="1:170" x14ac:dyDescent="0.3">
      <c r="A109" s="55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4"/>
      <c r="DZ109" s="1"/>
      <c r="EA109" s="1"/>
      <c r="EB109" s="1"/>
      <c r="EC109" s="1"/>
      <c r="ED109" s="4"/>
      <c r="EE109" s="1"/>
      <c r="EF109" s="1"/>
      <c r="EG109" s="1"/>
      <c r="EH109" s="1"/>
      <c r="EI109" s="4"/>
      <c r="EJ109" s="1"/>
      <c r="EK109" s="1"/>
      <c r="EL109" s="1"/>
      <c r="EM109" s="1"/>
      <c r="EN109" s="4"/>
      <c r="EO109" s="4"/>
      <c r="EP109" s="4"/>
      <c r="EQ109" s="4"/>
      <c r="ER109" s="4"/>
      <c r="ES109" s="1"/>
      <c r="ET109" s="4"/>
      <c r="EU109" s="4"/>
      <c r="EV109" s="4"/>
      <c r="EW109" s="4"/>
      <c r="EX109" s="1"/>
      <c r="EY109" s="4"/>
      <c r="EZ109" s="4"/>
      <c r="FA109" s="4"/>
      <c r="FB109" s="4"/>
      <c r="FC109" s="1"/>
      <c r="FD109" s="4"/>
      <c r="FE109" s="4"/>
      <c r="FF109" s="4"/>
      <c r="FG109" s="4"/>
      <c r="FH109" s="1"/>
      <c r="FI109" s="1"/>
      <c r="FJ109" s="1"/>
      <c r="FK109" s="1"/>
      <c r="FL109" s="1"/>
      <c r="FM109" s="59"/>
    </row>
    <row r="110" spans="1:170" x14ac:dyDescent="0.3">
      <c r="A110" s="54" t="s">
        <v>333</v>
      </c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4"/>
      <c r="CO110" s="54"/>
      <c r="CP110" s="54"/>
      <c r="CQ110" s="54"/>
      <c r="CR110" s="54"/>
      <c r="CS110" s="54"/>
      <c r="CT110" s="54"/>
      <c r="CU110" s="54"/>
      <c r="CV110" s="54"/>
      <c r="CW110" s="54"/>
      <c r="CX110" s="54"/>
      <c r="CY110" s="54"/>
      <c r="CZ110" s="54"/>
      <c r="DA110" s="54"/>
      <c r="DB110" s="54"/>
      <c r="DC110" s="54"/>
      <c r="DD110" s="54"/>
      <c r="DE110" s="54"/>
      <c r="DF110" s="54"/>
      <c r="DG110" s="54"/>
      <c r="DH110" s="54"/>
      <c r="DI110" s="54"/>
      <c r="DJ110" s="54"/>
      <c r="DK110" s="54"/>
      <c r="DL110" s="54"/>
      <c r="DM110" s="54"/>
      <c r="DN110" s="54"/>
      <c r="DO110" s="54"/>
      <c r="DP110" s="54"/>
      <c r="DQ110" s="54"/>
      <c r="DR110" s="54"/>
      <c r="DS110" s="54"/>
      <c r="DT110" s="54"/>
      <c r="DU110" s="54"/>
      <c r="DV110" s="54"/>
      <c r="DW110" s="54"/>
      <c r="DX110" s="54"/>
      <c r="DY110" s="54"/>
      <c r="DZ110" s="54"/>
      <c r="EA110" s="54"/>
      <c r="EB110" s="54"/>
      <c r="EC110" s="54"/>
      <c r="ED110" s="54"/>
      <c r="EE110" s="54"/>
      <c r="EF110" s="54"/>
      <c r="EG110" s="54"/>
      <c r="EH110" s="54"/>
      <c r="EI110" s="54"/>
      <c r="EJ110" s="54"/>
      <c r="EK110" s="54"/>
      <c r="EL110" s="54"/>
      <c r="EM110" s="54"/>
      <c r="EN110" s="54"/>
      <c r="EO110" s="54"/>
      <c r="EP110" s="54"/>
      <c r="EQ110" s="54"/>
      <c r="ER110" s="54"/>
      <c r="ES110" s="54"/>
      <c r="ET110" s="54"/>
      <c r="EU110" s="54"/>
      <c r="EV110" s="54"/>
      <c r="EW110" s="54"/>
      <c r="EX110" s="54"/>
      <c r="EY110" s="54"/>
      <c r="EZ110" s="54"/>
      <c r="FA110" s="54"/>
      <c r="FB110" s="54"/>
      <c r="FC110" s="54"/>
      <c r="FD110" s="54"/>
      <c r="FE110" s="54"/>
      <c r="FF110" s="54"/>
      <c r="FG110" s="54"/>
      <c r="FH110" s="54"/>
      <c r="FI110" s="54"/>
      <c r="FJ110" s="54"/>
      <c r="FK110" s="54"/>
      <c r="FL110" s="54"/>
      <c r="FM110" s="54"/>
      <c r="FN110" s="54"/>
    </row>
    <row r="111" spans="1:170" x14ac:dyDescent="0.3">
      <c r="A111" s="55" t="s">
        <v>334</v>
      </c>
      <c r="EA111" s="108"/>
      <c r="EB111" s="108"/>
      <c r="EC111" s="108"/>
      <c r="ED111" s="538"/>
      <c r="EE111" s="108"/>
      <c r="EF111" s="108"/>
      <c r="EG111" s="108"/>
      <c r="EH111" s="108"/>
      <c r="EI111" s="538"/>
      <c r="EJ111" s="108"/>
      <c r="EK111" s="108"/>
      <c r="EL111" s="108"/>
      <c r="EM111" s="108"/>
      <c r="EN111" s="538"/>
      <c r="EO111" s="538"/>
      <c r="EP111" s="538"/>
      <c r="EQ111" s="538"/>
      <c r="ER111" s="538"/>
      <c r="ES111" s="108"/>
      <c r="ET111" s="538"/>
      <c r="EU111" s="538"/>
      <c r="EV111" s="538"/>
      <c r="EW111" s="538"/>
      <c r="EX111" s="108"/>
      <c r="EY111" s="538"/>
      <c r="EZ111" s="538"/>
      <c r="FA111" s="538"/>
      <c r="FB111" s="538"/>
      <c r="FC111" s="108"/>
      <c r="FD111" s="538"/>
      <c r="FE111" s="538"/>
      <c r="FF111" s="538"/>
      <c r="FG111" s="538"/>
      <c r="FH111" s="108"/>
      <c r="FI111" s="108"/>
      <c r="FJ111" s="108"/>
      <c r="FK111" s="108"/>
      <c r="FL111" s="108"/>
      <c r="FM111" s="108"/>
    </row>
    <row r="112" spans="1:170" x14ac:dyDescent="0.3">
      <c r="A112" s="63" t="s">
        <v>335</v>
      </c>
      <c r="DU112" s="76">
        <f>+DU115-DU117</f>
        <v>1218</v>
      </c>
      <c r="DV112" s="76">
        <f>+DU115</f>
        <v>1211</v>
      </c>
      <c r="DW112" s="76">
        <f t="shared" ref="DW112:EE112" si="521">+DV115</f>
        <v>1201</v>
      </c>
      <c r="DX112" s="76">
        <f t="shared" si="521"/>
        <v>1201</v>
      </c>
      <c r="DY112" s="85">
        <f>+DU112</f>
        <v>1218</v>
      </c>
      <c r="DZ112" s="76">
        <f t="shared" si="521"/>
        <v>1205</v>
      </c>
      <c r="EA112" s="120">
        <f t="shared" si="521"/>
        <v>1215</v>
      </c>
      <c r="EB112" s="120">
        <f t="shared" si="521"/>
        <v>1223</v>
      </c>
      <c r="EC112" s="120">
        <f t="shared" si="521"/>
        <v>1229</v>
      </c>
      <c r="ED112" s="121">
        <f>+DZ112</f>
        <v>1205</v>
      </c>
      <c r="EE112" s="120">
        <f t="shared" si="521"/>
        <v>1238</v>
      </c>
      <c r="EF112" s="120">
        <f>+EE115</f>
        <v>1251</v>
      </c>
      <c r="EG112" s="120">
        <f>+EF115</f>
        <v>1263</v>
      </c>
      <c r="EH112" s="120">
        <f>+EG115</f>
        <v>1292</v>
      </c>
      <c r="EI112" s="121">
        <f>+EE112</f>
        <v>1238</v>
      </c>
      <c r="EJ112" s="120">
        <f>+EI115</f>
        <v>1336</v>
      </c>
      <c r="EK112" s="120">
        <f>+EJ115</f>
        <v>1388</v>
      </c>
      <c r="EL112" s="120">
        <f>+EK115</f>
        <v>1438</v>
      </c>
      <c r="EM112" s="120">
        <f>+EL115</f>
        <v>1502</v>
      </c>
      <c r="EN112" s="121">
        <f>+EJ112</f>
        <v>1336</v>
      </c>
      <c r="EO112" s="120">
        <f>+EN115</f>
        <v>1575</v>
      </c>
      <c r="EP112" s="120">
        <f>+EO115</f>
        <v>1659</v>
      </c>
      <c r="EQ112" s="120">
        <f>+EP115</f>
        <v>1722</v>
      </c>
      <c r="ER112" s="120">
        <f>+EQ115</f>
        <v>1797</v>
      </c>
      <c r="ES112" s="121">
        <f>+EO112</f>
        <v>1575</v>
      </c>
      <c r="ET112" s="120">
        <f t="shared" ref="ET112:EW112" si="522">+ES115</f>
        <v>1878</v>
      </c>
      <c r="EU112" s="120">
        <f t="shared" si="522"/>
        <v>1981.1435660762102</v>
      </c>
      <c r="EV112" s="120">
        <f t="shared" si="522"/>
        <v>2057.8288778680198</v>
      </c>
      <c r="EW112" s="120">
        <f t="shared" si="522"/>
        <v>2148.9743382026254</v>
      </c>
      <c r="EX112" s="121">
        <f>+ET112</f>
        <v>1878</v>
      </c>
      <c r="EY112" s="120">
        <f t="shared" ref="EY112" si="523">+EX115</f>
        <v>2245.5631404657288</v>
      </c>
      <c r="EZ112" s="120">
        <f t="shared" ref="EZ112" si="524">+EY115</f>
        <v>2369.3153781960987</v>
      </c>
      <c r="FA112" s="120">
        <f t="shared" ref="FA112" si="525">+EZ115</f>
        <v>2459.8934344980325</v>
      </c>
      <c r="FB112" s="120">
        <f t="shared" ref="FB112" si="526">+FA115</f>
        <v>2566.1378597666721</v>
      </c>
      <c r="FC112" s="121">
        <f>+EY112</f>
        <v>2245.5631404657288</v>
      </c>
      <c r="FD112" s="120">
        <f t="shared" ref="FD112" si="527">+FC115</f>
        <v>2677.7372996388622</v>
      </c>
      <c r="FE112" s="120">
        <f t="shared" ref="FE112" si="528">+FD115</f>
        <v>2813.7879869108428</v>
      </c>
      <c r="FF112" s="120">
        <f t="shared" ref="FF112" si="529">+FE115</f>
        <v>2910.3229634708791</v>
      </c>
      <c r="FG112" s="120">
        <f t="shared" ref="FG112" si="530">+FF115</f>
        <v>3021.8835433832292</v>
      </c>
      <c r="FH112" s="121">
        <f>+FD112</f>
        <v>2677.7372996388622</v>
      </c>
      <c r="FI112" s="120">
        <f t="shared" ref="FI112:FM112" si="531">+FH115</f>
        <v>3134.9080352214451</v>
      </c>
      <c r="FJ112" s="120">
        <f t="shared" si="531"/>
        <v>3535.0415217529926</v>
      </c>
      <c r="FK112" s="120">
        <f t="shared" si="531"/>
        <v>3854.5511873226033</v>
      </c>
      <c r="FL112" s="120">
        <f t="shared" si="531"/>
        <v>4097.0537810461947</v>
      </c>
      <c r="FM112" s="120">
        <f t="shared" si="531"/>
        <v>4269.6689813827743</v>
      </c>
      <c r="FN112" s="189">
        <f>+(FJ112/ES112)^0.2-1</f>
        <v>0.17550042974196156</v>
      </c>
    </row>
    <row r="113" spans="1:171" x14ac:dyDescent="0.3">
      <c r="A113" s="63" t="s">
        <v>336</v>
      </c>
      <c r="DU113" s="76">
        <f>+DU115-DU114-DU112</f>
        <v>92.754200000000083</v>
      </c>
      <c r="DV113" s="76">
        <f>+DV115-DV114-DV112</f>
        <v>90.270800000000008</v>
      </c>
      <c r="DW113" s="76">
        <f>+DW115-DW114-DW112</f>
        <v>95.119200000000092</v>
      </c>
      <c r="DX113" s="76">
        <f>+DX115-DX114-DX112</f>
        <v>83.626299999999901</v>
      </c>
      <c r="DY113" s="85">
        <f>+SUM(DU113:DX113)</f>
        <v>361.77050000000008</v>
      </c>
      <c r="DZ113" s="76">
        <f>+DZ115-DZ114-DZ112</f>
        <v>80.131000000000085</v>
      </c>
      <c r="EA113" s="120">
        <f>+EA115-EA114-EA112</f>
        <v>63.403999999999996</v>
      </c>
      <c r="EB113" s="120">
        <f>+EB115-EB114-EB112</f>
        <v>72.041999999999916</v>
      </c>
      <c r="EC113" s="120">
        <f>+EC115-EC114-EC112</f>
        <v>66.517200000000003</v>
      </c>
      <c r="ED113" s="121">
        <f>+SUM(DZ113:EC113)</f>
        <v>282.0942</v>
      </c>
      <c r="EE113" s="120">
        <f>+EE115-EE114-EE112</f>
        <v>65.367400000000089</v>
      </c>
      <c r="EF113" s="120">
        <f>+EF115-EF114-EF112</f>
        <v>69.420900000000074</v>
      </c>
      <c r="EG113" s="120">
        <f>+EG115-EG114-EG112</f>
        <v>88.108400000000074</v>
      </c>
      <c r="EH113" s="120">
        <f>+EH115-EH114-EH112</f>
        <v>95.163199999999961</v>
      </c>
      <c r="EI113" s="121">
        <f>+SUM(EE113:EH113)</f>
        <v>318.0599000000002</v>
      </c>
      <c r="EJ113" s="120">
        <f>+EJ115-EJ114-EJ112</f>
        <v>99.695200000000114</v>
      </c>
      <c r="EK113" s="120">
        <f>+EK115-EK114-EK112</f>
        <v>109.54520000000002</v>
      </c>
      <c r="EL113" s="120">
        <f>+EL115-EL114-EL112</f>
        <v>133.02399999999989</v>
      </c>
      <c r="EM113" s="120">
        <f>+EM115-EM114-EM112</f>
        <v>132.47919999999999</v>
      </c>
      <c r="EN113" s="121">
        <f>+SUM(EJ113:EM113)</f>
        <v>474.74360000000001</v>
      </c>
      <c r="EO113" s="120">
        <f>+EO115-EO114-EO112</f>
        <v>140.70000000000005</v>
      </c>
      <c r="EP113" s="120">
        <f>+EP115-EP114-EP112</f>
        <v>133.17570000000001</v>
      </c>
      <c r="EQ113" s="120">
        <f>+EQ115-EQ114-EQ112</f>
        <v>150.9402</v>
      </c>
      <c r="ER113" s="120">
        <f>+ER115-ER114-ER112</f>
        <v>145.69200000000001</v>
      </c>
      <c r="ES113" s="121">
        <f>+SUM(EO113:ER113)</f>
        <v>570.50790000000006</v>
      </c>
      <c r="ET113" s="120">
        <f t="shared" ref="ET113:EW113" si="532">ET106*ET118</f>
        <v>171.08960607621012</v>
      </c>
      <c r="EU113" s="120">
        <f t="shared" si="532"/>
        <v>160.9066965010586</v>
      </c>
      <c r="EV113" s="120">
        <f t="shared" si="532"/>
        <v>182.34946511615487</v>
      </c>
      <c r="EW113" s="120">
        <f t="shared" si="532"/>
        <v>174.33869381927425</v>
      </c>
      <c r="EX113" s="121">
        <f>+SUM(ET113:EW113)</f>
        <v>688.68446151269779</v>
      </c>
      <c r="EY113" s="120">
        <f t="shared" ref="EY113:FB113" si="533">EY106*EY118</f>
        <v>204.99671215242023</v>
      </c>
      <c r="EZ113" s="120">
        <f t="shared" si="533"/>
        <v>191.30120700211717</v>
      </c>
      <c r="FA113" s="120">
        <f t="shared" si="533"/>
        <v>215.26813223230974</v>
      </c>
      <c r="FB113" s="120">
        <f t="shared" si="533"/>
        <v>204.4423076385485</v>
      </c>
      <c r="FC113" s="121">
        <f>+SUM(EY113:FB113)</f>
        <v>816.00835902539563</v>
      </c>
      <c r="FD113" s="120">
        <f t="shared" ref="FD113:FM113" si="534">FD106*FD118</f>
        <v>232.93122277291457</v>
      </c>
      <c r="FE113" s="120">
        <f t="shared" si="534"/>
        <v>216.15332456559636</v>
      </c>
      <c r="FF113" s="120">
        <f t="shared" si="534"/>
        <v>240.54754881486147</v>
      </c>
      <c r="FG113" s="120">
        <f t="shared" si="534"/>
        <v>222.35623843782116</v>
      </c>
      <c r="FH113" s="121">
        <f>+SUM(FD113:FG113)</f>
        <v>911.98833459119351</v>
      </c>
      <c r="FI113" s="120">
        <f t="shared" si="534"/>
        <v>901.87509893462413</v>
      </c>
      <c r="FJ113" s="120">
        <f t="shared" si="534"/>
        <v>888.12150367587094</v>
      </c>
      <c r="FK113" s="120">
        <f t="shared" si="534"/>
        <v>865.6076235576877</v>
      </c>
      <c r="FL113" s="120">
        <f t="shared" si="534"/>
        <v>834.92183330256751</v>
      </c>
      <c r="FM113" s="120">
        <f t="shared" si="534"/>
        <v>801.10749905381351</v>
      </c>
      <c r="FN113" s="189">
        <f>+(FJ113/ES113)^0.2-1</f>
        <v>9.2552070981551271E-2</v>
      </c>
    </row>
    <row r="114" spans="1:171" x14ac:dyDescent="0.3">
      <c r="A114" s="63" t="s">
        <v>337</v>
      </c>
      <c r="DU114" s="76">
        <f>+DU119*DU112*-3</f>
        <v>-99.754200000000012</v>
      </c>
      <c r="DV114" s="76">
        <f>+DV119*DV112*-3</f>
        <v>-100.27080000000001</v>
      </c>
      <c r="DW114" s="76">
        <f>+DW119*DW112*-3</f>
        <v>-95.119199999999992</v>
      </c>
      <c r="DX114" s="76">
        <f>+DX119*DX112*-3</f>
        <v>-79.626300000000001</v>
      </c>
      <c r="DY114" s="85">
        <f>+SUM(DU114:DX114)</f>
        <v>-374.77050000000003</v>
      </c>
      <c r="DZ114" s="76">
        <f>+DZ119*DZ112*-3</f>
        <v>-70.131</v>
      </c>
      <c r="EA114" s="120">
        <f>+EA119*EA112*-3</f>
        <v>-55.403999999999996</v>
      </c>
      <c r="EB114" s="120">
        <f>+EB119*EB112*-3</f>
        <v>-66.042000000000002</v>
      </c>
      <c r="EC114" s="120">
        <f>+EC119*EC112*-3</f>
        <v>-57.517200000000003</v>
      </c>
      <c r="ED114" s="121">
        <f>+SUM(DZ114:EC114)</f>
        <v>-249.0942</v>
      </c>
      <c r="EE114" s="120">
        <f>+EE119*EE112*-3</f>
        <v>-52.367400000000004</v>
      </c>
      <c r="EF114" s="120">
        <f>+EF119*EF112*-3</f>
        <v>-57.420900000000003</v>
      </c>
      <c r="EG114" s="120">
        <f>+EG119*EG112*-3</f>
        <v>-59.108400000000003</v>
      </c>
      <c r="EH114" s="120">
        <f>+EH119*EH112*-3</f>
        <v>-51.163200000000003</v>
      </c>
      <c r="EI114" s="121">
        <f>+SUM(EE114:EH114)</f>
        <v>-220.05990000000003</v>
      </c>
      <c r="EJ114" s="120">
        <f>+EJ119*EJ112*-3</f>
        <v>-47.6952</v>
      </c>
      <c r="EK114" s="120">
        <f>+EK119*EK112*-3</f>
        <v>-59.545200000000008</v>
      </c>
      <c r="EL114" s="120">
        <f>+EL119*EL112*-3</f>
        <v>-69.024000000000001</v>
      </c>
      <c r="EM114" s="120">
        <f>+EM119*EM112*-3</f>
        <v>-59.479199999999999</v>
      </c>
      <c r="EN114" s="121">
        <f>+SUM(EJ114:EM114)</f>
        <v>-235.74360000000001</v>
      </c>
      <c r="EO114" s="120">
        <f>+EO119*EO112*-3</f>
        <v>-56.7</v>
      </c>
      <c r="EP114" s="120">
        <f>+EP119*EP112*-3</f>
        <v>-70.175700000000006</v>
      </c>
      <c r="EQ114" s="120">
        <f>+EQ119*EQ112*-3</f>
        <v>-75.94019999999999</v>
      </c>
      <c r="ER114" s="120">
        <f>+ER119*ER112*-3</f>
        <v>-64.692000000000007</v>
      </c>
      <c r="ES114" s="121">
        <f>+SUM(EO114:ER114)</f>
        <v>-267.50790000000001</v>
      </c>
      <c r="ET114" s="120">
        <f t="shared" ref="ET114:EW114" si="535">+ET119*ET112*-3</f>
        <v>-67.946039999999996</v>
      </c>
      <c r="EU114" s="120">
        <f t="shared" si="535"/>
        <v>-84.221384709248795</v>
      </c>
      <c r="EV114" s="120">
        <f t="shared" si="535"/>
        <v>-91.204004781549571</v>
      </c>
      <c r="EW114" s="120">
        <f t="shared" si="535"/>
        <v>-77.749891556170979</v>
      </c>
      <c r="EX114" s="121">
        <f>+SUM(ET114:EW114)</f>
        <v>-321.12132104696934</v>
      </c>
      <c r="EY114" s="120">
        <f t="shared" ref="EY114:FB114" si="536">+EY119*EY112*-3</f>
        <v>-81.244474422050061</v>
      </c>
      <c r="EZ114" s="120">
        <f t="shared" si="536"/>
        <v>-100.72315070018342</v>
      </c>
      <c r="FA114" s="120">
        <f t="shared" si="536"/>
        <v>-109.02370696367004</v>
      </c>
      <c r="FB114" s="120">
        <f t="shared" si="536"/>
        <v>-92.842867766358196</v>
      </c>
      <c r="FC114" s="121">
        <f>+SUM(EY114:FB114)</f>
        <v>-383.83419985226175</v>
      </c>
      <c r="FD114" s="120">
        <f t="shared" ref="FD114:FG114" si="537">+FD119*FD112*-3</f>
        <v>-96.88053550093403</v>
      </c>
      <c r="FE114" s="120">
        <f t="shared" si="537"/>
        <v>-119.61834800556026</v>
      </c>
      <c r="FF114" s="120">
        <f t="shared" si="537"/>
        <v>-128.98696890251108</v>
      </c>
      <c r="FG114" s="120">
        <f t="shared" si="537"/>
        <v>-109.33174659960522</v>
      </c>
      <c r="FH114" s="121">
        <f>+SUM(FD114:FG114)</f>
        <v>-454.81759900861061</v>
      </c>
      <c r="FI114" s="120">
        <f t="shared" ref="FI114:FM114" si="538">+FI119*FI112*-12</f>
        <v>-501.74161240307643</v>
      </c>
      <c r="FJ114" s="120">
        <f t="shared" si="538"/>
        <v>-568.61183810626073</v>
      </c>
      <c r="FK114" s="120">
        <f t="shared" si="538"/>
        <v>-623.10502983409583</v>
      </c>
      <c r="FL114" s="120">
        <f t="shared" si="538"/>
        <v>-662.30663296598777</v>
      </c>
      <c r="FM114" s="120">
        <f t="shared" si="538"/>
        <v>-690.21063380252951</v>
      </c>
      <c r="FN114" s="189">
        <f>+(FJ114/ES114)^0.2-1</f>
        <v>0.16277545857908793</v>
      </c>
    </row>
    <row r="115" spans="1:171" x14ac:dyDescent="0.3">
      <c r="A115" s="64" t="s">
        <v>338</v>
      </c>
      <c r="DU115" s="855">
        <f>Inputs!DU365</f>
        <v>1211</v>
      </c>
      <c r="DV115" s="855">
        <f>Inputs!DV365</f>
        <v>1201</v>
      </c>
      <c r="DW115" s="855">
        <f>Inputs!DW365</f>
        <v>1201</v>
      </c>
      <c r="DX115" s="855">
        <f>Inputs!DX365</f>
        <v>1205</v>
      </c>
      <c r="DY115" s="850">
        <f>+DX115</f>
        <v>1205</v>
      </c>
      <c r="DZ115" s="855">
        <f>Inputs!DZ365</f>
        <v>1215</v>
      </c>
      <c r="EA115" s="855">
        <f>Inputs!EA365</f>
        <v>1223</v>
      </c>
      <c r="EB115" s="855">
        <f>Inputs!EB365</f>
        <v>1229</v>
      </c>
      <c r="EC115" s="855">
        <f>Inputs!EC365</f>
        <v>1238</v>
      </c>
      <c r="ED115" s="1026">
        <f>+EC115</f>
        <v>1238</v>
      </c>
      <c r="EE115" s="855">
        <f>Inputs!EE365</f>
        <v>1251</v>
      </c>
      <c r="EF115" s="855">
        <f>Inputs!EF365</f>
        <v>1263</v>
      </c>
      <c r="EG115" s="855">
        <f>Inputs!EG365</f>
        <v>1292</v>
      </c>
      <c r="EH115" s="855">
        <f>Inputs!EH365</f>
        <v>1336</v>
      </c>
      <c r="EI115" s="1795">
        <f>+EH115</f>
        <v>1336</v>
      </c>
      <c r="EJ115" s="855">
        <f>Inputs!EJ365</f>
        <v>1388</v>
      </c>
      <c r="EK115" s="855">
        <f>Inputs!EK365</f>
        <v>1438</v>
      </c>
      <c r="EL115" s="855">
        <f>Inputs!EL365</f>
        <v>1502</v>
      </c>
      <c r="EM115" s="855">
        <f>Inputs!EM365</f>
        <v>1575</v>
      </c>
      <c r="EN115" s="1795">
        <f>+EM115</f>
        <v>1575</v>
      </c>
      <c r="EO115" s="855">
        <f>Inputs!EO365</f>
        <v>1659</v>
      </c>
      <c r="EP115" s="855">
        <f>Inputs!EP365</f>
        <v>1722</v>
      </c>
      <c r="EQ115" s="855">
        <f>Inputs!EQ365</f>
        <v>1797</v>
      </c>
      <c r="ER115" s="855">
        <f>Inputs!ER365</f>
        <v>1878</v>
      </c>
      <c r="ES115" s="1795">
        <f>+ER115</f>
        <v>1878</v>
      </c>
      <c r="ET115" s="1796">
        <f t="shared" ref="ET115:EW115" si="539">SUM(ET112:ET114)</f>
        <v>1981.1435660762102</v>
      </c>
      <c r="EU115" s="1796">
        <f t="shared" si="539"/>
        <v>2057.8288778680198</v>
      </c>
      <c r="EV115" s="1796">
        <f t="shared" si="539"/>
        <v>2148.9743382026254</v>
      </c>
      <c r="EW115" s="1796">
        <f t="shared" si="539"/>
        <v>2245.5631404657288</v>
      </c>
      <c r="EX115" s="1795">
        <f>+EW115</f>
        <v>2245.5631404657288</v>
      </c>
      <c r="EY115" s="1796">
        <f t="shared" ref="EY115:FB115" si="540">SUM(EY112:EY114)</f>
        <v>2369.3153781960987</v>
      </c>
      <c r="EZ115" s="1796">
        <f t="shared" si="540"/>
        <v>2459.8934344980325</v>
      </c>
      <c r="FA115" s="1796">
        <f t="shared" si="540"/>
        <v>2566.1378597666721</v>
      </c>
      <c r="FB115" s="1796">
        <f t="shared" si="540"/>
        <v>2677.7372996388622</v>
      </c>
      <c r="FC115" s="1795">
        <f>+FB115</f>
        <v>2677.7372996388622</v>
      </c>
      <c r="FD115" s="1796">
        <f t="shared" ref="FD115:FG115" si="541">SUM(FD112:FD114)</f>
        <v>2813.7879869108428</v>
      </c>
      <c r="FE115" s="1796">
        <f t="shared" si="541"/>
        <v>2910.3229634708791</v>
      </c>
      <c r="FF115" s="1796">
        <f t="shared" si="541"/>
        <v>3021.8835433832292</v>
      </c>
      <c r="FG115" s="1796">
        <f t="shared" si="541"/>
        <v>3134.9080352214451</v>
      </c>
      <c r="FH115" s="1795">
        <f>+FG115</f>
        <v>3134.9080352214451</v>
      </c>
      <c r="FI115" s="1796">
        <f t="shared" ref="FI115:FM115" si="542">SUM(FI112:FI114)</f>
        <v>3535.0415217529926</v>
      </c>
      <c r="FJ115" s="1796">
        <f t="shared" si="542"/>
        <v>3854.5511873226033</v>
      </c>
      <c r="FK115" s="1796">
        <f t="shared" si="542"/>
        <v>4097.0537810461947</v>
      </c>
      <c r="FL115" s="1796">
        <f t="shared" si="542"/>
        <v>4269.6689813827743</v>
      </c>
      <c r="FM115" s="1796">
        <f t="shared" si="542"/>
        <v>4380.5658466340583</v>
      </c>
      <c r="FN115" s="189">
        <f>+(FJ115/ES115)^0.2-1</f>
        <v>0.15466405383655779</v>
      </c>
      <c r="FO115" s="98"/>
    </row>
    <row r="116" spans="1:171" x14ac:dyDescent="0.3">
      <c r="A116" s="61" t="s">
        <v>339</v>
      </c>
      <c r="DZ116" s="83">
        <f t="shared" ref="DZ116:ER116" si="543">+DZ115/DU115-1</f>
        <v>3.303055326176807E-3</v>
      </c>
      <c r="EA116" s="122">
        <f t="shared" si="543"/>
        <v>1.8318068276436339E-2</v>
      </c>
      <c r="EB116" s="122">
        <f t="shared" si="543"/>
        <v>2.3313905079100694E-2</v>
      </c>
      <c r="EC116" s="122">
        <f t="shared" si="543"/>
        <v>2.7385892116182475E-2</v>
      </c>
      <c r="ED116" s="123">
        <f t="shared" si="543"/>
        <v>2.7385892116182475E-2</v>
      </c>
      <c r="EE116" s="122">
        <f t="shared" si="543"/>
        <v>2.9629629629629672E-2</v>
      </c>
      <c r="EF116" s="122">
        <f t="shared" si="543"/>
        <v>3.2706459525756237E-2</v>
      </c>
      <c r="EG116" s="122">
        <f t="shared" si="543"/>
        <v>5.1261187957689192E-2</v>
      </c>
      <c r="EH116" s="122">
        <f t="shared" si="543"/>
        <v>7.9159935379644608E-2</v>
      </c>
      <c r="EI116" s="123">
        <f t="shared" si="543"/>
        <v>7.9159935379644608E-2</v>
      </c>
      <c r="EJ116" s="122">
        <f t="shared" si="543"/>
        <v>0.10951239008792957</v>
      </c>
      <c r="EK116" s="122">
        <f t="shared" si="543"/>
        <v>0.13855898653998411</v>
      </c>
      <c r="EL116" s="122">
        <f t="shared" si="543"/>
        <v>0.16253869969040258</v>
      </c>
      <c r="EM116" s="122">
        <f t="shared" si="543"/>
        <v>0.17889221556886237</v>
      </c>
      <c r="EN116" s="123">
        <f>+EN115/EI115-1</f>
        <v>0.17889221556886237</v>
      </c>
      <c r="EO116" s="122">
        <f t="shared" si="543"/>
        <v>0.19524495677233422</v>
      </c>
      <c r="EP116" s="122">
        <f t="shared" si="543"/>
        <v>0.1974965229485397</v>
      </c>
      <c r="EQ116" s="122">
        <f t="shared" si="543"/>
        <v>0.19640479360852203</v>
      </c>
      <c r="ER116" s="122">
        <f t="shared" si="543"/>
        <v>0.19238095238095232</v>
      </c>
      <c r="ES116" s="123">
        <f>+ES115/EN115-1</f>
        <v>0.19238095238095232</v>
      </c>
      <c r="ET116" s="122">
        <f t="shared" ref="ET116:EW116" si="544">+ET115/EO115-1</f>
        <v>0.19417936472345398</v>
      </c>
      <c r="EU116" s="122">
        <f t="shared" si="544"/>
        <v>0.19502257715912874</v>
      </c>
      <c r="EV116" s="122">
        <f t="shared" si="544"/>
        <v>0.19586774524353112</v>
      </c>
      <c r="EW116" s="122">
        <f t="shared" si="544"/>
        <v>0.19572052207972779</v>
      </c>
      <c r="EX116" s="123">
        <f>+EX115/ES115-1</f>
        <v>0.19572052207972779</v>
      </c>
      <c r="EY116" s="122">
        <f t="shared" ref="EY116" si="545">+EY115/ET115-1</f>
        <v>0.19593320684411042</v>
      </c>
      <c r="EZ116" s="122">
        <f t="shared" ref="EZ116" si="546">+EZ115/EU115-1</f>
        <v>0.19538289162632672</v>
      </c>
      <c r="FA116" s="122">
        <f t="shared" ref="FA116" si="547">+FA115/EV115-1</f>
        <v>0.19412215127378252</v>
      </c>
      <c r="FB116" s="122">
        <f t="shared" ref="FB116" si="548">+FB115/EW115-1</f>
        <v>0.19245691710254054</v>
      </c>
      <c r="FC116" s="123">
        <f>+FC115/EX115-1</f>
        <v>0.19245691710254054</v>
      </c>
      <c r="FD116" s="122">
        <f t="shared" ref="FD116" si="549">+FD115/EY115-1</f>
        <v>0.1875953757803015</v>
      </c>
      <c r="FE116" s="122">
        <f t="shared" ref="FE116" si="550">+FE115/EZ115-1</f>
        <v>0.18310936671318112</v>
      </c>
      <c r="FF116" s="122">
        <f t="shared" ref="FF116" si="551">+FF115/FA115-1</f>
        <v>0.17759984401539364</v>
      </c>
      <c r="FG116" s="122">
        <f t="shared" ref="FG116" si="552">+FG115/FB115-1</f>
        <v>0.17073024140353121</v>
      </c>
      <c r="FH116" s="123">
        <f>+FH115/FC115-1</f>
        <v>0.17073024140353121</v>
      </c>
      <c r="FI116" s="122">
        <f t="shared" ref="FI116:FM116" si="553">+FI115/FH115-1</f>
        <v>0.12763803021841524</v>
      </c>
      <c r="FJ116" s="122">
        <f t="shared" si="553"/>
        <v>9.0383567944958276E-2</v>
      </c>
      <c r="FK116" s="122">
        <f t="shared" si="553"/>
        <v>6.2913315179512486E-2</v>
      </c>
      <c r="FL116" s="122">
        <f t="shared" si="553"/>
        <v>4.2131543680274053E-2</v>
      </c>
      <c r="FM116" s="122">
        <f t="shared" si="553"/>
        <v>2.5973176312925617E-2</v>
      </c>
    </row>
    <row r="117" spans="1:171" x14ac:dyDescent="0.3">
      <c r="A117" s="65" t="s">
        <v>340</v>
      </c>
      <c r="DU117" s="80">
        <f>Inputs!DU370</f>
        <v>-7</v>
      </c>
      <c r="DV117" s="825">
        <f>+DV115-DU115</f>
        <v>-10</v>
      </c>
      <c r="DW117" s="825">
        <f>+DW115-DV115</f>
        <v>0</v>
      </c>
      <c r="DX117" s="825">
        <f>+DX115-DW115</f>
        <v>4</v>
      </c>
      <c r="DY117" s="86">
        <f>+SUM(DU117:DX117)</f>
        <v>-13</v>
      </c>
      <c r="DZ117" s="825">
        <f>+DZ115-DY115</f>
        <v>10</v>
      </c>
      <c r="EA117" s="825">
        <f>+EA115-DZ115</f>
        <v>8</v>
      </c>
      <c r="EB117" s="825">
        <f t="shared" ref="EB117:ER117" si="554">+EB115-EA115</f>
        <v>6</v>
      </c>
      <c r="EC117" s="825">
        <f t="shared" si="554"/>
        <v>9</v>
      </c>
      <c r="ED117" s="125">
        <f>+SUM(DZ117:EC117)</f>
        <v>33</v>
      </c>
      <c r="EE117" s="825">
        <f t="shared" si="554"/>
        <v>13</v>
      </c>
      <c r="EF117" s="825">
        <f t="shared" si="554"/>
        <v>12</v>
      </c>
      <c r="EG117" s="825">
        <f t="shared" si="554"/>
        <v>29</v>
      </c>
      <c r="EH117" s="825">
        <f t="shared" si="554"/>
        <v>44</v>
      </c>
      <c r="EI117" s="125">
        <f>+SUM(EE117:EH117)</f>
        <v>98</v>
      </c>
      <c r="EJ117" s="825">
        <f t="shared" si="554"/>
        <v>52</v>
      </c>
      <c r="EK117" s="825">
        <f t="shared" si="554"/>
        <v>50</v>
      </c>
      <c r="EL117" s="825">
        <f t="shared" si="554"/>
        <v>64</v>
      </c>
      <c r="EM117" s="825">
        <f t="shared" si="554"/>
        <v>73</v>
      </c>
      <c r="EN117" s="125">
        <f>+SUM(EJ117:EM117)</f>
        <v>239</v>
      </c>
      <c r="EO117" s="825">
        <f t="shared" si="554"/>
        <v>84</v>
      </c>
      <c r="EP117" s="825">
        <f t="shared" si="554"/>
        <v>63</v>
      </c>
      <c r="EQ117" s="825">
        <f t="shared" si="554"/>
        <v>75</v>
      </c>
      <c r="ER117" s="825">
        <f t="shared" si="554"/>
        <v>81</v>
      </c>
      <c r="ES117" s="125">
        <f>+SUM(EO117:ER117)</f>
        <v>303</v>
      </c>
      <c r="ET117" s="825">
        <f t="shared" ref="ET117:EW117" si="555">+ET115-ES115</f>
        <v>103.14356607621016</v>
      </c>
      <c r="EU117" s="825">
        <f t="shared" si="555"/>
        <v>76.685311791809681</v>
      </c>
      <c r="EV117" s="825">
        <f t="shared" si="555"/>
        <v>91.145460334605559</v>
      </c>
      <c r="EW117" s="825">
        <f t="shared" si="555"/>
        <v>96.588802263103389</v>
      </c>
      <c r="EX117" s="125">
        <f>+SUM(ET117:EW117)</f>
        <v>367.56314046572879</v>
      </c>
      <c r="EY117" s="825">
        <f t="shared" ref="EY117" si="556">+EY115-EX115</f>
        <v>123.75223773036987</v>
      </c>
      <c r="EZ117" s="825">
        <f t="shared" ref="EZ117" si="557">+EZ115-EY115</f>
        <v>90.578056301933884</v>
      </c>
      <c r="FA117" s="825">
        <f t="shared" ref="FA117" si="558">+FA115-EZ115</f>
        <v>106.24442526863959</v>
      </c>
      <c r="FB117" s="825">
        <f t="shared" ref="FB117" si="559">+FB115-FA115</f>
        <v>111.59943987219003</v>
      </c>
      <c r="FC117" s="125">
        <f>+SUM(EY117:FB117)</f>
        <v>432.17415917313338</v>
      </c>
      <c r="FD117" s="825">
        <f t="shared" ref="FD117" si="560">+FD115-FC115</f>
        <v>136.05068727198068</v>
      </c>
      <c r="FE117" s="825">
        <f t="shared" ref="FE117" si="561">+FE115-FD115</f>
        <v>96.534976560036284</v>
      </c>
      <c r="FF117" s="825">
        <f t="shared" ref="FF117" si="562">+FF115-FE115</f>
        <v>111.56057991235002</v>
      </c>
      <c r="FG117" s="825">
        <f t="shared" ref="FG117" si="563">+FG115-FF115</f>
        <v>113.02449183821591</v>
      </c>
      <c r="FH117" s="125">
        <f>+SUM(FD117:FG117)</f>
        <v>457.17073558258289</v>
      </c>
      <c r="FI117" s="124">
        <f t="shared" ref="FI117:FM117" si="564">+FI115-FH115</f>
        <v>400.13348653154753</v>
      </c>
      <c r="FJ117" s="124">
        <f t="shared" si="564"/>
        <v>319.50966556961066</v>
      </c>
      <c r="FK117" s="124">
        <f t="shared" si="564"/>
        <v>242.50259372359142</v>
      </c>
      <c r="FL117" s="124">
        <f t="shared" si="564"/>
        <v>172.61520033657962</v>
      </c>
      <c r="FM117" s="124">
        <f t="shared" si="564"/>
        <v>110.896865251284</v>
      </c>
      <c r="FN117" s="189"/>
    </row>
    <row r="118" spans="1:171" x14ac:dyDescent="0.3">
      <c r="A118" s="65" t="s">
        <v>341</v>
      </c>
      <c r="DU118" s="75">
        <f>+DU113/DU106</f>
        <v>2.8778839590443712E-2</v>
      </c>
      <c r="DV118" s="75">
        <f t="shared" ref="DV118:ES118" si="565">+DV113/DV106</f>
        <v>2.8008315234253803E-2</v>
      </c>
      <c r="DW118" s="75">
        <f t="shared" si="565"/>
        <v>2.9512627986348152E-2</v>
      </c>
      <c r="DX118" s="75">
        <f t="shared" si="565"/>
        <v>2.5946726652187373E-2</v>
      </c>
      <c r="DY118" s="84">
        <f t="shared" si="565"/>
        <v>0.11224650946323304</v>
      </c>
      <c r="DZ118" s="75">
        <f>+DZ113/DZ106</f>
        <v>2.4827575522850531E-2</v>
      </c>
      <c r="EA118" s="75">
        <f t="shared" si="565"/>
        <v>1.9593325092707045E-2</v>
      </c>
      <c r="EB118" s="75">
        <f t="shared" si="565"/>
        <v>2.2204345815996274E-2</v>
      </c>
      <c r="EC118" s="75">
        <f t="shared" si="565"/>
        <v>2.0285818847209515E-2</v>
      </c>
      <c r="ED118" s="84">
        <f t="shared" si="565"/>
        <v>8.688510048510048E-2</v>
      </c>
      <c r="EE118" s="75">
        <f>+EE113/EE106</f>
        <v>1.9448795001487679E-2</v>
      </c>
      <c r="EF118" s="75">
        <f t="shared" si="565"/>
        <v>1.9882829729342709E-2</v>
      </c>
      <c r="EG118" s="75">
        <f t="shared" si="565"/>
        <v>2.4056901023890805E-2</v>
      </c>
      <c r="EH118" s="75">
        <f t="shared" si="565"/>
        <v>2.471129576733315E-2</v>
      </c>
      <c r="EI118" s="84">
        <f t="shared" si="565"/>
        <v>8.85590700264514E-2</v>
      </c>
      <c r="EJ118" s="75">
        <f t="shared" si="565"/>
        <v>2.4600913016656414E-2</v>
      </c>
      <c r="EK118" s="75">
        <f t="shared" si="565"/>
        <v>2.5484517855065725E-2</v>
      </c>
      <c r="EL118" s="75">
        <f t="shared" si="565"/>
        <v>2.8827391916784025E-2</v>
      </c>
      <c r="EM118" s="75">
        <f t="shared" si="565"/>
        <v>2.6599578355586788E-2</v>
      </c>
      <c r="EN118" s="84">
        <f t="shared" si="565"/>
        <v>0.10581602585534382</v>
      </c>
      <c r="EO118" s="75">
        <f t="shared" si="565"/>
        <v>2.6345847767063016E-2</v>
      </c>
      <c r="EP118" s="75">
        <f t="shared" si="565"/>
        <v>2.3496065631616093E-2</v>
      </c>
      <c r="EQ118" s="75">
        <f t="shared" si="565"/>
        <v>2.5190287049399199E-2</v>
      </c>
      <c r="ER118" s="75">
        <f t="shared" si="565"/>
        <v>2.3036129338287612E-2</v>
      </c>
      <c r="ES118" s="84">
        <f t="shared" si="565"/>
        <v>9.7836295819935706E-2</v>
      </c>
      <c r="ET118" s="87">
        <f>EO118*0.975</f>
        <v>2.5687201572886439E-2</v>
      </c>
      <c r="EU118" s="87">
        <f>EP118*0.98</f>
        <v>2.3026144318983772E-2</v>
      </c>
      <c r="EV118" s="87">
        <f>EQ118*0.99</f>
        <v>2.4938384178905208E-2</v>
      </c>
      <c r="EW118" s="87">
        <f>ER118*0.99</f>
        <v>2.2805768044904737E-2</v>
      </c>
      <c r="EX118" s="84">
        <f t="shared" ref="EX118" si="566">+EX113/EX106</f>
        <v>9.6302668975731212E-2</v>
      </c>
      <c r="EY118" s="940">
        <f>ET118</f>
        <v>2.5687201572886439E-2</v>
      </c>
      <c r="EZ118" s="940">
        <f t="shared" ref="EZ118:FB118" si="567">EU118</f>
        <v>2.3026144318983772E-2</v>
      </c>
      <c r="FA118" s="940">
        <f t="shared" si="567"/>
        <v>2.4938384178905208E-2</v>
      </c>
      <c r="FB118" s="940">
        <f t="shared" si="567"/>
        <v>2.2805768044904737E-2</v>
      </c>
      <c r="FC118" s="84">
        <f t="shared" ref="FC118" si="568">+FC113/FC106</f>
        <v>9.6326794631889701E-2</v>
      </c>
      <c r="FD118" s="940">
        <f>EY118*0.975</f>
        <v>2.5045021533564277E-2</v>
      </c>
      <c r="FE118" s="940">
        <f t="shared" ref="FE118:FG118" si="569">EZ118*0.975</f>
        <v>2.2450490711009179E-2</v>
      </c>
      <c r="FF118" s="940">
        <f t="shared" si="569"/>
        <v>2.4314924574432576E-2</v>
      </c>
      <c r="FG118" s="940">
        <f t="shared" si="569"/>
        <v>2.2235623843782117E-2</v>
      </c>
      <c r="FH118" s="84">
        <f t="shared" ref="FH118" si="570">+FH113/FH106</f>
        <v>9.3967346402503094E-2</v>
      </c>
      <c r="FI118" s="940">
        <f>FH118*0.955</f>
        <v>8.9738815814390457E-2</v>
      </c>
      <c r="FJ118" s="940">
        <f t="shared" ref="FJ118" si="571">FI118*0.975</f>
        <v>8.7495345419030687E-2</v>
      </c>
      <c r="FK118" s="940">
        <f>FJ118*0.965</f>
        <v>8.4433008329364609E-2</v>
      </c>
      <c r="FL118" s="940">
        <f>FK118*0.955</f>
        <v>8.0633522954543194E-2</v>
      </c>
      <c r="FM118" s="940">
        <f>FL118*0.95</f>
        <v>7.6601846806816032E-2</v>
      </c>
    </row>
    <row r="119" spans="1:171" x14ac:dyDescent="0.3">
      <c r="A119" s="65" t="s">
        <v>342</v>
      </c>
      <c r="DU119" s="826">
        <f>Inputs!DU416</f>
        <v>2.7300000000000001E-2</v>
      </c>
      <c r="DV119" s="826">
        <f>Inputs!DV416</f>
        <v>2.76E-2</v>
      </c>
      <c r="DW119" s="826">
        <f>Inputs!DW416</f>
        <v>2.64E-2</v>
      </c>
      <c r="DX119" s="826">
        <f>Inputs!DX416</f>
        <v>2.2100000000000002E-2</v>
      </c>
      <c r="DY119" s="92">
        <f>+DY114/AVERAGE(DU112:DX112)/-12</f>
        <v>2.5858724901676674E-2</v>
      </c>
      <c r="DZ119" s="826">
        <f>Inputs!DZ416</f>
        <v>1.9400000000000001E-2</v>
      </c>
      <c r="EA119" s="826">
        <f>Inputs!EA416</f>
        <v>1.52E-2</v>
      </c>
      <c r="EB119" s="826">
        <f>Inputs!EB416</f>
        <v>1.7999999999999999E-2</v>
      </c>
      <c r="EC119" s="826">
        <f>Inputs!EC416</f>
        <v>1.5599999999999999E-2</v>
      </c>
      <c r="ED119" s="129">
        <f>+ED114/AVERAGE(DZ112:EC112)/-12</f>
        <v>1.7042569786535306E-2</v>
      </c>
      <c r="EE119" s="826">
        <f>Inputs!EE416</f>
        <v>1.41E-2</v>
      </c>
      <c r="EF119" s="826">
        <f>Inputs!EF416</f>
        <v>1.5299999999999999E-2</v>
      </c>
      <c r="EG119" s="826">
        <f>Inputs!EG416</f>
        <v>1.5599999999999999E-2</v>
      </c>
      <c r="EH119" s="826">
        <f>Inputs!EH416</f>
        <v>1.32E-2</v>
      </c>
      <c r="EI119" s="129">
        <f>+EI114/AVERAGE(EE112:EH112)/-12</f>
        <v>1.4542684377478195E-2</v>
      </c>
      <c r="EJ119" s="826">
        <f>Inputs!EJ416</f>
        <v>1.1900000000000001E-2</v>
      </c>
      <c r="EK119" s="826">
        <f>Inputs!EK416</f>
        <v>1.43E-2</v>
      </c>
      <c r="EL119" s="826">
        <f>Inputs!EL416</f>
        <v>1.6E-2</v>
      </c>
      <c r="EM119" s="826">
        <f>Inputs!EM416</f>
        <v>1.32E-2</v>
      </c>
      <c r="EN119" s="129">
        <f>+EN114/AVERAGE(EJ112:EM112)/-12</f>
        <v>1.3873799435028249E-2</v>
      </c>
      <c r="EO119" s="826">
        <f>Inputs!EO416</f>
        <v>1.2E-2</v>
      </c>
      <c r="EP119" s="826">
        <f>Inputs!EP416</f>
        <v>1.41E-2</v>
      </c>
      <c r="EQ119" s="826">
        <f>Inputs!EQ416</f>
        <v>1.47E-2</v>
      </c>
      <c r="ER119" s="826">
        <f>Inputs!ER416</f>
        <v>1.2E-2</v>
      </c>
      <c r="ES119" s="129">
        <f>+ES114/AVERAGE(EO112:ER112)/-12</f>
        <v>1.3204398045313195E-2</v>
      </c>
      <c r="ET119" s="1186">
        <f>EO119*1.005</f>
        <v>1.206E-2</v>
      </c>
      <c r="EU119" s="1186">
        <f t="shared" ref="EU119:EW119" si="572">EP119*1.005</f>
        <v>1.4170499999999997E-2</v>
      </c>
      <c r="EV119" s="1186">
        <f t="shared" si="572"/>
        <v>1.4773499999999998E-2</v>
      </c>
      <c r="EW119" s="1186">
        <f t="shared" si="572"/>
        <v>1.206E-2</v>
      </c>
      <c r="EX119" s="129">
        <f>+EX114/AVERAGE(ET112:EW112)/-12</f>
        <v>1.3270660375036542E-2</v>
      </c>
      <c r="EY119" s="128">
        <f>+ET119</f>
        <v>1.206E-2</v>
      </c>
      <c r="EZ119" s="128">
        <f t="shared" ref="EZ119:FB119" si="573">+EU119</f>
        <v>1.4170499999999997E-2</v>
      </c>
      <c r="FA119" s="128">
        <f t="shared" si="573"/>
        <v>1.4773499999999998E-2</v>
      </c>
      <c r="FB119" s="128">
        <f t="shared" si="573"/>
        <v>1.206E-2</v>
      </c>
      <c r="FC119" s="129">
        <f>+FC114/AVERAGE(EY112:FB112)/-12</f>
        <v>1.3271022731956163E-2</v>
      </c>
      <c r="FD119" s="128">
        <f>+EY119</f>
        <v>1.206E-2</v>
      </c>
      <c r="FE119" s="128">
        <f t="shared" ref="FE119" si="574">+EZ119</f>
        <v>1.4170499999999997E-2</v>
      </c>
      <c r="FF119" s="128">
        <f t="shared" ref="FF119" si="575">+FA119</f>
        <v>1.4773499999999998E-2</v>
      </c>
      <c r="FG119" s="128">
        <f t="shared" ref="FG119" si="576">+FB119</f>
        <v>1.206E-2</v>
      </c>
      <c r="FH119" s="129">
        <f>+FH114/AVERAGE(FD112:FG112)/-12</f>
        <v>1.3271133205678236E-2</v>
      </c>
      <c r="FI119" s="128">
        <f t="shared" ref="FI119:FK119" si="577">+FH119*1.005</f>
        <v>1.3337488871706625E-2</v>
      </c>
      <c r="FJ119" s="128">
        <f t="shared" si="577"/>
        <v>1.3404176316065157E-2</v>
      </c>
      <c r="FK119" s="128">
        <f t="shared" si="577"/>
        <v>1.3471197197645481E-2</v>
      </c>
      <c r="FL119" s="128">
        <f>+FK119</f>
        <v>1.3471197197645481E-2</v>
      </c>
      <c r="FM119" s="128">
        <f>+FL119</f>
        <v>1.3471197197645481E-2</v>
      </c>
    </row>
    <row r="120" spans="1:171" x14ac:dyDescent="0.3">
      <c r="A120" s="65" t="s">
        <v>210</v>
      </c>
      <c r="DU120" s="88">
        <f t="shared" ref="DU120:FM120" si="578">+DU115/DU90</f>
        <v>0.37573689109525288</v>
      </c>
      <c r="DV120" s="88">
        <f t="shared" si="578"/>
        <v>0.37263419174681972</v>
      </c>
      <c r="DW120" s="88">
        <f t="shared" si="578"/>
        <v>0.37263419174681972</v>
      </c>
      <c r="DX120" s="88">
        <f t="shared" si="578"/>
        <v>0.37387527148619298</v>
      </c>
      <c r="DY120" s="89">
        <f t="shared" si="578"/>
        <v>0.37387527148619298</v>
      </c>
      <c r="DZ120" s="88">
        <f t="shared" si="578"/>
        <v>0.37592821782178215</v>
      </c>
      <c r="EA120" s="88">
        <f t="shared" si="578"/>
        <v>0.37746913580246916</v>
      </c>
      <c r="EB120" s="130">
        <f t="shared" si="578"/>
        <v>0.37827023699599877</v>
      </c>
      <c r="EC120" s="130">
        <f t="shared" si="578"/>
        <v>0.37413115744938047</v>
      </c>
      <c r="ED120" s="131">
        <f t="shared" si="578"/>
        <v>0.37413115744938047</v>
      </c>
      <c r="EE120" s="130">
        <f t="shared" si="578"/>
        <v>0.36653970114268969</v>
      </c>
      <c r="EF120" s="130">
        <f t="shared" si="578"/>
        <v>0.35378151260504204</v>
      </c>
      <c r="EG120" s="130">
        <f t="shared" si="578"/>
        <v>0.34407456724367508</v>
      </c>
      <c r="EH120" s="130">
        <f t="shared" si="578"/>
        <v>0.33848492525969093</v>
      </c>
      <c r="EI120" s="131">
        <f t="shared" si="578"/>
        <v>0.33848492525969093</v>
      </c>
      <c r="EJ120" s="130">
        <f t="shared" si="578"/>
        <v>0.33381433381433384</v>
      </c>
      <c r="EK120" s="130">
        <f t="shared" si="578"/>
        <v>0.32394683487271908</v>
      </c>
      <c r="EL120" s="130">
        <f t="shared" si="578"/>
        <v>0.31356993736951982</v>
      </c>
      <c r="EM120" s="130">
        <f t="shared" si="578"/>
        <v>0.30458325275575326</v>
      </c>
      <c r="EN120" s="131">
        <f t="shared" si="578"/>
        <v>0.30458325275575326</v>
      </c>
      <c r="EO120" s="130">
        <f t="shared" si="578"/>
        <v>0.30108892921960073</v>
      </c>
      <c r="EP120" s="130">
        <f t="shared" si="578"/>
        <v>0.29557157569515963</v>
      </c>
      <c r="EQ120" s="130">
        <f t="shared" si="578"/>
        <v>0.29181552452094833</v>
      </c>
      <c r="ER120" s="130">
        <f t="shared" si="578"/>
        <v>0.28932367894007088</v>
      </c>
      <c r="ES120" s="131">
        <f t="shared" si="578"/>
        <v>0.28932367894007088</v>
      </c>
      <c r="ET120" s="130">
        <f t="shared" si="578"/>
        <v>0.29006494378861059</v>
      </c>
      <c r="EU120" s="130">
        <f t="shared" si="578"/>
        <v>0.28796933639350963</v>
      </c>
      <c r="EV120" s="130">
        <f t="shared" si="578"/>
        <v>0.28737287218542729</v>
      </c>
      <c r="EW120" s="130">
        <f t="shared" si="578"/>
        <v>0.28748727953728442</v>
      </c>
      <c r="EX120" s="131">
        <f t="shared" si="578"/>
        <v>0.28748727953728442</v>
      </c>
      <c r="EY120" s="130">
        <f t="shared" ref="EY120:FC120" si="579">+EY115/EY90</f>
        <v>0.2907135433369446</v>
      </c>
      <c r="EZ120" s="130">
        <f t="shared" si="579"/>
        <v>0.29056147348193156</v>
      </c>
      <c r="FA120" s="130">
        <f t="shared" si="579"/>
        <v>0.29167286426081745</v>
      </c>
      <c r="FB120" s="130">
        <f t="shared" si="579"/>
        <v>0.29325783590393845</v>
      </c>
      <c r="FC120" s="131">
        <f t="shared" si="579"/>
        <v>0.29325783590393845</v>
      </c>
      <c r="FD120" s="130">
        <f t="shared" si="578"/>
        <v>0.29712650336967716</v>
      </c>
      <c r="FE120" s="130">
        <f t="shared" si="578"/>
        <v>0.29739658322817075</v>
      </c>
      <c r="FF120" s="130">
        <f t="shared" si="578"/>
        <v>0.30218835433832292</v>
      </c>
      <c r="FG120" s="130">
        <f t="shared" si="578"/>
        <v>0.31349080352214448</v>
      </c>
      <c r="FH120" s="131">
        <f t="shared" si="578"/>
        <v>0.31349080352214448</v>
      </c>
      <c r="FI120" s="130">
        <f t="shared" si="578"/>
        <v>0.35000411106465273</v>
      </c>
      <c r="FJ120" s="130">
        <f t="shared" si="578"/>
        <v>0.37786013011691044</v>
      </c>
      <c r="FK120" s="130">
        <f t="shared" si="578"/>
        <v>0.39765600354131408</v>
      </c>
      <c r="FL120" s="130">
        <f t="shared" si="578"/>
        <v>0.41030679685568139</v>
      </c>
      <c r="FM120" s="130">
        <f t="shared" si="578"/>
        <v>0.41679580953743134</v>
      </c>
    </row>
    <row r="121" spans="1:171" x14ac:dyDescent="0.3">
      <c r="A121" s="65"/>
      <c r="EA121" s="76"/>
      <c r="EE121" s="74"/>
      <c r="EF121" s="74"/>
      <c r="EG121" s="74"/>
      <c r="EH121" s="74"/>
      <c r="EJ121" s="74"/>
      <c r="EK121" s="74"/>
      <c r="EL121" s="74"/>
      <c r="EM121" s="74"/>
      <c r="EN121" s="92"/>
      <c r="EO121" s="74"/>
      <c r="EP121" s="74"/>
      <c r="EQ121" s="74"/>
      <c r="ER121" s="74"/>
      <c r="ES121" s="74"/>
      <c r="ET121" s="74"/>
      <c r="EU121" s="74"/>
      <c r="EV121" s="74"/>
      <c r="EW121" s="74"/>
      <c r="EX121" s="74"/>
      <c r="EY121" s="74"/>
      <c r="EZ121" s="74"/>
      <c r="FA121" s="74"/>
      <c r="FB121" s="74"/>
      <c r="FC121" s="74"/>
      <c r="FD121" s="74"/>
      <c r="FE121" s="74"/>
      <c r="FF121" s="74"/>
      <c r="FG121" s="74"/>
      <c r="FH121" s="74"/>
      <c r="FI121" s="74"/>
      <c r="FJ121" s="74"/>
      <c r="FK121" s="74"/>
      <c r="FL121" s="74"/>
      <c r="FM121" s="74"/>
    </row>
    <row r="122" spans="1:171" s="108" customFormat="1" x14ac:dyDescent="0.3">
      <c r="A122" s="78" t="s">
        <v>343</v>
      </c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119"/>
      <c r="AR122" s="119"/>
      <c r="AS122" s="119"/>
      <c r="AT122" s="119"/>
      <c r="AU122" s="119"/>
      <c r="AV122" s="119"/>
      <c r="AW122" s="119"/>
      <c r="AX122" s="119"/>
      <c r="AY122" s="119"/>
      <c r="AZ122" s="119"/>
      <c r="BA122" s="119"/>
      <c r="BB122" s="119"/>
      <c r="BC122" s="119"/>
      <c r="BD122" s="119"/>
      <c r="BE122" s="119"/>
      <c r="BF122" s="119"/>
      <c r="BG122" s="119"/>
      <c r="BH122" s="119"/>
      <c r="BI122" s="119"/>
      <c r="BJ122" s="119"/>
      <c r="BK122" s="119"/>
      <c r="BL122" s="119"/>
      <c r="BM122" s="119"/>
      <c r="BN122" s="119"/>
      <c r="BO122" s="119"/>
      <c r="BP122" s="119"/>
      <c r="BQ122" s="119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19"/>
      <c r="CB122" s="119"/>
      <c r="CC122" s="119"/>
      <c r="CD122" s="119"/>
      <c r="CE122" s="119"/>
      <c r="CF122" s="119"/>
      <c r="CG122" s="119"/>
      <c r="CH122" s="119"/>
      <c r="CI122" s="119"/>
      <c r="CJ122" s="119"/>
      <c r="CK122" s="119"/>
      <c r="CL122" s="119"/>
      <c r="CM122" s="119"/>
      <c r="CN122" s="119"/>
      <c r="CO122" s="119"/>
      <c r="CP122" s="119"/>
      <c r="CQ122" s="119"/>
      <c r="CR122" s="119"/>
      <c r="CS122" s="119"/>
      <c r="CT122" s="119"/>
      <c r="CU122" s="119"/>
      <c r="CV122" s="119"/>
      <c r="CW122" s="119"/>
      <c r="CX122" s="119"/>
      <c r="CY122" s="119"/>
      <c r="CZ122" s="119"/>
      <c r="DA122" s="119"/>
      <c r="DB122" s="119"/>
      <c r="DC122" s="119"/>
      <c r="DD122" s="119"/>
      <c r="DE122" s="119"/>
      <c r="DF122" s="119"/>
      <c r="DG122" s="119"/>
      <c r="DH122" s="119"/>
      <c r="DI122" s="119"/>
      <c r="DJ122" s="119"/>
      <c r="DK122" s="119"/>
      <c r="DL122" s="119"/>
      <c r="DM122" s="119"/>
      <c r="DN122" s="119"/>
      <c r="DO122" s="119"/>
      <c r="DP122" s="119"/>
      <c r="DQ122" s="119"/>
      <c r="DR122" s="119"/>
      <c r="DS122" s="119"/>
      <c r="DT122" s="119"/>
      <c r="DU122" s="119"/>
      <c r="DV122" s="119"/>
      <c r="DW122" s="119"/>
      <c r="DX122" s="119"/>
      <c r="DY122" s="1202"/>
      <c r="DZ122" s="119"/>
      <c r="EA122" s="119"/>
      <c r="EB122" s="119"/>
      <c r="EC122" s="119"/>
      <c r="ED122" s="1202"/>
      <c r="EE122" s="119"/>
      <c r="EF122" s="119"/>
      <c r="EG122" s="119"/>
      <c r="EH122" s="119"/>
      <c r="EI122" s="1202"/>
      <c r="EJ122" s="119"/>
      <c r="EK122" s="119"/>
      <c r="EL122" s="119"/>
      <c r="EM122" s="119"/>
      <c r="EN122" s="1202"/>
      <c r="EO122" s="119"/>
      <c r="EP122" s="119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19"/>
      <c r="FA122" s="119"/>
      <c r="FB122" s="119"/>
      <c r="FC122" s="119"/>
      <c r="FD122" s="119"/>
      <c r="FE122" s="119"/>
      <c r="FF122" s="119"/>
      <c r="FG122" s="119"/>
      <c r="FH122" s="119"/>
      <c r="FI122" s="119"/>
      <c r="FJ122" s="119"/>
      <c r="FK122" s="119"/>
      <c r="FL122" s="119"/>
      <c r="FM122" s="119"/>
    </row>
    <row r="123" spans="1:171" s="108" customFormat="1" x14ac:dyDescent="0.3">
      <c r="A123" s="63" t="s">
        <v>344</v>
      </c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119"/>
      <c r="AR123" s="119"/>
      <c r="AS123" s="119"/>
      <c r="AT123" s="119"/>
      <c r="AU123" s="119"/>
      <c r="AV123" s="119"/>
      <c r="AW123" s="119"/>
      <c r="AX123" s="119"/>
      <c r="AY123" s="119"/>
      <c r="AZ123" s="119"/>
      <c r="BA123" s="119"/>
      <c r="BB123" s="119"/>
      <c r="BC123" s="119"/>
      <c r="BD123" s="119"/>
      <c r="BE123" s="119"/>
      <c r="BF123" s="119"/>
      <c r="BG123" s="119"/>
      <c r="BH123" s="119"/>
      <c r="BI123" s="119"/>
      <c r="BJ123" s="119"/>
      <c r="BK123" s="119"/>
      <c r="BL123" s="119"/>
      <c r="BM123" s="119"/>
      <c r="BN123" s="119"/>
      <c r="BO123" s="119"/>
      <c r="BP123" s="119"/>
      <c r="BQ123" s="119"/>
      <c r="BR123" s="119"/>
      <c r="BS123" s="119"/>
      <c r="BT123" s="119"/>
      <c r="BU123" s="119"/>
      <c r="BV123" s="119"/>
      <c r="BW123" s="119"/>
      <c r="BX123" s="119"/>
      <c r="BY123" s="119"/>
      <c r="BZ123" s="119"/>
      <c r="CA123" s="119"/>
      <c r="CB123" s="119"/>
      <c r="CC123" s="119"/>
      <c r="CD123" s="119"/>
      <c r="CE123" s="119"/>
      <c r="CF123" s="119"/>
      <c r="CG123" s="119"/>
      <c r="CH123" s="119"/>
      <c r="CI123" s="119"/>
      <c r="CJ123" s="119"/>
      <c r="CK123" s="119"/>
      <c r="CL123" s="119"/>
      <c r="CM123" s="119"/>
      <c r="CN123" s="119"/>
      <c r="CO123" s="119"/>
      <c r="CP123" s="119"/>
      <c r="CQ123" s="119"/>
      <c r="CR123" s="119"/>
      <c r="CS123" s="119"/>
      <c r="CT123" s="119"/>
      <c r="CU123" s="119"/>
      <c r="CV123" s="119"/>
      <c r="CW123" s="119"/>
      <c r="CX123" s="119"/>
      <c r="CY123" s="119"/>
      <c r="CZ123" s="119"/>
      <c r="DA123" s="119"/>
      <c r="DB123" s="119"/>
      <c r="DC123" s="119"/>
      <c r="DD123" s="119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59">
        <v>694.30474272444167</v>
      </c>
      <c r="DV123" s="56">
        <f>+DU126</f>
        <v>649.33835274988496</v>
      </c>
      <c r="DW123" s="56">
        <f>+DV126</f>
        <v>607.64086809139405</v>
      </c>
      <c r="DX123" s="56">
        <f>+DW126</f>
        <v>559.72253300523982</v>
      </c>
      <c r="DY123" s="60">
        <f>+DU123</f>
        <v>694.30474272444167</v>
      </c>
      <c r="DZ123" s="56">
        <f>DZ126-DZ128</f>
        <v>519</v>
      </c>
      <c r="EA123" s="56">
        <f>+DZ126</f>
        <v>489</v>
      </c>
      <c r="EB123" s="56">
        <f>+EA126</f>
        <v>461</v>
      </c>
      <c r="EC123" s="56">
        <f>+EB126</f>
        <v>426</v>
      </c>
      <c r="ED123" s="60">
        <f>+DZ123</f>
        <v>519</v>
      </c>
      <c r="EE123" s="56">
        <f>+ED126</f>
        <v>400</v>
      </c>
      <c r="EF123" s="56">
        <f>+EE126</f>
        <v>373</v>
      </c>
      <c r="EG123" s="56">
        <f>+EF126</f>
        <v>349</v>
      </c>
      <c r="EH123" s="56">
        <f>+EG126</f>
        <v>329</v>
      </c>
      <c r="EI123" s="60">
        <f>+EE123</f>
        <v>400</v>
      </c>
      <c r="EJ123" s="56">
        <f>+EI126</f>
        <v>315</v>
      </c>
      <c r="EK123" s="56">
        <f>+EJ126</f>
        <v>302</v>
      </c>
      <c r="EL123" s="56">
        <f>+EK126</f>
        <v>283</v>
      </c>
      <c r="EM123" s="56">
        <f>+EL126</f>
        <v>270</v>
      </c>
      <c r="EN123" s="60">
        <f>+EJ123</f>
        <v>315</v>
      </c>
      <c r="EO123" s="56">
        <f>+EN126</f>
        <v>259</v>
      </c>
      <c r="EP123" s="56">
        <f>+EO126</f>
        <v>244</v>
      </c>
      <c r="EQ123" s="56">
        <f>+EP126</f>
        <v>230</v>
      </c>
      <c r="ER123" s="56">
        <f>+EQ126</f>
        <v>215</v>
      </c>
      <c r="ES123" s="60">
        <f>+EO123</f>
        <v>259</v>
      </c>
      <c r="ET123" s="56">
        <f t="shared" ref="ET123:EW123" si="580">+ES126</f>
        <v>203</v>
      </c>
      <c r="EU123" s="56">
        <f t="shared" si="580"/>
        <v>191.24324324324326</v>
      </c>
      <c r="EV123" s="56">
        <f t="shared" si="580"/>
        <v>180.27027027027029</v>
      </c>
      <c r="EW123" s="56">
        <f t="shared" si="580"/>
        <v>168.51351351351354</v>
      </c>
      <c r="EX123" s="60">
        <f>+ET123</f>
        <v>203</v>
      </c>
      <c r="EY123" s="56">
        <f t="shared" ref="EY123" si="581">+EX126</f>
        <v>159.10810810810813</v>
      </c>
      <c r="EZ123" s="56">
        <f t="shared" ref="EZ123" si="582">+EY126</f>
        <v>149.89335281227176</v>
      </c>
      <c r="FA123" s="56">
        <f t="shared" ref="FA123" si="583">+EZ126</f>
        <v>141.29291453615781</v>
      </c>
      <c r="FB123" s="56">
        <f t="shared" ref="FB123" si="584">+FA126</f>
        <v>132.07815924032144</v>
      </c>
      <c r="FC123" s="60">
        <f>+EY123</f>
        <v>159.10810810810813</v>
      </c>
      <c r="FD123" s="56">
        <f t="shared" ref="FD123" si="585">+FC126</f>
        <v>124.70635500365233</v>
      </c>
      <c r="FE123" s="56">
        <f t="shared" ref="FE123" si="586">+FD126</f>
        <v>117.48397923124004</v>
      </c>
      <c r="FF123" s="56">
        <f t="shared" ref="FF123" si="587">+FE126</f>
        <v>110.74309517698856</v>
      </c>
      <c r="FG123" s="56">
        <f t="shared" ref="FG123" si="588">+FF126</f>
        <v>103.52071940457627</v>
      </c>
      <c r="FH123" s="60">
        <f>+FD123</f>
        <v>124.70635500365233</v>
      </c>
      <c r="FI123" s="56">
        <f t="shared" ref="FI123:FM123" si="589">+FH126</f>
        <v>97.742818786646424</v>
      </c>
      <c r="FJ123" s="56">
        <f t="shared" si="589"/>
        <v>74.647469199928281</v>
      </c>
      <c r="FK123" s="56">
        <f t="shared" si="589"/>
        <v>57.009248629481093</v>
      </c>
      <c r="FL123" s="56">
        <f t="shared" si="589"/>
        <v>43.538708868928595</v>
      </c>
      <c r="FM123" s="56">
        <f t="shared" si="589"/>
        <v>33.25108145686108</v>
      </c>
      <c r="FN123" s="1068">
        <f>+(FJ123/ES123)^0.2-1</f>
        <v>-0.22027211698773008</v>
      </c>
    </row>
    <row r="124" spans="1:171" s="108" customFormat="1" x14ac:dyDescent="0.3">
      <c r="A124" s="63" t="s">
        <v>336</v>
      </c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119"/>
      <c r="AR124" s="119"/>
      <c r="AS124" s="119"/>
      <c r="AT124" s="119"/>
      <c r="AU124" s="119"/>
      <c r="AV124" s="119"/>
      <c r="AW124" s="119"/>
      <c r="AX124" s="119"/>
      <c r="AY124" s="119"/>
      <c r="AZ124" s="119"/>
      <c r="BA124" s="119"/>
      <c r="BB124" s="119"/>
      <c r="BC124" s="119"/>
      <c r="BD124" s="119"/>
      <c r="BE124" s="119"/>
      <c r="BF124" s="119"/>
      <c r="BG124" s="119"/>
      <c r="BH124" s="119"/>
      <c r="BI124" s="119"/>
      <c r="BJ124" s="119"/>
      <c r="BK124" s="119"/>
      <c r="BL124" s="119"/>
      <c r="BM124" s="119"/>
      <c r="BN124" s="119"/>
      <c r="BO124" s="119"/>
      <c r="BP124" s="119"/>
      <c r="BQ124" s="119"/>
      <c r="BR124" s="119"/>
      <c r="BS124" s="119"/>
      <c r="BT124" s="119"/>
      <c r="BU124" s="119"/>
      <c r="BV124" s="119"/>
      <c r="BW124" s="119"/>
      <c r="BX124" s="119"/>
      <c r="BY124" s="119"/>
      <c r="BZ124" s="119"/>
      <c r="CA124" s="119"/>
      <c r="CB124" s="119"/>
      <c r="CC124" s="119"/>
      <c r="CD124" s="119"/>
      <c r="CE124" s="119"/>
      <c r="CF124" s="119"/>
      <c r="CG124" s="119"/>
      <c r="CH124" s="119"/>
      <c r="CI124" s="119"/>
      <c r="CJ124" s="119"/>
      <c r="CK124" s="119"/>
      <c r="CL124" s="119"/>
      <c r="CM124" s="119"/>
      <c r="CN124" s="119"/>
      <c r="CO124" s="119"/>
      <c r="CP124" s="119"/>
      <c r="CQ124" s="119"/>
      <c r="CR124" s="119"/>
      <c r="CS124" s="119"/>
      <c r="CT124" s="119"/>
      <c r="CU124" s="119"/>
      <c r="CV124" s="119"/>
      <c r="CW124" s="119"/>
      <c r="CX124" s="119"/>
      <c r="CY124" s="119"/>
      <c r="CZ124" s="119"/>
      <c r="DA124" s="119"/>
      <c r="DB124" s="119"/>
      <c r="DC124" s="119"/>
      <c r="DD124" s="119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56">
        <f>+DU129*AVERAGE(DT90:DU90)</f>
        <v>17.521036870642952</v>
      </c>
      <c r="DV124" s="56">
        <f>+DV129*AVERAGE(DU90:DV90)</f>
        <v>16.742967088998753</v>
      </c>
      <c r="DW124" s="56">
        <f>+DW129*AVERAGE(DV90:DW90)</f>
        <v>6.7693430420712062</v>
      </c>
      <c r="DX124" s="56">
        <f>+DX129*AVERAGE(DW90:DX90)</f>
        <v>12.735715462031081</v>
      </c>
      <c r="DY124" s="60">
        <f>+SUM(DU124:DX124)</f>
        <v>53.769062463743992</v>
      </c>
      <c r="DZ124" s="56">
        <f>+DZ126-DZ125-DZ123</f>
        <v>16.710000000000036</v>
      </c>
      <c r="EA124" s="56">
        <f>+EA126-EA125-EA123</f>
        <v>16.009999999999991</v>
      </c>
      <c r="EB124" s="56">
        <f>+EB126-EB125-EB123</f>
        <v>6.4900000000000091</v>
      </c>
      <c r="EC124" s="56">
        <f>+EC126-EC125-EC123</f>
        <v>12.339999999999975</v>
      </c>
      <c r="ED124" s="60">
        <f>+SUM(DZ124:EC124)</f>
        <v>51.550000000000011</v>
      </c>
      <c r="EE124" s="56">
        <f>+EE126-EE125-EE123</f>
        <v>9</v>
      </c>
      <c r="EF124" s="56">
        <f>+EF126-EF125-EF123</f>
        <v>9.5699999999999932</v>
      </c>
      <c r="EG124" s="56">
        <f>+EG129*EG106</f>
        <v>0</v>
      </c>
      <c r="EH124" s="56">
        <f>+EH129*EH106</f>
        <v>0</v>
      </c>
      <c r="EI124" s="60">
        <f>+SUM(EE124:EH124)</f>
        <v>18.569999999999993</v>
      </c>
      <c r="EJ124" s="56">
        <f>+EJ129*EJ106</f>
        <v>0</v>
      </c>
      <c r="EK124" s="56">
        <f>+EK129*EK106</f>
        <v>0</v>
      </c>
      <c r="EL124" s="56">
        <f>+EL129*EL106</f>
        <v>0</v>
      </c>
      <c r="EM124" s="56">
        <f>+EM129*EM106</f>
        <v>0</v>
      </c>
      <c r="EN124" s="60">
        <f>+SUM(EJ124:EM124)</f>
        <v>0</v>
      </c>
      <c r="EO124" s="56">
        <f>+EO129*EO106</f>
        <v>0</v>
      </c>
      <c r="EP124" s="56">
        <f>+EP129*EP106</f>
        <v>0</v>
      </c>
      <c r="EQ124" s="56">
        <f>+EQ129*EQ106</f>
        <v>0</v>
      </c>
      <c r="ER124" s="56">
        <f>+ER129*ER106</f>
        <v>0</v>
      </c>
      <c r="ES124" s="60">
        <f>+SUM(EO124:ER124)</f>
        <v>0</v>
      </c>
      <c r="ET124" s="56">
        <f t="shared" ref="ET124:EW124" si="590">+ET129*ET106</f>
        <v>0</v>
      </c>
      <c r="EU124" s="56">
        <f t="shared" si="590"/>
        <v>0</v>
      </c>
      <c r="EV124" s="56">
        <f t="shared" si="590"/>
        <v>0</v>
      </c>
      <c r="EW124" s="56">
        <f t="shared" si="590"/>
        <v>0</v>
      </c>
      <c r="EX124" s="60">
        <f>+SUM(ET124:EW124)</f>
        <v>0</v>
      </c>
      <c r="EY124" s="56">
        <f t="shared" ref="EY124:FB124" si="591">+EY129*EY106</f>
        <v>0</v>
      </c>
      <c r="EZ124" s="56">
        <f t="shared" si="591"/>
        <v>0</v>
      </c>
      <c r="FA124" s="56">
        <f t="shared" si="591"/>
        <v>0</v>
      </c>
      <c r="FB124" s="56">
        <f t="shared" si="591"/>
        <v>0</v>
      </c>
      <c r="FC124" s="60">
        <f>+SUM(EY124:FB124)</f>
        <v>0</v>
      </c>
      <c r="FD124" s="56">
        <f t="shared" ref="FD124:FM124" si="592">+FD129*FD106</f>
        <v>0</v>
      </c>
      <c r="FE124" s="56">
        <f t="shared" si="592"/>
        <v>0</v>
      </c>
      <c r="FF124" s="56">
        <f t="shared" si="592"/>
        <v>0</v>
      </c>
      <c r="FG124" s="56">
        <f t="shared" si="592"/>
        <v>0</v>
      </c>
      <c r="FH124" s="60">
        <f>+SUM(FD124:FG124)</f>
        <v>0</v>
      </c>
      <c r="FI124" s="56">
        <f t="shared" si="592"/>
        <v>0</v>
      </c>
      <c r="FJ124" s="56">
        <f t="shared" si="592"/>
        <v>0</v>
      </c>
      <c r="FK124" s="56">
        <f t="shared" si="592"/>
        <v>0</v>
      </c>
      <c r="FL124" s="56">
        <f t="shared" si="592"/>
        <v>0</v>
      </c>
      <c r="FM124" s="56">
        <f t="shared" si="592"/>
        <v>0</v>
      </c>
      <c r="FN124" s="1068" t="e">
        <f>+(FJ124/ES124)^0.2-1</f>
        <v>#DIV/0!</v>
      </c>
    </row>
    <row r="125" spans="1:171" s="108" customFormat="1" x14ac:dyDescent="0.3">
      <c r="A125" s="63" t="s">
        <v>337</v>
      </c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119"/>
      <c r="AR125" s="119"/>
      <c r="AS125" s="119"/>
      <c r="AT125" s="119"/>
      <c r="AU125" s="119"/>
      <c r="AV125" s="119"/>
      <c r="AW125" s="119"/>
      <c r="AX125" s="119"/>
      <c r="AY125" s="119"/>
      <c r="AZ125" s="119"/>
      <c r="BA125" s="119"/>
      <c r="BB125" s="119"/>
      <c r="BC125" s="119"/>
      <c r="BD125" s="119"/>
      <c r="BE125" s="119"/>
      <c r="BF125" s="119"/>
      <c r="BG125" s="119"/>
      <c r="BH125" s="119"/>
      <c r="BI125" s="119"/>
      <c r="BJ125" s="119"/>
      <c r="BK125" s="119"/>
      <c r="BL125" s="119"/>
      <c r="BM125" s="119"/>
      <c r="BN125" s="119"/>
      <c r="BO125" s="119"/>
      <c r="BP125" s="119"/>
      <c r="BQ125" s="119"/>
      <c r="BR125" s="119"/>
      <c r="BS125" s="119"/>
      <c r="BT125" s="119"/>
      <c r="BU125" s="119"/>
      <c r="BV125" s="119"/>
      <c r="BW125" s="119"/>
      <c r="BX125" s="119"/>
      <c r="BY125" s="119"/>
      <c r="BZ125" s="119"/>
      <c r="CA125" s="119"/>
      <c r="CB125" s="119"/>
      <c r="CC125" s="119"/>
      <c r="CD125" s="119"/>
      <c r="CE125" s="119"/>
      <c r="CF125" s="119"/>
      <c r="CG125" s="119"/>
      <c r="CH125" s="119"/>
      <c r="CI125" s="119"/>
      <c r="CJ125" s="119"/>
      <c r="CK125" s="119"/>
      <c r="CL125" s="119"/>
      <c r="CM125" s="119"/>
      <c r="CN125" s="119"/>
      <c r="CO125" s="119"/>
      <c r="CP125" s="119"/>
      <c r="CQ125" s="119"/>
      <c r="CR125" s="119"/>
      <c r="CS125" s="119"/>
      <c r="CT125" s="119"/>
      <c r="CU125" s="119"/>
      <c r="CV125" s="119"/>
      <c r="CW125" s="119"/>
      <c r="CX125" s="119"/>
      <c r="CY125" s="119"/>
      <c r="CZ125" s="119"/>
      <c r="DA125" s="119"/>
      <c r="DB125" s="119"/>
      <c r="DC125" s="119"/>
      <c r="DD125" s="119"/>
      <c r="DE125" s="119"/>
      <c r="DF125" s="119"/>
      <c r="DG125" s="119"/>
      <c r="DH125" s="119"/>
      <c r="DI125" s="119"/>
      <c r="DJ125" s="119"/>
      <c r="DK125" s="119"/>
      <c r="DL125" s="119"/>
      <c r="DM125" s="119"/>
      <c r="DN125" s="119"/>
      <c r="DO125" s="119"/>
      <c r="DP125" s="119"/>
      <c r="DQ125" s="119"/>
      <c r="DR125" s="119"/>
      <c r="DS125" s="119"/>
      <c r="DT125" s="119"/>
      <c r="DU125" s="56">
        <f>+DU123*DU130*-3</f>
        <v>-62.487426845199749</v>
      </c>
      <c r="DV125" s="56">
        <f>+DV123*DV130*-3</f>
        <v>-58.440451747489647</v>
      </c>
      <c r="DW125" s="56">
        <f>+DW123*DW130*-3</f>
        <v>-54.687678128225464</v>
      </c>
      <c r="DX125" s="56">
        <f>+DX123*DX130*-3</f>
        <v>-50.375027970471585</v>
      </c>
      <c r="DY125" s="60">
        <f>+SUM(DU125:DX125)</f>
        <v>-225.99058469138646</v>
      </c>
      <c r="DZ125" s="56">
        <f>+DZ123*DZ130*-3</f>
        <v>-46.71</v>
      </c>
      <c r="EA125" s="56">
        <f>+EA123*EA130*-3</f>
        <v>-44.01</v>
      </c>
      <c r="EB125" s="56">
        <f>+EB123*EB130*-3</f>
        <v>-41.49</v>
      </c>
      <c r="EC125" s="56">
        <f>+EC123*EC130*-3</f>
        <v>-38.339999999999996</v>
      </c>
      <c r="ED125" s="60">
        <f>+SUM(DZ125:EC125)</f>
        <v>-170.55</v>
      </c>
      <c r="EE125" s="56">
        <f>+EE123*EE130*-3</f>
        <v>-36.000000000000007</v>
      </c>
      <c r="EF125" s="56">
        <f>+EF123*EF130*-3</f>
        <v>-33.570000000000007</v>
      </c>
      <c r="EG125" s="56">
        <f>EG126-EG123-EG124</f>
        <v>-20</v>
      </c>
      <c r="EH125" s="56">
        <f>EH126-EH123-EH124</f>
        <v>-14</v>
      </c>
      <c r="EI125" s="60">
        <f>+SUM(EE125:EH125)</f>
        <v>-103.57000000000002</v>
      </c>
      <c r="EJ125" s="56">
        <f>EJ126-EJ123-EJ124</f>
        <v>-13</v>
      </c>
      <c r="EK125" s="56">
        <f>EK126-EK123-EK124</f>
        <v>-19</v>
      </c>
      <c r="EL125" s="56">
        <f>EL126-EL123-EL124</f>
        <v>-13</v>
      </c>
      <c r="EM125" s="56">
        <f>EM126-EM123-EM124</f>
        <v>-11</v>
      </c>
      <c r="EN125" s="60">
        <f>+SUM(EJ125:EM125)</f>
        <v>-56</v>
      </c>
      <c r="EO125" s="56">
        <f>EO126-EO123-EO124</f>
        <v>-15</v>
      </c>
      <c r="EP125" s="56">
        <f>EP126-EP123-EP124</f>
        <v>-14</v>
      </c>
      <c r="EQ125" s="56">
        <f>EQ126-EQ123-EQ124</f>
        <v>-15</v>
      </c>
      <c r="ER125" s="56">
        <f>ER126-ER123-ER124</f>
        <v>-12</v>
      </c>
      <c r="ES125" s="60">
        <f>+SUM(EO125:ER125)</f>
        <v>-56</v>
      </c>
      <c r="ET125" s="56">
        <f t="shared" ref="ET125:EW125" si="593">+ET123*ET130*-3</f>
        <v>-11.756756756756756</v>
      </c>
      <c r="EU125" s="56">
        <f t="shared" si="593"/>
        <v>-10.972972972972974</v>
      </c>
      <c r="EV125" s="56">
        <f t="shared" si="593"/>
        <v>-11.756756756756758</v>
      </c>
      <c r="EW125" s="56">
        <f t="shared" si="593"/>
        <v>-9.405405405405407</v>
      </c>
      <c r="EX125" s="60">
        <f>+SUM(ET125:EW125)</f>
        <v>-43.891891891891888</v>
      </c>
      <c r="EY125" s="56">
        <f t="shared" ref="EY125:FB125" si="594">+EY123*EY130*-3</f>
        <v>-9.2147552958363779</v>
      </c>
      <c r="EZ125" s="56">
        <f t="shared" si="594"/>
        <v>-8.6004382761139535</v>
      </c>
      <c r="FA125" s="56">
        <f t="shared" si="594"/>
        <v>-9.2147552958363796</v>
      </c>
      <c r="FB125" s="56">
        <f t="shared" si="594"/>
        <v>-7.371804236669103</v>
      </c>
      <c r="FC125" s="60">
        <f>+SUM(EY125:FB125)</f>
        <v>-34.401753104455814</v>
      </c>
      <c r="FD125" s="56">
        <f t="shared" ref="FD125:FG125" si="595">+FD123*FD130*-3</f>
        <v>-7.2223757724122972</v>
      </c>
      <c r="FE125" s="56">
        <f t="shared" si="595"/>
        <v>-6.7408840542514774</v>
      </c>
      <c r="FF125" s="56">
        <f t="shared" si="595"/>
        <v>-7.2223757724122972</v>
      </c>
      <c r="FG125" s="56">
        <f t="shared" si="595"/>
        <v>-5.7779006179298387</v>
      </c>
      <c r="FH125" s="60">
        <f>+SUM(FD125:FG125)</f>
        <v>-26.96353621700591</v>
      </c>
      <c r="FI125" s="56">
        <f t="shared" ref="FI125:FM125" si="596">+FI123*FI130*-12</f>
        <v>-23.095349586718143</v>
      </c>
      <c r="FJ125" s="56">
        <f t="shared" si="596"/>
        <v>-17.638220570447189</v>
      </c>
      <c r="FK125" s="56">
        <f t="shared" si="596"/>
        <v>-13.470539760552494</v>
      </c>
      <c r="FL125" s="56">
        <f t="shared" si="596"/>
        <v>-10.287627412067517</v>
      </c>
      <c r="FM125" s="56">
        <f t="shared" si="596"/>
        <v>-7.8567956184988219</v>
      </c>
      <c r="FN125" s="1068">
        <f>+(FJ125/ES125)^0.2-1</f>
        <v>-0.20630554088121578</v>
      </c>
    </row>
    <row r="126" spans="1:171" s="108" customFormat="1" x14ac:dyDescent="0.3">
      <c r="A126" s="64" t="s">
        <v>345</v>
      </c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119"/>
      <c r="AR126" s="119"/>
      <c r="AS126" s="119"/>
      <c r="AT126" s="119"/>
      <c r="AU126" s="119"/>
      <c r="AV126" s="119"/>
      <c r="AW126" s="119"/>
      <c r="AX126" s="119"/>
      <c r="AY126" s="119"/>
      <c r="AZ126" s="119"/>
      <c r="BA126" s="119"/>
      <c r="BB126" s="119"/>
      <c r="BC126" s="119"/>
      <c r="BD126" s="119"/>
      <c r="BE126" s="119"/>
      <c r="BF126" s="119"/>
      <c r="BG126" s="119"/>
      <c r="BH126" s="119"/>
      <c r="BI126" s="119"/>
      <c r="BJ126" s="119"/>
      <c r="BK126" s="119"/>
      <c r="BL126" s="119"/>
      <c r="BM126" s="119"/>
      <c r="BN126" s="119"/>
      <c r="BO126" s="119"/>
      <c r="BP126" s="119"/>
      <c r="BQ126" s="119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19"/>
      <c r="CB126" s="119"/>
      <c r="CC126" s="119"/>
      <c r="CD126" s="119"/>
      <c r="CE126" s="119"/>
      <c r="CF126" s="119"/>
      <c r="CG126" s="119"/>
      <c r="CH126" s="119"/>
      <c r="CI126" s="119"/>
      <c r="CJ126" s="119"/>
      <c r="CK126" s="119"/>
      <c r="CL126" s="119"/>
      <c r="CM126" s="119"/>
      <c r="CN126" s="119"/>
      <c r="CO126" s="119"/>
      <c r="CP126" s="119"/>
      <c r="CQ126" s="119"/>
      <c r="CR126" s="119"/>
      <c r="CS126" s="119"/>
      <c r="CT126" s="119"/>
      <c r="CU126" s="119"/>
      <c r="CV126" s="119"/>
      <c r="CW126" s="119"/>
      <c r="CX126" s="119"/>
      <c r="CY126" s="119"/>
      <c r="CZ126" s="119"/>
      <c r="DA126" s="119"/>
      <c r="DB126" s="119"/>
      <c r="DC126" s="119"/>
      <c r="DD126" s="119"/>
      <c r="DE126" s="119"/>
      <c r="DF126" s="119"/>
      <c r="DG126" s="119"/>
      <c r="DH126" s="119"/>
      <c r="DI126" s="119"/>
      <c r="DJ126" s="119"/>
      <c r="DK126" s="119"/>
      <c r="DL126" s="119"/>
      <c r="DM126" s="119"/>
      <c r="DN126" s="119"/>
      <c r="DO126" s="119"/>
      <c r="DP126" s="119"/>
      <c r="DQ126" s="119"/>
      <c r="DR126" s="119"/>
      <c r="DS126" s="119"/>
      <c r="DT126" s="119"/>
      <c r="DU126" s="1796">
        <f>SUM(DU123:DU125)</f>
        <v>649.33835274988496</v>
      </c>
      <c r="DV126" s="1796">
        <f>SUM(DV123:DV125)</f>
        <v>607.64086809139405</v>
      </c>
      <c r="DW126" s="1796">
        <f>SUM(DW123:DW125)</f>
        <v>559.72253300523982</v>
      </c>
      <c r="DX126" s="1796">
        <f>SUM(DX123:DX125)</f>
        <v>522.0832204967993</v>
      </c>
      <c r="DY126" s="1797">
        <f>+DX126</f>
        <v>522.0832204967993</v>
      </c>
      <c r="DZ126" s="1798">
        <f>Inputs!DZ405</f>
        <v>489</v>
      </c>
      <c r="EA126" s="1798">
        <f>Inputs!EA405</f>
        <v>461</v>
      </c>
      <c r="EB126" s="1798">
        <f>Inputs!EB405</f>
        <v>426</v>
      </c>
      <c r="EC126" s="1798">
        <f>Inputs!EC405</f>
        <v>400</v>
      </c>
      <c r="ED126" s="1797">
        <f>+EC126</f>
        <v>400</v>
      </c>
      <c r="EE126" s="1798">
        <f>Inputs!EE405</f>
        <v>373</v>
      </c>
      <c r="EF126" s="1798">
        <f>Inputs!EF405</f>
        <v>349</v>
      </c>
      <c r="EG126" s="1798">
        <f>Inputs!EG405</f>
        <v>329</v>
      </c>
      <c r="EH126" s="1798">
        <f>Inputs!EH405</f>
        <v>315</v>
      </c>
      <c r="EI126" s="1797">
        <f>+EH126</f>
        <v>315</v>
      </c>
      <c r="EJ126" s="1798">
        <f>Inputs!EJ405</f>
        <v>302</v>
      </c>
      <c r="EK126" s="1798">
        <f>Inputs!EK405</f>
        <v>283</v>
      </c>
      <c r="EL126" s="1798">
        <f>Inputs!EL405</f>
        <v>270</v>
      </c>
      <c r="EM126" s="1798">
        <f>Inputs!EM405</f>
        <v>259</v>
      </c>
      <c r="EN126" s="1797">
        <f>+EM126</f>
        <v>259</v>
      </c>
      <c r="EO126" s="1798">
        <f>Inputs!EO405</f>
        <v>244</v>
      </c>
      <c r="EP126" s="1798">
        <f>Inputs!EP405</f>
        <v>230</v>
      </c>
      <c r="EQ126" s="1798">
        <f>Inputs!EQ405</f>
        <v>215</v>
      </c>
      <c r="ER126" s="1798">
        <f>Inputs!ER405</f>
        <v>203</v>
      </c>
      <c r="ES126" s="1797">
        <f>+ER126</f>
        <v>203</v>
      </c>
      <c r="ET126" s="1795">
        <f t="shared" ref="ET126:EW126" si="597">+ET123+ET124+ET125</f>
        <v>191.24324324324326</v>
      </c>
      <c r="EU126" s="1795">
        <f t="shared" si="597"/>
        <v>180.27027027027029</v>
      </c>
      <c r="EV126" s="1795">
        <f t="shared" si="597"/>
        <v>168.51351351351354</v>
      </c>
      <c r="EW126" s="1795">
        <f t="shared" si="597"/>
        <v>159.10810810810813</v>
      </c>
      <c r="EX126" s="1797">
        <f>+EW126</f>
        <v>159.10810810810813</v>
      </c>
      <c r="EY126" s="1795">
        <f t="shared" ref="EY126:FB126" si="598">+EY123+EY124+EY125</f>
        <v>149.89335281227176</v>
      </c>
      <c r="EZ126" s="1795">
        <f t="shared" si="598"/>
        <v>141.29291453615781</v>
      </c>
      <c r="FA126" s="1795">
        <f t="shared" si="598"/>
        <v>132.07815924032144</v>
      </c>
      <c r="FB126" s="1795">
        <f t="shared" si="598"/>
        <v>124.70635500365233</v>
      </c>
      <c r="FC126" s="1797">
        <f>+FB126</f>
        <v>124.70635500365233</v>
      </c>
      <c r="FD126" s="1795">
        <f t="shared" ref="FD126:FL126" si="599">+FD123+FD124+FD125</f>
        <v>117.48397923124004</v>
      </c>
      <c r="FE126" s="1795">
        <f t="shared" si="599"/>
        <v>110.74309517698856</v>
      </c>
      <c r="FF126" s="1795">
        <f t="shared" si="599"/>
        <v>103.52071940457627</v>
      </c>
      <c r="FG126" s="1795">
        <f t="shared" si="599"/>
        <v>97.742818786646424</v>
      </c>
      <c r="FH126" s="1797">
        <f>+FG126</f>
        <v>97.742818786646424</v>
      </c>
      <c r="FI126" s="1795">
        <f t="shared" si="599"/>
        <v>74.647469199928281</v>
      </c>
      <c r="FJ126" s="1795">
        <f t="shared" si="599"/>
        <v>57.009248629481093</v>
      </c>
      <c r="FK126" s="1795">
        <f t="shared" si="599"/>
        <v>43.538708868928595</v>
      </c>
      <c r="FL126" s="1795">
        <f t="shared" si="599"/>
        <v>33.25108145686108</v>
      </c>
      <c r="FM126" s="1795">
        <f>+FM123+FM124+FM125</f>
        <v>25.394285838362258</v>
      </c>
      <c r="FN126" s="1068">
        <f>+(FJ126/ES126)^0.2-1</f>
        <v>-0.22430702940581193</v>
      </c>
    </row>
    <row r="127" spans="1:171" s="108" customFormat="1" x14ac:dyDescent="0.3">
      <c r="A127" s="61" t="s">
        <v>339</v>
      </c>
      <c r="DY127" s="538"/>
      <c r="DZ127" s="122">
        <f t="shared" ref="DZ127:EX127" si="600">+DZ126/DU126-1</f>
        <v>-0.2469257392095624</v>
      </c>
      <c r="EA127" s="122">
        <f t="shared" si="600"/>
        <v>-0.24132818543294243</v>
      </c>
      <c r="EB127" s="122">
        <f t="shared" si="600"/>
        <v>-0.23890861117786732</v>
      </c>
      <c r="EC127" s="122">
        <f t="shared" si="600"/>
        <v>-0.23383862132291555</v>
      </c>
      <c r="ED127" s="123">
        <f t="shared" si="600"/>
        <v>-0.23383862132291555</v>
      </c>
      <c r="EE127" s="122">
        <f t="shared" si="600"/>
        <v>-0.23721881390593047</v>
      </c>
      <c r="EF127" s="122">
        <f t="shared" si="600"/>
        <v>-0.24295010845986986</v>
      </c>
      <c r="EG127" s="122">
        <f t="shared" si="600"/>
        <v>-0.22769953051643188</v>
      </c>
      <c r="EH127" s="122">
        <f t="shared" si="600"/>
        <v>-0.21250000000000002</v>
      </c>
      <c r="EI127" s="123">
        <f t="shared" si="600"/>
        <v>-0.21250000000000002</v>
      </c>
      <c r="EJ127" s="122">
        <f t="shared" si="600"/>
        <v>-0.19034852546916892</v>
      </c>
      <c r="EK127" s="122">
        <f t="shared" si="600"/>
        <v>-0.18911174785100282</v>
      </c>
      <c r="EL127" s="122">
        <f t="shared" si="600"/>
        <v>-0.17933130699088151</v>
      </c>
      <c r="EM127" s="122">
        <f t="shared" si="600"/>
        <v>-0.17777777777777781</v>
      </c>
      <c r="EN127" s="123">
        <f t="shared" si="600"/>
        <v>-0.17777777777777781</v>
      </c>
      <c r="EO127" s="122">
        <f t="shared" si="600"/>
        <v>-0.19205298013245031</v>
      </c>
      <c r="EP127" s="122">
        <f t="shared" si="600"/>
        <v>-0.1872791519434629</v>
      </c>
      <c r="EQ127" s="122">
        <f t="shared" si="600"/>
        <v>-0.20370370370370372</v>
      </c>
      <c r="ER127" s="122">
        <f t="shared" si="600"/>
        <v>-0.21621621621621623</v>
      </c>
      <c r="ES127" s="123">
        <f t="shared" si="600"/>
        <v>-0.21621621621621623</v>
      </c>
      <c r="ET127" s="122">
        <f t="shared" si="600"/>
        <v>-0.21621621621621612</v>
      </c>
      <c r="EU127" s="122">
        <f t="shared" si="600"/>
        <v>-0.21621621621621612</v>
      </c>
      <c r="EV127" s="122">
        <f t="shared" si="600"/>
        <v>-0.21621621621621612</v>
      </c>
      <c r="EW127" s="122">
        <f t="shared" si="600"/>
        <v>-0.21621621621621612</v>
      </c>
      <c r="EX127" s="123">
        <f t="shared" si="600"/>
        <v>-0.21621621621621612</v>
      </c>
      <c r="EY127" s="122">
        <f t="shared" ref="EY127" si="601">+EY126/ET126-1</f>
        <v>-0.21621621621621612</v>
      </c>
      <c r="EZ127" s="122">
        <f t="shared" ref="EZ127" si="602">+EZ126/EU126-1</f>
        <v>-0.21621621621621612</v>
      </c>
      <c r="FA127" s="122">
        <f t="shared" ref="FA127" si="603">+FA126/EV126-1</f>
        <v>-0.21621621621621612</v>
      </c>
      <c r="FB127" s="122">
        <f t="shared" ref="FB127:FC127" si="604">+FB126/EW126-1</f>
        <v>-0.21621621621621612</v>
      </c>
      <c r="FC127" s="123">
        <f t="shared" si="604"/>
        <v>-0.21621621621621612</v>
      </c>
      <c r="FD127" s="122">
        <f t="shared" ref="FD127" si="605">+FD126/EY126-1</f>
        <v>-0.21621621621621612</v>
      </c>
      <c r="FE127" s="122">
        <f t="shared" ref="FE127" si="606">+FE126/EZ126-1</f>
        <v>-0.21621621621621612</v>
      </c>
      <c r="FF127" s="122">
        <f t="shared" ref="FF127" si="607">+FF126/FA126-1</f>
        <v>-0.21621621621621623</v>
      </c>
      <c r="FG127" s="122">
        <f t="shared" ref="FG127:FH127" si="608">+FG126/FB126-1</f>
        <v>-0.21621621621621623</v>
      </c>
      <c r="FH127" s="123">
        <f t="shared" si="608"/>
        <v>-0.21621621621621623</v>
      </c>
      <c r="FI127" s="122">
        <f t="shared" ref="FI127:FM127" si="609">+FI126/FH126-1</f>
        <v>-0.23628691983122363</v>
      </c>
      <c r="FJ127" s="122">
        <f t="shared" si="609"/>
        <v>-0.23628691983122363</v>
      </c>
      <c r="FK127" s="122">
        <f t="shared" si="609"/>
        <v>-0.23628691983122374</v>
      </c>
      <c r="FL127" s="122">
        <f t="shared" si="609"/>
        <v>-0.23628691983122363</v>
      </c>
      <c r="FM127" s="122">
        <f t="shared" si="609"/>
        <v>-0.23628691983122363</v>
      </c>
    </row>
    <row r="128" spans="1:171" s="108" customFormat="1" x14ac:dyDescent="0.3">
      <c r="A128" s="65" t="s">
        <v>340</v>
      </c>
      <c r="DU128" s="124">
        <f>DU126-DU123</f>
        <v>-44.966389974556705</v>
      </c>
      <c r="DV128" s="124">
        <f>+DV126-DU126</f>
        <v>-41.697484658490907</v>
      </c>
      <c r="DW128" s="124">
        <f>+DW126-DV126</f>
        <v>-47.918335086154229</v>
      </c>
      <c r="DX128" s="124">
        <f>+DX126-DW126</f>
        <v>-37.639312508440526</v>
      </c>
      <c r="DY128" s="125">
        <f>SUM(DU128:DX128)</f>
        <v>-172.22152222764237</v>
      </c>
      <c r="DZ128" s="1105">
        <f>Inputs!DZ410</f>
        <v>-30</v>
      </c>
      <c r="EA128" s="1105">
        <f>Inputs!EA410</f>
        <v>-29</v>
      </c>
      <c r="EB128" s="1105">
        <f>Inputs!EB410</f>
        <v>-34</v>
      </c>
      <c r="EC128" s="1105">
        <f>Inputs!EC410</f>
        <v>-27</v>
      </c>
      <c r="ED128" s="125">
        <f>+SUM(DZ128:EC128)</f>
        <v>-120</v>
      </c>
      <c r="EE128" s="1105">
        <f>Inputs!EE410</f>
        <v>-27</v>
      </c>
      <c r="EF128" s="1105">
        <f>Inputs!EF410</f>
        <v>-24</v>
      </c>
      <c r="EG128" s="1105">
        <f>Inputs!EG410</f>
        <v>-20</v>
      </c>
      <c r="EH128" s="1105">
        <f>Inputs!EH410</f>
        <v>-14</v>
      </c>
      <c r="EI128" s="125">
        <f>+SUM(EE128:EH128)</f>
        <v>-85</v>
      </c>
      <c r="EJ128" s="1105">
        <f>Inputs!EJ410</f>
        <v>-13</v>
      </c>
      <c r="EK128" s="1105">
        <f>Inputs!EK410</f>
        <v>-19</v>
      </c>
      <c r="EL128" s="1105">
        <f>Inputs!EL410</f>
        <v>-13</v>
      </c>
      <c r="EM128" s="1105">
        <f>Inputs!EM410</f>
        <v>-11</v>
      </c>
      <c r="EN128" s="125">
        <f>+SUM(EJ128:EM128)</f>
        <v>-56</v>
      </c>
      <c r="EO128" s="1105">
        <f>Inputs!EO410</f>
        <v>-15</v>
      </c>
      <c r="EP128" s="1105">
        <f>Inputs!EP410</f>
        <v>-14</v>
      </c>
      <c r="EQ128" s="1105">
        <f>Inputs!EQ410</f>
        <v>-15</v>
      </c>
      <c r="ER128" s="1105">
        <f>Inputs!ER410</f>
        <v>-12</v>
      </c>
      <c r="ES128" s="125">
        <f>+SUM(EO128:ER128)</f>
        <v>-56</v>
      </c>
      <c r="ET128" s="124">
        <f t="shared" ref="ET128:EW128" si="610">+ET126-ES126</f>
        <v>-11.756756756756744</v>
      </c>
      <c r="EU128" s="124">
        <f t="shared" si="610"/>
        <v>-10.972972972972968</v>
      </c>
      <c r="EV128" s="124">
        <f t="shared" si="610"/>
        <v>-11.756756756756744</v>
      </c>
      <c r="EW128" s="124">
        <f t="shared" si="610"/>
        <v>-9.4054054054054177</v>
      </c>
      <c r="EX128" s="125">
        <f>+SUM(ET128:EW128)</f>
        <v>-43.891891891891873</v>
      </c>
      <c r="EY128" s="124">
        <f t="shared" ref="EY128" si="611">+EY126-EX126</f>
        <v>-9.214755295836369</v>
      </c>
      <c r="EZ128" s="124">
        <f t="shared" ref="EZ128" si="612">+EZ126-EY126</f>
        <v>-8.6004382761139482</v>
      </c>
      <c r="FA128" s="124">
        <f t="shared" ref="FA128" si="613">+FA126-EZ126</f>
        <v>-9.214755295836369</v>
      </c>
      <c r="FB128" s="124">
        <f t="shared" ref="FB128" si="614">+FB126-FA126</f>
        <v>-7.3718042366691066</v>
      </c>
      <c r="FC128" s="125">
        <f>+SUM(EY128:FB128)</f>
        <v>-34.401753104455793</v>
      </c>
      <c r="FD128" s="124">
        <f t="shared" ref="FD128" si="615">+FD126-FC126</f>
        <v>-7.2223757724122919</v>
      </c>
      <c r="FE128" s="124">
        <f t="shared" ref="FE128" si="616">+FE126-FD126</f>
        <v>-6.740884054251481</v>
      </c>
      <c r="FF128" s="124">
        <f t="shared" ref="FF128" si="617">+FF126-FE126</f>
        <v>-7.2223757724122919</v>
      </c>
      <c r="FG128" s="124">
        <f t="shared" ref="FG128" si="618">+FG126-FF126</f>
        <v>-5.7779006179298449</v>
      </c>
      <c r="FH128" s="125">
        <f>+SUM(FD128:FG128)</f>
        <v>-26.96353621700591</v>
      </c>
      <c r="FI128" s="124">
        <f t="shared" ref="FI128:FM128" si="619">+FI126-FH126</f>
        <v>-23.095349586718143</v>
      </c>
      <c r="FJ128" s="124">
        <f t="shared" si="619"/>
        <v>-17.638220570447189</v>
      </c>
      <c r="FK128" s="124">
        <f t="shared" si="619"/>
        <v>-13.470539760552498</v>
      </c>
      <c r="FL128" s="124">
        <f t="shared" si="619"/>
        <v>-10.287627412067515</v>
      </c>
      <c r="FM128" s="124">
        <f t="shared" si="619"/>
        <v>-7.8567956184988219</v>
      </c>
      <c r="FO128" s="1069" t="s">
        <v>346</v>
      </c>
    </row>
    <row r="129" spans="1:169" s="108" customFormat="1" x14ac:dyDescent="0.3">
      <c r="A129" s="65" t="s">
        <v>341</v>
      </c>
      <c r="DU129" s="122">
        <f>DZ129*1.05</f>
        <v>5.4362509682416849E-3</v>
      </c>
      <c r="DV129" s="122">
        <f>EA129*1.05</f>
        <v>5.194839307787389E-3</v>
      </c>
      <c r="DW129" s="122">
        <f>EB129*1.05</f>
        <v>2.100323624595472E-3</v>
      </c>
      <c r="DX129" s="122">
        <f>EC129*1.05</f>
        <v>3.951509606587366E-3</v>
      </c>
      <c r="DY129" s="123">
        <f t="shared" ref="DY129:EF129" si="620">+DY124/DY106</f>
        <v>1.6682923507211914E-2</v>
      </c>
      <c r="DZ129" s="122">
        <f t="shared" si="620"/>
        <v>5.1773818745158903E-3</v>
      </c>
      <c r="EA129" s="122">
        <f t="shared" si="620"/>
        <v>4.9474660074165606E-3</v>
      </c>
      <c r="EB129" s="122">
        <f t="shared" si="620"/>
        <v>2.0003082139004496E-3</v>
      </c>
      <c r="EC129" s="122">
        <f t="shared" si="620"/>
        <v>3.7633424824641583E-3</v>
      </c>
      <c r="ED129" s="123">
        <f t="shared" si="620"/>
        <v>1.5877415877415882E-2</v>
      </c>
      <c r="EE129" s="122">
        <f t="shared" si="620"/>
        <v>2.6777744718833678E-3</v>
      </c>
      <c r="EF129" s="122">
        <f t="shared" si="620"/>
        <v>2.7409422884147193E-3</v>
      </c>
      <c r="EG129" s="694">
        <v>0</v>
      </c>
      <c r="EH129" s="694">
        <v>0</v>
      </c>
      <c r="EI129" s="123">
        <f>+EI124/EI106</f>
        <v>5.1705415564527336E-3</v>
      </c>
      <c r="EJ129" s="694">
        <v>0</v>
      </c>
      <c r="EK129" s="694">
        <v>0</v>
      </c>
      <c r="EL129" s="694">
        <v>0</v>
      </c>
      <c r="EM129" s="694">
        <v>0</v>
      </c>
      <c r="EN129" s="123">
        <f>+EN124/EN106</f>
        <v>0</v>
      </c>
      <c r="EO129" s="694">
        <v>0</v>
      </c>
      <c r="EP129" s="694">
        <v>0</v>
      </c>
      <c r="EQ129" s="694">
        <v>0</v>
      </c>
      <c r="ER129" s="694">
        <v>0</v>
      </c>
      <c r="ES129" s="123">
        <f>+ES124/ES106</f>
        <v>0</v>
      </c>
      <c r="ET129" s="694">
        <f t="shared" ref="ET129:EW129" si="621">EO129*0.95</f>
        <v>0</v>
      </c>
      <c r="EU129" s="694">
        <f t="shared" si="621"/>
        <v>0</v>
      </c>
      <c r="EV129" s="694">
        <f t="shared" si="621"/>
        <v>0</v>
      </c>
      <c r="EW129" s="694">
        <f t="shared" si="621"/>
        <v>0</v>
      </c>
      <c r="EX129" s="123">
        <f>+EX124/EX106</f>
        <v>0</v>
      </c>
      <c r="EY129" s="694">
        <f t="shared" ref="EY129:FB129" si="622">ET129*0.95</f>
        <v>0</v>
      </c>
      <c r="EZ129" s="694">
        <f t="shared" si="622"/>
        <v>0</v>
      </c>
      <c r="FA129" s="694">
        <f t="shared" si="622"/>
        <v>0</v>
      </c>
      <c r="FB129" s="694">
        <f t="shared" si="622"/>
        <v>0</v>
      </c>
      <c r="FC129" s="123">
        <f>+FC124/FC106</f>
        <v>0</v>
      </c>
      <c r="FD129" s="694">
        <f t="shared" ref="FD129:FG129" si="623">EY129*0.95</f>
        <v>0</v>
      </c>
      <c r="FE129" s="694">
        <f t="shared" si="623"/>
        <v>0</v>
      </c>
      <c r="FF129" s="694">
        <f t="shared" si="623"/>
        <v>0</v>
      </c>
      <c r="FG129" s="694">
        <f t="shared" si="623"/>
        <v>0</v>
      </c>
      <c r="FH129" s="123">
        <f>+FH124/FH106</f>
        <v>0</v>
      </c>
      <c r="FI129" s="694">
        <f t="shared" ref="FI129:FM129" si="624">FH129*0.95</f>
        <v>0</v>
      </c>
      <c r="FJ129" s="694">
        <f t="shared" si="624"/>
        <v>0</v>
      </c>
      <c r="FK129" s="694">
        <f t="shared" si="624"/>
        <v>0</v>
      </c>
      <c r="FL129" s="694">
        <f t="shared" si="624"/>
        <v>0</v>
      </c>
      <c r="FM129" s="694">
        <f t="shared" si="624"/>
        <v>0</v>
      </c>
    </row>
    <row r="130" spans="1:169" s="108" customFormat="1" x14ac:dyDescent="0.3">
      <c r="A130" s="65" t="s">
        <v>342</v>
      </c>
      <c r="DU130" s="694">
        <v>0.03</v>
      </c>
      <c r="DV130" s="694">
        <f>+DU130</f>
        <v>0.03</v>
      </c>
      <c r="DW130" s="694">
        <f>+DV130</f>
        <v>0.03</v>
      </c>
      <c r="DX130" s="694">
        <f>+DW130</f>
        <v>0.03</v>
      </c>
      <c r="DY130" s="123">
        <f>+DY125/AVERAGE(DU123:DX123)/-12</f>
        <v>3.0000000000000002E-2</v>
      </c>
      <c r="DZ130" s="694">
        <v>0.03</v>
      </c>
      <c r="EA130" s="694">
        <f>+DZ130</f>
        <v>0.03</v>
      </c>
      <c r="EB130" s="694">
        <f>+EA130</f>
        <v>0.03</v>
      </c>
      <c r="EC130" s="694">
        <f>+EB130</f>
        <v>0.03</v>
      </c>
      <c r="ED130" s="123">
        <f>+ED125/AVERAGE(DZ123:EC123)/-12</f>
        <v>3.0000000000000002E-2</v>
      </c>
      <c r="EE130" s="694">
        <f>+ED130</f>
        <v>3.0000000000000002E-2</v>
      </c>
      <c r="EF130" s="694">
        <f>+EE130</f>
        <v>3.0000000000000002E-2</v>
      </c>
      <c r="EG130" s="1106">
        <f>-EG125/EG123/3</f>
        <v>1.9102196752626553E-2</v>
      </c>
      <c r="EH130" s="1106">
        <f>-EH125/EH123/3</f>
        <v>1.4184397163120567E-2</v>
      </c>
      <c r="EI130" s="123">
        <f>+EI125/AVERAGE(EE123:EH123)/-12</f>
        <v>2.3792786583965084E-2</v>
      </c>
      <c r="EJ130" s="1106">
        <f>-EJ125/EJ123/3</f>
        <v>1.3756613756613757E-2</v>
      </c>
      <c r="EK130" s="1106">
        <f>-EK125/EK123/3</f>
        <v>2.097130242825607E-2</v>
      </c>
      <c r="EL130" s="1106">
        <f>-EL125/EL123/3</f>
        <v>1.5312131919905771E-2</v>
      </c>
      <c r="EM130" s="1106">
        <f>-EM125/EM123/3</f>
        <v>1.3580246913580249E-2</v>
      </c>
      <c r="EN130" s="123">
        <f>+EN125/AVERAGE(EJ123:EM123)/-12</f>
        <v>1.5954415954415956E-2</v>
      </c>
      <c r="EO130" s="1106">
        <f>-EO125/EO123/3</f>
        <v>1.9305019305019305E-2</v>
      </c>
      <c r="EP130" s="1106">
        <f>-EP125/EP123/3</f>
        <v>1.912568306010929E-2</v>
      </c>
      <c r="EQ130" s="1106">
        <f>-EQ125/EQ123/3</f>
        <v>2.1739130434782608E-2</v>
      </c>
      <c r="ER130" s="1106">
        <f>-ER125/ER123/3</f>
        <v>1.8604651162790697E-2</v>
      </c>
      <c r="ES130" s="123">
        <f>+ES125/AVERAGE(EO123:ER123)/-12</f>
        <v>1.969057665260197E-2</v>
      </c>
      <c r="ET130" s="694">
        <f t="shared" ref="ET130:EW130" si="625">+EO130</f>
        <v>1.9305019305019305E-2</v>
      </c>
      <c r="EU130" s="694">
        <f t="shared" si="625"/>
        <v>1.912568306010929E-2</v>
      </c>
      <c r="EV130" s="694">
        <f t="shared" si="625"/>
        <v>2.1739130434782608E-2</v>
      </c>
      <c r="EW130" s="694">
        <f t="shared" si="625"/>
        <v>1.8604651162790697E-2</v>
      </c>
      <c r="EX130" s="123">
        <f>+EX125/AVERAGE(ET123:EW123)/-12</f>
        <v>1.9690576652601963E-2</v>
      </c>
      <c r="EY130" s="694">
        <f t="shared" ref="EY130:FB130" si="626">+ET130</f>
        <v>1.9305019305019305E-2</v>
      </c>
      <c r="EZ130" s="694">
        <f t="shared" si="626"/>
        <v>1.912568306010929E-2</v>
      </c>
      <c r="FA130" s="694">
        <f t="shared" si="626"/>
        <v>2.1739130434782608E-2</v>
      </c>
      <c r="FB130" s="694">
        <f t="shared" si="626"/>
        <v>1.8604651162790697E-2</v>
      </c>
      <c r="FC130" s="123">
        <f>+FC125/AVERAGE(EY123:FB123)/-12</f>
        <v>1.969057665260197E-2</v>
      </c>
      <c r="FD130" s="694">
        <f t="shared" ref="FD130:FG130" si="627">+EY130</f>
        <v>1.9305019305019305E-2</v>
      </c>
      <c r="FE130" s="694">
        <f t="shared" si="627"/>
        <v>1.912568306010929E-2</v>
      </c>
      <c r="FF130" s="694">
        <f t="shared" si="627"/>
        <v>2.1739130434782608E-2</v>
      </c>
      <c r="FG130" s="694">
        <f t="shared" si="627"/>
        <v>1.8604651162790697E-2</v>
      </c>
      <c r="FH130" s="123">
        <f>+FH125/AVERAGE(FD123:FG123)/-12</f>
        <v>1.969057665260197E-2</v>
      </c>
      <c r="FI130" s="694">
        <f t="shared" ref="FI130:FM130" si="628">+FH130</f>
        <v>1.969057665260197E-2</v>
      </c>
      <c r="FJ130" s="694">
        <f t="shared" si="628"/>
        <v>1.969057665260197E-2</v>
      </c>
      <c r="FK130" s="694">
        <f t="shared" si="628"/>
        <v>1.969057665260197E-2</v>
      </c>
      <c r="FL130" s="694">
        <f t="shared" si="628"/>
        <v>1.969057665260197E-2</v>
      </c>
      <c r="FM130" s="694">
        <f t="shared" si="628"/>
        <v>1.969057665260197E-2</v>
      </c>
    </row>
    <row r="131" spans="1:169" s="108" customFormat="1" x14ac:dyDescent="0.3">
      <c r="A131" s="65" t="s">
        <v>347</v>
      </c>
      <c r="DU131" s="126">
        <f t="shared" ref="DU131:FM131" si="629">+DU126/DU90</f>
        <v>0.20147016839897144</v>
      </c>
      <c r="DV131" s="126">
        <f t="shared" si="629"/>
        <v>0.18853269255085139</v>
      </c>
      <c r="DW131" s="126">
        <f t="shared" si="629"/>
        <v>0.17366507384587027</v>
      </c>
      <c r="DX131" s="126">
        <f t="shared" si="629"/>
        <v>0.16198672680632928</v>
      </c>
      <c r="DY131" s="127">
        <f t="shared" si="629"/>
        <v>0.16198672680632928</v>
      </c>
      <c r="DZ131" s="126">
        <f t="shared" si="629"/>
        <v>0.15129950495049505</v>
      </c>
      <c r="EA131" s="126">
        <f t="shared" si="629"/>
        <v>0.14228395061728394</v>
      </c>
      <c r="EB131" s="126">
        <f t="shared" si="629"/>
        <v>0.13111726685133887</v>
      </c>
      <c r="EC131" s="126">
        <f t="shared" si="629"/>
        <v>0.12088244182532487</v>
      </c>
      <c r="ED131" s="127">
        <f t="shared" si="629"/>
        <v>0.12088244182532487</v>
      </c>
      <c r="EE131" s="126">
        <f t="shared" si="629"/>
        <v>0.10928801640785232</v>
      </c>
      <c r="EF131" s="126">
        <f t="shared" si="629"/>
        <v>9.7759103641456582E-2</v>
      </c>
      <c r="EG131" s="126">
        <f t="shared" si="629"/>
        <v>8.7616511318242343E-2</v>
      </c>
      <c r="EH131" s="126">
        <f t="shared" si="629"/>
        <v>7.9807448695211558E-2</v>
      </c>
      <c r="EI131" s="127">
        <f t="shared" si="629"/>
        <v>7.9807448695211558E-2</v>
      </c>
      <c r="EJ131" s="126">
        <f t="shared" si="629"/>
        <v>7.263107263107263E-2</v>
      </c>
      <c r="EK131" s="126">
        <f t="shared" si="629"/>
        <v>6.3753097544492002E-2</v>
      </c>
      <c r="EL131" s="126">
        <f t="shared" si="629"/>
        <v>5.6367432150313153E-2</v>
      </c>
      <c r="EM131" s="126">
        <f t="shared" si="629"/>
        <v>5.0087023786501643E-2</v>
      </c>
      <c r="EN131" s="127">
        <f t="shared" si="629"/>
        <v>5.0087023786501643E-2</v>
      </c>
      <c r="EO131" s="126">
        <f t="shared" si="629"/>
        <v>4.4283121597096187E-2</v>
      </c>
      <c r="EP131" s="126">
        <f t="shared" si="629"/>
        <v>3.9478201167181599E-2</v>
      </c>
      <c r="EQ131" s="126">
        <f t="shared" si="629"/>
        <v>3.4913933095160769E-2</v>
      </c>
      <c r="ER131" s="126">
        <f t="shared" si="629"/>
        <v>3.12740717917116E-2</v>
      </c>
      <c r="ES131" s="127">
        <f t="shared" si="629"/>
        <v>3.12740717917116E-2</v>
      </c>
      <c r="ET131" s="126">
        <f t="shared" si="629"/>
        <v>2.800047485259784E-2</v>
      </c>
      <c r="EU131" s="126">
        <f t="shared" si="629"/>
        <v>2.5226738073085682E-2</v>
      </c>
      <c r="EV131" s="126">
        <f t="shared" si="629"/>
        <v>2.2534569873430537E-2</v>
      </c>
      <c r="EW131" s="126">
        <f t="shared" si="629"/>
        <v>2.0369748829613125E-2</v>
      </c>
      <c r="EX131" s="127">
        <f t="shared" si="629"/>
        <v>2.0369748829613125E-2</v>
      </c>
      <c r="EY131" s="126">
        <f t="shared" ref="EY131:FC131" si="630">+EY126/EY90</f>
        <v>1.8391822430953591E-2</v>
      </c>
      <c r="EZ131" s="126">
        <f t="shared" si="630"/>
        <v>1.6689453642352681E-2</v>
      </c>
      <c r="FA131" s="126">
        <f t="shared" si="630"/>
        <v>1.501229361676761E-2</v>
      </c>
      <c r="FB131" s="126">
        <f t="shared" si="630"/>
        <v>1.3657469609424195E-2</v>
      </c>
      <c r="FC131" s="127">
        <f t="shared" si="630"/>
        <v>1.3657469609424195E-2</v>
      </c>
      <c r="FD131" s="126">
        <f t="shared" si="629"/>
        <v>1.2405911217659984E-2</v>
      </c>
      <c r="FE131" s="126">
        <f t="shared" si="629"/>
        <v>1.1316482237583135E-2</v>
      </c>
      <c r="FF131" s="126">
        <f t="shared" si="629"/>
        <v>1.0352071940457628E-2</v>
      </c>
      <c r="FG131" s="126">
        <f t="shared" si="629"/>
        <v>9.774281878664642E-3</v>
      </c>
      <c r="FH131" s="127">
        <f t="shared" ref="FH131" si="631">+FH126/FH90</f>
        <v>9.774281878664642E-3</v>
      </c>
      <c r="FI131" s="126">
        <f t="shared" si="629"/>
        <v>7.3908385346463648E-3</v>
      </c>
      <c r="FJ131" s="126">
        <f t="shared" si="629"/>
        <v>5.5885941211137238E-3</v>
      </c>
      <c r="FK131" s="126">
        <f t="shared" si="629"/>
        <v>4.2258241881672045E-3</v>
      </c>
      <c r="FL131" s="126">
        <f t="shared" si="629"/>
        <v>3.1953635712840545E-3</v>
      </c>
      <c r="FM131" s="126">
        <f t="shared" si="629"/>
        <v>2.4161791636479668E-3</v>
      </c>
    </row>
    <row r="132" spans="1:169" s="108" customFormat="1" x14ac:dyDescent="0.3">
      <c r="A132" s="65" t="s">
        <v>348</v>
      </c>
      <c r="DU132" s="126">
        <f>DU126/DU115</f>
        <v>0.5362001261353303</v>
      </c>
      <c r="DV132" s="126">
        <f t="shared" ref="DV132:FM132" si="632">DV126/DV115</f>
        <v>0.50594576860232643</v>
      </c>
      <c r="DW132" s="126">
        <f t="shared" si="632"/>
        <v>0.46604707161135706</v>
      </c>
      <c r="DX132" s="126">
        <f t="shared" si="632"/>
        <v>0.43326408339983347</v>
      </c>
      <c r="DY132" s="127">
        <f t="shared" si="632"/>
        <v>0.43326408339983347</v>
      </c>
      <c r="DZ132" s="126">
        <f t="shared" si="632"/>
        <v>0.40246913580246912</v>
      </c>
      <c r="EA132" s="126">
        <f t="shared" si="632"/>
        <v>0.37694194603434178</v>
      </c>
      <c r="EB132" s="126">
        <f t="shared" si="632"/>
        <v>0.34662327095199347</v>
      </c>
      <c r="EC132" s="126">
        <f t="shared" si="632"/>
        <v>0.32310177705977383</v>
      </c>
      <c r="ED132" s="127">
        <f t="shared" si="632"/>
        <v>0.32310177705977383</v>
      </c>
      <c r="EE132" s="126">
        <f t="shared" si="632"/>
        <v>0.29816147082334132</v>
      </c>
      <c r="EF132" s="126">
        <f t="shared" si="632"/>
        <v>0.276326207442597</v>
      </c>
      <c r="EG132" s="126">
        <f t="shared" si="632"/>
        <v>0.25464396284829721</v>
      </c>
      <c r="EH132" s="126">
        <f t="shared" si="632"/>
        <v>0.23577844311377247</v>
      </c>
      <c r="EI132" s="127">
        <f t="shared" si="632"/>
        <v>0.23577844311377247</v>
      </c>
      <c r="EJ132" s="126">
        <f t="shared" si="632"/>
        <v>0.21757925072046108</v>
      </c>
      <c r="EK132" s="126">
        <f t="shared" si="632"/>
        <v>0.19680111265646733</v>
      </c>
      <c r="EL132" s="126">
        <f t="shared" si="632"/>
        <v>0.17976031957390146</v>
      </c>
      <c r="EM132" s="126">
        <f t="shared" si="632"/>
        <v>0.16444444444444445</v>
      </c>
      <c r="EN132" s="127">
        <f t="shared" si="632"/>
        <v>0.16444444444444445</v>
      </c>
      <c r="EO132" s="126">
        <f t="shared" si="632"/>
        <v>0.14707655213984328</v>
      </c>
      <c r="EP132" s="126">
        <f t="shared" si="632"/>
        <v>0.13356562137049943</v>
      </c>
      <c r="EQ132" s="126">
        <f t="shared" si="632"/>
        <v>0.1196438508625487</v>
      </c>
      <c r="ER132" s="126">
        <f t="shared" si="632"/>
        <v>0.1080937167199148</v>
      </c>
      <c r="ES132" s="127">
        <f t="shared" si="632"/>
        <v>0.1080937167199148</v>
      </c>
      <c r="ET132" s="126">
        <f t="shared" si="632"/>
        <v>9.6531743846314744E-2</v>
      </c>
      <c r="EU132" s="126">
        <f t="shared" si="632"/>
        <v>8.7602167609308876E-2</v>
      </c>
      <c r="EV132" s="126">
        <f t="shared" si="632"/>
        <v>7.8415786786200564E-2</v>
      </c>
      <c r="EW132" s="126">
        <f t="shared" si="632"/>
        <v>7.0854435237616684E-2</v>
      </c>
      <c r="EX132" s="127">
        <f t="shared" si="632"/>
        <v>7.0854435237616684E-2</v>
      </c>
      <c r="EY132" s="126">
        <f t="shared" ref="EY132:FC132" si="633">EY126/EY115</f>
        <v>6.3264415616292716E-2</v>
      </c>
      <c r="EZ132" s="126">
        <f t="shared" si="633"/>
        <v>5.7438632322294132E-2</v>
      </c>
      <c r="FA132" s="126">
        <f t="shared" si="633"/>
        <v>5.1469627299108062E-2</v>
      </c>
      <c r="FB132" s="126">
        <f t="shared" si="633"/>
        <v>4.6571541958380709E-2</v>
      </c>
      <c r="FC132" s="127">
        <f t="shared" si="633"/>
        <v>4.6571541958380709E-2</v>
      </c>
      <c r="FD132" s="126">
        <f t="shared" si="632"/>
        <v>4.1752960698443205E-2</v>
      </c>
      <c r="FE132" s="126">
        <f t="shared" si="632"/>
        <v>3.8051823308611524E-2</v>
      </c>
      <c r="FF132" s="126">
        <f t="shared" si="632"/>
        <v>3.4257018153875288E-2</v>
      </c>
      <c r="FG132" s="126">
        <f t="shared" si="632"/>
        <v>3.1178847254363564E-2</v>
      </c>
      <c r="FH132" s="127">
        <f t="shared" ref="FH132" si="634">FH126/FH115</f>
        <v>3.1178847254363564E-2</v>
      </c>
      <c r="FI132" s="126">
        <f t="shared" si="632"/>
        <v>2.1116433496065793E-2</v>
      </c>
      <c r="FJ132" s="126">
        <f t="shared" si="632"/>
        <v>1.4790113260651779E-2</v>
      </c>
      <c r="FK132" s="126">
        <f t="shared" si="632"/>
        <v>1.0626833621356774E-2</v>
      </c>
      <c r="FL132" s="126">
        <f t="shared" si="632"/>
        <v>7.7877422352522494E-3</v>
      </c>
      <c r="FM132" s="126">
        <f t="shared" si="632"/>
        <v>5.7970332435191528E-3</v>
      </c>
    </row>
    <row r="133" spans="1:169" s="108" customFormat="1" x14ac:dyDescent="0.3">
      <c r="A133" s="65"/>
      <c r="DU133" s="126"/>
      <c r="DV133" s="126"/>
      <c r="DW133" s="126"/>
      <c r="DX133" s="126"/>
      <c r="DY133" s="127"/>
      <c r="DZ133" s="126"/>
      <c r="EA133" s="126"/>
      <c r="EB133" s="126"/>
      <c r="EC133" s="126"/>
      <c r="ED133" s="127"/>
      <c r="EE133" s="126"/>
      <c r="EF133" s="126"/>
      <c r="EG133" s="126"/>
      <c r="EH133" s="126"/>
      <c r="EI133" s="127"/>
      <c r="EJ133" s="126"/>
      <c r="EK133" s="126"/>
      <c r="EL133" s="126"/>
      <c r="EM133" s="126"/>
      <c r="EN133" s="127"/>
      <c r="EO133" s="126"/>
      <c r="EP133" s="126"/>
      <c r="EQ133" s="126"/>
      <c r="ER133" s="126"/>
      <c r="ES133" s="126"/>
      <c r="ET133" s="126"/>
      <c r="EU133" s="126"/>
      <c r="EV133" s="126"/>
      <c r="EW133" s="126"/>
      <c r="EX133" s="126"/>
      <c r="EY133" s="126"/>
      <c r="EZ133" s="126"/>
      <c r="FA133" s="126"/>
      <c r="FB133" s="126"/>
      <c r="FC133" s="126"/>
      <c r="FD133" s="126"/>
      <c r="FE133" s="126"/>
      <c r="FF133" s="126"/>
      <c r="FG133" s="126"/>
      <c r="FH133" s="126"/>
      <c r="FI133" s="126"/>
      <c r="FJ133" s="126"/>
      <c r="FK133" s="126"/>
      <c r="FL133" s="126"/>
      <c r="FM133" s="126"/>
    </row>
    <row r="134" spans="1:169" x14ac:dyDescent="0.3">
      <c r="A134" s="68" t="s">
        <v>349</v>
      </c>
      <c r="EO134"/>
      <c r="EP134"/>
      <c r="EQ134"/>
      <c r="ER134"/>
    </row>
    <row r="135" spans="1:169" x14ac:dyDescent="0.3">
      <c r="A135" s="67" t="s">
        <v>350</v>
      </c>
      <c r="DU135" s="76">
        <f>+DU138-DU140</f>
        <v>99.266607214649042</v>
      </c>
      <c r="DV135" s="76">
        <f>+DU138</f>
        <v>99.266607214649042</v>
      </c>
      <c r="DW135" s="76">
        <f>+DV138</f>
        <v>99.350366373999023</v>
      </c>
      <c r="DX135" s="76">
        <f>+DW138</f>
        <v>98.436273204101568</v>
      </c>
      <c r="DY135" s="85">
        <f>+DU135</f>
        <v>99.266607214649042</v>
      </c>
      <c r="DZ135" s="76">
        <f>+DY138</f>
        <v>98.524382773437495</v>
      </c>
      <c r="EA135" s="76">
        <f>+DZ138</f>
        <v>97.614751562500004</v>
      </c>
      <c r="EB135" s="76">
        <f>+EA138</f>
        <v>96.707437499999997</v>
      </c>
      <c r="EC135" s="76">
        <f>+EB138</f>
        <v>97.802499999999995</v>
      </c>
      <c r="ED135" s="85">
        <f>+DZ135</f>
        <v>98.524382773437495</v>
      </c>
      <c r="EE135" s="76">
        <f>+ED138</f>
        <v>98.9</v>
      </c>
      <c r="EF135" s="76">
        <f>+EE138</f>
        <v>99</v>
      </c>
      <c r="EG135" s="76">
        <f>+EF138</f>
        <v>100</v>
      </c>
      <c r="EH135" s="76">
        <f>+EG138</f>
        <v>100</v>
      </c>
      <c r="EI135" s="85">
        <f>+EE135</f>
        <v>98.9</v>
      </c>
      <c r="EJ135" s="76">
        <f>+EI138</f>
        <v>101</v>
      </c>
      <c r="EK135" s="76">
        <f>+EJ138</f>
        <v>104</v>
      </c>
      <c r="EL135" s="76">
        <f>+EK138</f>
        <v>108</v>
      </c>
      <c r="EM135" s="76">
        <f>+EL138</f>
        <v>110</v>
      </c>
      <c r="EN135" s="85">
        <f>+EJ135</f>
        <v>101</v>
      </c>
      <c r="EO135" s="76">
        <f>+EN138</f>
        <v>114</v>
      </c>
      <c r="EP135" s="76">
        <f>+EO138</f>
        <v>118</v>
      </c>
      <c r="EQ135" s="76">
        <f>+EP138</f>
        <v>122</v>
      </c>
      <c r="ER135" s="76">
        <f t="shared" ref="ER135" si="635">+EQ138</f>
        <v>126</v>
      </c>
      <c r="ES135" s="85">
        <f>+EO135</f>
        <v>114</v>
      </c>
      <c r="ET135" s="76">
        <f t="shared" ref="ET135:EW135" si="636">+ES138</f>
        <v>131.95749822317086</v>
      </c>
      <c r="EU135" s="76">
        <f t="shared" si="636"/>
        <v>137.38459219821249</v>
      </c>
      <c r="EV135" s="76">
        <f t="shared" si="636"/>
        <v>142.62945294026866</v>
      </c>
      <c r="EW135" s="76">
        <f t="shared" si="636"/>
        <v>147.74299323214566</v>
      </c>
      <c r="EX135" s="85">
        <f>+ET135</f>
        <v>131.95749822317086</v>
      </c>
      <c r="EY135" s="76">
        <f t="shared" ref="EY135" si="637">+EX138</f>
        <v>155.12468493303828</v>
      </c>
      <c r="EZ135" s="76">
        <f t="shared" ref="EZ135" si="638">+EY138</f>
        <v>162.08751577948303</v>
      </c>
      <c r="FA135" s="76">
        <f t="shared" ref="FA135" si="639">+EZ138</f>
        <v>168.68533506207743</v>
      </c>
      <c r="FB135" s="76">
        <f t="shared" ref="FB135" si="640">+FA138</f>
        <v>175.01806027734091</v>
      </c>
      <c r="FC135" s="85">
        <f>+EY135</f>
        <v>155.12468493303828</v>
      </c>
      <c r="FD135" s="76">
        <f t="shared" ref="FD135" si="641">+FC138</f>
        <v>183.99269316107743</v>
      </c>
      <c r="FE135" s="76">
        <f t="shared" ref="FE135" si="642">+FD138</f>
        <v>192.36624605070307</v>
      </c>
      <c r="FF135" s="76">
        <f t="shared" ref="FF135" si="643">+FE138</f>
        <v>200.21008721130374</v>
      </c>
      <c r="FG135" s="76">
        <f t="shared" ref="FG135" si="644">+FF138</f>
        <v>207.57313724649916</v>
      </c>
      <c r="FH135" s="85">
        <f>+FD135</f>
        <v>183.99269316107743</v>
      </c>
      <c r="FI135" s="76">
        <f t="shared" ref="FI135:FM135" si="645">+FH138</f>
        <v>217.53870593179755</v>
      </c>
      <c r="FJ135" s="76">
        <f t="shared" si="645"/>
        <v>253.31760828556929</v>
      </c>
      <c r="FK135" s="76">
        <f t="shared" si="645"/>
        <v>289.45433016253151</v>
      </c>
      <c r="FL135" s="76">
        <f t="shared" si="645"/>
        <v>326.40847824596523</v>
      </c>
      <c r="FM135" s="76">
        <f t="shared" si="645"/>
        <v>364.61118839650703</v>
      </c>
    </row>
    <row r="136" spans="1:169" x14ac:dyDescent="0.3">
      <c r="A136" s="67" t="s">
        <v>351</v>
      </c>
      <c r="DU136" s="76">
        <f>+DU138-DU137-DU135</f>
        <v>6.9387358443039631</v>
      </c>
      <c r="DV136" s="76">
        <f>+DV138-DV137-DV135</f>
        <v>7.1713949144759255</v>
      </c>
      <c r="DW136" s="76">
        <f>+DW138-DW137-DW135</f>
        <v>6.3285485387670661</v>
      </c>
      <c r="DX136" s="76">
        <f>+DX138-DX137-DX135</f>
        <v>6.4372491910004754</v>
      </c>
      <c r="DY136" s="85">
        <f>+SUM(DU136:DX136)</f>
        <v>26.87592848854743</v>
      </c>
      <c r="DZ136" s="76">
        <f>+DZ138-DZ137-DZ135</f>
        <v>5.740764626269538</v>
      </c>
      <c r="EA136" s="76">
        <f>+EA138-EA137-EA135</f>
        <v>4.9202866057812429</v>
      </c>
      <c r="EB136" s="76">
        <f>+EB138-EB137-EB135</f>
        <v>5.795043962500003</v>
      </c>
      <c r="EC136" s="76">
        <f>+EC138-EC137-EC135</f>
        <v>5.2932272500000153</v>
      </c>
      <c r="ED136" s="85">
        <f>+SUM(DZ136:EC136)</f>
        <v>21.749322444550799</v>
      </c>
      <c r="EE136" s="76">
        <f>+EE138-EE137-EE135</f>
        <v>3.957099999999997</v>
      </c>
      <c r="EF136" s="76">
        <f>+EF138-EF137-EF135</f>
        <v>4.5936999999999983</v>
      </c>
      <c r="EG136" s="76">
        <f>+EG138-EG137-EG135</f>
        <v>3.8100000000000023</v>
      </c>
      <c r="EH136" s="76">
        <f>+EH138-EH137-EH135</f>
        <v>4.8400000000000034</v>
      </c>
      <c r="EI136" s="85">
        <f>+SUM(EE136:EH136)</f>
        <v>17.200800000000001</v>
      </c>
      <c r="EJ136" s="76">
        <f>+EJ138-EJ137-EJ135</f>
        <v>6.7571999999999974</v>
      </c>
      <c r="EK136" s="76">
        <f>+EK138-EK137-EK135</f>
        <v>7.9624000000000024</v>
      </c>
      <c r="EL136" s="76">
        <f>+EL138-EL137-EL135</f>
        <v>6.3415999999999997</v>
      </c>
      <c r="EM136" s="76">
        <f>+EM138-EM137-EM135</f>
        <v>8.3230000000000075</v>
      </c>
      <c r="EN136" s="85">
        <f>+SUM(EJ136:EM136)</f>
        <v>29.384200000000007</v>
      </c>
      <c r="EO136" s="76">
        <f>+EO138-EO137-EO135</f>
        <v>8.8906000000000063</v>
      </c>
      <c r="EP136" s="76">
        <f>+EP138-EP137-EP135</f>
        <v>8.566599999999994</v>
      </c>
      <c r="EQ136" s="76">
        <f>+EQ138-EQ137-EQ135</f>
        <v>8.5383999999999958</v>
      </c>
      <c r="ER136" s="76">
        <f>+ER141*ER106</f>
        <v>10.958816223170862</v>
      </c>
      <c r="ES136" s="85">
        <f>+SUM(EO136:ER136)</f>
        <v>36.95441622317086</v>
      </c>
      <c r="ET136" s="76">
        <f t="shared" ref="ET136:EW136" si="646">+ET141*ET106</f>
        <v>11.088070648815663</v>
      </c>
      <c r="EU136" s="76">
        <f t="shared" si="646"/>
        <v>10.56164446012702</v>
      </c>
      <c r="EV136" s="76">
        <f t="shared" si="646"/>
        <v>10.419355941255002</v>
      </c>
      <c r="EW136" s="76">
        <f t="shared" si="646"/>
        <v>13.24605433125617</v>
      </c>
      <c r="EX136" s="85">
        <f>+SUM(ET136:EW136)</f>
        <v>45.315125381453853</v>
      </c>
      <c r="EY136" s="76">
        <f t="shared" ref="EY136:FB136" si="647">+EY141*EY106</f>
        <v>13.617679830072099</v>
      </c>
      <c r="EZ136" s="76">
        <f t="shared" si="647"/>
        <v>12.8706061432604</v>
      </c>
      <c r="FA136" s="76">
        <f t="shared" si="647"/>
        <v>12.607819679572756</v>
      </c>
      <c r="FB136" s="76">
        <f t="shared" si="647"/>
        <v>15.921624750325016</v>
      </c>
      <c r="FC136" s="85">
        <f>+SUM(EY136:FB136)</f>
        <v>55.017730403230267</v>
      </c>
      <c r="FD136" s="76">
        <f t="shared" ref="FD136:FM136" si="648">+FD141*FD106</f>
        <v>16.266839426235848</v>
      </c>
      <c r="FE136" s="76">
        <f t="shared" si="648"/>
        <v>15.288414882762865</v>
      </c>
      <c r="FF136" s="76">
        <f t="shared" si="648"/>
        <v>14.810865279455932</v>
      </c>
      <c r="FG136" s="76">
        <f t="shared" si="648"/>
        <v>18.204769222023693</v>
      </c>
      <c r="FH136" s="85">
        <f>+SUM(FD136:FG136)</f>
        <v>64.570888810478337</v>
      </c>
      <c r="FI136" s="76">
        <f t="shared" si="648"/>
        <v>70.206901245193791</v>
      </c>
      <c r="FJ136" s="76">
        <f t="shared" si="648"/>
        <v>76.227143026969159</v>
      </c>
      <c r="FK136" s="76">
        <f t="shared" si="648"/>
        <v>82.763620541531765</v>
      </c>
      <c r="FL136" s="76">
        <f t="shared" si="648"/>
        <v>89.86060100296811</v>
      </c>
      <c r="FM136" s="76">
        <f t="shared" si="648"/>
        <v>97.566147538972615</v>
      </c>
    </row>
    <row r="137" spans="1:169" x14ac:dyDescent="0.3">
      <c r="A137" s="67" t="s">
        <v>337</v>
      </c>
      <c r="DU137" s="76">
        <f>+DU142*DU135*-3</f>
        <v>-6.9387358443039684</v>
      </c>
      <c r="DV137" s="76">
        <f>+DV142*DV135*-3</f>
        <v>-7.087635755125941</v>
      </c>
      <c r="DW137" s="76">
        <f>+DW142*DW135*-3</f>
        <v>-7.2426417086645278</v>
      </c>
      <c r="DX137" s="76">
        <f>+DX142*DX135*-3</f>
        <v>-6.3491396216645501</v>
      </c>
      <c r="DY137" s="85">
        <f>+SUM(DU137:DX137)</f>
        <v>-27.618152929758985</v>
      </c>
      <c r="DZ137" s="76">
        <f>+DZ142*DZ135*-3</f>
        <v>-6.6503958372070304</v>
      </c>
      <c r="EA137" s="76">
        <f>+EA142*EA135*-3</f>
        <v>-5.8276006682812511</v>
      </c>
      <c r="EB137" s="76">
        <f>+EB142*EB135*-3</f>
        <v>-4.6999814624999994</v>
      </c>
      <c r="EC137" s="76">
        <f>+EC142*EC135*-3</f>
        <v>-4.19572725</v>
      </c>
      <c r="ED137" s="85">
        <f>+SUM(DZ137:EC137)</f>
        <v>-21.373705217988281</v>
      </c>
      <c r="EE137" s="76">
        <f>+EE142*EE135*-3</f>
        <v>-3.8571</v>
      </c>
      <c r="EF137" s="76">
        <f>+EF142*EF135*-3</f>
        <v>-3.5937000000000001</v>
      </c>
      <c r="EG137" s="76">
        <f>+EG142*EG135*-3</f>
        <v>-3.81</v>
      </c>
      <c r="EH137" s="76">
        <f>+EH142*EH135*-3</f>
        <v>-3.84</v>
      </c>
      <c r="EI137" s="85">
        <f>+SUM(EE137:EH137)</f>
        <v>-15.1008</v>
      </c>
      <c r="EJ137" s="76">
        <f>+EJ142*EJ135*-3</f>
        <v>-3.7572000000000001</v>
      </c>
      <c r="EK137" s="76">
        <f>+EK142*EK135*-3</f>
        <v>-3.9623999999999997</v>
      </c>
      <c r="EL137" s="76">
        <f>+EL142*EL135*-3</f>
        <v>-4.3415999999999997</v>
      </c>
      <c r="EM137" s="76">
        <f>+EM142*EM135*-3</f>
        <v>-4.3230000000000004</v>
      </c>
      <c r="EN137" s="85">
        <f>+SUM(EJ137:EM137)</f>
        <v>-16.3842</v>
      </c>
      <c r="EO137" s="76">
        <f>+EO142*EO135*-3</f>
        <v>-4.8906000000000001</v>
      </c>
      <c r="EP137" s="76">
        <f>+EP142*EP135*-3</f>
        <v>-4.5666000000000002</v>
      </c>
      <c r="EQ137" s="76">
        <f>+EQ142*EQ135*-3</f>
        <v>-4.5383999999999993</v>
      </c>
      <c r="ER137" s="76">
        <f t="shared" ref="ER137:EW137" si="649">+ER142*ER135*-3</f>
        <v>-5.0013180000000004</v>
      </c>
      <c r="ES137" s="85">
        <f>+SUM(EO137:ER137)</f>
        <v>-18.996918000000001</v>
      </c>
      <c r="ET137" s="76">
        <f t="shared" si="649"/>
        <v>-5.6609766737740301</v>
      </c>
      <c r="EU137" s="76">
        <f t="shared" si="649"/>
        <v>-5.3167837180708233</v>
      </c>
      <c r="EV137" s="76">
        <f t="shared" si="649"/>
        <v>-5.305815649377994</v>
      </c>
      <c r="EW137" s="76">
        <f t="shared" si="649"/>
        <v>-5.8643626303635585</v>
      </c>
      <c r="EX137" s="85">
        <f>+SUM(ET137:EW137)</f>
        <v>-22.147938671586406</v>
      </c>
      <c r="EY137" s="76">
        <f t="shared" ref="EY137:FB137" si="650">+EY142*EY135*-3</f>
        <v>-6.6548489836273426</v>
      </c>
      <c r="EZ137" s="76">
        <f t="shared" si="650"/>
        <v>-6.2727868606659936</v>
      </c>
      <c r="FA137" s="76">
        <f t="shared" si="650"/>
        <v>-6.2750944643092801</v>
      </c>
      <c r="FB137" s="76">
        <f t="shared" si="650"/>
        <v>-6.946991866588494</v>
      </c>
      <c r="FC137" s="85">
        <f>+SUM(EY137:FB137)</f>
        <v>-26.149722175191112</v>
      </c>
      <c r="FD137" s="76">
        <f t="shared" ref="FD137:FG137" si="651">+FD142*FD135*-3</f>
        <v>-7.8932865366102227</v>
      </c>
      <c r="FE137" s="76">
        <f t="shared" si="651"/>
        <v>-7.4445737221622084</v>
      </c>
      <c r="FF137" s="76">
        <f t="shared" si="651"/>
        <v>-7.4478152442605001</v>
      </c>
      <c r="FG137" s="76">
        <f t="shared" si="651"/>
        <v>-8.2392005367252921</v>
      </c>
      <c r="FH137" s="85">
        <f>+SUM(FD137:FG137)</f>
        <v>-31.024876039758222</v>
      </c>
      <c r="FI137" s="76">
        <f t="shared" ref="FI137:FM137" si="652">+FI142*FI135*-12</f>
        <v>-34.427998891422092</v>
      </c>
      <c r="FJ137" s="76">
        <f t="shared" si="652"/>
        <v>-40.090421150006947</v>
      </c>
      <c r="FK137" s="76">
        <f t="shared" si="652"/>
        <v>-45.809472458098</v>
      </c>
      <c r="FL137" s="76">
        <f t="shared" si="652"/>
        <v>-51.657890852426327</v>
      </c>
      <c r="FM137" s="76">
        <f t="shared" si="652"/>
        <v>-57.703908535019906</v>
      </c>
    </row>
    <row r="138" spans="1:169" x14ac:dyDescent="0.3">
      <c r="A138" s="64" t="s">
        <v>352</v>
      </c>
      <c r="DU138" s="1080">
        <f>Inputs!DU385</f>
        <v>99.266607214649042</v>
      </c>
      <c r="DV138" s="1080">
        <f>Inputs!DV385</f>
        <v>99.350366373999023</v>
      </c>
      <c r="DW138" s="1080">
        <f>Inputs!DW385</f>
        <v>98.436273204101568</v>
      </c>
      <c r="DX138" s="1080">
        <f>Inputs!DX385</f>
        <v>98.524382773437495</v>
      </c>
      <c r="DY138" s="803">
        <f>+DX138</f>
        <v>98.524382773437495</v>
      </c>
      <c r="DZ138" s="1080">
        <f>Inputs!DZ385</f>
        <v>97.614751562500004</v>
      </c>
      <c r="EA138" s="1080">
        <f>Inputs!EA385</f>
        <v>96.707437499999997</v>
      </c>
      <c r="EB138" s="1080">
        <f>Inputs!EB385</f>
        <v>97.802499999999995</v>
      </c>
      <c r="EC138" s="1080">
        <f>Inputs!EC385</f>
        <v>98.9</v>
      </c>
      <c r="ED138" s="803">
        <f>+EC138</f>
        <v>98.9</v>
      </c>
      <c r="EE138" s="1080">
        <f>Inputs!EE385</f>
        <v>99</v>
      </c>
      <c r="EF138" s="1080">
        <f>Inputs!EF385</f>
        <v>100</v>
      </c>
      <c r="EG138" s="1080">
        <f>Inputs!EG385</f>
        <v>100</v>
      </c>
      <c r="EH138" s="1080">
        <f>Inputs!EH385</f>
        <v>101</v>
      </c>
      <c r="EI138" s="803">
        <f>+EH138</f>
        <v>101</v>
      </c>
      <c r="EJ138" s="1080">
        <f>Inputs!EJ385</f>
        <v>104</v>
      </c>
      <c r="EK138" s="1080">
        <f>Inputs!EK385</f>
        <v>108</v>
      </c>
      <c r="EL138" s="1080">
        <f>Inputs!EL385</f>
        <v>110</v>
      </c>
      <c r="EM138" s="1080">
        <f>Inputs!EM385</f>
        <v>114</v>
      </c>
      <c r="EN138" s="803">
        <f>+EM138</f>
        <v>114</v>
      </c>
      <c r="EO138" s="1080">
        <f>Inputs!EO385</f>
        <v>118</v>
      </c>
      <c r="EP138" s="1080">
        <f>Inputs!EP385</f>
        <v>122</v>
      </c>
      <c r="EQ138" s="1080">
        <f>Inputs!EQ385</f>
        <v>126</v>
      </c>
      <c r="ER138" s="804">
        <f t="shared" ref="ER138:EW138" si="653">+SUM(ER135:ER137)</f>
        <v>131.95749822317086</v>
      </c>
      <c r="ES138" s="803">
        <f>+ER138</f>
        <v>131.95749822317086</v>
      </c>
      <c r="ET138" s="804">
        <f t="shared" si="653"/>
        <v>137.38459219821249</v>
      </c>
      <c r="EU138" s="804">
        <f t="shared" si="653"/>
        <v>142.62945294026866</v>
      </c>
      <c r="EV138" s="804">
        <f t="shared" si="653"/>
        <v>147.74299323214566</v>
      </c>
      <c r="EW138" s="804">
        <f t="shared" si="653"/>
        <v>155.12468493303828</v>
      </c>
      <c r="EX138" s="803">
        <f>+EW138</f>
        <v>155.12468493303828</v>
      </c>
      <c r="EY138" s="804">
        <f t="shared" ref="EY138:FB138" si="654">+SUM(EY135:EY137)</f>
        <v>162.08751577948303</v>
      </c>
      <c r="EZ138" s="804">
        <f t="shared" si="654"/>
        <v>168.68533506207743</v>
      </c>
      <c r="FA138" s="804">
        <f t="shared" si="654"/>
        <v>175.01806027734091</v>
      </c>
      <c r="FB138" s="804">
        <f t="shared" si="654"/>
        <v>183.99269316107743</v>
      </c>
      <c r="FC138" s="803">
        <f>+FB138</f>
        <v>183.99269316107743</v>
      </c>
      <c r="FD138" s="804">
        <f t="shared" ref="FD138:FG138" si="655">+SUM(FD135:FD137)</f>
        <v>192.36624605070307</v>
      </c>
      <c r="FE138" s="804">
        <f t="shared" si="655"/>
        <v>200.21008721130374</v>
      </c>
      <c r="FF138" s="804">
        <f t="shared" si="655"/>
        <v>207.57313724649916</v>
      </c>
      <c r="FG138" s="804">
        <f t="shared" si="655"/>
        <v>217.53870593179755</v>
      </c>
      <c r="FH138" s="803">
        <f>+FG138</f>
        <v>217.53870593179755</v>
      </c>
      <c r="FI138" s="804">
        <f t="shared" ref="FI138:FM138" si="656">+SUM(FI135:FI137)</f>
        <v>253.31760828556929</v>
      </c>
      <c r="FJ138" s="804">
        <f t="shared" si="656"/>
        <v>289.45433016253151</v>
      </c>
      <c r="FK138" s="804">
        <f t="shared" si="656"/>
        <v>326.40847824596523</v>
      </c>
      <c r="FL138" s="804">
        <f t="shared" si="656"/>
        <v>364.61118839650703</v>
      </c>
      <c r="FM138" s="804">
        <f t="shared" si="656"/>
        <v>404.47342740045974</v>
      </c>
    </row>
    <row r="139" spans="1:169" x14ac:dyDescent="0.3">
      <c r="A139" s="69" t="s">
        <v>339</v>
      </c>
      <c r="DU139" s="79"/>
      <c r="DZ139" s="83">
        <f t="shared" ref="DZ139:ER139" si="657">+DZ138/DU138-1</f>
        <v>-1.6640597462721285E-2</v>
      </c>
      <c r="EA139" s="83">
        <f t="shared" si="657"/>
        <v>-2.660210495902815E-2</v>
      </c>
      <c r="EB139" s="83">
        <f t="shared" si="657"/>
        <v>-6.4384112022148887E-3</v>
      </c>
      <c r="EC139" s="83">
        <f t="shared" si="657"/>
        <v>3.8124291265673182E-3</v>
      </c>
      <c r="ED139" s="91">
        <f t="shared" si="657"/>
        <v>3.8124291265673182E-3</v>
      </c>
      <c r="EE139" s="83">
        <f t="shared" si="657"/>
        <v>1.4190974369412412E-2</v>
      </c>
      <c r="EF139" s="83">
        <f t="shared" si="657"/>
        <v>3.404663162541155E-2</v>
      </c>
      <c r="EG139" s="83">
        <f t="shared" si="657"/>
        <v>2.2468750798803727E-2</v>
      </c>
      <c r="EH139" s="83">
        <f t="shared" si="657"/>
        <v>2.123356926188058E-2</v>
      </c>
      <c r="EI139" s="91">
        <f t="shared" si="657"/>
        <v>2.123356926188058E-2</v>
      </c>
      <c r="EJ139" s="83">
        <f t="shared" si="657"/>
        <v>5.0505050505050608E-2</v>
      </c>
      <c r="EK139" s="83">
        <f t="shared" si="657"/>
        <v>8.0000000000000071E-2</v>
      </c>
      <c r="EL139" s="83">
        <f t="shared" si="657"/>
        <v>0.10000000000000009</v>
      </c>
      <c r="EM139" s="83">
        <f t="shared" si="657"/>
        <v>0.12871287128712861</v>
      </c>
      <c r="EN139" s="91">
        <f>+EN138/EI138-1</f>
        <v>0.12871287128712861</v>
      </c>
      <c r="EO139" s="83">
        <f t="shared" si="657"/>
        <v>0.13461538461538458</v>
      </c>
      <c r="EP139" s="83">
        <f t="shared" si="657"/>
        <v>0.12962962962962954</v>
      </c>
      <c r="EQ139" s="83">
        <f t="shared" si="657"/>
        <v>0.1454545454545455</v>
      </c>
      <c r="ER139" s="83">
        <f t="shared" si="657"/>
        <v>0.15752191423834083</v>
      </c>
      <c r="ES139" s="91">
        <f>+ES138/EN138-1</f>
        <v>0.15752191423834083</v>
      </c>
      <c r="ET139" s="83">
        <f t="shared" ref="ET139:EW139" si="658">+ET138/EO138-1</f>
        <v>0.16427620506959739</v>
      </c>
      <c r="EU139" s="83">
        <f t="shared" si="658"/>
        <v>0.1690938765595793</v>
      </c>
      <c r="EV139" s="83">
        <f t="shared" si="658"/>
        <v>0.17256343835036247</v>
      </c>
      <c r="EW139" s="83">
        <f t="shared" si="658"/>
        <v>0.17556551936659415</v>
      </c>
      <c r="EX139" s="91">
        <f>+EX138/ES138-1</f>
        <v>0.17556551936659415</v>
      </c>
      <c r="EY139" s="83">
        <f t="shared" ref="EY139" si="659">+EY138/ET138-1</f>
        <v>0.17980854465564988</v>
      </c>
      <c r="EZ139" s="83">
        <f t="shared" ref="EZ139" si="660">+EZ138/EU138-1</f>
        <v>0.18268233933927114</v>
      </c>
      <c r="FA139" s="83">
        <f t="shared" ref="FA139" si="661">+FA138/EV138-1</f>
        <v>0.18461157750025059</v>
      </c>
      <c r="FB139" s="83">
        <f t="shared" ref="FB139" si="662">+FB138/EW138-1</f>
        <v>0.18609551562022775</v>
      </c>
      <c r="FC139" s="91">
        <f>+FC138/EX138-1</f>
        <v>0.18609551562022775</v>
      </c>
      <c r="FD139" s="83">
        <f t="shared" ref="FD139" si="663">+FD138/EY138-1</f>
        <v>0.18680482655069919</v>
      </c>
      <c r="FE139" s="83">
        <f t="shared" ref="FE139" si="664">+FE138/EZ138-1</f>
        <v>0.18688496031753421</v>
      </c>
      <c r="FF139" s="83">
        <f t="shared" ref="FF139" si="665">+FF138/FA138-1</f>
        <v>0.18600981474466183</v>
      </c>
      <c r="FG139" s="83">
        <f t="shared" ref="FG139" si="666">+FG138/FB138-1</f>
        <v>0.18232252702204899</v>
      </c>
      <c r="FH139" s="91">
        <f>+FH138/FC138-1</f>
        <v>0.18232252702204899</v>
      </c>
      <c r="FI139" s="83">
        <f t="shared" ref="FI139:FM139" si="667">+FI138/FH138-1</f>
        <v>0.16447143141960718</v>
      </c>
      <c r="FJ139" s="83">
        <f t="shared" si="667"/>
        <v>0.14265380966420893</v>
      </c>
      <c r="FK139" s="83">
        <f t="shared" si="667"/>
        <v>0.1276683201204265</v>
      </c>
      <c r="FL139" s="83">
        <f t="shared" si="667"/>
        <v>0.11703957677764154</v>
      </c>
      <c r="FM139" s="83">
        <f t="shared" si="667"/>
        <v>0.10932807404857625</v>
      </c>
    </row>
    <row r="140" spans="1:169" x14ac:dyDescent="0.3">
      <c r="A140" s="65" t="s">
        <v>340</v>
      </c>
      <c r="DU140" s="80">
        <f>Inputs!DU390</f>
        <v>0</v>
      </c>
      <c r="DV140" s="77">
        <f>+DV138-DU138</f>
        <v>8.3759159349980905E-2</v>
      </c>
      <c r="DW140" s="77">
        <f>+DW138-DV138</f>
        <v>-0.91409316989745548</v>
      </c>
      <c r="DX140" s="77">
        <f>+DX138-DW138</f>
        <v>8.8109569335927063E-2</v>
      </c>
      <c r="DY140" s="86">
        <f>+SUM(DU140:DX140)</f>
        <v>-0.74222444121154751</v>
      </c>
      <c r="DZ140" s="77">
        <f>+DZ138-DY138</f>
        <v>-0.90963121093749066</v>
      </c>
      <c r="EA140" s="77">
        <f>+EA138-DZ138</f>
        <v>-0.90731406250000646</v>
      </c>
      <c r="EB140" s="77">
        <f>+EB138-EA138</f>
        <v>1.0950624999999974</v>
      </c>
      <c r="EC140" s="77">
        <f>+EC138-EB138</f>
        <v>1.0975000000000108</v>
      </c>
      <c r="ED140" s="86">
        <f>+SUM(DZ140:EC140)</f>
        <v>0.37561722656251106</v>
      </c>
      <c r="EE140" s="77">
        <f>+EE138-ED138</f>
        <v>9.9999999999994316E-2</v>
      </c>
      <c r="EF140" s="77">
        <f>+EF138-EE138</f>
        <v>1</v>
      </c>
      <c r="EG140" s="77">
        <f>+EG138-EF138</f>
        <v>0</v>
      </c>
      <c r="EH140" s="77">
        <f>+EH138-EG138</f>
        <v>1</v>
      </c>
      <c r="EI140" s="86">
        <f>+SUM(EE140:EH140)</f>
        <v>2.0999999999999943</v>
      </c>
      <c r="EJ140" s="77">
        <f>+EJ138-EI138</f>
        <v>3</v>
      </c>
      <c r="EK140" s="77">
        <f>+EK138-EJ138</f>
        <v>4</v>
      </c>
      <c r="EL140" s="77">
        <f>+EL138-EK138</f>
        <v>2</v>
      </c>
      <c r="EM140" s="77">
        <f>+EM138-EL138</f>
        <v>4</v>
      </c>
      <c r="EN140" s="86">
        <f>+SUM(EJ140:EM140)</f>
        <v>13</v>
      </c>
      <c r="EO140" s="77">
        <f>+EO138-EN138</f>
        <v>4</v>
      </c>
      <c r="EP140" s="77">
        <f>+EP138-EO138</f>
        <v>4</v>
      </c>
      <c r="EQ140" s="77">
        <f>+EQ138-EP138</f>
        <v>4</v>
      </c>
      <c r="ER140" s="77">
        <f t="shared" ref="ER140" si="668">+ER138-EQ138</f>
        <v>5.9574982231708589</v>
      </c>
      <c r="ES140" s="86">
        <f>+SUM(EO140:ER140)</f>
        <v>17.957498223170859</v>
      </c>
      <c r="ET140" s="77">
        <f t="shared" ref="ET140:EW140" si="669">+ET138-ES138</f>
        <v>5.4270939750416289</v>
      </c>
      <c r="EU140" s="77">
        <f t="shared" si="669"/>
        <v>5.2448607420561757</v>
      </c>
      <c r="EV140" s="77">
        <f t="shared" si="669"/>
        <v>5.1135402918770012</v>
      </c>
      <c r="EW140" s="77">
        <f t="shared" si="669"/>
        <v>7.3816917008926168</v>
      </c>
      <c r="EX140" s="86">
        <f>+SUM(ET140:EW140)</f>
        <v>23.167186709867423</v>
      </c>
      <c r="EY140" s="77">
        <f t="shared" ref="EY140" si="670">+EY138-EX138</f>
        <v>6.9628308464447457</v>
      </c>
      <c r="EZ140" s="77">
        <f t="shared" ref="EZ140" si="671">+EZ138-EY138</f>
        <v>6.5978192825944006</v>
      </c>
      <c r="FA140" s="77">
        <f t="shared" ref="FA140" si="672">+FA138-EZ138</f>
        <v>6.3327252152634799</v>
      </c>
      <c r="FB140" s="77">
        <f t="shared" ref="FB140" si="673">+FB138-FA138</f>
        <v>8.9746328837365184</v>
      </c>
      <c r="FC140" s="86">
        <f>+SUM(EY140:FB140)</f>
        <v>28.868008228039145</v>
      </c>
      <c r="FD140" s="77">
        <f t="shared" ref="FD140" si="674">+FD138-FC138</f>
        <v>8.3735528896256426</v>
      </c>
      <c r="FE140" s="77">
        <f t="shared" ref="FE140" si="675">+FE138-FD138</f>
        <v>7.8438411606006753</v>
      </c>
      <c r="FF140" s="77">
        <f t="shared" ref="FF140" si="676">+FF138-FE138</f>
        <v>7.363050035195414</v>
      </c>
      <c r="FG140" s="77">
        <f t="shared" ref="FG140" si="677">+FG138-FF138</f>
        <v>9.9655686852983933</v>
      </c>
      <c r="FH140" s="86">
        <f>+SUM(FD140:FG140)</f>
        <v>33.546012770720125</v>
      </c>
      <c r="FI140" s="77">
        <f t="shared" ref="FI140:FM140" si="678">+FI138-FH138</f>
        <v>35.778902353771741</v>
      </c>
      <c r="FJ140" s="77">
        <f t="shared" si="678"/>
        <v>36.136721876962213</v>
      </c>
      <c r="FK140" s="77">
        <f t="shared" si="678"/>
        <v>36.954148083433722</v>
      </c>
      <c r="FL140" s="77">
        <f t="shared" si="678"/>
        <v>38.202710150541805</v>
      </c>
      <c r="FM140" s="77">
        <f t="shared" si="678"/>
        <v>39.862239003952709</v>
      </c>
    </row>
    <row r="141" spans="1:169" x14ac:dyDescent="0.3">
      <c r="A141" s="65" t="s">
        <v>341</v>
      </c>
      <c r="DU141" s="96"/>
      <c r="DV141" s="83">
        <f t="shared" ref="DV141:EQ141" si="679">+DV136/DV106</f>
        <v>2.2250682328501165E-3</v>
      </c>
      <c r="DW141" s="83">
        <f t="shared" si="679"/>
        <v>1.9635583427760057E-3</v>
      </c>
      <c r="DX141" s="83">
        <f t="shared" si="679"/>
        <v>1.9972848870618912E-3</v>
      </c>
      <c r="DY141" s="91">
        <f t="shared" si="679"/>
        <v>8.3387925809951698E-3</v>
      </c>
      <c r="DZ141" s="83">
        <f t="shared" si="679"/>
        <v>1.7787032149557051E-3</v>
      </c>
      <c r="EA141" s="83">
        <f t="shared" si="679"/>
        <v>1.5204841179793705E-3</v>
      </c>
      <c r="EB141" s="83">
        <f t="shared" si="679"/>
        <v>1.7861131029434437E-3</v>
      </c>
      <c r="EC141" s="83">
        <f t="shared" si="679"/>
        <v>1.6142809545593216E-3</v>
      </c>
      <c r="ED141" s="91">
        <f t="shared" si="679"/>
        <v>6.698798011719658E-3</v>
      </c>
      <c r="EE141" s="83">
        <f t="shared" si="679"/>
        <v>1.1773579291877408E-3</v>
      </c>
      <c r="EF141" s="83">
        <f t="shared" si="679"/>
        <v>1.3156809394243157E-3</v>
      </c>
      <c r="EG141" s="83">
        <f t="shared" si="679"/>
        <v>1.0402730375426628E-3</v>
      </c>
      <c r="EH141" s="83">
        <f t="shared" si="679"/>
        <v>1.2568164113217356E-3</v>
      </c>
      <c r="EI141" s="91">
        <f t="shared" si="679"/>
        <v>4.7893080885423921E-3</v>
      </c>
      <c r="EJ141" s="83">
        <f t="shared" si="679"/>
        <v>1.667415175817396E-3</v>
      </c>
      <c r="EK141" s="83">
        <f t="shared" si="679"/>
        <v>1.852367104804002E-3</v>
      </c>
      <c r="EL141" s="83">
        <f t="shared" si="679"/>
        <v>1.3742767363744716E-3</v>
      </c>
      <c r="EM141" s="83">
        <f t="shared" si="679"/>
        <v>1.671117357695012E-3</v>
      </c>
      <c r="EN141" s="91">
        <f t="shared" si="679"/>
        <v>6.5494706341245974E-3</v>
      </c>
      <c r="EO141" s="83">
        <f t="shared" si="679"/>
        <v>1.6647504915270118E-3</v>
      </c>
      <c r="EP141" s="83">
        <f t="shared" si="679"/>
        <v>1.5113973182780511E-3</v>
      </c>
      <c r="EQ141" s="83">
        <f t="shared" si="679"/>
        <v>1.4249666221628832E-3</v>
      </c>
      <c r="ER141" s="376">
        <f>EQ141/EL141*EM141</f>
        <v>1.7327561424888705E-3</v>
      </c>
      <c r="ES141" s="91">
        <f>+ES136/ES106</f>
        <v>6.3373061047238347E-3</v>
      </c>
      <c r="ET141" s="376">
        <f t="shared" ref="ET141:EW141" si="680">EO141</f>
        <v>1.6647504915270118E-3</v>
      </c>
      <c r="EU141" s="376">
        <f t="shared" si="680"/>
        <v>1.5113973182780511E-3</v>
      </c>
      <c r="EV141" s="376">
        <f t="shared" si="680"/>
        <v>1.4249666221628832E-3</v>
      </c>
      <c r="EW141" s="376">
        <f t="shared" si="680"/>
        <v>1.7327561424888705E-3</v>
      </c>
      <c r="EX141" s="91">
        <f>+EX136/EX106</f>
        <v>6.3366719638460207E-3</v>
      </c>
      <c r="EY141" s="376">
        <f t="shared" ref="EY141:FB141" si="681">ET141*1.025</f>
        <v>1.7063692538151869E-3</v>
      </c>
      <c r="EZ141" s="376">
        <f t="shared" si="681"/>
        <v>1.5491822512350023E-3</v>
      </c>
      <c r="FA141" s="376">
        <f t="shared" si="681"/>
        <v>1.4605907877169551E-3</v>
      </c>
      <c r="FB141" s="376">
        <f t="shared" si="681"/>
        <v>1.7760750460510922E-3</v>
      </c>
      <c r="FC141" s="91">
        <f>+FC136/FC106</f>
        <v>6.4946413343048865E-3</v>
      </c>
      <c r="FD141" s="376">
        <f t="shared" ref="FD141" si="682">EY141*1.025</f>
        <v>1.7490284851605664E-3</v>
      </c>
      <c r="FE141" s="376">
        <f t="shared" ref="FE141" si="683">EZ141*1.025</f>
        <v>1.5879118075158771E-3</v>
      </c>
      <c r="FF141" s="376">
        <f t="shared" ref="FF141" si="684">FA141*1.025</f>
        <v>1.497105557409879E-3</v>
      </c>
      <c r="FG141" s="376">
        <f t="shared" ref="FG141" si="685">FB141*1.025</f>
        <v>1.8204769222023693E-3</v>
      </c>
      <c r="FH141" s="91">
        <f>+FH136/FH106</f>
        <v>6.6531060170759333E-3</v>
      </c>
      <c r="FI141" s="376">
        <f>FH141*1.05</f>
        <v>6.9857613179297303E-3</v>
      </c>
      <c r="FJ141" s="376">
        <f>FI141*1.075</f>
        <v>7.50969341677446E-3</v>
      </c>
      <c r="FK141" s="376">
        <f t="shared" ref="FK141:FM141" si="686">FJ141*1.075</f>
        <v>8.0729204230325438E-3</v>
      </c>
      <c r="FL141" s="376">
        <f t="shared" si="686"/>
        <v>8.6783894547599848E-3</v>
      </c>
      <c r="FM141" s="376">
        <f t="shared" si="686"/>
        <v>9.3292686638669839E-3</v>
      </c>
    </row>
    <row r="142" spans="1:169" x14ac:dyDescent="0.3">
      <c r="A142" s="65" t="s">
        <v>342</v>
      </c>
      <c r="DU142" s="1235">
        <f>Inputs!DU420</f>
        <v>2.3300000000000001E-2</v>
      </c>
      <c r="DV142" s="1235">
        <f>Inputs!DV420</f>
        <v>2.3800000000000002E-2</v>
      </c>
      <c r="DW142" s="1235">
        <f>Inputs!DW420</f>
        <v>2.4299999999999999E-2</v>
      </c>
      <c r="DX142" s="1235">
        <f>Inputs!DX420</f>
        <v>2.1499999999999998E-2</v>
      </c>
      <c r="DY142" s="1236">
        <f>+DY137/AVERAGE(DU135:DX135)/-12</f>
        <v>2.3228841259147381E-2</v>
      </c>
      <c r="DZ142" s="1235">
        <f>Inputs!DZ420</f>
        <v>2.2499999999999999E-2</v>
      </c>
      <c r="EA142" s="1235">
        <f>Inputs!EA420</f>
        <v>1.9900000000000001E-2</v>
      </c>
      <c r="EB142" s="1235">
        <f>Inputs!EB420</f>
        <v>1.6199999999999999E-2</v>
      </c>
      <c r="EC142" s="1235">
        <f>Inputs!EC420</f>
        <v>1.43E-2</v>
      </c>
      <c r="ED142" s="1236">
        <f>+ED137/AVERAGE(DZ135:EC135)/-12</f>
        <v>1.8237771236759081E-2</v>
      </c>
      <c r="EE142" s="1235">
        <f>Inputs!EE424</f>
        <v>1.2999999999999999E-2</v>
      </c>
      <c r="EF142" s="1235">
        <f>Inputs!EF424</f>
        <v>1.21E-2</v>
      </c>
      <c r="EG142" s="1235">
        <f>Inputs!EG424</f>
        <v>1.2699999999999999E-2</v>
      </c>
      <c r="EH142" s="1235">
        <f>Inputs!EH424</f>
        <v>1.2800000000000001E-2</v>
      </c>
      <c r="EI142" s="1236">
        <f>+EI137/AVERAGE(EE135:EH135)/-12</f>
        <v>1.2650414677054536E-2</v>
      </c>
      <c r="EJ142" s="1235">
        <f>Inputs!EJ424</f>
        <v>1.24E-2</v>
      </c>
      <c r="EK142" s="1235">
        <f>Inputs!EK424</f>
        <v>1.2699999999999999E-2</v>
      </c>
      <c r="EL142" s="1235">
        <f>Inputs!EL424</f>
        <v>1.34E-2</v>
      </c>
      <c r="EM142" s="1235">
        <f>Inputs!EM424</f>
        <v>1.3100000000000001E-2</v>
      </c>
      <c r="EN142" s="1236">
        <f>+EN137/AVERAGE(EJ135:EM135)/-12</f>
        <v>1.2911111111111111E-2</v>
      </c>
      <c r="EO142" s="1235">
        <f>Inputs!EO424</f>
        <v>1.43E-2</v>
      </c>
      <c r="EP142" s="1235">
        <f>Inputs!EP424</f>
        <v>1.29E-2</v>
      </c>
      <c r="EQ142" s="1235">
        <f>Inputs!EQ424</f>
        <v>1.24E-2</v>
      </c>
      <c r="ER142" s="1186">
        <f t="shared" ref="ER142" si="687">+EM142*1.01</f>
        <v>1.3231000000000001E-2</v>
      </c>
      <c r="ES142" s="1236">
        <f>+ES137/AVERAGE(EO135:ER135)/-12</f>
        <v>1.3192304166666667E-2</v>
      </c>
      <c r="ET142" s="1186">
        <f t="shared" ref="ET142:EW142" si="688">+EO142</f>
        <v>1.43E-2</v>
      </c>
      <c r="EU142" s="1186">
        <f t="shared" si="688"/>
        <v>1.29E-2</v>
      </c>
      <c r="EV142" s="1186">
        <f t="shared" si="688"/>
        <v>1.24E-2</v>
      </c>
      <c r="EW142" s="1186">
        <f t="shared" si="688"/>
        <v>1.3231000000000001E-2</v>
      </c>
      <c r="EX142" s="1236">
        <f>+EX137/AVERAGE(ET135:EW135)/-12</f>
        <v>1.3190020521514438E-2</v>
      </c>
      <c r="EY142" s="1186">
        <f t="shared" ref="EY142:FB142" si="689">+ET142</f>
        <v>1.43E-2</v>
      </c>
      <c r="EZ142" s="1186">
        <f t="shared" si="689"/>
        <v>1.29E-2</v>
      </c>
      <c r="FA142" s="1186">
        <f t="shared" si="689"/>
        <v>1.24E-2</v>
      </c>
      <c r="FB142" s="1186">
        <f t="shared" si="689"/>
        <v>1.3231000000000001E-2</v>
      </c>
      <c r="FC142" s="1236">
        <f>+FC137/AVERAGE(EY135:FB135)/-12</f>
        <v>1.3188634237815784E-2</v>
      </c>
      <c r="FD142" s="1186">
        <f t="shared" ref="FD142:FG142" si="690">+EY142</f>
        <v>1.43E-2</v>
      </c>
      <c r="FE142" s="1186">
        <f t="shared" si="690"/>
        <v>1.29E-2</v>
      </c>
      <c r="FF142" s="1186">
        <f t="shared" si="690"/>
        <v>1.24E-2</v>
      </c>
      <c r="FG142" s="1186">
        <f t="shared" si="690"/>
        <v>1.3231000000000001E-2</v>
      </c>
      <c r="FH142" s="1236">
        <f>+FH137/AVERAGE(FD135:FG135)/-12</f>
        <v>1.3188457177445899E-2</v>
      </c>
      <c r="FI142" s="1186">
        <f t="shared" ref="FI142:FM142" si="691">+FH142</f>
        <v>1.3188457177445899E-2</v>
      </c>
      <c r="FJ142" s="1186">
        <f t="shared" si="691"/>
        <v>1.3188457177445899E-2</v>
      </c>
      <c r="FK142" s="1186">
        <f t="shared" si="691"/>
        <v>1.3188457177445899E-2</v>
      </c>
      <c r="FL142" s="1186">
        <f t="shared" si="691"/>
        <v>1.3188457177445899E-2</v>
      </c>
      <c r="FM142" s="1186">
        <f t="shared" si="691"/>
        <v>1.3188457177445899E-2</v>
      </c>
    </row>
    <row r="143" spans="1:169" x14ac:dyDescent="0.3">
      <c r="A143" s="65" t="s">
        <v>210</v>
      </c>
      <c r="DU143" s="75">
        <f t="shared" ref="DU143:FM143" si="692">+DU138/DU90</f>
        <v>3.079944375260597E-2</v>
      </c>
      <c r="DV143" s="75">
        <f t="shared" si="692"/>
        <v>3.082543170152002E-2</v>
      </c>
      <c r="DW143" s="75">
        <f t="shared" si="692"/>
        <v>3.0541816073255217E-2</v>
      </c>
      <c r="DX143" s="75">
        <f t="shared" si="692"/>
        <v>3.0569153823592148E-2</v>
      </c>
      <c r="DY143" s="84">
        <f t="shared" si="692"/>
        <v>3.0569153823592148E-2</v>
      </c>
      <c r="DZ143" s="75">
        <f t="shared" si="692"/>
        <v>3.0202584023050743E-2</v>
      </c>
      <c r="EA143" s="75">
        <f t="shared" si="692"/>
        <v>2.9847974537037036E-2</v>
      </c>
      <c r="EB143" s="75">
        <f t="shared" si="692"/>
        <v>3.0102339181286547E-2</v>
      </c>
      <c r="EC143" s="75">
        <f t="shared" si="692"/>
        <v>2.9888183741311577E-2</v>
      </c>
      <c r="ED143" s="84">
        <f t="shared" si="692"/>
        <v>2.9888183741311577E-2</v>
      </c>
      <c r="EE143" s="75">
        <f t="shared" si="692"/>
        <v>2.9006738939349547E-2</v>
      </c>
      <c r="EF143" s="75">
        <f t="shared" si="692"/>
        <v>2.8011204481792718E-2</v>
      </c>
      <c r="EG143" s="75">
        <f t="shared" si="692"/>
        <v>2.6631158455392809E-2</v>
      </c>
      <c r="EH143" s="75">
        <f t="shared" si="692"/>
        <v>2.5589054978464656E-2</v>
      </c>
      <c r="EI143" s="84">
        <f t="shared" si="692"/>
        <v>2.5589054978464656E-2</v>
      </c>
      <c r="EJ143" s="75">
        <f t="shared" si="692"/>
        <v>2.5012025012025013E-2</v>
      </c>
      <c r="EK143" s="75">
        <f t="shared" si="692"/>
        <v>2.4329804009912144E-2</v>
      </c>
      <c r="EL143" s="75">
        <f t="shared" si="692"/>
        <v>2.2964509394572025E-2</v>
      </c>
      <c r="EM143" s="75">
        <f t="shared" si="692"/>
        <v>2.2046025913749757E-2</v>
      </c>
      <c r="EN143" s="84">
        <f t="shared" si="692"/>
        <v>2.2046025913749757E-2</v>
      </c>
      <c r="EO143" s="75">
        <f t="shared" si="692"/>
        <v>2.1415607985480943E-2</v>
      </c>
      <c r="EP143" s="75">
        <f t="shared" si="692"/>
        <v>2.0940611053896326E-2</v>
      </c>
      <c r="EQ143" s="75">
        <f t="shared" si="692"/>
        <v>2.0461188697629102E-2</v>
      </c>
      <c r="ER143" s="75">
        <f t="shared" si="692"/>
        <v>2.0329301836877346E-2</v>
      </c>
      <c r="ES143" s="84">
        <f t="shared" si="692"/>
        <v>2.0329301836877346E-2</v>
      </c>
      <c r="ET143" s="75">
        <f t="shared" si="692"/>
        <v>2.0114874406766105E-2</v>
      </c>
      <c r="EU143" s="75">
        <f t="shared" si="692"/>
        <v>1.995934130146497E-2</v>
      </c>
      <c r="EV143" s="75">
        <f t="shared" si="692"/>
        <v>1.9757019688706294E-2</v>
      </c>
      <c r="EW143" s="75">
        <f t="shared" si="692"/>
        <v>1.9859772747796475E-2</v>
      </c>
      <c r="EX143" s="84">
        <f t="shared" si="692"/>
        <v>1.9859772747796475E-2</v>
      </c>
      <c r="EY143" s="75">
        <f t="shared" ref="EY143:FC143" si="693">+EY138/EY90</f>
        <v>1.9888038745948838E-2</v>
      </c>
      <c r="EZ143" s="75">
        <f t="shared" si="693"/>
        <v>1.9925033671400593E-2</v>
      </c>
      <c r="FA143" s="75">
        <f t="shared" si="693"/>
        <v>1.9892937062666618E-2</v>
      </c>
      <c r="FB143" s="75">
        <f t="shared" si="693"/>
        <v>2.0150333277962701E-2</v>
      </c>
      <c r="FC143" s="84">
        <f t="shared" si="693"/>
        <v>2.0150333277962701E-2</v>
      </c>
      <c r="FD143" s="75">
        <f t="shared" si="692"/>
        <v>2.0313225559736331E-2</v>
      </c>
      <c r="FE143" s="75">
        <f t="shared" si="692"/>
        <v>2.0458827632465128E-2</v>
      </c>
      <c r="FF143" s="75">
        <f t="shared" si="692"/>
        <v>2.0757313724649916E-2</v>
      </c>
      <c r="FG143" s="75">
        <f t="shared" si="692"/>
        <v>2.1753870593179757E-2</v>
      </c>
      <c r="FH143" s="84">
        <f t="shared" ref="FH143" si="694">+FH138/FH90</f>
        <v>2.1753870593179757E-2</v>
      </c>
      <c r="FI143" s="75">
        <f t="shared" si="692"/>
        <v>2.5080951315402899E-2</v>
      </c>
      <c r="FJ143" s="75">
        <f t="shared" si="692"/>
        <v>2.8375093634205619E-2</v>
      </c>
      <c r="FK143" s="75">
        <f t="shared" si="692"/>
        <v>3.1680885318558873E-2</v>
      </c>
      <c r="FL143" s="75">
        <f t="shared" si="692"/>
        <v>3.5038418542756432E-2</v>
      </c>
      <c r="FM143" s="75">
        <f t="shared" si="692"/>
        <v>3.8484258772023681E-2</v>
      </c>
    </row>
    <row r="144" spans="1:169" x14ac:dyDescent="0.3">
      <c r="A144" s="65"/>
      <c r="EO144"/>
      <c r="EP144"/>
      <c r="EQ144"/>
      <c r="ER144"/>
    </row>
    <row r="145" spans="1:169" x14ac:dyDescent="0.3">
      <c r="A145" s="64" t="s">
        <v>353</v>
      </c>
      <c r="EA145" s="76"/>
      <c r="EE145" s="74"/>
      <c r="EF145" s="74"/>
      <c r="EG145" s="74"/>
      <c r="EH145" s="74"/>
      <c r="EJ145" s="74"/>
      <c r="EK145" s="74"/>
      <c r="EL145" s="74"/>
      <c r="EM145" s="74"/>
      <c r="EN145" s="92"/>
      <c r="EO145" s="74"/>
      <c r="EP145" s="74"/>
      <c r="EQ145" s="74"/>
      <c r="ER145" s="74"/>
      <c r="ES145" s="74"/>
      <c r="ET145" s="74"/>
      <c r="EU145" s="74"/>
      <c r="EV145" s="74"/>
      <c r="EW145" s="74"/>
      <c r="EX145" s="74"/>
      <c r="EY145" s="74"/>
      <c r="EZ145" s="74"/>
      <c r="FA145" s="74"/>
      <c r="FB145" s="74"/>
      <c r="FC145" s="74"/>
      <c r="FD145" s="74"/>
      <c r="FE145" s="74"/>
      <c r="FF145" s="74"/>
      <c r="FG145" s="74"/>
      <c r="FH145" s="74"/>
      <c r="FI145" s="74"/>
      <c r="FJ145" s="74"/>
      <c r="FK145" s="74"/>
      <c r="FL145" s="74"/>
      <c r="FM145" s="74"/>
    </row>
    <row r="146" spans="1:169" s="90" customFormat="1" x14ac:dyDescent="0.3">
      <c r="A146" s="67" t="s">
        <v>350</v>
      </c>
      <c r="DZ146" s="900"/>
      <c r="EA146" s="1062">
        <f>DZ149</f>
        <v>1311.761</v>
      </c>
      <c r="EB146" s="1062">
        <f t="shared" ref="EB146:ER146" si="695">EA149</f>
        <v>1314.9839999999999</v>
      </c>
      <c r="EC146" s="1062">
        <f t="shared" si="695"/>
        <v>1321.4299999999998</v>
      </c>
      <c r="ED146" s="887"/>
      <c r="EE146" s="1062">
        <f t="shared" si="695"/>
        <v>1327.876</v>
      </c>
      <c r="EF146" s="1062">
        <f t="shared" si="695"/>
        <v>1331.0989999999999</v>
      </c>
      <c r="EG146" s="1062">
        <f t="shared" si="695"/>
        <v>1327.876</v>
      </c>
      <c r="EH146" s="1062">
        <f t="shared" si="695"/>
        <v>1337.5449999999998</v>
      </c>
      <c r="EI146" s="916">
        <f>EE146</f>
        <v>1327.876</v>
      </c>
      <c r="EJ146" s="1062">
        <f t="shared" si="695"/>
        <v>1350.4369999999999</v>
      </c>
      <c r="EK146" s="1062">
        <f t="shared" si="695"/>
        <v>1366.5519999999999</v>
      </c>
      <c r="EL146" s="1062">
        <f t="shared" si="695"/>
        <v>1372.998</v>
      </c>
      <c r="EM146" s="1062">
        <f t="shared" si="695"/>
        <v>1382.6669999999999</v>
      </c>
      <c r="EN146" s="916">
        <f>EJ146</f>
        <v>1350.4369999999999</v>
      </c>
      <c r="EO146" s="1062">
        <f t="shared" si="695"/>
        <v>1392.336</v>
      </c>
      <c r="EP146" s="1062">
        <f t="shared" si="695"/>
        <v>1402.0049999999999</v>
      </c>
      <c r="EQ146" s="1062">
        <f t="shared" si="695"/>
        <v>1398.7819999999999</v>
      </c>
      <c r="ER146" s="1062">
        <f t="shared" si="695"/>
        <v>1414.8969999999999</v>
      </c>
      <c r="ES146" s="916">
        <f>EO146</f>
        <v>1392.336</v>
      </c>
      <c r="ET146" s="1062">
        <f t="shared" ref="ET146:EW146" si="696">ES149</f>
        <v>1434.2350000000001</v>
      </c>
      <c r="EU146" s="1062">
        <f t="shared" si="696"/>
        <v>1437.4580000000001</v>
      </c>
      <c r="EV146" s="1062">
        <f t="shared" si="696"/>
        <v>1440.681</v>
      </c>
      <c r="EW146" s="1062">
        <f t="shared" si="696"/>
        <v>1443.904</v>
      </c>
      <c r="EX146" s="916">
        <f>ET146</f>
        <v>1434.2350000000001</v>
      </c>
      <c r="EY146" s="1062">
        <f t="shared" ref="EY146" si="697">EX149</f>
        <v>1447.127</v>
      </c>
      <c r="EZ146" s="1062">
        <f t="shared" ref="EZ146" si="698">EY149</f>
        <v>1450.3500000000001</v>
      </c>
      <c r="FA146" s="1062">
        <f t="shared" ref="FA146" si="699">EZ149</f>
        <v>1450.3500000000001</v>
      </c>
      <c r="FB146" s="1062">
        <f t="shared" ref="FB146" si="700">FA149</f>
        <v>1450.3500000000001</v>
      </c>
      <c r="FC146" s="916">
        <f>EY146</f>
        <v>1447.127</v>
      </c>
      <c r="FD146" s="1062">
        <f t="shared" ref="FD146" si="701">FC149</f>
        <v>1450.3500000000001</v>
      </c>
      <c r="FE146" s="1062">
        <f t="shared" ref="FE146" si="702">FD149</f>
        <v>1450.3500000000001</v>
      </c>
      <c r="FF146" s="1062">
        <f t="shared" ref="FF146" si="703">FE149</f>
        <v>1450.3500000000001</v>
      </c>
      <c r="FG146" s="1062">
        <f t="shared" ref="FG146" si="704">FF149</f>
        <v>1450.3500000000001</v>
      </c>
      <c r="FH146" s="916">
        <f>FD146</f>
        <v>1450.3500000000001</v>
      </c>
      <c r="FI146" s="1062">
        <f t="shared" ref="FI146:FM146" si="705">FH149</f>
        <v>1450.3500000000001</v>
      </c>
      <c r="FJ146" s="1062">
        <f t="shared" si="705"/>
        <v>1455.1845000000001</v>
      </c>
      <c r="FK146" s="1062">
        <f t="shared" si="705"/>
        <v>1460.019</v>
      </c>
      <c r="FL146" s="1062">
        <f t="shared" si="705"/>
        <v>1464.8534999999999</v>
      </c>
      <c r="FM146" s="1062">
        <f t="shared" si="705"/>
        <v>1469.6880000000001</v>
      </c>
    </row>
    <row r="147" spans="1:169" x14ac:dyDescent="0.3">
      <c r="A147" s="67" t="s">
        <v>351</v>
      </c>
      <c r="DU147" s="134"/>
      <c r="DV147" s="134"/>
      <c r="DW147" s="134"/>
      <c r="DX147" s="134"/>
      <c r="DY147" s="85"/>
      <c r="DZ147" s="134"/>
      <c r="EA147" s="134">
        <f>EA151-EA148</f>
        <v>64.414774379049959</v>
      </c>
      <c r="EB147" s="134">
        <f t="shared" ref="EB147:EC147" si="706">EB151-EB148</f>
        <v>76.934784944416123</v>
      </c>
      <c r="EC147" s="134">
        <f t="shared" si="706"/>
        <v>67.909038738597246</v>
      </c>
      <c r="ED147" s="85"/>
      <c r="EE147" s="134">
        <f t="shared" ref="EE147:EH147" si="707">EE151-EE148</f>
        <v>59.067987779190631</v>
      </c>
      <c r="EF147" s="134">
        <f t="shared" si="707"/>
        <v>56.937350404000043</v>
      </c>
      <c r="EG147" s="134">
        <f t="shared" si="707"/>
        <v>70.966016374467955</v>
      </c>
      <c r="EH147" s="134">
        <f t="shared" si="707"/>
        <v>65.743476396551785</v>
      </c>
      <c r="EI147" s="85">
        <f>+SUM(EE147:EH147)</f>
        <v>252.71483095421041</v>
      </c>
      <c r="EJ147" s="134">
        <f t="shared" ref="EJ147:EM147" si="708">EJ151-EJ148</f>
        <v>64.467974738204589</v>
      </c>
      <c r="EK147" s="134">
        <f t="shared" si="708"/>
        <v>64.613853750134197</v>
      </c>
      <c r="EL147" s="134">
        <f t="shared" si="708"/>
        <v>74.824771066494051</v>
      </c>
      <c r="EM147" s="134">
        <f t="shared" si="708"/>
        <v>64.394307982258155</v>
      </c>
      <c r="EN147" s="85">
        <f>+SUM(EJ147:EM147)</f>
        <v>268.30090753709101</v>
      </c>
      <c r="EO147" s="134">
        <f t="shared" ref="EO147:ER147" si="709">EO151-EO148</f>
        <v>60.441533831616219</v>
      </c>
      <c r="EP147" s="134">
        <f t="shared" si="709"/>
        <v>55.746655774620194</v>
      </c>
      <c r="EQ147" s="134">
        <f t="shared" si="709"/>
        <v>77.162731597180041</v>
      </c>
      <c r="ER147" s="134">
        <f t="shared" si="709"/>
        <v>70.61666175675839</v>
      </c>
      <c r="ES147" s="85">
        <f>+SUM(EO147:ER147)</f>
        <v>263.96758296017487</v>
      </c>
      <c r="ET147" s="134">
        <f t="shared" ref="ET147:EW147" si="710">ET151-ET148</f>
        <v>55.746379052758726</v>
      </c>
      <c r="EU147" s="134">
        <f t="shared" si="710"/>
        <v>63.976196037777584</v>
      </c>
      <c r="EV147" s="134">
        <f t="shared" si="710"/>
        <v>66.409774619438451</v>
      </c>
      <c r="EW147" s="134">
        <f t="shared" si="710"/>
        <v>55.789745774297188</v>
      </c>
      <c r="EX147" s="85">
        <f>+SUM(ET147:EW147)</f>
        <v>241.92209548427195</v>
      </c>
      <c r="EY147" s="134">
        <f t="shared" ref="EY147:FB147" si="711">EY151-EY148</f>
        <v>56.208433106430377</v>
      </c>
      <c r="EZ147" s="134">
        <f t="shared" si="711"/>
        <v>61.302591701498969</v>
      </c>
      <c r="FA147" s="134">
        <f t="shared" si="711"/>
        <v>63.617502578800213</v>
      </c>
      <c r="FB147" s="134">
        <f t="shared" si="711"/>
        <v>52.798975009170732</v>
      </c>
      <c r="FC147" s="85">
        <f>+SUM(EY147:FB147)</f>
        <v>233.92750239590029</v>
      </c>
      <c r="FD147" s="134">
        <f t="shared" ref="FD147:FM147" si="712">FD151-FD148</f>
        <v>53.100297084098663</v>
      </c>
      <c r="FE147" s="134">
        <f t="shared" si="712"/>
        <v>61.302812246679444</v>
      </c>
      <c r="FF147" s="134">
        <f t="shared" si="712"/>
        <v>63.615523758499457</v>
      </c>
      <c r="FG147" s="134">
        <f t="shared" si="712"/>
        <v>52.80114893689381</v>
      </c>
      <c r="FH147" s="85">
        <f>+SUM(FD147:FG147)</f>
        <v>230.81978202617137</v>
      </c>
      <c r="FI147" s="134">
        <f t="shared" si="712"/>
        <v>236.7945148139772</v>
      </c>
      <c r="FJ147" s="134">
        <f t="shared" si="712"/>
        <v>238.64921037453772</v>
      </c>
      <c r="FK147" s="134">
        <f t="shared" si="712"/>
        <v>240.50693783855544</v>
      </c>
      <c r="FL147" s="134">
        <f t="shared" si="712"/>
        <v>241.26772137410865</v>
      </c>
      <c r="FM147" s="134">
        <f t="shared" si="712"/>
        <v>242.02366155890076</v>
      </c>
    </row>
    <row r="148" spans="1:169" x14ac:dyDescent="0.3">
      <c r="A148" s="67" t="s">
        <v>337</v>
      </c>
      <c r="DU148" s="134"/>
      <c r="DV148" s="134"/>
      <c r="DW148" s="134"/>
      <c r="DX148" s="134"/>
      <c r="DY148" s="85"/>
      <c r="DZ148" s="1404"/>
      <c r="EA148" s="1404">
        <f>-EA146*EA153*3</f>
        <v>-61.19177437905001</v>
      </c>
      <c r="EB148" s="1404">
        <f t="shared" ref="EB148:EC148" si="713">-EB146*EB153*3</f>
        <v>-70.48878494441621</v>
      </c>
      <c r="EC148" s="1404">
        <f t="shared" si="713"/>
        <v>-61.463038738597106</v>
      </c>
      <c r="ED148" s="100"/>
      <c r="EE148" s="1404">
        <f t="shared" ref="EE148:EH148" si="714">-EE146*EE153*3</f>
        <v>-55.844987779190674</v>
      </c>
      <c r="EF148" s="1404">
        <f t="shared" si="714"/>
        <v>-60.160350403999999</v>
      </c>
      <c r="EG148" s="1404">
        <f t="shared" si="714"/>
        <v>-61.297016374468086</v>
      </c>
      <c r="EH148" s="1404">
        <f t="shared" si="714"/>
        <v>-52.851476396551725</v>
      </c>
      <c r="EI148" s="100">
        <f>+SUM(EE148:EH148)</f>
        <v>-230.15383095421049</v>
      </c>
      <c r="EJ148" s="1404">
        <f t="shared" ref="EJ148:EM148" si="715">-EJ146*EJ153*3</f>
        <v>-48.35297473820458</v>
      </c>
      <c r="EK148" s="1404">
        <f t="shared" si="715"/>
        <v>-58.167853750134057</v>
      </c>
      <c r="EL148" s="1404">
        <f t="shared" si="715"/>
        <v>-65.155771066494182</v>
      </c>
      <c r="EM148" s="1404">
        <f t="shared" si="715"/>
        <v>-54.725307982258059</v>
      </c>
      <c r="EN148" s="100">
        <f>+SUM(EJ148:EM148)</f>
        <v>-226.40190753709089</v>
      </c>
      <c r="EO148" s="1404">
        <f t="shared" ref="EO148:ER148" si="716">-EO146*EO153*3</f>
        <v>-50.77253383161635</v>
      </c>
      <c r="EP148" s="1404">
        <f t="shared" si="716"/>
        <v>-58.969655774620151</v>
      </c>
      <c r="EQ148" s="1404">
        <f t="shared" si="716"/>
        <v>-61.047731597180032</v>
      </c>
      <c r="ER148" s="1404">
        <f t="shared" si="716"/>
        <v>-51.27866175675819</v>
      </c>
      <c r="ES148" s="100">
        <f>+SUM(EO148:ER148)</f>
        <v>-222.06858296017475</v>
      </c>
      <c r="ET148" s="1404">
        <f t="shared" ref="ET148:EW148" si="717">-ET146*ET153*3</f>
        <v>-52.52337905275877</v>
      </c>
      <c r="EU148" s="1404">
        <f t="shared" si="717"/>
        <v>-60.753196037777627</v>
      </c>
      <c r="EV148" s="1404">
        <f t="shared" si="717"/>
        <v>-63.186774619438495</v>
      </c>
      <c r="EW148" s="1404">
        <f t="shared" si="717"/>
        <v>-52.566745774297232</v>
      </c>
      <c r="EX148" s="100">
        <f>+SUM(ET148:EW148)</f>
        <v>-229.03009548427212</v>
      </c>
      <c r="EY148" s="1404">
        <f t="shared" ref="EY148:FB148" si="718">-EY146*EY153*3</f>
        <v>-52.985433106430193</v>
      </c>
      <c r="EZ148" s="1404">
        <f t="shared" si="718"/>
        <v>-61.302591701498969</v>
      </c>
      <c r="FA148" s="1404">
        <f t="shared" si="718"/>
        <v>-63.617502578800213</v>
      </c>
      <c r="FB148" s="1404">
        <f t="shared" si="718"/>
        <v>-52.798975009170732</v>
      </c>
      <c r="FC148" s="100">
        <f>+SUM(EY148:FB148)</f>
        <v>-230.70450239590011</v>
      </c>
      <c r="FD148" s="1404">
        <f t="shared" ref="FD148:FG148" si="719">-FD146*FD153*3</f>
        <v>-53.100297084098663</v>
      </c>
      <c r="FE148" s="1404">
        <f t="shared" si="719"/>
        <v>-61.302812246679444</v>
      </c>
      <c r="FF148" s="1404">
        <f t="shared" si="719"/>
        <v>-63.615523758499457</v>
      </c>
      <c r="FG148" s="1404">
        <f t="shared" si="719"/>
        <v>-52.80114893689381</v>
      </c>
      <c r="FH148" s="100">
        <f>+SUM(FD148:FG148)</f>
        <v>-230.81978202617137</v>
      </c>
      <c r="FI148" s="1404">
        <f t="shared" ref="FI148:FM148" si="720">-FI146*FI153*12</f>
        <v>-231.96001481397727</v>
      </c>
      <c r="FJ148" s="1404">
        <f t="shared" si="720"/>
        <v>-233.81471037453778</v>
      </c>
      <c r="FK148" s="1404">
        <f t="shared" si="720"/>
        <v>-235.67243783855551</v>
      </c>
      <c r="FL148" s="1404">
        <f t="shared" si="720"/>
        <v>-236.43322137410848</v>
      </c>
      <c r="FM148" s="1404">
        <f t="shared" si="720"/>
        <v>-237.18916155890082</v>
      </c>
    </row>
    <row r="149" spans="1:169" x14ac:dyDescent="0.3">
      <c r="A149" s="64" t="s">
        <v>352</v>
      </c>
      <c r="DU149" s="134"/>
      <c r="DV149" s="134"/>
      <c r="DW149" s="134"/>
      <c r="DX149" s="134"/>
      <c r="DY149" s="85"/>
      <c r="DZ149" s="132">
        <f>DZ154*DZ82</f>
        <v>1311.761</v>
      </c>
      <c r="EA149" s="132">
        <f>EA154*EA82</f>
        <v>1314.9839999999999</v>
      </c>
      <c r="EB149" s="132">
        <f>EB154*EB82</f>
        <v>1321.4299999999998</v>
      </c>
      <c r="EC149" s="132">
        <f>EC154*EC82</f>
        <v>1327.876</v>
      </c>
      <c r="ED149" s="85">
        <f>EC149</f>
        <v>1327.876</v>
      </c>
      <c r="EE149" s="132">
        <f>EE154*EE82</f>
        <v>1331.0989999999999</v>
      </c>
      <c r="EF149" s="132">
        <f>EF154*EF82</f>
        <v>1327.876</v>
      </c>
      <c r="EG149" s="132">
        <f>EG154*EG82</f>
        <v>1337.5449999999998</v>
      </c>
      <c r="EH149" s="132">
        <f>EH154*EH82</f>
        <v>1350.4369999999999</v>
      </c>
      <c r="EI149" s="85">
        <f>EH149</f>
        <v>1350.4369999999999</v>
      </c>
      <c r="EJ149" s="132">
        <f>EJ154*EJ82</f>
        <v>1366.5519999999999</v>
      </c>
      <c r="EK149" s="132">
        <f>EK154*EK82</f>
        <v>1372.998</v>
      </c>
      <c r="EL149" s="132">
        <f>EL154*EL82</f>
        <v>1382.6669999999999</v>
      </c>
      <c r="EM149" s="132">
        <f>EM154*EM82</f>
        <v>1392.336</v>
      </c>
      <c r="EN149" s="85">
        <f>EM149</f>
        <v>1392.336</v>
      </c>
      <c r="EO149" s="132">
        <f>EO154*EO82</f>
        <v>1402.0049999999999</v>
      </c>
      <c r="EP149" s="132">
        <f>EP154*EP82</f>
        <v>1398.7819999999999</v>
      </c>
      <c r="EQ149" s="132">
        <f>EQ154*EQ82</f>
        <v>1414.8969999999999</v>
      </c>
      <c r="ER149" s="132">
        <f>ER154*ER82</f>
        <v>1434.2350000000001</v>
      </c>
      <c r="ES149" s="85">
        <f>ER149</f>
        <v>1434.2350000000001</v>
      </c>
      <c r="ET149" s="132">
        <f t="shared" ref="ET149:EW149" si="721">ET154*ET82</f>
        <v>1437.4580000000001</v>
      </c>
      <c r="EU149" s="132">
        <f t="shared" si="721"/>
        <v>1440.681</v>
      </c>
      <c r="EV149" s="132">
        <f t="shared" si="721"/>
        <v>1443.904</v>
      </c>
      <c r="EW149" s="132">
        <f t="shared" si="721"/>
        <v>1447.127</v>
      </c>
      <c r="EX149" s="85">
        <f>EW149</f>
        <v>1447.127</v>
      </c>
      <c r="EY149" s="132">
        <f t="shared" ref="EY149:FB149" si="722">EY154*EY82</f>
        <v>1450.3500000000001</v>
      </c>
      <c r="EZ149" s="132">
        <f t="shared" si="722"/>
        <v>1450.3500000000001</v>
      </c>
      <c r="FA149" s="132">
        <f t="shared" si="722"/>
        <v>1450.3500000000001</v>
      </c>
      <c r="FB149" s="132">
        <f t="shared" si="722"/>
        <v>1450.3500000000001</v>
      </c>
      <c r="FC149" s="85">
        <f>FB149</f>
        <v>1450.3500000000001</v>
      </c>
      <c r="FD149" s="132">
        <f t="shared" ref="FD149:FM149" si="723">FD154*FD82</f>
        <v>1450.3500000000001</v>
      </c>
      <c r="FE149" s="132">
        <f t="shared" si="723"/>
        <v>1450.3500000000001</v>
      </c>
      <c r="FF149" s="132">
        <f t="shared" si="723"/>
        <v>1450.3500000000001</v>
      </c>
      <c r="FG149" s="132">
        <f t="shared" si="723"/>
        <v>1450.3500000000001</v>
      </c>
      <c r="FH149" s="85">
        <f>FG149</f>
        <v>1450.3500000000001</v>
      </c>
      <c r="FI149" s="132">
        <f t="shared" si="723"/>
        <v>1455.1845000000001</v>
      </c>
      <c r="FJ149" s="132">
        <f t="shared" si="723"/>
        <v>1460.019</v>
      </c>
      <c r="FK149" s="132">
        <f t="shared" si="723"/>
        <v>1464.8534999999999</v>
      </c>
      <c r="FL149" s="132">
        <f t="shared" si="723"/>
        <v>1469.6880000000001</v>
      </c>
      <c r="FM149" s="132">
        <f t="shared" si="723"/>
        <v>1474.5225</v>
      </c>
    </row>
    <row r="150" spans="1:169" x14ac:dyDescent="0.3">
      <c r="A150" s="69" t="s">
        <v>339</v>
      </c>
      <c r="DU150" s="79"/>
      <c r="DZ150" s="83"/>
      <c r="EA150" s="83"/>
      <c r="EB150" s="83"/>
      <c r="EC150" s="83"/>
      <c r="ED150" s="91"/>
      <c r="EE150" s="83">
        <f>EE149/DZ149-1</f>
        <v>1.4742014742014753E-2</v>
      </c>
      <c r="EF150" s="83">
        <f t="shared" ref="EF150:EX150" si="724">EF149/EA149-1</f>
        <v>9.8039215686274161E-3</v>
      </c>
      <c r="EG150" s="83">
        <f t="shared" si="724"/>
        <v>1.2195121951219523E-2</v>
      </c>
      <c r="EH150" s="83">
        <f t="shared" si="724"/>
        <v>1.6990291262135804E-2</v>
      </c>
      <c r="EI150" s="91">
        <f t="shared" si="724"/>
        <v>1.6990291262135804E-2</v>
      </c>
      <c r="EJ150" s="83">
        <f t="shared" si="724"/>
        <v>2.6634382566586012E-2</v>
      </c>
      <c r="EK150" s="83">
        <f t="shared" si="724"/>
        <v>3.398058252427183E-2</v>
      </c>
      <c r="EL150" s="83">
        <f t="shared" si="724"/>
        <v>3.3734939759036298E-2</v>
      </c>
      <c r="EM150" s="83">
        <f t="shared" si="724"/>
        <v>3.1026252983293645E-2</v>
      </c>
      <c r="EN150" s="91">
        <f t="shared" si="724"/>
        <v>3.1026252983293645E-2</v>
      </c>
      <c r="EO150" s="83">
        <f t="shared" si="724"/>
        <v>2.5943396226415061E-2</v>
      </c>
      <c r="EP150" s="83">
        <f t="shared" si="724"/>
        <v>1.8779342723004522E-2</v>
      </c>
      <c r="EQ150" s="83">
        <f t="shared" si="724"/>
        <v>2.3310023310023409E-2</v>
      </c>
      <c r="ER150" s="83">
        <f t="shared" si="724"/>
        <v>3.0092592592592782E-2</v>
      </c>
      <c r="ES150" s="91">
        <f t="shared" si="724"/>
        <v>3.0092592592592782E-2</v>
      </c>
      <c r="ET150" s="83">
        <f t="shared" si="724"/>
        <v>2.5287356321839205E-2</v>
      </c>
      <c r="EU150" s="83">
        <f t="shared" si="724"/>
        <v>2.9953917050691281E-2</v>
      </c>
      <c r="EV150" s="83">
        <f t="shared" si="724"/>
        <v>2.05011389521641E-2</v>
      </c>
      <c r="EW150" s="83">
        <f t="shared" si="724"/>
        <v>8.9887640449437534E-3</v>
      </c>
      <c r="EX150" s="91">
        <f t="shared" si="724"/>
        <v>8.9887640449437534E-3</v>
      </c>
      <c r="EY150" s="83">
        <f t="shared" ref="EY150" si="725">EY149/ET149-1</f>
        <v>8.9686098654708779E-3</v>
      </c>
      <c r="EZ150" s="83">
        <f t="shared" ref="EZ150" si="726">EZ149/EU149-1</f>
        <v>6.7114093959732557E-3</v>
      </c>
      <c r="FA150" s="83">
        <f t="shared" ref="FA150" si="727">FA149/EV149-1</f>
        <v>4.4642857142858094E-3</v>
      </c>
      <c r="FB150" s="83">
        <f t="shared" ref="FB150:FC150" si="728">FB149/EW149-1</f>
        <v>2.2271714922050823E-3</v>
      </c>
      <c r="FC150" s="91">
        <f t="shared" si="728"/>
        <v>2.2271714922050823E-3</v>
      </c>
      <c r="FD150" s="83">
        <f t="shared" ref="FD150" si="729">FD149/EY149-1</f>
        <v>0</v>
      </c>
      <c r="FE150" s="83">
        <f t="shared" ref="FE150" si="730">FE149/EZ149-1</f>
        <v>0</v>
      </c>
      <c r="FF150" s="83">
        <f t="shared" ref="FF150" si="731">FF149/FA149-1</f>
        <v>0</v>
      </c>
      <c r="FG150" s="83">
        <f t="shared" ref="FG150:FH150" si="732">FG149/FB149-1</f>
        <v>0</v>
      </c>
      <c r="FH150" s="91">
        <f t="shared" si="732"/>
        <v>0</v>
      </c>
      <c r="FI150" s="83">
        <f t="shared" ref="FI150:FM150" si="733">FI149/FH149-1</f>
        <v>3.3333333333331883E-3</v>
      </c>
      <c r="FJ150" s="83">
        <f t="shared" si="733"/>
        <v>3.3222591362125353E-3</v>
      </c>
      <c r="FK150" s="83">
        <f t="shared" si="733"/>
        <v>3.3112582781456013E-3</v>
      </c>
      <c r="FL150" s="83">
        <f t="shared" si="733"/>
        <v>3.3003300330034513E-3</v>
      </c>
      <c r="FM150" s="83">
        <f t="shared" si="733"/>
        <v>3.2894736842103978E-3</v>
      </c>
    </row>
    <row r="151" spans="1:169" x14ac:dyDescent="0.3">
      <c r="A151" s="65" t="s">
        <v>340</v>
      </c>
      <c r="DU151" s="134"/>
      <c r="DV151" s="77"/>
      <c r="DW151" s="77"/>
      <c r="DX151" s="77"/>
      <c r="DY151" s="86"/>
      <c r="DZ151" s="77"/>
      <c r="EA151" s="77">
        <f>EA149-EA146</f>
        <v>3.2229999999999563</v>
      </c>
      <c r="EB151" s="77">
        <f t="shared" ref="EB151:ER151" si="734">EB149-EB146</f>
        <v>6.4459999999999127</v>
      </c>
      <c r="EC151" s="77">
        <f t="shared" si="734"/>
        <v>6.4460000000001401</v>
      </c>
      <c r="ED151" s="77"/>
      <c r="EE151" s="77">
        <f t="shared" si="734"/>
        <v>3.2229999999999563</v>
      </c>
      <c r="EF151" s="77">
        <f t="shared" si="734"/>
        <v>-3.2229999999999563</v>
      </c>
      <c r="EG151" s="77">
        <f t="shared" si="734"/>
        <v>9.668999999999869</v>
      </c>
      <c r="EH151" s="77">
        <f t="shared" si="734"/>
        <v>12.892000000000053</v>
      </c>
      <c r="EI151" s="86">
        <f>+SUM(EE151:EH151)</f>
        <v>22.560999999999922</v>
      </c>
      <c r="EJ151" s="77">
        <f t="shared" si="734"/>
        <v>16.115000000000009</v>
      </c>
      <c r="EK151" s="77">
        <f t="shared" si="734"/>
        <v>6.4460000000001401</v>
      </c>
      <c r="EL151" s="77">
        <f t="shared" si="734"/>
        <v>9.668999999999869</v>
      </c>
      <c r="EM151" s="77">
        <f t="shared" si="734"/>
        <v>9.6690000000000964</v>
      </c>
      <c r="EN151" s="86">
        <f>+SUM(EJ151:EM151)</f>
        <v>41.899000000000115</v>
      </c>
      <c r="EO151" s="77">
        <f t="shared" si="734"/>
        <v>9.668999999999869</v>
      </c>
      <c r="EP151" s="77">
        <f t="shared" si="734"/>
        <v>-3.2229999999999563</v>
      </c>
      <c r="EQ151" s="77">
        <f t="shared" si="734"/>
        <v>16.115000000000009</v>
      </c>
      <c r="ER151" s="77">
        <f t="shared" si="734"/>
        <v>19.338000000000193</v>
      </c>
      <c r="ES151" s="86">
        <f>+SUM(EO151:ER151)</f>
        <v>41.899000000000115</v>
      </c>
      <c r="ET151" s="77">
        <f t="shared" ref="ET151:EW151" si="735">ET149-ET146</f>
        <v>3.2229999999999563</v>
      </c>
      <c r="EU151" s="77">
        <f t="shared" si="735"/>
        <v>3.2229999999999563</v>
      </c>
      <c r="EV151" s="77">
        <f t="shared" si="735"/>
        <v>3.2229999999999563</v>
      </c>
      <c r="EW151" s="77">
        <f t="shared" si="735"/>
        <v>3.2229999999999563</v>
      </c>
      <c r="EX151" s="86">
        <f>+SUM(ET151:EW151)</f>
        <v>12.891999999999825</v>
      </c>
      <c r="EY151" s="77">
        <f t="shared" ref="EY151:FB151" si="736">EY149-EY146</f>
        <v>3.2230000000001837</v>
      </c>
      <c r="EZ151" s="77">
        <f t="shared" si="736"/>
        <v>0</v>
      </c>
      <c r="FA151" s="77">
        <f t="shared" si="736"/>
        <v>0</v>
      </c>
      <c r="FB151" s="77">
        <f t="shared" si="736"/>
        <v>0</v>
      </c>
      <c r="FC151" s="86">
        <f>+SUM(EY151:FB151)</f>
        <v>3.2230000000001837</v>
      </c>
      <c r="FD151" s="77">
        <f t="shared" ref="FD151:FM151" si="737">FD149-FD146</f>
        <v>0</v>
      </c>
      <c r="FE151" s="77">
        <f t="shared" si="737"/>
        <v>0</v>
      </c>
      <c r="FF151" s="77">
        <f t="shared" si="737"/>
        <v>0</v>
      </c>
      <c r="FG151" s="77">
        <f t="shared" si="737"/>
        <v>0</v>
      </c>
      <c r="FH151" s="86">
        <f>+SUM(FD151:FG151)</f>
        <v>0</v>
      </c>
      <c r="FI151" s="77">
        <f t="shared" si="737"/>
        <v>4.8344999999999345</v>
      </c>
      <c r="FJ151" s="77">
        <f t="shared" si="737"/>
        <v>4.8344999999999345</v>
      </c>
      <c r="FK151" s="77">
        <f t="shared" si="737"/>
        <v>4.8344999999999345</v>
      </c>
      <c r="FL151" s="77">
        <f t="shared" si="737"/>
        <v>4.8345000000001619</v>
      </c>
      <c r="FM151" s="77">
        <f t="shared" si="737"/>
        <v>4.8344999999999345</v>
      </c>
    </row>
    <row r="152" spans="1:169" x14ac:dyDescent="0.3">
      <c r="A152" s="65" t="s">
        <v>341</v>
      </c>
      <c r="DU152" s="96"/>
      <c r="DV152" s="83"/>
      <c r="DW152" s="83"/>
      <c r="DX152" s="83"/>
      <c r="DY152" s="91"/>
      <c r="DZ152" s="83"/>
      <c r="EA152" s="83">
        <f>EA147/EA104</f>
        <v>1.9985967849534582E-2</v>
      </c>
      <c r="EB152" s="83">
        <f t="shared" ref="EB152:EC152" si="738">EB147/EB104</f>
        <v>2.3870550711888341E-2</v>
      </c>
      <c r="EC152" s="83">
        <f t="shared" si="738"/>
        <v>2.1070133024696631E-2</v>
      </c>
      <c r="ED152" s="91"/>
      <c r="EE152" s="83">
        <f t="shared" ref="EE152:FM152" si="739">EE147/EE104</f>
        <v>1.8327020719575125E-2</v>
      </c>
      <c r="EF152" s="83">
        <f t="shared" si="739"/>
        <v>1.7665948000000015E-2</v>
      </c>
      <c r="EG152" s="83">
        <f t="shared" si="739"/>
        <v>2.2018621276595703E-2</v>
      </c>
      <c r="EH152" s="83">
        <f t="shared" si="739"/>
        <v>2.0398224137931052E-2</v>
      </c>
      <c r="EI152" s="91">
        <f t="shared" si="739"/>
        <v>7.8409814134101891E-2</v>
      </c>
      <c r="EJ152" s="83">
        <f t="shared" si="739"/>
        <v>2.0002474321503129E-2</v>
      </c>
      <c r="EK152" s="83">
        <f t="shared" si="739"/>
        <v>2.0047736193029537E-2</v>
      </c>
      <c r="EL152" s="83">
        <f t="shared" si="739"/>
        <v>2.3215876843466973E-2</v>
      </c>
      <c r="EM152" s="83">
        <f t="shared" si="739"/>
        <v>1.9979617741935511E-2</v>
      </c>
      <c r="EN152" s="91">
        <f t="shared" si="739"/>
        <v>8.3245705099935161E-2</v>
      </c>
      <c r="EO152" s="83">
        <f t="shared" si="739"/>
        <v>1.8753190763765505E-2</v>
      </c>
      <c r="EP152" s="83">
        <f t="shared" si="739"/>
        <v>1.7296511254924044E-2</v>
      </c>
      <c r="EQ152" s="83">
        <f t="shared" si="739"/>
        <v>2.3941275704989152E-2</v>
      </c>
      <c r="ER152" s="83">
        <f t="shared" si="739"/>
        <v>2.1910227042121748E-2</v>
      </c>
      <c r="ES152" s="91">
        <f t="shared" si="739"/>
        <v>8.1901204765800456E-2</v>
      </c>
      <c r="ET152" s="83">
        <f t="shared" si="739"/>
        <v>1.7296425396450116E-2</v>
      </c>
      <c r="EU152" s="83">
        <f t="shared" si="739"/>
        <v>1.9849890176164314E-2</v>
      </c>
      <c r="EV152" s="83">
        <f t="shared" si="739"/>
        <v>2.0604956444132315E-2</v>
      </c>
      <c r="EW152" s="83">
        <f t="shared" si="739"/>
        <v>1.7309880786316224E-2</v>
      </c>
      <c r="EX152" s="91">
        <f t="shared" si="739"/>
        <v>7.5061152803062969E-2</v>
      </c>
      <c r="EY152" s="83">
        <f t="shared" ref="EY152:FC152" si="740">EY147/EY104</f>
        <v>1.7439786877576909E-2</v>
      </c>
      <c r="EZ152" s="83">
        <f t="shared" si="740"/>
        <v>1.9020351132950346E-2</v>
      </c>
      <c r="FA152" s="83">
        <f t="shared" si="740"/>
        <v>1.9738598380018683E-2</v>
      </c>
      <c r="FB152" s="83">
        <f t="shared" si="740"/>
        <v>1.638193453588915E-2</v>
      </c>
      <c r="FC152" s="91">
        <f t="shared" si="740"/>
        <v>7.2580670926435095E-2</v>
      </c>
      <c r="FD152" s="83">
        <f t="shared" si="739"/>
        <v>1.6475425716443892E-2</v>
      </c>
      <c r="FE152" s="83">
        <f t="shared" si="739"/>
        <v>1.9020419561489123E-2</v>
      </c>
      <c r="FF152" s="83">
        <f t="shared" si="739"/>
        <v>1.9737984411572901E-2</v>
      </c>
      <c r="FG152" s="83">
        <f t="shared" si="739"/>
        <v>1.6382609040302143E-2</v>
      </c>
      <c r="FH152" s="91">
        <f t="shared" ref="FH152" si="741">FH147/FH104</f>
        <v>7.1616438729808052E-2</v>
      </c>
      <c r="FI152" s="83">
        <f t="shared" si="739"/>
        <v>7.3470218682586783E-2</v>
      </c>
      <c r="FJ152" s="83">
        <f t="shared" si="739"/>
        <v>7.4045674953316071E-2</v>
      </c>
      <c r="FK152" s="83">
        <f t="shared" si="739"/>
        <v>7.4622071932533493E-2</v>
      </c>
      <c r="FL152" s="83">
        <f t="shared" si="739"/>
        <v>7.4858120190539446E-2</v>
      </c>
      <c r="FM152" s="83">
        <f t="shared" si="739"/>
        <v>7.5092665702420333E-2</v>
      </c>
    </row>
    <row r="153" spans="1:169" x14ac:dyDescent="0.3">
      <c r="A153" s="65" t="s">
        <v>342</v>
      </c>
      <c r="DU153" s="1081"/>
      <c r="DV153" s="1081"/>
      <c r="DW153" s="1081"/>
      <c r="DX153" s="1081"/>
      <c r="DY153" s="91"/>
      <c r="DZ153" s="1081">
        <f t="shared" ref="DZ153:FM153" si="742">DZ175</f>
        <v>1.9634307536271638E-2</v>
      </c>
      <c r="EA153" s="1081">
        <f t="shared" si="742"/>
        <v>1.5549523218292054E-2</v>
      </c>
      <c r="EB153" s="1081">
        <f t="shared" si="742"/>
        <v>1.7868096986836904E-2</v>
      </c>
      <c r="EC153" s="1081">
        <f t="shared" si="742"/>
        <v>1.5504173190810237E-2</v>
      </c>
      <c r="ED153" s="1081">
        <f t="shared" si="742"/>
        <v>1.7131290187765481E-2</v>
      </c>
      <c r="EE153" s="1081">
        <f t="shared" si="742"/>
        <v>1.4018625177649789E-2</v>
      </c>
      <c r="EF153" s="1081">
        <f t="shared" si="742"/>
        <v>1.5065333333333333E-2</v>
      </c>
      <c r="EG153" s="1081">
        <f t="shared" si="742"/>
        <v>1.5387234042553192E-2</v>
      </c>
      <c r="EH153" s="1081">
        <f t="shared" si="742"/>
        <v>1.3171264367816094E-2</v>
      </c>
      <c r="EI153" s="1343">
        <f t="shared" si="742"/>
        <v>1.4404325695069739E-2</v>
      </c>
      <c r="EJ153" s="1081">
        <f t="shared" si="742"/>
        <v>1.1935142658315934E-2</v>
      </c>
      <c r="EK153" s="1081">
        <f t="shared" si="742"/>
        <v>1.4188471849865955E-2</v>
      </c>
      <c r="EL153" s="1081">
        <f t="shared" si="742"/>
        <v>1.5818369987063392E-2</v>
      </c>
      <c r="EM153" s="1081">
        <f t="shared" si="742"/>
        <v>1.3193176178660048E-2</v>
      </c>
      <c r="EN153" s="1343">
        <f t="shared" si="742"/>
        <v>1.3806899950714638E-2</v>
      </c>
      <c r="EO153" s="1081">
        <f t="shared" si="742"/>
        <v>1.2155239786856129E-2</v>
      </c>
      <c r="EP153" s="1081">
        <f t="shared" si="742"/>
        <v>1.4020315137872821E-2</v>
      </c>
      <c r="EQ153" s="1081">
        <f t="shared" si="742"/>
        <v>1.4547830802603036E-2</v>
      </c>
      <c r="ER153" s="1081">
        <f t="shared" si="742"/>
        <v>1.2080658346333853E-2</v>
      </c>
      <c r="ES153" s="1343">
        <f t="shared" si="742"/>
        <v>1.3203595465228812E-2</v>
      </c>
      <c r="ET153" s="1081">
        <f t="shared" si="742"/>
        <v>1.220706022206002E-2</v>
      </c>
      <c r="EU153" s="1081">
        <f t="shared" si="742"/>
        <v>1.4088109249749124E-2</v>
      </c>
      <c r="EV153" s="1081">
        <f t="shared" si="742"/>
        <v>1.4619654320754906E-2</v>
      </c>
      <c r="EW153" s="1081">
        <f t="shared" si="742"/>
        <v>1.2135327966009106E-2</v>
      </c>
      <c r="EX153" s="1343">
        <f t="shared" si="742"/>
        <v>1.3265427698192734E-2</v>
      </c>
      <c r="EY153" s="1081">
        <f t="shared" ref="EY153:FC153" si="743">EY175</f>
        <v>1.2204741557221122E-2</v>
      </c>
      <c r="EZ153" s="1081">
        <f t="shared" si="743"/>
        <v>1.4089148987370625E-2</v>
      </c>
      <c r="FA153" s="1081">
        <f t="shared" si="743"/>
        <v>1.4621183985199024E-2</v>
      </c>
      <c r="FB153" s="1081">
        <f t="shared" si="743"/>
        <v>1.2134766322880852E-2</v>
      </c>
      <c r="FC153" s="1343">
        <f t="shared" si="743"/>
        <v>1.3265737082224111E-2</v>
      </c>
      <c r="FD153" s="1081">
        <f t="shared" si="742"/>
        <v>1.2204019049217696E-2</v>
      </c>
      <c r="FE153" s="1081">
        <f t="shared" si="742"/>
        <v>1.4089199675177126E-2</v>
      </c>
      <c r="FF153" s="1081">
        <f t="shared" si="742"/>
        <v>1.4620729193757702E-2</v>
      </c>
      <c r="FG153" s="1081">
        <f t="shared" si="742"/>
        <v>1.2135265955779365E-2</v>
      </c>
      <c r="FH153" s="1343">
        <f t="shared" ref="FH153" si="744">FH175</f>
        <v>1.3265822718373921E-2</v>
      </c>
      <c r="FI153" s="1081">
        <f t="shared" si="742"/>
        <v>1.3327818274553109E-2</v>
      </c>
      <c r="FJ153" s="1081">
        <f t="shared" si="742"/>
        <v>1.3389751744798098E-2</v>
      </c>
      <c r="FK153" s="1081">
        <f t="shared" si="742"/>
        <v>1.3451448111209255E-2</v>
      </c>
      <c r="FL153" s="1081">
        <f t="shared" si="742"/>
        <v>1.3450333734972389E-2</v>
      </c>
      <c r="FM153" s="1081">
        <f t="shared" si="742"/>
        <v>1.3448952065500798E-2</v>
      </c>
    </row>
    <row r="154" spans="1:169" x14ac:dyDescent="0.3">
      <c r="A154" s="65" t="s">
        <v>210</v>
      </c>
      <c r="DZ154" s="1297">
        <f>Inputs!DZ361</f>
        <v>0.40699999999999997</v>
      </c>
      <c r="EA154" s="1297">
        <f>Inputs!EA361</f>
        <v>0.40799999999999997</v>
      </c>
      <c r="EB154" s="1297">
        <f>Inputs!EB361</f>
        <v>0.41</v>
      </c>
      <c r="EC154" s="1297">
        <f>Inputs!EC361</f>
        <v>0.41199999999999998</v>
      </c>
      <c r="ED154" s="1298">
        <f>EC154</f>
        <v>0.41199999999999998</v>
      </c>
      <c r="EE154" s="1297">
        <f>Inputs!EE361</f>
        <v>0.41299999999999998</v>
      </c>
      <c r="EF154" s="1297">
        <f>Inputs!EF361</f>
        <v>0.41199999999999998</v>
      </c>
      <c r="EG154" s="1297">
        <f>Inputs!EG361</f>
        <v>0.41499999999999998</v>
      </c>
      <c r="EH154" s="1297">
        <f>Inputs!EH361</f>
        <v>0.41899999999999998</v>
      </c>
      <c r="EI154" s="1298">
        <f>EH154</f>
        <v>0.41899999999999998</v>
      </c>
      <c r="EJ154" s="1297">
        <f>Inputs!EJ361</f>
        <v>0.42399999999999999</v>
      </c>
      <c r="EK154" s="1297">
        <f>Inputs!EK361</f>
        <v>0.42599999999999999</v>
      </c>
      <c r="EL154" s="1297">
        <f>Inputs!EL361</f>
        <v>0.42899999999999999</v>
      </c>
      <c r="EM154" s="1297">
        <f>Inputs!EM361</f>
        <v>0.432</v>
      </c>
      <c r="EN154" s="1298">
        <f>EM154</f>
        <v>0.432</v>
      </c>
      <c r="EO154" s="1297">
        <f>Inputs!EO361</f>
        <v>0.435</v>
      </c>
      <c r="EP154" s="1297">
        <f>Inputs!EP361</f>
        <v>0.434</v>
      </c>
      <c r="EQ154" s="1297">
        <f>Inputs!EQ361</f>
        <v>0.439</v>
      </c>
      <c r="ER154" s="1297">
        <f>Inputs!ER361</f>
        <v>0.44500000000000001</v>
      </c>
      <c r="ES154" s="1298">
        <f>ER154</f>
        <v>0.44500000000000001</v>
      </c>
      <c r="ET154" s="1472">
        <f>MIN(0.45,ES154+0.1%)</f>
        <v>0.44600000000000001</v>
      </c>
      <c r="EU154" s="1472">
        <f t="shared" ref="EU154:EW154" si="745">MIN(0.45,ET154+0.1%)</f>
        <v>0.44700000000000001</v>
      </c>
      <c r="EV154" s="1472">
        <f t="shared" si="745"/>
        <v>0.44800000000000001</v>
      </c>
      <c r="EW154" s="1472">
        <f t="shared" si="745"/>
        <v>0.44900000000000001</v>
      </c>
      <c r="EX154" s="1298">
        <f>EW154</f>
        <v>0.44900000000000001</v>
      </c>
      <c r="EY154" s="1472">
        <f>MIN(0.45,EX154+0.1%)</f>
        <v>0.45</v>
      </c>
      <c r="EZ154" s="1472">
        <f t="shared" ref="EZ154" si="746">MIN(0.45,EY154+0.1%)</f>
        <v>0.45</v>
      </c>
      <c r="FA154" s="1472">
        <f t="shared" ref="FA154" si="747">MIN(0.45,EZ154+0.1%)</f>
        <v>0.45</v>
      </c>
      <c r="FB154" s="1472">
        <f t="shared" ref="FB154" si="748">MIN(0.45,FA154+0.1%)</f>
        <v>0.45</v>
      </c>
      <c r="FC154" s="1298">
        <f>FB154</f>
        <v>0.45</v>
      </c>
      <c r="FD154" s="1472">
        <f>MIN(0.45,FC154+0.1%)</f>
        <v>0.45</v>
      </c>
      <c r="FE154" s="1472">
        <f t="shared" ref="FE154" si="749">MIN(0.45,FD154+0.1%)</f>
        <v>0.45</v>
      </c>
      <c r="FF154" s="1472">
        <f t="shared" ref="FF154" si="750">MIN(0.45,FE154+0.1%)</f>
        <v>0.45</v>
      </c>
      <c r="FG154" s="1472">
        <f t="shared" ref="FG154" si="751">MIN(0.45,FF154+0.1%)</f>
        <v>0.45</v>
      </c>
      <c r="FH154" s="1298">
        <f>FG154</f>
        <v>0.45</v>
      </c>
      <c r="FI154" s="1472">
        <f t="shared" ref="FI154:FM154" si="752">MIN(0.5,FH154+0.15%)</f>
        <v>0.45150000000000001</v>
      </c>
      <c r="FJ154" s="1472">
        <f t="shared" si="752"/>
        <v>0.45300000000000001</v>
      </c>
      <c r="FK154" s="1472">
        <f t="shared" si="752"/>
        <v>0.45450000000000002</v>
      </c>
      <c r="FL154" s="1472">
        <f t="shared" si="752"/>
        <v>0.45600000000000002</v>
      </c>
      <c r="FM154" s="1472">
        <f t="shared" si="752"/>
        <v>0.45750000000000002</v>
      </c>
    </row>
    <row r="155" spans="1:169" x14ac:dyDescent="0.3">
      <c r="A155" s="65"/>
      <c r="DZ155" s="1297"/>
      <c r="EA155" s="1297"/>
      <c r="EB155" s="1297"/>
      <c r="EC155" s="1297"/>
      <c r="ED155" s="1298"/>
      <c r="EE155" s="1297"/>
      <c r="EF155" s="1297"/>
      <c r="EG155" s="1297"/>
      <c r="EH155" s="1297"/>
      <c r="EI155" s="1298"/>
      <c r="EJ155" s="1297"/>
      <c r="EK155" s="1297"/>
      <c r="EL155" s="1297"/>
      <c r="EM155" s="1297"/>
      <c r="EN155" s="1298"/>
      <c r="EO155" s="1297"/>
      <c r="EP155" s="1297"/>
      <c r="EQ155" s="74"/>
      <c r="ER155" s="74"/>
      <c r="ES155" s="1298"/>
      <c r="ET155" s="1297"/>
      <c r="EU155" s="1297"/>
      <c r="EV155" s="74"/>
      <c r="EW155" s="74"/>
      <c r="EX155" s="1298"/>
      <c r="EY155" s="1297"/>
      <c r="EZ155" s="1297"/>
      <c r="FA155" s="74"/>
      <c r="FB155" s="74"/>
      <c r="FC155" s="1297"/>
      <c r="FD155" s="1297"/>
      <c r="FE155" s="1297"/>
      <c r="FF155" s="74"/>
      <c r="FG155" s="74"/>
      <c r="FH155" s="1297"/>
      <c r="FI155" s="1297"/>
      <c r="FJ155" s="1297"/>
      <c r="FK155" s="1297"/>
      <c r="FL155" s="1297"/>
      <c r="FM155" s="1297"/>
    </row>
    <row r="156" spans="1:169" x14ac:dyDescent="0.3">
      <c r="A156" s="64" t="s">
        <v>354</v>
      </c>
      <c r="DZ156" s="1297"/>
      <c r="EA156" s="1297"/>
      <c r="EB156" s="1297"/>
      <c r="EC156" s="1297"/>
      <c r="ED156" s="1298"/>
      <c r="EE156" s="1297"/>
      <c r="EF156" s="1297"/>
      <c r="EG156" s="1297"/>
      <c r="EH156" s="1297"/>
      <c r="EI156" s="1298"/>
      <c r="EJ156" s="1297"/>
      <c r="EK156" s="1297"/>
      <c r="EL156" s="1297"/>
      <c r="EM156" s="1297"/>
      <c r="EN156" s="1298"/>
      <c r="EO156" s="1297"/>
      <c r="EP156" s="1297"/>
      <c r="EQ156" s="74"/>
      <c r="ER156" s="74"/>
      <c r="ES156" s="1298"/>
      <c r="ET156" s="1297"/>
      <c r="EU156" s="1297"/>
      <c r="EV156" s="74"/>
      <c r="EW156" s="74"/>
      <c r="EX156" s="1298"/>
      <c r="EY156" s="1297"/>
      <c r="EZ156" s="1297"/>
      <c r="FA156" s="74"/>
      <c r="FB156" s="74"/>
      <c r="FC156" s="1297"/>
      <c r="FD156" s="1297"/>
      <c r="FE156" s="1297"/>
      <c r="FF156" s="74"/>
      <c r="FG156" s="74"/>
      <c r="FH156" s="1297"/>
      <c r="FI156" s="1297"/>
      <c r="FJ156" s="1297"/>
      <c r="FK156" s="1297"/>
      <c r="FL156" s="1297"/>
      <c r="FM156" s="1297"/>
    </row>
    <row r="157" spans="1:169" s="90" customFormat="1" x14ac:dyDescent="0.3">
      <c r="A157" s="67" t="s">
        <v>350</v>
      </c>
      <c r="DZ157" s="1079"/>
      <c r="EA157" s="1405">
        <f>DZ160</f>
        <v>0.85375156250006512</v>
      </c>
      <c r="EB157" s="1405">
        <f t="shared" ref="EB157:EC157" si="753">EA160</f>
        <v>4.7234375000000455</v>
      </c>
      <c r="EC157" s="1405">
        <f t="shared" si="753"/>
        <v>5.3725000000001728</v>
      </c>
      <c r="ED157" s="887">
        <f>EC157</f>
        <v>5.3725000000001728</v>
      </c>
      <c r="EE157" s="1405">
        <f t="shared" ref="EE157:ER157" si="754">ED160</f>
        <v>9.0240000000001146</v>
      </c>
      <c r="EF157" s="1405">
        <f t="shared" si="754"/>
        <v>18.901000000000067</v>
      </c>
      <c r="EG157" s="1405">
        <f t="shared" si="754"/>
        <v>35.124000000000024</v>
      </c>
      <c r="EH157" s="1405">
        <f t="shared" si="754"/>
        <v>54.455000000000155</v>
      </c>
      <c r="EI157" s="887">
        <f>EH157</f>
        <v>54.455000000000155</v>
      </c>
      <c r="EJ157" s="1405">
        <f t="shared" si="754"/>
        <v>86.563000000000102</v>
      </c>
      <c r="EK157" s="1405">
        <f t="shared" si="754"/>
        <v>125.44800000000009</v>
      </c>
      <c r="EL157" s="1405">
        <f t="shared" si="754"/>
        <v>173.00199999999995</v>
      </c>
      <c r="EM157" s="1405">
        <f t="shared" si="754"/>
        <v>229.33300000000008</v>
      </c>
      <c r="EN157" s="887">
        <f>EM157</f>
        <v>229.33300000000008</v>
      </c>
      <c r="EO157" s="1405">
        <f t="shared" si="754"/>
        <v>296.66399999999999</v>
      </c>
      <c r="EP157" s="1405">
        <f t="shared" si="754"/>
        <v>374.99500000000012</v>
      </c>
      <c r="EQ157" s="1405">
        <f t="shared" si="754"/>
        <v>445.21800000000007</v>
      </c>
      <c r="ER157" s="1405">
        <f t="shared" si="754"/>
        <v>508.10300000000007</v>
      </c>
      <c r="ES157" s="887">
        <f>ER157</f>
        <v>508.10300000000007</v>
      </c>
      <c r="ET157" s="1405">
        <f t="shared" ref="ET157:EW157" si="755">ES160</f>
        <v>575.72249822317076</v>
      </c>
      <c r="EU157" s="1405">
        <f t="shared" si="755"/>
        <v>681.07015827442274</v>
      </c>
      <c r="EV157" s="1405">
        <f t="shared" si="755"/>
        <v>759.7773308082883</v>
      </c>
      <c r="EW157" s="1405">
        <f t="shared" si="755"/>
        <v>852.81333143477104</v>
      </c>
      <c r="EX157" s="887">
        <f>EW157</f>
        <v>852.81333143477104</v>
      </c>
      <c r="EY157" s="1405">
        <f t="shared" ref="EY157" si="756">EX160</f>
        <v>953.56082539876707</v>
      </c>
      <c r="EZ157" s="1405">
        <f t="shared" ref="EZ157" si="757">EY160</f>
        <v>1081.0528939755816</v>
      </c>
      <c r="FA157" s="1405">
        <f t="shared" ref="FA157" si="758">EZ160</f>
        <v>1178.2287695601096</v>
      </c>
      <c r="FB157" s="1405">
        <f t="shared" ref="FB157" si="759">FA160</f>
        <v>1290.8059200440127</v>
      </c>
      <c r="FC157" s="887">
        <f>FB157</f>
        <v>1290.8059200440127</v>
      </c>
      <c r="FD157" s="1405">
        <f t="shared" ref="FD157" si="760">FC160</f>
        <v>1411.3799927999396</v>
      </c>
      <c r="FE157" s="1405">
        <f t="shared" ref="FE157" si="761">FD160</f>
        <v>1555.8042329615457</v>
      </c>
      <c r="FF157" s="1405">
        <f t="shared" ref="FF157" si="762">FE160</f>
        <v>1660.1830506821827</v>
      </c>
      <c r="FG157" s="1405">
        <f t="shared" ref="FG157" si="763">FF160</f>
        <v>1779.1066806297283</v>
      </c>
      <c r="FH157" s="887">
        <f>FG157</f>
        <v>1779.1066806297283</v>
      </c>
      <c r="FI157" s="1405">
        <f t="shared" ref="FI157:FM157" si="764">FH160</f>
        <v>1902.0967411532426</v>
      </c>
      <c r="FJ157" s="1405">
        <f t="shared" si="764"/>
        <v>2333.1746300385621</v>
      </c>
      <c r="FK157" s="1405">
        <f t="shared" si="764"/>
        <v>2683.9865174851348</v>
      </c>
      <c r="FL157" s="1405">
        <f t="shared" si="764"/>
        <v>2958.6087592921594</v>
      </c>
      <c r="FM157" s="1405">
        <f t="shared" si="764"/>
        <v>3164.592169779281</v>
      </c>
    </row>
    <row r="158" spans="1:169" x14ac:dyDescent="0.3">
      <c r="A158" s="67" t="s">
        <v>351</v>
      </c>
      <c r="DU158" s="134"/>
      <c r="DV158" s="134"/>
      <c r="DW158" s="134"/>
      <c r="DX158" s="134"/>
      <c r="DY158" s="85"/>
      <c r="DZ158" s="134"/>
      <c r="EA158" s="134">
        <f>EA162-EA159</f>
        <v>0.89357785173130877</v>
      </c>
      <c r="EB158" s="134">
        <f t="shared" ref="EB158:EC158" si="765">EB162-EB159</f>
        <v>4.1228824555837704</v>
      </c>
      <c r="EC158" s="134">
        <f t="shared" si="765"/>
        <v>0.89895101140301936</v>
      </c>
      <c r="ED158" s="85"/>
      <c r="EE158" s="134">
        <f t="shared" ref="EE158:EH158" si="766">EE162-EE159</f>
        <v>10.256512220809293</v>
      </c>
      <c r="EF158" s="134">
        <f t="shared" si="766"/>
        <v>17.077249595999959</v>
      </c>
      <c r="EG158" s="134">
        <f t="shared" si="766"/>
        <v>20.952383625532047</v>
      </c>
      <c r="EH158" s="134">
        <f t="shared" si="766"/>
        <v>34.259723603448229</v>
      </c>
      <c r="EI158" s="85">
        <f>+SUM(EE158:EH158)</f>
        <v>82.545869045789516</v>
      </c>
      <c r="EJ158" s="134">
        <f t="shared" ref="EJ158:EM158" si="767">EJ162-EJ159</f>
        <v>41.984425261795401</v>
      </c>
      <c r="EK158" s="134">
        <f t="shared" si="767"/>
        <v>52.893746249865814</v>
      </c>
      <c r="EL158" s="134">
        <f t="shared" si="767"/>
        <v>64.540828933505949</v>
      </c>
      <c r="EM158" s="134">
        <f t="shared" si="767"/>
        <v>76.407892017741844</v>
      </c>
      <c r="EN158" s="85">
        <f>+SUM(EJ158:EM158)</f>
        <v>235.82689246290903</v>
      </c>
      <c r="EO158" s="134">
        <f t="shared" ref="EO158:ER158" si="768">EO162-EO159</f>
        <v>89.149066168383797</v>
      </c>
      <c r="EP158" s="134">
        <f t="shared" si="768"/>
        <v>85.99564422537982</v>
      </c>
      <c r="EQ158" s="134">
        <f t="shared" si="768"/>
        <v>82.315868402819945</v>
      </c>
      <c r="ER158" s="134">
        <f t="shared" si="768"/>
        <v>86.034154466412502</v>
      </c>
      <c r="ES158" s="85">
        <f>+SUM(EO158:ER158)</f>
        <v>343.49473326299608</v>
      </c>
      <c r="ET158" s="134">
        <f t="shared" ref="ET158:EW158" si="769">ET162-ET159</f>
        <v>126.43129767226725</v>
      </c>
      <c r="EU158" s="134">
        <f t="shared" si="769"/>
        <v>107.49214492340755</v>
      </c>
      <c r="EV158" s="134">
        <f t="shared" si="769"/>
        <v>126.35904643797181</v>
      </c>
      <c r="EW158" s="134">
        <f t="shared" si="769"/>
        <v>131.79500237623333</v>
      </c>
      <c r="EX158" s="85">
        <f>+SUM(ET158:EW158)</f>
        <v>492.07749140987994</v>
      </c>
      <c r="EY158" s="134">
        <f t="shared" ref="EY158:FB158" si="770">EY162-EY159</f>
        <v>162.40595887606173</v>
      </c>
      <c r="EZ158" s="134">
        <f t="shared" si="770"/>
        <v>142.8692214438785</v>
      </c>
      <c r="FA158" s="134">
        <f t="shared" si="770"/>
        <v>164.25844933308218</v>
      </c>
      <c r="FB158" s="134">
        <f t="shared" si="770"/>
        <v>167.56495737970283</v>
      </c>
      <c r="FC158" s="85">
        <f>+SUM(EY158:FB158)</f>
        <v>637.09858703272516</v>
      </c>
      <c r="FD158" s="134">
        <f t="shared" ref="FD158:FM158" si="771">FD162-FD159</f>
        <v>196.09776511505171</v>
      </c>
      <c r="FE158" s="134">
        <f t="shared" si="771"/>
        <v>170.13892720168002</v>
      </c>
      <c r="FF158" s="134">
        <f t="shared" si="771"/>
        <v>191.74289033581772</v>
      </c>
      <c r="FG158" s="134">
        <f t="shared" si="771"/>
        <v>187.75985872295104</v>
      </c>
      <c r="FH158" s="85">
        <f>+SUM(FD158:FG158)</f>
        <v>745.73944137550052</v>
      </c>
      <c r="FI158" s="134">
        <f t="shared" si="771"/>
        <v>735.28748536584067</v>
      </c>
      <c r="FJ158" s="134">
        <f t="shared" si="771"/>
        <v>725.69943632830257</v>
      </c>
      <c r="FK158" s="134">
        <f t="shared" si="771"/>
        <v>707.86430626066294</v>
      </c>
      <c r="FL158" s="134">
        <f t="shared" si="771"/>
        <v>683.5147129314272</v>
      </c>
      <c r="FM158" s="134">
        <f t="shared" si="771"/>
        <v>656.64998503388529</v>
      </c>
    </row>
    <row r="159" spans="1:169" x14ac:dyDescent="0.3">
      <c r="A159" s="67" t="s">
        <v>337</v>
      </c>
      <c r="DU159" s="134"/>
      <c r="DV159" s="134"/>
      <c r="DW159" s="134"/>
      <c r="DX159" s="134"/>
      <c r="DY159" s="85"/>
      <c r="DZ159" s="1404"/>
      <c r="EA159" s="1404">
        <f>-EA157*EA164*3</f>
        <v>-3.982628923124365E-2</v>
      </c>
      <c r="EB159" s="1404">
        <f t="shared" ref="EB159:EC159" si="772">-EB157*EB164*3</f>
        <v>-0.25319651808378973</v>
      </c>
      <c r="EC159" s="1404">
        <f t="shared" si="772"/>
        <v>-0.24988851140289203</v>
      </c>
      <c r="ED159" s="100"/>
      <c r="EE159" s="1404">
        <f t="shared" ref="EE159:EH159" si="773">-EE157*EE164*3</f>
        <v>-0.37951222080933988</v>
      </c>
      <c r="EF159" s="1404">
        <f t="shared" si="773"/>
        <v>-0.85424959600000305</v>
      </c>
      <c r="EG159" s="1404">
        <f t="shared" si="773"/>
        <v>-1.6213836255319158</v>
      </c>
      <c r="EH159" s="1404">
        <f t="shared" si="773"/>
        <v>-2.1517236034482825</v>
      </c>
      <c r="EI159" s="100">
        <f>+SUM(EE159:EH159)</f>
        <v>-5.0068690457895411</v>
      </c>
      <c r="EJ159" s="1404">
        <f t="shared" ref="EJ159:EM159" si="774">-EJ157*EJ164*3</f>
        <v>-3.0994252617954103</v>
      </c>
      <c r="EK159" s="1404">
        <f t="shared" si="774"/>
        <v>-5.3397462498659571</v>
      </c>
      <c r="EL159" s="1404">
        <f t="shared" si="774"/>
        <v>-8.2098289335058219</v>
      </c>
      <c r="EM159" s="1404">
        <f t="shared" si="774"/>
        <v>-9.0768920177419368</v>
      </c>
      <c r="EN159" s="100">
        <f>+SUM(EJ159:EM159)</f>
        <v>-25.725892462909126</v>
      </c>
      <c r="EO159" s="1404">
        <f t="shared" ref="EO159:ER159" si="775">-EO157*EO164*3</f>
        <v>-10.818066168383659</v>
      </c>
      <c r="EP159" s="1404">
        <f t="shared" si="775"/>
        <v>-15.77264422537986</v>
      </c>
      <c r="EQ159" s="1404">
        <f t="shared" si="775"/>
        <v>-19.430868402819957</v>
      </c>
      <c r="ER159" s="1404">
        <f t="shared" si="775"/>
        <v>-18.414656243241811</v>
      </c>
      <c r="ES159" s="100">
        <f>+SUM(EO159:ER159)</f>
        <v>-64.436235039825291</v>
      </c>
      <c r="ET159" s="1404">
        <f t="shared" ref="ET159:EW159" si="776">-ET157*ET164*3</f>
        <v>-21.083637621015264</v>
      </c>
      <c r="EU159" s="1404">
        <f t="shared" si="776"/>
        <v>-28.784972389541984</v>
      </c>
      <c r="EV159" s="1404">
        <f t="shared" si="776"/>
        <v>-33.323045811489067</v>
      </c>
      <c r="EW159" s="1404">
        <f t="shared" si="776"/>
        <v>-31.047508412237306</v>
      </c>
      <c r="EX159" s="100">
        <f>+SUM(ET159:EW159)</f>
        <v>-114.23916423428362</v>
      </c>
      <c r="EY159" s="1404">
        <f t="shared" ref="EY159:FB159" si="777">-EY157*EY164*3</f>
        <v>-34.913890299247221</v>
      </c>
      <c r="EZ159" s="1404">
        <f t="shared" si="777"/>
        <v>-45.693345859350451</v>
      </c>
      <c r="FA159" s="1404">
        <f t="shared" si="777"/>
        <v>-51.681298849179079</v>
      </c>
      <c r="FB159" s="1404">
        <f t="shared" si="777"/>
        <v>-46.990884623775962</v>
      </c>
      <c r="FC159" s="100">
        <f>+SUM(EY159:FB159)</f>
        <v>-179.27941963155271</v>
      </c>
      <c r="FD159" s="1404">
        <f t="shared" ref="FD159:FG159" si="778">-FD157*FD164*3</f>
        <v>-51.673524953445593</v>
      </c>
      <c r="FE159" s="1404">
        <f t="shared" si="778"/>
        <v>-65.760109481043017</v>
      </c>
      <c r="FF159" s="1404">
        <f t="shared" si="778"/>
        <v>-72.819260388272141</v>
      </c>
      <c r="FG159" s="1404">
        <f t="shared" si="778"/>
        <v>-64.769798199436721</v>
      </c>
      <c r="FH159" s="100">
        <f>+SUM(FD159:FG159)</f>
        <v>-255.02269302219747</v>
      </c>
      <c r="FI159" s="1404">
        <f t="shared" ref="FI159:FM159" si="779">-FI157*FI164*12</f>
        <v>-304.20959648052121</v>
      </c>
      <c r="FJ159" s="1404">
        <f t="shared" si="779"/>
        <v>-374.88754888172991</v>
      </c>
      <c r="FK159" s="1404">
        <f t="shared" si="779"/>
        <v>-433.24206445363825</v>
      </c>
      <c r="FL159" s="1404">
        <f t="shared" si="779"/>
        <v>-477.53130244430565</v>
      </c>
      <c r="FM159" s="1404">
        <f t="shared" si="779"/>
        <v>-510.72538077864857</v>
      </c>
    </row>
    <row r="160" spans="1:169" x14ac:dyDescent="0.3">
      <c r="A160" s="64" t="s">
        <v>352</v>
      </c>
      <c r="DU160" s="134"/>
      <c r="DV160" s="134"/>
      <c r="DW160" s="134"/>
      <c r="DX160" s="134"/>
      <c r="DY160" s="85"/>
      <c r="DZ160" s="132">
        <f>DZ171-DZ149</f>
        <v>0.85375156250006512</v>
      </c>
      <c r="EA160" s="132">
        <f t="shared" ref="EA160:EC160" si="780">EA171-EA149</f>
        <v>4.7234375000000455</v>
      </c>
      <c r="EB160" s="132">
        <f t="shared" si="780"/>
        <v>5.3725000000001728</v>
      </c>
      <c r="EC160" s="132">
        <f t="shared" si="780"/>
        <v>9.0240000000001146</v>
      </c>
      <c r="ED160" s="85">
        <f>EC160</f>
        <v>9.0240000000001146</v>
      </c>
      <c r="EE160" s="132">
        <f>EE171-EE149</f>
        <v>18.901000000000067</v>
      </c>
      <c r="EF160" s="132">
        <f t="shared" ref="EF160:EH160" si="781">EF171-EF149</f>
        <v>35.124000000000024</v>
      </c>
      <c r="EG160" s="132">
        <f t="shared" si="781"/>
        <v>54.455000000000155</v>
      </c>
      <c r="EH160" s="132">
        <f t="shared" si="781"/>
        <v>86.563000000000102</v>
      </c>
      <c r="EI160" s="85">
        <f>EH160</f>
        <v>86.563000000000102</v>
      </c>
      <c r="EJ160" s="132">
        <f>EJ171-EJ149</f>
        <v>125.44800000000009</v>
      </c>
      <c r="EK160" s="132">
        <f t="shared" ref="EK160:EM160" si="782">EK171-EK149</f>
        <v>173.00199999999995</v>
      </c>
      <c r="EL160" s="132">
        <f t="shared" si="782"/>
        <v>229.33300000000008</v>
      </c>
      <c r="EM160" s="132">
        <f t="shared" si="782"/>
        <v>296.66399999999999</v>
      </c>
      <c r="EN160" s="85">
        <f>EM160</f>
        <v>296.66399999999999</v>
      </c>
      <c r="EO160" s="132">
        <f>EO171-EO149</f>
        <v>374.99500000000012</v>
      </c>
      <c r="EP160" s="132">
        <f t="shared" ref="EP160:ER160" si="783">EP171-EP149</f>
        <v>445.21800000000007</v>
      </c>
      <c r="EQ160" s="132">
        <f t="shared" si="783"/>
        <v>508.10300000000007</v>
      </c>
      <c r="ER160" s="132">
        <f t="shared" si="783"/>
        <v>575.72249822317076</v>
      </c>
      <c r="ES160" s="85">
        <f>ER160</f>
        <v>575.72249822317076</v>
      </c>
      <c r="ET160" s="132">
        <f>ET171-ET149</f>
        <v>681.07015827442274</v>
      </c>
      <c r="EU160" s="132">
        <f t="shared" ref="EU160:EW160" si="784">EU171-EU149</f>
        <v>759.7773308082883</v>
      </c>
      <c r="EV160" s="132">
        <f t="shared" si="784"/>
        <v>852.81333143477104</v>
      </c>
      <c r="EW160" s="132">
        <f t="shared" si="784"/>
        <v>953.56082539876707</v>
      </c>
      <c r="EX160" s="85">
        <f>EW160</f>
        <v>953.56082539876707</v>
      </c>
      <c r="EY160" s="132">
        <f>EY171-EY149</f>
        <v>1081.0528939755816</v>
      </c>
      <c r="EZ160" s="132">
        <f t="shared" ref="EZ160:FB160" si="785">EZ171-EZ149</f>
        <v>1178.2287695601096</v>
      </c>
      <c r="FA160" s="132">
        <f t="shared" si="785"/>
        <v>1290.8059200440127</v>
      </c>
      <c r="FB160" s="132">
        <f t="shared" si="785"/>
        <v>1411.3799927999396</v>
      </c>
      <c r="FC160" s="85">
        <f>FB160</f>
        <v>1411.3799927999396</v>
      </c>
      <c r="FD160" s="132">
        <f>FD171-FD149</f>
        <v>1555.8042329615457</v>
      </c>
      <c r="FE160" s="132">
        <f t="shared" ref="FE160:FG160" si="786">FE171-FE149</f>
        <v>1660.1830506821827</v>
      </c>
      <c r="FF160" s="132">
        <f t="shared" si="786"/>
        <v>1779.1066806297283</v>
      </c>
      <c r="FG160" s="132">
        <f t="shared" si="786"/>
        <v>1902.0967411532426</v>
      </c>
      <c r="FH160" s="85">
        <f>FG160</f>
        <v>1902.0967411532426</v>
      </c>
      <c r="FI160" s="132">
        <f t="shared" ref="FI160:FM160" si="787">FI171-FI149</f>
        <v>2333.1746300385621</v>
      </c>
      <c r="FJ160" s="132">
        <f t="shared" si="787"/>
        <v>2683.9865174851348</v>
      </c>
      <c r="FK160" s="132">
        <f t="shared" si="787"/>
        <v>2958.6087592921594</v>
      </c>
      <c r="FL160" s="132">
        <f t="shared" si="787"/>
        <v>3164.592169779281</v>
      </c>
      <c r="FM160" s="132">
        <f t="shared" si="787"/>
        <v>3310.5167740345178</v>
      </c>
    </row>
    <row r="161" spans="1:169" x14ac:dyDescent="0.3">
      <c r="A161" s="69" t="s">
        <v>339</v>
      </c>
      <c r="DU161" s="79"/>
      <c r="DZ161" s="83"/>
      <c r="EA161" s="83"/>
      <c r="EB161" s="83"/>
      <c r="EC161" s="83"/>
      <c r="ED161" s="91"/>
      <c r="EE161" s="83">
        <f>EE160/DZ160-1</f>
        <v>21.138758896852533</v>
      </c>
      <c r="EF161" s="83">
        <f t="shared" ref="EF161:EX161" si="788">EF160/EA160-1</f>
        <v>6.4361098246774064</v>
      </c>
      <c r="EG161" s="83">
        <f t="shared" si="788"/>
        <v>9.1358771521635003</v>
      </c>
      <c r="EH161" s="83">
        <f t="shared" si="788"/>
        <v>8.5925310283686844</v>
      </c>
      <c r="EI161" s="91">
        <f t="shared" si="788"/>
        <v>8.5925310283686844</v>
      </c>
      <c r="EJ161" s="83">
        <f t="shared" si="788"/>
        <v>5.637109147664126</v>
      </c>
      <c r="EK161" s="83">
        <f t="shared" si="788"/>
        <v>3.9254640701514587</v>
      </c>
      <c r="EL161" s="83">
        <f t="shared" si="788"/>
        <v>3.2114222752731507</v>
      </c>
      <c r="EM161" s="83">
        <f t="shared" si="788"/>
        <v>2.4271455471737307</v>
      </c>
      <c r="EN161" s="91">
        <f t="shared" si="788"/>
        <v>2.4271455471737307</v>
      </c>
      <c r="EO161" s="83">
        <f t="shared" si="788"/>
        <v>1.9892465403992081</v>
      </c>
      <c r="EP161" s="83">
        <f t="shared" si="788"/>
        <v>1.5734846995988496</v>
      </c>
      <c r="EQ161" s="83">
        <f t="shared" si="788"/>
        <v>1.2155686272799811</v>
      </c>
      <c r="ER161" s="83">
        <f t="shared" si="788"/>
        <v>0.94065507855071995</v>
      </c>
      <c r="ES161" s="91">
        <f t="shared" si="788"/>
        <v>0.94065507855071995</v>
      </c>
      <c r="ET161" s="83">
        <f t="shared" si="788"/>
        <v>0.81621130488252525</v>
      </c>
      <c r="EU161" s="83">
        <f t="shared" si="788"/>
        <v>0.70652878097536087</v>
      </c>
      <c r="EV161" s="83">
        <f t="shared" si="788"/>
        <v>0.67842608966050366</v>
      </c>
      <c r="EW161" s="83">
        <f t="shared" si="788"/>
        <v>0.65628549924955792</v>
      </c>
      <c r="EX161" s="91">
        <f t="shared" si="788"/>
        <v>0.65628549924955792</v>
      </c>
      <c r="EY161" s="83">
        <f t="shared" ref="EY161" si="789">EY160/ET160-1</f>
        <v>0.58728565749315109</v>
      </c>
      <c r="EZ161" s="83">
        <f t="shared" ref="EZ161" si="790">EZ160/EU160-1</f>
        <v>0.5507553618461507</v>
      </c>
      <c r="FA161" s="83">
        <f t="shared" ref="FA161" si="791">FA160/EV160-1</f>
        <v>0.51358553210274516</v>
      </c>
      <c r="FB161" s="83">
        <f t="shared" ref="FB161:FC161" si="792">FB160/EW160-1</f>
        <v>0.48011532689560554</v>
      </c>
      <c r="FC161" s="91">
        <f t="shared" si="792"/>
        <v>0.48011532689560554</v>
      </c>
      <c r="FD161" s="83">
        <f t="shared" ref="FD161" si="793">FD160/EY160-1</f>
        <v>0.43915643871972065</v>
      </c>
      <c r="FE161" s="83">
        <f t="shared" ref="FE161" si="794">FE160/EZ160-1</f>
        <v>0.40904983274344087</v>
      </c>
      <c r="FF161" s="83">
        <f t="shared" ref="FF161" si="795">FF160/FA160-1</f>
        <v>0.37829138602731693</v>
      </c>
      <c r="FG161" s="83">
        <f t="shared" ref="FG161:FH161" si="796">FG160/FB160-1</f>
        <v>0.34768577623082497</v>
      </c>
      <c r="FH161" s="91">
        <f t="shared" si="796"/>
        <v>0.34768577623082497</v>
      </c>
      <c r="FI161" s="83">
        <f t="shared" ref="FI161:FM161" si="797">FI160/FH160-1</f>
        <v>0.22663299902609402</v>
      </c>
      <c r="FJ161" s="83">
        <f t="shared" si="797"/>
        <v>0.15035817847923982</v>
      </c>
      <c r="FK161" s="83">
        <f t="shared" si="797"/>
        <v>0.10231878588732357</v>
      </c>
      <c r="FL161" s="83">
        <f t="shared" si="797"/>
        <v>6.9621713192116186E-2</v>
      </c>
      <c r="FM161" s="83">
        <f t="shared" si="797"/>
        <v>4.6111661922431768E-2</v>
      </c>
    </row>
    <row r="162" spans="1:169" x14ac:dyDescent="0.3">
      <c r="A162" s="65" t="s">
        <v>340</v>
      </c>
      <c r="DU162" s="134"/>
      <c r="DV162" s="77"/>
      <c r="DW162" s="77"/>
      <c r="DX162" s="77"/>
      <c r="DY162" s="86"/>
      <c r="DZ162" s="77"/>
      <c r="EA162" s="77">
        <f>EA157-DZ157</f>
        <v>0.85375156250006512</v>
      </c>
      <c r="EB162" s="77">
        <f>EB157-EA157</f>
        <v>3.8696859374999804</v>
      </c>
      <c r="EC162" s="77">
        <f>EC157-EB157</f>
        <v>0.64906250000012733</v>
      </c>
      <c r="ED162" s="77"/>
      <c r="EE162" s="77">
        <f>EE160-EE157</f>
        <v>9.8769999999999527</v>
      </c>
      <c r="EF162" s="77">
        <f t="shared" ref="EF162:EH162" si="798">EF160-EF157</f>
        <v>16.222999999999956</v>
      </c>
      <c r="EG162" s="77">
        <f t="shared" si="798"/>
        <v>19.331000000000131</v>
      </c>
      <c r="EH162" s="77">
        <f t="shared" si="798"/>
        <v>32.107999999999947</v>
      </c>
      <c r="EI162" s="86">
        <f>+SUM(EE162:EH162)</f>
        <v>77.538999999999987</v>
      </c>
      <c r="EJ162" s="77">
        <f>EJ160-EJ157</f>
        <v>38.884999999999991</v>
      </c>
      <c r="EK162" s="77">
        <f t="shared" ref="EK162:EM162" si="799">EK160-EK157</f>
        <v>47.55399999999986</v>
      </c>
      <c r="EL162" s="77">
        <f t="shared" si="799"/>
        <v>56.331000000000131</v>
      </c>
      <c r="EM162" s="77">
        <f t="shared" si="799"/>
        <v>67.330999999999904</v>
      </c>
      <c r="EN162" s="86">
        <f>+SUM(EJ162:EM162)</f>
        <v>210.10099999999989</v>
      </c>
      <c r="EO162" s="77">
        <f>EO160-EO157</f>
        <v>78.331000000000131</v>
      </c>
      <c r="EP162" s="77">
        <f t="shared" ref="EP162:ER162" si="800">EP160-EP157</f>
        <v>70.222999999999956</v>
      </c>
      <c r="EQ162" s="77">
        <f t="shared" si="800"/>
        <v>62.884999999999991</v>
      </c>
      <c r="ER162" s="77">
        <f t="shared" si="800"/>
        <v>67.619498223170694</v>
      </c>
      <c r="ES162" s="86">
        <f>+SUM(EO162:ER162)</f>
        <v>279.05849822317077</v>
      </c>
      <c r="ET162" s="77">
        <f>ET160-ET157</f>
        <v>105.34766005125198</v>
      </c>
      <c r="EU162" s="77">
        <f t="shared" ref="EU162:FM162" si="801">EU160-EU157</f>
        <v>78.70717253386556</v>
      </c>
      <c r="EV162" s="77">
        <f t="shared" si="801"/>
        <v>93.036000626482746</v>
      </c>
      <c r="EW162" s="77">
        <f t="shared" si="801"/>
        <v>100.74749396399602</v>
      </c>
      <c r="EX162" s="86">
        <f>+SUM(ET162:EW162)</f>
        <v>377.83832717559631</v>
      </c>
      <c r="EY162" s="77">
        <f>EY160-EY157</f>
        <v>127.49206857681452</v>
      </c>
      <c r="EZ162" s="77">
        <f t="shared" ref="EZ162:FB162" si="802">EZ160-EZ157</f>
        <v>97.175875584528058</v>
      </c>
      <c r="FA162" s="77">
        <f t="shared" si="802"/>
        <v>112.5771504839031</v>
      </c>
      <c r="FB162" s="77">
        <f t="shared" si="802"/>
        <v>120.57407275592686</v>
      </c>
      <c r="FC162" s="86">
        <f>+SUM(EY162:FB162)</f>
        <v>457.81916740117254</v>
      </c>
      <c r="FD162" s="77">
        <f>FD160-FD157</f>
        <v>144.42424016160612</v>
      </c>
      <c r="FE162" s="77">
        <f t="shared" ref="FE162:FG162" si="803">FE160-FE157</f>
        <v>104.37881772063702</v>
      </c>
      <c r="FF162" s="77">
        <f t="shared" si="803"/>
        <v>118.92362994754558</v>
      </c>
      <c r="FG162" s="77">
        <f t="shared" si="803"/>
        <v>122.99006052351433</v>
      </c>
      <c r="FH162" s="86">
        <f>+SUM(FD162:FG162)</f>
        <v>490.71674835330305</v>
      </c>
      <c r="FI162" s="77">
        <f t="shared" si="801"/>
        <v>431.07788888531945</v>
      </c>
      <c r="FJ162" s="77">
        <f t="shared" si="801"/>
        <v>350.81188744657265</v>
      </c>
      <c r="FK162" s="77">
        <f t="shared" si="801"/>
        <v>274.62224180702469</v>
      </c>
      <c r="FL162" s="77">
        <f t="shared" si="801"/>
        <v>205.98341048712155</v>
      </c>
      <c r="FM162" s="77">
        <f t="shared" si="801"/>
        <v>145.92460425523677</v>
      </c>
    </row>
    <row r="163" spans="1:169" x14ac:dyDescent="0.3">
      <c r="A163" s="65" t="s">
        <v>341</v>
      </c>
      <c r="DU163" s="96"/>
      <c r="DV163" s="83"/>
      <c r="DW163" s="83"/>
      <c r="DX163" s="83"/>
      <c r="DY163" s="91"/>
      <c r="DZ163" s="83"/>
      <c r="EA163" s="83">
        <f>EA158/EA105</f>
        <v>6.8736757825485287E-2</v>
      </c>
      <c r="EB163" s="83">
        <f t="shared" ref="EB163:EC163" si="804">EB158/EB105</f>
        <v>0.19176197467831491</v>
      </c>
      <c r="EC163" s="83">
        <f t="shared" si="804"/>
        <v>1.6052696632196776E-2</v>
      </c>
      <c r="ED163" s="91"/>
      <c r="EE163" s="83">
        <f t="shared" ref="EE163:FM163" si="805">EE158/EE105</f>
        <v>7.4322552324705027E-2</v>
      </c>
      <c r="EF163" s="83">
        <f t="shared" si="805"/>
        <v>6.3602419351955153E-2</v>
      </c>
      <c r="EG163" s="83">
        <f t="shared" si="805"/>
        <v>4.7673227816910232E-2</v>
      </c>
      <c r="EH163" s="83">
        <f t="shared" si="805"/>
        <v>5.4553700005490813E-2</v>
      </c>
      <c r="EI163" s="91">
        <f t="shared" si="805"/>
        <v>0.22400507203742068</v>
      </c>
      <c r="EJ163" s="83">
        <f t="shared" si="805"/>
        <v>5.0614135336703316E-2</v>
      </c>
      <c r="EK163" s="83">
        <f t="shared" si="805"/>
        <v>4.9180610181186253E-2</v>
      </c>
      <c r="EL163" s="83">
        <f t="shared" si="805"/>
        <v>4.638219829932156E-2</v>
      </c>
      <c r="EM163" s="83">
        <f t="shared" si="805"/>
        <v>4.347532973982466E-2</v>
      </c>
      <c r="EN163" s="91">
        <f t="shared" si="805"/>
        <v>0.18664573997855879</v>
      </c>
      <c r="EO163" s="83">
        <f t="shared" si="805"/>
        <v>4.2101093822141111E-2</v>
      </c>
      <c r="EP163" s="83">
        <f t="shared" si="805"/>
        <v>3.5172042627967207E-2</v>
      </c>
      <c r="EQ163" s="83">
        <f t="shared" si="805"/>
        <v>2.9727652005352094E-2</v>
      </c>
      <c r="ER163" s="83">
        <f t="shared" si="805"/>
        <v>2.7739530700116879E-2</v>
      </c>
      <c r="ES163" s="91">
        <f t="shared" si="805"/>
        <v>0.13169547906182155</v>
      </c>
      <c r="ET163" s="83">
        <f t="shared" si="805"/>
        <v>3.6780013868295929E-2</v>
      </c>
      <c r="EU163" s="83">
        <f t="shared" si="805"/>
        <v>2.8550370497585006E-2</v>
      </c>
      <c r="EV163" s="83">
        <f t="shared" si="805"/>
        <v>3.0902187928092885E-2</v>
      </c>
      <c r="EW163" s="83">
        <f t="shared" si="805"/>
        <v>2.9807758085770287E-2</v>
      </c>
      <c r="EX163" s="91">
        <f t="shared" si="805"/>
        <v>0.12526633778651561</v>
      </c>
      <c r="EY163" s="83">
        <f t="shared" ref="EY163:FC163" si="806">EY158/EY105</f>
        <v>3.4136827929808038E-2</v>
      </c>
      <c r="EZ163" s="83">
        <f t="shared" si="806"/>
        <v>2.8096208740192429E-2</v>
      </c>
      <c r="FA163" s="83">
        <f t="shared" si="806"/>
        <v>3.0367618660211163E-2</v>
      </c>
      <c r="FB163" s="83">
        <f t="shared" si="806"/>
        <v>2.9184874576278469E-2</v>
      </c>
      <c r="FC163" s="91">
        <f t="shared" si="806"/>
        <v>0.12139257600775977</v>
      </c>
      <c r="FD163" s="83">
        <f t="shared" si="805"/>
        <v>3.2266189241472926E-2</v>
      </c>
      <c r="FE163" s="83">
        <f t="shared" si="805"/>
        <v>2.6563454676296647E-2</v>
      </c>
      <c r="FF163" s="83">
        <f t="shared" si="805"/>
        <v>2.8747060020362477E-2</v>
      </c>
      <c r="FG163" s="83">
        <f t="shared" si="805"/>
        <v>2.7705453552154497E-2</v>
      </c>
      <c r="FH163" s="91">
        <f t="shared" ref="FH163" si="807">FH158/FH105</f>
        <v>0.1150410831486146</v>
      </c>
      <c r="FI163" s="83">
        <f t="shared" si="805"/>
        <v>0.1077028688099957</v>
      </c>
      <c r="FJ163" s="83">
        <f t="shared" si="805"/>
        <v>0.10475632426247601</v>
      </c>
      <c r="FK163" s="83">
        <f t="shared" si="805"/>
        <v>0.10070618903538452</v>
      </c>
      <c r="FL163" s="83">
        <f t="shared" si="805"/>
        <v>9.5844115829254103E-2</v>
      </c>
      <c r="FM163" s="83">
        <f t="shared" si="805"/>
        <v>9.0759309552044809E-2</v>
      </c>
    </row>
    <row r="164" spans="1:169" x14ac:dyDescent="0.3">
      <c r="A164" s="65" t="s">
        <v>342</v>
      </c>
      <c r="DU164" s="1081"/>
      <c r="DV164" s="1081"/>
      <c r="DW164" s="1081"/>
      <c r="DX164" s="1081"/>
      <c r="DY164" s="91"/>
      <c r="DZ164" s="1081">
        <f t="shared" ref="DZ164:FM164" si="808">DZ153</f>
        <v>1.9634307536271638E-2</v>
      </c>
      <c r="EA164" s="1081">
        <f t="shared" si="808"/>
        <v>1.5549523218292054E-2</v>
      </c>
      <c r="EB164" s="1081">
        <f t="shared" si="808"/>
        <v>1.7868096986836904E-2</v>
      </c>
      <c r="EC164" s="1081">
        <f t="shared" si="808"/>
        <v>1.5504173190810237E-2</v>
      </c>
      <c r="ED164" s="1081">
        <f t="shared" si="808"/>
        <v>1.7131290187765481E-2</v>
      </c>
      <c r="EE164" s="1081">
        <f t="shared" si="808"/>
        <v>1.4018625177649789E-2</v>
      </c>
      <c r="EF164" s="1081">
        <f t="shared" si="808"/>
        <v>1.5065333333333333E-2</v>
      </c>
      <c r="EG164" s="1081">
        <f t="shared" si="808"/>
        <v>1.5387234042553192E-2</v>
      </c>
      <c r="EH164" s="1081">
        <f t="shared" si="808"/>
        <v>1.3171264367816094E-2</v>
      </c>
      <c r="EI164" s="1343">
        <f t="shared" si="808"/>
        <v>1.4404325695069739E-2</v>
      </c>
      <c r="EJ164" s="1081">
        <f t="shared" si="808"/>
        <v>1.1935142658315934E-2</v>
      </c>
      <c r="EK164" s="1081">
        <f t="shared" si="808"/>
        <v>1.4188471849865955E-2</v>
      </c>
      <c r="EL164" s="1081">
        <f t="shared" si="808"/>
        <v>1.5818369987063392E-2</v>
      </c>
      <c r="EM164" s="1081">
        <f t="shared" si="808"/>
        <v>1.3193176178660048E-2</v>
      </c>
      <c r="EN164" s="1081">
        <f t="shared" si="808"/>
        <v>1.3806899950714638E-2</v>
      </c>
      <c r="EO164" s="1081">
        <f t="shared" si="808"/>
        <v>1.2155239786856129E-2</v>
      </c>
      <c r="EP164" s="1081">
        <f t="shared" si="808"/>
        <v>1.4020315137872821E-2</v>
      </c>
      <c r="EQ164" s="1081">
        <f t="shared" si="808"/>
        <v>1.4547830802603036E-2</v>
      </c>
      <c r="ER164" s="1081">
        <f t="shared" si="808"/>
        <v>1.2080658346333853E-2</v>
      </c>
      <c r="ES164" s="1343">
        <f t="shared" si="808"/>
        <v>1.3203595465228812E-2</v>
      </c>
      <c r="ET164" s="1081">
        <f t="shared" si="808"/>
        <v>1.220706022206002E-2</v>
      </c>
      <c r="EU164" s="1081">
        <f t="shared" si="808"/>
        <v>1.4088109249749124E-2</v>
      </c>
      <c r="EV164" s="1081">
        <f t="shared" si="808"/>
        <v>1.4619654320754906E-2</v>
      </c>
      <c r="EW164" s="1081">
        <f t="shared" si="808"/>
        <v>1.2135327966009106E-2</v>
      </c>
      <c r="EX164" s="1343">
        <f t="shared" si="808"/>
        <v>1.3265427698192734E-2</v>
      </c>
      <c r="EY164" s="1081">
        <f t="shared" ref="EY164:FC164" si="809">EY153</f>
        <v>1.2204741557221122E-2</v>
      </c>
      <c r="EZ164" s="1081">
        <f t="shared" si="809"/>
        <v>1.4089148987370625E-2</v>
      </c>
      <c r="FA164" s="1081">
        <f t="shared" si="809"/>
        <v>1.4621183985199024E-2</v>
      </c>
      <c r="FB164" s="1081">
        <f t="shared" si="809"/>
        <v>1.2134766322880852E-2</v>
      </c>
      <c r="FC164" s="1343">
        <f t="shared" si="809"/>
        <v>1.3265737082224111E-2</v>
      </c>
      <c r="FD164" s="1081">
        <f t="shared" si="808"/>
        <v>1.2204019049217696E-2</v>
      </c>
      <c r="FE164" s="1081">
        <f t="shared" si="808"/>
        <v>1.4089199675177126E-2</v>
      </c>
      <c r="FF164" s="1081">
        <f t="shared" si="808"/>
        <v>1.4620729193757702E-2</v>
      </c>
      <c r="FG164" s="1081">
        <f t="shared" si="808"/>
        <v>1.2135265955779365E-2</v>
      </c>
      <c r="FH164" s="1343">
        <f t="shared" ref="FH164" si="810">FH153</f>
        <v>1.3265822718373921E-2</v>
      </c>
      <c r="FI164" s="1081">
        <f t="shared" si="808"/>
        <v>1.3327818274553109E-2</v>
      </c>
      <c r="FJ164" s="1081">
        <f t="shared" si="808"/>
        <v>1.3389751744798098E-2</v>
      </c>
      <c r="FK164" s="1081">
        <f t="shared" si="808"/>
        <v>1.3451448111209255E-2</v>
      </c>
      <c r="FL164" s="1081">
        <f t="shared" si="808"/>
        <v>1.3450333734972389E-2</v>
      </c>
      <c r="FM164" s="1081">
        <f t="shared" si="808"/>
        <v>1.3448952065500798E-2</v>
      </c>
    </row>
    <row r="165" spans="1:169" x14ac:dyDescent="0.3">
      <c r="A165" s="65" t="s">
        <v>210</v>
      </c>
      <c r="DU165" s="1081"/>
      <c r="DV165" s="1081"/>
      <c r="DW165" s="1081"/>
      <c r="DX165" s="1081"/>
      <c r="DY165" s="91"/>
      <c r="DZ165" s="1081">
        <f>DZ160/DZ86</f>
        <v>9.4861284722229461E-2</v>
      </c>
      <c r="EA165" s="1081">
        <f t="shared" ref="EA165:FM165" si="811">EA160/EA86</f>
        <v>0.277849264705885</v>
      </c>
      <c r="EB165" s="1081">
        <f t="shared" si="811"/>
        <v>0.20663461538462202</v>
      </c>
      <c r="EC165" s="1081">
        <f t="shared" si="811"/>
        <v>0.10493023255814087</v>
      </c>
      <c r="ED165" s="1081">
        <f t="shared" si="811"/>
        <v>0.10493023255814087</v>
      </c>
      <c r="EE165" s="1081">
        <f t="shared" si="811"/>
        <v>9.9478947368421403E-2</v>
      </c>
      <c r="EF165" s="1081">
        <f t="shared" si="811"/>
        <v>0.10122190201729113</v>
      </c>
      <c r="EG165" s="1081">
        <f t="shared" si="811"/>
        <v>0.10235902255639127</v>
      </c>
      <c r="EH165" s="1081">
        <f t="shared" si="811"/>
        <v>0.11956215469613274</v>
      </c>
      <c r="EI165" s="1081">
        <f t="shared" si="811"/>
        <v>0.11956215469613274</v>
      </c>
      <c r="EJ165" s="1081">
        <f t="shared" si="811"/>
        <v>0.13416898395721935</v>
      </c>
      <c r="EK165" s="1081">
        <f t="shared" si="811"/>
        <v>0.14227138157894734</v>
      </c>
      <c r="EL165" s="1081">
        <f t="shared" si="811"/>
        <v>0.14635162731333765</v>
      </c>
      <c r="EM165" s="1081">
        <f t="shared" si="811"/>
        <v>0.15229158110882957</v>
      </c>
      <c r="EN165" s="1081">
        <f t="shared" si="811"/>
        <v>0.15229158110882957</v>
      </c>
      <c r="EO165" s="1081">
        <f t="shared" si="811"/>
        <v>0.16396808045474426</v>
      </c>
      <c r="EP165" s="1081">
        <f t="shared" si="811"/>
        <v>0.17104033807145605</v>
      </c>
      <c r="EQ165" s="1081">
        <f t="shared" si="811"/>
        <v>0.17311856899488928</v>
      </c>
      <c r="ER165" s="1081">
        <f t="shared" si="811"/>
        <v>0.17616967509888945</v>
      </c>
      <c r="ES165" s="1343">
        <f t="shared" si="811"/>
        <v>0.17616967509888945</v>
      </c>
      <c r="ET165" s="1081">
        <f t="shared" si="811"/>
        <v>0.18881900700704818</v>
      </c>
      <c r="EU165" s="1081">
        <f t="shared" si="811"/>
        <v>0.19367252888307118</v>
      </c>
      <c r="EV165" s="1081">
        <f t="shared" si="811"/>
        <v>0.2004261648495349</v>
      </c>
      <c r="EW165" s="1081">
        <f t="shared" si="811"/>
        <v>0.20783801774166674</v>
      </c>
      <c r="EX165" s="1343">
        <f t="shared" si="811"/>
        <v>0.20783801774166674</v>
      </c>
      <c r="EY165" s="1081">
        <f t="shared" ref="EY165:FC165" si="812">EY160/EY86</f>
        <v>0.21941402353878253</v>
      </c>
      <c r="EZ165" s="1081">
        <f t="shared" si="812"/>
        <v>0.22472415974825666</v>
      </c>
      <c r="FA165" s="1081">
        <f t="shared" si="812"/>
        <v>0.23153469417829825</v>
      </c>
      <c r="FB165" s="1081">
        <f t="shared" si="812"/>
        <v>0.238893025186178</v>
      </c>
      <c r="FC165" s="1343">
        <f t="shared" si="812"/>
        <v>0.238893025186178</v>
      </c>
      <c r="FD165" s="1081">
        <f t="shared" si="811"/>
        <v>0.24904822041964875</v>
      </c>
      <c r="FE165" s="1081">
        <f t="shared" si="811"/>
        <v>0.25296100117052917</v>
      </c>
      <c r="FF165" s="1081">
        <f t="shared" si="811"/>
        <v>0.26252127499331979</v>
      </c>
      <c r="FG165" s="1081">
        <f t="shared" si="811"/>
        <v>0.28066943207219164</v>
      </c>
      <c r="FH165" s="1343">
        <f t="shared" ref="FH165" si="813">FH160/FH86</f>
        <v>0.28066943207219164</v>
      </c>
      <c r="FI165" s="1081">
        <f t="shared" si="811"/>
        <v>0.33927215792330406</v>
      </c>
      <c r="FJ165" s="1081">
        <f t="shared" si="811"/>
        <v>0.3846354997829084</v>
      </c>
      <c r="FK165" s="1081">
        <f t="shared" si="811"/>
        <v>0.41788200289154387</v>
      </c>
      <c r="FL165" s="1081">
        <f t="shared" si="811"/>
        <v>0.4405644581852301</v>
      </c>
      <c r="FM165" s="1081">
        <f t="shared" si="811"/>
        <v>0.45429821828040107</v>
      </c>
    </row>
    <row r="166" spans="1:169" x14ac:dyDescent="0.3">
      <c r="A166" s="65"/>
      <c r="DU166" s="1081"/>
      <c r="DV166" s="1081"/>
      <c r="DW166" s="1081"/>
      <c r="DX166" s="1081"/>
      <c r="DY166" s="91"/>
      <c r="DZ166" s="1081"/>
      <c r="EA166" s="1081"/>
      <c r="EB166" s="1081"/>
      <c r="EC166" s="1081"/>
      <c r="ED166" s="1081"/>
      <c r="EE166" s="1081"/>
      <c r="EF166" s="1081"/>
      <c r="EG166" s="1081"/>
      <c r="EH166" s="1081"/>
      <c r="EI166" s="1343"/>
      <c r="EJ166" s="1081"/>
      <c r="EK166" s="1081"/>
      <c r="EL166" s="1081"/>
      <c r="EM166" s="1081"/>
      <c r="EN166" s="1081"/>
      <c r="EO166" s="1081"/>
      <c r="EP166" s="1081"/>
      <c r="EQ166" s="1081"/>
      <c r="ER166" s="1081"/>
      <c r="ES166" s="91"/>
      <c r="ET166" s="1081"/>
      <c r="EU166" s="1081"/>
      <c r="EV166" s="1081"/>
      <c r="EW166" s="1081"/>
      <c r="EX166" s="1081"/>
      <c r="EY166" s="1081"/>
      <c r="EZ166" s="1081"/>
      <c r="FA166" s="1081"/>
      <c r="FB166" s="1081"/>
      <c r="FC166" s="1081"/>
      <c r="FD166" s="1081"/>
      <c r="FE166" s="1081"/>
      <c r="FF166" s="1081"/>
      <c r="FG166" s="1081"/>
      <c r="FH166" s="1081"/>
      <c r="FI166" s="1081"/>
      <c r="FJ166" s="1081"/>
      <c r="FK166" s="1081"/>
      <c r="FL166" s="1081"/>
      <c r="FM166" s="1081"/>
    </row>
    <row r="167" spans="1:169" x14ac:dyDescent="0.3">
      <c r="A167" s="68" t="s">
        <v>355</v>
      </c>
      <c r="EO167"/>
      <c r="EP167"/>
      <c r="EQ167"/>
      <c r="ER167"/>
    </row>
    <row r="168" spans="1:169" x14ac:dyDescent="0.3">
      <c r="A168" s="67" t="s">
        <v>350</v>
      </c>
      <c r="DU168" s="134">
        <f t="shared" ref="DU168:DX171" si="814">DU112+DU135</f>
        <v>1317.266607214649</v>
      </c>
      <c r="DV168" s="134">
        <f t="shared" si="814"/>
        <v>1310.266607214649</v>
      </c>
      <c r="DW168" s="134">
        <f t="shared" si="814"/>
        <v>1300.3503663739991</v>
      </c>
      <c r="DX168" s="134">
        <f t="shared" si="814"/>
        <v>1299.4362732041016</v>
      </c>
      <c r="DY168" s="85">
        <f>+DU168</f>
        <v>1317.266607214649</v>
      </c>
      <c r="DZ168" s="134">
        <f t="shared" ref="DZ168:EC171" si="815">DZ112+DZ135</f>
        <v>1303.5243827734375</v>
      </c>
      <c r="EA168" s="134">
        <f t="shared" si="815"/>
        <v>1312.6147515625</v>
      </c>
      <c r="EB168" s="134">
        <f t="shared" si="815"/>
        <v>1319.7074375</v>
      </c>
      <c r="EC168" s="134">
        <f t="shared" si="815"/>
        <v>1326.8025</v>
      </c>
      <c r="ED168" s="85">
        <f>+DZ168</f>
        <v>1303.5243827734375</v>
      </c>
      <c r="EE168" s="134">
        <f t="shared" ref="EE168:EH171" si="816">EE112+EE135</f>
        <v>1336.9</v>
      </c>
      <c r="EF168" s="134">
        <f t="shared" si="816"/>
        <v>1350</v>
      </c>
      <c r="EG168" s="134">
        <f t="shared" si="816"/>
        <v>1363</v>
      </c>
      <c r="EH168" s="134">
        <f t="shared" si="816"/>
        <v>1392</v>
      </c>
      <c r="EI168" s="85">
        <f>+EE168</f>
        <v>1336.9</v>
      </c>
      <c r="EJ168" s="134">
        <f t="shared" ref="EJ168:EM171" si="817">EJ112+EJ135</f>
        <v>1437</v>
      </c>
      <c r="EK168" s="134">
        <f t="shared" si="817"/>
        <v>1492</v>
      </c>
      <c r="EL168" s="134">
        <f t="shared" si="817"/>
        <v>1546</v>
      </c>
      <c r="EM168" s="134">
        <f t="shared" si="817"/>
        <v>1612</v>
      </c>
      <c r="EN168" s="85">
        <f>+EJ168</f>
        <v>1437</v>
      </c>
      <c r="EO168" s="134">
        <f t="shared" ref="EO168:ER171" si="818">EO112+EO135</f>
        <v>1689</v>
      </c>
      <c r="EP168" s="134">
        <f t="shared" si="818"/>
        <v>1777</v>
      </c>
      <c r="EQ168" s="134">
        <f t="shared" si="818"/>
        <v>1844</v>
      </c>
      <c r="ER168" s="134">
        <f t="shared" si="818"/>
        <v>1923</v>
      </c>
      <c r="ES168" s="85">
        <f>+EO168</f>
        <v>1689</v>
      </c>
      <c r="ET168" s="134">
        <f t="shared" ref="ET168:EW171" si="819">ET112+ET135</f>
        <v>2009.9574982231709</v>
      </c>
      <c r="EU168" s="134">
        <f t="shared" si="819"/>
        <v>2118.5281582744228</v>
      </c>
      <c r="EV168" s="134">
        <f t="shared" si="819"/>
        <v>2200.4583308082883</v>
      </c>
      <c r="EW168" s="134">
        <f t="shared" si="819"/>
        <v>2296.717331434771</v>
      </c>
      <c r="EX168" s="85">
        <f>+ET168</f>
        <v>2009.9574982231709</v>
      </c>
      <c r="EY168" s="134">
        <f t="shared" ref="EY168:FB168" si="820">EY112+EY135</f>
        <v>2400.687825398767</v>
      </c>
      <c r="EZ168" s="134">
        <f t="shared" si="820"/>
        <v>2531.4028939755817</v>
      </c>
      <c r="FA168" s="134">
        <f t="shared" si="820"/>
        <v>2628.5787695601098</v>
      </c>
      <c r="FB168" s="134">
        <f t="shared" si="820"/>
        <v>2741.1559200440129</v>
      </c>
      <c r="FC168" s="85">
        <f>+EY168</f>
        <v>2400.687825398767</v>
      </c>
      <c r="FD168" s="134">
        <f t="shared" ref="FD168:FM171" si="821">FD112+FD135</f>
        <v>2861.7299927999397</v>
      </c>
      <c r="FE168" s="134">
        <f t="shared" si="821"/>
        <v>3006.1542329615459</v>
      </c>
      <c r="FF168" s="134">
        <f t="shared" si="821"/>
        <v>3110.5330506821829</v>
      </c>
      <c r="FG168" s="134">
        <f t="shared" si="821"/>
        <v>3229.4566806297285</v>
      </c>
      <c r="FH168" s="85">
        <f>+FD168</f>
        <v>2861.7299927999397</v>
      </c>
      <c r="FI168" s="134">
        <f t="shared" si="821"/>
        <v>3352.4467411532428</v>
      </c>
      <c r="FJ168" s="134">
        <f t="shared" si="821"/>
        <v>3788.3591300385619</v>
      </c>
      <c r="FK168" s="134">
        <f t="shared" si="821"/>
        <v>4144.005517485135</v>
      </c>
      <c r="FL168" s="134">
        <f t="shared" si="821"/>
        <v>4423.4622592921596</v>
      </c>
      <c r="FM168" s="134">
        <f t="shared" si="821"/>
        <v>4634.2801697792811</v>
      </c>
    </row>
    <row r="169" spans="1:169" x14ac:dyDescent="0.3">
      <c r="A169" s="67" t="s">
        <v>351</v>
      </c>
      <c r="DU169" s="134">
        <f t="shared" si="814"/>
        <v>99.692935844304046</v>
      </c>
      <c r="DV169" s="134">
        <f t="shared" si="814"/>
        <v>97.442194914475934</v>
      </c>
      <c r="DW169" s="134">
        <f t="shared" si="814"/>
        <v>101.44774853876716</v>
      </c>
      <c r="DX169" s="134">
        <f t="shared" si="814"/>
        <v>90.063549191000376</v>
      </c>
      <c r="DY169" s="85">
        <f>+SUM(DU169:DX169)</f>
        <v>388.64642848854754</v>
      </c>
      <c r="DZ169" s="134">
        <f t="shared" si="815"/>
        <v>85.871764626269623</v>
      </c>
      <c r="EA169" s="134">
        <f t="shared" si="815"/>
        <v>68.324286605781239</v>
      </c>
      <c r="EB169" s="134">
        <f t="shared" si="815"/>
        <v>77.837043962499919</v>
      </c>
      <c r="EC169" s="134">
        <f t="shared" si="815"/>
        <v>71.810427250000018</v>
      </c>
      <c r="ED169" s="85">
        <f>+SUM(DZ169:EC169)</f>
        <v>303.84352244455084</v>
      </c>
      <c r="EE169" s="134">
        <f t="shared" si="816"/>
        <v>69.324500000000086</v>
      </c>
      <c r="EF169" s="134">
        <f t="shared" si="816"/>
        <v>74.014600000000073</v>
      </c>
      <c r="EG169" s="134">
        <f t="shared" si="816"/>
        <v>91.918400000000076</v>
      </c>
      <c r="EH169" s="134">
        <f t="shared" si="816"/>
        <v>100.00319999999996</v>
      </c>
      <c r="EI169" s="85">
        <f>+SUM(EE169:EH169)</f>
        <v>335.26070000000016</v>
      </c>
      <c r="EJ169" s="134">
        <f t="shared" si="817"/>
        <v>106.45240000000011</v>
      </c>
      <c r="EK169" s="134">
        <f t="shared" si="817"/>
        <v>117.50760000000002</v>
      </c>
      <c r="EL169" s="134">
        <f t="shared" si="817"/>
        <v>139.36559999999989</v>
      </c>
      <c r="EM169" s="134">
        <f t="shared" si="817"/>
        <v>140.8022</v>
      </c>
      <c r="EN169" s="85">
        <f>+SUM(EJ169:EM169)</f>
        <v>504.12779999999998</v>
      </c>
      <c r="EO169" s="134">
        <f t="shared" si="818"/>
        <v>149.59060000000005</v>
      </c>
      <c r="EP169" s="134">
        <f t="shared" si="818"/>
        <v>141.7423</v>
      </c>
      <c r="EQ169" s="134">
        <f t="shared" si="818"/>
        <v>159.4786</v>
      </c>
      <c r="ER169" s="134">
        <f t="shared" si="818"/>
        <v>156.65081622317086</v>
      </c>
      <c r="ES169" s="85">
        <f>+SUM(EO169:ER169)</f>
        <v>607.46231622317089</v>
      </c>
      <c r="ET169" s="134">
        <f t="shared" si="819"/>
        <v>182.17767672502578</v>
      </c>
      <c r="EU169" s="134">
        <f t="shared" si="819"/>
        <v>171.46834096118562</v>
      </c>
      <c r="EV169" s="134">
        <f t="shared" si="819"/>
        <v>192.76882105740987</v>
      </c>
      <c r="EW169" s="134">
        <f t="shared" si="819"/>
        <v>187.58474815053043</v>
      </c>
      <c r="EX169" s="85">
        <f>+SUM(ET169:EW169)</f>
        <v>733.99958689415166</v>
      </c>
      <c r="EY169" s="134">
        <f t="shared" ref="EY169:FB169" si="822">EY113+EY136</f>
        <v>218.61439198249232</v>
      </c>
      <c r="EZ169" s="134">
        <f t="shared" si="822"/>
        <v>204.17181314537757</v>
      </c>
      <c r="FA169" s="134">
        <f t="shared" si="822"/>
        <v>227.87595191188251</v>
      </c>
      <c r="FB169" s="134">
        <f t="shared" si="822"/>
        <v>220.36393238887351</v>
      </c>
      <c r="FC169" s="85">
        <f>+SUM(EY169:FB169)</f>
        <v>871.02608942862594</v>
      </c>
      <c r="FD169" s="134">
        <f t="shared" si="821"/>
        <v>249.1980621991504</v>
      </c>
      <c r="FE169" s="134">
        <f t="shared" si="821"/>
        <v>231.44173944835921</v>
      </c>
      <c r="FF169" s="134">
        <f t="shared" si="821"/>
        <v>255.3584140943174</v>
      </c>
      <c r="FG169" s="134">
        <f t="shared" si="821"/>
        <v>240.56100765984485</v>
      </c>
      <c r="FH169" s="85">
        <f>+SUM(FD169:FG169)</f>
        <v>976.55922340167194</v>
      </c>
      <c r="FI169" s="134">
        <f t="shared" si="821"/>
        <v>972.0820001798179</v>
      </c>
      <c r="FJ169" s="134">
        <f t="shared" si="821"/>
        <v>964.34864670284014</v>
      </c>
      <c r="FK169" s="134">
        <f t="shared" si="821"/>
        <v>948.37124409921944</v>
      </c>
      <c r="FL169" s="134">
        <f t="shared" si="821"/>
        <v>924.78243430553562</v>
      </c>
      <c r="FM169" s="134">
        <f t="shared" si="821"/>
        <v>898.6736465927861</v>
      </c>
    </row>
    <row r="170" spans="1:169" x14ac:dyDescent="0.3">
      <c r="A170" s="67" t="s">
        <v>337</v>
      </c>
      <c r="DU170" s="134">
        <f t="shared" si="814"/>
        <v>-106.69293584430397</v>
      </c>
      <c r="DV170" s="134">
        <f t="shared" si="814"/>
        <v>-107.35843575512595</v>
      </c>
      <c r="DW170" s="134">
        <f t="shared" si="814"/>
        <v>-102.36184170866451</v>
      </c>
      <c r="DX170" s="134">
        <f t="shared" si="814"/>
        <v>-85.975439621664549</v>
      </c>
      <c r="DY170" s="85">
        <f>+SUM(DU170:DX170)</f>
        <v>-402.38865292975902</v>
      </c>
      <c r="DZ170" s="134">
        <f t="shared" si="815"/>
        <v>-76.781395837207029</v>
      </c>
      <c r="EA170" s="134">
        <f t="shared" si="815"/>
        <v>-61.231600668281246</v>
      </c>
      <c r="EB170" s="134">
        <f t="shared" si="815"/>
        <v>-70.741981462500007</v>
      </c>
      <c r="EC170" s="134">
        <f t="shared" si="815"/>
        <v>-61.71292725</v>
      </c>
      <c r="ED170" s="85">
        <f>+SUM(DZ170:EC170)</f>
        <v>-270.46790521798829</v>
      </c>
      <c r="EE170" s="134">
        <f t="shared" si="816"/>
        <v>-56.224500000000006</v>
      </c>
      <c r="EF170" s="134">
        <f t="shared" si="816"/>
        <v>-61.014600000000002</v>
      </c>
      <c r="EG170" s="134">
        <f t="shared" si="816"/>
        <v>-62.918400000000005</v>
      </c>
      <c r="EH170" s="134">
        <f t="shared" si="816"/>
        <v>-55.003200000000007</v>
      </c>
      <c r="EI170" s="85">
        <f>+SUM(EE170:EH170)</f>
        <v>-235.16070000000002</v>
      </c>
      <c r="EJ170" s="134">
        <f t="shared" si="817"/>
        <v>-51.452399999999997</v>
      </c>
      <c r="EK170" s="134">
        <f t="shared" si="817"/>
        <v>-63.507600000000011</v>
      </c>
      <c r="EL170" s="134">
        <f t="shared" si="817"/>
        <v>-73.365600000000001</v>
      </c>
      <c r="EM170" s="134">
        <f t="shared" si="817"/>
        <v>-63.802199999999999</v>
      </c>
      <c r="EN170" s="85">
        <f>+SUM(EJ170:EM170)</f>
        <v>-252.12780000000001</v>
      </c>
      <c r="EO170" s="134">
        <f t="shared" si="818"/>
        <v>-61.590600000000002</v>
      </c>
      <c r="EP170" s="134">
        <f t="shared" si="818"/>
        <v>-74.7423</v>
      </c>
      <c r="EQ170" s="134">
        <f t="shared" si="818"/>
        <v>-80.478599999999986</v>
      </c>
      <c r="ER170" s="134">
        <f t="shared" si="818"/>
        <v>-69.693318000000005</v>
      </c>
      <c r="ES170" s="85">
        <f>+SUM(EO170:ER170)</f>
        <v>-286.504818</v>
      </c>
      <c r="ET170" s="134">
        <f t="shared" si="819"/>
        <v>-73.607016673774027</v>
      </c>
      <c r="EU170" s="134">
        <f t="shared" si="819"/>
        <v>-89.538168427319619</v>
      </c>
      <c r="EV170" s="134">
        <f t="shared" si="819"/>
        <v>-96.509820430927562</v>
      </c>
      <c r="EW170" s="134">
        <f t="shared" si="819"/>
        <v>-83.614254186534538</v>
      </c>
      <c r="EX170" s="85">
        <f>+SUM(ET170:EW170)</f>
        <v>-343.26925971855576</v>
      </c>
      <c r="EY170" s="134">
        <f t="shared" ref="EY170:FB170" si="823">EY114+EY137</f>
        <v>-87.899323405677407</v>
      </c>
      <c r="EZ170" s="134">
        <f t="shared" si="823"/>
        <v>-106.99593756084941</v>
      </c>
      <c r="FA170" s="134">
        <f t="shared" si="823"/>
        <v>-115.29880142797931</v>
      </c>
      <c r="FB170" s="134">
        <f t="shared" si="823"/>
        <v>-99.789859632946687</v>
      </c>
      <c r="FC170" s="85">
        <f>+SUM(EY170:FB170)</f>
        <v>-409.98392202745282</v>
      </c>
      <c r="FD170" s="134">
        <f t="shared" si="821"/>
        <v>-104.77382203754425</v>
      </c>
      <c r="FE170" s="134">
        <f t="shared" si="821"/>
        <v>-127.06292172772247</v>
      </c>
      <c r="FF170" s="134">
        <f t="shared" si="821"/>
        <v>-136.43478414677159</v>
      </c>
      <c r="FG170" s="134">
        <f t="shared" si="821"/>
        <v>-117.57094713633052</v>
      </c>
      <c r="FH170" s="85">
        <f>+SUM(FD170:FG170)</f>
        <v>-485.84247504836884</v>
      </c>
      <c r="FI170" s="134">
        <f t="shared" si="821"/>
        <v>-536.16961129449851</v>
      </c>
      <c r="FJ170" s="134">
        <f t="shared" si="821"/>
        <v>-608.70225925626767</v>
      </c>
      <c r="FK170" s="134">
        <f t="shared" si="821"/>
        <v>-668.91450229219379</v>
      </c>
      <c r="FL170" s="134">
        <f t="shared" si="821"/>
        <v>-713.96452381841414</v>
      </c>
      <c r="FM170" s="134">
        <f t="shared" si="821"/>
        <v>-747.91454233754939</v>
      </c>
    </row>
    <row r="171" spans="1:169" x14ac:dyDescent="0.3">
      <c r="A171" s="64" t="s">
        <v>352</v>
      </c>
      <c r="DU171" s="1082">
        <f t="shared" si="814"/>
        <v>1310.266607214649</v>
      </c>
      <c r="DV171" s="1082">
        <f t="shared" si="814"/>
        <v>1300.3503663739991</v>
      </c>
      <c r="DW171" s="1082">
        <f t="shared" si="814"/>
        <v>1299.4362732041016</v>
      </c>
      <c r="DX171" s="1082">
        <f t="shared" si="814"/>
        <v>1303.5243827734375</v>
      </c>
      <c r="DY171" s="803">
        <f>+DX171</f>
        <v>1303.5243827734375</v>
      </c>
      <c r="DZ171" s="1082">
        <f t="shared" si="815"/>
        <v>1312.6147515625</v>
      </c>
      <c r="EA171" s="1082">
        <f t="shared" si="815"/>
        <v>1319.7074375</v>
      </c>
      <c r="EB171" s="1082">
        <f t="shared" si="815"/>
        <v>1326.8025</v>
      </c>
      <c r="EC171" s="1082">
        <f t="shared" si="815"/>
        <v>1336.9</v>
      </c>
      <c r="ED171" s="803">
        <f>+EC171</f>
        <v>1336.9</v>
      </c>
      <c r="EE171" s="1082">
        <f t="shared" si="816"/>
        <v>1350</v>
      </c>
      <c r="EF171" s="1082">
        <f t="shared" si="816"/>
        <v>1363</v>
      </c>
      <c r="EG171" s="1082">
        <f t="shared" si="816"/>
        <v>1392</v>
      </c>
      <c r="EH171" s="1082">
        <f t="shared" si="816"/>
        <v>1437</v>
      </c>
      <c r="EI171" s="803">
        <f>+EH171</f>
        <v>1437</v>
      </c>
      <c r="EJ171" s="1082">
        <f t="shared" si="817"/>
        <v>1492</v>
      </c>
      <c r="EK171" s="1082">
        <f t="shared" si="817"/>
        <v>1546</v>
      </c>
      <c r="EL171" s="1082">
        <f t="shared" si="817"/>
        <v>1612</v>
      </c>
      <c r="EM171" s="1082">
        <f t="shared" si="817"/>
        <v>1689</v>
      </c>
      <c r="EN171" s="803">
        <f>+EM171</f>
        <v>1689</v>
      </c>
      <c r="EO171" s="1082">
        <f t="shared" si="818"/>
        <v>1777</v>
      </c>
      <c r="EP171" s="1082">
        <f t="shared" si="818"/>
        <v>1844</v>
      </c>
      <c r="EQ171" s="1082">
        <f t="shared" si="818"/>
        <v>1923</v>
      </c>
      <c r="ER171" s="1082">
        <f t="shared" si="818"/>
        <v>2009.9574982231709</v>
      </c>
      <c r="ES171" s="803">
        <f>+ER171</f>
        <v>2009.9574982231709</v>
      </c>
      <c r="ET171" s="1082">
        <f t="shared" si="819"/>
        <v>2118.5281582744228</v>
      </c>
      <c r="EU171" s="1082">
        <f t="shared" si="819"/>
        <v>2200.4583308082883</v>
      </c>
      <c r="EV171" s="1082">
        <f t="shared" si="819"/>
        <v>2296.717331434771</v>
      </c>
      <c r="EW171" s="1082">
        <f t="shared" si="819"/>
        <v>2400.687825398767</v>
      </c>
      <c r="EX171" s="803">
        <f>+EW171</f>
        <v>2400.687825398767</v>
      </c>
      <c r="EY171" s="1082">
        <f t="shared" ref="EY171:FB171" si="824">EY115+EY138</f>
        <v>2531.4028939755817</v>
      </c>
      <c r="EZ171" s="1082">
        <f t="shared" si="824"/>
        <v>2628.5787695601098</v>
      </c>
      <c r="FA171" s="1082">
        <f t="shared" si="824"/>
        <v>2741.1559200440129</v>
      </c>
      <c r="FB171" s="1082">
        <f t="shared" si="824"/>
        <v>2861.7299927999397</v>
      </c>
      <c r="FC171" s="803">
        <f>+FB171</f>
        <v>2861.7299927999397</v>
      </c>
      <c r="FD171" s="1082">
        <f t="shared" si="821"/>
        <v>3006.1542329615459</v>
      </c>
      <c r="FE171" s="1082">
        <f t="shared" si="821"/>
        <v>3110.5330506821829</v>
      </c>
      <c r="FF171" s="1082">
        <f t="shared" si="821"/>
        <v>3229.4566806297285</v>
      </c>
      <c r="FG171" s="1082">
        <f t="shared" si="821"/>
        <v>3352.4467411532428</v>
      </c>
      <c r="FH171" s="803">
        <f>+FG171</f>
        <v>3352.4467411532428</v>
      </c>
      <c r="FI171" s="1082">
        <f t="shared" si="821"/>
        <v>3788.3591300385619</v>
      </c>
      <c r="FJ171" s="1082">
        <f t="shared" si="821"/>
        <v>4144.005517485135</v>
      </c>
      <c r="FK171" s="1082">
        <f t="shared" si="821"/>
        <v>4423.4622592921596</v>
      </c>
      <c r="FL171" s="1082">
        <f t="shared" si="821"/>
        <v>4634.2801697792811</v>
      </c>
      <c r="FM171" s="1082">
        <f t="shared" si="821"/>
        <v>4785.0392740345178</v>
      </c>
    </row>
    <row r="172" spans="1:169" x14ac:dyDescent="0.3">
      <c r="A172" s="69" t="s">
        <v>339</v>
      </c>
      <c r="DU172" s="79"/>
      <c r="DZ172" s="83">
        <f t="shared" ref="DZ172:EX172" si="825">+DZ171/DU171-1</f>
        <v>1.7921118762560528E-3</v>
      </c>
      <c r="EA172" s="83">
        <f t="shared" si="825"/>
        <v>1.4886042736295568E-2</v>
      </c>
      <c r="EB172" s="83">
        <f t="shared" si="825"/>
        <v>2.1060076096244273E-2</v>
      </c>
      <c r="EC172" s="83">
        <f t="shared" si="825"/>
        <v>2.5604137266348026E-2</v>
      </c>
      <c r="ED172" s="91">
        <f t="shared" si="825"/>
        <v>2.5604137266348026E-2</v>
      </c>
      <c r="EE172" s="83">
        <f t="shared" si="825"/>
        <v>2.8481508678001477E-2</v>
      </c>
      <c r="EF172" s="83">
        <f t="shared" si="825"/>
        <v>3.2804666602479493E-2</v>
      </c>
      <c r="EG172" s="83">
        <f t="shared" si="825"/>
        <v>4.9138813048664076E-2</v>
      </c>
      <c r="EH172" s="83">
        <f t="shared" si="825"/>
        <v>7.4874710150347745E-2</v>
      </c>
      <c r="EI172" s="91">
        <f t="shared" si="825"/>
        <v>7.4874710150347745E-2</v>
      </c>
      <c r="EJ172" s="83">
        <f t="shared" si="825"/>
        <v>0.10518518518518527</v>
      </c>
      <c r="EK172" s="83">
        <f t="shared" si="825"/>
        <v>0.13426265590608955</v>
      </c>
      <c r="EL172" s="83">
        <f t="shared" si="825"/>
        <v>0.15804597701149414</v>
      </c>
      <c r="EM172" s="83">
        <f t="shared" si="825"/>
        <v>0.17536534446764085</v>
      </c>
      <c r="EN172" s="91">
        <f t="shared" si="825"/>
        <v>0.17536534446764085</v>
      </c>
      <c r="EO172" s="83">
        <f t="shared" si="825"/>
        <v>0.19101876675603213</v>
      </c>
      <c r="EP172" s="83">
        <f t="shared" si="825"/>
        <v>0.19275549805950831</v>
      </c>
      <c r="EQ172" s="83">
        <f t="shared" si="825"/>
        <v>0.19292803970223327</v>
      </c>
      <c r="ER172" s="83">
        <f t="shared" si="825"/>
        <v>0.19002812209779218</v>
      </c>
      <c r="ES172" s="91">
        <f t="shared" si="825"/>
        <v>0.19002812209779218</v>
      </c>
      <c r="ET172" s="83">
        <f t="shared" si="825"/>
        <v>0.19219367376163365</v>
      </c>
      <c r="EU172" s="83">
        <f t="shared" si="825"/>
        <v>0.19330712082878976</v>
      </c>
      <c r="EV172" s="83">
        <f t="shared" si="825"/>
        <v>0.19434078597752014</v>
      </c>
      <c r="EW172" s="83">
        <f t="shared" si="825"/>
        <v>0.19439730816248946</v>
      </c>
      <c r="EX172" s="91">
        <f t="shared" si="825"/>
        <v>0.19439730816248946</v>
      </c>
      <c r="EY172" s="83">
        <f t="shared" ref="EY172" si="826">+EY171/ET171-1</f>
        <v>0.19488753741062026</v>
      </c>
      <c r="EZ172" s="83">
        <f t="shared" ref="EZ172" si="827">+EZ171/EU171-1</f>
        <v>0.19455966639211986</v>
      </c>
      <c r="FA172" s="83">
        <f t="shared" ref="FA172" si="828">+FA171/EV171-1</f>
        <v>0.19351035607485878</v>
      </c>
      <c r="FB172" s="83">
        <f t="shared" ref="FB172:FC172" si="829">+FB171/EW171-1</f>
        <v>0.1920458639076037</v>
      </c>
      <c r="FC172" s="91">
        <f t="shared" si="829"/>
        <v>0.1920458639076037</v>
      </c>
      <c r="FD172" s="83">
        <f t="shared" ref="FD172" si="830">+FD171/EY171-1</f>
        <v>0.18754475635459378</v>
      </c>
      <c r="FE172" s="83">
        <f t="shared" ref="FE172" si="831">+FE171/EZ171-1</f>
        <v>0.18335166010746096</v>
      </c>
      <c r="FF172" s="83">
        <f t="shared" ref="FF172" si="832">+FF171/FA171-1</f>
        <v>0.17813680608794957</v>
      </c>
      <c r="FG172" s="83">
        <f t="shared" ref="FG172:FH172" si="833">+FG171/FB171-1</f>
        <v>0.17147555834685213</v>
      </c>
      <c r="FH172" s="91">
        <f t="shared" si="833"/>
        <v>0.17147555834685213</v>
      </c>
      <c r="FI172" s="83">
        <f t="shared" ref="FI172:FM172" si="834">+FI171/FH171-1</f>
        <v>0.13002813244853084</v>
      </c>
      <c r="FJ172" s="83">
        <f t="shared" si="834"/>
        <v>9.3878741491689732E-2</v>
      </c>
      <c r="FK172" s="83">
        <f t="shared" si="834"/>
        <v>6.7436382656318905E-2</v>
      </c>
      <c r="FL172" s="83">
        <f t="shared" si="834"/>
        <v>4.7659027732013914E-2</v>
      </c>
      <c r="FM172" s="83">
        <f t="shared" si="834"/>
        <v>3.253128829766383E-2</v>
      </c>
    </row>
    <row r="173" spans="1:169" x14ac:dyDescent="0.3">
      <c r="A173" s="65" t="s">
        <v>340</v>
      </c>
      <c r="DU173" s="134">
        <f>DU117+DU140</f>
        <v>-7</v>
      </c>
      <c r="DV173" s="77">
        <f>+DV171-DU171</f>
        <v>-9.9162408406498344</v>
      </c>
      <c r="DW173" s="77">
        <f>+DW171-DV171</f>
        <v>-0.91409316989756917</v>
      </c>
      <c r="DX173" s="77">
        <f>+DX171-DW171</f>
        <v>4.0881095693359839</v>
      </c>
      <c r="DY173" s="86">
        <f>+SUM(DU173:DX173)</f>
        <v>-13.74222444121142</v>
      </c>
      <c r="DZ173" s="77">
        <f>+DZ171-DY171</f>
        <v>9.0903687890624951</v>
      </c>
      <c r="EA173" s="77">
        <f>+EA171-DZ171</f>
        <v>7.0926859374999367</v>
      </c>
      <c r="EB173" s="77">
        <f>+EB171-EA171</f>
        <v>7.09506250000004</v>
      </c>
      <c r="EC173" s="77">
        <f>+EC171-EB171</f>
        <v>10.097500000000082</v>
      </c>
      <c r="ED173" s="86">
        <f>+SUM(DZ173:EC173)</f>
        <v>33.375617226562554</v>
      </c>
      <c r="EE173" s="77">
        <f>+EE171-ED171</f>
        <v>13.099999999999909</v>
      </c>
      <c r="EF173" s="77">
        <f>+EF171-EE171</f>
        <v>13</v>
      </c>
      <c r="EG173" s="77">
        <f>+EG171-EF171</f>
        <v>29</v>
      </c>
      <c r="EH173" s="77">
        <f>+EH171-EG171</f>
        <v>45</v>
      </c>
      <c r="EI173" s="86">
        <f>+SUM(EE173:EH173)</f>
        <v>100.09999999999991</v>
      </c>
      <c r="EJ173" s="77">
        <f>+EJ171-EI171</f>
        <v>55</v>
      </c>
      <c r="EK173" s="77">
        <f>+EK171-EJ171</f>
        <v>54</v>
      </c>
      <c r="EL173" s="77">
        <f>+EL171-EK171</f>
        <v>66</v>
      </c>
      <c r="EM173" s="77">
        <f>+EM171-EL171</f>
        <v>77</v>
      </c>
      <c r="EN173" s="86">
        <f>+SUM(EJ173:EM173)</f>
        <v>252</v>
      </c>
      <c r="EO173" s="77">
        <f>+EO171-EN171</f>
        <v>88</v>
      </c>
      <c r="EP173" s="77">
        <f>+EP171-EO171</f>
        <v>67</v>
      </c>
      <c r="EQ173" s="77">
        <f>+EQ171-EP171</f>
        <v>79</v>
      </c>
      <c r="ER173" s="77">
        <f>+ER171-EQ171</f>
        <v>86.957498223170887</v>
      </c>
      <c r="ES173" s="86">
        <f>+SUM(EO173:ER173)</f>
        <v>320.95749822317089</v>
      </c>
      <c r="ET173" s="77">
        <f t="shared" ref="ET173:EW173" si="835">+ET171-ES171</f>
        <v>108.57066005125193</v>
      </c>
      <c r="EU173" s="77">
        <f t="shared" si="835"/>
        <v>81.930172533865516</v>
      </c>
      <c r="EV173" s="77">
        <f t="shared" si="835"/>
        <v>96.259000626482703</v>
      </c>
      <c r="EW173" s="77">
        <f t="shared" si="835"/>
        <v>103.97049396399598</v>
      </c>
      <c r="EX173" s="86">
        <f>+SUM(ET173:EW173)</f>
        <v>390.73032717559613</v>
      </c>
      <c r="EY173" s="77">
        <f t="shared" ref="EY173" si="836">+EY171-EX171</f>
        <v>130.7150685768147</v>
      </c>
      <c r="EZ173" s="77">
        <f t="shared" ref="EZ173" si="837">+EZ171-EY171</f>
        <v>97.175875584528058</v>
      </c>
      <c r="FA173" s="77">
        <f t="shared" ref="FA173" si="838">+FA171-EZ171</f>
        <v>112.5771504839031</v>
      </c>
      <c r="FB173" s="77">
        <f t="shared" ref="FB173" si="839">+FB171-FA171</f>
        <v>120.57407275592686</v>
      </c>
      <c r="FC173" s="86">
        <f>+SUM(EY173:FB173)</f>
        <v>461.04216740117272</v>
      </c>
      <c r="FD173" s="77">
        <f t="shared" ref="FD173" si="840">+FD171-FC171</f>
        <v>144.42424016160612</v>
      </c>
      <c r="FE173" s="77">
        <f t="shared" ref="FE173" si="841">+FE171-FD171</f>
        <v>104.37881772063702</v>
      </c>
      <c r="FF173" s="77">
        <f t="shared" ref="FF173" si="842">+FF171-FE171</f>
        <v>118.92362994754558</v>
      </c>
      <c r="FG173" s="77">
        <f t="shared" ref="FG173" si="843">+FG171-FF171</f>
        <v>122.99006052351433</v>
      </c>
      <c r="FH173" s="86">
        <f>+SUM(FD173:FG173)</f>
        <v>490.71674835330305</v>
      </c>
      <c r="FI173" s="77">
        <f t="shared" ref="FI173:FM173" si="844">+FI171-FH171</f>
        <v>435.91238888531916</v>
      </c>
      <c r="FJ173" s="77">
        <f t="shared" si="844"/>
        <v>355.64638744657304</v>
      </c>
      <c r="FK173" s="77">
        <f t="shared" si="844"/>
        <v>279.45674180702463</v>
      </c>
      <c r="FL173" s="77">
        <f t="shared" si="844"/>
        <v>210.81791048712148</v>
      </c>
      <c r="FM173" s="77">
        <f t="shared" si="844"/>
        <v>150.75910425523671</v>
      </c>
    </row>
    <row r="174" spans="1:169" x14ac:dyDescent="0.3">
      <c r="A174" s="65" t="s">
        <v>341</v>
      </c>
      <c r="DU174" s="96"/>
      <c r="DV174" s="83">
        <f t="shared" ref="DV174:FM174" si="845">+DV169/DV106</f>
        <v>3.0233383467103921E-2</v>
      </c>
      <c r="DW174" s="83">
        <f t="shared" si="845"/>
        <v>3.1476186329124155E-2</v>
      </c>
      <c r="DX174" s="83">
        <f t="shared" si="845"/>
        <v>2.7944011539249265E-2</v>
      </c>
      <c r="DY174" s="91">
        <f t="shared" si="845"/>
        <v>0.12058530204422821</v>
      </c>
      <c r="DZ174" s="83">
        <f t="shared" si="845"/>
        <v>2.6606278737806233E-2</v>
      </c>
      <c r="EA174" s="83">
        <f t="shared" si="845"/>
        <v>2.1113809210686414E-2</v>
      </c>
      <c r="EB174" s="83">
        <f t="shared" si="845"/>
        <v>2.3990458918939719E-2</v>
      </c>
      <c r="EC174" s="83">
        <f t="shared" si="845"/>
        <v>2.1900099801768838E-2</v>
      </c>
      <c r="ED174" s="91">
        <f t="shared" si="845"/>
        <v>9.3583898496820153E-2</v>
      </c>
      <c r="EE174" s="83">
        <f t="shared" si="845"/>
        <v>2.062615293067542E-2</v>
      </c>
      <c r="EF174" s="83">
        <f t="shared" si="845"/>
        <v>2.1198510668767025E-2</v>
      </c>
      <c r="EG174" s="83">
        <f t="shared" si="845"/>
        <v>2.5097174061433469E-2</v>
      </c>
      <c r="EH174" s="83">
        <f t="shared" si="845"/>
        <v>2.5968112178654884E-2</v>
      </c>
      <c r="EI174" s="91">
        <f t="shared" si="845"/>
        <v>9.3348378114993774E-2</v>
      </c>
      <c r="EJ174" s="83">
        <f t="shared" si="845"/>
        <v>2.6268328192473808E-2</v>
      </c>
      <c r="EK174" s="83">
        <f t="shared" si="845"/>
        <v>2.7336884959869728E-2</v>
      </c>
      <c r="EL174" s="83">
        <f t="shared" si="845"/>
        <v>3.0201668653158497E-2</v>
      </c>
      <c r="EM174" s="83">
        <f t="shared" si="845"/>
        <v>2.82706957132818E-2</v>
      </c>
      <c r="EN174" s="91">
        <f t="shared" si="845"/>
        <v>0.11236549648946841</v>
      </c>
      <c r="EO174" s="83">
        <f t="shared" si="845"/>
        <v>2.8010598258590029E-2</v>
      </c>
      <c r="EP174" s="83">
        <f t="shared" si="845"/>
        <v>2.5007462949894144E-2</v>
      </c>
      <c r="EQ174" s="83">
        <f t="shared" si="845"/>
        <v>2.6615253671562082E-2</v>
      </c>
      <c r="ER174" s="83">
        <f t="shared" si="845"/>
        <v>2.4768885480776482E-2</v>
      </c>
      <c r="ES174" s="91">
        <f t="shared" si="845"/>
        <v>0.10417360192465953</v>
      </c>
      <c r="ET174" s="83">
        <f t="shared" si="845"/>
        <v>2.7351952064413449E-2</v>
      </c>
      <c r="EU174" s="83">
        <f t="shared" si="845"/>
        <v>2.4537541637261823E-2</v>
      </c>
      <c r="EV174" s="83">
        <f t="shared" si="845"/>
        <v>2.6363350801068088E-2</v>
      </c>
      <c r="EW174" s="83">
        <f t="shared" si="845"/>
        <v>2.4538524187393607E-2</v>
      </c>
      <c r="EX174" s="91">
        <f t="shared" si="845"/>
        <v>0.10263934093957723</v>
      </c>
      <c r="EY174" s="83">
        <f t="shared" ref="EY174:FC174" si="846">+EY169/EY106</f>
        <v>2.7393570826701626E-2</v>
      </c>
      <c r="EZ174" s="83">
        <f t="shared" si="846"/>
        <v>2.4575326570218773E-2</v>
      </c>
      <c r="FA174" s="83">
        <f t="shared" si="846"/>
        <v>2.6398974966622163E-2</v>
      </c>
      <c r="FB174" s="83">
        <f t="shared" si="846"/>
        <v>2.4581843090955825E-2</v>
      </c>
      <c r="FC174" s="91">
        <f t="shared" si="846"/>
        <v>0.10282143596619459</v>
      </c>
      <c r="FD174" s="83">
        <f t="shared" si="845"/>
        <v>2.6794050018724844E-2</v>
      </c>
      <c r="FE174" s="83">
        <f t="shared" si="845"/>
        <v>2.4038402518525053E-2</v>
      </c>
      <c r="FF174" s="83">
        <f t="shared" si="845"/>
        <v>2.5812030131842453E-2</v>
      </c>
      <c r="FG174" s="83">
        <f t="shared" si="845"/>
        <v>2.4056100765984485E-2</v>
      </c>
      <c r="FH174" s="91">
        <f t="shared" ref="FH174" si="847">+FH169/FH106</f>
        <v>0.10062045241957904</v>
      </c>
      <c r="FI174" s="83">
        <f t="shared" si="845"/>
        <v>9.6724577132320189E-2</v>
      </c>
      <c r="FJ174" s="83">
        <f t="shared" si="845"/>
        <v>9.5005038835805147E-2</v>
      </c>
      <c r="FK174" s="83">
        <f t="shared" si="845"/>
        <v>9.2505928752397146E-2</v>
      </c>
      <c r="FL174" s="83">
        <f t="shared" si="845"/>
        <v>8.9311912409303182E-2</v>
      </c>
      <c r="FM174" s="83">
        <f t="shared" si="845"/>
        <v>8.5931115470683023E-2</v>
      </c>
    </row>
    <row r="175" spans="1:169" x14ac:dyDescent="0.3">
      <c r="A175" s="65" t="s">
        <v>342</v>
      </c>
      <c r="DU175" s="1081">
        <f>-DU170/DU168/3</f>
        <v>2.6998567908209422E-2</v>
      </c>
      <c r="DV175" s="1081">
        <f>-DV170/DV168/3</f>
        <v>2.7312109653608942E-2</v>
      </c>
      <c r="DW175" s="1081">
        <f>-DW170/DW168/3</f>
        <v>2.6239554188793607E-2</v>
      </c>
      <c r="DX175" s="1081">
        <f>-DX170/DX168/3</f>
        <v>2.2054548164353743E-2</v>
      </c>
      <c r="DY175" s="91">
        <f>+DY170/AVERAGE(DU168:DX168)/-12</f>
        <v>2.5659334940784071E-2</v>
      </c>
      <c r="DZ175" s="1081">
        <f>-DZ170/DZ168/3</f>
        <v>1.9634307536271638E-2</v>
      </c>
      <c r="EA175" s="1081">
        <f>-EA170/EA168/3</f>
        <v>1.5549523218292054E-2</v>
      </c>
      <c r="EB175" s="1081">
        <f>-EB170/EB168/3</f>
        <v>1.7868096986836904E-2</v>
      </c>
      <c r="EC175" s="1081">
        <f>-EC170/EC168/3</f>
        <v>1.5504173190810237E-2</v>
      </c>
      <c r="ED175" s="91">
        <f>+ED170/AVERAGE(DZ168:EC168)/-12</f>
        <v>1.7131290187765481E-2</v>
      </c>
      <c r="EE175" s="1081">
        <f>-EE170/EE168/3</f>
        <v>1.4018625177649789E-2</v>
      </c>
      <c r="EF175" s="1081">
        <f>-EF170/EF168/3</f>
        <v>1.5065333333333333E-2</v>
      </c>
      <c r="EG175" s="1081">
        <f>-EG170/EG168/3</f>
        <v>1.5387234042553192E-2</v>
      </c>
      <c r="EH175" s="1081">
        <f>-EH170/EH168/3</f>
        <v>1.3171264367816094E-2</v>
      </c>
      <c r="EI175" s="91">
        <f>+EI170/AVERAGE(EE168:EH168)/-12</f>
        <v>1.4404325695069739E-2</v>
      </c>
      <c r="EJ175" s="1081">
        <f>-EJ170/EJ168/3</f>
        <v>1.1935142658315934E-2</v>
      </c>
      <c r="EK175" s="1081">
        <f>-EK170/EK168/3</f>
        <v>1.4188471849865955E-2</v>
      </c>
      <c r="EL175" s="1081">
        <f>-EL170/EL168/3</f>
        <v>1.5818369987063392E-2</v>
      </c>
      <c r="EM175" s="1081">
        <f>-EM170/EM168/3</f>
        <v>1.3193176178660048E-2</v>
      </c>
      <c r="EN175" s="91">
        <f>+EN170/AVERAGE(EJ168:EM168)/-12</f>
        <v>1.3806899950714638E-2</v>
      </c>
      <c r="EO175" s="1081">
        <f>-EO170/EO168/3</f>
        <v>1.2155239786856129E-2</v>
      </c>
      <c r="EP175" s="1081">
        <f>-EP170/EP168/3</f>
        <v>1.4020315137872821E-2</v>
      </c>
      <c r="EQ175" s="1081">
        <f>-EQ170/EQ168/3</f>
        <v>1.4547830802603036E-2</v>
      </c>
      <c r="ER175" s="1081">
        <f>-ER170/ER168/3</f>
        <v>1.2080658346333853E-2</v>
      </c>
      <c r="ES175" s="91">
        <f>+ES170/AVERAGE(EO168:ER168)/-12</f>
        <v>1.3203595465228812E-2</v>
      </c>
      <c r="ET175" s="1081">
        <f t="shared" ref="ET175:EW175" si="848">-ET170/ET168/3</f>
        <v>1.220706022206002E-2</v>
      </c>
      <c r="EU175" s="1081">
        <f t="shared" si="848"/>
        <v>1.4088109249749124E-2</v>
      </c>
      <c r="EV175" s="1081">
        <f t="shared" si="848"/>
        <v>1.4619654320754906E-2</v>
      </c>
      <c r="EW175" s="1081">
        <f t="shared" si="848"/>
        <v>1.2135327966009106E-2</v>
      </c>
      <c r="EX175" s="91">
        <f>+EX170/AVERAGE(ET168:EW168)/-12</f>
        <v>1.3265427698192734E-2</v>
      </c>
      <c r="EY175" s="1081">
        <f t="shared" ref="EY175:FB175" si="849">-EY170/EY168/3</f>
        <v>1.2204741557221122E-2</v>
      </c>
      <c r="EZ175" s="1081">
        <f t="shared" si="849"/>
        <v>1.4089148987370625E-2</v>
      </c>
      <c r="FA175" s="1081">
        <f t="shared" si="849"/>
        <v>1.4621183985199024E-2</v>
      </c>
      <c r="FB175" s="1081">
        <f t="shared" si="849"/>
        <v>1.2134766322880852E-2</v>
      </c>
      <c r="FC175" s="91">
        <f>+FC170/AVERAGE(EY168:FB168)/-12</f>
        <v>1.3265737082224111E-2</v>
      </c>
      <c r="FD175" s="1081">
        <f t="shared" ref="FD175:FG175" si="850">-FD170/FD168/3</f>
        <v>1.2204019049217696E-2</v>
      </c>
      <c r="FE175" s="1081">
        <f t="shared" si="850"/>
        <v>1.4089199675177126E-2</v>
      </c>
      <c r="FF175" s="1081">
        <f t="shared" si="850"/>
        <v>1.4620729193757702E-2</v>
      </c>
      <c r="FG175" s="1081">
        <f t="shared" si="850"/>
        <v>1.2135265955779365E-2</v>
      </c>
      <c r="FH175" s="91">
        <f>+FH170/AVERAGE(FD168:FG168)/-12</f>
        <v>1.3265822718373921E-2</v>
      </c>
      <c r="FI175" s="1081">
        <f t="shared" ref="FI175:FM175" si="851">-FI170/FI168/12</f>
        <v>1.3327818274553109E-2</v>
      </c>
      <c r="FJ175" s="1081">
        <f t="shared" si="851"/>
        <v>1.3389751744798098E-2</v>
      </c>
      <c r="FK175" s="1081">
        <f t="shared" si="851"/>
        <v>1.3451448111209255E-2</v>
      </c>
      <c r="FL175" s="1081">
        <f t="shared" si="851"/>
        <v>1.3450333734972389E-2</v>
      </c>
      <c r="FM175" s="1081">
        <f t="shared" si="851"/>
        <v>1.3448952065500798E-2</v>
      </c>
    </row>
    <row r="176" spans="1:169" x14ac:dyDescent="0.3">
      <c r="A176" s="65" t="s">
        <v>210</v>
      </c>
      <c r="DU176" s="75">
        <f t="shared" ref="DU176:FM176" si="852">+DU171/DU90</f>
        <v>0.40653633484785884</v>
      </c>
      <c r="DV176" s="75">
        <f t="shared" si="852"/>
        <v>0.4034596234483398</v>
      </c>
      <c r="DW176" s="75">
        <f t="shared" si="852"/>
        <v>0.40317600782007496</v>
      </c>
      <c r="DX176" s="75">
        <f t="shared" si="852"/>
        <v>0.40444442530978514</v>
      </c>
      <c r="DY176" s="84">
        <f t="shared" si="852"/>
        <v>0.40444442530978514</v>
      </c>
      <c r="DZ176" s="75">
        <f t="shared" si="852"/>
        <v>0.40613080184483291</v>
      </c>
      <c r="EA176" s="75">
        <f t="shared" si="852"/>
        <v>0.40731711033950618</v>
      </c>
      <c r="EB176" s="75">
        <f t="shared" si="852"/>
        <v>0.40837257617728534</v>
      </c>
      <c r="EC176" s="75">
        <f t="shared" si="852"/>
        <v>0.40401934119069211</v>
      </c>
      <c r="ED176" s="84">
        <f t="shared" si="852"/>
        <v>0.40401934119069211</v>
      </c>
      <c r="EE176" s="75">
        <f t="shared" si="852"/>
        <v>0.39554644008203926</v>
      </c>
      <c r="EF176" s="75">
        <f t="shared" si="852"/>
        <v>0.38179271708683471</v>
      </c>
      <c r="EG176" s="75">
        <f t="shared" si="852"/>
        <v>0.3707057256990679</v>
      </c>
      <c r="EH176" s="75">
        <f t="shared" si="852"/>
        <v>0.36407398023815557</v>
      </c>
      <c r="EI176" s="84">
        <f t="shared" si="852"/>
        <v>0.36407398023815557</v>
      </c>
      <c r="EJ176" s="75">
        <f t="shared" si="852"/>
        <v>0.35882635882635883</v>
      </c>
      <c r="EK176" s="75">
        <f t="shared" si="852"/>
        <v>0.34827663888263122</v>
      </c>
      <c r="EL176" s="75">
        <f t="shared" si="852"/>
        <v>0.33653444676409183</v>
      </c>
      <c r="EM176" s="75">
        <f t="shared" si="852"/>
        <v>0.32662927866950298</v>
      </c>
      <c r="EN176" s="84">
        <f t="shared" si="852"/>
        <v>0.32662927866950298</v>
      </c>
      <c r="EO176" s="75">
        <f t="shared" si="852"/>
        <v>0.32250453720508165</v>
      </c>
      <c r="EP176" s="75">
        <f t="shared" si="852"/>
        <v>0.31651218674905596</v>
      </c>
      <c r="EQ176" s="75">
        <f t="shared" si="852"/>
        <v>0.31227671321857747</v>
      </c>
      <c r="ER176" s="75">
        <f t="shared" si="852"/>
        <v>0.30965298077694819</v>
      </c>
      <c r="ES176" s="84">
        <f t="shared" si="852"/>
        <v>0.30965298077694819</v>
      </c>
      <c r="ET176" s="75">
        <f t="shared" si="852"/>
        <v>0.31017981819537671</v>
      </c>
      <c r="EU176" s="75">
        <f t="shared" si="852"/>
        <v>0.30792867769497456</v>
      </c>
      <c r="EV176" s="75">
        <f t="shared" si="852"/>
        <v>0.30712989187413359</v>
      </c>
      <c r="EW176" s="75">
        <f t="shared" si="852"/>
        <v>0.30734705228508091</v>
      </c>
      <c r="EX176" s="84">
        <f t="shared" si="852"/>
        <v>0.30734705228508091</v>
      </c>
      <c r="EY176" s="75">
        <f t="shared" ref="EY176:FC176" si="853">+EY171/EY90</f>
        <v>0.31060158208289346</v>
      </c>
      <c r="EZ176" s="75">
        <f t="shared" si="853"/>
        <v>0.31048650715333215</v>
      </c>
      <c r="FA176" s="75">
        <f t="shared" si="853"/>
        <v>0.31156580132348405</v>
      </c>
      <c r="FB176" s="75">
        <f t="shared" si="853"/>
        <v>0.31340816918190118</v>
      </c>
      <c r="FC176" s="84">
        <f t="shared" si="853"/>
        <v>0.31340816918190118</v>
      </c>
      <c r="FD176" s="75">
        <f t="shared" si="852"/>
        <v>0.31743972892941352</v>
      </c>
      <c r="FE176" s="75">
        <f t="shared" si="852"/>
        <v>0.3178554108606359</v>
      </c>
      <c r="FF176" s="75">
        <f t="shared" si="852"/>
        <v>0.32294566806297287</v>
      </c>
      <c r="FG176" s="75">
        <f t="shared" si="852"/>
        <v>0.33524467411532427</v>
      </c>
      <c r="FH176" s="84">
        <f t="shared" ref="FH176" si="854">+FH171/FH90</f>
        <v>0.33524467411532427</v>
      </c>
      <c r="FI176" s="75">
        <f t="shared" si="852"/>
        <v>0.37508506238005562</v>
      </c>
      <c r="FJ176" s="75">
        <f t="shared" si="852"/>
        <v>0.40623522375111609</v>
      </c>
      <c r="FK176" s="75">
        <f t="shared" si="852"/>
        <v>0.42933688885987292</v>
      </c>
      <c r="FL176" s="75">
        <f t="shared" si="852"/>
        <v>0.4453452153984378</v>
      </c>
      <c r="FM176" s="75">
        <f t="shared" si="852"/>
        <v>0.455280068309455</v>
      </c>
    </row>
    <row r="177" spans="1:171" x14ac:dyDescent="0.3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70"/>
      <c r="BP177" s="70"/>
      <c r="BQ177" s="70"/>
      <c r="BR177" s="70"/>
      <c r="BS177" s="70"/>
      <c r="BT177" s="70"/>
      <c r="BU177" s="70"/>
      <c r="BV177" s="70"/>
      <c r="BW177" s="70"/>
      <c r="BX177" s="70"/>
      <c r="BY177" s="70"/>
      <c r="BZ177" s="70"/>
      <c r="CA177" s="70"/>
      <c r="CB177" s="70"/>
      <c r="CC177" s="70"/>
      <c r="CD177" s="70"/>
      <c r="CE177" s="70"/>
      <c r="CF177" s="70"/>
      <c r="CG177" s="70"/>
      <c r="CH177" s="70"/>
      <c r="CI177" s="70"/>
      <c r="CJ177" s="70"/>
      <c r="CK177" s="70"/>
      <c r="CL177" s="70"/>
      <c r="CM177" s="70"/>
      <c r="CN177" s="70"/>
      <c r="CO177" s="70"/>
      <c r="CP177" s="70"/>
      <c r="CQ177" s="70"/>
      <c r="CR177" s="70"/>
      <c r="CS177" s="70"/>
      <c r="CT177" s="70"/>
      <c r="CU177" s="70"/>
      <c r="CV177" s="70"/>
      <c r="CW177" s="70"/>
      <c r="CX177" s="70"/>
      <c r="CY177" s="70"/>
      <c r="CZ177" s="70"/>
      <c r="DA177" s="70"/>
      <c r="DB177" s="70"/>
      <c r="DC177" s="70"/>
      <c r="DD177" s="70"/>
      <c r="DE177" s="70"/>
      <c r="DF177" s="70"/>
      <c r="DG177" s="70"/>
      <c r="DH177" s="70"/>
      <c r="DI177" s="70"/>
      <c r="DJ177" s="70"/>
      <c r="DK177" s="70"/>
      <c r="DL177" s="70"/>
      <c r="DM177" s="70"/>
      <c r="DN177" s="70"/>
      <c r="DO177" s="70"/>
      <c r="DP177" s="70"/>
      <c r="DQ177" s="70"/>
      <c r="DR177" s="70"/>
      <c r="DS177" s="70"/>
      <c r="DT177" s="70"/>
      <c r="DU177" s="70"/>
      <c r="DV177" s="70"/>
      <c r="DW177" s="70"/>
      <c r="DX177" s="70"/>
      <c r="DY177" s="55"/>
      <c r="DZ177" s="70"/>
      <c r="EA177" s="70"/>
      <c r="EB177" s="70"/>
      <c r="EC177" s="70"/>
      <c r="ED177" s="55"/>
      <c r="EE177" s="70"/>
      <c r="EF177" s="70"/>
      <c r="EG177" s="70"/>
      <c r="EH177" s="70"/>
      <c r="EI177" s="55"/>
      <c r="EJ177" s="70"/>
      <c r="EK177" s="70"/>
      <c r="EL177" s="70"/>
      <c r="EM177" s="70"/>
      <c r="EN177" s="55"/>
      <c r="EO177" s="55"/>
      <c r="EP177" s="55"/>
      <c r="EQ177" s="55"/>
      <c r="ER177" s="55"/>
      <c r="ES177" s="70"/>
      <c r="ET177" s="55"/>
      <c r="EU177" s="55"/>
      <c r="EV177" s="55"/>
      <c r="EW177" s="55"/>
      <c r="EX177" s="70"/>
      <c r="EY177" s="55"/>
      <c r="EZ177" s="55"/>
      <c r="FA177" s="55"/>
      <c r="FB177" s="55"/>
      <c r="FC177" s="70"/>
      <c r="FD177" s="55"/>
      <c r="FE177" s="55"/>
      <c r="FF177" s="55"/>
      <c r="FG177" s="55"/>
      <c r="FH177" s="70"/>
      <c r="FI177" s="70"/>
      <c r="FJ177" s="70"/>
      <c r="FK177" s="70"/>
      <c r="FL177" s="70"/>
      <c r="FM177" s="70"/>
      <c r="FN177" s="70"/>
    </row>
    <row r="178" spans="1:171" x14ac:dyDescent="0.3">
      <c r="A178" s="54" t="s">
        <v>356</v>
      </c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4"/>
      <c r="CO178" s="54"/>
      <c r="CP178" s="54"/>
      <c r="CQ178" s="54"/>
      <c r="CR178" s="54"/>
      <c r="CS178" s="54"/>
      <c r="CT178" s="54"/>
      <c r="CU178" s="54"/>
      <c r="CV178" s="54"/>
      <c r="CW178" s="54"/>
      <c r="CX178" s="54"/>
      <c r="CY178" s="54"/>
      <c r="CZ178" s="54"/>
      <c r="DA178" s="54"/>
      <c r="DB178" s="54"/>
      <c r="DC178" s="54"/>
      <c r="DD178" s="54"/>
      <c r="DE178" s="54"/>
      <c r="DF178" s="54"/>
      <c r="DG178" s="54"/>
      <c r="DH178" s="54"/>
      <c r="DI178" s="54"/>
      <c r="DJ178" s="54"/>
      <c r="DK178" s="54"/>
      <c r="DL178" s="54"/>
      <c r="DM178" s="54"/>
      <c r="DN178" s="54"/>
      <c r="DO178" s="54"/>
      <c r="DP178" s="54"/>
      <c r="DQ178" s="54"/>
      <c r="DR178" s="54"/>
      <c r="DS178" s="54"/>
      <c r="DT178" s="54"/>
      <c r="DU178" s="54"/>
      <c r="DV178" s="54"/>
      <c r="DW178" s="54"/>
      <c r="DX178" s="54"/>
      <c r="DY178" s="54"/>
      <c r="DZ178" s="54"/>
      <c r="EA178" s="54"/>
      <c r="EB178" s="54"/>
      <c r="EC178" s="54"/>
      <c r="ED178" s="54"/>
      <c r="EE178" s="54"/>
      <c r="EF178" s="54"/>
      <c r="EG178" s="54"/>
      <c r="EH178" s="54"/>
      <c r="EI178" s="54"/>
      <c r="EJ178" s="54"/>
      <c r="EK178" s="54"/>
      <c r="EL178" s="54"/>
      <c r="EM178" s="54"/>
      <c r="EN178" s="54"/>
      <c r="EO178" s="54"/>
      <c r="EP178" s="54"/>
      <c r="EQ178" s="54"/>
      <c r="ER178" s="54"/>
      <c r="ES178" s="54"/>
      <c r="ET178" s="54"/>
      <c r="EU178" s="54"/>
      <c r="EV178" s="54"/>
      <c r="EW178" s="54"/>
      <c r="EX178" s="54"/>
      <c r="EY178" s="54"/>
      <c r="EZ178" s="54"/>
      <c r="FA178" s="54"/>
      <c r="FB178" s="54"/>
      <c r="FC178" s="54"/>
      <c r="FD178" s="54"/>
      <c r="FE178" s="54"/>
      <c r="FF178" s="54"/>
      <c r="FG178" s="54"/>
      <c r="FH178" s="54"/>
      <c r="FI178" s="54"/>
      <c r="FJ178" s="54"/>
      <c r="FK178" s="54"/>
      <c r="FL178" s="54"/>
      <c r="FM178" s="54"/>
      <c r="FN178" s="54"/>
    </row>
    <row r="179" spans="1:171" x14ac:dyDescent="0.3">
      <c r="A179" s="55" t="s">
        <v>357</v>
      </c>
      <c r="ET179" s="90"/>
      <c r="EU179" s="90"/>
      <c r="EV179" s="90"/>
      <c r="EW179" s="90"/>
      <c r="EY179" s="90"/>
      <c r="EZ179" s="90"/>
      <c r="FA179" s="90"/>
      <c r="FB179" s="90"/>
      <c r="FD179" s="90"/>
      <c r="FE179" s="90"/>
      <c r="FF179" s="90"/>
      <c r="FG179" s="90"/>
    </row>
    <row r="180" spans="1:171" x14ac:dyDescent="0.3">
      <c r="A180" s="67" t="s">
        <v>358</v>
      </c>
      <c r="DU180" s="76">
        <f>+AVERAGE(DU115,DU112)</f>
        <v>1214.5</v>
      </c>
      <c r="DV180" s="76">
        <f>+AVERAGE(DV115,DV112)</f>
        <v>1206</v>
      </c>
      <c r="DW180" s="76">
        <f>+AVERAGE(DW115,DW112)</f>
        <v>1201</v>
      </c>
      <c r="DX180" s="76">
        <f>+AVERAGE(DX115,DX112)</f>
        <v>1203</v>
      </c>
      <c r="DY180" s="85">
        <f t="shared" ref="DY180:DY183" si="855">+AVERAGE(DU180:DX180)</f>
        <v>1206.125</v>
      </c>
      <c r="DZ180" s="76">
        <f>+AVERAGE(DZ115,DZ112)</f>
        <v>1210</v>
      </c>
      <c r="EA180" s="76">
        <f>+AVERAGE(EA115,EA112)</f>
        <v>1219</v>
      </c>
      <c r="EB180" s="76">
        <f>+AVERAGE(EB115,EB112)</f>
        <v>1226</v>
      </c>
      <c r="EC180" s="76">
        <f>+AVERAGE(EC115,EC112)</f>
        <v>1233.5</v>
      </c>
      <c r="ED180" s="85">
        <f t="shared" ref="ED180:ED181" si="856">+AVERAGE(DZ180:EC180)</f>
        <v>1222.125</v>
      </c>
      <c r="EE180" s="76">
        <f>+AVERAGE(EE115,EE112)</f>
        <v>1244.5</v>
      </c>
      <c r="EF180" s="76">
        <f>+AVERAGE(EF115,EF112)</f>
        <v>1257</v>
      </c>
      <c r="EG180" s="76">
        <f>+AVERAGE(EG115,EG112)</f>
        <v>1277.5</v>
      </c>
      <c r="EH180" s="76">
        <f>+AVERAGE(EH115,EH112)</f>
        <v>1314</v>
      </c>
      <c r="EI180" s="85">
        <f t="shared" ref="EI180:EI181" si="857">+AVERAGE(EE180:EH180)</f>
        <v>1273.25</v>
      </c>
      <c r="EJ180" s="76">
        <f>+AVERAGE(EJ115,EJ112)</f>
        <v>1362</v>
      </c>
      <c r="EK180" s="76">
        <f>+AVERAGE(EK115,EK112)</f>
        <v>1413</v>
      </c>
      <c r="EL180" s="76">
        <f>+AVERAGE(EL115,EL112)</f>
        <v>1470</v>
      </c>
      <c r="EM180" s="76">
        <f>+AVERAGE(EM115,EM112)</f>
        <v>1538.5</v>
      </c>
      <c r="EN180" s="85">
        <f t="shared" ref="EN180:EN182" si="858">+AVERAGE(EJ180:EM180)</f>
        <v>1445.875</v>
      </c>
      <c r="EO180" s="76">
        <f>+AVERAGE(EO115,EO112)</f>
        <v>1617</v>
      </c>
      <c r="EP180" s="76">
        <f>+AVERAGE(EP115,EP112)</f>
        <v>1690.5</v>
      </c>
      <c r="EQ180" s="76">
        <f>+AVERAGE(EQ115,EQ112)</f>
        <v>1759.5</v>
      </c>
      <c r="ER180" s="76">
        <f>+AVERAGE(ER115,ER112)</f>
        <v>1837.5</v>
      </c>
      <c r="ES180" s="85">
        <f t="shared" ref="ES180:ES182" si="859">+AVERAGE(EO180:ER180)</f>
        <v>1726.125</v>
      </c>
      <c r="ET180" s="76">
        <f t="shared" ref="ET180:EW180" si="860">+AVERAGE(ET115,ET112)</f>
        <v>1929.571783038105</v>
      </c>
      <c r="EU180" s="76">
        <f t="shared" si="860"/>
        <v>2019.4862219721149</v>
      </c>
      <c r="EV180" s="76">
        <f t="shared" si="860"/>
        <v>2103.4016080353226</v>
      </c>
      <c r="EW180" s="76">
        <f t="shared" si="860"/>
        <v>2197.2687393341771</v>
      </c>
      <c r="EX180" s="85">
        <f t="shared" ref="EX180:EX182" si="861">+AVERAGE(ET180:EW180)</f>
        <v>2062.4320880949299</v>
      </c>
      <c r="EY180" s="76">
        <f t="shared" ref="EY180:FB180" si="862">+AVERAGE(EY115,EY112)</f>
        <v>2307.439259330914</v>
      </c>
      <c r="EZ180" s="76">
        <f t="shared" si="862"/>
        <v>2414.6044063470654</v>
      </c>
      <c r="FA180" s="76">
        <f t="shared" si="862"/>
        <v>2513.0156471323526</v>
      </c>
      <c r="FB180" s="76">
        <f t="shared" si="862"/>
        <v>2621.9375797027669</v>
      </c>
      <c r="FC180" s="85">
        <f t="shared" ref="FC180:FC182" si="863">+AVERAGE(EY180:FB180)</f>
        <v>2464.2492231282749</v>
      </c>
      <c r="FD180" s="76">
        <f t="shared" ref="FD180:FM180" si="864">+AVERAGE(FD115,FD112)</f>
        <v>2745.7626432748525</v>
      </c>
      <c r="FE180" s="76">
        <f t="shared" si="864"/>
        <v>2862.0554751908612</v>
      </c>
      <c r="FF180" s="76">
        <f t="shared" si="864"/>
        <v>2966.1032534270544</v>
      </c>
      <c r="FG180" s="76">
        <f t="shared" si="864"/>
        <v>3078.3957893023371</v>
      </c>
      <c r="FH180" s="85">
        <f t="shared" ref="FH180:FH182" si="865">+AVERAGE(FD180:FG180)</f>
        <v>2913.079290298776</v>
      </c>
      <c r="FI180" s="76">
        <f t="shared" si="864"/>
        <v>3334.9747784872188</v>
      </c>
      <c r="FJ180" s="76">
        <f t="shared" si="864"/>
        <v>3694.7963545377979</v>
      </c>
      <c r="FK180" s="76">
        <f t="shared" si="864"/>
        <v>3975.802484184399</v>
      </c>
      <c r="FL180" s="76">
        <f t="shared" si="864"/>
        <v>4183.3613812144849</v>
      </c>
      <c r="FM180" s="76">
        <f t="shared" si="864"/>
        <v>4325.1174140084167</v>
      </c>
      <c r="FN180" s="189">
        <f>+(FJ180/ES180)^0.2-1</f>
        <v>0.16440390373185676</v>
      </c>
    </row>
    <row r="181" spans="1:171" x14ac:dyDescent="0.3">
      <c r="A181" s="67" t="s">
        <v>359</v>
      </c>
      <c r="DU181" s="76">
        <f>AVERAGE(DU123,DU126)</f>
        <v>671.82154773716331</v>
      </c>
      <c r="DV181" s="76">
        <f>AVERAGE(DV123,DV126)</f>
        <v>628.48961042063956</v>
      </c>
      <c r="DW181" s="76">
        <f>AVERAGE(DW123,DW126)</f>
        <v>583.68170054831694</v>
      </c>
      <c r="DX181" s="76">
        <f>AVERAGE(DX123,DX126)</f>
        <v>540.90287675101956</v>
      </c>
      <c r="DY181" s="85">
        <f t="shared" si="855"/>
        <v>606.22393386428485</v>
      </c>
      <c r="DZ181" s="76">
        <f>AVERAGE(DZ123,DZ126)</f>
        <v>504</v>
      </c>
      <c r="EA181" s="76">
        <f>AVERAGE(EA123,EA126)</f>
        <v>475</v>
      </c>
      <c r="EB181" s="76">
        <f>AVERAGE(EB123,EB126)</f>
        <v>443.5</v>
      </c>
      <c r="EC181" s="76">
        <f>AVERAGE(EC123,EC126)</f>
        <v>413</v>
      </c>
      <c r="ED181" s="85">
        <f t="shared" si="856"/>
        <v>458.875</v>
      </c>
      <c r="EE181" s="76">
        <f>AVERAGE(EE123,EE126)</f>
        <v>386.5</v>
      </c>
      <c r="EF181" s="76">
        <f>AVERAGE(EF123,EF126)</f>
        <v>361</v>
      </c>
      <c r="EG181" s="76">
        <f>AVERAGE(EG123,EG126)</f>
        <v>339</v>
      </c>
      <c r="EH181" s="76">
        <f>AVERAGE(EH123,EH126)</f>
        <v>322</v>
      </c>
      <c r="EI181" s="85">
        <f t="shared" si="857"/>
        <v>352.125</v>
      </c>
      <c r="EJ181" s="76">
        <f>AVERAGE(EJ123,EJ126)</f>
        <v>308.5</v>
      </c>
      <c r="EK181" s="76">
        <f>AVERAGE(EK123,EK126)</f>
        <v>292.5</v>
      </c>
      <c r="EL181" s="76">
        <f>AVERAGE(EL123,EL126)</f>
        <v>276.5</v>
      </c>
      <c r="EM181" s="76">
        <f>AVERAGE(EM123,EM126)</f>
        <v>264.5</v>
      </c>
      <c r="EN181" s="85">
        <f t="shared" si="858"/>
        <v>285.5</v>
      </c>
      <c r="EO181" s="76">
        <f>AVERAGE(EO123,EO126)</f>
        <v>251.5</v>
      </c>
      <c r="EP181" s="76">
        <f>AVERAGE(EP123,EP126)</f>
        <v>237</v>
      </c>
      <c r="EQ181" s="76">
        <f>AVERAGE(EQ123,EQ126)</f>
        <v>222.5</v>
      </c>
      <c r="ER181" s="76">
        <f>AVERAGE(ER123,ER126)</f>
        <v>209</v>
      </c>
      <c r="ES181" s="85">
        <f t="shared" si="859"/>
        <v>230</v>
      </c>
      <c r="ET181" s="76">
        <f t="shared" ref="ET181:EW181" si="866">AVERAGE(ET123,ET126)</f>
        <v>197.12162162162161</v>
      </c>
      <c r="EU181" s="76">
        <f t="shared" si="866"/>
        <v>185.75675675675677</v>
      </c>
      <c r="EV181" s="76">
        <f t="shared" si="866"/>
        <v>174.39189189189193</v>
      </c>
      <c r="EW181" s="76">
        <f t="shared" si="866"/>
        <v>163.81081081081084</v>
      </c>
      <c r="EX181" s="85">
        <f t="shared" si="861"/>
        <v>180.27027027027029</v>
      </c>
      <c r="EY181" s="76">
        <f t="shared" ref="EY181:FB181" si="867">AVERAGE(EY123,EY126)</f>
        <v>154.50073046018994</v>
      </c>
      <c r="EZ181" s="76">
        <f t="shared" si="867"/>
        <v>145.59313367421478</v>
      </c>
      <c r="FA181" s="76">
        <f t="shared" si="867"/>
        <v>136.68553688823962</v>
      </c>
      <c r="FB181" s="76">
        <f t="shared" si="867"/>
        <v>128.39225712198689</v>
      </c>
      <c r="FC181" s="85">
        <f t="shared" si="863"/>
        <v>141.29291453615781</v>
      </c>
      <c r="FD181" s="76">
        <f t="shared" ref="FD181:FM181" si="868">AVERAGE(FD123,FD126)</f>
        <v>121.09516711744618</v>
      </c>
      <c r="FE181" s="76">
        <f t="shared" si="868"/>
        <v>114.11353720411429</v>
      </c>
      <c r="FF181" s="76">
        <f t="shared" si="868"/>
        <v>107.13190729078241</v>
      </c>
      <c r="FG181" s="76">
        <f t="shared" si="868"/>
        <v>100.63176909561135</v>
      </c>
      <c r="FH181" s="85">
        <f t="shared" si="865"/>
        <v>110.74309517698855</v>
      </c>
      <c r="FI181" s="76">
        <f t="shared" si="868"/>
        <v>86.19514399328736</v>
      </c>
      <c r="FJ181" s="76">
        <f t="shared" si="868"/>
        <v>65.828358914704694</v>
      </c>
      <c r="FK181" s="76">
        <f t="shared" si="868"/>
        <v>50.273978749204844</v>
      </c>
      <c r="FL181" s="76">
        <f t="shared" si="868"/>
        <v>38.394895162894841</v>
      </c>
      <c r="FM181" s="76">
        <f t="shared" si="868"/>
        <v>29.322683647611669</v>
      </c>
      <c r="FN181" s="189"/>
    </row>
    <row r="182" spans="1:171" x14ac:dyDescent="0.3">
      <c r="A182" s="67" t="s">
        <v>360</v>
      </c>
      <c r="DU182" s="76">
        <f>AVERAGE(DU135,DU138)</f>
        <v>99.266607214649042</v>
      </c>
      <c r="DV182" s="76">
        <f>AVERAGE(DV135,DV138)</f>
        <v>99.30848679432404</v>
      </c>
      <c r="DW182" s="76">
        <f>AVERAGE(DW135,DW138)</f>
        <v>98.893319789050295</v>
      </c>
      <c r="DX182" s="76">
        <f>AVERAGE(DX135,DX138)</f>
        <v>98.480327988769531</v>
      </c>
      <c r="DY182" s="85">
        <f t="shared" si="855"/>
        <v>98.987185446698234</v>
      </c>
      <c r="DZ182" s="76">
        <f>AVERAGE(DZ135,DZ138)</f>
        <v>98.069567167968756</v>
      </c>
      <c r="EA182" s="76">
        <f>AVERAGE(EA135,EA138)</f>
        <v>97.161094531250001</v>
      </c>
      <c r="EB182" s="76">
        <f>AVERAGE(EB135,EB138)</f>
        <v>97.254968749999989</v>
      </c>
      <c r="EC182" s="76">
        <f>AVERAGE(EC135,EC138)</f>
        <v>98.351249999999993</v>
      </c>
      <c r="ED182" s="85">
        <f>+AVERAGE(DZ182:EC182)</f>
        <v>97.709220112304692</v>
      </c>
      <c r="EE182" s="76">
        <f>AVERAGE(EE135,EE138)</f>
        <v>98.95</v>
      </c>
      <c r="EF182" s="76">
        <f>AVERAGE(EF135,EF138)</f>
        <v>99.5</v>
      </c>
      <c r="EG182" s="76">
        <f>AVERAGE(EG135,EG138)</f>
        <v>100</v>
      </c>
      <c r="EH182" s="76">
        <f>AVERAGE(EH135,EH138)</f>
        <v>100.5</v>
      </c>
      <c r="EI182" s="85">
        <f>+AVERAGE(EE182:EH182)</f>
        <v>99.737499999999997</v>
      </c>
      <c r="EJ182" s="76">
        <f>AVERAGE(EJ135,EJ138)</f>
        <v>102.5</v>
      </c>
      <c r="EK182" s="76">
        <f>AVERAGE(EK135,EK138)</f>
        <v>106</v>
      </c>
      <c r="EL182" s="76">
        <f>AVERAGE(EL135,EL138)</f>
        <v>109</v>
      </c>
      <c r="EM182" s="76">
        <f>AVERAGE(EM135,EM138)</f>
        <v>112</v>
      </c>
      <c r="EN182" s="85">
        <f t="shared" si="858"/>
        <v>107.375</v>
      </c>
      <c r="EO182" s="76">
        <f>AVERAGE(EO135,EO138)</f>
        <v>116</v>
      </c>
      <c r="EP182" s="76">
        <f>AVERAGE(EP135,EP138)</f>
        <v>120</v>
      </c>
      <c r="EQ182" s="76">
        <f>AVERAGE(EQ135,EQ138)</f>
        <v>124</v>
      </c>
      <c r="ER182" s="76">
        <f>AVERAGE(ER135,ER138)</f>
        <v>128.97874911158544</v>
      </c>
      <c r="ES182" s="85">
        <f t="shared" si="859"/>
        <v>122.24468727789636</v>
      </c>
      <c r="ET182" s="76">
        <f t="shared" ref="ET182:EW182" si="869">AVERAGE(ET135,ET138)</f>
        <v>134.67104521069166</v>
      </c>
      <c r="EU182" s="76">
        <f t="shared" si="869"/>
        <v>140.00702256924058</v>
      </c>
      <c r="EV182" s="76">
        <f t="shared" si="869"/>
        <v>145.18622308620718</v>
      </c>
      <c r="EW182" s="76">
        <f t="shared" si="869"/>
        <v>151.43383908259199</v>
      </c>
      <c r="EX182" s="85">
        <f t="shared" si="861"/>
        <v>142.82453248718286</v>
      </c>
      <c r="EY182" s="76">
        <f t="shared" ref="EY182:FB182" si="870">AVERAGE(EY135,EY138)</f>
        <v>158.60610035626064</v>
      </c>
      <c r="EZ182" s="76">
        <f t="shared" si="870"/>
        <v>165.38642542078023</v>
      </c>
      <c r="FA182" s="76">
        <f t="shared" si="870"/>
        <v>171.85169766970915</v>
      </c>
      <c r="FB182" s="76">
        <f t="shared" si="870"/>
        <v>179.50537671920915</v>
      </c>
      <c r="FC182" s="85">
        <f t="shared" si="863"/>
        <v>168.83740004148979</v>
      </c>
      <c r="FD182" s="76">
        <f t="shared" ref="FD182:FM182" si="871">AVERAGE(FD135,FD138)</f>
        <v>188.17946960589023</v>
      </c>
      <c r="FE182" s="76">
        <f t="shared" si="871"/>
        <v>196.28816663100341</v>
      </c>
      <c r="FF182" s="76">
        <f t="shared" si="871"/>
        <v>203.89161222890147</v>
      </c>
      <c r="FG182" s="76">
        <f t="shared" si="871"/>
        <v>212.55592158914834</v>
      </c>
      <c r="FH182" s="85">
        <f t="shared" si="865"/>
        <v>200.22879251373587</v>
      </c>
      <c r="FI182" s="76">
        <f t="shared" si="871"/>
        <v>235.42815710868342</v>
      </c>
      <c r="FJ182" s="76">
        <f t="shared" si="871"/>
        <v>271.38596922405043</v>
      </c>
      <c r="FK182" s="76">
        <f t="shared" si="871"/>
        <v>307.93140420424834</v>
      </c>
      <c r="FL182" s="76">
        <f t="shared" si="871"/>
        <v>345.5098333212361</v>
      </c>
      <c r="FM182" s="76">
        <f t="shared" si="871"/>
        <v>384.54230789848339</v>
      </c>
    </row>
    <row r="183" spans="1:171" s="108" customFormat="1" x14ac:dyDescent="0.3">
      <c r="A183" s="67" t="s">
        <v>355</v>
      </c>
      <c r="DU183" s="120">
        <f>DU180+DU182</f>
        <v>1313.766607214649</v>
      </c>
      <c r="DV183" s="120">
        <f t="shared" ref="DV183:DX183" si="872">DV180+DV182</f>
        <v>1305.3084867943239</v>
      </c>
      <c r="DW183" s="120">
        <f t="shared" si="872"/>
        <v>1299.8933197890503</v>
      </c>
      <c r="DX183" s="120">
        <f t="shared" si="872"/>
        <v>1301.4803279887694</v>
      </c>
      <c r="DY183" s="121">
        <f t="shared" si="855"/>
        <v>1305.112185446698</v>
      </c>
      <c r="DZ183" s="120">
        <f>DZ180+DZ182</f>
        <v>1308.0695671679687</v>
      </c>
      <c r="EA183" s="120">
        <f t="shared" ref="EA183:EC183" si="873">EA180+EA182</f>
        <v>1316.16109453125</v>
      </c>
      <c r="EB183" s="120">
        <f t="shared" si="873"/>
        <v>1323.25496875</v>
      </c>
      <c r="EC183" s="120">
        <f t="shared" si="873"/>
        <v>1331.8512499999999</v>
      </c>
      <c r="ED183" s="121">
        <f>+AVERAGE(DZ183:EC183)</f>
        <v>1319.8342201123046</v>
      </c>
      <c r="EE183" s="120">
        <f>EE180+EE182</f>
        <v>1343.45</v>
      </c>
      <c r="EF183" s="120">
        <f t="shared" ref="EF183:EH183" si="874">EF180+EF182</f>
        <v>1356.5</v>
      </c>
      <c r="EG183" s="120">
        <f t="shared" si="874"/>
        <v>1377.5</v>
      </c>
      <c r="EH183" s="120">
        <f t="shared" si="874"/>
        <v>1414.5</v>
      </c>
      <c r="EI183" s="121">
        <f>+AVERAGE(EE183:EH183)</f>
        <v>1372.9875</v>
      </c>
      <c r="EJ183" s="120">
        <f t="shared" ref="EJ183:FM183" si="875">EJ180+EJ182</f>
        <v>1464.5</v>
      </c>
      <c r="EK183" s="120">
        <f t="shared" si="875"/>
        <v>1519</v>
      </c>
      <c r="EL183" s="120">
        <f t="shared" si="875"/>
        <v>1579</v>
      </c>
      <c r="EM183" s="120">
        <f t="shared" si="875"/>
        <v>1650.5</v>
      </c>
      <c r="EN183" s="121">
        <f t="shared" si="875"/>
        <v>1553.25</v>
      </c>
      <c r="EO183" s="120">
        <f t="shared" si="875"/>
        <v>1733</v>
      </c>
      <c r="EP183" s="120">
        <f t="shared" si="875"/>
        <v>1810.5</v>
      </c>
      <c r="EQ183" s="120">
        <f t="shared" si="875"/>
        <v>1883.5</v>
      </c>
      <c r="ER183" s="120">
        <f t="shared" si="875"/>
        <v>1966.4787491115853</v>
      </c>
      <c r="ES183" s="121">
        <f t="shared" si="875"/>
        <v>1848.3696872778964</v>
      </c>
      <c r="ET183" s="120">
        <f t="shared" si="875"/>
        <v>2064.2428282487967</v>
      </c>
      <c r="EU183" s="120">
        <f t="shared" si="875"/>
        <v>2159.4932445413556</v>
      </c>
      <c r="EV183" s="120">
        <f t="shared" si="875"/>
        <v>2248.5878311215297</v>
      </c>
      <c r="EW183" s="120">
        <f t="shared" si="875"/>
        <v>2348.702578416769</v>
      </c>
      <c r="EX183" s="121">
        <f t="shared" si="875"/>
        <v>2205.2566205821126</v>
      </c>
      <c r="EY183" s="120">
        <f t="shared" ref="EY183:FC183" si="876">EY180+EY182</f>
        <v>2466.0453596871748</v>
      </c>
      <c r="EZ183" s="120">
        <f t="shared" si="876"/>
        <v>2579.9908317678455</v>
      </c>
      <c r="FA183" s="120">
        <f t="shared" si="876"/>
        <v>2684.8673448020618</v>
      </c>
      <c r="FB183" s="120">
        <f t="shared" si="876"/>
        <v>2801.4429564219763</v>
      </c>
      <c r="FC183" s="121">
        <f t="shared" si="876"/>
        <v>2633.0866231697646</v>
      </c>
      <c r="FD183" s="120">
        <f t="shared" si="875"/>
        <v>2933.9421128807426</v>
      </c>
      <c r="FE183" s="120">
        <f t="shared" si="875"/>
        <v>3058.3436418218648</v>
      </c>
      <c r="FF183" s="120">
        <f t="shared" si="875"/>
        <v>3169.9948656559559</v>
      </c>
      <c r="FG183" s="120">
        <f t="shared" si="875"/>
        <v>3290.9517108914856</v>
      </c>
      <c r="FH183" s="121">
        <f t="shared" ref="FH183" si="877">FH180+FH182</f>
        <v>3113.3080828125117</v>
      </c>
      <c r="FI183" s="120">
        <f t="shared" si="875"/>
        <v>3570.4029355959024</v>
      </c>
      <c r="FJ183" s="120">
        <f t="shared" si="875"/>
        <v>3966.1823237618482</v>
      </c>
      <c r="FK183" s="120">
        <f t="shared" si="875"/>
        <v>4283.7338883886478</v>
      </c>
      <c r="FL183" s="120">
        <f t="shared" si="875"/>
        <v>4528.8712145357213</v>
      </c>
      <c r="FM183" s="120">
        <f t="shared" si="875"/>
        <v>4709.6597219068999</v>
      </c>
    </row>
    <row r="184" spans="1:171" x14ac:dyDescent="0.3">
      <c r="A184" s="72"/>
      <c r="DZ184" s="84"/>
      <c r="EA184" s="84"/>
      <c r="EB184" s="84"/>
      <c r="EC184" s="84"/>
      <c r="ED184" s="84"/>
      <c r="EE184" s="84"/>
      <c r="EF184" s="84"/>
      <c r="EG184" s="84"/>
      <c r="EH184" s="84"/>
      <c r="EI184" s="84"/>
      <c r="EJ184" s="84"/>
      <c r="EK184" s="84"/>
      <c r="EL184" s="84"/>
      <c r="EM184" s="84"/>
      <c r="EO184" s="84"/>
      <c r="EP184" s="84"/>
      <c r="EQ184" s="84"/>
      <c r="ER184" s="84"/>
      <c r="ET184" s="84"/>
      <c r="EU184" s="84"/>
      <c r="EV184" s="84"/>
      <c r="EW184" s="84"/>
      <c r="EY184" s="84"/>
      <c r="EZ184" s="84"/>
      <c r="FA184" s="84"/>
      <c r="FB184" s="84"/>
      <c r="FD184" s="84"/>
      <c r="FE184" s="84"/>
      <c r="FF184" s="84"/>
      <c r="FG184" s="84"/>
      <c r="FM184" s="74"/>
    </row>
    <row r="185" spans="1:171" x14ac:dyDescent="0.3">
      <c r="A185" s="60" t="s">
        <v>361</v>
      </c>
      <c r="ED185" s="85"/>
      <c r="EE185" s="74"/>
      <c r="EO185"/>
      <c r="EP185"/>
      <c r="EQ185"/>
      <c r="ER185"/>
    </row>
    <row r="186" spans="1:171" x14ac:dyDescent="0.3">
      <c r="A186" s="56" t="s">
        <v>362</v>
      </c>
      <c r="DU186" s="828">
        <f>Inputs!DU429</f>
        <v>57.66</v>
      </c>
      <c r="DV186" s="828">
        <f>Inputs!DV429</f>
        <v>56.62</v>
      </c>
      <c r="DW186" s="828">
        <f>Inputs!DW429</f>
        <v>56.37</v>
      </c>
      <c r="DX186" s="828">
        <f>Inputs!DX429</f>
        <v>56.69</v>
      </c>
      <c r="DY186" s="102">
        <f>+DY199/DY180/12*1000</f>
        <v>56.837025598507608</v>
      </c>
      <c r="DZ186" s="828">
        <f>Inputs!DZ429</f>
        <v>56.8</v>
      </c>
      <c r="EA186" s="828">
        <f>Inputs!EA429</f>
        <v>56.92</v>
      </c>
      <c r="EB186" s="828">
        <f>Inputs!EB429</f>
        <v>57.58</v>
      </c>
      <c r="EC186" s="828">
        <f>Inputs!EC429</f>
        <v>59.72</v>
      </c>
      <c r="ED186" s="102">
        <f>+ED199/ED180/12*1000</f>
        <v>57.762336094916648</v>
      </c>
      <c r="EE186" s="828">
        <f>Inputs!EE429</f>
        <v>60.73</v>
      </c>
      <c r="EF186" s="828">
        <f>Inputs!EF429</f>
        <v>63.1</v>
      </c>
      <c r="EG186" s="828">
        <f>Inputs!EG429</f>
        <v>63.35</v>
      </c>
      <c r="EH186" s="828">
        <f>Inputs!EH429</f>
        <v>62.21</v>
      </c>
      <c r="EI186" s="102">
        <f>+EI199/EI180/12*1000</f>
        <v>62.353966228156288</v>
      </c>
      <c r="EJ186" s="828">
        <f>Inputs!EJ429</f>
        <v>62.1</v>
      </c>
      <c r="EK186" s="828">
        <f>Inputs!EK429</f>
        <v>63.35</v>
      </c>
      <c r="EL186" s="828">
        <f>Inputs!EL429</f>
        <v>62.97</v>
      </c>
      <c r="EM186" s="828">
        <f>Inputs!EM429</f>
        <v>61.2</v>
      </c>
      <c r="EN186" s="102">
        <f>+EN199/EN180/12*1000</f>
        <v>62.387109881559596</v>
      </c>
      <c r="EO186" s="828">
        <f>Inputs!EO429</f>
        <v>61.44</v>
      </c>
      <c r="EP186" s="828">
        <f>Inputs!EP429</f>
        <v>63.12</v>
      </c>
      <c r="EQ186" s="828">
        <f>Inputs!EQ429</f>
        <v>64.489999999999995</v>
      </c>
      <c r="ER186" s="828">
        <f>Inputs!ER429</f>
        <v>64.16</v>
      </c>
      <c r="ES186" s="102">
        <f>+ES199/ES180/12*1000</f>
        <v>63.352450575711487</v>
      </c>
      <c r="ET186" s="101">
        <f t="shared" ref="ET186:EW186" si="878">+EO186*(1+ET187)</f>
        <v>63.897599999999997</v>
      </c>
      <c r="EU186" s="101">
        <f t="shared" si="878"/>
        <v>65.644800000000004</v>
      </c>
      <c r="EV186" s="101">
        <f t="shared" si="878"/>
        <v>67.069599999999994</v>
      </c>
      <c r="EW186" s="101">
        <f t="shared" si="878"/>
        <v>66.726399999999998</v>
      </c>
      <c r="EX186" s="102">
        <f>+EX199/EX180/12*1000</f>
        <v>65.887492192366651</v>
      </c>
      <c r="EY186" s="101">
        <f t="shared" ref="EY186" si="879">+ET186*(1+EY187)</f>
        <v>66.134015999999988</v>
      </c>
      <c r="EZ186" s="101">
        <f t="shared" ref="EZ186" si="880">+EU186*(1+EZ187)</f>
        <v>67.942368000000002</v>
      </c>
      <c r="FA186" s="101">
        <f t="shared" ref="FA186" si="881">+EV186*(1+FA187)</f>
        <v>69.417035999999982</v>
      </c>
      <c r="FB186" s="101">
        <f t="shared" ref="FB186" si="882">+EW186*(1+FB187)</f>
        <v>69.061823999999987</v>
      </c>
      <c r="FC186" s="102">
        <f>+FC199/FC180/12*1000</f>
        <v>68.192783531320103</v>
      </c>
      <c r="FD186" s="101">
        <f t="shared" ref="FD186" si="883">+EY186*(1+FD187)</f>
        <v>68.448706559999977</v>
      </c>
      <c r="FE186" s="101">
        <f t="shared" ref="FE186" si="884">+EZ186*(1+FE187)</f>
        <v>70.320350879999992</v>
      </c>
      <c r="FF186" s="101">
        <f t="shared" ref="FF186" si="885">+FA186*(1+FF187)</f>
        <v>71.846632259999978</v>
      </c>
      <c r="FG186" s="101">
        <f t="shared" ref="FG186" si="886">+FB186*(1+FG187)</f>
        <v>71.478987839999988</v>
      </c>
      <c r="FH186" s="102">
        <f>+FH199/FH180/12*1000</f>
        <v>70.573927933355833</v>
      </c>
      <c r="FI186" s="101">
        <f t="shared" ref="FI186:FM186" si="887">+FH186*(1+FI187)</f>
        <v>73.038216744077303</v>
      </c>
      <c r="FJ186" s="101">
        <f t="shared" si="887"/>
        <v>75.588553186275107</v>
      </c>
      <c r="FK186" s="101">
        <f t="shared" si="887"/>
        <v>78.227941856995855</v>
      </c>
      <c r="FL186" s="101">
        <f t="shared" si="887"/>
        <v>80.959492267311774</v>
      </c>
      <c r="FM186" s="101">
        <f t="shared" si="887"/>
        <v>83.786422505691391</v>
      </c>
      <c r="FN186" s="189">
        <f>+(FJ186/ES186)^0.2-1</f>
        <v>3.5949351304837451E-2</v>
      </c>
      <c r="FO186" s="98"/>
    </row>
    <row r="187" spans="1:171" ht="12" customHeight="1" x14ac:dyDescent="0.3">
      <c r="A187" s="70" t="s">
        <v>363</v>
      </c>
      <c r="DZ187" s="375">
        <f t="shared" ref="DZ187:ER187" si="888">+DZ186/DU186-1</f>
        <v>-1.4915019077349934E-2</v>
      </c>
      <c r="EA187" s="375">
        <f t="shared" si="888"/>
        <v>5.298481102084196E-3</v>
      </c>
      <c r="EB187" s="375">
        <f t="shared" si="888"/>
        <v>2.1465318431789893E-2</v>
      </c>
      <c r="EC187" s="375">
        <f t="shared" si="888"/>
        <v>5.3448579996472123E-2</v>
      </c>
      <c r="ED187" s="84">
        <f t="shared" si="888"/>
        <v>1.6280065444405301E-2</v>
      </c>
      <c r="EE187" s="375">
        <f t="shared" si="888"/>
        <v>6.9190140845070358E-2</v>
      </c>
      <c r="EF187" s="375">
        <f t="shared" si="888"/>
        <v>0.1085734364019677</v>
      </c>
      <c r="EG187" s="375">
        <f t="shared" si="888"/>
        <v>0.10020840569642253</v>
      </c>
      <c r="EH187" s="375">
        <f t="shared" si="888"/>
        <v>4.1694574681848673E-2</v>
      </c>
      <c r="EI187" s="84">
        <f>+EI186/ED186-1</f>
        <v>7.9491766498061001E-2</v>
      </c>
      <c r="EJ187" s="375">
        <f t="shared" si="888"/>
        <v>2.2558867116746262E-2</v>
      </c>
      <c r="EK187" s="375">
        <f t="shared" si="888"/>
        <v>3.961965134706924E-3</v>
      </c>
      <c r="EL187" s="375">
        <f t="shared" si="888"/>
        <v>-5.9984214680347536E-3</v>
      </c>
      <c r="EM187" s="375">
        <f t="shared" si="888"/>
        <v>-1.6235331940202546E-2</v>
      </c>
      <c r="EN187" s="84">
        <f>+EN186/EI186-1</f>
        <v>5.3154042009184721E-4</v>
      </c>
      <c r="EO187" s="375">
        <f t="shared" si="888"/>
        <v>-1.0628019323671523E-2</v>
      </c>
      <c r="EP187" s="375">
        <f t="shared" si="888"/>
        <v>-3.6306235201263304E-3</v>
      </c>
      <c r="EQ187" s="375">
        <f t="shared" si="888"/>
        <v>2.4138478640622463E-2</v>
      </c>
      <c r="ER187" s="375">
        <f t="shared" si="888"/>
        <v>4.8366013071895253E-2</v>
      </c>
      <c r="ES187" s="84">
        <f>+ES186/EN186-1</f>
        <v>1.5473399809424748E-2</v>
      </c>
      <c r="ET187" s="87">
        <v>0.04</v>
      </c>
      <c r="EU187" s="87">
        <v>0.04</v>
      </c>
      <c r="EV187" s="87">
        <v>0.04</v>
      </c>
      <c r="EW187" s="87">
        <v>0.04</v>
      </c>
      <c r="EX187" s="84">
        <f>+EX186/ES186-1</f>
        <v>4.0014894350859809E-2</v>
      </c>
      <c r="EY187" s="87">
        <v>3.5000000000000003E-2</v>
      </c>
      <c r="EZ187" s="87">
        <v>3.5000000000000003E-2</v>
      </c>
      <c r="FA187" s="87">
        <v>3.5000000000000003E-2</v>
      </c>
      <c r="FB187" s="87">
        <v>3.5000000000000003E-2</v>
      </c>
      <c r="FC187" s="84">
        <f>+FC186/EX186-1</f>
        <v>3.4988299937458001E-2</v>
      </c>
      <c r="FD187" s="87">
        <f t="shared" ref="FD187:FG187" si="889">EY187</f>
        <v>3.5000000000000003E-2</v>
      </c>
      <c r="FE187" s="87">
        <f t="shared" si="889"/>
        <v>3.5000000000000003E-2</v>
      </c>
      <c r="FF187" s="87">
        <f t="shared" si="889"/>
        <v>3.5000000000000003E-2</v>
      </c>
      <c r="FG187" s="87">
        <f t="shared" si="889"/>
        <v>3.5000000000000003E-2</v>
      </c>
      <c r="FH187" s="84">
        <f>+FH186/FC186-1</f>
        <v>3.491783556455208E-2</v>
      </c>
      <c r="FI187" s="87">
        <f t="shared" ref="FI187:FM187" si="890">FH187</f>
        <v>3.491783556455208E-2</v>
      </c>
      <c r="FJ187" s="87">
        <f t="shared" si="890"/>
        <v>3.491783556455208E-2</v>
      </c>
      <c r="FK187" s="87">
        <f t="shared" si="890"/>
        <v>3.491783556455208E-2</v>
      </c>
      <c r="FL187" s="87">
        <f t="shared" si="890"/>
        <v>3.491783556455208E-2</v>
      </c>
      <c r="FM187" s="87">
        <f t="shared" si="890"/>
        <v>3.491783556455208E-2</v>
      </c>
    </row>
    <row r="188" spans="1:171" x14ac:dyDescent="0.3">
      <c r="A188" s="56" t="s">
        <v>364</v>
      </c>
      <c r="DU188" s="828"/>
      <c r="DV188" s="828"/>
      <c r="DW188" s="828"/>
      <c r="DX188" s="828"/>
      <c r="DY188" s="102"/>
      <c r="DZ188" s="828">
        <f>Inputs!DZ438</f>
        <v>105.46</v>
      </c>
      <c r="EA188" s="828">
        <f>Inputs!EA438</f>
        <v>104.59</v>
      </c>
      <c r="EB188" s="828">
        <f>Inputs!EB438</f>
        <v>105.21</v>
      </c>
      <c r="EC188" s="828">
        <f>Inputs!EC438</f>
        <v>107.33</v>
      </c>
      <c r="ED188" s="102">
        <f>ED200/ED181/12*1000</f>
        <v>105.59521383819121</v>
      </c>
      <c r="EE188" s="828">
        <f>Inputs!EE438</f>
        <v>110.21</v>
      </c>
      <c r="EF188" s="828">
        <f>Inputs!EF438</f>
        <v>114.41</v>
      </c>
      <c r="EG188" s="828">
        <f>Inputs!EG438</f>
        <v>115.47</v>
      </c>
      <c r="EH188" s="828">
        <f>Inputs!EH438</f>
        <v>116.48</v>
      </c>
      <c r="EI188" s="102">
        <f>EI200/EI181/12*1000</f>
        <v>113.98584664536742</v>
      </c>
      <c r="EJ188" s="828">
        <f>Inputs!EJ438</f>
        <v>117.84</v>
      </c>
      <c r="EK188" s="828">
        <f>Inputs!EK438</f>
        <v>121.55</v>
      </c>
      <c r="EL188" s="828">
        <f>Inputs!EL438</f>
        <v>121.63</v>
      </c>
      <c r="EM188" s="828">
        <f>Inputs!EM438</f>
        <v>122.2</v>
      </c>
      <c r="EN188" s="102">
        <f>EN200/EN181/12*1000</f>
        <v>120.71769702276708</v>
      </c>
      <c r="EO188" s="828">
        <f>Inputs!EO438</f>
        <v>127.92</v>
      </c>
      <c r="EP188" s="828">
        <f>Inputs!EP438</f>
        <v>131.15</v>
      </c>
      <c r="EQ188" s="828">
        <f>Inputs!EQ438</f>
        <v>131.66</v>
      </c>
      <c r="ER188" s="828">
        <f>Inputs!ER438</f>
        <v>132.05000000000001</v>
      </c>
      <c r="ES188" s="102">
        <f>ES200/ES181/12*1000</f>
        <v>130.5948152173913</v>
      </c>
      <c r="ET188" s="101">
        <f t="shared" ref="ET188:EW188" si="891">+EO188*(1+ET189)</f>
        <v>133.0368</v>
      </c>
      <c r="EU188" s="101">
        <f t="shared" si="891"/>
        <v>136.39600000000002</v>
      </c>
      <c r="EV188" s="101">
        <f t="shared" si="891"/>
        <v>136.9264</v>
      </c>
      <c r="EW188" s="101">
        <f t="shared" si="891"/>
        <v>137.33200000000002</v>
      </c>
      <c r="EX188" s="102">
        <f>EX200/EX181/12*1000</f>
        <v>135.81860782608695</v>
      </c>
      <c r="EY188" s="101">
        <f t="shared" ref="EY188" si="892">+ET188*(1+EY189)</f>
        <v>138.358272</v>
      </c>
      <c r="EZ188" s="101">
        <f t="shared" ref="EZ188" si="893">+EU188*(1+EZ189)</f>
        <v>141.85184000000001</v>
      </c>
      <c r="FA188" s="101">
        <f t="shared" ref="FA188" si="894">+EV188*(1+FA189)</f>
        <v>142.40345600000001</v>
      </c>
      <c r="FB188" s="101">
        <f t="shared" ref="FB188" si="895">+EW188*(1+FB189)</f>
        <v>142.82528000000002</v>
      </c>
      <c r="FC188" s="102">
        <f>FC200/FC181/12*1000</f>
        <v>141.25135213913046</v>
      </c>
      <c r="FD188" s="101">
        <f t="shared" ref="FD188" si="896">+EY188*(1+FD189)</f>
        <v>143.89260288</v>
      </c>
      <c r="FE188" s="101">
        <f t="shared" ref="FE188" si="897">+EZ188*(1+FE189)</f>
        <v>147.52591360000002</v>
      </c>
      <c r="FF188" s="101">
        <f t="shared" ref="FF188" si="898">+FA188*(1+FF189)</f>
        <v>148.09959424000002</v>
      </c>
      <c r="FG188" s="101">
        <f t="shared" ref="FG188" si="899">+FB188*(1+FG189)</f>
        <v>148.53829120000003</v>
      </c>
      <c r="FH188" s="102">
        <f>FH200/FH181/12*1000</f>
        <v>146.90140622469568</v>
      </c>
      <c r="FI188" s="101">
        <f t="shared" ref="FI188:FM188" si="900">+FH188*(1+FI189)</f>
        <v>152.7774624736835</v>
      </c>
      <c r="FJ188" s="101">
        <f t="shared" si="900"/>
        <v>158.88856097263084</v>
      </c>
      <c r="FK188" s="101">
        <f t="shared" si="900"/>
        <v>165.24410341153609</v>
      </c>
      <c r="FL188" s="101">
        <f t="shared" si="900"/>
        <v>171.85386754799754</v>
      </c>
      <c r="FM188" s="101">
        <f t="shared" si="900"/>
        <v>178.72802224991744</v>
      </c>
      <c r="FN188" s="189">
        <f>+(FJ188/ES188)^0.2-1</f>
        <v>4.0000000000000036E-2</v>
      </c>
      <c r="FO188" s="98"/>
    </row>
    <row r="189" spans="1:171" ht="12" customHeight="1" x14ac:dyDescent="0.3">
      <c r="A189" s="70" t="s">
        <v>363</v>
      </c>
      <c r="DZ189" s="375"/>
      <c r="EA189" s="375"/>
      <c r="EB189" s="375"/>
      <c r="EC189" s="375"/>
      <c r="ED189" s="84"/>
      <c r="EE189" s="375">
        <f t="shared" ref="EE189:ER189" si="901">+EE188/DZ188-1</f>
        <v>4.5040773753081798E-2</v>
      </c>
      <c r="EF189" s="375">
        <f t="shared" si="901"/>
        <v>9.3890429295343747E-2</v>
      </c>
      <c r="EG189" s="375">
        <f t="shared" si="901"/>
        <v>9.7519247219846061E-2</v>
      </c>
      <c r="EH189" s="375">
        <f t="shared" si="901"/>
        <v>8.5251094754495549E-2</v>
      </c>
      <c r="EI189" s="84">
        <f t="shared" si="901"/>
        <v>7.9460351489354375E-2</v>
      </c>
      <c r="EJ189" s="375">
        <f t="shared" si="901"/>
        <v>6.9231467198983765E-2</v>
      </c>
      <c r="EK189" s="375">
        <f t="shared" si="901"/>
        <v>6.2407132243684993E-2</v>
      </c>
      <c r="EL189" s="375">
        <f t="shared" si="901"/>
        <v>5.334718974625452E-2</v>
      </c>
      <c r="EM189" s="375">
        <f t="shared" si="901"/>
        <v>4.9107142857142794E-2</v>
      </c>
      <c r="EN189" s="84">
        <f>+EN188/EI188-1</f>
        <v>5.9058651363478321E-2</v>
      </c>
      <c r="EO189" s="375">
        <f t="shared" si="901"/>
        <v>8.5539714867617134E-2</v>
      </c>
      <c r="EP189" s="375">
        <f t="shared" si="901"/>
        <v>7.8979843685726081E-2</v>
      </c>
      <c r="EQ189" s="375">
        <f t="shared" si="901"/>
        <v>8.2463208090109319E-2</v>
      </c>
      <c r="ER189" s="375">
        <f t="shared" si="901"/>
        <v>8.0605564648117856E-2</v>
      </c>
      <c r="ES189" s="84">
        <f>+ES188/EN188-1</f>
        <v>8.1819968722244729E-2</v>
      </c>
      <c r="ET189" s="87">
        <v>0.04</v>
      </c>
      <c r="EU189" s="87">
        <v>0.04</v>
      </c>
      <c r="EV189" s="87">
        <v>0.04</v>
      </c>
      <c r="EW189" s="87">
        <v>0.04</v>
      </c>
      <c r="EX189" s="84">
        <f>+EX188/ES188-1</f>
        <v>4.0000000000000036E-2</v>
      </c>
      <c r="EY189" s="87">
        <f t="shared" ref="EY189:FB189" si="902">ET189</f>
        <v>0.04</v>
      </c>
      <c r="EZ189" s="87">
        <f t="shared" si="902"/>
        <v>0.04</v>
      </c>
      <c r="FA189" s="87">
        <f t="shared" si="902"/>
        <v>0.04</v>
      </c>
      <c r="FB189" s="87">
        <f t="shared" si="902"/>
        <v>0.04</v>
      </c>
      <c r="FC189" s="84">
        <f>+FC188/EX188-1</f>
        <v>4.0000000000000258E-2</v>
      </c>
      <c r="FD189" s="87">
        <f t="shared" ref="FD189:FG189" si="903">EY189</f>
        <v>0.04</v>
      </c>
      <c r="FE189" s="87">
        <f t="shared" si="903"/>
        <v>0.04</v>
      </c>
      <c r="FF189" s="87">
        <f t="shared" si="903"/>
        <v>0.04</v>
      </c>
      <c r="FG189" s="87">
        <f t="shared" si="903"/>
        <v>0.04</v>
      </c>
      <c r="FH189" s="84">
        <f>+FH188/FC188-1</f>
        <v>4.0000000000000036E-2</v>
      </c>
      <c r="FI189" s="87">
        <f t="shared" ref="FI189:FM189" si="904">FH189</f>
        <v>4.0000000000000036E-2</v>
      </c>
      <c r="FJ189" s="87">
        <f t="shared" si="904"/>
        <v>4.0000000000000036E-2</v>
      </c>
      <c r="FK189" s="87">
        <f t="shared" si="904"/>
        <v>4.0000000000000036E-2</v>
      </c>
      <c r="FL189" s="87">
        <f t="shared" si="904"/>
        <v>4.0000000000000036E-2</v>
      </c>
      <c r="FM189" s="87">
        <f t="shared" si="904"/>
        <v>4.0000000000000036E-2</v>
      </c>
    </row>
    <row r="190" spans="1:171" s="108" customFormat="1" x14ac:dyDescent="0.3">
      <c r="A190" s="56" t="s">
        <v>365</v>
      </c>
      <c r="DU190" s="1070"/>
      <c r="DV190" s="1070"/>
      <c r="DW190" s="1071"/>
      <c r="DX190" s="1071"/>
      <c r="DY190" s="1072"/>
      <c r="DZ190" s="1143">
        <f>DZ201/DZ180*1000/3</f>
        <v>18.281123966942154</v>
      </c>
      <c r="EA190" s="1143">
        <f>EA201/EA180*1000/3</f>
        <v>16.89986601039103</v>
      </c>
      <c r="EB190" s="1143">
        <f>EB201/EB180*1000/3</f>
        <v>16.106268352365422</v>
      </c>
      <c r="EC190" s="1143">
        <f>EC201/EC180*1000/3</f>
        <v>17.301518713687347</v>
      </c>
      <c r="ED190" s="1072">
        <f>+ED201/ED180/12*1000</f>
        <v>17.144073846783272</v>
      </c>
      <c r="EE190" s="1143">
        <f>EE201/EE180*1000/3</f>
        <v>15.126838087585369</v>
      </c>
      <c r="EF190" s="1143">
        <f>EF201/EF180*1000/3</f>
        <v>13.562415804826315</v>
      </c>
      <c r="EG190" s="1143">
        <f>EG201/EG180*1000/3</f>
        <v>12.727497716894979</v>
      </c>
      <c r="EH190" s="1143">
        <f>EH201/EH180*1000/3</f>
        <v>11.985920852359209</v>
      </c>
      <c r="EI190" s="1072">
        <f>+EI201/EI180/12*1000</f>
        <v>13.328526408796387</v>
      </c>
      <c r="EJ190" s="1143">
        <f>EJ201/EJ180*1000/3</f>
        <v>10.81705335291239</v>
      </c>
      <c r="EK190" s="1143">
        <f>EK201/EK180*1000/3</f>
        <v>10.80425218211842</v>
      </c>
      <c r="EL190" s="1143">
        <f>EL201/EL180*1000/3</f>
        <v>10.297100907029494</v>
      </c>
      <c r="EM190" s="1143">
        <f>EM201/EM180*1000/3</f>
        <v>12.255595276784733</v>
      </c>
      <c r="EN190" s="1072">
        <f>+EN201/EN180/12*1000</f>
        <v>11.064443099622491</v>
      </c>
      <c r="EO190" s="1143">
        <f>EO201/EO180*1000/3</f>
        <v>11.016062667491241</v>
      </c>
      <c r="EP190" s="1143">
        <f>EP201/EP180*1000/3</f>
        <v>9.5907068914522267</v>
      </c>
      <c r="EQ190" s="1143">
        <f>EQ201/EQ180*1000/3</f>
        <v>9.6062299895803793</v>
      </c>
      <c r="ER190" s="1143">
        <f>ER201/ER180*1000/3</f>
        <v>8.6208888888888868</v>
      </c>
      <c r="ES190" s="1072">
        <f>+ES201/ES180/12*1000</f>
        <v>9.6703756004538093</v>
      </c>
      <c r="ET190" s="1073">
        <f>+ET201/ET180/3*1000</f>
        <v>8.0314642534830032</v>
      </c>
      <c r="EU190" s="1073">
        <f t="shared" ref="EU190:EW190" si="905">+EU201/EU180/3*1000</f>
        <v>7.3860582150611718</v>
      </c>
      <c r="EV190" s="1073">
        <f t="shared" si="905"/>
        <v>6.9910000039103659</v>
      </c>
      <c r="EW190" s="1073">
        <f t="shared" si="905"/>
        <v>6.4884166168586788</v>
      </c>
      <c r="EX190" s="1072">
        <f>+EX201/EX180/12*1000</f>
        <v>7.1972073156654499</v>
      </c>
      <c r="EY190" s="1073">
        <f>+EY201/EY180/3*1000</f>
        <v>5.9304288028660697</v>
      </c>
      <c r="EZ190" s="1073">
        <f t="shared" ref="EZ190:FB190" si="906">+EZ201/EZ180/3*1000</f>
        <v>5.7326523889439072</v>
      </c>
      <c r="FA190" s="1073">
        <f t="shared" si="906"/>
        <v>5.1668638151006947</v>
      </c>
      <c r="FB190" s="1073">
        <f t="shared" si="906"/>
        <v>4.9481282660705999</v>
      </c>
      <c r="FC190" s="1072">
        <f>+FC201/FC180/12*1000</f>
        <v>5.4260223078059502</v>
      </c>
      <c r="FD190" s="1073">
        <f>+FD201/FD180/3*1000</f>
        <v>4.4589316915107924</v>
      </c>
      <c r="FE190" s="1073">
        <f t="shared" ref="FE190:FG190" si="907">+FE201/FE180/3*1000</f>
        <v>4.5230152058406219</v>
      </c>
      <c r="FF190" s="1073">
        <f t="shared" si="907"/>
        <v>3.9166375169773824</v>
      </c>
      <c r="FG190" s="1073">
        <f t="shared" si="907"/>
        <v>3.8730611352778941</v>
      </c>
      <c r="FH190" s="1072">
        <f>+FH201/FH180/12*1000</f>
        <v>4.181851060159925</v>
      </c>
      <c r="FI190" s="1073">
        <f t="shared" ref="FI190:FM190" si="908">+FI201/FI180/12*1000</f>
        <v>3.3604796815341702</v>
      </c>
      <c r="FJ190" s="1073">
        <f t="shared" si="908"/>
        <v>2.8147383677852904</v>
      </c>
      <c r="FK190" s="1073">
        <f t="shared" si="908"/>
        <v>2.4462249470545694</v>
      </c>
      <c r="FL190" s="1073">
        <f t="shared" si="908"/>
        <v>2.1892157671779424</v>
      </c>
      <c r="FM190" s="1073">
        <f t="shared" si="908"/>
        <v>2.0062788588988099</v>
      </c>
      <c r="FN190" s="1068">
        <f>+(FJ190/ES190)^0.2-1</f>
        <v>-0.21873397573860287</v>
      </c>
    </row>
    <row r="191" spans="1:171" s="108" customFormat="1" x14ac:dyDescent="0.3">
      <c r="A191" s="70" t="s">
        <v>363</v>
      </c>
      <c r="DY191" s="538"/>
      <c r="DZ191" s="940"/>
      <c r="EA191" s="940"/>
      <c r="EB191" s="940"/>
      <c r="EC191" s="940"/>
      <c r="ED191" s="127"/>
      <c r="EE191" s="375">
        <f t="shared" ref="EE191:ER191" si="909">+EE190/DZ190-1</f>
        <v>-0.17254332310533504</v>
      </c>
      <c r="EF191" s="375">
        <f t="shared" si="909"/>
        <v>-0.19748382641096995</v>
      </c>
      <c r="EG191" s="375">
        <f t="shared" si="909"/>
        <v>-0.20977985474669092</v>
      </c>
      <c r="EH191" s="375">
        <f t="shared" si="909"/>
        <v>-0.30723302094416327</v>
      </c>
      <c r="EI191" s="127">
        <f t="shared" si="909"/>
        <v>-0.22255780464354402</v>
      </c>
      <c r="EJ191" s="375">
        <f t="shared" si="909"/>
        <v>-0.28490982118794739</v>
      </c>
      <c r="EK191" s="375">
        <f t="shared" si="909"/>
        <v>-0.20336816555398463</v>
      </c>
      <c r="EL191" s="375">
        <f t="shared" si="909"/>
        <v>-0.19095637366638696</v>
      </c>
      <c r="EM191" s="375">
        <f t="shared" si="909"/>
        <v>2.2499266243064087E-2</v>
      </c>
      <c r="EN191" s="127">
        <f>+EN190/EI190-1</f>
        <v>-0.16986748870300294</v>
      </c>
      <c r="EO191" s="375">
        <f t="shared" si="909"/>
        <v>1.8397738097988503E-2</v>
      </c>
      <c r="EP191" s="375">
        <f t="shared" si="909"/>
        <v>-0.11232108157144571</v>
      </c>
      <c r="EQ191" s="375">
        <f t="shared" si="909"/>
        <v>-6.7093730913861283E-2</v>
      </c>
      <c r="ER191" s="375">
        <f t="shared" si="909"/>
        <v>-0.29657526262970846</v>
      </c>
      <c r="ES191" s="127">
        <f>+ES190/EN190-1</f>
        <v>-0.12599527031019264</v>
      </c>
      <c r="ET191" s="126">
        <f t="shared" ref="ET191:EW191" si="910">+ET190/EO190-1</f>
        <v>-0.27093150285136669</v>
      </c>
      <c r="EU191" s="126">
        <f t="shared" si="910"/>
        <v>-0.22987342865789806</v>
      </c>
      <c r="EV191" s="126">
        <f t="shared" si="910"/>
        <v>-0.27224311603060547</v>
      </c>
      <c r="EW191" s="126">
        <f t="shared" si="910"/>
        <v>-0.24736106676640557</v>
      </c>
      <c r="EX191" s="127">
        <f>+EX190/ES190-1</f>
        <v>-0.25574686930177759</v>
      </c>
      <c r="EY191" s="126">
        <f t="shared" ref="EY191" si="911">+EY190/ET190-1</f>
        <v>-0.26160054808259625</v>
      </c>
      <c r="EZ191" s="126">
        <f t="shared" ref="EZ191" si="912">+EZ190/EU190-1</f>
        <v>-0.22385496810000038</v>
      </c>
      <c r="FA191" s="126">
        <f t="shared" ref="FA191" si="913">+FA190/EV190-1</f>
        <v>-0.260926360719404</v>
      </c>
      <c r="FB191" s="126">
        <f t="shared" ref="FB191" si="914">+FB190/EW190-1</f>
        <v>-0.23739048241538452</v>
      </c>
      <c r="FC191" s="127">
        <f>+FC190/EX190-1</f>
        <v>-0.24609337068898052</v>
      </c>
      <c r="FD191" s="126">
        <f t="shared" ref="FD191" si="915">+FD190/EY190-1</f>
        <v>-0.24812659594600128</v>
      </c>
      <c r="FE191" s="126">
        <f t="shared" ref="FE191" si="916">+FE190/EZ190-1</f>
        <v>-0.21100829093286955</v>
      </c>
      <c r="FF191" s="126">
        <f t="shared" ref="FF191" si="917">+FF190/FA190-1</f>
        <v>-0.24197005047228004</v>
      </c>
      <c r="FG191" s="126">
        <f t="shared" ref="FG191" si="918">+FG190/FB190-1</f>
        <v>-0.21726743386271119</v>
      </c>
      <c r="FH191" s="127">
        <f>+FH190/FC190-1</f>
        <v>-0.22929711251944973</v>
      </c>
      <c r="FI191" s="126">
        <f t="shared" ref="FI191:FM191" si="919">+FI190/FH190-1</f>
        <v>-0.19641335064533438</v>
      </c>
      <c r="FJ191" s="126">
        <f t="shared" si="919"/>
        <v>-0.16239982546174203</v>
      </c>
      <c r="FK191" s="126">
        <f t="shared" si="919"/>
        <v>-0.13092279728317235</v>
      </c>
      <c r="FL191" s="126">
        <f t="shared" si="919"/>
        <v>-0.10506359204049676</v>
      </c>
      <c r="FM191" s="126">
        <f t="shared" si="919"/>
        <v>-8.3562758418715188E-2</v>
      </c>
    </row>
    <row r="192" spans="1:171" s="108" customFormat="1" x14ac:dyDescent="0.3">
      <c r="A192" s="56" t="s">
        <v>366</v>
      </c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 s="828"/>
      <c r="DV192" s="828"/>
      <c r="DW192" s="828"/>
      <c r="DX192" s="828"/>
      <c r="DY192" s="102"/>
      <c r="DZ192" s="1217">
        <f>DZ202/DZ180/3*1000</f>
        <v>119.00826446280992</v>
      </c>
      <c r="EA192" s="1217">
        <f>EA202/EA180/3*1000</f>
        <v>114.57478807765929</v>
      </c>
      <c r="EB192" s="1217">
        <f>EB202/EB180/3*1000</f>
        <v>111.74551386623165</v>
      </c>
      <c r="EC192" s="1217">
        <f>EC202/EC180/3*1000</f>
        <v>112.95770841778138</v>
      </c>
      <c r="ED192" s="1218">
        <f>ED202/ED180/12*1000</f>
        <v>114.55456684054414</v>
      </c>
      <c r="EE192" s="1217">
        <f>EE202/EE180/3*1000</f>
        <v>110.08437123342708</v>
      </c>
      <c r="EF192" s="1217">
        <f>EF202/EF180/3*1000</f>
        <v>109.52002121453195</v>
      </c>
      <c r="EG192" s="1217">
        <f>EG202/EG180/3*1000</f>
        <v>106.71885192433137</v>
      </c>
      <c r="EH192" s="1217">
        <f>EH202/EH180/3*1000</f>
        <v>102.73972602739727</v>
      </c>
      <c r="EI192" s="1218">
        <f>EI202/EI180/12*1000</f>
        <v>107.2059689770273</v>
      </c>
      <c r="EJ192" s="1217">
        <f>EJ202/EJ180/3*1000</f>
        <v>99.608418991678903</v>
      </c>
      <c r="EK192" s="1217">
        <f>EK202/EK180/3*1000</f>
        <v>99.315876385940086</v>
      </c>
      <c r="EL192" s="1217">
        <f>EL202/EL180/3*1000</f>
        <v>96.145124716553283</v>
      </c>
      <c r="EM192" s="1217">
        <f>EM202/EM180/3*1000</f>
        <v>94.464305059040186</v>
      </c>
      <c r="EN192" s="1218">
        <f t="shared" ref="EN192:FM192" si="920">EN202/EN180/12*1000</f>
        <v>97.288262586092614</v>
      </c>
      <c r="EO192" s="1217">
        <f>EO202/EO180/3*1000</f>
        <v>92.352092352092356</v>
      </c>
      <c r="EP192" s="1217">
        <f>EP202/EP180/3*1000</f>
        <v>91.097308488612853</v>
      </c>
      <c r="EQ192" s="1217">
        <f>EQ202/EQ180/3*1000</f>
        <v>90.745476934735237</v>
      </c>
      <c r="ER192" s="1217">
        <f>ER202/ER180/3*1000</f>
        <v>87.800453514739232</v>
      </c>
      <c r="ES192" s="1218">
        <f t="shared" ref="ES192" si="921">ES202/ES180/12*1000</f>
        <v>90.424119535568607</v>
      </c>
      <c r="ET192" s="1217">
        <f t="shared" ref="ET192:EW192" si="922">ET202/ET180/3*1000</f>
        <v>85.519867136214359</v>
      </c>
      <c r="EU192" s="1217">
        <f t="shared" si="922"/>
        <v>85.576860420440141</v>
      </c>
      <c r="EV192" s="1217">
        <f t="shared" si="922"/>
        <v>85.413093914119898</v>
      </c>
      <c r="EW192" s="1217">
        <f t="shared" si="922"/>
        <v>83.453193865645829</v>
      </c>
      <c r="EX192" s="1218">
        <f t="shared" ref="EX192" si="923">EX202/EX180/12*1000</f>
        <v>84.956148406578123</v>
      </c>
      <c r="EY192" s="1217">
        <f t="shared" ref="EY192:FB192" si="924">EY202/EY180/3*1000</f>
        <v>81.328590761537214</v>
      </c>
      <c r="EZ192" s="1217">
        <f t="shared" si="924"/>
        <v>82.22824502846062</v>
      </c>
      <c r="FA192" s="1217">
        <f t="shared" si="924"/>
        <v>82.329372017119027</v>
      </c>
      <c r="FB192" s="1217">
        <f t="shared" si="924"/>
        <v>81.00388691014345</v>
      </c>
      <c r="FC192" s="1218">
        <f t="shared" ref="FC192" si="925">FC202/FC180/12*1000</f>
        <v>81.717749338264184</v>
      </c>
      <c r="FD192" s="1217">
        <f t="shared" ref="FD192:FG192" si="926">FD202/FD180/3*1000</f>
        <v>79.253670686395807</v>
      </c>
      <c r="FE192" s="1217">
        <f t="shared" si="926"/>
        <v>80.725398763436388</v>
      </c>
      <c r="FF192" s="1217">
        <f t="shared" si="926"/>
        <v>81.112440269134126</v>
      </c>
      <c r="FG192" s="1217">
        <f t="shared" si="926"/>
        <v>80.207717981141059</v>
      </c>
      <c r="FH192" s="1218">
        <f t="shared" ref="FH192" si="927">FH202/FH180/12*1000</f>
        <v>80.340356270678143</v>
      </c>
      <c r="FI192" s="1217">
        <f t="shared" si="920"/>
        <v>80.347354586924965</v>
      </c>
      <c r="FJ192" s="1217">
        <f t="shared" si="920"/>
        <v>81.234130446250376</v>
      </c>
      <c r="FK192" s="1217">
        <f t="shared" si="920"/>
        <v>82.763676676935148</v>
      </c>
      <c r="FL192" s="1217">
        <f t="shared" si="920"/>
        <v>84.725983011849621</v>
      </c>
      <c r="FM192" s="1217">
        <f t="shared" si="920"/>
        <v>87.004410724993562</v>
      </c>
      <c r="FN192" s="1219">
        <f>+(FJ192/ES192)^0.2-1</f>
        <v>-2.1207011944673559E-2</v>
      </c>
    </row>
    <row r="193" spans="1:171" s="108" customFormat="1" x14ac:dyDescent="0.3">
      <c r="A193" s="70" t="s">
        <v>363</v>
      </c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 s="90"/>
      <c r="DZ193" s="375"/>
      <c r="EA193" s="375"/>
      <c r="EB193" s="375"/>
      <c r="EC193" s="375"/>
      <c r="ED193" s="84"/>
      <c r="EE193" s="375">
        <f t="shared" ref="EE193:ER193" si="928">+EE192/DZ192-1</f>
        <v>-7.4985491719119723E-2</v>
      </c>
      <c r="EF193" s="375">
        <f t="shared" si="928"/>
        <v>-4.4117619137128083E-2</v>
      </c>
      <c r="EG193" s="375">
        <f t="shared" si="928"/>
        <v>-4.4983120735545556E-2</v>
      </c>
      <c r="EH193" s="375">
        <f t="shared" si="928"/>
        <v>-9.0458478075637339E-2</v>
      </c>
      <c r="EI193" s="84">
        <f t="shared" si="928"/>
        <v>-6.4149322599646563E-2</v>
      </c>
      <c r="EJ193" s="375">
        <f t="shared" si="928"/>
        <v>-9.5162938429602995E-2</v>
      </c>
      <c r="EK193" s="375">
        <f t="shared" si="928"/>
        <v>-9.3171501570508242E-2</v>
      </c>
      <c r="EL193" s="375">
        <f t="shared" si="928"/>
        <v>-9.9080218884619931E-2</v>
      </c>
      <c r="EM193" s="375">
        <f t="shared" si="928"/>
        <v>-8.0547430758675542E-2</v>
      </c>
      <c r="EN193" s="84">
        <f>+EN192/EI192-1</f>
        <v>-9.2510766756465856E-2</v>
      </c>
      <c r="EO193" s="375">
        <f t="shared" si="928"/>
        <v>-7.2848527393981843E-2</v>
      </c>
      <c r="EP193" s="375">
        <f t="shared" si="928"/>
        <v>-8.275180360277945E-2</v>
      </c>
      <c r="EQ193" s="375">
        <f t="shared" si="928"/>
        <v>-5.6161430938248991E-2</v>
      </c>
      <c r="ER193" s="375">
        <f t="shared" si="928"/>
        <v>-7.0543593584222575E-2</v>
      </c>
      <c r="ES193" s="84">
        <f>+ES192/EN192-1</f>
        <v>-7.055468838750989E-2</v>
      </c>
      <c r="ET193" s="375">
        <f t="shared" ref="ET193:EW193" si="929">+ET192/EO192-1</f>
        <v>-7.3980188665678903E-2</v>
      </c>
      <c r="EU193" s="375">
        <f t="shared" si="929"/>
        <v>-6.0599464021077742E-2</v>
      </c>
      <c r="EV193" s="375">
        <f t="shared" si="929"/>
        <v>-5.8761970301290378E-2</v>
      </c>
      <c r="EW193" s="375">
        <f t="shared" si="929"/>
        <v>-4.9512952098403673E-2</v>
      </c>
      <c r="EX193" s="84">
        <f>+EX192/ES192-1</f>
        <v>-6.0470272279948944E-2</v>
      </c>
      <c r="EY193" s="375">
        <f t="shared" ref="EY193" si="930">+EY192/ET192-1</f>
        <v>-4.9009388286365807E-2</v>
      </c>
      <c r="EZ193" s="375">
        <f t="shared" ref="EZ193" si="931">+EZ192/EU192-1</f>
        <v>-3.9129916376082652E-2</v>
      </c>
      <c r="FA193" s="375">
        <f t="shared" ref="FA193" si="932">+FA192/EV192-1</f>
        <v>-3.6103620132311942E-2</v>
      </c>
      <c r="FB193" s="375">
        <f t="shared" ref="FB193" si="933">+FB192/EW192-1</f>
        <v>-2.934946934979632E-2</v>
      </c>
      <c r="FC193" s="84">
        <f>+FC192/EX192-1</f>
        <v>-3.8118477933060224E-2</v>
      </c>
      <c r="FD193" s="375">
        <f t="shared" ref="FD193" si="934">+FD192/EY192-1</f>
        <v>-2.5512800058533625E-2</v>
      </c>
      <c r="FE193" s="375">
        <f t="shared" ref="FE193" si="935">+FE192/EZ192-1</f>
        <v>-1.827652121851886E-2</v>
      </c>
      <c r="FF193" s="375">
        <f t="shared" ref="FF193" si="936">+FF192/FA192-1</f>
        <v>-1.4781258719328783E-2</v>
      </c>
      <c r="FG193" s="375">
        <f t="shared" ref="FG193" si="937">+FG192/FB192-1</f>
        <v>-9.8287743881422251E-3</v>
      </c>
      <c r="FH193" s="84">
        <f>+FH192/FC192-1</f>
        <v>-1.6855494415104699E-2</v>
      </c>
      <c r="FI193" s="375">
        <f t="shared" ref="FI193:FM193" si="938">+FI192/FH192-1</f>
        <v>8.7108354651199704E-5</v>
      </c>
      <c r="FJ193" s="375">
        <f t="shared" si="938"/>
        <v>1.1036777301311584E-2</v>
      </c>
      <c r="FK193" s="375">
        <f t="shared" si="938"/>
        <v>1.8828861985502821E-2</v>
      </c>
      <c r="FL193" s="375">
        <f t="shared" si="938"/>
        <v>2.3709753042681525E-2</v>
      </c>
      <c r="FM193" s="375">
        <f t="shared" si="938"/>
        <v>2.6891723555751312E-2</v>
      </c>
      <c r="FN193"/>
    </row>
    <row r="194" spans="1:171" x14ac:dyDescent="0.3">
      <c r="A194" s="56" t="s">
        <v>367</v>
      </c>
      <c r="DU194" s="828"/>
      <c r="DV194" s="828"/>
      <c r="DW194" s="828"/>
      <c r="DX194" s="828"/>
      <c r="DY194" s="102"/>
      <c r="DZ194" s="828">
        <f>Inputs!DZ442</f>
        <v>100.3</v>
      </c>
      <c r="EA194" s="828">
        <f>Inputs!EA442</f>
        <v>100.27</v>
      </c>
      <c r="EB194" s="828">
        <f>Inputs!EB442</f>
        <v>100.85</v>
      </c>
      <c r="EC194" s="828">
        <f>Inputs!EC442</f>
        <v>101.56</v>
      </c>
      <c r="ED194" s="102">
        <f>ED203/ED182*1000/12</f>
        <v>100.74647264295015</v>
      </c>
      <c r="EE194" s="828">
        <f>Inputs!EE447</f>
        <v>96.72</v>
      </c>
      <c r="EF194" s="828">
        <f>Inputs!EF447</f>
        <v>101.63</v>
      </c>
      <c r="EG194" s="828">
        <f>Inputs!EG447</f>
        <v>102.82</v>
      </c>
      <c r="EH194" s="828">
        <f>Inputs!EH447</f>
        <v>105.3</v>
      </c>
      <c r="EI194" s="102">
        <f>EI203/EI182*1000/12</f>
        <v>101.63498934703598</v>
      </c>
      <c r="EJ194" s="828">
        <f>Inputs!EJ447</f>
        <v>103.84</v>
      </c>
      <c r="EK194" s="828">
        <f>Inputs!EK447</f>
        <v>105.03</v>
      </c>
      <c r="EL194" s="828">
        <f>Inputs!EL447</f>
        <v>105.21</v>
      </c>
      <c r="EM194" s="828">
        <f>Inputs!EM447</f>
        <v>105.34</v>
      </c>
      <c r="EN194" s="102">
        <f>EN203/EN182*1000/12</f>
        <v>104.87252619324796</v>
      </c>
      <c r="EO194" s="828">
        <f>Inputs!EO447</f>
        <v>101.92</v>
      </c>
      <c r="EP194" s="828">
        <f>Inputs!EP447</f>
        <v>100.3</v>
      </c>
      <c r="EQ194" s="828">
        <f>Inputs!EQ447</f>
        <v>98.54</v>
      </c>
      <c r="ER194" s="828">
        <f>Inputs!ER447</f>
        <v>98.86</v>
      </c>
      <c r="ES194" s="102">
        <f>ES203/ES182*1000/12</f>
        <v>99.858161987380399</v>
      </c>
      <c r="ET194" s="101">
        <f t="shared" ref="ET194:EW194" si="939">+EO194*(1+ET195)</f>
        <v>103.9584</v>
      </c>
      <c r="EU194" s="101">
        <f t="shared" si="939"/>
        <v>102.306</v>
      </c>
      <c r="EV194" s="101">
        <f t="shared" si="939"/>
        <v>100.5108</v>
      </c>
      <c r="EW194" s="101">
        <f t="shared" si="939"/>
        <v>100.8372</v>
      </c>
      <c r="EX194" s="102">
        <f>EX203/EX182*1000/12</f>
        <v>101.84996158193952</v>
      </c>
      <c r="EY194" s="101">
        <f t="shared" ref="EY194" si="940">+ET194*(1+EY195)</f>
        <v>106.03756799999999</v>
      </c>
      <c r="EZ194" s="101">
        <f t="shared" ref="EZ194" si="941">+EU194*(1+EZ195)</f>
        <v>104.35212</v>
      </c>
      <c r="FA194" s="101">
        <f t="shared" ref="FA194" si="942">+EV194*(1+FA195)</f>
        <v>102.521016</v>
      </c>
      <c r="FB194" s="101">
        <f t="shared" ref="FB194" si="943">+EW194*(1+FB195)</f>
        <v>102.853944</v>
      </c>
      <c r="FC194" s="102">
        <f>FC203/FC182*1000/12</f>
        <v>103.88378975508611</v>
      </c>
      <c r="FD194" s="101">
        <f t="shared" ref="FD194" si="944">+EY194*(1+FD195)</f>
        <v>108.15831935999999</v>
      </c>
      <c r="FE194" s="101">
        <f t="shared" ref="FE194" si="945">+EZ194*(1+FE195)</f>
        <v>106.4391624</v>
      </c>
      <c r="FF194" s="101">
        <f t="shared" ref="FF194" si="946">+FA194*(1+FF195)</f>
        <v>104.57143632</v>
      </c>
      <c r="FG194" s="101">
        <f t="shared" ref="FG194" si="947">+FB194*(1+FG195)</f>
        <v>104.91102288</v>
      </c>
      <c r="FH194" s="102">
        <f>FH203/FH182*1000/12</f>
        <v>105.96205976163283</v>
      </c>
      <c r="FI194" s="101">
        <f t="shared" ref="FI194:FM194" si="948">+FH194*(1+FI195)</f>
        <v>108.08190705593825</v>
      </c>
      <c r="FJ194" s="101">
        <f t="shared" si="948"/>
        <v>110.24416342157809</v>
      </c>
      <c r="FK194" s="101">
        <f t="shared" si="948"/>
        <v>112.44967728255737</v>
      </c>
      <c r="FL194" s="101">
        <f t="shared" si="948"/>
        <v>114.69931403621416</v>
      </c>
      <c r="FM194" s="101">
        <f t="shared" si="948"/>
        <v>116.99395639278333</v>
      </c>
      <c r="FN194" s="189">
        <f>+(FJ194/ES194)^0.2-1</f>
        <v>1.9986462231490254E-2</v>
      </c>
      <c r="FO194" s="98"/>
    </row>
    <row r="195" spans="1:171" ht="12" customHeight="1" x14ac:dyDescent="0.3">
      <c r="A195" s="70" t="s">
        <v>363</v>
      </c>
      <c r="DZ195" s="375"/>
      <c r="EA195" s="375"/>
      <c r="EB195" s="375"/>
      <c r="EC195" s="375"/>
      <c r="ED195" s="84"/>
      <c r="EE195" s="375">
        <f t="shared" ref="EE195:ER195" si="949">+EE194/DZ194-1</f>
        <v>-3.5692921236291086E-2</v>
      </c>
      <c r="EF195" s="375">
        <f t="shared" si="949"/>
        <v>1.3563378877031962E-2</v>
      </c>
      <c r="EG195" s="375">
        <f t="shared" si="949"/>
        <v>1.9533961328705995E-2</v>
      </c>
      <c r="EH195" s="375">
        <f t="shared" si="949"/>
        <v>3.6825521858999455E-2</v>
      </c>
      <c r="EI195" s="84">
        <f t="shared" si="949"/>
        <v>8.8193331317392154E-3</v>
      </c>
      <c r="EJ195" s="375">
        <f t="shared" si="949"/>
        <v>7.3614557485525367E-2</v>
      </c>
      <c r="EK195" s="375">
        <f t="shared" si="949"/>
        <v>3.3454688576207925E-2</v>
      </c>
      <c r="EL195" s="375">
        <f t="shared" si="949"/>
        <v>2.3244504960124424E-2</v>
      </c>
      <c r="EM195" s="375">
        <f t="shared" si="949"/>
        <v>3.7986704653381054E-4</v>
      </c>
      <c r="EN195" s="84">
        <f>+EN194/EI194-1</f>
        <v>3.1854549963667544E-2</v>
      </c>
      <c r="EO195" s="375">
        <f t="shared" si="949"/>
        <v>-1.8489984591679498E-2</v>
      </c>
      <c r="EP195" s="375">
        <f t="shared" si="949"/>
        <v>-4.5034751975626008E-2</v>
      </c>
      <c r="EQ195" s="375">
        <f t="shared" si="949"/>
        <v>-6.3397015492823727E-2</v>
      </c>
      <c r="ER195" s="375">
        <f t="shared" si="949"/>
        <v>-6.1515093981393654E-2</v>
      </c>
      <c r="ES195" s="84">
        <f>+ES194/EN194-1</f>
        <v>-4.7813897384598403E-2</v>
      </c>
      <c r="ET195" s="87">
        <v>0.02</v>
      </c>
      <c r="EU195" s="87">
        <v>0.02</v>
      </c>
      <c r="EV195" s="87">
        <v>0.02</v>
      </c>
      <c r="EW195" s="87">
        <v>0.02</v>
      </c>
      <c r="EX195" s="84">
        <f>+EX194/ES194-1</f>
        <v>1.9946287363178605E-2</v>
      </c>
      <c r="EY195" s="87">
        <v>0.02</v>
      </c>
      <c r="EZ195" s="87">
        <v>0.02</v>
      </c>
      <c r="FA195" s="87">
        <v>0.02</v>
      </c>
      <c r="FB195" s="87">
        <v>0.02</v>
      </c>
      <c r="FC195" s="84">
        <f>+FC194/EX194-1</f>
        <v>1.9968865393339863E-2</v>
      </c>
      <c r="FD195" s="87">
        <v>0.02</v>
      </c>
      <c r="FE195" s="87">
        <v>0.02</v>
      </c>
      <c r="FF195" s="87">
        <v>0.02</v>
      </c>
      <c r="FG195" s="87">
        <v>0.02</v>
      </c>
      <c r="FH195" s="84">
        <f>+FH194/FC194-1</f>
        <v>2.0005719963108737E-2</v>
      </c>
      <c r="FI195" s="940">
        <f t="shared" ref="FI195:FM195" si="950">FH195</f>
        <v>2.0005719963108737E-2</v>
      </c>
      <c r="FJ195" s="940">
        <f t="shared" si="950"/>
        <v>2.0005719963108737E-2</v>
      </c>
      <c r="FK195" s="940">
        <f t="shared" si="950"/>
        <v>2.0005719963108737E-2</v>
      </c>
      <c r="FL195" s="940">
        <f t="shared" si="950"/>
        <v>2.0005719963108737E-2</v>
      </c>
      <c r="FM195" s="940">
        <f t="shared" si="950"/>
        <v>2.0005719963108737E-2</v>
      </c>
    </row>
    <row r="196" spans="1:171" x14ac:dyDescent="0.3">
      <c r="A196" s="70"/>
      <c r="DU196" s="76"/>
      <c r="DV196" s="76"/>
      <c r="DW196" s="76"/>
      <c r="DX196" s="76"/>
      <c r="DY196" s="121"/>
      <c r="DZ196" s="120"/>
      <c r="EA196" s="120"/>
      <c r="EB196" s="108"/>
      <c r="EC196" s="108"/>
      <c r="ED196" s="1203"/>
      <c r="EE196" s="108"/>
      <c r="EF196" s="108"/>
      <c r="EG196" s="108"/>
      <c r="EH196" s="108"/>
      <c r="EI196" s="121"/>
      <c r="EJ196" s="108"/>
      <c r="EK196" s="108"/>
      <c r="EL196" s="108"/>
      <c r="EM196" s="108"/>
      <c r="EN196" s="53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693"/>
      <c r="FL196" s="693"/>
      <c r="FM196" s="693"/>
    </row>
    <row r="197" spans="1:171" x14ac:dyDescent="0.3">
      <c r="A197" s="70"/>
      <c r="DU197" s="76"/>
      <c r="DV197" s="76"/>
      <c r="DW197" s="76"/>
      <c r="DX197" s="76"/>
      <c r="DY197" s="121"/>
      <c r="DZ197" s="120"/>
      <c r="EA197" s="120"/>
      <c r="EB197" s="108"/>
      <c r="EC197" s="108"/>
      <c r="ED197" s="1203"/>
      <c r="EE197" s="108"/>
      <c r="EF197" s="108"/>
      <c r="EG197" s="108"/>
      <c r="EH197" s="108"/>
      <c r="EI197" s="121"/>
      <c r="EJ197" s="108"/>
      <c r="EK197" s="108"/>
      <c r="EL197" s="108"/>
      <c r="EM197" s="108"/>
      <c r="EN197" s="53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693"/>
      <c r="FL197" s="693"/>
      <c r="FM197" s="693"/>
    </row>
    <row r="198" spans="1:171" x14ac:dyDescent="0.3">
      <c r="A198" s="90" t="s">
        <v>284</v>
      </c>
      <c r="EG198" s="146"/>
      <c r="EO198"/>
      <c r="EP198"/>
      <c r="EQ198"/>
      <c r="ER198"/>
    </row>
    <row r="199" spans="1:171" x14ac:dyDescent="0.3">
      <c r="A199" t="s">
        <v>368</v>
      </c>
      <c r="DU199" s="885">
        <f>DU186*DU180*3/1000</f>
        <v>210.08420999999996</v>
      </c>
      <c r="DV199" s="885">
        <f>DV186*DV180*3/1000</f>
        <v>204.85115999999999</v>
      </c>
      <c r="DW199" s="885">
        <f>DW186*DW180*3/1000</f>
        <v>203.10110999999998</v>
      </c>
      <c r="DX199" s="885">
        <f>DX186*DX180*3/1000</f>
        <v>204.59420999999998</v>
      </c>
      <c r="DY199" s="1079">
        <f>+SUM(DU199:DX199)</f>
        <v>822.63068999999984</v>
      </c>
      <c r="DZ199" s="885">
        <f>DZ186*DZ180*3/1000</f>
        <v>206.184</v>
      </c>
      <c r="EA199" s="885">
        <f>EA186*EA180*3/1000</f>
        <v>208.15644</v>
      </c>
      <c r="EB199" s="885">
        <f>EB186*EB180*3/1000</f>
        <v>211.77923999999999</v>
      </c>
      <c r="EC199" s="885">
        <f>EC186*EC180*3/1000</f>
        <v>220.99385999999998</v>
      </c>
      <c r="ED199" s="1079">
        <f>+SUM(DZ199:EC199)</f>
        <v>847.11354000000006</v>
      </c>
      <c r="EE199" s="885">
        <f>EE186*EE180*3/1000</f>
        <v>226.73545500000003</v>
      </c>
      <c r="EF199" s="885">
        <f>EF186*EF180*3/1000</f>
        <v>237.95009999999996</v>
      </c>
      <c r="EG199" s="885">
        <f>EG186*EG180*3/1000</f>
        <v>242.78887499999999</v>
      </c>
      <c r="EH199" s="885">
        <f>EH186*EH180*3/1000</f>
        <v>245.23182</v>
      </c>
      <c r="EI199" s="1079">
        <f>+SUM(EE199:EH199)</f>
        <v>952.70624999999995</v>
      </c>
      <c r="EJ199" s="885">
        <f>EJ186*EJ180*3/1000</f>
        <v>253.74059999999997</v>
      </c>
      <c r="EK199" s="885">
        <f>EK186*EK180*3/1000</f>
        <v>268.54065000000003</v>
      </c>
      <c r="EL199" s="885">
        <f>EL186*EL180*3/1000</f>
        <v>277.69769999999994</v>
      </c>
      <c r="EM199" s="885">
        <f>EM186*EM180*3/1000</f>
        <v>282.46860000000004</v>
      </c>
      <c r="EN199" s="1079">
        <f>+SUM(EJ199:EM199)</f>
        <v>1082.4475499999999</v>
      </c>
      <c r="EO199" s="885">
        <f>EO186*EO180*3/1000</f>
        <v>298.04543999999999</v>
      </c>
      <c r="EP199" s="885">
        <f>EP186*EP180*3/1000</f>
        <v>320.11308000000002</v>
      </c>
      <c r="EQ199" s="885">
        <f>EQ186*EQ180*3/1000</f>
        <v>340.41046499999999</v>
      </c>
      <c r="ER199" s="885">
        <f>ER186*ER180*3/1000</f>
        <v>353.68200000000002</v>
      </c>
      <c r="ES199" s="1079">
        <f>+SUM(EO199:ER199)</f>
        <v>1312.2509849999999</v>
      </c>
      <c r="ET199" s="885">
        <f t="shared" ref="ET199:EW199" si="951">ET186*ET180*3/1000</f>
        <v>369.88501789156686</v>
      </c>
      <c r="EU199" s="885">
        <f t="shared" si="951"/>
        <v>397.70630743234528</v>
      </c>
      <c r="EV199" s="885">
        <f t="shared" si="951"/>
        <v>423.22291347085758</v>
      </c>
      <c r="EW199" s="885">
        <f t="shared" si="951"/>
        <v>439.84749842492408</v>
      </c>
      <c r="EX199" s="1079">
        <f>+SUM(ET199:EW199)</f>
        <v>1630.6617372196938</v>
      </c>
      <c r="EY199" s="885">
        <f t="shared" ref="EY199:FB199" si="952">EY186*EY180*3/1000</f>
        <v>457.80067468685638</v>
      </c>
      <c r="EZ199" s="885">
        <f t="shared" si="952"/>
        <v>492.1618234513615</v>
      </c>
      <c r="FA199" s="885">
        <f t="shared" si="952"/>
        <v>523.33829293664928</v>
      </c>
      <c r="FB199" s="885">
        <f t="shared" si="952"/>
        <v>543.22737500525523</v>
      </c>
      <c r="FC199" s="1079">
        <f>+SUM(EY199:FB199)</f>
        <v>2016.5281660801222</v>
      </c>
      <c r="FD199" s="885">
        <f t="shared" ref="FD199:FG199" si="953">FD186*FD180*3/1000</f>
        <v>563.83170435879072</v>
      </c>
      <c r="FE199" s="885">
        <f t="shared" si="953"/>
        <v>603.7822357603394</v>
      </c>
      <c r="FF199" s="885">
        <f t="shared" si="953"/>
        <v>639.31358908248922</v>
      </c>
      <c r="FG199" s="885">
        <f t="shared" si="953"/>
        <v>660.1218455707467</v>
      </c>
      <c r="FH199" s="1079">
        <f>+SUM(FD199:FG199)</f>
        <v>2467.0493747723658</v>
      </c>
      <c r="FI199" s="885">
        <f t="shared" ref="FI199:FM199" si="954">FI186*FI180*12/1000</f>
        <v>2922.9673284861683</v>
      </c>
      <c r="FJ199" s="885">
        <f t="shared" si="954"/>
        <v>3351.4117290892291</v>
      </c>
      <c r="FK199" s="885">
        <f t="shared" si="954"/>
        <v>3732.2261468121219</v>
      </c>
      <c r="FL199" s="885">
        <f t="shared" si="954"/>
        <v>4064.1937607256573</v>
      </c>
      <c r="FM199" s="885">
        <f t="shared" si="954"/>
        <v>4348.633380441991</v>
      </c>
    </row>
    <row r="200" spans="1:171" x14ac:dyDescent="0.3">
      <c r="A200" t="s">
        <v>369</v>
      </c>
      <c r="DZ200" s="885">
        <f>DZ188*DZ181*3/1000</f>
        <v>159.45551999999998</v>
      </c>
      <c r="EA200" s="885">
        <f>EA188*EA181*3/1000</f>
        <v>149.04075</v>
      </c>
      <c r="EB200" s="885">
        <f>EB188*EB181*3/1000</f>
        <v>139.98190499999998</v>
      </c>
      <c r="EC200" s="885">
        <f>EC188*EC181*3/1000</f>
        <v>132.98186999999999</v>
      </c>
      <c r="ED200" s="1079">
        <f>+SUM(DZ200:EC200)</f>
        <v>581.46004499999992</v>
      </c>
      <c r="EE200" s="885">
        <f>EE188*EE181*3/1000</f>
        <v>127.788495</v>
      </c>
      <c r="EF200" s="885">
        <f>EF188*EF181*3/1000</f>
        <v>123.90603</v>
      </c>
      <c r="EG200" s="885">
        <f>EG188*EG181*3/1000</f>
        <v>117.43299</v>
      </c>
      <c r="EH200" s="885">
        <f>EH188*EH181*3/1000</f>
        <v>112.51967999999999</v>
      </c>
      <c r="EI200" s="1079">
        <f>+SUM(EE200:EH200)</f>
        <v>481.64719500000001</v>
      </c>
      <c r="EJ200" s="885">
        <f>EJ188*EJ181*3/1000</f>
        <v>109.06092</v>
      </c>
      <c r="EK200" s="885">
        <f>EK188*EK181*3/1000</f>
        <v>106.66012499999999</v>
      </c>
      <c r="EL200" s="885">
        <f>EL188*EL181*3/1000</f>
        <v>100.89208499999999</v>
      </c>
      <c r="EM200" s="885">
        <f>EM188*EM181*3/1000</f>
        <v>96.965700000000012</v>
      </c>
      <c r="EN200" s="1079">
        <f>+SUM(EJ200:EM200)</f>
        <v>413.57883000000004</v>
      </c>
      <c r="EO200" s="885">
        <f>EO188*EO181*3/1000</f>
        <v>96.515640000000005</v>
      </c>
      <c r="EP200" s="885">
        <f>EP188*EP181*3/1000</f>
        <v>93.247650000000007</v>
      </c>
      <c r="EQ200" s="885">
        <f>EQ188*EQ181*3/1000</f>
        <v>87.883049999999983</v>
      </c>
      <c r="ER200" s="885">
        <f>ER188*ER181*3/1000</f>
        <v>82.795349999999999</v>
      </c>
      <c r="ES200" s="1079">
        <f>+SUM(EO200:ER200)</f>
        <v>360.44168999999999</v>
      </c>
      <c r="ET200" s="885">
        <f t="shared" ref="ET200:EW200" si="955">ET188*ET181*3/1000</f>
        <v>78.673289254054055</v>
      </c>
      <c r="EU200" s="885">
        <f t="shared" si="955"/>
        <v>76.009435783783786</v>
      </c>
      <c r="EV200" s="885">
        <f t="shared" si="955"/>
        <v>71.63656183783786</v>
      </c>
      <c r="EW200" s="885">
        <f t="shared" si="955"/>
        <v>67.489398810810826</v>
      </c>
      <c r="EX200" s="1079">
        <f>+SUM(ET200:EW200)</f>
        <v>293.80868568648651</v>
      </c>
      <c r="EY200" s="885">
        <f t="shared" ref="EY200:FB200" si="956">EY188*EY181*3/1000</f>
        <v>64.129362267628935</v>
      </c>
      <c r="EZ200" s="885">
        <f t="shared" si="956"/>
        <v>61.957961709159981</v>
      </c>
      <c r="FA200" s="885">
        <f t="shared" si="956"/>
        <v>58.393478514302437</v>
      </c>
      <c r="FB200" s="885">
        <f t="shared" si="956"/>
        <v>55.012980219839321</v>
      </c>
      <c r="FC200" s="1079">
        <f>+SUM(EY200:FB200)</f>
        <v>239.4937827109307</v>
      </c>
      <c r="FD200" s="885">
        <f t="shared" ref="FD200:FG200" si="957">FD188*FD181*3/1000</f>
        <v>52.274096378153757</v>
      </c>
      <c r="FE200" s="885">
        <f t="shared" si="957"/>
        <v>50.504111490493671</v>
      </c>
      <c r="FF200" s="885">
        <f t="shared" si="957"/>
        <v>47.598575999766524</v>
      </c>
      <c r="FG200" s="885">
        <f t="shared" si="957"/>
        <v>44.843013065685241</v>
      </c>
      <c r="FH200" s="1079">
        <f>+SUM(FD200:FG200)</f>
        <v>195.21979693409918</v>
      </c>
      <c r="FI200" s="885">
        <f t="shared" ref="FI200:FM200" si="958">FI188*FI181*12/1000</f>
        <v>158.02410452217848</v>
      </c>
      <c r="FJ200" s="885">
        <f t="shared" si="958"/>
        <v>125.51247862976741</v>
      </c>
      <c r="FK200" s="885">
        <f t="shared" si="958"/>
        <v>99.689742520115686</v>
      </c>
      <c r="FL200" s="885">
        <f t="shared" si="958"/>
        <v>79.179734734120572</v>
      </c>
      <c r="FM200" s="885">
        <f t="shared" si="958"/>
        <v>62.889423064771542</v>
      </c>
    </row>
    <row r="201" spans="1:171" x14ac:dyDescent="0.3">
      <c r="A201" t="s">
        <v>370</v>
      </c>
      <c r="DZ201" s="901">
        <f>DZ202-DZ199-DZ200</f>
        <v>66.360480000000024</v>
      </c>
      <c r="EA201" s="901">
        <f>EA202-EA199-EA200</f>
        <v>61.802809999999994</v>
      </c>
      <c r="EB201" s="901">
        <f>EB202-EB199-EB200</f>
        <v>59.238855000000029</v>
      </c>
      <c r="EC201" s="901">
        <f>EC202-EC199-EC200</f>
        <v>64.02427000000003</v>
      </c>
      <c r="ED201" s="1111">
        <f>+SUM(DZ201:EC201)</f>
        <v>251.42641500000008</v>
      </c>
      <c r="EE201" s="901">
        <f>EE202-EE199-EE200</f>
        <v>56.476049999999972</v>
      </c>
      <c r="EF201" s="901">
        <f>EF202-EF199-EF200</f>
        <v>51.143870000000035</v>
      </c>
      <c r="EG201" s="901">
        <f>EG202-EG199-EG200</f>
        <v>48.778135000000006</v>
      </c>
      <c r="EH201" s="901">
        <f>EH202-EH199-EH200</f>
        <v>47.248500000000007</v>
      </c>
      <c r="EI201" s="1111">
        <f>+SUM(EE201:EH201)</f>
        <v>203.64655500000001</v>
      </c>
      <c r="EJ201" s="901">
        <f>EJ202-EJ199-EJ200</f>
        <v>44.198480000000032</v>
      </c>
      <c r="EK201" s="901">
        <f>EK202-EK199-EK200</f>
        <v>45.799224999999979</v>
      </c>
      <c r="EL201" s="901">
        <f>EL202-EL199-EL200</f>
        <v>45.410215000000065</v>
      </c>
      <c r="EM201" s="901">
        <f>EM202-EM199-EM200</f>
        <v>56.56569999999995</v>
      </c>
      <c r="EN201" s="1111">
        <f>+SUM(EJ201:EM201)</f>
        <v>191.97362000000004</v>
      </c>
      <c r="EO201" s="901">
        <f>EO202-EO199-EO200</f>
        <v>53.43892000000001</v>
      </c>
      <c r="EP201" s="901">
        <f>EP202-EP199-EP200</f>
        <v>48.639269999999968</v>
      </c>
      <c r="EQ201" s="901">
        <f>EQ202-EQ199-EQ200</f>
        <v>50.706485000000029</v>
      </c>
      <c r="ER201" s="901">
        <f>ER202-ER199-ER200</f>
        <v>47.522649999999985</v>
      </c>
      <c r="ES201" s="1111">
        <f>+SUM(EO201:ER201)</f>
        <v>200.30732499999999</v>
      </c>
      <c r="ET201" s="901">
        <f t="shared" ref="ET201:EW201" si="959">EO201*(1+ET209)</f>
        <v>46.491860400000007</v>
      </c>
      <c r="EU201" s="901">
        <f t="shared" si="959"/>
        <v>44.74812839999997</v>
      </c>
      <c r="EV201" s="901">
        <f t="shared" si="959"/>
        <v>44.114641950000028</v>
      </c>
      <c r="EW201" s="901">
        <f t="shared" si="959"/>
        <v>42.77038499999999</v>
      </c>
      <c r="EX201" s="1111">
        <f>+SUM(ET201:EW201)</f>
        <v>178.12501574999999</v>
      </c>
      <c r="EY201" s="901">
        <f t="shared" ref="EY201" si="960">ET201*(1+EY209)</f>
        <v>41.052312733200004</v>
      </c>
      <c r="EZ201" s="901">
        <f t="shared" ref="EZ201" si="961">EU201*(1+EZ209)</f>
        <v>41.52626315519997</v>
      </c>
      <c r="FA201" s="901">
        <f t="shared" ref="FA201" si="962">EV201*(1+FA209)</f>
        <v>38.953228841850027</v>
      </c>
      <c r="FB201" s="901">
        <f t="shared" ref="FB201" si="963">EW201*(1+FB209)</f>
        <v>38.921050349999994</v>
      </c>
      <c r="FC201" s="1111">
        <f>+SUM(EY201:FB201)</f>
        <v>160.45285508025</v>
      </c>
      <c r="FD201" s="901">
        <f t="shared" ref="FD201" si="964">EY201*(1+FD209)</f>
        <v>36.729504202394047</v>
      </c>
      <c r="FE201" s="901">
        <f t="shared" ref="FE201" si="965">EZ201*(1+FE209)</f>
        <v>38.835361302743017</v>
      </c>
      <c r="FF201" s="901">
        <f t="shared" ref="FF201" si="966">FA201*(1+FF209)</f>
        <v>34.851453844803224</v>
      </c>
      <c r="FG201" s="901">
        <f t="shared" ref="FG201" si="967">FB201*(1+FG209)</f>
        <v>35.768445271649995</v>
      </c>
      <c r="FH201" s="1111">
        <f>+SUM(FD201:FG201)</f>
        <v>146.18476462159029</v>
      </c>
      <c r="FI201" s="901">
        <f t="shared" ref="FI201:FM201" si="968">FH201*(1+FI209)</f>
        <v>134.48537977842261</v>
      </c>
      <c r="FJ201" s="901">
        <f t="shared" si="968"/>
        <v>124.79862072324914</v>
      </c>
      <c r="FK201" s="901">
        <f t="shared" si="968"/>
        <v>116.70848665648089</v>
      </c>
      <c r="FL201" s="901">
        <f t="shared" si="968"/>
        <v>109.89936834669653</v>
      </c>
      <c r="FM201" s="901">
        <f t="shared" si="968"/>
        <v>104.12869955976214</v>
      </c>
    </row>
    <row r="202" spans="1:171" s="90" customFormat="1" x14ac:dyDescent="0.3">
      <c r="A202" s="90" t="s">
        <v>371</v>
      </c>
      <c r="DZ202" s="1109">
        <f>Inputs!DZ166</f>
        <v>432</v>
      </c>
      <c r="EA202" s="1109">
        <f>Inputs!EA166</f>
        <v>419</v>
      </c>
      <c r="EB202" s="1109">
        <f>Inputs!EB166</f>
        <v>411</v>
      </c>
      <c r="EC202" s="1109">
        <f>Inputs!EC166</f>
        <v>418</v>
      </c>
      <c r="ED202" s="1079">
        <f>SUM(DZ202:EC202)</f>
        <v>1680</v>
      </c>
      <c r="EE202" s="1109">
        <f>Inputs!EE166</f>
        <v>411</v>
      </c>
      <c r="EF202" s="1109">
        <f>Inputs!EF166</f>
        <v>413</v>
      </c>
      <c r="EG202" s="1109">
        <f>Inputs!EG166</f>
        <v>409</v>
      </c>
      <c r="EH202" s="1109">
        <f>Inputs!EH166</f>
        <v>405</v>
      </c>
      <c r="EI202" s="1079">
        <f>SUM(EE202:EH202)</f>
        <v>1638</v>
      </c>
      <c r="EJ202" s="1109">
        <f>Inputs!EJ166</f>
        <v>407</v>
      </c>
      <c r="EK202" s="1109">
        <f>Inputs!EK166</f>
        <v>421</v>
      </c>
      <c r="EL202" s="1109">
        <f>Inputs!EL166</f>
        <v>424</v>
      </c>
      <c r="EM202" s="1109">
        <f>Inputs!EM166</f>
        <v>436</v>
      </c>
      <c r="EN202" s="1079">
        <f>SUM(EJ202:EM202)</f>
        <v>1688</v>
      </c>
      <c r="EO202" s="1109">
        <f>Inputs!EO166</f>
        <v>448</v>
      </c>
      <c r="EP202" s="1109">
        <f>Inputs!EP166</f>
        <v>462</v>
      </c>
      <c r="EQ202" s="1109">
        <f>Inputs!EQ166</f>
        <v>479</v>
      </c>
      <c r="ER202" s="1109">
        <f>Inputs!ER166</f>
        <v>484</v>
      </c>
      <c r="ES202" s="1079">
        <f>SUM(EO202:ER202)</f>
        <v>1873</v>
      </c>
      <c r="ET202" s="900">
        <f t="shared" ref="ET202:EW202" si="969">SUM(ET199:ET201)</f>
        <v>495.05016754562092</v>
      </c>
      <c r="EU202" s="900">
        <f t="shared" si="969"/>
        <v>518.46387161612904</v>
      </c>
      <c r="EV202" s="900">
        <f t="shared" si="969"/>
        <v>538.97411725869551</v>
      </c>
      <c r="EW202" s="900">
        <f t="shared" si="969"/>
        <v>550.10728223573494</v>
      </c>
      <c r="EX202" s="1079">
        <f>SUM(ET202:EW202)</f>
        <v>2102.5954386561802</v>
      </c>
      <c r="EY202" s="900">
        <f t="shared" ref="EY202:FB202" si="970">SUM(EY199:EY201)</f>
        <v>562.98234968768531</v>
      </c>
      <c r="EZ202" s="900">
        <f t="shared" si="970"/>
        <v>595.64604831572149</v>
      </c>
      <c r="FA202" s="900">
        <f t="shared" si="970"/>
        <v>620.68500029280165</v>
      </c>
      <c r="FB202" s="900">
        <f t="shared" si="970"/>
        <v>637.16140557509448</v>
      </c>
      <c r="FC202" s="1079">
        <f>SUM(EY202:FB202)</f>
        <v>2416.4748038713033</v>
      </c>
      <c r="FD202" s="900">
        <f t="shared" ref="FD202:FM202" si="971">SUM(FD199:FD201)</f>
        <v>652.83530493933858</v>
      </c>
      <c r="FE202" s="900">
        <f t="shared" si="971"/>
        <v>693.12170855357601</v>
      </c>
      <c r="FF202" s="900">
        <f t="shared" si="971"/>
        <v>721.76361892705904</v>
      </c>
      <c r="FG202" s="900">
        <f t="shared" si="971"/>
        <v>740.73330390808189</v>
      </c>
      <c r="FH202" s="1079">
        <f>SUM(FD202:FG202)</f>
        <v>2808.4539363280551</v>
      </c>
      <c r="FI202" s="900">
        <f t="shared" si="971"/>
        <v>3215.4768127867692</v>
      </c>
      <c r="FJ202" s="900">
        <f t="shared" si="971"/>
        <v>3601.7228284422458</v>
      </c>
      <c r="FK202" s="900">
        <f t="shared" si="971"/>
        <v>3948.6243759887184</v>
      </c>
      <c r="FL202" s="900">
        <f t="shared" si="971"/>
        <v>4253.2728638064746</v>
      </c>
      <c r="FM202" s="900">
        <f t="shared" si="971"/>
        <v>4515.6515030665241</v>
      </c>
    </row>
    <row r="203" spans="1:171" x14ac:dyDescent="0.3">
      <c r="A203" t="s">
        <v>372</v>
      </c>
      <c r="DZ203" s="885">
        <f>DZ194*DZ182*3/1000</f>
        <v>29.509132760841801</v>
      </c>
      <c r="EA203" s="885">
        <f>EA194*EA182*3/1000</f>
        <v>29.227028845945309</v>
      </c>
      <c r="EB203" s="885">
        <f>EB194*EB182*3/1000</f>
        <v>29.424490795312497</v>
      </c>
      <c r="EC203" s="885">
        <f>EC194*EC182*3/1000</f>
        <v>29.965658850000001</v>
      </c>
      <c r="ED203" s="1079">
        <f>+SUM(DZ203:EC203)</f>
        <v>118.1263112520996</v>
      </c>
      <c r="EE203" s="885">
        <f>EE194*EE182*3/1000</f>
        <v>28.711331999999999</v>
      </c>
      <c r="EF203" s="885">
        <f>EF194*EF182*3/1000</f>
        <v>30.336555000000001</v>
      </c>
      <c r="EG203" s="885">
        <f>EG194*EG182*3/1000</f>
        <v>30.846</v>
      </c>
      <c r="EH203" s="885">
        <f>EH194*EH182*3/1000</f>
        <v>31.747949999999996</v>
      </c>
      <c r="EI203" s="1079">
        <f>+SUM(EE203:EH203)</f>
        <v>121.64183700000001</v>
      </c>
      <c r="EJ203" s="885">
        <f>EJ194*EJ182*3/1000</f>
        <v>31.930800000000001</v>
      </c>
      <c r="EK203" s="885">
        <f>EK194*EK182*3/1000</f>
        <v>33.399540000000002</v>
      </c>
      <c r="EL203" s="885">
        <f>EL194*EL182*3/1000</f>
        <v>34.403669999999998</v>
      </c>
      <c r="EM203" s="885">
        <f>EM194*EM182*3/1000</f>
        <v>35.394239999999996</v>
      </c>
      <c r="EN203" s="1079">
        <f>+SUM(EJ203:EM203)</f>
        <v>135.12825000000001</v>
      </c>
      <c r="EO203" s="885">
        <f>EO194*EO182*3/1000</f>
        <v>35.468159999999997</v>
      </c>
      <c r="EP203" s="885">
        <f>EP194*EP182*3/1000</f>
        <v>36.107999999999997</v>
      </c>
      <c r="EQ203" s="885">
        <f>EQ194*EQ182*3/1000</f>
        <v>36.656880000000008</v>
      </c>
      <c r="ER203" s="885">
        <f>ER194*ER182*3/1000</f>
        <v>38.252517411514013</v>
      </c>
      <c r="ES203" s="1079">
        <f>+SUM(EO203:ER203)</f>
        <v>146.48555741151401</v>
      </c>
      <c r="ET203" s="885">
        <f t="shared" ref="ET203:EW203" si="972">ET194*ET182*3/1000</f>
        <v>42.000559159293502</v>
      </c>
      <c r="EU203" s="885">
        <f t="shared" si="972"/>
        <v>42.970675352906177</v>
      </c>
      <c r="EV203" s="885">
        <f t="shared" si="972"/>
        <v>43.778350294119463</v>
      </c>
      <c r="EW203" s="885">
        <f t="shared" si="972"/>
        <v>45.810492955017438</v>
      </c>
      <c r="EX203" s="1079">
        <f>+SUM(ET203:EW203)</f>
        <v>174.56007776133657</v>
      </c>
      <c r="EY203" s="885">
        <f t="shared" ref="EY203:FB203" si="973">EY194*EY182*3/1000</f>
        <v>50.454615455225429</v>
      </c>
      <c r="EZ203" s="885">
        <f t="shared" si="973"/>
        <v>51.775272335640928</v>
      </c>
      <c r="FA203" s="885">
        <f t="shared" si="973"/>
        <v>52.85523193927024</v>
      </c>
      <c r="FB203" s="885">
        <f t="shared" si="973"/>
        <v>55.388507894329322</v>
      </c>
      <c r="FC203" s="1079">
        <f>+SUM(EY203:FB203)</f>
        <v>210.47362762446591</v>
      </c>
      <c r="FD203" s="885">
        <f t="shared" ref="FD203:FG203" si="974">FD194*FD182*3/1000</f>
        <v>61.05952551188787</v>
      </c>
      <c r="FE203" s="885">
        <f t="shared" si="974"/>
        <v>62.678244135706898</v>
      </c>
      <c r="FF203" s="885">
        <f t="shared" si="974"/>
        <v>63.963716233130107</v>
      </c>
      <c r="FG203" s="885">
        <f t="shared" si="974"/>
        <v>66.898377459355871</v>
      </c>
      <c r="FH203" s="1079">
        <f>+SUM(FD203:FG203)</f>
        <v>254.59986334008073</v>
      </c>
      <c r="FI203" s="885">
        <f t="shared" ref="FI203:FM203" si="975">FI194*FI182*12/1000</f>
        <v>305.34629033965859</v>
      </c>
      <c r="FJ203" s="885">
        <f t="shared" si="975"/>
        <v>359.02462969751491</v>
      </c>
      <c r="FK203" s="885">
        <f t="shared" si="975"/>
        <v>415.52144433518947</v>
      </c>
      <c r="FL203" s="885">
        <f t="shared" si="975"/>
        <v>475.55689049654967</v>
      </c>
      <c r="FM203" s="885">
        <f t="shared" si="975"/>
        <v>539.86951201746524</v>
      </c>
    </row>
    <row r="204" spans="1:171" x14ac:dyDescent="0.3">
      <c r="A204" t="s">
        <v>373</v>
      </c>
      <c r="DZ204" s="901">
        <f>DZ205-DZ203</f>
        <v>262.49086723915821</v>
      </c>
      <c r="EA204" s="901">
        <f>EA205-EA203</f>
        <v>261.77297115405469</v>
      </c>
      <c r="EB204" s="901">
        <f>EB205-EB203</f>
        <v>248.57550920468751</v>
      </c>
      <c r="EC204" s="901">
        <f>EC205-EC203</f>
        <v>242.03434114999999</v>
      </c>
      <c r="ED204" s="1111">
        <f>SUM(DZ204:EC204)</f>
        <v>1014.8736887479004</v>
      </c>
      <c r="EE204" s="901">
        <f>EE205-EE203</f>
        <v>238.288668</v>
      </c>
      <c r="EF204" s="901">
        <f>EF205-EF203</f>
        <v>236.663445</v>
      </c>
      <c r="EG204" s="901">
        <f>EG205-EG203</f>
        <v>244.154</v>
      </c>
      <c r="EH204" s="901">
        <f>EH205-EH203</f>
        <v>238.25205</v>
      </c>
      <c r="EI204" s="1111">
        <f>SUM(EE204:EH204)</f>
        <v>957.3581630000001</v>
      </c>
      <c r="EJ204" s="901">
        <f>EJ205-EJ203</f>
        <v>233.0692</v>
      </c>
      <c r="EK204" s="901">
        <f>EK205-EK203</f>
        <v>230.60046</v>
      </c>
      <c r="EL204" s="901">
        <f>EL205-EL203</f>
        <v>232.59632999999999</v>
      </c>
      <c r="EM204" s="901">
        <f>EM205-EM203</f>
        <v>249.60576</v>
      </c>
      <c r="EN204" s="1111">
        <f>SUM(EJ204:EM204)</f>
        <v>945.87175000000002</v>
      </c>
      <c r="EO204" s="901">
        <f>EO205-EO203</f>
        <v>245.53183999999999</v>
      </c>
      <c r="EP204" s="901">
        <f>EP205-EP203</f>
        <v>247.892</v>
      </c>
      <c r="EQ204" s="901">
        <f>EQ205-EQ203</f>
        <v>244.34312</v>
      </c>
      <c r="ER204" s="901">
        <f>ER205-ER203</f>
        <v>239.74748258848598</v>
      </c>
      <c r="ES204" s="1111">
        <f>SUM(EO204:ER204)</f>
        <v>977.51444258848596</v>
      </c>
      <c r="ET204" s="901">
        <f t="shared" ref="ET204:EW204" si="976">EO204*(1+ET212)</f>
        <v>252.92434292698221</v>
      </c>
      <c r="EU204" s="901">
        <f t="shared" si="976"/>
        <v>255.3555629154063</v>
      </c>
      <c r="EV204" s="901">
        <f t="shared" si="976"/>
        <v>251.69983279858437</v>
      </c>
      <c r="EW204" s="901">
        <f t="shared" si="976"/>
        <v>246.96582936897684</v>
      </c>
      <c r="EX204" s="1111">
        <f>SUM(ET204:EW204)</f>
        <v>1006.9455680099497</v>
      </c>
      <c r="EY204" s="901">
        <f t="shared" ref="EY204" si="977">ET204*(1+EY212)</f>
        <v>260.15866637816117</v>
      </c>
      <c r="EZ204" s="901">
        <f t="shared" ref="EZ204" si="978">EU204*(1+EZ212)</f>
        <v>262.65942586434056</v>
      </c>
      <c r="FA204" s="901">
        <f t="shared" ref="FA204" si="979">EV204*(1+FA212)</f>
        <v>258.89913193286463</v>
      </c>
      <c r="FB204" s="901">
        <f t="shared" ref="FB204" si="980">EW204*(1+FB212)</f>
        <v>254.02972314198408</v>
      </c>
      <c r="FC204" s="1111">
        <f>SUM(EY204:FB204)</f>
        <v>1035.7469473173505</v>
      </c>
      <c r="FD204" s="901">
        <f t="shared" ref="FD204" si="981">EY204*(1+FD212)</f>
        <v>266.85578666118306</v>
      </c>
      <c r="FE204" s="901">
        <f t="shared" ref="FE204" si="982">EZ204*(1+FE212)</f>
        <v>269.4209218120713</v>
      </c>
      <c r="FF204" s="901">
        <f t="shared" ref="FF204" si="983">FA204*(1+FF212)</f>
        <v>265.56382871910978</v>
      </c>
      <c r="FG204" s="901">
        <f t="shared" ref="FG204" si="984">FB204*(1+FG212)</f>
        <v>260.56906943795445</v>
      </c>
      <c r="FH204" s="1111">
        <f>SUM(FD204:FG204)</f>
        <v>1062.4096066303186</v>
      </c>
      <c r="FI204" s="901">
        <f t="shared" ref="FI204:FM204" si="985">FH204*(1+FI212)</f>
        <v>1087.023725860116</v>
      </c>
      <c r="FJ204" s="901">
        <f t="shared" si="985"/>
        <v>1109.6896715408241</v>
      </c>
      <c r="FK204" s="901">
        <f t="shared" si="985"/>
        <v>1130.5143772922252</v>
      </c>
      <c r="FL204" s="901">
        <f t="shared" si="985"/>
        <v>1149.6083338034491</v>
      </c>
      <c r="FM204" s="901">
        <f t="shared" si="985"/>
        <v>1167.0831353401118</v>
      </c>
    </row>
    <row r="205" spans="1:171" x14ac:dyDescent="0.3">
      <c r="A205" t="s">
        <v>374</v>
      </c>
      <c r="DZ205" s="1142">
        <f>Inputs!DZ167</f>
        <v>292</v>
      </c>
      <c r="EA205" s="1142">
        <f>Inputs!EA167</f>
        <v>291</v>
      </c>
      <c r="EB205" s="1142">
        <f>Inputs!EB167</f>
        <v>278</v>
      </c>
      <c r="EC205" s="1142">
        <f>Inputs!EC167</f>
        <v>272</v>
      </c>
      <c r="ED205" s="1111">
        <f>SUM(DZ205:EC205)</f>
        <v>1133</v>
      </c>
      <c r="EE205" s="1142">
        <f>Inputs!EE167</f>
        <v>267</v>
      </c>
      <c r="EF205" s="1142">
        <f>Inputs!EF167</f>
        <v>267</v>
      </c>
      <c r="EG205" s="1142">
        <f>Inputs!EG167</f>
        <v>275</v>
      </c>
      <c r="EH205" s="1142">
        <f>Inputs!EH167</f>
        <v>270</v>
      </c>
      <c r="EI205" s="1111">
        <f>SUM(EE205:EH205)</f>
        <v>1079</v>
      </c>
      <c r="EJ205" s="1142">
        <f>Inputs!EJ167</f>
        <v>265</v>
      </c>
      <c r="EK205" s="1142">
        <f>Inputs!EK167</f>
        <v>264</v>
      </c>
      <c r="EL205" s="1142">
        <f>Inputs!EL167</f>
        <v>267</v>
      </c>
      <c r="EM205" s="1142">
        <f>Inputs!EM167</f>
        <v>285</v>
      </c>
      <c r="EN205" s="1111">
        <f>SUM(EJ205:EM205)</f>
        <v>1081</v>
      </c>
      <c r="EO205" s="1142">
        <f>Inputs!EO167</f>
        <v>281</v>
      </c>
      <c r="EP205" s="1142">
        <f>Inputs!EP167</f>
        <v>284</v>
      </c>
      <c r="EQ205" s="1142">
        <f>Inputs!EQ167</f>
        <v>281</v>
      </c>
      <c r="ER205" s="1142">
        <f>Inputs!ER167</f>
        <v>278</v>
      </c>
      <c r="ES205" s="1111">
        <f>SUM(EO205:ER205)</f>
        <v>1124</v>
      </c>
      <c r="ET205" s="1111">
        <f t="shared" ref="ET205:EW205" si="986">SUM(ET203:ET204)</f>
        <v>294.92490208627572</v>
      </c>
      <c r="EU205" s="1111">
        <f t="shared" si="986"/>
        <v>298.32623826831247</v>
      </c>
      <c r="EV205" s="1111">
        <f t="shared" si="986"/>
        <v>295.47818309270383</v>
      </c>
      <c r="EW205" s="1111">
        <f t="shared" si="986"/>
        <v>292.77632232399429</v>
      </c>
      <c r="EX205" s="1111">
        <f>SUM(ET205:EW205)</f>
        <v>1181.5056457712863</v>
      </c>
      <c r="EY205" s="1111">
        <f t="shared" ref="EY205:FB205" si="987">SUM(EY203:EY204)</f>
        <v>310.61328183338662</v>
      </c>
      <c r="EZ205" s="1111">
        <f t="shared" si="987"/>
        <v>314.43469819998148</v>
      </c>
      <c r="FA205" s="1111">
        <f t="shared" si="987"/>
        <v>311.75436387213489</v>
      </c>
      <c r="FB205" s="1111">
        <f t="shared" si="987"/>
        <v>309.41823103631339</v>
      </c>
      <c r="FC205" s="1111">
        <f>SUM(EY205:FB205)</f>
        <v>1246.2205749418163</v>
      </c>
      <c r="FD205" s="1111">
        <f t="shared" ref="FD205:FM205" si="988">SUM(FD203:FD204)</f>
        <v>327.9153121730709</v>
      </c>
      <c r="FE205" s="1111">
        <f t="shared" si="988"/>
        <v>332.0991659477782</v>
      </c>
      <c r="FF205" s="1111">
        <f t="shared" si="988"/>
        <v>329.52754495223991</v>
      </c>
      <c r="FG205" s="1111">
        <f t="shared" si="988"/>
        <v>327.46744689731031</v>
      </c>
      <c r="FH205" s="1111">
        <f>SUM(FD205:FG205)</f>
        <v>1317.0094699703993</v>
      </c>
      <c r="FI205" s="1111">
        <f t="shared" si="988"/>
        <v>1392.3700161997745</v>
      </c>
      <c r="FJ205" s="1111">
        <f t="shared" si="988"/>
        <v>1468.714301238339</v>
      </c>
      <c r="FK205" s="1111">
        <f t="shared" si="988"/>
        <v>1546.0358216274146</v>
      </c>
      <c r="FL205" s="1111">
        <f t="shared" si="988"/>
        <v>1625.1652242999987</v>
      </c>
      <c r="FM205" s="1111">
        <f t="shared" si="988"/>
        <v>1706.952647357577</v>
      </c>
    </row>
    <row r="206" spans="1:171" s="90" customFormat="1" x14ac:dyDescent="0.3">
      <c r="A206" s="90" t="s">
        <v>375</v>
      </c>
      <c r="DZ206" s="1109">
        <f>Inputs!DZ168</f>
        <v>724</v>
      </c>
      <c r="EA206" s="1109">
        <f>Inputs!EA168</f>
        <v>710</v>
      </c>
      <c r="EB206" s="1109">
        <f>Inputs!EB168</f>
        <v>689</v>
      </c>
      <c r="EC206" s="1109">
        <f>Inputs!EC168</f>
        <v>690</v>
      </c>
      <c r="ED206" s="900">
        <f>SUM(DZ206:EC206)</f>
        <v>2813</v>
      </c>
      <c r="EE206" s="1109">
        <f>Inputs!EE168</f>
        <v>678</v>
      </c>
      <c r="EF206" s="1109">
        <f>Inputs!EF168</f>
        <v>680</v>
      </c>
      <c r="EG206" s="1109">
        <f>Inputs!EG168</f>
        <v>684</v>
      </c>
      <c r="EH206" s="1109">
        <f>Inputs!EH168</f>
        <v>675</v>
      </c>
      <c r="EI206" s="900">
        <f>SUM(EE206:EH206)</f>
        <v>2717</v>
      </c>
      <c r="EJ206" s="1109">
        <f>Inputs!EJ168</f>
        <v>672</v>
      </c>
      <c r="EK206" s="1109">
        <f>Inputs!EK168</f>
        <v>685</v>
      </c>
      <c r="EL206" s="1109">
        <f>Inputs!EL168</f>
        <v>691</v>
      </c>
      <c r="EM206" s="1109">
        <f>Inputs!EM168</f>
        <v>721</v>
      </c>
      <c r="EN206" s="900">
        <f>SUM(EJ206:EM206)</f>
        <v>2769</v>
      </c>
      <c r="EO206" s="1109">
        <f>Inputs!EO168</f>
        <v>729</v>
      </c>
      <c r="EP206" s="1109">
        <f>Inputs!EP168</f>
        <v>746</v>
      </c>
      <c r="EQ206" s="1109">
        <f>Inputs!EQ168</f>
        <v>760</v>
      </c>
      <c r="ER206" s="1109">
        <f>Inputs!ER168</f>
        <v>762</v>
      </c>
      <c r="ES206" s="900">
        <f>SUM(EO206:ER206)</f>
        <v>2997</v>
      </c>
      <c r="ET206" s="900">
        <f t="shared" ref="ET206:EW206" si="989">ET202+ET205</f>
        <v>789.97506963189664</v>
      </c>
      <c r="EU206" s="900">
        <f t="shared" si="989"/>
        <v>816.79010988444156</v>
      </c>
      <c r="EV206" s="900">
        <f t="shared" si="989"/>
        <v>834.45230035139934</v>
      </c>
      <c r="EW206" s="900">
        <f t="shared" si="989"/>
        <v>842.88360455972929</v>
      </c>
      <c r="EX206" s="900">
        <f>SUM(ET206:EW206)</f>
        <v>3284.101084427467</v>
      </c>
      <c r="EY206" s="900">
        <f t="shared" ref="EY206:FB206" si="990">EY202+EY205</f>
        <v>873.59563152107194</v>
      </c>
      <c r="EZ206" s="900">
        <f t="shared" si="990"/>
        <v>910.08074651570291</v>
      </c>
      <c r="FA206" s="900">
        <f t="shared" si="990"/>
        <v>932.43936416493648</v>
      </c>
      <c r="FB206" s="900">
        <f t="shared" si="990"/>
        <v>946.57963661140786</v>
      </c>
      <c r="FC206" s="900">
        <f>SUM(EY206:FB206)</f>
        <v>3662.6953788131191</v>
      </c>
      <c r="FD206" s="900">
        <f t="shared" ref="FD206:FM206" si="991">FD202+FD205</f>
        <v>980.75061711240949</v>
      </c>
      <c r="FE206" s="900">
        <f t="shared" si="991"/>
        <v>1025.2208745013543</v>
      </c>
      <c r="FF206" s="900">
        <f t="shared" si="991"/>
        <v>1051.2911638792989</v>
      </c>
      <c r="FG206" s="900">
        <f t="shared" si="991"/>
        <v>1068.2007508053921</v>
      </c>
      <c r="FH206" s="900">
        <f>SUM(FD206:FG206)</f>
        <v>4125.4634062984551</v>
      </c>
      <c r="FI206" s="900">
        <f t="shared" si="991"/>
        <v>4607.8468289865432</v>
      </c>
      <c r="FJ206" s="900">
        <f t="shared" si="991"/>
        <v>5070.4371296805848</v>
      </c>
      <c r="FK206" s="900">
        <f t="shared" si="991"/>
        <v>5494.6601976161328</v>
      </c>
      <c r="FL206" s="900">
        <f t="shared" si="991"/>
        <v>5878.4380881064735</v>
      </c>
      <c r="FM206" s="900">
        <f t="shared" si="991"/>
        <v>6222.6041504241011</v>
      </c>
    </row>
    <row r="207" spans="1:171" s="94" customFormat="1" x14ac:dyDescent="0.3">
      <c r="A207" s="73" t="s">
        <v>376</v>
      </c>
      <c r="DY207" s="141"/>
      <c r="ED207" s="141"/>
      <c r="EE207" s="1168">
        <f t="shared" ref="EE207:EX214" si="992">EE199/DZ199-1</f>
        <v>9.9675314282388738E-2</v>
      </c>
      <c r="EF207" s="1168">
        <f t="shared" si="992"/>
        <v>0.14313109889850129</v>
      </c>
      <c r="EG207" s="1168">
        <f t="shared" si="992"/>
        <v>0.14642433790960818</v>
      </c>
      <c r="EH207" s="1168">
        <f t="shared" si="992"/>
        <v>0.10967707428613638</v>
      </c>
      <c r="EI207" s="1169">
        <f t="shared" si="992"/>
        <v>0.12465000854548958</v>
      </c>
      <c r="EJ207" s="1168">
        <f t="shared" si="992"/>
        <v>0.11910420009080602</v>
      </c>
      <c r="EK207" s="1168">
        <f t="shared" si="992"/>
        <v>0.12855867679820299</v>
      </c>
      <c r="EL207" s="1168">
        <f t="shared" si="992"/>
        <v>0.14378263831075433</v>
      </c>
      <c r="EM207" s="1168">
        <f t="shared" si="992"/>
        <v>0.15184318250380402</v>
      </c>
      <c r="EN207" s="1169">
        <f t="shared" si="992"/>
        <v>0.13618185038672714</v>
      </c>
      <c r="EO207" s="1168">
        <f t="shared" si="992"/>
        <v>0.17460682287343854</v>
      </c>
      <c r="EP207" s="1168">
        <f t="shared" si="992"/>
        <v>0.19204701411127134</v>
      </c>
      <c r="EQ207" s="1168">
        <f t="shared" si="992"/>
        <v>0.22583105657699032</v>
      </c>
      <c r="ER207" s="1168">
        <f t="shared" si="992"/>
        <v>0.25211085409139278</v>
      </c>
      <c r="ES207" s="1169">
        <f t="shared" si="992"/>
        <v>0.21229983383490514</v>
      </c>
      <c r="ET207" s="1168">
        <f t="shared" si="992"/>
        <v>0.24103565513891745</v>
      </c>
      <c r="EU207" s="1168">
        <f t="shared" si="992"/>
        <v>0.24239318003608368</v>
      </c>
      <c r="EV207" s="1168">
        <f t="shared" si="992"/>
        <v>0.2432723343885963</v>
      </c>
      <c r="EW207" s="1168">
        <f t="shared" si="992"/>
        <v>0.24362421165036396</v>
      </c>
      <c r="EX207" s="1169">
        <f t="shared" si="992"/>
        <v>0.24264470429770246</v>
      </c>
      <c r="EY207" s="1168">
        <f t="shared" ref="EY207:EY208" si="993">EY199/ET199-1</f>
        <v>0.23768374641511514</v>
      </c>
      <c r="EZ207" s="1168">
        <f t="shared" ref="EZ207:EZ208" si="994">EZ199/EU199-1</f>
        <v>0.23750067387373353</v>
      </c>
      <c r="FA207" s="1168">
        <f t="shared" ref="FA207:FA208" si="995">FA199/EV199-1</f>
        <v>0.23655472395089383</v>
      </c>
      <c r="FB207" s="1168">
        <f t="shared" ref="FB207:FC214" si="996">FB199/EW199-1</f>
        <v>0.23503572704296438</v>
      </c>
      <c r="FC207" s="1169">
        <f t="shared" si="996"/>
        <v>0.2366318041645703</v>
      </c>
      <c r="FD207" s="1168">
        <f t="shared" ref="FD207:FD208" si="997">FD199/EY199-1</f>
        <v>0.23160959678458615</v>
      </c>
      <c r="FE207" s="1168">
        <f t="shared" ref="FE207:FE208" si="998">FE199/EZ199-1</f>
        <v>0.22679616132397751</v>
      </c>
      <c r="FF207" s="1168">
        <f t="shared" ref="FF207:FF208" si="999">FF199/FA199-1</f>
        <v>0.22160674598271535</v>
      </c>
      <c r="FG207" s="1168">
        <f t="shared" ref="FG207:FH214" si="1000">FG199/FB199-1</f>
        <v>0.21518516176464897</v>
      </c>
      <c r="FH207" s="1169">
        <f t="shared" si="1000"/>
        <v>0.22341429010039593</v>
      </c>
      <c r="FI207" s="1168">
        <f t="shared" ref="FI207:FM208" si="1001">FI199/FH199-1</f>
        <v>0.18480293032476092</v>
      </c>
      <c r="FJ207" s="1168">
        <f t="shared" si="1001"/>
        <v>0.14657858007087476</v>
      </c>
      <c r="FK207" s="1168">
        <f t="shared" si="1001"/>
        <v>0.11362806139798942</v>
      </c>
      <c r="FL207" s="1168">
        <f t="shared" si="1001"/>
        <v>8.8946275186750245E-2</v>
      </c>
      <c r="FM207" s="1168">
        <f t="shared" si="1001"/>
        <v>6.9986727125319836E-2</v>
      </c>
    </row>
    <row r="208" spans="1:171" s="94" customFormat="1" x14ac:dyDescent="0.3">
      <c r="A208" s="73" t="s">
        <v>377</v>
      </c>
      <c r="DY208" s="141"/>
      <c r="ED208" s="141"/>
      <c r="EE208" s="1168">
        <f t="shared" si="992"/>
        <v>-0.19859472409609891</v>
      </c>
      <c r="EF208" s="1168">
        <f t="shared" si="992"/>
        <v>-0.16864327373553878</v>
      </c>
      <c r="EG208" s="1168">
        <f t="shared" si="992"/>
        <v>-0.16108449874289099</v>
      </c>
      <c r="EH208" s="1168">
        <f t="shared" si="992"/>
        <v>-0.15387202781852893</v>
      </c>
      <c r="EI208" s="1169">
        <f t="shared" si="992"/>
        <v>-0.17165900023276737</v>
      </c>
      <c r="EJ208" s="1168">
        <f t="shared" si="992"/>
        <v>-0.14655133860055247</v>
      </c>
      <c r="EK208" s="1168">
        <f t="shared" si="992"/>
        <v>-0.13918535683856559</v>
      </c>
      <c r="EL208" s="1168">
        <f t="shared" si="992"/>
        <v>-0.14085398830430873</v>
      </c>
      <c r="EM208" s="1168">
        <f t="shared" si="992"/>
        <v>-0.13823341836734682</v>
      </c>
      <c r="EN208" s="1169">
        <f t="shared" si="992"/>
        <v>-0.1413241179573359</v>
      </c>
      <c r="EO208" s="1168">
        <f t="shared" si="992"/>
        <v>-0.11503002175297983</v>
      </c>
      <c r="EP208" s="1168">
        <f t="shared" si="992"/>
        <v>-0.1257496651161808</v>
      </c>
      <c r="EQ208" s="1168">
        <f t="shared" si="992"/>
        <v>-0.12894009475569879</v>
      </c>
      <c r="ER208" s="1168">
        <f t="shared" si="992"/>
        <v>-0.14613775799071227</v>
      </c>
      <c r="ES208" s="1169">
        <f t="shared" si="992"/>
        <v>-0.12848128614320042</v>
      </c>
      <c r="ET208" s="1168">
        <f t="shared" si="992"/>
        <v>-0.18486486486486486</v>
      </c>
      <c r="EU208" s="1168">
        <f t="shared" si="992"/>
        <v>-0.18486486486486486</v>
      </c>
      <c r="EV208" s="1168">
        <f t="shared" si="992"/>
        <v>-0.18486486486486442</v>
      </c>
      <c r="EW208" s="1168">
        <f t="shared" si="992"/>
        <v>-0.18486486486486464</v>
      </c>
      <c r="EX208" s="1169">
        <f t="shared" si="992"/>
        <v>-0.18486486486486475</v>
      </c>
      <c r="EY208" s="1168">
        <f t="shared" si="993"/>
        <v>-0.18486486486486475</v>
      </c>
      <c r="EZ208" s="1168">
        <f t="shared" si="994"/>
        <v>-0.18486486486486475</v>
      </c>
      <c r="FA208" s="1168">
        <f t="shared" si="995"/>
        <v>-0.18486486486486475</v>
      </c>
      <c r="FB208" s="1168">
        <f t="shared" si="996"/>
        <v>-0.18486486486486475</v>
      </c>
      <c r="FC208" s="1169">
        <f t="shared" si="996"/>
        <v>-0.18486486486486464</v>
      </c>
      <c r="FD208" s="1168">
        <f t="shared" si="997"/>
        <v>-0.18486486486486475</v>
      </c>
      <c r="FE208" s="1168">
        <f t="shared" si="998"/>
        <v>-0.18486486486486453</v>
      </c>
      <c r="FF208" s="1168">
        <f t="shared" si="999"/>
        <v>-0.18486486486486486</v>
      </c>
      <c r="FG208" s="1168">
        <f t="shared" si="1000"/>
        <v>-0.18486486486486486</v>
      </c>
      <c r="FH208" s="1169">
        <f t="shared" si="1000"/>
        <v>-0.18486486486486486</v>
      </c>
      <c r="FI208" s="1168">
        <f t="shared" si="1001"/>
        <v>-0.19053237937993017</v>
      </c>
      <c r="FJ208" s="1168">
        <f t="shared" si="1001"/>
        <v>-0.20573839662447257</v>
      </c>
      <c r="FK208" s="1168">
        <f t="shared" si="1001"/>
        <v>-0.20573839662447257</v>
      </c>
      <c r="FL208" s="1168">
        <f t="shared" si="1001"/>
        <v>-0.20573839662447257</v>
      </c>
      <c r="FM208" s="1168">
        <f t="shared" si="1001"/>
        <v>-0.20573839662447269</v>
      </c>
    </row>
    <row r="209" spans="1:181" s="94" customFormat="1" x14ac:dyDescent="0.3">
      <c r="A209" s="73" t="s">
        <v>378</v>
      </c>
      <c r="DY209" s="141"/>
      <c r="ED209" s="141"/>
      <c r="EE209" s="1168">
        <f t="shared" si="992"/>
        <v>-0.14895055008643776</v>
      </c>
      <c r="EF209" s="1168">
        <f t="shared" si="992"/>
        <v>-0.17246691533928571</v>
      </c>
      <c r="EG209" s="1168">
        <f t="shared" si="992"/>
        <v>-0.17658545223401123</v>
      </c>
      <c r="EH209" s="1168">
        <f t="shared" si="992"/>
        <v>-0.26202204257854111</v>
      </c>
      <c r="EI209" s="1169">
        <f t="shared" si="992"/>
        <v>-0.19003516396636388</v>
      </c>
      <c r="EJ209" s="1168">
        <f t="shared" si="992"/>
        <v>-0.21739427598070238</v>
      </c>
      <c r="EK209" s="1168">
        <f t="shared" si="992"/>
        <v>-0.10450216223371545</v>
      </c>
      <c r="EL209" s="1168">
        <f t="shared" si="992"/>
        <v>-6.9045690246253622E-2</v>
      </c>
      <c r="EM209" s="1168">
        <f t="shared" si="992"/>
        <v>0.1971956781696762</v>
      </c>
      <c r="EN209" s="1169">
        <f t="shared" si="992"/>
        <v>-5.7319579994859038E-2</v>
      </c>
      <c r="EO209" s="1168">
        <f t="shared" si="992"/>
        <v>0.20906691813836065</v>
      </c>
      <c r="EP209" s="1168">
        <f t="shared" si="992"/>
        <v>6.2010765466009365E-2</v>
      </c>
      <c r="EQ209" s="1168">
        <f t="shared" si="992"/>
        <v>0.1166316873857558</v>
      </c>
      <c r="ER209" s="1168">
        <f t="shared" si="992"/>
        <v>-0.15986808260129326</v>
      </c>
      <c r="ES209" s="1169">
        <f t="shared" si="992"/>
        <v>4.341067798794418E-2</v>
      </c>
      <c r="ET209" s="1187">
        <v>-0.13</v>
      </c>
      <c r="EU209" s="1187">
        <v>-0.08</v>
      </c>
      <c r="EV209" s="1187">
        <v>-0.13</v>
      </c>
      <c r="EW209" s="1187">
        <v>-0.1</v>
      </c>
      <c r="EX209" s="1169">
        <f t="shared" si="992"/>
        <v>-0.11074137827960118</v>
      </c>
      <c r="EY209" s="1187">
        <f t="shared" ref="EY209:FB209" si="1002">ET209*0.9</f>
        <v>-0.11700000000000001</v>
      </c>
      <c r="EZ209" s="1187">
        <f t="shared" si="1002"/>
        <v>-7.2000000000000008E-2</v>
      </c>
      <c r="FA209" s="1187">
        <f t="shared" si="1002"/>
        <v>-0.11700000000000001</v>
      </c>
      <c r="FB209" s="1187">
        <f t="shared" si="1002"/>
        <v>-9.0000000000000011E-2</v>
      </c>
      <c r="FC209" s="1169">
        <f t="shared" si="996"/>
        <v>-9.9212121303349221E-2</v>
      </c>
      <c r="FD209" s="1187">
        <f t="shared" ref="FD209:FG209" si="1003">EY209*0.9</f>
        <v>-0.1053</v>
      </c>
      <c r="FE209" s="1187">
        <f t="shared" si="1003"/>
        <v>-6.480000000000001E-2</v>
      </c>
      <c r="FF209" s="1187">
        <f t="shared" si="1003"/>
        <v>-0.1053</v>
      </c>
      <c r="FG209" s="1187">
        <f t="shared" si="1003"/>
        <v>-8.1000000000000016E-2</v>
      </c>
      <c r="FH209" s="1169">
        <f t="shared" si="1000"/>
        <v>-8.8923880173547354E-2</v>
      </c>
      <c r="FI209" s="1187">
        <f t="shared" ref="FI209:FM209" si="1004">FH209*0.9</f>
        <v>-8.0031492156192624E-2</v>
      </c>
      <c r="FJ209" s="1187">
        <f t="shared" si="1004"/>
        <v>-7.2028342940573364E-2</v>
      </c>
      <c r="FK209" s="1187">
        <f t="shared" si="1004"/>
        <v>-6.4825508646516025E-2</v>
      </c>
      <c r="FL209" s="1187">
        <f t="shared" si="1004"/>
        <v>-5.8342957781864421E-2</v>
      </c>
      <c r="FM209" s="1187">
        <f t="shared" si="1004"/>
        <v>-5.2508662003677979E-2</v>
      </c>
    </row>
    <row r="210" spans="1:181" s="141" customFormat="1" x14ac:dyDescent="0.3">
      <c r="A210" s="1108" t="s">
        <v>379</v>
      </c>
      <c r="EE210" s="1169">
        <f t="shared" si="992"/>
        <v>-4.861111111111116E-2</v>
      </c>
      <c r="EF210" s="1169">
        <f t="shared" si="992"/>
        <v>-1.4319809069212375E-2</v>
      </c>
      <c r="EG210" s="1169">
        <f t="shared" si="992"/>
        <v>-4.8661800486617945E-3</v>
      </c>
      <c r="EH210" s="1169">
        <f t="shared" si="992"/>
        <v>-3.1100478468899517E-2</v>
      </c>
      <c r="EI210" s="1169">
        <f t="shared" si="992"/>
        <v>-2.5000000000000022E-2</v>
      </c>
      <c r="EJ210" s="1169">
        <f t="shared" si="992"/>
        <v>-9.7323600973235891E-3</v>
      </c>
      <c r="EK210" s="1169">
        <f t="shared" si="992"/>
        <v>1.937046004842613E-2</v>
      </c>
      <c r="EL210" s="1169">
        <f t="shared" si="992"/>
        <v>3.6674816625916762E-2</v>
      </c>
      <c r="EM210" s="1169">
        <f t="shared" si="992"/>
        <v>7.6543209876543283E-2</v>
      </c>
      <c r="EN210" s="1169">
        <f t="shared" si="992"/>
        <v>3.0525030525030417E-2</v>
      </c>
      <c r="EO210" s="1169">
        <f t="shared" si="992"/>
        <v>0.10073710073710074</v>
      </c>
      <c r="EP210" s="1169">
        <f t="shared" si="992"/>
        <v>9.7387173396674687E-2</v>
      </c>
      <c r="EQ210" s="1169">
        <f t="shared" si="992"/>
        <v>0.12971698113207553</v>
      </c>
      <c r="ER210" s="1169">
        <f t="shared" si="992"/>
        <v>0.11009174311926606</v>
      </c>
      <c r="ES210" s="1169">
        <f t="shared" si="992"/>
        <v>0.10959715639810419</v>
      </c>
      <c r="ET210" s="1169">
        <f t="shared" si="992"/>
        <v>0.10502269541433251</v>
      </c>
      <c r="EU210" s="1169">
        <f t="shared" si="992"/>
        <v>0.12221617232928361</v>
      </c>
      <c r="EV210" s="1169">
        <f t="shared" si="992"/>
        <v>0.12520692538349798</v>
      </c>
      <c r="EW210" s="1169">
        <f t="shared" si="992"/>
        <v>0.13658529387548546</v>
      </c>
      <c r="EX210" s="1169">
        <f t="shared" si="992"/>
        <v>0.12258165438130275</v>
      </c>
      <c r="EY210" s="1169">
        <f t="shared" ref="EY210:EY211" si="1005">EY202/ET202-1</f>
        <v>0.13722282426215759</v>
      </c>
      <c r="EZ210" s="1169">
        <f t="shared" ref="EZ210:EZ211" si="1006">EZ202/EU202-1</f>
        <v>0.14886702994174716</v>
      </c>
      <c r="FA210" s="1169">
        <f t="shared" ref="FA210:FA211" si="1007">FA202/EV202-1</f>
        <v>0.15160446562758922</v>
      </c>
      <c r="FB210" s="1169">
        <f t="shared" ref="FB210:FB211" si="1008">FB202/EW202-1</f>
        <v>0.15824935635382964</v>
      </c>
      <c r="FC210" s="1169">
        <f t="shared" si="996"/>
        <v>0.1492818634742834</v>
      </c>
      <c r="FD210" s="1169">
        <f t="shared" ref="FD210:FD211" si="1009">FD202/EY202-1</f>
        <v>0.15960172694845443</v>
      </c>
      <c r="FE210" s="1169">
        <f t="shared" ref="FE210:FE211" si="1010">FE202/EZ202-1</f>
        <v>0.16364695193308432</v>
      </c>
      <c r="FF210" s="1169">
        <f t="shared" ref="FF210:FF211" si="1011">FF202/FA202-1</f>
        <v>0.16285010687639412</v>
      </c>
      <c r="FG210" s="1169">
        <f t="shared" ref="FG210:FG211" si="1012">FG202/FB202-1</f>
        <v>0.16255205890806379</v>
      </c>
      <c r="FH210" s="1169">
        <f t="shared" si="1000"/>
        <v>0.16221113989220304</v>
      </c>
      <c r="FI210" s="1168">
        <f t="shared" ref="FI210:FM211" si="1013">FI202/FH202-1</f>
        <v>0.14492773806747228</v>
      </c>
      <c r="FJ210" s="1168">
        <f t="shared" si="1013"/>
        <v>0.12012091460884378</v>
      </c>
      <c r="FK210" s="1168">
        <f t="shared" si="1013"/>
        <v>9.6315447931485609E-2</v>
      </c>
      <c r="FL210" s="1168">
        <f t="shared" si="1013"/>
        <v>7.7153068716867557E-2</v>
      </c>
      <c r="FM210" s="1168">
        <f t="shared" si="1013"/>
        <v>6.1688644876932042E-2</v>
      </c>
    </row>
    <row r="211" spans="1:181" s="94" customFormat="1" x14ac:dyDescent="0.3">
      <c r="A211" s="73" t="s">
        <v>380</v>
      </c>
      <c r="DY211" s="141"/>
      <c r="ED211" s="141"/>
      <c r="EE211" s="1168">
        <f t="shared" si="992"/>
        <v>-2.7035723730264083E-2</v>
      </c>
      <c r="EF211" s="1168">
        <f t="shared" si="992"/>
        <v>3.7962331371518054E-2</v>
      </c>
      <c r="EG211" s="1168">
        <f t="shared" si="992"/>
        <v>4.8310409671183052E-2</v>
      </c>
      <c r="EH211" s="1168">
        <f t="shared" si="992"/>
        <v>5.9477789523055824E-2</v>
      </c>
      <c r="EI211" s="1169">
        <f t="shared" si="992"/>
        <v>2.9760734172065595E-2</v>
      </c>
      <c r="EJ211" s="1168">
        <f t="shared" si="992"/>
        <v>0.11213231068485441</v>
      </c>
      <c r="EK211" s="1168">
        <f t="shared" si="992"/>
        <v>0.10096680391033197</v>
      </c>
      <c r="EL211" s="1168">
        <f t="shared" si="992"/>
        <v>0.11533651040653559</v>
      </c>
      <c r="EM211" s="1168">
        <f t="shared" si="992"/>
        <v>0.11485119511653519</v>
      </c>
      <c r="EN211" s="1169">
        <f t="shared" si="992"/>
        <v>0.11086985639652913</v>
      </c>
      <c r="EO211" s="1168">
        <f t="shared" si="992"/>
        <v>0.11078206621819664</v>
      </c>
      <c r="EP211" s="1168">
        <f t="shared" si="992"/>
        <v>8.1092733612498691E-2</v>
      </c>
      <c r="EQ211" s="1168">
        <f t="shared" si="992"/>
        <v>6.5493303476053866E-2</v>
      </c>
      <c r="ER211" s="1168">
        <f t="shared" si="992"/>
        <v>8.0755439628425796E-2</v>
      </c>
      <c r="ES211" s="1169">
        <f t="shared" si="992"/>
        <v>8.4048357108998273E-2</v>
      </c>
      <c r="ET211" s="1168">
        <f t="shared" si="992"/>
        <v>0.18417643202504741</v>
      </c>
      <c r="EU211" s="1168">
        <f t="shared" si="992"/>
        <v>0.19005969183854488</v>
      </c>
      <c r="EV211" s="1168">
        <f t="shared" si="992"/>
        <v>0.19427377054783301</v>
      </c>
      <c r="EW211" s="1168">
        <f t="shared" si="992"/>
        <v>0.19758112811755679</v>
      </c>
      <c r="EX211" s="1169">
        <f t="shared" si="992"/>
        <v>0.1916538452385057</v>
      </c>
      <c r="EY211" s="1168">
        <f t="shared" si="1005"/>
        <v>0.20128437490245399</v>
      </c>
      <c r="EZ211" s="1168">
        <f t="shared" si="1006"/>
        <v>0.20489780322103512</v>
      </c>
      <c r="FA211" s="1168">
        <f t="shared" si="1007"/>
        <v>0.20733722454521164</v>
      </c>
      <c r="FB211" s="1168">
        <f t="shared" si="1008"/>
        <v>0.20907906292815492</v>
      </c>
      <c r="FC211" s="1169">
        <f t="shared" si="996"/>
        <v>0.20573747631019823</v>
      </c>
      <c r="FD211" s="1168">
        <f t="shared" si="1009"/>
        <v>0.21018711491465991</v>
      </c>
      <c r="FE211" s="1168">
        <f t="shared" si="1010"/>
        <v>0.21058260648801275</v>
      </c>
      <c r="FF211" s="1168">
        <f t="shared" si="1011"/>
        <v>0.21016811177034134</v>
      </c>
      <c r="FG211" s="1168">
        <f t="shared" si="1012"/>
        <v>0.20780248471370943</v>
      </c>
      <c r="FH211" s="1169">
        <f t="shared" si="1000"/>
        <v>0.20965208902250843</v>
      </c>
      <c r="FI211" s="1168">
        <f t="shared" si="1013"/>
        <v>0.19931835914536022</v>
      </c>
      <c r="FJ211" s="1168">
        <f t="shared" si="1013"/>
        <v>0.17579496151122731</v>
      </c>
      <c r="FK211" s="1168">
        <f t="shared" si="1013"/>
        <v>0.15736194668670556</v>
      </c>
      <c r="FL211" s="1168">
        <f t="shared" si="1013"/>
        <v>0.14448218492649278</v>
      </c>
      <c r="FM211" s="1168">
        <f t="shared" si="1013"/>
        <v>0.13523644133042412</v>
      </c>
    </row>
    <row r="212" spans="1:181" s="94" customFormat="1" x14ac:dyDescent="0.3">
      <c r="A212" s="73" t="s">
        <v>381</v>
      </c>
      <c r="DY212" s="141"/>
      <c r="ED212" s="141"/>
      <c r="EE212" s="1168">
        <f t="shared" si="992"/>
        <v>-9.2202062089677628E-2</v>
      </c>
      <c r="EF212" s="1168">
        <f t="shared" si="992"/>
        <v>-9.5921003774211755E-2</v>
      </c>
      <c r="EG212" s="1168">
        <f t="shared" si="992"/>
        <v>-1.7787388704679885E-2</v>
      </c>
      <c r="EH212" s="1168">
        <f t="shared" si="992"/>
        <v>-1.5627084702232064E-2</v>
      </c>
      <c r="EI212" s="1169">
        <f t="shared" si="992"/>
        <v>-5.6672595206266552E-2</v>
      </c>
      <c r="EJ212" s="1168">
        <f t="shared" si="992"/>
        <v>-2.1903970691547925E-2</v>
      </c>
      <c r="EK212" s="1168">
        <f t="shared" si="992"/>
        <v>-2.5618595216510887E-2</v>
      </c>
      <c r="EL212" s="1168">
        <f t="shared" si="992"/>
        <v>-4.7337622975662907E-2</v>
      </c>
      <c r="EM212" s="1168">
        <f t="shared" si="992"/>
        <v>4.7654196469663068E-2</v>
      </c>
      <c r="EN212" s="1169">
        <f t="shared" si="992"/>
        <v>-1.1998031085885374E-2</v>
      </c>
      <c r="EO212" s="1168">
        <f t="shared" si="992"/>
        <v>5.347184441359043E-2</v>
      </c>
      <c r="EP212" s="1168">
        <f t="shared" si="992"/>
        <v>7.4984846084001688E-2</v>
      </c>
      <c r="EQ212" s="1168">
        <f t="shared" si="992"/>
        <v>5.0502903463696125E-2</v>
      </c>
      <c r="ER212" s="1168">
        <f t="shared" si="992"/>
        <v>-3.9495392299897292E-2</v>
      </c>
      <c r="ES212" s="1169">
        <f t="shared" si="992"/>
        <v>3.3453470397531104E-2</v>
      </c>
      <c r="ET212" s="1187">
        <f>ES212*0.9</f>
        <v>3.0108123357777995E-2</v>
      </c>
      <c r="EU212" s="1187">
        <f>ET212</f>
        <v>3.0108123357777995E-2</v>
      </c>
      <c r="EV212" s="1187">
        <f t="shared" ref="EV212:EW212" si="1014">EU212</f>
        <v>3.0108123357777995E-2</v>
      </c>
      <c r="EW212" s="1187">
        <f t="shared" si="1014"/>
        <v>3.0108123357777995E-2</v>
      </c>
      <c r="EX212" s="1169">
        <f t="shared" si="992"/>
        <v>3.0108123357778016E-2</v>
      </c>
      <c r="EY212" s="1187">
        <f t="shared" ref="EY212:FB212" si="1015">ET212*0.95</f>
        <v>2.8602717189889094E-2</v>
      </c>
      <c r="EZ212" s="1187">
        <f t="shared" si="1015"/>
        <v>2.8602717189889094E-2</v>
      </c>
      <c r="FA212" s="1187">
        <f t="shared" si="1015"/>
        <v>2.8602717189889094E-2</v>
      </c>
      <c r="FB212" s="1187">
        <f t="shared" si="1015"/>
        <v>2.8602717189889094E-2</v>
      </c>
      <c r="FC212" s="1169">
        <f t="shared" si="996"/>
        <v>2.8602717189889049E-2</v>
      </c>
      <c r="FD212" s="1187">
        <f t="shared" ref="FD212:FG212" si="1016">EY212*0.9</f>
        <v>2.5742445470900186E-2</v>
      </c>
      <c r="FE212" s="1187">
        <f t="shared" si="1016"/>
        <v>2.5742445470900186E-2</v>
      </c>
      <c r="FF212" s="1187">
        <f t="shared" si="1016"/>
        <v>2.5742445470900186E-2</v>
      </c>
      <c r="FG212" s="1187">
        <f t="shared" si="1016"/>
        <v>2.5742445470900186E-2</v>
      </c>
      <c r="FH212" s="1169">
        <f t="shared" si="1000"/>
        <v>2.5742445470900099E-2</v>
      </c>
      <c r="FI212" s="1187">
        <f t="shared" ref="FI212:FM212" si="1017">FH212*0.9</f>
        <v>2.3168200923810091E-2</v>
      </c>
      <c r="FJ212" s="1187">
        <f t="shared" si="1017"/>
        <v>2.0851380831429081E-2</v>
      </c>
      <c r="FK212" s="1187">
        <f t="shared" si="1017"/>
        <v>1.8766242748286175E-2</v>
      </c>
      <c r="FL212" s="1187">
        <f t="shared" si="1017"/>
        <v>1.6889618473457556E-2</v>
      </c>
      <c r="FM212" s="1187">
        <f t="shared" si="1017"/>
        <v>1.5200656626111801E-2</v>
      </c>
    </row>
    <row r="213" spans="1:181" s="94" customFormat="1" x14ac:dyDescent="0.3">
      <c r="A213" s="73" t="s">
        <v>382</v>
      </c>
      <c r="DY213" s="141"/>
      <c r="ED213" s="141"/>
      <c r="EE213" s="1169">
        <f t="shared" si="992"/>
        <v>-8.5616438356164393E-2</v>
      </c>
      <c r="EF213" s="1169">
        <f t="shared" si="992"/>
        <v>-8.2474226804123751E-2</v>
      </c>
      <c r="EG213" s="1169">
        <f t="shared" si="992"/>
        <v>-1.0791366906474864E-2</v>
      </c>
      <c r="EH213" s="1169">
        <f t="shared" si="992"/>
        <v>-7.3529411764705621E-3</v>
      </c>
      <c r="EI213" s="1169">
        <f t="shared" si="992"/>
        <v>-4.7661076787290368E-2</v>
      </c>
      <c r="EJ213" s="1169">
        <f t="shared" si="992"/>
        <v>-7.4906367041198685E-3</v>
      </c>
      <c r="EK213" s="1169">
        <f t="shared" si="992"/>
        <v>-1.1235955056179803E-2</v>
      </c>
      <c r="EL213" s="1169">
        <f t="shared" si="992"/>
        <v>-2.9090909090909056E-2</v>
      </c>
      <c r="EM213" s="1169">
        <f t="shared" si="992"/>
        <v>5.555555555555558E-2</v>
      </c>
      <c r="EN213" s="1169">
        <f t="shared" si="992"/>
        <v>1.853568118628468E-3</v>
      </c>
      <c r="EO213" s="1169">
        <f t="shared" si="992"/>
        <v>6.0377358490566024E-2</v>
      </c>
      <c r="EP213" s="1169">
        <f t="shared" si="992"/>
        <v>7.575757575757569E-2</v>
      </c>
      <c r="EQ213" s="1169">
        <f t="shared" si="992"/>
        <v>5.2434456928838857E-2</v>
      </c>
      <c r="ER213" s="1169">
        <f t="shared" si="992"/>
        <v>-2.4561403508771895E-2</v>
      </c>
      <c r="ES213" s="1169">
        <f t="shared" si="992"/>
        <v>3.9777983348751267E-2</v>
      </c>
      <c r="ET213" s="1169">
        <f t="shared" si="992"/>
        <v>4.9554811694931367E-2</v>
      </c>
      <c r="EU213" s="1169">
        <f t="shared" si="992"/>
        <v>5.0444500944762272E-2</v>
      </c>
      <c r="EV213" s="1169">
        <f t="shared" si="992"/>
        <v>5.1523783248056398E-2</v>
      </c>
      <c r="EW213" s="1169">
        <f t="shared" si="992"/>
        <v>5.3152238575518984E-2</v>
      </c>
      <c r="EX213" s="1169">
        <f t="shared" si="992"/>
        <v>5.1161606558083772E-2</v>
      </c>
      <c r="EY213" s="1169">
        <f t="shared" ref="EY213:EY214" si="1018">EY205/ET205-1</f>
        <v>5.3194489973998449E-2</v>
      </c>
      <c r="EZ213" s="1169">
        <f t="shared" ref="EZ213:EZ214" si="1019">EZ205/EU205-1</f>
        <v>5.3996121913960415E-2</v>
      </c>
      <c r="FA213" s="1169">
        <f t="shared" ref="FA213:FA214" si="1020">FA205/EV205-1</f>
        <v>5.5084204894831679E-2</v>
      </c>
      <c r="FB213" s="1169">
        <f t="shared" ref="FB213:FB214" si="1021">FB205/EW205-1</f>
        <v>5.6841716502957773E-2</v>
      </c>
      <c r="FC213" s="1169">
        <f t="shared" si="996"/>
        <v>5.4773271208775398E-2</v>
      </c>
      <c r="FD213" s="1169">
        <f t="shared" ref="FD213:FD214" si="1022">FD205/EY205-1</f>
        <v>5.5702802654025385E-2</v>
      </c>
      <c r="FE213" s="1169">
        <f t="shared" ref="FE213:FE214" si="1023">FE205/EZ205-1</f>
        <v>5.6178493814197594E-2</v>
      </c>
      <c r="FF213" s="1169">
        <f t="shared" ref="FF213:FF214" si="1024">FF205/FA205-1</f>
        <v>5.7010207842334015E-2</v>
      </c>
      <c r="FG213" s="1169">
        <f t="shared" ref="FG213:FG214" si="1025">FG205/FB205-1</f>
        <v>5.8332748527925915E-2</v>
      </c>
      <c r="FH213" s="1169">
        <f t="shared" si="1000"/>
        <v>5.6802861750126388E-2</v>
      </c>
      <c r="FI213" s="1168">
        <f t="shared" ref="FI213:FM214" si="1026">FI205/FH205-1</f>
        <v>5.7220960021698852E-2</v>
      </c>
      <c r="FJ213" s="1168">
        <f t="shared" si="1026"/>
        <v>5.4830457529480903E-2</v>
      </c>
      <c r="FK213" s="1168">
        <f t="shared" si="1026"/>
        <v>5.2645718996459978E-2</v>
      </c>
      <c r="FL213" s="1168">
        <f t="shared" si="1026"/>
        <v>5.1182127584398218E-2</v>
      </c>
      <c r="FM213" s="1168">
        <f t="shared" si="1026"/>
        <v>5.032560495060201E-2</v>
      </c>
    </row>
    <row r="214" spans="1:181" s="141" customFormat="1" x14ac:dyDescent="0.3">
      <c r="A214" s="1108" t="s">
        <v>383</v>
      </c>
      <c r="EE214" s="1169">
        <f t="shared" si="992"/>
        <v>-6.3535911602209949E-2</v>
      </c>
      <c r="EF214" s="1169">
        <f t="shared" si="992"/>
        <v>-4.2253521126760618E-2</v>
      </c>
      <c r="EG214" s="1169">
        <f t="shared" si="992"/>
        <v>-7.2568940493469292E-3</v>
      </c>
      <c r="EH214" s="1169">
        <f t="shared" si="992"/>
        <v>-2.1739130434782594E-2</v>
      </c>
      <c r="EI214" s="1169">
        <f t="shared" si="992"/>
        <v>-3.412726626377538E-2</v>
      </c>
      <c r="EJ214" s="1169">
        <f t="shared" si="992"/>
        <v>-8.8495575221239076E-3</v>
      </c>
      <c r="EK214" s="1169">
        <f t="shared" si="992"/>
        <v>7.3529411764705621E-3</v>
      </c>
      <c r="EL214" s="1169">
        <f t="shared" si="992"/>
        <v>1.023391812865504E-2</v>
      </c>
      <c r="EM214" s="1169">
        <f t="shared" si="992"/>
        <v>6.8148148148148069E-2</v>
      </c>
      <c r="EN214" s="1169">
        <f t="shared" si="992"/>
        <v>1.9138755980861344E-2</v>
      </c>
      <c r="EO214" s="1169">
        <f t="shared" si="992"/>
        <v>8.4821428571428603E-2</v>
      </c>
      <c r="EP214" s="1169">
        <f t="shared" si="992"/>
        <v>8.9051094890510996E-2</v>
      </c>
      <c r="EQ214" s="1169">
        <f t="shared" si="992"/>
        <v>9.9855282199710516E-2</v>
      </c>
      <c r="ER214" s="1169">
        <f t="shared" si="992"/>
        <v>5.6865464632454898E-2</v>
      </c>
      <c r="ES214" s="1169">
        <f t="shared" si="992"/>
        <v>8.234019501625145E-2</v>
      </c>
      <c r="ET214" s="1169">
        <f t="shared" si="992"/>
        <v>8.3642070825646897E-2</v>
      </c>
      <c r="EU214" s="1169">
        <f t="shared" si="992"/>
        <v>9.4892908692280953E-2</v>
      </c>
      <c r="EV214" s="1169">
        <f t="shared" si="992"/>
        <v>9.7963553093946443E-2</v>
      </c>
      <c r="EW214" s="1169">
        <f t="shared" si="992"/>
        <v>0.10614646267681005</v>
      </c>
      <c r="EX214" s="1169">
        <f t="shared" si="992"/>
        <v>9.5796157633455836E-2</v>
      </c>
      <c r="EY214" s="1169">
        <f t="shared" si="1018"/>
        <v>0.10585215293963612</v>
      </c>
      <c r="EZ214" s="1169">
        <f t="shared" si="1019"/>
        <v>0.11421616826929992</v>
      </c>
      <c r="FA214" s="1169">
        <f t="shared" si="1020"/>
        <v>0.11742680051606724</v>
      </c>
      <c r="FB214" s="1169">
        <f t="shared" si="1021"/>
        <v>0.12302532816004064</v>
      </c>
      <c r="FC214" s="1169">
        <f t="shared" si="996"/>
        <v>0.11528095044968878</v>
      </c>
      <c r="FD214" s="1169">
        <f t="shared" si="1022"/>
        <v>0.12265970859396735</v>
      </c>
      <c r="FE214" s="1169">
        <f t="shared" si="1023"/>
        <v>0.12651638706397428</v>
      </c>
      <c r="FF214" s="1169">
        <f t="shared" si="1024"/>
        <v>0.12746330140276996</v>
      </c>
      <c r="FG214" s="1169">
        <f t="shared" si="1025"/>
        <v>0.12848481996651318</v>
      </c>
      <c r="FH214" s="1169">
        <f t="shared" si="1000"/>
        <v>0.12634630500866106</v>
      </c>
      <c r="FI214" s="1168">
        <f t="shared" si="1026"/>
        <v>0.11692829997028231</v>
      </c>
      <c r="FJ214" s="1168">
        <f t="shared" si="1026"/>
        <v>0.10039185716504906</v>
      </c>
      <c r="FK214" s="1168">
        <f t="shared" si="1026"/>
        <v>8.3665975355910138E-2</v>
      </c>
      <c r="FL214" s="1168">
        <f t="shared" si="1026"/>
        <v>6.9845609498626171E-2</v>
      </c>
      <c r="FM214" s="1168">
        <f t="shared" si="1026"/>
        <v>5.8547195217375947E-2</v>
      </c>
    </row>
    <row r="215" spans="1:181" x14ac:dyDescent="0.3">
      <c r="ET215" s="90"/>
      <c r="EU215" s="90"/>
      <c r="EV215" s="90"/>
      <c r="EW215" s="90"/>
      <c r="EY215" s="90"/>
      <c r="EZ215" s="90"/>
      <c r="FA215" s="90"/>
      <c r="FB215" s="90"/>
      <c r="FD215" s="90"/>
      <c r="FE215" s="90"/>
      <c r="FF215" s="90"/>
      <c r="FG215" s="90"/>
    </row>
    <row r="216" spans="1:181" x14ac:dyDescent="0.3">
      <c r="A216" s="54" t="s">
        <v>384</v>
      </c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4"/>
      <c r="CO216" s="54"/>
      <c r="CP216" s="54"/>
      <c r="CQ216" s="54"/>
      <c r="CR216" s="54"/>
      <c r="CS216" s="54"/>
      <c r="CT216" s="54"/>
      <c r="CU216" s="54"/>
      <c r="CV216" s="54"/>
      <c r="CW216" s="54"/>
      <c r="CX216" s="54"/>
      <c r="CY216" s="54"/>
      <c r="CZ216" s="54"/>
      <c r="DA216" s="54"/>
      <c r="DB216" s="54"/>
      <c r="DC216" s="54"/>
      <c r="DD216" s="54"/>
      <c r="DE216" s="54"/>
      <c r="DF216" s="54"/>
      <c r="DG216" s="54"/>
      <c r="DH216" s="54"/>
      <c r="DI216" s="54"/>
      <c r="DJ216" s="54"/>
      <c r="DK216" s="54"/>
      <c r="DL216" s="54"/>
      <c r="DM216" s="54"/>
      <c r="DN216" s="54"/>
      <c r="DO216" s="54"/>
      <c r="DP216" s="54"/>
      <c r="DQ216" s="54"/>
      <c r="DR216" s="54"/>
      <c r="DS216" s="54"/>
      <c r="DT216" s="54"/>
      <c r="DU216" s="54"/>
      <c r="DV216" s="54"/>
      <c r="DW216" s="54"/>
      <c r="DX216" s="54"/>
      <c r="DY216" s="54"/>
      <c r="DZ216" s="54"/>
      <c r="EA216" s="54"/>
      <c r="EB216" s="54"/>
      <c r="EC216" s="54"/>
      <c r="ED216" s="54"/>
      <c r="EE216" s="54"/>
      <c r="EF216" s="54"/>
      <c r="EG216" s="54"/>
      <c r="EH216" s="54"/>
      <c r="EI216" s="54"/>
      <c r="EJ216" s="54"/>
      <c r="EK216" s="54"/>
      <c r="EL216" s="54"/>
      <c r="EM216" s="54"/>
      <c r="EN216" s="54"/>
      <c r="EO216" s="54"/>
      <c r="EP216" s="54"/>
      <c r="EQ216" s="54"/>
      <c r="ER216" s="54"/>
      <c r="ES216" s="54"/>
      <c r="ET216" s="54"/>
      <c r="EU216" s="54"/>
      <c r="EV216" s="54"/>
      <c r="EW216" s="54"/>
      <c r="EX216" s="54"/>
      <c r="EY216" s="54"/>
      <c r="EZ216" s="54"/>
      <c r="FA216" s="54"/>
      <c r="FB216" s="54"/>
      <c r="FC216" s="54"/>
      <c r="FD216" s="54"/>
      <c r="FE216" s="54"/>
      <c r="FF216" s="54"/>
      <c r="FG216" s="54"/>
      <c r="FH216" s="54"/>
      <c r="FI216" s="54"/>
      <c r="FJ216" s="54"/>
      <c r="FK216" s="54"/>
      <c r="FL216" s="54"/>
      <c r="FM216" s="54"/>
      <c r="FN216" s="54"/>
    </row>
    <row r="217" spans="1:181" ht="12.75" customHeight="1" x14ac:dyDescent="0.3">
      <c r="A217" s="110" t="s">
        <v>385</v>
      </c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  <c r="AW217" s="193"/>
      <c r="AX217" s="193"/>
      <c r="AY217" s="193"/>
      <c r="AZ217" s="193"/>
      <c r="BA217" s="193"/>
      <c r="BB217" s="193"/>
      <c r="BC217" s="193"/>
      <c r="BD217" s="193"/>
      <c r="BE217" s="193"/>
      <c r="BF217" s="193"/>
      <c r="BG217" s="193"/>
      <c r="BH217" s="193"/>
      <c r="BI217" s="193"/>
      <c r="BJ217" s="193"/>
      <c r="BK217" s="193"/>
      <c r="BL217" s="192"/>
      <c r="BM217" s="192"/>
      <c r="BN217" s="192"/>
      <c r="BO217" s="192"/>
      <c r="BP217" s="192"/>
      <c r="BQ217" s="192"/>
      <c r="BR217" s="193"/>
      <c r="BS217" s="193"/>
      <c r="BT217" s="193"/>
      <c r="BU217" s="193"/>
      <c r="BV217" s="192"/>
      <c r="BW217" s="193"/>
      <c r="BX217" s="193"/>
      <c r="BY217" s="193"/>
      <c r="BZ217" s="193"/>
      <c r="CA217" s="192"/>
      <c r="CB217" s="193"/>
      <c r="CC217" s="193"/>
      <c r="CD217" s="193"/>
      <c r="CE217" s="193"/>
      <c r="CF217" s="192"/>
      <c r="CG217" s="193"/>
      <c r="CH217" s="193"/>
      <c r="CI217" s="193"/>
      <c r="CJ217" s="193"/>
      <c r="CK217" s="192"/>
      <c r="CL217" s="193"/>
      <c r="CM217" s="193"/>
      <c r="CN217" s="193"/>
      <c r="CO217" s="193"/>
      <c r="CP217" s="192"/>
      <c r="CQ217" s="193"/>
      <c r="CR217" s="193"/>
      <c r="CS217" s="193"/>
      <c r="CT217" s="193"/>
      <c r="CU217" s="193"/>
      <c r="CV217" s="193"/>
      <c r="CW217" s="193"/>
      <c r="CX217" s="193"/>
      <c r="CY217" s="193"/>
      <c r="CZ217" s="193"/>
      <c r="DA217" s="193"/>
      <c r="DB217" s="193"/>
      <c r="DC217" s="193"/>
      <c r="DD217" s="193"/>
      <c r="DE217" s="193"/>
      <c r="DF217" s="193"/>
      <c r="DG217" s="193"/>
      <c r="DH217" s="193"/>
      <c r="DI217" s="193"/>
      <c r="DJ217" s="193"/>
      <c r="DK217" s="193"/>
      <c r="DL217" s="193"/>
      <c r="DM217" s="193"/>
      <c r="DN217" s="193"/>
      <c r="DO217" s="193"/>
      <c r="DP217" s="193"/>
      <c r="DQ217" s="193"/>
      <c r="DR217" s="193"/>
      <c r="DS217" s="193"/>
      <c r="DT217" s="193"/>
      <c r="DU217" s="76"/>
      <c r="DV217" s="76"/>
      <c r="DW217" s="76"/>
      <c r="DX217" s="76"/>
      <c r="DY217" s="475"/>
      <c r="DZ217" s="76">
        <f>+DZ219*DZ181*0.003</f>
        <v>144.24242424242425</v>
      </c>
      <c r="EA217" s="76">
        <f>+EA219*EA181*0.003</f>
        <v>131.59070598748883</v>
      </c>
      <c r="EB217" s="76">
        <f>+EB219*EB181*0.003</f>
        <v>115.54789272030651</v>
      </c>
      <c r="EC217" s="76">
        <f>+EC219*EC181*0.003</f>
        <v>98.779381443298959</v>
      </c>
      <c r="ED217" s="85">
        <f>+SUM(DZ217:EC217)</f>
        <v>490.16040439351855</v>
      </c>
      <c r="EE217" s="76">
        <f>+EE219*EE181*0.003</f>
        <v>94.705298013245041</v>
      </c>
      <c r="EF217" s="76">
        <f>+EF219*EF181*0.003</f>
        <v>92.170212765957444</v>
      </c>
      <c r="EG217" s="76">
        <f>+EG219*EG181*0.003</f>
        <v>81.018867924528294</v>
      </c>
      <c r="EH217" s="76">
        <f>+EH219*EH181*0.003</f>
        <v>79.432360742705569</v>
      </c>
      <c r="EI217" s="121">
        <f>+SUM(EE217:EH217)</f>
        <v>347.32673944643636</v>
      </c>
      <c r="EJ217" s="76">
        <f>+EJ219*EJ181*0.003</f>
        <v>78.948539638386649</v>
      </c>
      <c r="EK217" s="120">
        <f>+EK219*EK181*0.003</f>
        <v>74.626099706744867</v>
      </c>
      <c r="EL217" s="120">
        <f>+EL219*EL181*0.003</f>
        <v>69.879875195007813</v>
      </c>
      <c r="EM217" s="120">
        <f>+EM219*EM181*0.003</f>
        <v>66.562913907284766</v>
      </c>
      <c r="EN217" s="121">
        <f>+SUM(EJ217:EM217)</f>
        <v>290.01742844742409</v>
      </c>
      <c r="EO217" s="76">
        <f>+EO219*EO181*0.003</f>
        <v>67.066666666666677</v>
      </c>
      <c r="EP217" s="76">
        <f>+EP219*EP181*0.003</f>
        <v>63.378531073446339</v>
      </c>
      <c r="EQ217" s="76">
        <f>+EQ219*EQ181*0.003</f>
        <v>58.91038696537678</v>
      </c>
      <c r="ER217" s="76">
        <f>+ER219*ER181*0.003</f>
        <v>55.672489082969435</v>
      </c>
      <c r="ES217" s="121">
        <f>+SUM(EO217:ER217)</f>
        <v>245.02807378845924</v>
      </c>
      <c r="ET217" s="120">
        <f t="shared" ref="ET217:EW217" si="1027">+ET219*ET181*0.003</f>
        <v>55.591661506306309</v>
      </c>
      <c r="EU217" s="120">
        <f t="shared" si="1027"/>
        <v>52.598504733241739</v>
      </c>
      <c r="EV217" s="120">
        <f t="shared" si="1027"/>
        <v>48.928258378268303</v>
      </c>
      <c r="EW217" s="120">
        <f t="shared" si="1027"/>
        <v>46.230940254219298</v>
      </c>
      <c r="EX217" s="121">
        <f>+SUM(ET217:EW217)</f>
        <v>203.34936487203564</v>
      </c>
      <c r="EY217" s="120">
        <f t="shared" ref="EY217:FB217" si="1028">+EY219*EY181*0.003</f>
        <v>46.038356735610435</v>
      </c>
      <c r="EZ217" s="120">
        <f t="shared" si="1028"/>
        <v>43.608853588464854</v>
      </c>
      <c r="FA217" s="120">
        <f t="shared" si="1028"/>
        <v>40.595078505450616</v>
      </c>
      <c r="FB217" s="120">
        <f t="shared" si="1028"/>
        <v>38.350945134943252</v>
      </c>
      <c r="FC217" s="121">
        <f>+SUM(EY217:FB217)</f>
        <v>168.59323396446916</v>
      </c>
      <c r="FD217" s="120">
        <f t="shared" ref="FD217:FG217" si="1029">+FD219*FD181*0.003</f>
        <v>38.094659609814926</v>
      </c>
      <c r="FE217" s="120">
        <f t="shared" si="1029"/>
        <v>36.12237809859748</v>
      </c>
      <c r="FF217" s="120">
        <f t="shared" si="1029"/>
        <v>33.648478695531317</v>
      </c>
      <c r="FG217" s="120">
        <f t="shared" si="1029"/>
        <v>31.783580161307246</v>
      </c>
      <c r="FH217" s="121">
        <f>+SUM(FD217:FG217)</f>
        <v>139.64909656525097</v>
      </c>
      <c r="FI217" s="120">
        <f t="shared" ref="FI217:FM217" si="1030">+FI219*FI181*0.012</f>
        <v>114.77132276630276</v>
      </c>
      <c r="FJ217" s="120">
        <f t="shared" si="1030"/>
        <v>92.479763449119702</v>
      </c>
      <c r="FK217" s="120">
        <f t="shared" si="1030"/>
        <v>74.46222586316533</v>
      </c>
      <c r="FL217" s="120">
        <f t="shared" si="1030"/>
        <v>59.913150283031911</v>
      </c>
      <c r="FM217" s="120">
        <f t="shared" si="1030"/>
        <v>48.175280509298766</v>
      </c>
      <c r="FN217" s="189">
        <f>+(FJ217/ES217)^0.2-1</f>
        <v>-0.17706378863402705</v>
      </c>
      <c r="FO217" s="193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</row>
    <row r="218" spans="1:181" ht="12.75" customHeight="1" x14ac:dyDescent="0.3">
      <c r="A218" s="70" t="s">
        <v>363</v>
      </c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  <c r="AW218" s="193"/>
      <c r="AX218" s="193"/>
      <c r="AY218" s="193"/>
      <c r="AZ218" s="193"/>
      <c r="BA218" s="193"/>
      <c r="BB218" s="193"/>
      <c r="BC218" s="193"/>
      <c r="BD218" s="193"/>
      <c r="BE218" s="193"/>
      <c r="BF218" s="193"/>
      <c r="BG218" s="193"/>
      <c r="BH218" s="193"/>
      <c r="BI218" s="193"/>
      <c r="BJ218" s="193"/>
      <c r="BK218" s="193"/>
      <c r="BL218" s="192"/>
      <c r="BM218" s="192"/>
      <c r="BN218" s="192"/>
      <c r="BO218" s="192"/>
      <c r="BP218" s="192"/>
      <c r="BQ218" s="192"/>
      <c r="BR218" s="193"/>
      <c r="BS218" s="193"/>
      <c r="BT218" s="193"/>
      <c r="BU218" s="193"/>
      <c r="BV218" s="192"/>
      <c r="BW218" s="193"/>
      <c r="BX218" s="193"/>
      <c r="BY218" s="193"/>
      <c r="BZ218" s="193"/>
      <c r="CA218" s="192"/>
      <c r="CB218" s="193"/>
      <c r="CC218" s="193"/>
      <c r="CD218" s="193"/>
      <c r="CE218" s="193"/>
      <c r="CF218" s="192"/>
      <c r="CG218" s="193"/>
      <c r="CH218" s="193"/>
      <c r="CI218" s="193"/>
      <c r="CJ218" s="193"/>
      <c r="CK218" s="192"/>
      <c r="CL218" s="193"/>
      <c r="CM218" s="193"/>
      <c r="CN218" s="193"/>
      <c r="CO218" s="193"/>
      <c r="CP218" s="192"/>
      <c r="CQ218" s="193"/>
      <c r="CR218" s="193"/>
      <c r="CS218" s="193"/>
      <c r="CT218" s="193"/>
      <c r="CU218" s="193"/>
      <c r="CV218" s="193"/>
      <c r="CW218" s="193"/>
      <c r="CX218" s="193"/>
      <c r="CY218" s="193"/>
      <c r="CZ218" s="193"/>
      <c r="DA218" s="193"/>
      <c r="DB218" s="193"/>
      <c r="DC218" s="193"/>
      <c r="DD218" s="193"/>
      <c r="DE218" s="193"/>
      <c r="DF218" s="193"/>
      <c r="DG218" s="193"/>
      <c r="DH218" s="193"/>
      <c r="DI218" s="193"/>
      <c r="DJ218" s="193"/>
      <c r="DK218" s="193"/>
      <c r="DL218" s="193"/>
      <c r="DM218" s="193"/>
      <c r="DN218" s="193"/>
      <c r="DO218" s="193"/>
      <c r="DP218" s="193"/>
      <c r="DQ218" s="193"/>
      <c r="DR218" s="193"/>
      <c r="DS218" s="193"/>
      <c r="DT218" s="193"/>
      <c r="DU218" s="194"/>
      <c r="DV218" s="194"/>
      <c r="DW218" s="194"/>
      <c r="DX218" s="194"/>
      <c r="DY218" s="1208"/>
      <c r="DZ218" s="75"/>
      <c r="EA218" s="75"/>
      <c r="EB218" s="75"/>
      <c r="EC218" s="75"/>
      <c r="ED218" s="84"/>
      <c r="EE218" s="75">
        <f t="shared" ref="EE218:EX218" si="1031">+EE217/DZ217-1</f>
        <v>-0.34342965663086422</v>
      </c>
      <c r="EF218" s="75">
        <f t="shared" si="1031"/>
        <v>-0.29956897735072074</v>
      </c>
      <c r="EG218" s="75">
        <f t="shared" si="1031"/>
        <v>-0.29882868465077639</v>
      </c>
      <c r="EH218" s="75">
        <f t="shared" si="1031"/>
        <v>-0.19586092176229009</v>
      </c>
      <c r="EI218" s="127">
        <f t="shared" si="1031"/>
        <v>-0.29140188327494965</v>
      </c>
      <c r="EJ218" s="75">
        <f t="shared" si="1031"/>
        <v>-0.16637673610038928</v>
      </c>
      <c r="EK218" s="126">
        <f t="shared" si="1031"/>
        <v>-0.19034471693974864</v>
      </c>
      <c r="EL218" s="126">
        <f t="shared" si="1031"/>
        <v>-0.13748640304252113</v>
      </c>
      <c r="EM218" s="126">
        <f t="shared" si="1031"/>
        <v>-0.16201768038982312</v>
      </c>
      <c r="EN218" s="127">
        <f t="shared" si="1031"/>
        <v>-0.16500114874642502</v>
      </c>
      <c r="EO218" s="75">
        <f t="shared" si="1031"/>
        <v>-0.15050149155568071</v>
      </c>
      <c r="EP218" s="75">
        <f t="shared" si="1031"/>
        <v>-0.15071896665506623</v>
      </c>
      <c r="EQ218" s="75">
        <f t="shared" si="1031"/>
        <v>-0.15697635691276512</v>
      </c>
      <c r="ER218" s="75">
        <f t="shared" si="1031"/>
        <v>-0.16361099875351859</v>
      </c>
      <c r="ES218" s="127">
        <f t="shared" si="1031"/>
        <v>-0.15512638292053804</v>
      </c>
      <c r="ET218" s="126">
        <f t="shared" si="1031"/>
        <v>-0.17109848648648662</v>
      </c>
      <c r="EU218" s="126">
        <f t="shared" si="1031"/>
        <v>-0.17008955805100856</v>
      </c>
      <c r="EV218" s="126">
        <f t="shared" si="1031"/>
        <v>-0.16944598569646541</v>
      </c>
      <c r="EW218" s="126">
        <f t="shared" si="1031"/>
        <v>-0.16959092334957893</v>
      </c>
      <c r="EX218" s="127">
        <f t="shared" si="1031"/>
        <v>-0.17009768828532768</v>
      </c>
      <c r="EY218" s="126">
        <f t="shared" ref="EY218" si="1032">+EY217/ET217-1</f>
        <v>-0.17184780076436734</v>
      </c>
      <c r="EZ218" s="126">
        <f t="shared" ref="EZ218" si="1033">+EZ217/EU217-1</f>
        <v>-0.17091077380181707</v>
      </c>
      <c r="FA218" s="126">
        <f t="shared" ref="FA218" si="1034">+FA217/EV217-1</f>
        <v>-0.17031425497292796</v>
      </c>
      <c r="FB218" s="126">
        <f t="shared" ref="FB218:FC218" si="1035">+FB217/EW217-1</f>
        <v>-0.17044851512741777</v>
      </c>
      <c r="FC218" s="127">
        <f t="shared" si="1035"/>
        <v>-0.17091831552775161</v>
      </c>
      <c r="FD218" s="126">
        <f t="shared" ref="FD218" si="1036">+FD217/EY217-1</f>
        <v>-0.17254519251012057</v>
      </c>
      <c r="FE218" s="126">
        <f t="shared" ref="FE218" si="1037">+FE217/EZ217-1</f>
        <v>-0.17167329277941967</v>
      </c>
      <c r="FF218" s="126">
        <f t="shared" ref="FF218" si="1038">+FF217/FA217-1</f>
        <v>-0.17111926040459791</v>
      </c>
      <c r="FG218" s="126">
        <f t="shared" ref="FG218:FH218" si="1039">+FG217/FB217-1</f>
        <v>-0.17124388852811323</v>
      </c>
      <c r="FH218" s="127">
        <f t="shared" si="1039"/>
        <v>-0.17168030245696653</v>
      </c>
      <c r="FI218" s="126">
        <f t="shared" ref="FI218:FM218" si="1040">+FI217/FH217-1</f>
        <v>-0.17814489610624928</v>
      </c>
      <c r="FJ218" s="126">
        <f t="shared" si="1040"/>
        <v>-0.19422586391700913</v>
      </c>
      <c r="FK218" s="126">
        <f t="shared" si="1040"/>
        <v>-0.19482681306670102</v>
      </c>
      <c r="FL218" s="126">
        <f t="shared" si="1040"/>
        <v>-0.19538867407575711</v>
      </c>
      <c r="FM218" s="126">
        <f t="shared" si="1040"/>
        <v>-0.19591474856993862</v>
      </c>
      <c r="FN218" s="193"/>
      <c r="FO218" s="193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</row>
    <row r="219" spans="1:181" ht="12.75" customHeight="1" x14ac:dyDescent="0.3">
      <c r="A219" s="61" t="s">
        <v>386</v>
      </c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  <c r="AW219" s="193"/>
      <c r="AX219" s="193"/>
      <c r="AY219" s="193"/>
      <c r="AZ219" s="193"/>
      <c r="BA219" s="193"/>
      <c r="BB219" s="193"/>
      <c r="BC219" s="193"/>
      <c r="BD219" s="193"/>
      <c r="BE219" s="193"/>
      <c r="BF219" s="193"/>
      <c r="BG219" s="193"/>
      <c r="BH219" s="193"/>
      <c r="BI219" s="193"/>
      <c r="BJ219" s="193"/>
      <c r="BK219" s="193"/>
      <c r="BL219" s="192"/>
      <c r="BM219" s="192"/>
      <c r="BN219" s="192"/>
      <c r="BO219" s="192"/>
      <c r="BP219" s="192"/>
      <c r="BQ219" s="192"/>
      <c r="BR219" s="193"/>
      <c r="BS219" s="193"/>
      <c r="BT219" s="193"/>
      <c r="BU219" s="193"/>
      <c r="BV219" s="192"/>
      <c r="BW219" s="193"/>
      <c r="BX219" s="193"/>
      <c r="BY219" s="193"/>
      <c r="BZ219" s="193"/>
      <c r="CA219" s="192"/>
      <c r="CB219" s="193"/>
      <c r="CC219" s="193"/>
      <c r="CD219" s="193"/>
      <c r="CE219" s="193"/>
      <c r="CF219" s="192"/>
      <c r="CG219" s="193"/>
      <c r="CH219" s="193"/>
      <c r="CI219" s="193"/>
      <c r="CJ219" s="193"/>
      <c r="CK219" s="192"/>
      <c r="CL219" s="193"/>
      <c r="CM219" s="193"/>
      <c r="CN219" s="193"/>
      <c r="CO219" s="193"/>
      <c r="CP219" s="192"/>
      <c r="CQ219" s="193"/>
      <c r="CR219" s="193"/>
      <c r="CS219" s="193"/>
      <c r="CT219" s="193"/>
      <c r="CU219" s="193"/>
      <c r="CV219" s="193"/>
      <c r="CW219" s="193"/>
      <c r="CX219" s="193"/>
      <c r="CY219" s="193"/>
      <c r="CZ219" s="193"/>
      <c r="DA219" s="193"/>
      <c r="DB219" s="193"/>
      <c r="DC219" s="193"/>
      <c r="DD219" s="193"/>
      <c r="DE219" s="193"/>
      <c r="DF219" s="193"/>
      <c r="DG219" s="193"/>
      <c r="DH219" s="193"/>
      <c r="DI219" s="193"/>
      <c r="DJ219" s="193"/>
      <c r="DK219" s="193"/>
      <c r="DL219" s="193"/>
      <c r="DM219" s="193"/>
      <c r="DN219" s="193"/>
      <c r="DO219" s="193"/>
      <c r="DP219" s="193"/>
      <c r="DQ219" s="193"/>
      <c r="DR219" s="193"/>
      <c r="DS219" s="193"/>
      <c r="DT219" s="193"/>
      <c r="DU219" s="111"/>
      <c r="DV219" s="111"/>
      <c r="DW219" s="111"/>
      <c r="DX219" s="111"/>
      <c r="DY219" s="112"/>
      <c r="DZ219" s="111">
        <f t="shared" ref="DZ219:ER219" si="1041">DZ72</f>
        <v>95.398428731762053</v>
      </c>
      <c r="EA219" s="111">
        <f t="shared" si="1041"/>
        <v>92.344355078939529</v>
      </c>
      <c r="EB219" s="111">
        <f t="shared" si="1041"/>
        <v>86.845466155810982</v>
      </c>
      <c r="EC219" s="111">
        <f t="shared" si="1041"/>
        <v>79.725085910652922</v>
      </c>
      <c r="ED219" s="112">
        <f t="shared" si="1041"/>
        <v>89.022602792563461</v>
      </c>
      <c r="EE219" s="111">
        <f t="shared" si="1041"/>
        <v>81.677704194260485</v>
      </c>
      <c r="EF219" s="111">
        <f t="shared" si="1041"/>
        <v>85.106382978723403</v>
      </c>
      <c r="EG219" s="111">
        <f t="shared" si="1041"/>
        <v>79.664570230607964</v>
      </c>
      <c r="EH219" s="111">
        <f t="shared" si="1041"/>
        <v>82.228116710875327</v>
      </c>
      <c r="EI219" s="112">
        <f t="shared" si="1041"/>
        <v>82.197313945269102</v>
      </c>
      <c r="EJ219" s="111">
        <f t="shared" si="1041"/>
        <v>85.303662494204914</v>
      </c>
      <c r="EK219" s="111">
        <f t="shared" si="1041"/>
        <v>85.043988269794724</v>
      </c>
      <c r="EL219" s="111">
        <f t="shared" si="1041"/>
        <v>84.243369734789397</v>
      </c>
      <c r="EM219" s="111">
        <f t="shared" si="1041"/>
        <v>83.885209713024281</v>
      </c>
      <c r="EN219" s="112">
        <f t="shared" si="1041"/>
        <v>84.656084656084644</v>
      </c>
      <c r="EO219" s="111">
        <f t="shared" si="1041"/>
        <v>88.8888888888889</v>
      </c>
      <c r="EP219" s="111">
        <f t="shared" si="1041"/>
        <v>89.139987445072208</v>
      </c>
      <c r="EQ219" s="111">
        <f t="shared" si="1041"/>
        <v>88.255261371350983</v>
      </c>
      <c r="ER219" s="111">
        <f t="shared" si="1041"/>
        <v>88.791848617176129</v>
      </c>
      <c r="ES219" s="112">
        <f>ES72</f>
        <v>88.780487804878064</v>
      </c>
      <c r="ET219" s="111">
        <f t="shared" ref="ET219:EW219" si="1042">EO219+(ET188-EO188)</f>
        <v>94.005688888888898</v>
      </c>
      <c r="EU219" s="111">
        <f t="shared" si="1042"/>
        <v>94.385987445072217</v>
      </c>
      <c r="EV219" s="111">
        <f t="shared" si="1042"/>
        <v>93.521661371350987</v>
      </c>
      <c r="EW219" s="111">
        <f t="shared" si="1042"/>
        <v>94.073848617176139</v>
      </c>
      <c r="EX219" s="112">
        <f>EX72</f>
        <v>94.002637272820337</v>
      </c>
      <c r="EY219" s="111">
        <f t="shared" ref="EY219" si="1043">ET219+(EY188-ET188)</f>
        <v>99.327160888888898</v>
      </c>
      <c r="EZ219" s="111">
        <f t="shared" ref="EZ219" si="1044">EU219+(EZ188-EU188)</f>
        <v>99.841827445072212</v>
      </c>
      <c r="FA219" s="111">
        <f t="shared" ref="FA219" si="1045">EV219+(FA188-EV188)</f>
        <v>98.998717371350992</v>
      </c>
      <c r="FB219" s="111">
        <f t="shared" ref="FB219" si="1046">EW219+(FB188-EW188)</f>
        <v>99.567128617176138</v>
      </c>
      <c r="FC219" s="112">
        <f>FC72</f>
        <v>99.434889581495838</v>
      </c>
      <c r="FD219" s="111">
        <f t="shared" ref="FD219" si="1047">EY219+(FD188-EY188)</f>
        <v>104.8614917688889</v>
      </c>
      <c r="FE219" s="111">
        <f t="shared" ref="FE219" si="1048">EZ219+(FE188-EZ188)</f>
        <v>105.51590104507223</v>
      </c>
      <c r="FF219" s="111">
        <f t="shared" ref="FF219" si="1049">FA219+(FF188-FA188)</f>
        <v>104.694855611351</v>
      </c>
      <c r="FG219" s="111">
        <f t="shared" ref="FG219" si="1050">FB219+(FG188-FB188)</f>
        <v>105.28013981717615</v>
      </c>
      <c r="FH219" s="112">
        <f>FH72</f>
        <v>105.08468300027586</v>
      </c>
      <c r="FI219" s="111">
        <f t="shared" ref="FI219:FM219" si="1051">FH219+(FI188-FH188)</f>
        <v>110.96073924926368</v>
      </c>
      <c r="FJ219" s="111">
        <f t="shared" si="1051"/>
        <v>117.07183774821102</v>
      </c>
      <c r="FK219" s="111">
        <f t="shared" si="1051"/>
        <v>123.42738018711627</v>
      </c>
      <c r="FL219" s="111">
        <f t="shared" si="1051"/>
        <v>130.03714432357771</v>
      </c>
      <c r="FM219" s="111">
        <f t="shared" si="1051"/>
        <v>136.91129902549761</v>
      </c>
      <c r="FN219" s="189">
        <f>+(FJ219/ES219)^0.2-1</f>
        <v>5.6883169029811054E-2</v>
      </c>
      <c r="FO219" s="193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</row>
    <row r="220" spans="1:181" ht="12.75" customHeight="1" x14ac:dyDescent="0.3">
      <c r="A220" s="70" t="s">
        <v>387</v>
      </c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  <c r="AW220" s="193"/>
      <c r="AX220" s="193"/>
      <c r="AY220" s="193"/>
      <c r="AZ220" s="193"/>
      <c r="BA220" s="193"/>
      <c r="BB220" s="193"/>
      <c r="BC220" s="193"/>
      <c r="BD220" s="193"/>
      <c r="BE220" s="193"/>
      <c r="BF220" s="193"/>
      <c r="BG220" s="193"/>
      <c r="BH220" s="193"/>
      <c r="BI220" s="193"/>
      <c r="BJ220" s="193"/>
      <c r="BK220" s="193"/>
      <c r="BL220" s="192"/>
      <c r="BM220" s="192"/>
      <c r="BN220" s="192"/>
      <c r="BO220" s="192"/>
      <c r="BP220" s="192"/>
      <c r="BQ220" s="192"/>
      <c r="BR220" s="193"/>
      <c r="BS220" s="193"/>
      <c r="BT220" s="193"/>
      <c r="BU220" s="193"/>
      <c r="BV220" s="192"/>
      <c r="BW220" s="193"/>
      <c r="BX220" s="193"/>
      <c r="BY220" s="193"/>
      <c r="BZ220" s="193"/>
      <c r="CA220" s="192"/>
      <c r="CB220" s="193"/>
      <c r="CC220" s="193"/>
      <c r="CD220" s="193"/>
      <c r="CE220" s="193"/>
      <c r="CF220" s="192"/>
      <c r="CG220" s="193"/>
      <c r="CH220" s="193"/>
      <c r="CI220" s="193"/>
      <c r="CJ220" s="193"/>
      <c r="CK220" s="192"/>
      <c r="CL220" s="193"/>
      <c r="CM220" s="193"/>
      <c r="CN220" s="193"/>
      <c r="CO220" s="193"/>
      <c r="CP220" s="192"/>
      <c r="CQ220" s="193"/>
      <c r="CR220" s="193"/>
      <c r="CS220" s="193"/>
      <c r="CT220" s="193"/>
      <c r="CU220" s="193"/>
      <c r="CV220" s="193"/>
      <c r="CW220" s="193"/>
      <c r="CX220" s="193"/>
      <c r="CY220" s="193"/>
      <c r="CZ220" s="193"/>
      <c r="DA220" s="193"/>
      <c r="DB220" s="193"/>
      <c r="DC220" s="193"/>
      <c r="DD220" s="193"/>
      <c r="DE220" s="193"/>
      <c r="DF220" s="193"/>
      <c r="DG220" s="193"/>
      <c r="DH220" s="193"/>
      <c r="DI220" s="193"/>
      <c r="DJ220" s="193"/>
      <c r="DK220" s="193"/>
      <c r="DL220" s="193"/>
      <c r="DM220" s="193"/>
      <c r="DN220" s="193"/>
      <c r="DO220" s="193"/>
      <c r="DP220" s="193"/>
      <c r="DQ220" s="193"/>
      <c r="DR220" s="193"/>
      <c r="DS220" s="193"/>
      <c r="DT220" s="193"/>
      <c r="DU220" s="194"/>
      <c r="DV220" s="194"/>
      <c r="DW220" s="194"/>
      <c r="DX220" s="194"/>
      <c r="DY220" s="1208"/>
      <c r="DZ220" s="195"/>
      <c r="EA220" s="195"/>
      <c r="EB220" s="195"/>
      <c r="EC220" s="195"/>
      <c r="ED220" s="199"/>
      <c r="EE220" s="195">
        <f t="shared" ref="EE220:EX220" si="1052">+EE219/DZ219-1</f>
        <v>-0.14382547721075178</v>
      </c>
      <c r="EF220" s="195">
        <f t="shared" si="1052"/>
        <v>-7.838023335621136E-2</v>
      </c>
      <c r="EG220" s="195">
        <f t="shared" si="1052"/>
        <v>-8.2685904550499512E-2</v>
      </c>
      <c r="EH220" s="195">
        <f t="shared" si="1052"/>
        <v>3.1395774261410381E-2</v>
      </c>
      <c r="EI220" s="199">
        <f t="shared" si="1052"/>
        <v>-7.666916752814279E-2</v>
      </c>
      <c r="EJ220" s="195">
        <f t="shared" si="1052"/>
        <v>4.4393489456076463E-2</v>
      </c>
      <c r="EK220" s="195">
        <f t="shared" si="1052"/>
        <v>-7.3313782991202281E-4</v>
      </c>
      <c r="EL220" s="195">
        <f t="shared" si="1052"/>
        <v>5.7475983249856366E-2</v>
      </c>
      <c r="EM220" s="195">
        <f t="shared" si="1052"/>
        <v>2.0152389090650091E-2</v>
      </c>
      <c r="EN220" s="199">
        <f t="shared" si="1052"/>
        <v>2.9913029913029909E-2</v>
      </c>
      <c r="EO220" s="195">
        <f t="shared" si="1052"/>
        <v>4.202898550724643E-2</v>
      </c>
      <c r="EP220" s="195">
        <f t="shared" si="1052"/>
        <v>4.8163300647228402E-2</v>
      </c>
      <c r="EQ220" s="195">
        <f t="shared" si="1052"/>
        <v>4.7622639611777373E-2</v>
      </c>
      <c r="ER220" s="195">
        <f t="shared" si="1052"/>
        <v>5.8492300620547111E-2</v>
      </c>
      <c r="ES220" s="199">
        <f t="shared" si="1052"/>
        <v>4.8719512195122272E-2</v>
      </c>
      <c r="ET220" s="195">
        <f t="shared" si="1052"/>
        <v>5.7563999999999949E-2</v>
      </c>
      <c r="EU220" s="195">
        <f t="shared" si="1052"/>
        <v>5.8851253521126745E-2</v>
      </c>
      <c r="EV220" s="195">
        <f t="shared" si="1052"/>
        <v>5.9672363076923141E-2</v>
      </c>
      <c r="EW220" s="195">
        <f t="shared" si="1052"/>
        <v>5.9487442622951026E-2</v>
      </c>
      <c r="EX220" s="199">
        <f t="shared" si="1052"/>
        <v>5.8820914336712438E-2</v>
      </c>
      <c r="EY220" s="195">
        <f t="shared" ref="EY220" si="1053">+EY219/ET219-1</f>
        <v>5.6607978335117215E-2</v>
      </c>
      <c r="EZ220" s="195">
        <f t="shared" ref="EZ220" si="1054">+EZ219/EU219-1</f>
        <v>5.7803495494233248E-2</v>
      </c>
      <c r="FA220" s="195">
        <f t="shared" ref="FA220" si="1055">+FA219/EV219-1</f>
        <v>5.8564571241436658E-2</v>
      </c>
      <c r="FB220" s="195">
        <f t="shared" ref="FB220:FC220" si="1056">+FB219/EW219-1</f>
        <v>5.8393273802949563E-2</v>
      </c>
      <c r="FC220" s="199">
        <f t="shared" si="1056"/>
        <v>5.7788296863519717E-2</v>
      </c>
      <c r="FD220" s="195">
        <f t="shared" ref="FD220" si="1057">+FD219/EY219-1</f>
        <v>5.5718202659501337E-2</v>
      </c>
      <c r="FE220" s="195">
        <f t="shared" ref="FE220" si="1058">+FE219/EZ219-1</f>
        <v>5.6830626453843625E-2</v>
      </c>
      <c r="FF220" s="195">
        <f t="shared" ref="FF220" si="1059">+FF219/FA219-1</f>
        <v>5.7537495345857836E-2</v>
      </c>
      <c r="FG220" s="195">
        <f t="shared" ref="FG220:FH220" si="1060">+FG219/FB219-1</f>
        <v>5.7378487050338212E-2</v>
      </c>
      <c r="FH220" s="199">
        <f t="shared" si="1060"/>
        <v>5.6819024414458852E-2</v>
      </c>
      <c r="FI220" s="195">
        <f t="shared" ref="FI220:FM220" si="1061">+FI219/FH219-1</f>
        <v>5.5917342863111674E-2</v>
      </c>
      <c r="FJ220" s="195">
        <f t="shared" si="1061"/>
        <v>5.5074421279938335E-2</v>
      </c>
      <c r="FK220" s="195">
        <f t="shared" si="1061"/>
        <v>5.4287543111557257E-2</v>
      </c>
      <c r="FL220" s="195">
        <f t="shared" si="1061"/>
        <v>5.3551846652185375E-2</v>
      </c>
      <c r="FM220" s="195">
        <f t="shared" si="1061"/>
        <v>5.2863008778588849E-2</v>
      </c>
      <c r="FN220" s="193"/>
      <c r="FO220" s="193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</row>
    <row r="221" spans="1:181" ht="12.75" customHeight="1" x14ac:dyDescent="0.3">
      <c r="A221" s="192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  <c r="AW221" s="193"/>
      <c r="AX221" s="193"/>
      <c r="AY221" s="193"/>
      <c r="AZ221" s="193"/>
      <c r="BA221" s="193"/>
      <c r="BB221" s="193"/>
      <c r="BC221" s="193"/>
      <c r="BD221" s="193"/>
      <c r="BE221" s="193"/>
      <c r="BF221" s="193"/>
      <c r="BG221" s="193"/>
      <c r="BH221" s="193"/>
      <c r="BI221" s="193"/>
      <c r="BJ221" s="193"/>
      <c r="BK221" s="193"/>
      <c r="BL221" s="192"/>
      <c r="BM221" s="192"/>
      <c r="BN221" s="192"/>
      <c r="BO221" s="192"/>
      <c r="BP221" s="192"/>
      <c r="BQ221" s="192"/>
      <c r="BR221" s="193"/>
      <c r="BS221" s="193"/>
      <c r="BT221" s="193"/>
      <c r="BU221" s="193"/>
      <c r="BV221" s="192"/>
      <c r="BW221" s="193"/>
      <c r="BX221" s="193"/>
      <c r="BY221" s="193"/>
      <c r="BZ221" s="193"/>
      <c r="CA221" s="192"/>
      <c r="CB221" s="193"/>
      <c r="CC221" s="193"/>
      <c r="CD221" s="193"/>
      <c r="CE221" s="193"/>
      <c r="CF221" s="192"/>
      <c r="CG221" s="193"/>
      <c r="CH221" s="193"/>
      <c r="CI221" s="193"/>
      <c r="CJ221" s="193"/>
      <c r="CK221" s="192"/>
      <c r="CL221" s="193"/>
      <c r="CM221" s="193"/>
      <c r="CN221" s="193"/>
      <c r="CO221" s="193"/>
      <c r="CP221" s="192"/>
      <c r="CQ221" s="193"/>
      <c r="CR221" s="193"/>
      <c r="CS221" s="193"/>
      <c r="CT221" s="193"/>
      <c r="CU221" s="193"/>
      <c r="CV221" s="193"/>
      <c r="CW221" s="193"/>
      <c r="CX221" s="193"/>
      <c r="CY221" s="193"/>
      <c r="CZ221" s="193"/>
      <c r="DA221" s="193"/>
      <c r="DB221" s="193"/>
      <c r="DC221" s="193"/>
      <c r="DD221" s="193"/>
      <c r="DE221" s="193"/>
      <c r="DF221" s="193"/>
      <c r="DG221" s="193"/>
      <c r="DH221" s="193"/>
      <c r="DI221" s="193"/>
      <c r="DJ221" s="193"/>
      <c r="DK221" s="193"/>
      <c r="DL221" s="193"/>
      <c r="DM221" s="193"/>
      <c r="DN221" s="193"/>
      <c r="DO221" s="193"/>
      <c r="DP221" s="193"/>
      <c r="DQ221" s="193"/>
      <c r="DR221" s="193"/>
      <c r="DS221" s="193"/>
      <c r="DT221" s="193"/>
      <c r="DU221" s="196"/>
      <c r="DV221" s="196"/>
      <c r="DW221" s="196"/>
      <c r="DX221" s="665"/>
      <c r="DY221" s="1191"/>
      <c r="DZ221" s="197"/>
      <c r="EB221" s="665"/>
      <c r="EC221" s="665"/>
      <c r="ED221" s="1204"/>
      <c r="EE221" s="197"/>
      <c r="EF221" s="197"/>
      <c r="EG221" s="197"/>
      <c r="EH221" s="197"/>
      <c r="EI221" s="1191"/>
      <c r="EJ221" s="197"/>
      <c r="EK221" s="197"/>
      <c r="EL221" s="197"/>
      <c r="EM221" s="197"/>
      <c r="EN221" s="1192"/>
      <c r="EO221" s="197"/>
      <c r="EP221" s="197"/>
      <c r="EQ221" s="197"/>
      <c r="ER221" s="197"/>
      <c r="ES221" s="198"/>
      <c r="ET221" s="197"/>
      <c r="EU221" s="197"/>
      <c r="EV221" s="197"/>
      <c r="EW221" s="197"/>
      <c r="EX221" s="198"/>
      <c r="EY221" s="197"/>
      <c r="EZ221" s="197"/>
      <c r="FA221" s="197"/>
      <c r="FB221" s="197"/>
      <c r="FC221" s="198"/>
      <c r="FD221" s="197"/>
      <c r="FE221" s="197"/>
      <c r="FF221" s="197"/>
      <c r="FG221" s="197"/>
      <c r="FH221" s="198"/>
      <c r="FI221" s="198"/>
      <c r="FJ221" s="198"/>
      <c r="FK221" s="198"/>
      <c r="FL221" s="198"/>
      <c r="FM221" s="198"/>
      <c r="FN221" s="193"/>
      <c r="FO221" s="193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</row>
    <row r="222" spans="1:181" ht="12.75" customHeight="1" x14ac:dyDescent="0.3">
      <c r="A222" s="60" t="s">
        <v>388</v>
      </c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  <c r="AW222" s="193"/>
      <c r="AX222" s="193"/>
      <c r="AY222" s="193"/>
      <c r="AZ222" s="193"/>
      <c r="BA222" s="193"/>
      <c r="BB222" s="193"/>
      <c r="BC222" s="193"/>
      <c r="BD222" s="193"/>
      <c r="BE222" s="193"/>
      <c r="BF222" s="193"/>
      <c r="BG222" s="193"/>
      <c r="BH222" s="193"/>
      <c r="BI222" s="193"/>
      <c r="BJ222" s="193"/>
      <c r="BK222" s="193"/>
      <c r="BL222" s="192"/>
      <c r="BM222" s="192"/>
      <c r="BN222" s="192"/>
      <c r="BO222" s="192"/>
      <c r="BP222" s="192"/>
      <c r="BQ222" s="192"/>
      <c r="BR222" s="193"/>
      <c r="BS222" s="193"/>
      <c r="BT222" s="193"/>
      <c r="BU222" s="193"/>
      <c r="BV222" s="192"/>
      <c r="BW222" s="193"/>
      <c r="BX222" s="193"/>
      <c r="BY222" s="193"/>
      <c r="BZ222" s="193"/>
      <c r="CA222" s="192"/>
      <c r="CB222" s="193"/>
      <c r="CC222" s="193"/>
      <c r="CD222" s="193"/>
      <c r="CE222" s="193"/>
      <c r="CF222" s="192"/>
      <c r="CG222" s="193"/>
      <c r="CH222" s="193"/>
      <c r="CI222" s="193"/>
      <c r="CJ222" s="193"/>
      <c r="CK222" s="192"/>
      <c r="CL222" s="193"/>
      <c r="CM222" s="193"/>
      <c r="CN222" s="193"/>
      <c r="CO222" s="193"/>
      <c r="CP222" s="192"/>
      <c r="CQ222" s="193"/>
      <c r="CR222" s="193"/>
      <c r="CS222" s="193"/>
      <c r="CT222" s="193"/>
      <c r="CU222" s="193"/>
      <c r="CV222" s="193"/>
      <c r="CW222" s="193"/>
      <c r="CX222" s="193"/>
      <c r="CY222" s="193"/>
      <c r="CZ222" s="193"/>
      <c r="DA222" s="193"/>
      <c r="DB222" s="193"/>
      <c r="DC222" s="193"/>
      <c r="DD222" s="193"/>
      <c r="DE222" s="193"/>
      <c r="DF222" s="193"/>
      <c r="DG222" s="193"/>
      <c r="DH222" s="193"/>
      <c r="DI222" s="193"/>
      <c r="DJ222" s="193"/>
      <c r="DK222" s="193"/>
      <c r="DL222" s="193"/>
      <c r="DM222" s="193"/>
      <c r="DN222" s="193"/>
      <c r="DO222" s="193"/>
      <c r="DP222" s="193"/>
      <c r="DQ222" s="193"/>
      <c r="DR222" s="193"/>
      <c r="DS222" s="193"/>
      <c r="DT222" s="193"/>
      <c r="DU222" s="196"/>
      <c r="DV222" s="196"/>
      <c r="DW222" s="196"/>
      <c r="DX222" s="665"/>
      <c r="DY222" s="1191"/>
      <c r="DZ222" s="85">
        <f>DZ235-DZ230</f>
        <v>259.89444523501714</v>
      </c>
      <c r="EA222" s="85">
        <f>EA235-EA230</f>
        <v>239.18204475860492</v>
      </c>
      <c r="EB222" s="85">
        <f>EB235-EB230</f>
        <v>253.90563368594351</v>
      </c>
      <c r="EC222" s="85">
        <f>EC235-EC230</f>
        <v>256.28731230670104</v>
      </c>
      <c r="ED222" s="85">
        <f>SUM(DZ222:EC222)</f>
        <v>1009.2694359862667</v>
      </c>
      <c r="EE222" s="85">
        <f>EE235-EE230</f>
        <v>253.83945198675494</v>
      </c>
      <c r="EF222" s="85">
        <f>EF235-EF230</f>
        <v>250.78728723404257</v>
      </c>
      <c r="EG222" s="85">
        <f>EG235-EG230</f>
        <v>262.99363207547168</v>
      </c>
      <c r="EH222" s="85">
        <f>EH235-EH230</f>
        <v>258.91513925729441</v>
      </c>
      <c r="EI222" s="85">
        <f>SUM(EE222:EH222)</f>
        <v>1026.5355105535637</v>
      </c>
      <c r="EJ222" s="85">
        <f>EJ235-EJ230</f>
        <v>253.14896036161332</v>
      </c>
      <c r="EK222" s="85">
        <f>EK235-EK230</f>
        <v>250.01890029325511</v>
      </c>
      <c r="EL222" s="85">
        <f>EL235-EL230</f>
        <v>274.06512480499219</v>
      </c>
      <c r="EM222" s="85">
        <f>EM235-EM230</f>
        <v>254.16458609271521</v>
      </c>
      <c r="EN222" s="85">
        <f>SUM(EJ222:EM222)</f>
        <v>1031.3975715525758</v>
      </c>
      <c r="EO222" s="85">
        <f>EO235-EO230</f>
        <v>261.94833333333332</v>
      </c>
      <c r="EP222" s="85">
        <f>EP235-EP230</f>
        <v>278.14896892655366</v>
      </c>
      <c r="EQ222" s="85">
        <f>EQ235-EQ230</f>
        <v>288.33211303462315</v>
      </c>
      <c r="ER222" s="85">
        <f>ER235-ER230</f>
        <v>261.83596720700922</v>
      </c>
      <c r="ES222" s="121">
        <f>SUM(EO222:ER222)</f>
        <v>1090.2653825015193</v>
      </c>
      <c r="ET222" s="85">
        <f t="shared" ref="ET222:EW222" si="1062">ET224*ET106*3/1000</f>
        <v>277.36589634484005</v>
      </c>
      <c r="EU222" s="85">
        <f t="shared" si="1062"/>
        <v>291.66525400698436</v>
      </c>
      <c r="EV222" s="85">
        <f t="shared" si="1062"/>
        <v>304.51458793544811</v>
      </c>
      <c r="EW222" s="85">
        <f t="shared" si="1062"/>
        <v>278.16460096766008</v>
      </c>
      <c r="EX222" s="121">
        <f>SUM(ET222:EW222)</f>
        <v>1151.7103392549327</v>
      </c>
      <c r="EY222" s="85">
        <f t="shared" ref="EY222:FB222" si="1063">EY224*EY106*3/1000</f>
        <v>297.20955195895908</v>
      </c>
      <c r="EZ222" s="85">
        <f t="shared" si="1063"/>
        <v>310.47575066030839</v>
      </c>
      <c r="FA222" s="85">
        <f t="shared" si="1063"/>
        <v>325.63321479739574</v>
      </c>
      <c r="FB222" s="85">
        <f t="shared" si="1063"/>
        <v>298.54922980040055</v>
      </c>
      <c r="FC222" s="121">
        <f>SUM(EY222:FB222)</f>
        <v>1231.8677472170639</v>
      </c>
      <c r="FD222" s="85">
        <f t="shared" ref="FD222:FG222" si="1064">FD224*FD106*3/1000</f>
        <v>337.21672538743979</v>
      </c>
      <c r="FE222" s="85">
        <f t="shared" si="1064"/>
        <v>350.39288733477997</v>
      </c>
      <c r="FF222" s="85">
        <f t="shared" si="1064"/>
        <v>364.41672896431851</v>
      </c>
      <c r="FG222" s="85">
        <f t="shared" si="1064"/>
        <v>325.97836386717154</v>
      </c>
      <c r="FH222" s="121">
        <f>SUM(FD222:FG222)</f>
        <v>1378.0047055537098</v>
      </c>
      <c r="FI222" s="85">
        <f t="shared" ref="FI222:FM222" si="1065">FI224*FI106*12/1000</f>
        <v>1426.9358258506015</v>
      </c>
      <c r="FJ222" s="85">
        <f t="shared" si="1065"/>
        <v>1484.4413396323807</v>
      </c>
      <c r="FK222" s="85">
        <f t="shared" si="1065"/>
        <v>1543.5896470307027</v>
      </c>
      <c r="FL222" s="85">
        <f t="shared" si="1065"/>
        <v>1604.4037102393074</v>
      </c>
      <c r="FM222" s="85">
        <f t="shared" si="1065"/>
        <v>1666.9062252995898</v>
      </c>
      <c r="FN222" s="193"/>
      <c r="FO222" s="193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</row>
    <row r="223" spans="1:181" ht="12.75" customHeight="1" x14ac:dyDescent="0.3">
      <c r="A223" s="70" t="s">
        <v>363</v>
      </c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  <c r="AW223" s="193"/>
      <c r="AX223" s="193"/>
      <c r="AY223" s="193"/>
      <c r="AZ223" s="193"/>
      <c r="BA223" s="193"/>
      <c r="BB223" s="193"/>
      <c r="BC223" s="193"/>
      <c r="BD223" s="193"/>
      <c r="BE223" s="193"/>
      <c r="BF223" s="193"/>
      <c r="BG223" s="193"/>
      <c r="BH223" s="193"/>
      <c r="BI223" s="193"/>
      <c r="BJ223" s="193"/>
      <c r="BK223" s="193"/>
      <c r="BL223" s="192"/>
      <c r="BM223" s="192"/>
      <c r="BN223" s="192"/>
      <c r="BO223" s="192"/>
      <c r="BP223" s="192"/>
      <c r="BQ223" s="192"/>
      <c r="BR223" s="193"/>
      <c r="BS223" s="193"/>
      <c r="BT223" s="193"/>
      <c r="BU223" s="193"/>
      <c r="BV223" s="192"/>
      <c r="BW223" s="193"/>
      <c r="BX223" s="193"/>
      <c r="BY223" s="193"/>
      <c r="BZ223" s="193"/>
      <c r="CA223" s="192"/>
      <c r="CB223" s="193"/>
      <c r="CC223" s="193"/>
      <c r="CD223" s="193"/>
      <c r="CE223" s="193"/>
      <c r="CF223" s="192"/>
      <c r="CG223" s="193"/>
      <c r="CH223" s="193"/>
      <c r="CI223" s="193"/>
      <c r="CJ223" s="193"/>
      <c r="CK223" s="192"/>
      <c r="CL223" s="193"/>
      <c r="CM223" s="193"/>
      <c r="CN223" s="193"/>
      <c r="CO223" s="193"/>
      <c r="CP223" s="192"/>
      <c r="CQ223" s="193"/>
      <c r="CR223" s="193"/>
      <c r="CS223" s="193"/>
      <c r="CT223" s="193"/>
      <c r="CU223" s="193"/>
      <c r="CV223" s="193"/>
      <c r="CW223" s="193"/>
      <c r="CX223" s="193"/>
      <c r="CY223" s="193"/>
      <c r="CZ223" s="193"/>
      <c r="DA223" s="193"/>
      <c r="DB223" s="193"/>
      <c r="DC223" s="193"/>
      <c r="DD223" s="193"/>
      <c r="DE223" s="193"/>
      <c r="DF223" s="193"/>
      <c r="DG223" s="193"/>
      <c r="DH223" s="193"/>
      <c r="DI223" s="193"/>
      <c r="DJ223" s="193"/>
      <c r="DK223" s="193"/>
      <c r="DL223" s="193"/>
      <c r="DM223" s="193"/>
      <c r="DN223" s="193"/>
      <c r="DO223" s="193"/>
      <c r="DP223" s="193"/>
      <c r="DQ223" s="193"/>
      <c r="DR223" s="193"/>
      <c r="DS223" s="193"/>
      <c r="DT223" s="193"/>
      <c r="DU223" s="196"/>
      <c r="DV223" s="196"/>
      <c r="DW223" s="196"/>
      <c r="DX223" s="665"/>
      <c r="DY223" s="1191"/>
      <c r="DZ223" s="197"/>
      <c r="EB223" s="665"/>
      <c r="EC223" s="665"/>
      <c r="ED223" s="1204"/>
      <c r="EE223" s="75">
        <f t="shared" ref="EE223:EX223" si="1066">+EE222/DZ222-1</f>
        <v>-2.3297894046126366E-2</v>
      </c>
      <c r="EF223" s="75">
        <f t="shared" si="1066"/>
        <v>4.8520542113227094E-2</v>
      </c>
      <c r="EG223" s="75">
        <f t="shared" si="1066"/>
        <v>3.5792818999712095E-2</v>
      </c>
      <c r="EH223" s="75">
        <f t="shared" si="1066"/>
        <v>1.0253441447966249E-2</v>
      </c>
      <c r="EI223" s="84">
        <f t="shared" si="1066"/>
        <v>1.7107497712367081E-2</v>
      </c>
      <c r="EJ223" s="75">
        <f t="shared" si="1066"/>
        <v>-2.72019033974924E-3</v>
      </c>
      <c r="EK223" s="75">
        <f t="shared" si="1066"/>
        <v>-3.0638990885943906E-3</v>
      </c>
      <c r="EL223" s="75">
        <f t="shared" si="1066"/>
        <v>4.209794983303361E-2</v>
      </c>
      <c r="EM223" s="75">
        <f t="shared" si="1066"/>
        <v>-1.8347915761922184E-2</v>
      </c>
      <c r="EN223" s="84">
        <f t="shared" si="1066"/>
        <v>4.736378770170635E-3</v>
      </c>
      <c r="EO223" s="75">
        <f t="shared" si="1066"/>
        <v>3.4759664662064704E-2</v>
      </c>
      <c r="EP223" s="75">
        <f t="shared" si="1066"/>
        <v>0.11251176851151623</v>
      </c>
      <c r="EQ223" s="75">
        <f t="shared" si="1066"/>
        <v>5.2056927125559982E-2</v>
      </c>
      <c r="ER223" s="75">
        <f t="shared" si="1066"/>
        <v>3.0182730144378223E-2</v>
      </c>
      <c r="ES223" s="127">
        <f t="shared" si="1066"/>
        <v>5.7075770364990452E-2</v>
      </c>
      <c r="ET223" s="75">
        <f t="shared" si="1066"/>
        <v>5.885726706223271E-2</v>
      </c>
      <c r="EU223" s="75">
        <f t="shared" si="1066"/>
        <v>4.8593691116646687E-2</v>
      </c>
      <c r="EV223" s="75">
        <f t="shared" si="1066"/>
        <v>5.6124427940087873E-2</v>
      </c>
      <c r="EW223" s="75">
        <f t="shared" si="1066"/>
        <v>6.2362073227859138E-2</v>
      </c>
      <c r="EX223" s="127">
        <f t="shared" si="1066"/>
        <v>5.6357798513636537E-2</v>
      </c>
      <c r="EY223" s="75">
        <f t="shared" ref="EY223" si="1067">+EY222/ET222-1</f>
        <v>7.1543242610649038E-2</v>
      </c>
      <c r="EZ223" s="75">
        <f t="shared" ref="EZ223" si="1068">+EZ222/EU222-1</f>
        <v>6.4493443750669011E-2</v>
      </c>
      <c r="FA223" s="75">
        <f t="shared" ref="FA223" si="1069">+FA222/EV222-1</f>
        <v>6.9351773933485239E-2</v>
      </c>
      <c r="FB223" s="75">
        <f t="shared" ref="FB223:FC223" si="1070">+FB222/EW222-1</f>
        <v>7.3282613106872008E-2</v>
      </c>
      <c r="FC223" s="127">
        <f t="shared" si="1070"/>
        <v>6.9598583280920057E-2</v>
      </c>
      <c r="FD223" s="75">
        <f t="shared" ref="FD223" si="1071">+FD222/EY222-1</f>
        <v>0.13460931240192853</v>
      </c>
      <c r="FE223" s="75">
        <f t="shared" ref="FE223" si="1072">+FE222/EZ222-1</f>
        <v>0.12856764687605171</v>
      </c>
      <c r="FF223" s="75">
        <f t="shared" ref="FF223" si="1073">+FF222/FA222-1</f>
        <v>0.11910183729584611</v>
      </c>
      <c r="FG223" s="75">
        <f t="shared" ref="FG223:FH223" si="1074">+FG222/FB222-1</f>
        <v>9.1874744024994293E-2</v>
      </c>
      <c r="FH223" s="127">
        <f t="shared" si="1074"/>
        <v>0.11863039572777745</v>
      </c>
      <c r="FI223" s="126">
        <f t="shared" ref="FI223:FM223" si="1075">FI222/FH222-1</f>
        <v>3.5508674317066502E-2</v>
      </c>
      <c r="FJ223" s="126">
        <f t="shared" si="1075"/>
        <v>4.0300000000000002E-2</v>
      </c>
      <c r="FK223" s="126">
        <f t="shared" si="1075"/>
        <v>3.9845499999999978E-2</v>
      </c>
      <c r="FL223" s="126">
        <f t="shared" si="1075"/>
        <v>3.9397817499999821E-2</v>
      </c>
      <c r="FM223" s="126">
        <f t="shared" si="1075"/>
        <v>3.8956850237500174E-2</v>
      </c>
      <c r="FN223" s="193"/>
      <c r="FO223" s="193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</row>
    <row r="224" spans="1:181" ht="12.75" customHeight="1" x14ac:dyDescent="0.3">
      <c r="A224" s="61" t="s">
        <v>389</v>
      </c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  <c r="AW224" s="193"/>
      <c r="AX224" s="193"/>
      <c r="AY224" s="193"/>
      <c r="AZ224" s="193"/>
      <c r="BA224" s="193"/>
      <c r="BB224" s="193"/>
      <c r="BC224" s="193"/>
      <c r="BD224" s="193"/>
      <c r="BE224" s="193"/>
      <c r="BF224" s="193"/>
      <c r="BG224" s="193"/>
      <c r="BH224" s="193"/>
      <c r="BI224" s="193"/>
      <c r="BJ224" s="193"/>
      <c r="BK224" s="193"/>
      <c r="BL224" s="192"/>
      <c r="BM224" s="192"/>
      <c r="BN224" s="192"/>
      <c r="BO224" s="192"/>
      <c r="BP224" s="192"/>
      <c r="BQ224" s="192"/>
      <c r="BR224" s="193"/>
      <c r="BS224" s="193"/>
      <c r="BT224" s="193"/>
      <c r="BU224" s="193"/>
      <c r="BV224" s="192"/>
      <c r="BW224" s="193"/>
      <c r="BX224" s="193"/>
      <c r="BY224" s="193"/>
      <c r="BZ224" s="193"/>
      <c r="CA224" s="192"/>
      <c r="CB224" s="193"/>
      <c r="CC224" s="193"/>
      <c r="CD224" s="193"/>
      <c r="CE224" s="193"/>
      <c r="CF224" s="192"/>
      <c r="CG224" s="193"/>
      <c r="CH224" s="193"/>
      <c r="CI224" s="193"/>
      <c r="CJ224" s="193"/>
      <c r="CK224" s="192"/>
      <c r="CL224" s="193"/>
      <c r="CM224" s="193"/>
      <c r="CN224" s="193"/>
      <c r="CO224" s="193"/>
      <c r="CP224" s="192"/>
      <c r="CQ224" s="193"/>
      <c r="CR224" s="193"/>
      <c r="CS224" s="193"/>
      <c r="CT224" s="193"/>
      <c r="CU224" s="193"/>
      <c r="CV224" s="193"/>
      <c r="CW224" s="193"/>
      <c r="CX224" s="193"/>
      <c r="CY224" s="193"/>
      <c r="CZ224" s="193"/>
      <c r="DA224" s="193"/>
      <c r="DB224" s="193"/>
      <c r="DC224" s="193"/>
      <c r="DD224" s="193"/>
      <c r="DE224" s="193"/>
      <c r="DF224" s="193"/>
      <c r="DG224" s="193"/>
      <c r="DH224" s="193"/>
      <c r="DI224" s="193"/>
      <c r="DJ224" s="193"/>
      <c r="DK224" s="193"/>
      <c r="DL224" s="193"/>
      <c r="DM224" s="193"/>
      <c r="DN224" s="193"/>
      <c r="DO224" s="193"/>
      <c r="DP224" s="193"/>
      <c r="DQ224" s="193"/>
      <c r="DR224" s="193"/>
      <c r="DS224" s="193"/>
      <c r="DT224" s="193"/>
      <c r="DU224" s="196"/>
      <c r="DV224" s="196"/>
      <c r="DW224" s="196"/>
      <c r="DX224" s="665"/>
      <c r="DY224" s="1191"/>
      <c r="DZ224" s="111">
        <f>DZ222/DZ106*1000/3</f>
        <v>26.841667465532367</v>
      </c>
      <c r="EA224" s="111">
        <f>EA222/EA106*1000/3</f>
        <v>24.637623069489589</v>
      </c>
      <c r="EB224" s="111">
        <f>EB222/EB106*1000/3</f>
        <v>26.085748567929674</v>
      </c>
      <c r="EC224" s="111">
        <f>EC222/EC106*1000/3</f>
        <v>26.05340167802186</v>
      </c>
      <c r="ED224" s="112">
        <f>ED222/ED106*1000/12</f>
        <v>25.904608094922271</v>
      </c>
      <c r="EE224" s="111">
        <f>EE222/AVERAGE(ED90:EE90)*1000/3</f>
        <v>25.174992758777638</v>
      </c>
      <c r="EF224" s="111">
        <f>EF222/AVERAGE(EE90:EF90)*1000/3</f>
        <v>23.942649981769303</v>
      </c>
      <c r="EG224" s="111">
        <f>EG222/AVERAGE(EF90:EG90)*1000/3</f>
        <v>23.935711679223814</v>
      </c>
      <c r="EH224" s="111">
        <f>EH222/AVERAGE(EG90:EH90)*1000/3</f>
        <v>22.41107411557989</v>
      </c>
      <c r="EI224" s="112">
        <f>EI222/EI106*1000/12</f>
        <v>23.818634520246036</v>
      </c>
      <c r="EJ224" s="111">
        <f>EJ222/AVERAGE(EI90:EJ90)*1000/3</f>
        <v>20.822452014115839</v>
      </c>
      <c r="EK224" s="111">
        <f>EK222/AVERAGE(EJ90:EK90)*1000/3</f>
        <v>19.388073381664544</v>
      </c>
      <c r="EL224" s="111">
        <f>EL222/AVERAGE(EK90:EL90)*1000/3</f>
        <v>19.797386846172731</v>
      </c>
      <c r="EM224" s="111">
        <f>EM222/AVERAGE(EL90:EM90)*1000/3</f>
        <v>17.010647263843335</v>
      </c>
      <c r="EN224" s="112">
        <f>EN222/EN106*1000/12</f>
        <v>19.157427310683453</v>
      </c>
      <c r="EO224" s="111">
        <f>EO222/AVERAGE(EN90:EO90)*1000/3</f>
        <v>16.349800788523755</v>
      </c>
      <c r="EP224" s="111">
        <f>EP222/AVERAGE(EO90:EP90)*1000/3</f>
        <v>16.357855147409648</v>
      </c>
      <c r="EQ224" s="111">
        <f>EQ222/AVERAGE(EP90:EQ90)*1000/3</f>
        <v>16.03983717371068</v>
      </c>
      <c r="ER224" s="111">
        <f>ER222/AVERAGE(EQ90:ER90)*1000/3</f>
        <v>13.800087870293263</v>
      </c>
      <c r="ES224" s="1294">
        <f>ES222/ES106*1000/12</f>
        <v>15.580784315848794</v>
      </c>
      <c r="ET224" s="111">
        <f t="shared" ref="ET224:EW224" si="1076">EO224*(1+ET226)</f>
        <v>13.881134866993973</v>
      </c>
      <c r="EU224" s="111">
        <f t="shared" si="1076"/>
        <v>13.912671914090076</v>
      </c>
      <c r="EV224" s="111">
        <f t="shared" si="1076"/>
        <v>13.881956051032462</v>
      </c>
      <c r="EW224" s="111">
        <f t="shared" si="1076"/>
        <v>12.129182242904923</v>
      </c>
      <c r="EX224" s="1294">
        <f>EX222/EX106*1000/12</f>
        <v>13.420851124569511</v>
      </c>
      <c r="EY224" s="111">
        <f t="shared" ref="EY224" si="1077">ET224*(1+EY226)</f>
        <v>12.413990433304475</v>
      </c>
      <c r="EZ224" s="111">
        <f t="shared" ref="EZ224" si="1078">EU224*(1+EZ226)</f>
        <v>12.456898999370422</v>
      </c>
      <c r="FA224" s="111">
        <f t="shared" ref="FA224" si="1079">EV224*(1+FA226)</f>
        <v>12.574653027394028</v>
      </c>
      <c r="FB224" s="111">
        <f t="shared" ref="FB224" si="1080">EW224*(1+FB226)</f>
        <v>11.101166817275571</v>
      </c>
      <c r="FC224" s="1294">
        <f>FC222/FC106*1000/12</f>
        <v>12.11812254406634</v>
      </c>
      <c r="FD224" s="111">
        <f t="shared" ref="FD224" si="1081">EY224*(1+FD226)</f>
        <v>12.085971198230911</v>
      </c>
      <c r="FE224" s="111">
        <f t="shared" ref="FE224" si="1082">EZ224*(1+FE226)</f>
        <v>12.131037506397311</v>
      </c>
      <c r="FF224" s="111">
        <f t="shared" ref="FF224" si="1083">FA224*(1+FF226)</f>
        <v>12.278605376337429</v>
      </c>
      <c r="FG224" s="111">
        <f t="shared" ref="FG224" si="1084">FB224*(1+FG226)</f>
        <v>10.865945462239051</v>
      </c>
      <c r="FH224" s="1294">
        <f>FH222/FH106*1000/12</f>
        <v>11.831972021978453</v>
      </c>
      <c r="FI224" s="1294">
        <f t="shared" ref="FI224:FM224" si="1085">FH224*(1+FI226)</f>
        <v>11.831972021978453</v>
      </c>
      <c r="FJ224" s="1294">
        <f t="shared" si="1085"/>
        <v>12.186931182637807</v>
      </c>
      <c r="FK224" s="1294">
        <f t="shared" si="1085"/>
        <v>12.547054999084754</v>
      </c>
      <c r="FL224" s="1294">
        <f t="shared" si="1085"/>
        <v>12.912258992179364</v>
      </c>
      <c r="FM224" s="1294">
        <f t="shared" si="1085"/>
        <v>13.282455378183672</v>
      </c>
      <c r="FN224" s="193"/>
      <c r="FO224" s="193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</row>
    <row r="225" spans="1:181" ht="12.75" customHeight="1" x14ac:dyDescent="0.3">
      <c r="A225" s="70" t="s">
        <v>390</v>
      </c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  <c r="AW225" s="193"/>
      <c r="AX225" s="193"/>
      <c r="AY225" s="193"/>
      <c r="AZ225" s="193"/>
      <c r="BA225" s="193"/>
      <c r="BB225" s="193"/>
      <c r="BC225" s="193"/>
      <c r="BD225" s="193"/>
      <c r="BE225" s="193"/>
      <c r="BF225" s="193"/>
      <c r="BG225" s="193"/>
      <c r="BH225" s="193"/>
      <c r="BI225" s="193"/>
      <c r="BJ225" s="193"/>
      <c r="BK225" s="193"/>
      <c r="BL225" s="192"/>
      <c r="BM225" s="192"/>
      <c r="BN225" s="192"/>
      <c r="BO225" s="192"/>
      <c r="BP225" s="192"/>
      <c r="BQ225" s="192"/>
      <c r="BR225" s="193"/>
      <c r="BS225" s="193"/>
      <c r="BT225" s="193"/>
      <c r="BU225" s="193"/>
      <c r="BV225" s="192"/>
      <c r="BW225" s="193"/>
      <c r="BX225" s="193"/>
      <c r="BY225" s="193"/>
      <c r="BZ225" s="193"/>
      <c r="CA225" s="192"/>
      <c r="CB225" s="193"/>
      <c r="CC225" s="193"/>
      <c r="CD225" s="193"/>
      <c r="CE225" s="193"/>
      <c r="CF225" s="192"/>
      <c r="CG225" s="193"/>
      <c r="CH225" s="193"/>
      <c r="CI225" s="193"/>
      <c r="CJ225" s="193"/>
      <c r="CK225" s="192"/>
      <c r="CL225" s="193"/>
      <c r="CM225" s="193"/>
      <c r="CN225" s="193"/>
      <c r="CO225" s="193"/>
      <c r="CP225" s="192"/>
      <c r="CQ225" s="193"/>
      <c r="CR225" s="193"/>
      <c r="CS225" s="193"/>
      <c r="CT225" s="193"/>
      <c r="CU225" s="193"/>
      <c r="CV225" s="193"/>
      <c r="CW225" s="193"/>
      <c r="CX225" s="193"/>
      <c r="CY225" s="193"/>
      <c r="CZ225" s="193"/>
      <c r="DA225" s="193"/>
      <c r="DB225" s="193"/>
      <c r="DC225" s="193"/>
      <c r="DD225" s="193"/>
      <c r="DE225" s="193"/>
      <c r="DF225" s="193"/>
      <c r="DG225" s="193"/>
      <c r="DH225" s="193"/>
      <c r="DI225" s="193"/>
      <c r="DJ225" s="193"/>
      <c r="DK225" s="193"/>
      <c r="DL225" s="193"/>
      <c r="DM225" s="193"/>
      <c r="DN225" s="193"/>
      <c r="DO225" s="193"/>
      <c r="DP225" s="193"/>
      <c r="DQ225" s="193"/>
      <c r="DR225" s="193"/>
      <c r="DS225" s="193"/>
      <c r="DT225" s="193"/>
      <c r="DU225" s="196"/>
      <c r="DV225" s="196"/>
      <c r="DW225" s="196"/>
      <c r="DX225" s="665"/>
      <c r="DY225" s="1191"/>
      <c r="DZ225" s="75"/>
      <c r="EA225" s="75">
        <f>EA224/DZ224-1</f>
        <v>-8.211279716034825E-2</v>
      </c>
      <c r="EB225" s="75">
        <f>EB224/EA224-1</f>
        <v>5.8776997048607171E-2</v>
      </c>
      <c r="EC225" s="75">
        <f>EC224/EB224-1</f>
        <v>-1.24002153220093E-3</v>
      </c>
      <c r="ED225" s="84"/>
      <c r="EE225" s="75">
        <f>EE224/EC224-1</f>
        <v>-3.3715709376454739E-2</v>
      </c>
      <c r="EF225" s="75">
        <f t="shared" ref="EF225:ER225" si="1086">EF224/EE224-1</f>
        <v>-4.8951067784464786E-2</v>
      </c>
      <c r="EG225" s="75">
        <f t="shared" si="1086"/>
        <v>-2.8978841317783832E-4</v>
      </c>
      <c r="EH225" s="75">
        <f t="shared" si="1086"/>
        <v>-6.3697189541571442E-2</v>
      </c>
      <c r="EI225" s="84"/>
      <c r="EJ225" s="75">
        <f t="shared" si="1086"/>
        <v>-0.12579153114690167</v>
      </c>
      <c r="EK225" s="75">
        <f t="shared" si="1086"/>
        <v>-6.8886153824674889E-2</v>
      </c>
      <c r="EL225" s="75">
        <f t="shared" si="1086"/>
        <v>2.111161106370063E-2</v>
      </c>
      <c r="EM225" s="75">
        <f t="shared" si="1086"/>
        <v>-0.1407630008941374</v>
      </c>
      <c r="EN225" s="84"/>
      <c r="EO225" s="75">
        <f t="shared" si="1086"/>
        <v>-0.1465555096009149</v>
      </c>
      <c r="EP225" s="75">
        <f t="shared" si="1086"/>
        <v>4.9262734085098181E-4</v>
      </c>
      <c r="EQ225" s="75">
        <f t="shared" si="1086"/>
        <v>-1.9441300270306439E-2</v>
      </c>
      <c r="ER225" s="75">
        <f t="shared" si="1086"/>
        <v>-0.13963666084393733</v>
      </c>
      <c r="ES225" s="127"/>
      <c r="ET225" s="75">
        <f t="shared" ref="ET225:EW225" si="1087">ET224/ES224-1</f>
        <v>-0.10908625743095202</v>
      </c>
      <c r="EU225" s="75">
        <f t="shared" si="1087"/>
        <v>2.2719357889886549E-3</v>
      </c>
      <c r="EV225" s="75">
        <f t="shared" si="1087"/>
        <v>-2.2077616181336301E-3</v>
      </c>
      <c r="EW225" s="75">
        <f t="shared" si="1087"/>
        <v>-0.12626274004067162</v>
      </c>
      <c r="EX225" s="127"/>
      <c r="EY225" s="75">
        <f t="shared" ref="EY225" si="1088">EY224/EX224-1</f>
        <v>-7.5022119083176464E-2</v>
      </c>
      <c r="EZ225" s="75">
        <f t="shared" ref="EZ225" si="1089">EZ224/EY224-1</f>
        <v>3.4564684334563722E-3</v>
      </c>
      <c r="FA225" s="75">
        <f t="shared" ref="FA225" si="1090">FA224/EZ224-1</f>
        <v>9.4529166552250743E-3</v>
      </c>
      <c r="FB225" s="75">
        <f t="shared" ref="FB225" si="1091">FB224/FA224-1</f>
        <v>-0.11717907499383484</v>
      </c>
      <c r="FC225" s="127"/>
      <c r="FD225" s="75">
        <f t="shared" ref="FD225" si="1092">FD224/FC224-1</f>
        <v>-2.6531622962644441E-3</v>
      </c>
      <c r="FE225" s="75">
        <f t="shared" ref="FE225" si="1093">FE224/FD224-1</f>
        <v>3.7288114812814577E-3</v>
      </c>
      <c r="FF225" s="75">
        <f t="shared" ref="FF225" si="1094">FF224/FE224-1</f>
        <v>1.2164488805042284E-2</v>
      </c>
      <c r="FG225" s="75">
        <f t="shared" ref="FG225" si="1095">FG224/FF224-1</f>
        <v>-0.11505051842620251</v>
      </c>
      <c r="FH225" s="127"/>
      <c r="FI225" s="126"/>
      <c r="FJ225" s="126"/>
      <c r="FK225" s="126"/>
      <c r="FL225" s="126"/>
      <c r="FM225" s="126"/>
      <c r="FN225" s="193"/>
      <c r="FO225" s="193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</row>
    <row r="226" spans="1:181" ht="12.75" customHeight="1" x14ac:dyDescent="0.3">
      <c r="A226" s="70" t="s">
        <v>387</v>
      </c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  <c r="AW226" s="193"/>
      <c r="AX226" s="193"/>
      <c r="AY226" s="193"/>
      <c r="AZ226" s="193"/>
      <c r="BA226" s="193"/>
      <c r="BB226" s="193"/>
      <c r="BC226" s="193"/>
      <c r="BD226" s="193"/>
      <c r="BE226" s="193"/>
      <c r="BF226" s="193"/>
      <c r="BG226" s="193"/>
      <c r="BH226" s="193"/>
      <c r="BI226" s="193"/>
      <c r="BJ226" s="193"/>
      <c r="BK226" s="193"/>
      <c r="BL226" s="192"/>
      <c r="BM226" s="192"/>
      <c r="BN226" s="192"/>
      <c r="BO226" s="192"/>
      <c r="BP226" s="192"/>
      <c r="BQ226" s="192"/>
      <c r="BR226" s="193"/>
      <c r="BS226" s="193"/>
      <c r="BT226" s="193"/>
      <c r="BU226" s="193"/>
      <c r="BV226" s="192"/>
      <c r="BW226" s="193"/>
      <c r="BX226" s="193"/>
      <c r="BY226" s="193"/>
      <c r="BZ226" s="193"/>
      <c r="CA226" s="192"/>
      <c r="CB226" s="193"/>
      <c r="CC226" s="193"/>
      <c r="CD226" s="193"/>
      <c r="CE226" s="193"/>
      <c r="CF226" s="192"/>
      <c r="CG226" s="193"/>
      <c r="CH226" s="193"/>
      <c r="CI226" s="193"/>
      <c r="CJ226" s="193"/>
      <c r="CK226" s="192"/>
      <c r="CL226" s="193"/>
      <c r="CM226" s="193"/>
      <c r="CN226" s="193"/>
      <c r="CO226" s="193"/>
      <c r="CP226" s="192"/>
      <c r="CQ226" s="193"/>
      <c r="CR226" s="193"/>
      <c r="CS226" s="193"/>
      <c r="CT226" s="193"/>
      <c r="CU226" s="193"/>
      <c r="CV226" s="193"/>
      <c r="CW226" s="193"/>
      <c r="CX226" s="193"/>
      <c r="CY226" s="193"/>
      <c r="CZ226" s="193"/>
      <c r="DA226" s="193"/>
      <c r="DB226" s="193"/>
      <c r="DC226" s="193"/>
      <c r="DD226" s="193"/>
      <c r="DE226" s="193"/>
      <c r="DF226" s="193"/>
      <c r="DG226" s="193"/>
      <c r="DH226" s="193"/>
      <c r="DI226" s="193"/>
      <c r="DJ226" s="193"/>
      <c r="DK226" s="193"/>
      <c r="DL226" s="193"/>
      <c r="DM226" s="193"/>
      <c r="DN226" s="193"/>
      <c r="DO226" s="193"/>
      <c r="DP226" s="193"/>
      <c r="DQ226" s="193"/>
      <c r="DR226" s="193"/>
      <c r="DS226" s="193"/>
      <c r="DT226" s="193"/>
      <c r="DU226" s="196"/>
      <c r="DV226" s="196"/>
      <c r="DW226" s="196"/>
      <c r="DX226" s="665"/>
      <c r="DY226" s="1191"/>
      <c r="DZ226" s="197"/>
      <c r="EB226" s="665"/>
      <c r="EC226" s="665"/>
      <c r="ED226" s="1204"/>
      <c r="EE226" s="75">
        <f t="shared" ref="EE226:ES226" si="1096">+EE224/DZ224-1</f>
        <v>-6.2092815541170188E-2</v>
      </c>
      <c r="EF226" s="75">
        <f t="shared" si="1096"/>
        <v>-2.820779771490689E-2</v>
      </c>
      <c r="EG226" s="75">
        <f t="shared" si="1096"/>
        <v>-8.2421897271108269E-2</v>
      </c>
      <c r="EH226" s="75">
        <f t="shared" si="1096"/>
        <v>-0.13980238002911405</v>
      </c>
      <c r="EI226" s="84">
        <f t="shared" si="1096"/>
        <v>-8.0525193318215837E-2</v>
      </c>
      <c r="EJ226" s="75">
        <f t="shared" si="1096"/>
        <v>-0.17289143978578581</v>
      </c>
      <c r="EK226" s="75">
        <f t="shared" si="1096"/>
        <v>-0.19022859222236299</v>
      </c>
      <c r="EL226" s="75">
        <f t="shared" si="1096"/>
        <v>-0.17289332728064011</v>
      </c>
      <c r="EM226" s="75">
        <f t="shared" si="1096"/>
        <v>-0.24097135299651917</v>
      </c>
      <c r="EN226" s="84">
        <f t="shared" si="1096"/>
        <v>-0.19569581982546136</v>
      </c>
      <c r="EO226" s="75">
        <f t="shared" si="1096"/>
        <v>-0.21479944929444472</v>
      </c>
      <c r="EP226" s="75">
        <f t="shared" si="1096"/>
        <v>-0.15629290103268323</v>
      </c>
      <c r="EQ226" s="75">
        <f t="shared" si="1096"/>
        <v>-0.18980028534364213</v>
      </c>
      <c r="ER226" s="75">
        <f t="shared" si="1096"/>
        <v>-0.18873822634452109</v>
      </c>
      <c r="ES226" s="127">
        <f t="shared" si="1096"/>
        <v>-0.18669745873654364</v>
      </c>
      <c r="ET226" s="87">
        <f>ER226*0.8</f>
        <v>-0.15099058107561689</v>
      </c>
      <c r="EU226" s="87">
        <f>ET226*0.99</f>
        <v>-0.14948067526486072</v>
      </c>
      <c r="EV226" s="87">
        <f t="shared" ref="EV226:EW226" si="1097">EU226*0.9</f>
        <v>-0.13453260773837467</v>
      </c>
      <c r="EW226" s="87">
        <f t="shared" si="1097"/>
        <v>-0.1210793469645372</v>
      </c>
      <c r="EX226" s="127">
        <f t="shared" ref="EX226" si="1098">+EX224/ES224-1</f>
        <v>-0.13862801432160232</v>
      </c>
      <c r="EY226" s="1344">
        <f t="shared" ref="EY226:FB226" si="1099">ET226*0.7</f>
        <v>-0.10569340675293182</v>
      </c>
      <c r="EZ226" s="1344">
        <f t="shared" si="1099"/>
        <v>-0.10463647268540251</v>
      </c>
      <c r="FA226" s="1344">
        <f t="shared" si="1099"/>
        <v>-9.4172825416862255E-2</v>
      </c>
      <c r="FB226" s="1344">
        <f t="shared" si="1099"/>
        <v>-8.4755542875176032E-2</v>
      </c>
      <c r="FC226" s="127">
        <f t="shared" ref="FC226" si="1100">+FC224/EX224-1</f>
        <v>-9.7067508491936794E-2</v>
      </c>
      <c r="FD226" s="1344">
        <f t="shared" ref="FD226:FG226" si="1101">EY226*0.25</f>
        <v>-2.6423351688232954E-2</v>
      </c>
      <c r="FE226" s="1344">
        <f t="shared" si="1101"/>
        <v>-2.6159118171350627E-2</v>
      </c>
      <c r="FF226" s="1344">
        <f t="shared" si="1101"/>
        <v>-2.3543206354215564E-2</v>
      </c>
      <c r="FG226" s="1344">
        <f t="shared" si="1101"/>
        <v>-2.1188885718794008E-2</v>
      </c>
      <c r="FH226" s="127">
        <f t="shared" ref="FH226" si="1102">+FH224/FC224-1</f>
        <v>-2.3613436903887508E-2</v>
      </c>
      <c r="FI226" s="1344">
        <v>0</v>
      </c>
      <c r="FJ226" s="1344">
        <v>0.03</v>
      </c>
      <c r="FK226" s="1344">
        <f>FJ226*0.985</f>
        <v>2.955E-2</v>
      </c>
      <c r="FL226" s="1344">
        <f t="shared" ref="FL226:FM226" si="1103">FK226*0.985</f>
        <v>2.9106750000000001E-2</v>
      </c>
      <c r="FM226" s="1344">
        <f t="shared" si="1103"/>
        <v>2.8670148749999999E-2</v>
      </c>
      <c r="FN226" s="193"/>
      <c r="FO226" s="193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</row>
    <row r="227" spans="1:181" x14ac:dyDescent="0.3">
      <c r="A227" s="61" t="s">
        <v>391</v>
      </c>
      <c r="DU227" s="111"/>
      <c r="DV227" s="111"/>
      <c r="DW227" s="111"/>
      <c r="DX227" s="111"/>
      <c r="DY227" s="112"/>
      <c r="DZ227" s="111">
        <f>+DZ222/DZ183/3*1000</f>
        <v>66.228497259948412</v>
      </c>
      <c r="EA227" s="111">
        <f t="shared" ref="EA227:EM227" si="1104">+EA222/EA183/3*1000</f>
        <v>60.575676172272168</v>
      </c>
      <c r="EB227" s="111">
        <f t="shared" si="1104"/>
        <v>63.959866561920165</v>
      </c>
      <c r="EC227" s="111">
        <f t="shared" si="1104"/>
        <v>64.143127171471804</v>
      </c>
      <c r="ED227" s="112">
        <f>+ED222/ED183/12*1000</f>
        <v>63.724508010583591</v>
      </c>
      <c r="EE227" s="112">
        <f>+EE222/EE183/3*1000</f>
        <v>62.981987169043613</v>
      </c>
      <c r="EF227" s="111">
        <f t="shared" si="1104"/>
        <v>61.626068862032817</v>
      </c>
      <c r="EG227" s="111">
        <f t="shared" si="1104"/>
        <v>63.640322341311965</v>
      </c>
      <c r="EH227" s="111">
        <f t="shared" si="1104"/>
        <v>61.01452557023552</v>
      </c>
      <c r="EI227" s="112">
        <f>+EI222/EI183/12*1000</f>
        <v>62.305465912445406</v>
      </c>
      <c r="EJ227" s="111">
        <f t="shared" si="1104"/>
        <v>57.618973565861687</v>
      </c>
      <c r="EK227" s="111">
        <f t="shared" si="1104"/>
        <v>54.864801468785409</v>
      </c>
      <c r="EL227" s="111">
        <f t="shared" si="1104"/>
        <v>57.856264472238166</v>
      </c>
      <c r="EM227" s="111">
        <f t="shared" si="1104"/>
        <v>51.330826233003172</v>
      </c>
      <c r="EN227" s="112">
        <f>+EN222/EN183/12*1000</f>
        <v>55.335456384600874</v>
      </c>
      <c r="EO227" s="111">
        <f t="shared" ref="EO227:ER227" si="1105">+EO222/EO183/3*1000</f>
        <v>50.384368788869651</v>
      </c>
      <c r="EP227" s="111">
        <f t="shared" si="1105"/>
        <v>51.210341328648376</v>
      </c>
      <c r="EQ227" s="111">
        <f t="shared" si="1105"/>
        <v>51.027716668369727</v>
      </c>
      <c r="ER227" s="111">
        <f t="shared" si="1105"/>
        <v>44.383218366890787</v>
      </c>
      <c r="ES227" s="1294">
        <f>+ES222/ES183/12*1000</f>
        <v>49.154370560792174</v>
      </c>
      <c r="ET227" s="111">
        <f t="shared" ref="ET227:EW227" si="1106">+ET222/ET183/3*1000</f>
        <v>44.788964513466638</v>
      </c>
      <c r="EU227" s="111">
        <f t="shared" si="1106"/>
        <v>45.020632308720145</v>
      </c>
      <c r="EV227" s="111">
        <f t="shared" si="1106"/>
        <v>45.141604539646437</v>
      </c>
      <c r="EW227" s="111">
        <f t="shared" si="1106"/>
        <v>39.477767218354707</v>
      </c>
      <c r="EX227" s="1294">
        <f>+EX222/EX183/12*1000</f>
        <v>43.521402774087747</v>
      </c>
      <c r="EY227" s="111">
        <f t="shared" ref="EY227:FB227" si="1107">+EY222/EY183/3*1000</f>
        <v>40.173571935251694</v>
      </c>
      <c r="EZ227" s="111">
        <f t="shared" si="1107"/>
        <v>40.113288625857393</v>
      </c>
      <c r="FA227" s="111">
        <f t="shared" si="1107"/>
        <v>40.428218974247883</v>
      </c>
      <c r="FB227" s="111">
        <f t="shared" si="1107"/>
        <v>35.523268359020932</v>
      </c>
      <c r="FC227" s="1294">
        <f>+FC222/FC183/12*1000</f>
        <v>38.986809130435283</v>
      </c>
      <c r="FD227" s="111">
        <f t="shared" ref="FD227:FG227" si="1108">+FD222/FD183/3*1000</f>
        <v>38.312131188839032</v>
      </c>
      <c r="FE227" s="111">
        <f t="shared" si="1108"/>
        <v>38.189831748932114</v>
      </c>
      <c r="FF227" s="111">
        <f t="shared" si="1108"/>
        <v>38.319381619241312</v>
      </c>
      <c r="FG227" s="111">
        <f t="shared" si="1108"/>
        <v>33.017638716113446</v>
      </c>
      <c r="FH227" s="1294">
        <f>+FH222/FH183/12*1000</f>
        <v>36.884793412115592</v>
      </c>
      <c r="FI227" s="1295">
        <f t="shared" ref="FI227:FM227" si="1109">+FI222/FI183/12*1000</f>
        <v>33.304733657753694</v>
      </c>
      <c r="FJ227" s="1295">
        <f t="shared" si="1109"/>
        <v>31.18955077487076</v>
      </c>
      <c r="FK227" s="1295">
        <f t="shared" si="1109"/>
        <v>30.028118911531589</v>
      </c>
      <c r="FL227" s="1295">
        <f t="shared" si="1109"/>
        <v>29.521773274870057</v>
      </c>
      <c r="FM227" s="1295">
        <f t="shared" si="1109"/>
        <v>29.49445614131464</v>
      </c>
    </row>
    <row r="228" spans="1:181" x14ac:dyDescent="0.3">
      <c r="A228" s="70" t="s">
        <v>387</v>
      </c>
      <c r="DZ228" s="75"/>
      <c r="EA228" s="75"/>
      <c r="EB228" s="75"/>
      <c r="EC228" s="75"/>
      <c r="ED228" s="84"/>
      <c r="EE228" s="75">
        <f t="shared" ref="EE228:EX228" si="1110">+EE227/DZ227-1</f>
        <v>-4.9019836252092053E-2</v>
      </c>
      <c r="EF228" s="75">
        <f t="shared" si="1110"/>
        <v>1.7340172758012917E-2</v>
      </c>
      <c r="EG228" s="75">
        <f t="shared" si="1110"/>
        <v>-4.9960113706436493E-3</v>
      </c>
      <c r="EH228" s="75">
        <f t="shared" si="1110"/>
        <v>-4.877532074282398E-2</v>
      </c>
      <c r="EI228" s="84">
        <f t="shared" si="1110"/>
        <v>-2.2268388449582122E-2</v>
      </c>
      <c r="EJ228" s="75">
        <f t="shared" si="1110"/>
        <v>-8.5151546406238343E-2</v>
      </c>
      <c r="EK228" s="75">
        <f t="shared" si="1110"/>
        <v>-0.109714403629808</v>
      </c>
      <c r="EL228" s="75">
        <f t="shared" si="1110"/>
        <v>-9.0886684043696153E-2</v>
      </c>
      <c r="EM228" s="75">
        <f t="shared" si="1110"/>
        <v>-0.15871137645879374</v>
      </c>
      <c r="EN228" s="84">
        <f t="shared" si="1110"/>
        <v>-0.1118683477568263</v>
      </c>
      <c r="EO228" s="75">
        <f t="shared" si="1110"/>
        <v>-0.12555941783174041</v>
      </c>
      <c r="EP228" s="75">
        <f t="shared" si="1110"/>
        <v>-6.6608463756424707E-2</v>
      </c>
      <c r="EQ228" s="75">
        <f t="shared" si="1110"/>
        <v>-0.11802607489712824</v>
      </c>
      <c r="ER228" s="75">
        <f t="shared" si="1110"/>
        <v>-0.13534962080242963</v>
      </c>
      <c r="ES228" s="127">
        <f t="shared" si="1110"/>
        <v>-0.11170208447993957</v>
      </c>
      <c r="ET228" s="75">
        <f t="shared" si="1110"/>
        <v>-0.11105436884304254</v>
      </c>
      <c r="EU228" s="75">
        <f t="shared" si="1110"/>
        <v>-0.12086834141965674</v>
      </c>
      <c r="EV228" s="75">
        <f t="shared" si="1110"/>
        <v>-0.115351274033625</v>
      </c>
      <c r="EW228" s="75">
        <f t="shared" si="1110"/>
        <v>-0.11052490849098662</v>
      </c>
      <c r="EX228" s="127">
        <f t="shared" si="1110"/>
        <v>-0.11459749606065639</v>
      </c>
      <c r="EY228" s="75">
        <f t="shared" ref="EY228" si="1111">+EY227/ET227-1</f>
        <v>-0.10304753923987775</v>
      </c>
      <c r="EZ228" s="75">
        <f t="shared" ref="EZ228" si="1112">+EZ227/EU227-1</f>
        <v>-0.10900210483965678</v>
      </c>
      <c r="FA228" s="75">
        <f t="shared" ref="FA228" si="1113">+FA227/EV227-1</f>
        <v>-0.10441333695303046</v>
      </c>
      <c r="FB228" s="75">
        <f t="shared" ref="FB228:FC228" si="1114">+FB227/EW227-1</f>
        <v>-0.10017027653719934</v>
      </c>
      <c r="FC228" s="127">
        <f t="shared" si="1114"/>
        <v>-0.10419226758822031</v>
      </c>
      <c r="FD228" s="75">
        <f t="shared" ref="FD228" si="1115">+FD227/EY227-1</f>
        <v>-4.6334957454437276E-2</v>
      </c>
      <c r="FE228" s="75">
        <f t="shared" ref="FE228" si="1116">+FE227/EZ227-1</f>
        <v>-4.7950615439827149E-2</v>
      </c>
      <c r="FF228" s="75">
        <f t="shared" ref="FF228" si="1117">+FF227/FA227-1</f>
        <v>-5.2162509467702844E-2</v>
      </c>
      <c r="FG228" s="75">
        <f t="shared" ref="FG228:FH228" si="1118">+FG227/FB227-1</f>
        <v>-7.0534884841788381E-2</v>
      </c>
      <c r="FH228" s="127">
        <f t="shared" si="1118"/>
        <v>-5.3916074826414584E-2</v>
      </c>
      <c r="FI228" s="126">
        <f t="shared" ref="FI228:FM228" si="1119">+FI227/FH227-1</f>
        <v>-9.7060588475085585E-2</v>
      </c>
      <c r="FJ228" s="126">
        <f t="shared" si="1119"/>
        <v>-6.3509977429004216E-2</v>
      </c>
      <c r="FK228" s="126">
        <f t="shared" si="1119"/>
        <v>-3.7237851603650896E-2</v>
      </c>
      <c r="FL228" s="126">
        <f t="shared" si="1119"/>
        <v>-1.6862382827020239E-2</v>
      </c>
      <c r="FM228" s="126">
        <f t="shared" si="1119"/>
        <v>-9.2532156862912274E-4</v>
      </c>
    </row>
    <row r="229" spans="1:181" ht="12.75" customHeight="1" x14ac:dyDescent="0.3">
      <c r="A229" s="192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  <c r="AW229" s="193"/>
      <c r="AX229" s="193"/>
      <c r="AY229" s="193"/>
      <c r="AZ229" s="193"/>
      <c r="BA229" s="193"/>
      <c r="BB229" s="193"/>
      <c r="BC229" s="193"/>
      <c r="BD229" s="193"/>
      <c r="BE229" s="193"/>
      <c r="BF229" s="193"/>
      <c r="BG229" s="193"/>
      <c r="BH229" s="193"/>
      <c r="BI229" s="193"/>
      <c r="BJ229" s="193"/>
      <c r="BK229" s="193"/>
      <c r="BL229" s="192"/>
      <c r="BM229" s="192"/>
      <c r="BN229" s="192"/>
      <c r="BO229" s="192"/>
      <c r="BP229" s="192"/>
      <c r="BQ229" s="192"/>
      <c r="BR229" s="193"/>
      <c r="BS229" s="193"/>
      <c r="BT229" s="193"/>
      <c r="BU229" s="193"/>
      <c r="BV229" s="192"/>
      <c r="BW229" s="193"/>
      <c r="BX229" s="193"/>
      <c r="BY229" s="193"/>
      <c r="BZ229" s="193"/>
      <c r="CA229" s="192"/>
      <c r="CB229" s="193"/>
      <c r="CC229" s="193"/>
      <c r="CD229" s="193"/>
      <c r="CE229" s="193"/>
      <c r="CF229" s="192"/>
      <c r="CG229" s="193"/>
      <c r="CH229" s="193"/>
      <c r="CI229" s="193"/>
      <c r="CJ229" s="193"/>
      <c r="CK229" s="192"/>
      <c r="CL229" s="193"/>
      <c r="CM229" s="193"/>
      <c r="CN229" s="193"/>
      <c r="CO229" s="193"/>
      <c r="CP229" s="192"/>
      <c r="CQ229" s="193"/>
      <c r="CR229" s="193"/>
      <c r="CS229" s="193"/>
      <c r="CT229" s="193"/>
      <c r="CU229" s="193"/>
      <c r="CV229" s="193"/>
      <c r="CW229" s="193"/>
      <c r="CX229" s="193"/>
      <c r="CY229" s="193"/>
      <c r="CZ229" s="193"/>
      <c r="DA229" s="193"/>
      <c r="DB229" s="193"/>
      <c r="DC229" s="193"/>
      <c r="DD229" s="193"/>
      <c r="DE229" s="193"/>
      <c r="DF229" s="193"/>
      <c r="DG229" s="193"/>
      <c r="DH229" s="193"/>
      <c r="DI229" s="193"/>
      <c r="DJ229" s="193"/>
      <c r="DK229" s="193"/>
      <c r="DL229" s="193"/>
      <c r="DM229" s="193"/>
      <c r="DN229" s="193"/>
      <c r="DO229" s="193"/>
      <c r="DP229" s="193"/>
      <c r="DQ229" s="193"/>
      <c r="DR229" s="193"/>
      <c r="DS229" s="193"/>
      <c r="DT229" s="193"/>
      <c r="DU229" s="196"/>
      <c r="DV229" s="196"/>
      <c r="DW229" s="196"/>
      <c r="DX229" s="665"/>
      <c r="DY229" s="1191"/>
      <c r="DZ229" s="197"/>
      <c r="EB229" s="665"/>
      <c r="EC229" s="665"/>
      <c r="ED229" s="1204"/>
      <c r="EE229" s="197"/>
      <c r="EF229" s="197"/>
      <c r="EG229" s="197"/>
      <c r="EH229" s="197"/>
      <c r="EI229" s="1191"/>
      <c r="EJ229" s="197"/>
      <c r="EK229" s="197"/>
      <c r="EL229" s="197"/>
      <c r="EM229" s="197"/>
      <c r="EN229" s="1192"/>
      <c r="EO229" s="197"/>
      <c r="EP229" s="197"/>
      <c r="EQ229" s="197"/>
      <c r="ER229" s="197"/>
      <c r="ES229" s="198"/>
      <c r="ET229" s="197"/>
      <c r="EU229" s="197"/>
      <c r="EV229" s="197"/>
      <c r="EW229" s="197"/>
      <c r="EX229" s="198"/>
      <c r="EY229" s="197"/>
      <c r="EZ229" s="197"/>
      <c r="FA229" s="197"/>
      <c r="FB229" s="197"/>
      <c r="FC229" s="198"/>
      <c r="FD229" s="197"/>
      <c r="FE229" s="197"/>
      <c r="FF229" s="197"/>
      <c r="FG229" s="197"/>
      <c r="FH229" s="198"/>
      <c r="FI229" s="198"/>
      <c r="FJ229" s="198"/>
      <c r="FK229" s="198"/>
      <c r="FL229" s="198"/>
      <c r="FM229" s="198"/>
      <c r="FN229" s="193"/>
      <c r="FO229" s="193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</row>
    <row r="230" spans="1:181" ht="12.75" customHeight="1" x14ac:dyDescent="0.3">
      <c r="A230" s="60" t="s">
        <v>392</v>
      </c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  <c r="AW230" s="193"/>
      <c r="AX230" s="193"/>
      <c r="AY230" s="193"/>
      <c r="AZ230" s="193"/>
      <c r="BA230" s="193"/>
      <c r="BB230" s="193"/>
      <c r="BC230" s="193"/>
      <c r="BD230" s="193"/>
      <c r="BE230" s="193"/>
      <c r="BF230" s="193"/>
      <c r="BG230" s="193"/>
      <c r="BH230" s="193"/>
      <c r="BI230" s="193"/>
      <c r="BJ230" s="193"/>
      <c r="BK230" s="193"/>
      <c r="BL230" s="192"/>
      <c r="BM230" s="192"/>
      <c r="BN230" s="192"/>
      <c r="BO230" s="192"/>
      <c r="BP230" s="192"/>
      <c r="BQ230" s="192"/>
      <c r="BR230" s="193"/>
      <c r="BS230" s="193"/>
      <c r="BT230" s="193"/>
      <c r="BU230" s="193"/>
      <c r="BV230" s="192"/>
      <c r="BW230" s="193"/>
      <c r="BX230" s="193"/>
      <c r="BY230" s="193"/>
      <c r="BZ230" s="193"/>
      <c r="CA230" s="192"/>
      <c r="CB230" s="193"/>
      <c r="CC230" s="193"/>
      <c r="CD230" s="193"/>
      <c r="CE230" s="193"/>
      <c r="CF230" s="192"/>
      <c r="CG230" s="193"/>
      <c r="CH230" s="193"/>
      <c r="CI230" s="193"/>
      <c r="CJ230" s="193"/>
      <c r="CK230" s="192"/>
      <c r="CL230" s="193"/>
      <c r="CM230" s="193"/>
      <c r="CN230" s="193"/>
      <c r="CO230" s="193"/>
      <c r="CP230" s="192"/>
      <c r="CQ230" s="193"/>
      <c r="CR230" s="193"/>
      <c r="CS230" s="193"/>
      <c r="CT230" s="193"/>
      <c r="CU230" s="193"/>
      <c r="CV230" s="193"/>
      <c r="CW230" s="193"/>
      <c r="CX230" s="193"/>
      <c r="CY230" s="193"/>
      <c r="CZ230" s="193"/>
      <c r="DA230" s="193"/>
      <c r="DB230" s="193"/>
      <c r="DC230" s="193"/>
      <c r="DD230" s="193"/>
      <c r="DE230" s="193"/>
      <c r="DF230" s="193"/>
      <c r="DG230" s="193"/>
      <c r="DH230" s="193"/>
      <c r="DI230" s="193"/>
      <c r="DJ230" s="193"/>
      <c r="DK230" s="193"/>
      <c r="DL230" s="193"/>
      <c r="DM230" s="193"/>
      <c r="DN230" s="193"/>
      <c r="DO230" s="193"/>
      <c r="DP230" s="193"/>
      <c r="DQ230" s="193"/>
      <c r="DR230" s="193"/>
      <c r="DS230" s="193"/>
      <c r="DT230" s="193"/>
      <c r="DU230" s="196"/>
      <c r="DV230" s="196"/>
      <c r="DW230" s="196"/>
      <c r="DX230" s="665"/>
      <c r="DY230" s="1191"/>
      <c r="DZ230" s="85">
        <f>DZ232*DZ183*3/1000</f>
        <v>58.863130522558599</v>
      </c>
      <c r="EA230" s="85">
        <f>EA232*EA183*3/1000</f>
        <v>59.227249253906251</v>
      </c>
      <c r="EB230" s="85">
        <f>EB232*EB183*3/1000</f>
        <v>59.546473593750001</v>
      </c>
      <c r="EC230" s="85">
        <f>EC232*EC183*3/1000</f>
        <v>59.933306249999994</v>
      </c>
      <c r="ED230" s="85">
        <f>SUM(DZ230:EC230)</f>
        <v>237.57015962021484</v>
      </c>
      <c r="EE230" s="85">
        <f>EE232*EE183*3/1000</f>
        <v>60.455249999999999</v>
      </c>
      <c r="EF230" s="85">
        <f>EF232*EF183*3/1000</f>
        <v>61.042499999999997</v>
      </c>
      <c r="EG230" s="85">
        <f>EG232*EG183*3/1000</f>
        <v>61.987499999999997</v>
      </c>
      <c r="EH230" s="85">
        <f>EH232*EH183*3/1000</f>
        <v>63.652500000000003</v>
      </c>
      <c r="EI230" s="85">
        <f>SUM(EE230:EH230)</f>
        <v>247.13775000000001</v>
      </c>
      <c r="EJ230" s="85">
        <f>EJ232*EJ183*3/1000</f>
        <v>65.902500000000018</v>
      </c>
      <c r="EK230" s="85">
        <f>EK232*EK183*3/1000</f>
        <v>68.355000000000018</v>
      </c>
      <c r="EL230" s="85">
        <f>EL232*EL183*3/1000</f>
        <v>71.055000000000021</v>
      </c>
      <c r="EM230" s="85">
        <f>EM232*EM183*3/1000</f>
        <v>74.272500000000008</v>
      </c>
      <c r="EN230" s="85">
        <f>SUM(EJ230:EM230)</f>
        <v>279.58500000000004</v>
      </c>
      <c r="EO230" s="85">
        <f>EO232*EO183*3/1000</f>
        <v>77.985000000000014</v>
      </c>
      <c r="EP230" s="85">
        <f>EP232*EP183*3/1000</f>
        <v>81.472500000000011</v>
      </c>
      <c r="EQ230" s="85">
        <f>EQ232*EQ183*3/1000</f>
        <v>84.757500000000022</v>
      </c>
      <c r="ER230" s="85">
        <f>ER232*ER183*3/1000</f>
        <v>88.491543710021347</v>
      </c>
      <c r="ES230" s="85">
        <f>SUM(EO230:ER230)</f>
        <v>332.70654371002138</v>
      </c>
      <c r="ET230" s="85">
        <f t="shared" ref="ET230:EW230" si="1120">ET232*ET183*3/1000</f>
        <v>92.890927271195864</v>
      </c>
      <c r="EU230" s="85">
        <f t="shared" si="1120"/>
        <v>97.177196004361022</v>
      </c>
      <c r="EV230" s="85">
        <f t="shared" si="1120"/>
        <v>101.18645240046884</v>
      </c>
      <c r="EW230" s="85">
        <f t="shared" si="1120"/>
        <v>105.69161602875462</v>
      </c>
      <c r="EX230" s="85">
        <f>SUM(ET230:EW230)</f>
        <v>396.9461917047804</v>
      </c>
      <c r="EY230" s="85">
        <f t="shared" ref="EY230:FB230" si="1121">EY232*EY183*3/1000</f>
        <v>110.97204118592286</v>
      </c>
      <c r="EZ230" s="85">
        <f t="shared" si="1121"/>
        <v>116.09958742955307</v>
      </c>
      <c r="FA230" s="85">
        <f t="shared" si="1121"/>
        <v>120.81903051609279</v>
      </c>
      <c r="FB230" s="85">
        <f t="shared" si="1121"/>
        <v>126.06493303898897</v>
      </c>
      <c r="FC230" s="85">
        <f>SUM(EY230:FB230)</f>
        <v>473.95559217055768</v>
      </c>
      <c r="FD230" s="85">
        <f t="shared" ref="FD230:FG230" si="1122">FD232*FD183*3/1000</f>
        <v>132.02739507963344</v>
      </c>
      <c r="FE230" s="85">
        <f t="shared" si="1122"/>
        <v>137.6254638819839</v>
      </c>
      <c r="FF230" s="85">
        <f t="shared" si="1122"/>
        <v>142.64976895451801</v>
      </c>
      <c r="FG230" s="85">
        <f t="shared" si="1122"/>
        <v>148.09282699011686</v>
      </c>
      <c r="FH230" s="85">
        <f>SUM(FD230:FG230)</f>
        <v>560.3954549062521</v>
      </c>
      <c r="FI230" s="85">
        <f t="shared" ref="FI230:FM230" si="1123">FI232*FI183*12/1000</f>
        <v>642.67252840726246</v>
      </c>
      <c r="FJ230" s="85">
        <f t="shared" si="1123"/>
        <v>713.91281827713271</v>
      </c>
      <c r="FK230" s="85">
        <f t="shared" si="1123"/>
        <v>771.07209990995659</v>
      </c>
      <c r="FL230" s="85">
        <f t="shared" si="1123"/>
        <v>815.19681861642982</v>
      </c>
      <c r="FM230" s="85">
        <f t="shared" si="1123"/>
        <v>847.73874994324206</v>
      </c>
      <c r="FN230" s="193"/>
      <c r="FO230" s="193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</row>
    <row r="231" spans="1:181" ht="12.75" customHeight="1" x14ac:dyDescent="0.3">
      <c r="A231" s="70" t="s">
        <v>363</v>
      </c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  <c r="AM231" s="193"/>
      <c r="AN231" s="193"/>
      <c r="AO231" s="193"/>
      <c r="AP231" s="193"/>
      <c r="AQ231" s="193"/>
      <c r="AR231" s="193"/>
      <c r="AS231" s="193"/>
      <c r="AT231" s="193"/>
      <c r="AU231" s="193"/>
      <c r="AV231" s="193"/>
      <c r="AW231" s="193"/>
      <c r="AX231" s="193"/>
      <c r="AY231" s="193"/>
      <c r="AZ231" s="193"/>
      <c r="BA231" s="193"/>
      <c r="BB231" s="193"/>
      <c r="BC231" s="193"/>
      <c r="BD231" s="193"/>
      <c r="BE231" s="193"/>
      <c r="BF231" s="193"/>
      <c r="BG231" s="193"/>
      <c r="BH231" s="193"/>
      <c r="BI231" s="193"/>
      <c r="BJ231" s="193"/>
      <c r="BK231" s="193"/>
      <c r="BL231" s="192"/>
      <c r="BM231" s="192"/>
      <c r="BN231" s="192"/>
      <c r="BO231" s="192"/>
      <c r="BP231" s="192"/>
      <c r="BQ231" s="192"/>
      <c r="BR231" s="193"/>
      <c r="BS231" s="193"/>
      <c r="BT231" s="193"/>
      <c r="BU231" s="193"/>
      <c r="BV231" s="192"/>
      <c r="BW231" s="193"/>
      <c r="BX231" s="193"/>
      <c r="BY231" s="193"/>
      <c r="BZ231" s="193"/>
      <c r="CA231" s="192"/>
      <c r="CB231" s="193"/>
      <c r="CC231" s="193"/>
      <c r="CD231" s="193"/>
      <c r="CE231" s="193"/>
      <c r="CF231" s="192"/>
      <c r="CG231" s="193"/>
      <c r="CH231" s="193"/>
      <c r="CI231" s="193"/>
      <c r="CJ231" s="193"/>
      <c r="CK231" s="192"/>
      <c r="CL231" s="193"/>
      <c r="CM231" s="193"/>
      <c r="CN231" s="193"/>
      <c r="CO231" s="193"/>
      <c r="CP231" s="192"/>
      <c r="CQ231" s="193"/>
      <c r="CR231" s="193"/>
      <c r="CS231" s="193"/>
      <c r="CT231" s="193"/>
      <c r="CU231" s="193"/>
      <c r="CV231" s="193"/>
      <c r="CW231" s="193"/>
      <c r="CX231" s="193"/>
      <c r="CY231" s="193"/>
      <c r="CZ231" s="193"/>
      <c r="DA231" s="193"/>
      <c r="DB231" s="193"/>
      <c r="DC231" s="193"/>
      <c r="DD231" s="193"/>
      <c r="DE231" s="193"/>
      <c r="DF231" s="193"/>
      <c r="DG231" s="193"/>
      <c r="DH231" s="193"/>
      <c r="DI231" s="193"/>
      <c r="DJ231" s="193"/>
      <c r="DK231" s="193"/>
      <c r="DL231" s="193"/>
      <c r="DM231" s="193"/>
      <c r="DN231" s="193"/>
      <c r="DO231" s="193"/>
      <c r="DP231" s="193"/>
      <c r="DQ231" s="193"/>
      <c r="DR231" s="193"/>
      <c r="DS231" s="193"/>
      <c r="DT231" s="193"/>
      <c r="DU231" s="196"/>
      <c r="DV231" s="196"/>
      <c r="DW231" s="196"/>
      <c r="DX231" s="665"/>
      <c r="DY231" s="1191"/>
      <c r="DZ231" s="197"/>
      <c r="EB231" s="665"/>
      <c r="EC231" s="665"/>
      <c r="ED231" s="1204"/>
      <c r="EE231" s="75">
        <f t="shared" ref="EE231:EX231" si="1124">+EE230/DZ230-1</f>
        <v>2.704782201196787E-2</v>
      </c>
      <c r="EF231" s="75">
        <f t="shared" si="1124"/>
        <v>3.0648911927545264E-2</v>
      </c>
      <c r="EG231" s="75">
        <f t="shared" si="1124"/>
        <v>4.0993635037125165E-2</v>
      </c>
      <c r="EH231" s="75">
        <f t="shared" si="1124"/>
        <v>6.2055541112417956E-2</v>
      </c>
      <c r="EI231" s="84">
        <f t="shared" si="1124"/>
        <v>4.0272694159401823E-2</v>
      </c>
      <c r="EJ231" s="75">
        <f t="shared" si="1124"/>
        <v>9.0103837135733E-2</v>
      </c>
      <c r="EK231" s="75">
        <f t="shared" si="1124"/>
        <v>0.1197935864356805</v>
      </c>
      <c r="EL231" s="75">
        <f t="shared" si="1124"/>
        <v>0.14627949183303124</v>
      </c>
      <c r="EM231" s="75">
        <f t="shared" si="1124"/>
        <v>0.16684340756451044</v>
      </c>
      <c r="EN231" s="84">
        <f t="shared" si="1124"/>
        <v>0.13129216398546983</v>
      </c>
      <c r="EO231" s="75">
        <f t="shared" si="1124"/>
        <v>0.18333902355752807</v>
      </c>
      <c r="EP231" s="75">
        <f t="shared" si="1124"/>
        <v>0.19190256747860412</v>
      </c>
      <c r="EQ231" s="75">
        <f t="shared" si="1124"/>
        <v>0.19284357188093715</v>
      </c>
      <c r="ER231" s="75">
        <f t="shared" si="1124"/>
        <v>0.19144425877708882</v>
      </c>
      <c r="ES231" s="84">
        <f t="shared" si="1124"/>
        <v>0.19000140819436417</v>
      </c>
      <c r="ET231" s="75">
        <f t="shared" si="1124"/>
        <v>0.19113838906451042</v>
      </c>
      <c r="EU231" s="75">
        <f t="shared" si="1124"/>
        <v>0.19276069844869137</v>
      </c>
      <c r="EV231" s="75">
        <f t="shared" si="1124"/>
        <v>0.19383479220681132</v>
      </c>
      <c r="EW231" s="75">
        <f t="shared" si="1124"/>
        <v>0.19436967192137966</v>
      </c>
      <c r="EX231" s="84">
        <f t="shared" si="1124"/>
        <v>0.1930820093840675</v>
      </c>
      <c r="EY231" s="75">
        <f t="shared" ref="EY231" si="1125">+EY230/ET230-1</f>
        <v>0.19464886879575483</v>
      </c>
      <c r="EZ231" s="75">
        <f t="shared" ref="EZ231" si="1126">+EZ230/EU230-1</f>
        <v>0.19472049208276054</v>
      </c>
      <c r="FA231" s="75">
        <f t="shared" ref="FA231" si="1127">+FA230/EV230-1</f>
        <v>0.19402378134499143</v>
      </c>
      <c r="FB231" s="75">
        <f t="shared" ref="FB231:FC231" si="1128">+FB230/EW230-1</f>
        <v>0.19276190274819482</v>
      </c>
      <c r="FC231" s="84">
        <f t="shared" si="1128"/>
        <v>0.19400463356265485</v>
      </c>
      <c r="FD231" s="75">
        <f t="shared" ref="FD231" si="1129">+FD230/EY230-1</f>
        <v>0.1897356637644827</v>
      </c>
      <c r="FE231" s="75">
        <f t="shared" ref="FE231" si="1130">+FE230/EZ230-1</f>
        <v>0.18540872477684145</v>
      </c>
      <c r="FF231" s="75">
        <f t="shared" ref="FF231" si="1131">+FF230/FA230-1</f>
        <v>0.18068956806864467</v>
      </c>
      <c r="FG231" s="75">
        <f t="shared" ref="FG231:FH231" si="1132">+FG230/FB230-1</f>
        <v>0.17473450721078132</v>
      </c>
      <c r="FH231" s="84">
        <f t="shared" si="1132"/>
        <v>0.1823796662886259</v>
      </c>
      <c r="FI231" s="75">
        <f t="shared" ref="FI231:FM231" si="1133">FI230/FH230-1</f>
        <v>0.14681966597101392</v>
      </c>
      <c r="FJ231" s="75">
        <f t="shared" si="1133"/>
        <v>0.11085006238935602</v>
      </c>
      <c r="FK231" s="75">
        <f t="shared" si="1133"/>
        <v>8.0064792464106249E-2</v>
      </c>
      <c r="FL231" s="75">
        <f t="shared" si="1133"/>
        <v>5.7225152760197018E-2</v>
      </c>
      <c r="FM231" s="75">
        <f t="shared" si="1133"/>
        <v>3.9919109819446019E-2</v>
      </c>
      <c r="FN231" s="193"/>
      <c r="FO231" s="193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</row>
    <row r="232" spans="1:181" ht="12.75" customHeight="1" x14ac:dyDescent="0.3">
      <c r="A232" s="61" t="s">
        <v>391</v>
      </c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  <c r="AW232" s="193"/>
      <c r="AX232" s="193"/>
      <c r="AY232" s="193"/>
      <c r="AZ232" s="193"/>
      <c r="BA232" s="193"/>
      <c r="BB232" s="193"/>
      <c r="BC232" s="193"/>
      <c r="BD232" s="193"/>
      <c r="BE232" s="193"/>
      <c r="BF232" s="193"/>
      <c r="BG232" s="193"/>
      <c r="BH232" s="193"/>
      <c r="BI232" s="193"/>
      <c r="BJ232" s="193"/>
      <c r="BK232" s="193"/>
      <c r="BL232" s="192"/>
      <c r="BM232" s="192"/>
      <c r="BN232" s="192"/>
      <c r="BO232" s="192"/>
      <c r="BP232" s="192"/>
      <c r="BQ232" s="192"/>
      <c r="BR232" s="193"/>
      <c r="BS232" s="193"/>
      <c r="BT232" s="193"/>
      <c r="BU232" s="193"/>
      <c r="BV232" s="192"/>
      <c r="BW232" s="193"/>
      <c r="BX232" s="193"/>
      <c r="BY232" s="193"/>
      <c r="BZ232" s="193"/>
      <c r="CA232" s="192"/>
      <c r="CB232" s="193"/>
      <c r="CC232" s="193"/>
      <c r="CD232" s="193"/>
      <c r="CE232" s="193"/>
      <c r="CF232" s="192"/>
      <c r="CG232" s="193"/>
      <c r="CH232" s="193"/>
      <c r="CI232" s="193"/>
      <c r="CJ232" s="193"/>
      <c r="CK232" s="192"/>
      <c r="CL232" s="193"/>
      <c r="CM232" s="193"/>
      <c r="CN232" s="193"/>
      <c r="CO232" s="193"/>
      <c r="CP232" s="192"/>
      <c r="CQ232" s="193"/>
      <c r="CR232" s="193"/>
      <c r="CS232" s="193"/>
      <c r="CT232" s="193"/>
      <c r="CU232" s="193"/>
      <c r="CV232" s="193"/>
      <c r="CW232" s="193"/>
      <c r="CX232" s="193"/>
      <c r="CY232" s="193"/>
      <c r="CZ232" s="193"/>
      <c r="DA232" s="193"/>
      <c r="DB232" s="193"/>
      <c r="DC232" s="193"/>
      <c r="DD232" s="193"/>
      <c r="DE232" s="193"/>
      <c r="DF232" s="193"/>
      <c r="DG232" s="193"/>
      <c r="DH232" s="193"/>
      <c r="DI232" s="193"/>
      <c r="DJ232" s="193"/>
      <c r="DK232" s="193"/>
      <c r="DL232" s="193"/>
      <c r="DM232" s="193"/>
      <c r="DN232" s="193"/>
      <c r="DO232" s="193"/>
      <c r="DP232" s="193"/>
      <c r="DQ232" s="193"/>
      <c r="DR232" s="193"/>
      <c r="DS232" s="193"/>
      <c r="DT232" s="193"/>
      <c r="DU232" s="196"/>
      <c r="DV232" s="196"/>
      <c r="DW232" s="196"/>
      <c r="DX232" s="665"/>
      <c r="DY232" s="1191"/>
      <c r="DZ232" s="1155">
        <v>15</v>
      </c>
      <c r="EA232" s="1155">
        <f>DZ232</f>
        <v>15</v>
      </c>
      <c r="EB232" s="1155">
        <f>EA232</f>
        <v>15</v>
      </c>
      <c r="EC232" s="1155">
        <f>EB232</f>
        <v>15</v>
      </c>
      <c r="ED232" s="112">
        <f>ED230/ED183*1000/12</f>
        <v>15.000000000000002</v>
      </c>
      <c r="EE232" s="1155">
        <v>15</v>
      </c>
      <c r="EF232" s="1155">
        <f>EE232</f>
        <v>15</v>
      </c>
      <c r="EG232" s="1155">
        <f>EF232</f>
        <v>15</v>
      </c>
      <c r="EH232" s="1155">
        <f>EG232</f>
        <v>15</v>
      </c>
      <c r="EI232" s="112">
        <f>EI230/EI183*1000/12</f>
        <v>15.000000000000002</v>
      </c>
      <c r="EJ232" s="1155">
        <f>EI232</f>
        <v>15.000000000000002</v>
      </c>
      <c r="EK232" s="1155">
        <f>EJ232</f>
        <v>15.000000000000002</v>
      </c>
      <c r="EL232" s="1155">
        <f>EK232</f>
        <v>15.000000000000002</v>
      </c>
      <c r="EM232" s="1155">
        <f>EL232</f>
        <v>15.000000000000002</v>
      </c>
      <c r="EN232" s="112">
        <f>EN230/EN183*1000/12</f>
        <v>15.000000000000002</v>
      </c>
      <c r="EO232" s="1155">
        <f>EN232</f>
        <v>15.000000000000002</v>
      </c>
      <c r="EP232" s="1155">
        <f>EO232</f>
        <v>15.000000000000002</v>
      </c>
      <c r="EQ232" s="1155">
        <f>EP232</f>
        <v>15.000000000000002</v>
      </c>
      <c r="ER232" s="1155">
        <f>EQ232</f>
        <v>15.000000000000002</v>
      </c>
      <c r="ES232" s="112">
        <f>ES230/ES183*1000/12</f>
        <v>15.000000000000002</v>
      </c>
      <c r="ET232" s="196">
        <f t="shared" ref="ET232:EW232" si="1134">EO232*(1+ET233)</f>
        <v>15.000000000000002</v>
      </c>
      <c r="EU232" s="196">
        <f t="shared" si="1134"/>
        <v>15.000000000000002</v>
      </c>
      <c r="EV232" s="196">
        <f t="shared" si="1134"/>
        <v>15.000000000000002</v>
      </c>
      <c r="EW232" s="196">
        <f t="shared" si="1134"/>
        <v>15.000000000000002</v>
      </c>
      <c r="EX232" s="112">
        <f>EX230/EX183*1000/12</f>
        <v>15.000000000000005</v>
      </c>
      <c r="EY232" s="196">
        <f t="shared" ref="EY232" si="1135">ET232*(1+EY233)</f>
        <v>15.000000000000002</v>
      </c>
      <c r="EZ232" s="196">
        <f t="shared" ref="EZ232" si="1136">EU232*(1+EZ233)</f>
        <v>15.000000000000002</v>
      </c>
      <c r="FA232" s="196">
        <f t="shared" ref="FA232" si="1137">EV232*(1+FA233)</f>
        <v>15.000000000000002</v>
      </c>
      <c r="FB232" s="196">
        <f t="shared" ref="FB232" si="1138">EW232*(1+FB233)</f>
        <v>15.000000000000002</v>
      </c>
      <c r="FC232" s="112">
        <f>FC230/FC183*1000/12</f>
        <v>15.000000000000002</v>
      </c>
      <c r="FD232" s="196">
        <f t="shared" ref="FD232" si="1139">EY232*(1+FD233)</f>
        <v>15.000000000000002</v>
      </c>
      <c r="FE232" s="196">
        <f t="shared" ref="FE232" si="1140">EZ232*(1+FE233)</f>
        <v>15.000000000000002</v>
      </c>
      <c r="FF232" s="196">
        <f t="shared" ref="FF232" si="1141">FA232*(1+FF233)</f>
        <v>15.000000000000002</v>
      </c>
      <c r="FG232" s="196">
        <f t="shared" ref="FG232" si="1142">FB232*(1+FG233)</f>
        <v>15.000000000000002</v>
      </c>
      <c r="FH232" s="112">
        <f>FH230/FH183*1000/12</f>
        <v>15</v>
      </c>
      <c r="FI232" s="1156">
        <f t="shared" ref="FI232:FM232" si="1143">FH232*(1+FI233)</f>
        <v>15</v>
      </c>
      <c r="FJ232" s="1156">
        <f t="shared" si="1143"/>
        <v>15</v>
      </c>
      <c r="FK232" s="1156">
        <f t="shared" si="1143"/>
        <v>15</v>
      </c>
      <c r="FL232" s="1156">
        <f t="shared" si="1143"/>
        <v>15</v>
      </c>
      <c r="FM232" s="1156">
        <f t="shared" si="1143"/>
        <v>15</v>
      </c>
      <c r="FN232" s="193"/>
      <c r="FO232" s="193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</row>
    <row r="233" spans="1:181" ht="12.75" customHeight="1" x14ac:dyDescent="0.3">
      <c r="A233" s="70" t="s">
        <v>387</v>
      </c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  <c r="AW233" s="193"/>
      <c r="AX233" s="193"/>
      <c r="AY233" s="193"/>
      <c r="AZ233" s="193"/>
      <c r="BA233" s="193"/>
      <c r="BB233" s="193"/>
      <c r="BC233" s="193"/>
      <c r="BD233" s="193"/>
      <c r="BE233" s="193"/>
      <c r="BF233" s="193"/>
      <c r="BG233" s="193"/>
      <c r="BH233" s="193"/>
      <c r="BI233" s="193"/>
      <c r="BJ233" s="193"/>
      <c r="BK233" s="193"/>
      <c r="BL233" s="192"/>
      <c r="BM233" s="192"/>
      <c r="BN233" s="192"/>
      <c r="BO233" s="192"/>
      <c r="BP233" s="192"/>
      <c r="BQ233" s="192"/>
      <c r="BR233" s="193"/>
      <c r="BS233" s="193"/>
      <c r="BT233" s="193"/>
      <c r="BU233" s="193"/>
      <c r="BV233" s="192"/>
      <c r="BW233" s="193"/>
      <c r="BX233" s="193"/>
      <c r="BY233" s="193"/>
      <c r="BZ233" s="193"/>
      <c r="CA233" s="192"/>
      <c r="CB233" s="193"/>
      <c r="CC233" s="193"/>
      <c r="CD233" s="193"/>
      <c r="CE233" s="193"/>
      <c r="CF233" s="192"/>
      <c r="CG233" s="193"/>
      <c r="CH233" s="193"/>
      <c r="CI233" s="193"/>
      <c r="CJ233" s="193"/>
      <c r="CK233" s="192"/>
      <c r="CL233" s="193"/>
      <c r="CM233" s="193"/>
      <c r="CN233" s="193"/>
      <c r="CO233" s="193"/>
      <c r="CP233" s="192"/>
      <c r="CQ233" s="193"/>
      <c r="CR233" s="193"/>
      <c r="CS233" s="193"/>
      <c r="CT233" s="193"/>
      <c r="CU233" s="193"/>
      <c r="CV233" s="193"/>
      <c r="CW233" s="193"/>
      <c r="CX233" s="193"/>
      <c r="CY233" s="193"/>
      <c r="CZ233" s="193"/>
      <c r="DA233" s="193"/>
      <c r="DB233" s="193"/>
      <c r="DC233" s="193"/>
      <c r="DD233" s="193"/>
      <c r="DE233" s="193"/>
      <c r="DF233" s="193"/>
      <c r="DG233" s="193"/>
      <c r="DH233" s="193"/>
      <c r="DI233" s="193"/>
      <c r="DJ233" s="193"/>
      <c r="DK233" s="193"/>
      <c r="DL233" s="193"/>
      <c r="DM233" s="193"/>
      <c r="DN233" s="193"/>
      <c r="DO233" s="193"/>
      <c r="DP233" s="193"/>
      <c r="DQ233" s="193"/>
      <c r="DR233" s="193"/>
      <c r="DS233" s="193"/>
      <c r="DT233" s="193"/>
      <c r="DU233" s="196"/>
      <c r="DV233" s="196"/>
      <c r="DW233" s="196"/>
      <c r="DX233" s="665"/>
      <c r="DY233" s="1191"/>
      <c r="DZ233" s="197"/>
      <c r="EB233" s="665"/>
      <c r="EC233" s="665"/>
      <c r="ED233" s="1204"/>
      <c r="EE233" s="75">
        <f t="shared" ref="EE233:ER233" si="1144">+EE232/DZ232-1</f>
        <v>0</v>
      </c>
      <c r="EF233" s="75">
        <f t="shared" si="1144"/>
        <v>0</v>
      </c>
      <c r="EG233" s="75">
        <f t="shared" si="1144"/>
        <v>0</v>
      </c>
      <c r="EH233" s="75">
        <f t="shared" si="1144"/>
        <v>0</v>
      </c>
      <c r="EI233" s="84">
        <f t="shared" si="1144"/>
        <v>0</v>
      </c>
      <c r="EJ233" s="75">
        <f t="shared" si="1144"/>
        <v>0</v>
      </c>
      <c r="EK233" s="75">
        <f t="shared" si="1144"/>
        <v>0</v>
      </c>
      <c r="EL233" s="75">
        <f t="shared" si="1144"/>
        <v>0</v>
      </c>
      <c r="EM233" s="75">
        <f t="shared" si="1144"/>
        <v>0</v>
      </c>
      <c r="EN233" s="84">
        <f>+EN232/EI232-1</f>
        <v>0</v>
      </c>
      <c r="EO233" s="75">
        <f t="shared" si="1144"/>
        <v>0</v>
      </c>
      <c r="EP233" s="75">
        <f t="shared" si="1144"/>
        <v>0</v>
      </c>
      <c r="EQ233" s="75">
        <f t="shared" si="1144"/>
        <v>0</v>
      </c>
      <c r="ER233" s="75">
        <f t="shared" si="1144"/>
        <v>0</v>
      </c>
      <c r="ES233" s="84">
        <f>+ES232/EN232-1</f>
        <v>0</v>
      </c>
      <c r="ET233" s="87">
        <v>0</v>
      </c>
      <c r="EU233" s="87">
        <v>0</v>
      </c>
      <c r="EV233" s="87">
        <v>0</v>
      </c>
      <c r="EW233" s="87">
        <v>0</v>
      </c>
      <c r="EX233" s="84">
        <f>+EX232/ES232-1</f>
        <v>0</v>
      </c>
      <c r="EY233" s="87">
        <f t="shared" ref="EY233:FB233" si="1145">ET233</f>
        <v>0</v>
      </c>
      <c r="EZ233" s="87">
        <f t="shared" si="1145"/>
        <v>0</v>
      </c>
      <c r="FA233" s="87">
        <f t="shared" si="1145"/>
        <v>0</v>
      </c>
      <c r="FB233" s="87">
        <f t="shared" si="1145"/>
        <v>0</v>
      </c>
      <c r="FC233" s="84">
        <f>+FC232/EX232-1</f>
        <v>0</v>
      </c>
      <c r="FD233" s="87">
        <f t="shared" ref="FD233:FG233" si="1146">EY233</f>
        <v>0</v>
      </c>
      <c r="FE233" s="87">
        <f t="shared" si="1146"/>
        <v>0</v>
      </c>
      <c r="FF233" s="87">
        <f t="shared" si="1146"/>
        <v>0</v>
      </c>
      <c r="FG233" s="87">
        <f t="shared" si="1146"/>
        <v>0</v>
      </c>
      <c r="FH233" s="84">
        <f>+FH232/FC232-1</f>
        <v>0</v>
      </c>
      <c r="FI233" s="87">
        <f t="shared" ref="FI233:FM233" si="1147">FH233</f>
        <v>0</v>
      </c>
      <c r="FJ233" s="87">
        <f t="shared" si="1147"/>
        <v>0</v>
      </c>
      <c r="FK233" s="87">
        <f t="shared" si="1147"/>
        <v>0</v>
      </c>
      <c r="FL233" s="87">
        <f t="shared" si="1147"/>
        <v>0</v>
      </c>
      <c r="FM233" s="87">
        <f t="shared" si="1147"/>
        <v>0</v>
      </c>
      <c r="FN233" s="193"/>
      <c r="FO233" s="193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</row>
    <row r="234" spans="1:181" ht="12.75" customHeight="1" x14ac:dyDescent="0.3">
      <c r="A234" s="192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  <c r="AW234" s="193"/>
      <c r="AX234" s="193"/>
      <c r="AY234" s="193"/>
      <c r="AZ234" s="193"/>
      <c r="BA234" s="193"/>
      <c r="BB234" s="193"/>
      <c r="BC234" s="193"/>
      <c r="BD234" s="193"/>
      <c r="BE234" s="193"/>
      <c r="BF234" s="193"/>
      <c r="BG234" s="193"/>
      <c r="BH234" s="193"/>
      <c r="BI234" s="193"/>
      <c r="BJ234" s="193"/>
      <c r="BK234" s="193"/>
      <c r="BL234" s="192"/>
      <c r="BM234" s="192"/>
      <c r="BN234" s="192"/>
      <c r="BO234" s="192"/>
      <c r="BP234" s="192"/>
      <c r="BQ234" s="192"/>
      <c r="BR234" s="193"/>
      <c r="BS234" s="193"/>
      <c r="BT234" s="193"/>
      <c r="BU234" s="193"/>
      <c r="BV234" s="192"/>
      <c r="BW234" s="193"/>
      <c r="BX234" s="193"/>
      <c r="BY234" s="193"/>
      <c r="BZ234" s="193"/>
      <c r="CA234" s="192"/>
      <c r="CB234" s="193"/>
      <c r="CC234" s="193"/>
      <c r="CD234" s="193"/>
      <c r="CE234" s="193"/>
      <c r="CF234" s="192"/>
      <c r="CG234" s="193"/>
      <c r="CH234" s="193"/>
      <c r="CI234" s="193"/>
      <c r="CJ234" s="193"/>
      <c r="CK234" s="192"/>
      <c r="CL234" s="193"/>
      <c r="CM234" s="193"/>
      <c r="CN234" s="193"/>
      <c r="CO234" s="193"/>
      <c r="CP234" s="192"/>
      <c r="CQ234" s="193"/>
      <c r="CR234" s="193"/>
      <c r="CS234" s="193"/>
      <c r="CT234" s="193"/>
      <c r="CU234" s="193"/>
      <c r="CV234" s="193"/>
      <c r="CW234" s="193"/>
      <c r="CX234" s="193"/>
      <c r="CY234" s="193"/>
      <c r="CZ234" s="193"/>
      <c r="DA234" s="193"/>
      <c r="DB234" s="193"/>
      <c r="DC234" s="193"/>
      <c r="DD234" s="193"/>
      <c r="DE234" s="193"/>
      <c r="DF234" s="193"/>
      <c r="DG234" s="193"/>
      <c r="DH234" s="193"/>
      <c r="DI234" s="193"/>
      <c r="DJ234" s="193"/>
      <c r="DK234" s="193"/>
      <c r="DL234" s="193"/>
      <c r="DM234" s="193"/>
      <c r="DN234" s="193"/>
      <c r="DO234" s="193"/>
      <c r="DP234" s="193"/>
      <c r="DQ234" s="193"/>
      <c r="DR234" s="193"/>
      <c r="DS234" s="193"/>
      <c r="DT234" s="193"/>
      <c r="DU234" s="196"/>
      <c r="DV234" s="196"/>
      <c r="DW234" s="196"/>
      <c r="DX234" s="665"/>
      <c r="DY234" s="1191"/>
      <c r="DZ234" s="197"/>
      <c r="EB234" s="665"/>
      <c r="EC234" s="665"/>
      <c r="ED234" s="1204"/>
      <c r="EE234" s="197"/>
      <c r="EF234" s="197"/>
      <c r="EG234" s="197"/>
      <c r="EH234" s="197"/>
      <c r="EI234" s="1191"/>
      <c r="EJ234" s="197"/>
      <c r="EK234" s="197"/>
      <c r="EL234" s="197"/>
      <c r="EM234" s="197"/>
      <c r="EN234" s="1192"/>
      <c r="EO234" s="197"/>
      <c r="EP234" s="197"/>
      <c r="EQ234" s="197"/>
      <c r="ER234" s="197"/>
      <c r="ES234" s="198"/>
      <c r="ET234" s="197"/>
      <c r="EU234" s="197"/>
      <c r="EV234" s="197"/>
      <c r="EW234" s="197"/>
      <c r="EX234" s="198"/>
      <c r="EY234" s="197"/>
      <c r="EZ234" s="197"/>
      <c r="FA234" s="197"/>
      <c r="FB234" s="197"/>
      <c r="FC234" s="198"/>
      <c r="FD234" s="197"/>
      <c r="FE234" s="197"/>
      <c r="FF234" s="197"/>
      <c r="FG234" s="197"/>
      <c r="FH234" s="198"/>
      <c r="FI234" s="198"/>
      <c r="FJ234" s="198"/>
      <c r="FK234" s="198"/>
      <c r="FL234" s="198"/>
      <c r="FM234" s="198"/>
      <c r="FN234" s="193"/>
      <c r="FO234" s="193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</row>
    <row r="235" spans="1:181" x14ac:dyDescent="0.3">
      <c r="A235" s="60" t="s">
        <v>393</v>
      </c>
      <c r="DU235" s="76"/>
      <c r="DV235" s="76"/>
      <c r="DW235" s="76"/>
      <c r="DX235" s="76"/>
      <c r="DY235" s="85"/>
      <c r="DZ235" s="85">
        <f>DZ243-DZ217</f>
        <v>318.75757575757575</v>
      </c>
      <c r="EA235" s="85">
        <f>EA243-EA217</f>
        <v>298.40929401251117</v>
      </c>
      <c r="EB235" s="85">
        <f>EB243-EB217</f>
        <v>313.45210727969351</v>
      </c>
      <c r="EC235" s="85">
        <f>EC243-EC217</f>
        <v>316.22061855670103</v>
      </c>
      <c r="ED235" s="85">
        <f>+SUM(DZ235:EC235)</f>
        <v>1246.8395956064815</v>
      </c>
      <c r="EE235" s="85">
        <f>EE243-EE217</f>
        <v>314.29470198675494</v>
      </c>
      <c r="EF235" s="85">
        <f>EF243-EF217</f>
        <v>311.82978723404256</v>
      </c>
      <c r="EG235" s="85">
        <f>EG243-EG217</f>
        <v>324.98113207547169</v>
      </c>
      <c r="EH235" s="85">
        <f>EH243-EH217</f>
        <v>322.56763925729445</v>
      </c>
      <c r="EI235" s="85">
        <f>+SUM(EE235:EH235)</f>
        <v>1273.6732605535635</v>
      </c>
      <c r="EJ235" s="85">
        <f>EJ243-EJ217</f>
        <v>319.05146036161335</v>
      </c>
      <c r="EK235" s="85">
        <f>EK243-EK217</f>
        <v>318.37390029325513</v>
      </c>
      <c r="EL235" s="85">
        <f>EL243-EL217</f>
        <v>345.1201248049922</v>
      </c>
      <c r="EM235" s="85">
        <f>EM243-EM217</f>
        <v>328.43708609271522</v>
      </c>
      <c r="EN235" s="85">
        <f>+SUM(EJ235:EM235)</f>
        <v>1310.9825715525758</v>
      </c>
      <c r="EO235" s="85">
        <f>EO243-EO217</f>
        <v>339.93333333333334</v>
      </c>
      <c r="EP235" s="85">
        <f>EP243-EP217</f>
        <v>359.62146892655369</v>
      </c>
      <c r="EQ235" s="85">
        <f>EQ243-EQ217</f>
        <v>373.0896130346232</v>
      </c>
      <c r="ER235" s="85">
        <f>ER243-ER217</f>
        <v>350.32751091703057</v>
      </c>
      <c r="ES235" s="85">
        <f>+SUM(EO235:ER235)</f>
        <v>1422.9719262115409</v>
      </c>
      <c r="ET235" s="85">
        <f t="shared" ref="ET235:EW235" si="1148">ET222+ET230</f>
        <v>370.25682361603594</v>
      </c>
      <c r="EU235" s="85">
        <f t="shared" si="1148"/>
        <v>388.84245001134536</v>
      </c>
      <c r="EV235" s="85">
        <f t="shared" si="1148"/>
        <v>405.70104033591696</v>
      </c>
      <c r="EW235" s="85">
        <f t="shared" si="1148"/>
        <v>383.85621699641467</v>
      </c>
      <c r="EX235" s="85">
        <f>+SUM(ET235:EW235)</f>
        <v>1548.6565309597131</v>
      </c>
      <c r="EY235" s="85">
        <f t="shared" ref="EY235:FB235" si="1149">EY222+EY230</f>
        <v>408.18159314488196</v>
      </c>
      <c r="EZ235" s="85">
        <f t="shared" si="1149"/>
        <v>426.57533808986148</v>
      </c>
      <c r="FA235" s="85">
        <f t="shared" si="1149"/>
        <v>446.45224531348856</v>
      </c>
      <c r="FB235" s="85">
        <f t="shared" si="1149"/>
        <v>424.61416283938951</v>
      </c>
      <c r="FC235" s="85">
        <f>+SUM(EY235:FB235)</f>
        <v>1705.8233393876214</v>
      </c>
      <c r="FD235" s="85">
        <f t="shared" ref="FD235:FM235" si="1150">FD222+FD230</f>
        <v>469.24412046707323</v>
      </c>
      <c r="FE235" s="85">
        <f t="shared" si="1150"/>
        <v>488.0183512167639</v>
      </c>
      <c r="FF235" s="85">
        <f t="shared" si="1150"/>
        <v>507.06649791883649</v>
      </c>
      <c r="FG235" s="85">
        <f t="shared" si="1150"/>
        <v>474.0711908572884</v>
      </c>
      <c r="FH235" s="85">
        <f>+SUM(FD235:FG235)</f>
        <v>1938.4001604599621</v>
      </c>
      <c r="FI235" s="85">
        <f t="shared" si="1150"/>
        <v>2069.608354257864</v>
      </c>
      <c r="FJ235" s="85">
        <f t="shared" si="1150"/>
        <v>2198.3541579095136</v>
      </c>
      <c r="FK235" s="85">
        <f t="shared" si="1150"/>
        <v>2314.6617469406592</v>
      </c>
      <c r="FL235" s="85">
        <f t="shared" si="1150"/>
        <v>2419.6005288557371</v>
      </c>
      <c r="FM235" s="85">
        <f t="shared" si="1150"/>
        <v>2514.6449752428316</v>
      </c>
    </row>
    <row r="236" spans="1:181" x14ac:dyDescent="0.3">
      <c r="A236" s="70" t="s">
        <v>363</v>
      </c>
      <c r="DZ236" s="75"/>
      <c r="EA236" s="75"/>
      <c r="EB236" s="75"/>
      <c r="EC236" s="75"/>
      <c r="ED236" s="84"/>
      <c r="EE236" s="75">
        <f t="shared" ref="EE236:EX236" si="1151">+EE235/DZ235-1</f>
        <v>-1.4000839855222602E-2</v>
      </c>
      <c r="EF236" s="75">
        <f t="shared" si="1151"/>
        <v>4.4973442485905624E-2</v>
      </c>
      <c r="EG236" s="75">
        <f t="shared" si="1151"/>
        <v>3.6780817636969498E-2</v>
      </c>
      <c r="EH236" s="75">
        <f t="shared" si="1151"/>
        <v>2.0071495431140951E-2</v>
      </c>
      <c r="EI236" s="91">
        <f t="shared" si="1151"/>
        <v>2.152134487999624E-2</v>
      </c>
      <c r="EJ236" s="75">
        <f t="shared" si="1151"/>
        <v>1.5134707472920894E-2</v>
      </c>
      <c r="EK236" s="75">
        <f t="shared" si="1151"/>
        <v>2.0986170427332862E-2</v>
      </c>
      <c r="EL236" s="75">
        <f t="shared" si="1151"/>
        <v>6.1969729137516749E-2</v>
      </c>
      <c r="EM236" s="75">
        <f t="shared" si="1151"/>
        <v>1.8196018822393523E-2</v>
      </c>
      <c r="EN236" s="91">
        <f t="shared" si="1151"/>
        <v>2.929268608716562E-2</v>
      </c>
      <c r="EO236" s="75">
        <f t="shared" si="1151"/>
        <v>6.5449858615448608E-2</v>
      </c>
      <c r="EP236" s="75">
        <f t="shared" si="1151"/>
        <v>0.12955700387282154</v>
      </c>
      <c r="EQ236" s="75">
        <f t="shared" si="1151"/>
        <v>8.1042762271353874E-2</v>
      </c>
      <c r="ER236" s="75">
        <f t="shared" si="1151"/>
        <v>6.6650283269581445E-2</v>
      </c>
      <c r="ES236" s="91">
        <f t="shared" si="1151"/>
        <v>8.5423984337440917E-2</v>
      </c>
      <c r="ET236" s="75">
        <f t="shared" si="1151"/>
        <v>8.9204227150527338E-2</v>
      </c>
      <c r="EU236" s="75">
        <f t="shared" si="1151"/>
        <v>8.1254829340457357E-2</v>
      </c>
      <c r="EV236" s="75">
        <f t="shared" si="1151"/>
        <v>8.740910001766089E-2</v>
      </c>
      <c r="EW236" s="75">
        <f t="shared" si="1151"/>
        <v>9.5706745929310832E-2</v>
      </c>
      <c r="EX236" s="91">
        <f t="shared" si="1151"/>
        <v>8.8325428234406145E-2</v>
      </c>
      <c r="EY236" s="75">
        <f t="shared" ref="EY236" si="1152">+EY235/ET235-1</f>
        <v>0.10242827980443869</v>
      </c>
      <c r="EZ236" s="75">
        <f t="shared" ref="EZ236" si="1153">+EZ235/EU235-1</f>
        <v>9.7039014329364459E-2</v>
      </c>
      <c r="FA236" s="75">
        <f t="shared" ref="FA236" si="1154">+FA235/EV235-1</f>
        <v>0.10044639013947299</v>
      </c>
      <c r="FB236" s="75">
        <f t="shared" ref="FB236:FC236" si="1155">+FB235/EW235-1</f>
        <v>0.10618024155475769</v>
      </c>
      <c r="FC236" s="91">
        <f t="shared" si="1155"/>
        <v>0.10148590425696979</v>
      </c>
      <c r="FD236" s="75">
        <f t="shared" ref="FD236" si="1156">+FD235/EY235-1</f>
        <v>0.14959647457820924</v>
      </c>
      <c r="FE236" s="75">
        <f t="shared" ref="FE236" si="1157">+FE235/EZ235-1</f>
        <v>0.14403789352200902</v>
      </c>
      <c r="FF236" s="75">
        <f t="shared" ref="FF236" si="1158">+FF235/FA235-1</f>
        <v>0.13576872608801871</v>
      </c>
      <c r="FG236" s="75">
        <f t="shared" ref="FG236:FH236" si="1159">+FG235/FB235-1</f>
        <v>0.11647521996718235</v>
      </c>
      <c r="FH236" s="91">
        <f t="shared" si="1159"/>
        <v>0.13634285315608019</v>
      </c>
      <c r="FI236" s="1152">
        <f t="shared" ref="FI236:FM236" si="1160">FI235/FH235-1</f>
        <v>6.7688909892974714E-2</v>
      </c>
      <c r="FJ236" s="1152">
        <f t="shared" si="1160"/>
        <v>6.2207810181466039E-2</v>
      </c>
      <c r="FK236" s="1152">
        <f t="shared" si="1160"/>
        <v>5.2906665931274022E-2</v>
      </c>
      <c r="FL236" s="1152">
        <f t="shared" si="1160"/>
        <v>4.5336551681375514E-2</v>
      </c>
      <c r="FM236" s="1152">
        <f t="shared" si="1160"/>
        <v>3.9281048773800009E-2</v>
      </c>
    </row>
    <row r="237" spans="1:181" x14ac:dyDescent="0.3">
      <c r="A237" s="61" t="s">
        <v>389</v>
      </c>
      <c r="DU237" s="111"/>
      <c r="DV237" s="111"/>
      <c r="DW237" s="111"/>
      <c r="DX237" s="111"/>
      <c r="DY237" s="112"/>
      <c r="DZ237" s="111">
        <f>DZ235/DZ90*1000/3</f>
        <v>32.875162516251628</v>
      </c>
      <c r="EA237" s="111">
        <f>EA235/EA90*1000/3</f>
        <v>30.700544651492919</v>
      </c>
      <c r="EB237" s="111">
        <f>EB235/EB90*1000/3</f>
        <v>32.158829104308353</v>
      </c>
      <c r="EC237" s="111">
        <f>EC235/EC90*1000/3</f>
        <v>31.854600438873884</v>
      </c>
      <c r="ED237" s="112">
        <f>ED235/ED90*1000/12</f>
        <v>31.400211433627515</v>
      </c>
      <c r="EE237" s="111">
        <f>EE235/EE90*1000/3</f>
        <v>30.69583963148305</v>
      </c>
      <c r="EF237" s="111">
        <f>EF235/EF90*1000/3</f>
        <v>29.115759779088943</v>
      </c>
      <c r="EG237" s="111">
        <f>EG235/EG90*1000/3</f>
        <v>28.848746744382751</v>
      </c>
      <c r="EH237" s="111">
        <f>EH235/EH90*1000/3</f>
        <v>27.241587641018029</v>
      </c>
      <c r="EI237" s="112">
        <f>EI235/EI90*1000/12</f>
        <v>26.891167565103526</v>
      </c>
      <c r="EJ237" s="111">
        <f>EJ235/EJ90*1000/3</f>
        <v>25.577317649640321</v>
      </c>
      <c r="EK237" s="111">
        <f>EK235/EK90*1000/3</f>
        <v>23.907329000019157</v>
      </c>
      <c r="EL237" s="111">
        <f>EL235/EL90*1000/3</f>
        <v>24.016710146485192</v>
      </c>
      <c r="EM237" s="111">
        <f>EM235/EM90*1000/3</f>
        <v>21.171732488410704</v>
      </c>
      <c r="EN237" s="112">
        <f>EN235/EN90*1000/12</f>
        <v>21.127160632253204</v>
      </c>
      <c r="EO237" s="111">
        <f>EO235/EO90*1000/3</f>
        <v>20.564629965718897</v>
      </c>
      <c r="EP237" s="111">
        <f>EP235/EP90*1000/3</f>
        <v>20.57566477437657</v>
      </c>
      <c r="EQ237" s="111">
        <f>EQ235/EQ90*1000/3</f>
        <v>20.195388818589542</v>
      </c>
      <c r="ER237" s="111">
        <f>ER235/ER90*1000/3</f>
        <v>17.99042319709498</v>
      </c>
      <c r="ES237" s="112">
        <f t="shared" ref="ES237:FM237" si="1161">ES235/ES90*1000/12</f>
        <v>18.268524703583694</v>
      </c>
      <c r="ET237" s="111">
        <f t="shared" ref="ET237:EW237" si="1162">ET235/ET90*1000/3</f>
        <v>18.070123163300924</v>
      </c>
      <c r="EU237" s="111">
        <f t="shared" si="1162"/>
        <v>18.138000280406072</v>
      </c>
      <c r="EV237" s="111">
        <f t="shared" si="1162"/>
        <v>18.084204347682846</v>
      </c>
      <c r="EW237" s="111">
        <f t="shared" si="1162"/>
        <v>16.381010412512897</v>
      </c>
      <c r="EX237" s="112">
        <f t="shared" ref="EX237" si="1163">EX235/EX90*1000/12</f>
        <v>16.522175254552483</v>
      </c>
      <c r="EY237" s="111">
        <f t="shared" ref="EY237:FB237" si="1164">EY235/EY90*1000/3</f>
        <v>16.694543686907238</v>
      </c>
      <c r="EZ237" s="111">
        <f t="shared" si="1164"/>
        <v>16.795627139533092</v>
      </c>
      <c r="FA237" s="111">
        <f t="shared" si="1164"/>
        <v>16.914914196919323</v>
      </c>
      <c r="FB237" s="111">
        <f t="shared" si="1164"/>
        <v>15.500827322286334</v>
      </c>
      <c r="FC237" s="112">
        <f t="shared" ref="FC237" si="1165">FC235/FC90*1000/12</f>
        <v>15.568058805056232</v>
      </c>
      <c r="FD237" s="111">
        <f t="shared" ref="FD237:FG237" si="1166">FD235/FD90*1000/3</f>
        <v>16.516864500776954</v>
      </c>
      <c r="FE237" s="111">
        <f t="shared" si="1166"/>
        <v>16.623010805121737</v>
      </c>
      <c r="FF237" s="111">
        <f t="shared" si="1166"/>
        <v>16.902216597294551</v>
      </c>
      <c r="FG237" s="111">
        <f t="shared" si="1166"/>
        <v>15.802373028576278</v>
      </c>
      <c r="FH237" s="112">
        <f t="shared" ref="FH237" si="1167">FH235/FH90*1000/12</f>
        <v>16.153334670499685</v>
      </c>
      <c r="FI237" s="112">
        <f t="shared" si="1161"/>
        <v>17.075976520279404</v>
      </c>
      <c r="FJ237" s="112">
        <f t="shared" si="1161"/>
        <v>17.958649134966453</v>
      </c>
      <c r="FK237" s="112">
        <f t="shared" si="1161"/>
        <v>18.721565728046617</v>
      </c>
      <c r="FL237" s="112">
        <f t="shared" si="1161"/>
        <v>19.376571247754921</v>
      </c>
      <c r="FM237" s="112">
        <f t="shared" si="1161"/>
        <v>19.938320087135637</v>
      </c>
    </row>
    <row r="238" spans="1:181" x14ac:dyDescent="0.3">
      <c r="A238" s="70" t="s">
        <v>387</v>
      </c>
      <c r="DZ238" s="75"/>
      <c r="EA238" s="75"/>
      <c r="EB238" s="75"/>
      <c r="EC238" s="75"/>
      <c r="ED238" s="84"/>
      <c r="EE238" s="75">
        <f t="shared" ref="EE238:EX238" si="1168">+EE237/DZ237-1</f>
        <v>-6.6290862704974973E-2</v>
      </c>
      <c r="EF238" s="75">
        <f t="shared" si="1168"/>
        <v>-5.1620741273295634E-2</v>
      </c>
      <c r="EG238" s="75">
        <f t="shared" si="1168"/>
        <v>-0.10292919400731992</v>
      </c>
      <c r="EH238" s="75">
        <f t="shared" si="1168"/>
        <v>-0.14481464951060408</v>
      </c>
      <c r="EI238" s="84">
        <f t="shared" si="1168"/>
        <v>-0.14359915626858188</v>
      </c>
      <c r="EJ238" s="75">
        <f t="shared" si="1168"/>
        <v>-0.16674969778617621</v>
      </c>
      <c r="EK238" s="75">
        <f t="shared" si="1168"/>
        <v>-0.17888699517333229</v>
      </c>
      <c r="EL238" s="75">
        <f t="shared" si="1168"/>
        <v>-0.16749554636505737</v>
      </c>
      <c r="EM238" s="75">
        <f t="shared" si="1168"/>
        <v>-0.22281576362560684</v>
      </c>
      <c r="EN238" s="84">
        <f t="shared" si="1168"/>
        <v>-0.21434572964880227</v>
      </c>
      <c r="EO238" s="75">
        <f t="shared" si="1168"/>
        <v>-0.19598175823538377</v>
      </c>
      <c r="EP238" s="75">
        <f t="shared" si="1168"/>
        <v>-0.13935744246627957</v>
      </c>
      <c r="EQ238" s="75">
        <f t="shared" si="1168"/>
        <v>-0.15911094003251292</v>
      </c>
      <c r="ER238" s="75">
        <f t="shared" si="1168"/>
        <v>-0.15026211449899796</v>
      </c>
      <c r="ES238" s="84">
        <f t="shared" si="1168"/>
        <v>-0.13530620505177837</v>
      </c>
      <c r="ET238" s="75">
        <f t="shared" si="1168"/>
        <v>-0.12130083578339601</v>
      </c>
      <c r="EU238" s="75">
        <f t="shared" si="1168"/>
        <v>-0.11847318279631902</v>
      </c>
      <c r="EV238" s="75">
        <f t="shared" si="1168"/>
        <v>-0.10453794625451251</v>
      </c>
      <c r="EW238" s="75">
        <f t="shared" si="1168"/>
        <v>-8.9459417766334925E-2</v>
      </c>
      <c r="EX238" s="84">
        <f t="shared" si="1168"/>
        <v>-9.5593348525216948E-2</v>
      </c>
      <c r="EY238" s="75">
        <f t="shared" ref="EY238" si="1169">+EY237/ET237-1</f>
        <v>-7.6124521341801699E-2</v>
      </c>
      <c r="EZ238" s="75">
        <f t="shared" ref="EZ238" si="1170">+EZ237/EU237-1</f>
        <v>-7.4008883014689553E-2</v>
      </c>
      <c r="FA238" s="75">
        <f t="shared" ref="FA238" si="1171">+FA237/EV237-1</f>
        <v>-6.4658092127417577E-2</v>
      </c>
      <c r="FB238" s="75">
        <f t="shared" ref="FB238:FC238" si="1172">+FB237/EW237-1</f>
        <v>-5.3731916900206622E-2</v>
      </c>
      <c r="FC238" s="84">
        <f t="shared" si="1172"/>
        <v>-5.7747629158778957E-2</v>
      </c>
      <c r="FD238" s="75">
        <f t="shared" ref="FD238" si="1173">+FD237/EY237-1</f>
        <v>-1.0642949544624525E-2</v>
      </c>
      <c r="FE238" s="75">
        <f t="shared" ref="FE238" si="1174">+FE237/EZ237-1</f>
        <v>-1.0277456922406669E-2</v>
      </c>
      <c r="FF238" s="75">
        <f t="shared" ref="FF238" si="1175">+FF237/FA237-1</f>
        <v>-7.5067478776125185E-4</v>
      </c>
      <c r="FG238" s="75">
        <f t="shared" ref="FG238:FH238" si="1176">+FG237/FB237-1</f>
        <v>1.9453523352034097E-2</v>
      </c>
      <c r="FH238" s="84">
        <f t="shared" si="1176"/>
        <v>3.7594659216816817E-2</v>
      </c>
      <c r="FI238" s="75">
        <f t="shared" ref="FI238:FM238" si="1177">FI237/FH237-1</f>
        <v>5.7117732567301349E-2</v>
      </c>
      <c r="FJ238" s="75">
        <f t="shared" si="1177"/>
        <v>5.1690901169768377E-2</v>
      </c>
      <c r="FK238" s="75">
        <f t="shared" si="1177"/>
        <v>4.2481847456706801E-2</v>
      </c>
      <c r="FL238" s="75">
        <f t="shared" si="1177"/>
        <v>3.4986684833045123E-2</v>
      </c>
      <c r="FM238" s="75">
        <f t="shared" si="1177"/>
        <v>2.8991137399801969E-2</v>
      </c>
    </row>
    <row r="239" spans="1:181" x14ac:dyDescent="0.3">
      <c r="A239" s="61" t="s">
        <v>391</v>
      </c>
      <c r="DU239" s="111"/>
      <c r="DV239" s="111"/>
      <c r="DW239" s="111"/>
      <c r="DX239" s="111"/>
      <c r="DY239" s="112"/>
      <c r="DZ239" s="111">
        <f>+DZ235/DZ183/3*1000</f>
        <v>81.228497259948426</v>
      </c>
      <c r="EA239" s="111">
        <f t="shared" ref="EA239:EC239" si="1178">+EA235/EA183/3*1000</f>
        <v>75.575676172272182</v>
      </c>
      <c r="EB239" s="111">
        <f t="shared" si="1178"/>
        <v>78.959866561920165</v>
      </c>
      <c r="EC239" s="111">
        <f t="shared" si="1178"/>
        <v>79.143127171471804</v>
      </c>
      <c r="ED239" s="112">
        <f>+ED235/ED183/12*1000</f>
        <v>78.724508010583577</v>
      </c>
      <c r="EE239" s="111">
        <f>+EE235/EE183/3*1000</f>
        <v>77.98198716904362</v>
      </c>
      <c r="EF239" s="111">
        <f t="shared" ref="EF239:EM239" si="1179">+EF235/EF183/3*1000</f>
        <v>76.62606886203281</v>
      </c>
      <c r="EG239" s="111">
        <f t="shared" si="1179"/>
        <v>78.640322341311958</v>
      </c>
      <c r="EH239" s="111">
        <f t="shared" si="1179"/>
        <v>76.01452557023552</v>
      </c>
      <c r="EI239" s="112">
        <f>+EI235/EI183/12*1000</f>
        <v>77.305465912445399</v>
      </c>
      <c r="EJ239" s="111">
        <f t="shared" si="1179"/>
        <v>72.618973565861694</v>
      </c>
      <c r="EK239" s="111">
        <f t="shared" si="1179"/>
        <v>69.864801468785416</v>
      </c>
      <c r="EL239" s="111">
        <f t="shared" si="1179"/>
        <v>72.856264472238166</v>
      </c>
      <c r="EM239" s="111">
        <f t="shared" si="1179"/>
        <v>66.330826233003165</v>
      </c>
      <c r="EN239" s="112">
        <f>+EN235/EN183/12*1000</f>
        <v>70.335456384600889</v>
      </c>
      <c r="EO239" s="111">
        <f t="shared" ref="EO239:ER239" si="1180">+EO235/EO183/3*1000</f>
        <v>65.384368788869651</v>
      </c>
      <c r="EP239" s="111">
        <f t="shared" si="1180"/>
        <v>66.210341328648383</v>
      </c>
      <c r="EQ239" s="111">
        <f t="shared" si="1180"/>
        <v>66.027716668369735</v>
      </c>
      <c r="ER239" s="111">
        <f t="shared" si="1180"/>
        <v>59.383218366890787</v>
      </c>
      <c r="ES239" s="112">
        <f>+ES235/ES183/12*1000</f>
        <v>64.154370560792188</v>
      </c>
      <c r="ET239" s="111">
        <f t="shared" ref="ET239:EW239" si="1181">+ET235/ET183/3*1000</f>
        <v>59.788964513466638</v>
      </c>
      <c r="EU239" s="111">
        <f t="shared" si="1181"/>
        <v>60.020632308720153</v>
      </c>
      <c r="EV239" s="111">
        <f t="shared" si="1181"/>
        <v>60.14160453964643</v>
      </c>
      <c r="EW239" s="111">
        <f t="shared" si="1181"/>
        <v>54.477767218354707</v>
      </c>
      <c r="EX239" s="112">
        <f>+EX235/EX183/12*1000</f>
        <v>58.521402774087747</v>
      </c>
      <c r="EY239" s="111">
        <f t="shared" ref="EY239:FB239" si="1182">+EY235/EY183/3*1000</f>
        <v>55.173571935251694</v>
      </c>
      <c r="EZ239" s="111">
        <f t="shared" si="1182"/>
        <v>55.1132886258574</v>
      </c>
      <c r="FA239" s="111">
        <f t="shared" si="1182"/>
        <v>55.428218974247883</v>
      </c>
      <c r="FB239" s="111">
        <f t="shared" si="1182"/>
        <v>50.523268359020932</v>
      </c>
      <c r="FC239" s="112">
        <f>+FC235/FC183/12*1000</f>
        <v>53.986809130435276</v>
      </c>
      <c r="FD239" s="111">
        <f t="shared" ref="FD239:FG239" si="1183">+FD235/FD183/3*1000</f>
        <v>53.312131188839039</v>
      </c>
      <c r="FE239" s="111">
        <f t="shared" si="1183"/>
        <v>53.189831748932107</v>
      </c>
      <c r="FF239" s="111">
        <f t="shared" si="1183"/>
        <v>53.319381619241305</v>
      </c>
      <c r="FG239" s="111">
        <f t="shared" si="1183"/>
        <v>48.017638716113446</v>
      </c>
      <c r="FH239" s="112">
        <f>+FH235/FH183/12*1000</f>
        <v>51.884793412115599</v>
      </c>
      <c r="FI239" s="112">
        <f t="shared" ref="FI239:FM239" si="1184">+FI235/FI183/12*1000</f>
        <v>48.304733657753701</v>
      </c>
      <c r="FJ239" s="112">
        <f t="shared" si="1184"/>
        <v>46.189550774870767</v>
      </c>
      <c r="FK239" s="112">
        <f t="shared" si="1184"/>
        <v>45.028118911531585</v>
      </c>
      <c r="FL239" s="112">
        <f t="shared" si="1184"/>
        <v>44.521773274870057</v>
      </c>
      <c r="FM239" s="112">
        <f t="shared" si="1184"/>
        <v>44.494456141314636</v>
      </c>
    </row>
    <row r="240" spans="1:181" x14ac:dyDescent="0.3">
      <c r="A240" s="70" t="s">
        <v>387</v>
      </c>
      <c r="DZ240" s="75"/>
      <c r="EA240" s="75"/>
      <c r="EB240" s="75"/>
      <c r="EC240" s="75"/>
      <c r="ED240" s="84"/>
      <c r="EE240" s="75">
        <f t="shared" ref="EE240:EX240" si="1185">+EE239/DZ239-1</f>
        <v>-3.9967624668905133E-2</v>
      </c>
      <c r="EF240" s="75">
        <f t="shared" si="1185"/>
        <v>1.3898554971129684E-2</v>
      </c>
      <c r="EG240" s="75">
        <f t="shared" si="1185"/>
        <v>-4.0469194607569703E-3</v>
      </c>
      <c r="EH240" s="75">
        <f t="shared" si="1185"/>
        <v>-3.9530932287497822E-2</v>
      </c>
      <c r="EI240" s="84">
        <f t="shared" si="1185"/>
        <v>-1.802541716675321E-2</v>
      </c>
      <c r="EJ240" s="75">
        <f t="shared" si="1185"/>
        <v>-6.8772466538411958E-2</v>
      </c>
      <c r="EK240" s="75">
        <f t="shared" si="1185"/>
        <v>-8.8237169068678512E-2</v>
      </c>
      <c r="EL240" s="75">
        <f t="shared" si="1185"/>
        <v>-7.3550790445263248E-2</v>
      </c>
      <c r="EM240" s="75">
        <f t="shared" si="1185"/>
        <v>-0.12739274848574644</v>
      </c>
      <c r="EN240" s="84">
        <f t="shared" si="1185"/>
        <v>-9.0161923811941103E-2</v>
      </c>
      <c r="EO240" s="75">
        <f t="shared" si="1185"/>
        <v>-9.9624167373153938E-2</v>
      </c>
      <c r="EP240" s="75">
        <f t="shared" si="1185"/>
        <v>-5.230760072752505E-2</v>
      </c>
      <c r="EQ240" s="75">
        <f t="shared" si="1185"/>
        <v>-9.3726295924359992E-2</v>
      </c>
      <c r="ER240" s="75">
        <f t="shared" si="1185"/>
        <v>-0.10474176579238159</v>
      </c>
      <c r="ES240" s="84">
        <f t="shared" si="1185"/>
        <v>-8.7880084121583657E-2</v>
      </c>
      <c r="ET240" s="75">
        <f t="shared" si="1185"/>
        <v>-8.5577094021828559E-2</v>
      </c>
      <c r="EU240" s="75">
        <f t="shared" si="1185"/>
        <v>-9.3485532557585849E-2</v>
      </c>
      <c r="EV240" s="75">
        <f t="shared" si="1185"/>
        <v>-8.9146080248190929E-2</v>
      </c>
      <c r="EW240" s="75">
        <f t="shared" si="1185"/>
        <v>-8.2606690634859925E-2</v>
      </c>
      <c r="EX240" s="84">
        <f t="shared" si="1185"/>
        <v>-8.7803336506383167E-2</v>
      </c>
      <c r="EY240" s="75">
        <f t="shared" ref="EY240" si="1186">+EY239/ET239-1</f>
        <v>-7.7194723403771093E-2</v>
      </c>
      <c r="EZ240" s="75">
        <f t="shared" ref="EZ240" si="1187">+EZ239/EU239-1</f>
        <v>-8.1760946096360643E-2</v>
      </c>
      <c r="FA240" s="75">
        <f t="shared" ref="FA240" si="1188">+FA239/EV239-1</f>
        <v>-7.8371463506454964E-2</v>
      </c>
      <c r="FB240" s="75">
        <f t="shared" ref="FB240:FC240" si="1189">+FB239/EW239-1</f>
        <v>-7.2589224214780645E-2</v>
      </c>
      <c r="FC240" s="84">
        <f t="shared" si="1189"/>
        <v>-7.7486072252189953E-2</v>
      </c>
      <c r="FD240" s="75">
        <f t="shared" ref="FD240" si="1190">+FD239/EY239-1</f>
        <v>-3.3737905325345374E-2</v>
      </c>
      <c r="FE240" s="75">
        <f t="shared" ref="FE240" si="1191">+FE239/EZ239-1</f>
        <v>-3.4900056318230122E-2</v>
      </c>
      <c r="FF240" s="75">
        <f t="shared" ref="FF240" si="1192">+FF239/FA239-1</f>
        <v>-3.8046276680590241E-2</v>
      </c>
      <c r="FG240" s="75">
        <f t="shared" ref="FG240:FH240" si="1193">+FG239/FB239-1</f>
        <v>-4.9593577856094972E-2</v>
      </c>
      <c r="FH240" s="84">
        <f t="shared" si="1193"/>
        <v>-3.8935728044994899E-2</v>
      </c>
      <c r="FI240" s="75">
        <f t="shared" ref="FI240:FM240" si="1194">+FI239/FH239-1</f>
        <v>-6.900017363326183E-2</v>
      </c>
      <c r="FJ240" s="75">
        <f t="shared" si="1194"/>
        <v>-4.3788314782342463E-2</v>
      </c>
      <c r="FK240" s="75">
        <f t="shared" si="1194"/>
        <v>-2.5144904937483226E-2</v>
      </c>
      <c r="FL240" s="75">
        <f t="shared" si="1194"/>
        <v>-1.124509859397782E-2</v>
      </c>
      <c r="FM240" s="75">
        <f t="shared" si="1194"/>
        <v>-6.1356795891231997E-4</v>
      </c>
    </row>
    <row r="241" spans="1:181" x14ac:dyDescent="0.3">
      <c r="A241" s="70" t="s">
        <v>394</v>
      </c>
      <c r="DU241" s="75"/>
      <c r="DV241" s="75"/>
      <c r="DW241" s="75"/>
      <c r="DX241" s="75"/>
      <c r="DY241" s="84"/>
      <c r="DZ241" s="75">
        <f t="shared" ref="DZ241:FM241" si="1195">DZ235/DZ206</f>
        <v>0.44027289469278419</v>
      </c>
      <c r="EA241" s="75">
        <f t="shared" si="1195"/>
        <v>0.4202947802993115</v>
      </c>
      <c r="EB241" s="75">
        <f t="shared" si="1195"/>
        <v>0.45493774641464951</v>
      </c>
      <c r="EC241" s="75">
        <f t="shared" si="1195"/>
        <v>0.45829075153145077</v>
      </c>
      <c r="ED241" s="84">
        <f t="shared" si="1195"/>
        <v>0.44324194653625365</v>
      </c>
      <c r="EE241" s="84">
        <f t="shared" si="1195"/>
        <v>0.46356150735509577</v>
      </c>
      <c r="EF241" s="75">
        <f t="shared" si="1195"/>
        <v>0.45857321652065081</v>
      </c>
      <c r="EG241" s="75">
        <f t="shared" si="1195"/>
        <v>0.47511861414542644</v>
      </c>
      <c r="EH241" s="75">
        <f t="shared" si="1195"/>
        <v>0.47787798408488064</v>
      </c>
      <c r="EI241" s="84">
        <f t="shared" si="1195"/>
        <v>0.46877926409774145</v>
      </c>
      <c r="EJ241" s="75">
        <f t="shared" si="1195"/>
        <v>0.47477895887144844</v>
      </c>
      <c r="EK241" s="75">
        <f t="shared" si="1195"/>
        <v>0.46477941648650384</v>
      </c>
      <c r="EL241" s="75">
        <f t="shared" si="1195"/>
        <v>0.49945025297393952</v>
      </c>
      <c r="EM241" s="75">
        <f t="shared" si="1195"/>
        <v>0.45552993910224027</v>
      </c>
      <c r="EN241" s="84">
        <f t="shared" si="1195"/>
        <v>0.47344982721292012</v>
      </c>
      <c r="EO241" s="75">
        <f t="shared" si="1195"/>
        <v>0.4663008687700046</v>
      </c>
      <c r="EP241" s="75">
        <f t="shared" si="1195"/>
        <v>0.48206631223398616</v>
      </c>
      <c r="EQ241" s="75">
        <f t="shared" si="1195"/>
        <v>0.49090738557187263</v>
      </c>
      <c r="ER241" s="75">
        <f t="shared" si="1195"/>
        <v>0.45974738965489576</v>
      </c>
      <c r="ES241" s="84">
        <f t="shared" si="1195"/>
        <v>0.47479877417802502</v>
      </c>
      <c r="ET241" s="75">
        <f t="shared" si="1195"/>
        <v>0.46869431435167175</v>
      </c>
      <c r="EU241" s="75">
        <f t="shared" si="1195"/>
        <v>0.47606165317838911</v>
      </c>
      <c r="EV241" s="75">
        <f t="shared" si="1195"/>
        <v>0.4861884138435123</v>
      </c>
      <c r="EW241" s="75">
        <f t="shared" si="1195"/>
        <v>0.45540833268066427</v>
      </c>
      <c r="EX241" s="84">
        <f t="shared" si="1195"/>
        <v>0.47156177326670135</v>
      </c>
      <c r="EY241" s="75">
        <f t="shared" ref="EY241:FC241" si="1196">EY235/EY206</f>
        <v>0.46724317111587599</v>
      </c>
      <c r="EZ241" s="75">
        <f t="shared" si="1196"/>
        <v>0.46872251690086836</v>
      </c>
      <c r="FA241" s="75">
        <f t="shared" si="1196"/>
        <v>0.47880029787600958</v>
      </c>
      <c r="FB241" s="75">
        <f t="shared" si="1196"/>
        <v>0.44857732663617728</v>
      </c>
      <c r="FC241" s="84">
        <f t="shared" si="1196"/>
        <v>0.46572896814050263</v>
      </c>
      <c r="FD241" s="75">
        <f t="shared" si="1195"/>
        <v>0.4784540659771927</v>
      </c>
      <c r="FE241" s="75">
        <f t="shared" si="1195"/>
        <v>0.47601288986056367</v>
      </c>
      <c r="FF241" s="75">
        <f t="shared" si="1195"/>
        <v>0.48232736594850134</v>
      </c>
      <c r="FG241" s="75">
        <f t="shared" si="1195"/>
        <v>0.44380346156829847</v>
      </c>
      <c r="FH241" s="84">
        <f t="shared" ref="FH241" si="1197">FH235/FH206</f>
        <v>0.46986240563921977</v>
      </c>
      <c r="FI241" s="75">
        <f t="shared" si="1195"/>
        <v>0.44914868724337714</v>
      </c>
      <c r="FJ241" s="75">
        <f t="shared" si="1195"/>
        <v>0.43356304430659615</v>
      </c>
      <c r="FK241" s="75">
        <f t="shared" si="1195"/>
        <v>0.4212565770572817</v>
      </c>
      <c r="FL241" s="75">
        <f t="shared" si="1195"/>
        <v>0.41160602401362095</v>
      </c>
      <c r="FM241" s="75">
        <f t="shared" si="1195"/>
        <v>0.40411456593642486</v>
      </c>
    </row>
    <row r="242" spans="1:181" x14ac:dyDescent="0.3">
      <c r="EO242"/>
      <c r="EP242"/>
      <c r="EQ242"/>
      <c r="ER242"/>
      <c r="ES242" s="90"/>
      <c r="EX242" s="90"/>
      <c r="FC242" s="90"/>
      <c r="FH242" s="90"/>
    </row>
    <row r="243" spans="1:181" x14ac:dyDescent="0.3">
      <c r="A243" s="60" t="s">
        <v>395</v>
      </c>
      <c r="DZ243" s="916">
        <f>DZ206-DZ251</f>
        <v>463</v>
      </c>
      <c r="EA243" s="916">
        <f>EA206-EA251</f>
        <v>430</v>
      </c>
      <c r="EB243" s="916">
        <f>EB206-EB251</f>
        <v>429</v>
      </c>
      <c r="EC243" s="916">
        <f>EC206-EC251</f>
        <v>415</v>
      </c>
      <c r="ED243" s="916">
        <f>SUM(DZ243:EC243)</f>
        <v>1737</v>
      </c>
      <c r="EE243" s="916">
        <f>EE206-EE251</f>
        <v>409</v>
      </c>
      <c r="EF243" s="916">
        <f>EF206-EF251</f>
        <v>404</v>
      </c>
      <c r="EG243" s="916">
        <f>EG206-EG251</f>
        <v>406</v>
      </c>
      <c r="EH243" s="916">
        <f>EH206-EH251</f>
        <v>402</v>
      </c>
      <c r="EI243" s="916">
        <f>SUM(EE243:EH243)</f>
        <v>1621</v>
      </c>
      <c r="EJ243" s="916">
        <f>EJ206-EJ251</f>
        <v>398</v>
      </c>
      <c r="EK243" s="916">
        <f>EK206-EK251</f>
        <v>393</v>
      </c>
      <c r="EL243" s="916">
        <f>EL206-EL251</f>
        <v>415</v>
      </c>
      <c r="EM243" s="916">
        <f>EM206-EM251</f>
        <v>395</v>
      </c>
      <c r="EN243" s="916">
        <f>SUM(EJ243:EM243)</f>
        <v>1601</v>
      </c>
      <c r="EO243" s="916">
        <f>EO206-EO251</f>
        <v>407</v>
      </c>
      <c r="EP243" s="916">
        <f>EP206-EP251</f>
        <v>423</v>
      </c>
      <c r="EQ243" s="916">
        <f>EQ206-EQ251</f>
        <v>432</v>
      </c>
      <c r="ER243" s="916">
        <f>ER206-ER251</f>
        <v>406</v>
      </c>
      <c r="ES243" s="916">
        <f>SUM(EO243:ER243)</f>
        <v>1668</v>
      </c>
      <c r="ET243" s="916">
        <f t="shared" ref="ET243:EW243" si="1198">ET217+ET235</f>
        <v>425.84848512234225</v>
      </c>
      <c r="EU243" s="916">
        <f t="shared" si="1198"/>
        <v>441.44095474458709</v>
      </c>
      <c r="EV243" s="916">
        <f t="shared" si="1198"/>
        <v>454.62929871418527</v>
      </c>
      <c r="EW243" s="916">
        <f t="shared" si="1198"/>
        <v>430.08715725063399</v>
      </c>
      <c r="EX243" s="916">
        <f>SUM(ET243:EW243)</f>
        <v>1752.0058958317486</v>
      </c>
      <c r="EY243" s="916">
        <f t="shared" ref="EY243:FB243" si="1199">EY217+EY235</f>
        <v>454.21994988049238</v>
      </c>
      <c r="EZ243" s="916">
        <f t="shared" si="1199"/>
        <v>470.18419167832633</v>
      </c>
      <c r="FA243" s="916">
        <f t="shared" si="1199"/>
        <v>487.04732381893916</v>
      </c>
      <c r="FB243" s="916">
        <f t="shared" si="1199"/>
        <v>462.96510797433274</v>
      </c>
      <c r="FC243" s="916">
        <f>SUM(EY243:FB243)</f>
        <v>1874.4165733520906</v>
      </c>
      <c r="FD243" s="916">
        <f t="shared" ref="FD243:FM243" si="1200">FD217+FD235</f>
        <v>507.33878007688816</v>
      </c>
      <c r="FE243" s="916">
        <f t="shared" si="1200"/>
        <v>524.14072931536134</v>
      </c>
      <c r="FF243" s="916">
        <f t="shared" si="1200"/>
        <v>540.71497661436786</v>
      </c>
      <c r="FG243" s="916">
        <f t="shared" si="1200"/>
        <v>505.85477101859567</v>
      </c>
      <c r="FH243" s="916">
        <f>SUM(FD243:FG243)</f>
        <v>2078.0492570252131</v>
      </c>
      <c r="FI243" s="916">
        <f t="shared" si="1200"/>
        <v>2184.3796770241665</v>
      </c>
      <c r="FJ243" s="916">
        <f t="shared" si="1200"/>
        <v>2290.8339213586332</v>
      </c>
      <c r="FK243" s="916">
        <f t="shared" si="1200"/>
        <v>2389.1239728038245</v>
      </c>
      <c r="FL243" s="916">
        <f t="shared" si="1200"/>
        <v>2479.513679138769</v>
      </c>
      <c r="FM243" s="916">
        <f t="shared" si="1200"/>
        <v>2562.8202557521304</v>
      </c>
      <c r="FP243" s="887"/>
    </row>
    <row r="244" spans="1:181" x14ac:dyDescent="0.3">
      <c r="A244" s="70" t="s">
        <v>363</v>
      </c>
      <c r="EE244" s="75">
        <f t="shared" ref="EE244:EX244" si="1201">+EE243/DZ243-1</f>
        <v>-0.11663066954643631</v>
      </c>
      <c r="EF244" s="75">
        <f t="shared" si="1201"/>
        <v>-6.0465116279069808E-2</v>
      </c>
      <c r="EG244" s="75">
        <f t="shared" si="1201"/>
        <v>-5.3613053613053574E-2</v>
      </c>
      <c r="EH244" s="75">
        <f t="shared" si="1201"/>
        <v>-3.1325301204819245E-2</v>
      </c>
      <c r="EI244" s="84">
        <f t="shared" si="1201"/>
        <v>-6.6781807714450192E-2</v>
      </c>
      <c r="EJ244" s="75">
        <f t="shared" si="1201"/>
        <v>-2.6894865525672329E-2</v>
      </c>
      <c r="EK244" s="75">
        <f t="shared" si="1201"/>
        <v>-2.7227722772277252E-2</v>
      </c>
      <c r="EL244" s="75">
        <f t="shared" si="1201"/>
        <v>2.2167487684729092E-2</v>
      </c>
      <c r="EM244" s="75">
        <f t="shared" si="1201"/>
        <v>-1.7412935323383061E-2</v>
      </c>
      <c r="EN244" s="84">
        <f t="shared" si="1201"/>
        <v>-1.2338062924120874E-2</v>
      </c>
      <c r="EO244" s="75">
        <f t="shared" si="1201"/>
        <v>2.2613065326633208E-2</v>
      </c>
      <c r="EP244" s="75">
        <f t="shared" si="1201"/>
        <v>7.6335877862595325E-2</v>
      </c>
      <c r="EQ244" s="75">
        <f t="shared" si="1201"/>
        <v>4.0963855421686679E-2</v>
      </c>
      <c r="ER244" s="75">
        <f t="shared" si="1201"/>
        <v>2.7848101265822711E-2</v>
      </c>
      <c r="ES244" s="84">
        <f t="shared" si="1201"/>
        <v>4.1848844472204938E-2</v>
      </c>
      <c r="ET244" s="75">
        <f t="shared" si="1201"/>
        <v>4.6310774256369092E-2</v>
      </c>
      <c r="EU244" s="75">
        <f t="shared" si="1201"/>
        <v>4.3595637694059386E-2</v>
      </c>
      <c r="EV244" s="75">
        <f t="shared" si="1201"/>
        <v>5.2382635912465947E-2</v>
      </c>
      <c r="EW244" s="75">
        <f t="shared" si="1201"/>
        <v>5.9327973523729094E-2</v>
      </c>
      <c r="EX244" s="84">
        <f t="shared" si="1201"/>
        <v>5.0363246901528047E-2</v>
      </c>
      <c r="EY244" s="75">
        <f t="shared" ref="EY244" si="1202">+EY243/ET243-1</f>
        <v>6.6623378383039888E-2</v>
      </c>
      <c r="EZ244" s="75">
        <f t="shared" ref="EZ244" si="1203">+EZ243/EU243-1</f>
        <v>6.5112302392445143E-2</v>
      </c>
      <c r="FA244" s="75">
        <f t="shared" ref="FA244" si="1204">+FA243/EV243-1</f>
        <v>7.1306502234767644E-2</v>
      </c>
      <c r="FB244" s="75">
        <f t="shared" ref="FB244:FC244" si="1205">+FB243/EW243-1</f>
        <v>7.6444855814513657E-2</v>
      </c>
      <c r="FC244" s="84">
        <f t="shared" si="1205"/>
        <v>6.9868873050925817E-2</v>
      </c>
      <c r="FD244" s="75">
        <f t="shared" ref="FD244" si="1206">+FD243/EY243-1</f>
        <v>0.11694517206998856</v>
      </c>
      <c r="FE244" s="75">
        <f t="shared" ref="FE244" si="1207">+FE243/EZ243-1</f>
        <v>0.11475617128776006</v>
      </c>
      <c r="FF244" s="75">
        <f t="shared" ref="FF244" si="1208">+FF243/FA243-1</f>
        <v>0.11018981148406803</v>
      </c>
      <c r="FG244" s="75">
        <f t="shared" ref="FG244:FH244" si="1209">+FG243/FB243-1</f>
        <v>9.2641242947925972E-2</v>
      </c>
      <c r="FH244" s="84">
        <f t="shared" si="1209"/>
        <v>0.10863790182401045</v>
      </c>
      <c r="FI244" s="75">
        <f t="shared" ref="FI244:FM244" si="1210">+FI243/FH243-1</f>
        <v>5.1168382866519924E-2</v>
      </c>
      <c r="FJ244" s="75">
        <f t="shared" si="1210"/>
        <v>4.8734313660842909E-2</v>
      </c>
      <c r="FK244" s="75">
        <f t="shared" si="1210"/>
        <v>4.2905795365077326E-2</v>
      </c>
      <c r="FL244" s="75">
        <f t="shared" si="1210"/>
        <v>3.783382836716731E-2</v>
      </c>
      <c r="FM244" s="75">
        <f t="shared" si="1210"/>
        <v>3.3597949998927623E-2</v>
      </c>
    </row>
    <row r="245" spans="1:181" x14ac:dyDescent="0.3">
      <c r="A245" s="61" t="s">
        <v>389</v>
      </c>
      <c r="DU245" s="111"/>
      <c r="DV245" s="111"/>
      <c r="DW245" s="111"/>
      <c r="DX245" s="111"/>
      <c r="DY245" s="112"/>
      <c r="DZ245" s="111">
        <f>DZ243/DZ106*1000/3</f>
        <v>47.818228763232632</v>
      </c>
      <c r="EA245" s="111">
        <f>EA243/EA106*1000/3</f>
        <v>44.293366295838489</v>
      </c>
      <c r="EB245" s="111">
        <f>EB243/EB106*1000/3</f>
        <v>44.074587763908148</v>
      </c>
      <c r="EC245" s="111">
        <f>EC243/EC106*1000/3</f>
        <v>42.187658839076953</v>
      </c>
      <c r="ED245" s="112">
        <f>ED243/ED106*1000/12</f>
        <v>44.583044583044575</v>
      </c>
      <c r="EE245" s="111">
        <f>EE243/EE106*1000/3</f>
        <v>40.563324407418428</v>
      </c>
      <c r="EF245" s="111">
        <f>EF243/EF106*1000/3</f>
        <v>38.569860136522031</v>
      </c>
      <c r="EG245" s="111">
        <f>EG243/EG106*1000/3</f>
        <v>36.951080773606371</v>
      </c>
      <c r="EH245" s="111">
        <f>EH243/EH106*1000/3</f>
        <v>34.796156842378601</v>
      </c>
      <c r="EI245" s="112">
        <f>EI243/EI106*1000/12</f>
        <v>37.611954151004689</v>
      </c>
      <c r="EJ245" s="111">
        <f>EJ243/EJ106*1000/3</f>
        <v>32.736993625334158</v>
      </c>
      <c r="EK245" s="111">
        <f>EK243/EK106*1000/3</f>
        <v>30.475747353728043</v>
      </c>
      <c r="EL245" s="111">
        <f>EL243/EL106*1000/3</f>
        <v>29.977967999422116</v>
      </c>
      <c r="EM245" s="111">
        <f>EM243/EM106*1000/3</f>
        <v>26.436435431516248</v>
      </c>
      <c r="EN245" s="112">
        <f>EN243/EN106*1000/12</f>
        <v>29.73736022883465</v>
      </c>
      <c r="EO245" s="111">
        <f>EO243/EO106*1000/3</f>
        <v>25.403364229316853</v>
      </c>
      <c r="EP245" s="111">
        <f>EP243/EP106*1000/3</f>
        <v>24.876499647141852</v>
      </c>
      <c r="EQ245" s="111">
        <f>EQ243/EQ106*1000/3</f>
        <v>24.032042723631509</v>
      </c>
      <c r="ER245" s="111">
        <f>ER243/ER106*1000/3</f>
        <v>21.398266002582549</v>
      </c>
      <c r="ES245" s="112">
        <f t="shared" ref="ES245:FM245" si="1211">ES243/ES106*1000/12</f>
        <v>23.837084673097536</v>
      </c>
      <c r="ET245" s="111">
        <f t="shared" ref="ET245:EW245" si="1212">ET243/ET106*1000/3</f>
        <v>21.312137983752084</v>
      </c>
      <c r="EU245" s="111">
        <f t="shared" si="1212"/>
        <v>21.057095723363247</v>
      </c>
      <c r="EV245" s="111">
        <f t="shared" si="1212"/>
        <v>20.72525978821049</v>
      </c>
      <c r="EW245" s="111">
        <f t="shared" si="1212"/>
        <v>18.753664170346173</v>
      </c>
      <c r="EX245" s="112">
        <f t="shared" ref="EX245" si="1213">EX243/EX106*1000/12</f>
        <v>20.416079890832005</v>
      </c>
      <c r="EY245" s="111">
        <f t="shared" ref="EY245:FB245" si="1214">EY243/EY106*1000/3</f>
        <v>18.972075679489269</v>
      </c>
      <c r="EZ245" s="111">
        <f t="shared" si="1214"/>
        <v>18.864716405004266</v>
      </c>
      <c r="FA245" s="111">
        <f t="shared" si="1214"/>
        <v>18.807820660292677</v>
      </c>
      <c r="FB245" s="111">
        <f t="shared" si="1214"/>
        <v>17.214758509466328</v>
      </c>
      <c r="FC245" s="112">
        <f t="shared" ref="FC245" si="1215">FC243/FC106*1000/12</f>
        <v>18.439000278905027</v>
      </c>
      <c r="FD245" s="111">
        <f t="shared" ref="FD245:FG245" si="1216">FD243/FD106*1000/3</f>
        <v>18.183208074006348</v>
      </c>
      <c r="FE245" s="111">
        <f t="shared" si="1216"/>
        <v>18.146403867724739</v>
      </c>
      <c r="FF245" s="111">
        <f t="shared" si="1216"/>
        <v>18.218773429507998</v>
      </c>
      <c r="FG245" s="111">
        <f t="shared" si="1216"/>
        <v>16.861825700619857</v>
      </c>
      <c r="FH245" s="112">
        <f t="shared" ref="FH245" si="1217">FH243/FH106*1000/12</f>
        <v>17.842769745503677</v>
      </c>
      <c r="FI245" s="111">
        <f t="shared" si="1211"/>
        <v>18.112600970349639</v>
      </c>
      <c r="FJ245" s="111">
        <f t="shared" si="1211"/>
        <v>18.807233809160739</v>
      </c>
      <c r="FK245" s="111">
        <f t="shared" si="1211"/>
        <v>19.419973400356195</v>
      </c>
      <c r="FL245" s="111">
        <f t="shared" si="1211"/>
        <v>19.955153802851704</v>
      </c>
      <c r="FM245" s="111">
        <f t="shared" si="1211"/>
        <v>20.421392141129534</v>
      </c>
    </row>
    <row r="246" spans="1:181" x14ac:dyDescent="0.3">
      <c r="A246" s="70" t="s">
        <v>387</v>
      </c>
      <c r="DZ246" s="75"/>
      <c r="EA246" s="75"/>
      <c r="EB246" s="75"/>
      <c r="EC246" s="75"/>
      <c r="ED246" s="84"/>
      <c r="EE246" s="75">
        <f t="shared" ref="EE246:EX246" si="1218">+EE245/DZ245-1</f>
        <v>-0.1517183832077128</v>
      </c>
      <c r="EF246" s="75">
        <f t="shared" si="1218"/>
        <v>-0.12921813440614927</v>
      </c>
      <c r="EG246" s="75">
        <f t="shared" si="1218"/>
        <v>-0.16162390510513369</v>
      </c>
      <c r="EH246" s="75">
        <f t="shared" si="1218"/>
        <v>-0.17520531359402813</v>
      </c>
      <c r="EI246" s="84">
        <f t="shared" si="1218"/>
        <v>-0.15636191958705015</v>
      </c>
      <c r="EJ246" s="75">
        <f t="shared" si="1218"/>
        <v>-0.19294105935392591</v>
      </c>
      <c r="EK246" s="75">
        <f t="shared" si="1218"/>
        <v>-0.20985590184003866</v>
      </c>
      <c r="EL246" s="75">
        <f t="shared" si="1218"/>
        <v>-0.18871201134568838</v>
      </c>
      <c r="EM246" s="75">
        <f t="shared" si="1218"/>
        <v>-0.24024841159127552</v>
      </c>
      <c r="EN246" s="84">
        <f t="shared" si="1218"/>
        <v>-0.20936412637735002</v>
      </c>
      <c r="EO246" s="75">
        <f t="shared" si="1218"/>
        <v>-0.22401658136201097</v>
      </c>
      <c r="EP246" s="75">
        <f t="shared" si="1218"/>
        <v>-0.18372798676916602</v>
      </c>
      <c r="EQ246" s="75">
        <f t="shared" si="1218"/>
        <v>-0.19834317242266808</v>
      </c>
      <c r="ER246" s="75">
        <f t="shared" si="1218"/>
        <v>-0.19057673043648826</v>
      </c>
      <c r="ES246" s="84">
        <f t="shared" si="1218"/>
        <v>-0.19841288905045273</v>
      </c>
      <c r="ET246" s="75">
        <f t="shared" si="1218"/>
        <v>-0.1610505682882456</v>
      </c>
      <c r="EU246" s="75">
        <f t="shared" si="1218"/>
        <v>-0.15353462014168173</v>
      </c>
      <c r="EV246" s="75">
        <f t="shared" si="1218"/>
        <v>-0.13759891214613018</v>
      </c>
      <c r="EW246" s="75">
        <f t="shared" si="1218"/>
        <v>-0.12358953907373615</v>
      </c>
      <c r="EX246" s="84">
        <f t="shared" si="1218"/>
        <v>-0.14351607292507818</v>
      </c>
      <c r="EY246" s="75">
        <f t="shared" ref="EY246" si="1219">+EY245/ET245-1</f>
        <v>-0.10979950984020603</v>
      </c>
      <c r="EZ246" s="75">
        <f t="shared" ref="EZ246" si="1220">+EZ245/EU245-1</f>
        <v>-0.10411594016388948</v>
      </c>
      <c r="FA246" s="75">
        <f t="shared" ref="FA246" si="1221">+FA245/EV245-1</f>
        <v>-9.2517012935516618E-2</v>
      </c>
      <c r="FB246" s="75">
        <f t="shared" ref="FB246:FC246" si="1222">+FB245/EW245-1</f>
        <v>-8.2058932425227438E-2</v>
      </c>
      <c r="FC246" s="84">
        <f t="shared" si="1222"/>
        <v>-9.6839335587376896E-2</v>
      </c>
      <c r="FD246" s="75">
        <f t="shared" ref="FD246" si="1223">+FD245/EY245-1</f>
        <v>-4.1580458501742412E-2</v>
      </c>
      <c r="FE246" s="75">
        <f t="shared" ref="FE246" si="1224">+FE245/EZ245-1</f>
        <v>-3.8077038735073621E-2</v>
      </c>
      <c r="FF246" s="75">
        <f t="shared" ref="FF246" si="1225">+FF245/FA245-1</f>
        <v>-3.1319270925859288E-2</v>
      </c>
      <c r="FG246" s="75">
        <f t="shared" ref="FG246:FH246" si="1226">+FG245/FB245-1</f>
        <v>-2.0501757759331607E-2</v>
      </c>
      <c r="FH246" s="84">
        <f t="shared" si="1226"/>
        <v>-3.2335296078034204E-2</v>
      </c>
      <c r="FI246" s="75">
        <f t="shared" ref="FI246:FM246" si="1227">FI245/FH245-1</f>
        <v>1.5122720782403176E-2</v>
      </c>
      <c r="FJ246" s="75">
        <f t="shared" si="1227"/>
        <v>3.835080560479498E-2</v>
      </c>
      <c r="FK246" s="75">
        <f t="shared" si="1227"/>
        <v>3.2579995410967788E-2</v>
      </c>
      <c r="FL246" s="75">
        <f t="shared" si="1227"/>
        <v>2.755824590808631E-2</v>
      </c>
      <c r="FM246" s="75">
        <f t="shared" si="1227"/>
        <v>2.3364306929631429E-2</v>
      </c>
    </row>
    <row r="247" spans="1:181" x14ac:dyDescent="0.3">
      <c r="A247" s="61" t="s">
        <v>391</v>
      </c>
      <c r="DU247" s="111"/>
      <c r="DV247" s="111"/>
      <c r="DW247" s="111"/>
      <c r="DX247" s="111"/>
      <c r="DY247" s="112"/>
      <c r="DZ247" s="111">
        <f>+DZ243/DZ$183/3*1000</f>
        <v>117.98556988637245</v>
      </c>
      <c r="EA247" s="111">
        <f t="shared" ref="EA247:EM247" si="1228">+EA243/EA$183/3*1000</f>
        <v>108.9025757780672</v>
      </c>
      <c r="EB247" s="111">
        <f t="shared" si="1228"/>
        <v>108.06685285684857</v>
      </c>
      <c r="EC247" s="111">
        <f t="shared" si="1228"/>
        <v>103.86545294253645</v>
      </c>
      <c r="ED247" s="112">
        <f>+ED243/ED$183/12*1000</f>
        <v>109.67286481455469</v>
      </c>
      <c r="EE247" s="111">
        <f>+EE243/EE$183/3*1000</f>
        <v>101.48002034562755</v>
      </c>
      <c r="EF247" s="111">
        <f t="shared" si="1228"/>
        <v>99.275095220543065</v>
      </c>
      <c r="EG247" s="111">
        <f t="shared" si="1228"/>
        <v>98.245614035087712</v>
      </c>
      <c r="EH247" s="111">
        <f t="shared" si="1228"/>
        <v>94.733121244255926</v>
      </c>
      <c r="EI247" s="112">
        <f>+EI243/EI$183/12*1000</f>
        <v>98.386426193489271</v>
      </c>
      <c r="EJ247" s="111">
        <f t="shared" si="1228"/>
        <v>90.588369181745776</v>
      </c>
      <c r="EK247" s="111">
        <f t="shared" si="1228"/>
        <v>86.240947992100061</v>
      </c>
      <c r="EL247" s="111">
        <f t="shared" si="1228"/>
        <v>87.608190838083175</v>
      </c>
      <c r="EM247" s="111">
        <f t="shared" si="1228"/>
        <v>79.773805917398775</v>
      </c>
      <c r="EN247" s="112">
        <f>+EN243/EN$183/12*1000</f>
        <v>85.895166049680782</v>
      </c>
      <c r="EO247" s="111">
        <f t="shared" ref="EO247:ER247" si="1229">+EO243/EO$183/3*1000</f>
        <v>78.284285439507599</v>
      </c>
      <c r="EP247" s="111">
        <f t="shared" si="1229"/>
        <v>77.879038939519475</v>
      </c>
      <c r="EQ247" s="111">
        <f t="shared" si="1229"/>
        <v>76.453411202548452</v>
      </c>
      <c r="ER247" s="111">
        <f t="shared" si="1229"/>
        <v>68.820135175360605</v>
      </c>
      <c r="ES247" s="112">
        <f>+ES243/ES$183/12*1000</f>
        <v>75.201406383539009</v>
      </c>
      <c r="ET247" s="111">
        <f t="shared" ref="ET247:EW247" si="1230">+ET243/ET$183/3*1000</f>
        <v>68.765889893488847</v>
      </c>
      <c r="EU247" s="111">
        <f t="shared" si="1230"/>
        <v>68.139590288977359</v>
      </c>
      <c r="EV247" s="111">
        <f t="shared" si="1230"/>
        <v>67.39478773031064</v>
      </c>
      <c r="EW247" s="111">
        <f t="shared" si="1230"/>
        <v>61.038969798743153</v>
      </c>
      <c r="EX247" s="112">
        <f>+EX243/EX$183/12*1000</f>
        <v>66.205669651622316</v>
      </c>
      <c r="EY247" s="111">
        <f t="shared" ref="EY247:FB247" si="1231">+EY243/EY$183/3*1000</f>
        <v>61.396538942564504</v>
      </c>
      <c r="EZ247" s="111">
        <f t="shared" si="1231"/>
        <v>60.747527457445734</v>
      </c>
      <c r="FA247" s="111">
        <f t="shared" si="1231"/>
        <v>60.468204603835034</v>
      </c>
      <c r="FB247" s="111">
        <f t="shared" si="1231"/>
        <v>55.086505439757993</v>
      </c>
      <c r="FC247" s="112">
        <f>+FC243/FC$183/12*1000</f>
        <v>59.322537943941903</v>
      </c>
      <c r="FD247" s="111">
        <f t="shared" ref="FD247:FG247" si="1232">+FD243/FD$183/3*1000</f>
        <v>57.640171545937406</v>
      </c>
      <c r="FE247" s="111">
        <f t="shared" si="1232"/>
        <v>57.126862413138227</v>
      </c>
      <c r="FF247" s="111">
        <f t="shared" si="1232"/>
        <v>56.857608033010656</v>
      </c>
      <c r="FG247" s="111">
        <f t="shared" si="1232"/>
        <v>51.236928347551341</v>
      </c>
      <c r="FH247" s="112">
        <f>+FH243/FH$183/12*1000</f>
        <v>55.622754578894146</v>
      </c>
      <c r="FI247" s="111">
        <f t="shared" ref="FI247:FM247" si="1233">+FI243/FI$183/12*1000</f>
        <v>50.983500471952389</v>
      </c>
      <c r="FJ247" s="111">
        <f t="shared" si="1233"/>
        <v>48.132640205712583</v>
      </c>
      <c r="FK247" s="111">
        <f t="shared" si="1233"/>
        <v>46.476664888072442</v>
      </c>
      <c r="FL247" s="111">
        <f t="shared" si="1233"/>
        <v>45.624203060809073</v>
      </c>
      <c r="FM247" s="111">
        <f t="shared" si="1233"/>
        <v>45.346875837462605</v>
      </c>
    </row>
    <row r="248" spans="1:181" x14ac:dyDescent="0.3">
      <c r="A248" s="70" t="s">
        <v>387</v>
      </c>
      <c r="DZ248" s="75"/>
      <c r="EA248" s="75"/>
      <c r="EB248" s="75"/>
      <c r="EC248" s="75"/>
      <c r="ED248" s="84"/>
      <c r="EE248" s="75">
        <f t="shared" ref="EE248:EX248" si="1234">+EE247/DZ247-1</f>
        <v>-0.13989464607104729</v>
      </c>
      <c r="EF248" s="75">
        <f t="shared" si="1234"/>
        <v>-8.8404525684902091E-2</v>
      </c>
      <c r="EG248" s="75">
        <f t="shared" si="1234"/>
        <v>-9.0881140350877243E-2</v>
      </c>
      <c r="EH248" s="75">
        <f t="shared" si="1234"/>
        <v>-8.7924631718815927E-2</v>
      </c>
      <c r="EI248" s="84">
        <f t="shared" si="1234"/>
        <v>-0.10291003741125571</v>
      </c>
      <c r="EJ248" s="75">
        <f t="shared" si="1234"/>
        <v>-0.10732803488594356</v>
      </c>
      <c r="EK248" s="75">
        <f t="shared" si="1234"/>
        <v>-0.13129322313403169</v>
      </c>
      <c r="EL248" s="75">
        <f t="shared" si="1234"/>
        <v>-0.10827377182665332</v>
      </c>
      <c r="EM248" s="75">
        <f t="shared" si="1234"/>
        <v>-0.15791008604357792</v>
      </c>
      <c r="EN248" s="84">
        <f t="shared" si="1234"/>
        <v>-0.12696121433705554</v>
      </c>
      <c r="EO248" s="75">
        <f t="shared" si="1234"/>
        <v>-0.1358241003053352</v>
      </c>
      <c r="EP248" s="75">
        <f t="shared" si="1234"/>
        <v>-9.6959846189846655E-2</v>
      </c>
      <c r="EQ248" s="75">
        <f t="shared" si="1234"/>
        <v>-0.12732576176753729</v>
      </c>
      <c r="ER248" s="75">
        <f t="shared" si="1234"/>
        <v>-0.13730911564354931</v>
      </c>
      <c r="ES248" s="84">
        <f t="shared" si="1234"/>
        <v>-0.1244978053823963</v>
      </c>
      <c r="ET248" s="75">
        <f t="shared" si="1234"/>
        <v>-0.12158756374386115</v>
      </c>
      <c r="EU248" s="75">
        <f t="shared" si="1234"/>
        <v>-0.12505866511919506</v>
      </c>
      <c r="EV248" s="75">
        <f t="shared" si="1234"/>
        <v>-0.11848553687472163</v>
      </c>
      <c r="EW248" s="75">
        <f t="shared" si="1234"/>
        <v>-0.11306524401311135</v>
      </c>
      <c r="EX248" s="84">
        <f t="shared" si="1234"/>
        <v>-0.11962192151084272</v>
      </c>
      <c r="EY248" s="75">
        <f t="shared" ref="EY248" si="1235">+EY247/ET247-1</f>
        <v>-0.10716579051530772</v>
      </c>
      <c r="EZ248" s="75">
        <f t="shared" ref="EZ248" si="1236">+EZ247/EU247-1</f>
        <v>-0.10848411034146488</v>
      </c>
      <c r="FA248" s="75">
        <f t="shared" ref="FA248" si="1237">+FA247/EV247-1</f>
        <v>-0.10277624367915905</v>
      </c>
      <c r="FB248" s="75">
        <f t="shared" ref="FB248:FC248" si="1238">+FB247/EW247-1</f>
        <v>-9.7519082949983349E-2</v>
      </c>
      <c r="FC248" s="84">
        <f t="shared" si="1238"/>
        <v>-0.10396589512499177</v>
      </c>
      <c r="FD248" s="75">
        <f t="shared" ref="FD248" si="1239">+FD247/EY247-1</f>
        <v>-6.1182070867889182E-2</v>
      </c>
      <c r="FE248" s="75">
        <f t="shared" ref="FE248" si="1240">+FE247/EZ247-1</f>
        <v>-5.9601850410188617E-2</v>
      </c>
      <c r="FF248" s="75">
        <f t="shared" ref="FF248" si="1241">+FF247/FA247-1</f>
        <v>-5.9710662727290309E-2</v>
      </c>
      <c r="FG248" s="75">
        <f t="shared" ref="FG248:FH248" si="1242">+FG247/FB247-1</f>
        <v>-6.9882397902631621E-2</v>
      </c>
      <c r="FH248" s="84">
        <f t="shared" si="1242"/>
        <v>-6.2367246804982401E-2</v>
      </c>
      <c r="FI248" s="75">
        <f t="shared" ref="FI248:FM248" si="1243">+FI247/FH247-1</f>
        <v>-8.3405687871166756E-2</v>
      </c>
      <c r="FJ248" s="75">
        <f t="shared" si="1243"/>
        <v>-5.5917311284032989E-2</v>
      </c>
      <c r="FK248" s="75">
        <f t="shared" si="1243"/>
        <v>-3.4404414770573988E-2</v>
      </c>
      <c r="FL248" s="75">
        <f t="shared" si="1243"/>
        <v>-1.8341716844707201E-2</v>
      </c>
      <c r="FM248" s="75">
        <f t="shared" si="1243"/>
        <v>-6.0785110695925626E-3</v>
      </c>
    </row>
    <row r="249" spans="1:181" x14ac:dyDescent="0.3">
      <c r="A249" s="70" t="s">
        <v>394</v>
      </c>
      <c r="DU249" s="75"/>
      <c r="DV249" s="75"/>
      <c r="DW249" s="75"/>
      <c r="DX249" s="75"/>
      <c r="DY249" s="84"/>
      <c r="DZ249" s="75">
        <f t="shared" ref="DZ249:FM249" si="1244">DZ243/DZ206</f>
        <v>0.63950276243093918</v>
      </c>
      <c r="EA249" s="75">
        <f t="shared" si="1244"/>
        <v>0.60563380281690138</v>
      </c>
      <c r="EB249" s="75">
        <f t="shared" si="1244"/>
        <v>0.62264150943396224</v>
      </c>
      <c r="EC249" s="75">
        <f t="shared" si="1244"/>
        <v>0.60144927536231885</v>
      </c>
      <c r="ED249" s="84">
        <f t="shared" si="1244"/>
        <v>0.61749022396018483</v>
      </c>
      <c r="EE249" s="75">
        <f t="shared" si="1244"/>
        <v>0.60324483775811211</v>
      </c>
      <c r="EF249" s="75">
        <f t="shared" si="1244"/>
        <v>0.59411764705882353</v>
      </c>
      <c r="EG249" s="75">
        <f t="shared" si="1244"/>
        <v>0.5935672514619883</v>
      </c>
      <c r="EH249" s="75">
        <f t="shared" si="1244"/>
        <v>0.5955555555555555</v>
      </c>
      <c r="EI249" s="84">
        <f t="shared" si="1244"/>
        <v>0.59661391240338613</v>
      </c>
      <c r="EJ249" s="75">
        <f t="shared" si="1244"/>
        <v>0.59226190476190477</v>
      </c>
      <c r="EK249" s="75">
        <f t="shared" si="1244"/>
        <v>0.57372262773722627</v>
      </c>
      <c r="EL249" s="75">
        <f t="shared" si="1244"/>
        <v>0.60057887120115772</v>
      </c>
      <c r="EM249" s="75">
        <f t="shared" si="1244"/>
        <v>0.54785020804438278</v>
      </c>
      <c r="EN249" s="84">
        <f t="shared" si="1244"/>
        <v>0.5781870711448176</v>
      </c>
      <c r="EO249" s="75">
        <f t="shared" si="1244"/>
        <v>0.55829903978052131</v>
      </c>
      <c r="EP249" s="75">
        <f t="shared" si="1244"/>
        <v>0.56702412868632712</v>
      </c>
      <c r="EQ249" s="75">
        <f t="shared" si="1244"/>
        <v>0.56842105263157894</v>
      </c>
      <c r="ER249" s="75">
        <f t="shared" si="1244"/>
        <v>0.53280839895013121</v>
      </c>
      <c r="ES249" s="84">
        <f t="shared" si="1244"/>
        <v>0.55655655655655656</v>
      </c>
      <c r="ET249" s="75">
        <f t="shared" si="1244"/>
        <v>0.53906572687258869</v>
      </c>
      <c r="EU249" s="75">
        <f t="shared" si="1244"/>
        <v>0.54045825163950822</v>
      </c>
      <c r="EV249" s="75">
        <f t="shared" si="1244"/>
        <v>0.54482359090236143</v>
      </c>
      <c r="EW249" s="75">
        <f t="shared" si="1244"/>
        <v>0.51025687879560211</v>
      </c>
      <c r="EX249" s="84">
        <f t="shared" si="1244"/>
        <v>0.53348111120555963</v>
      </c>
      <c r="EY249" s="75">
        <f t="shared" ref="EY249:FC249" si="1245">EY243/EY206</f>
        <v>0.51994301881938398</v>
      </c>
      <c r="EZ249" s="75">
        <f t="shared" si="1245"/>
        <v>0.51664008218880997</v>
      </c>
      <c r="FA249" s="75">
        <f t="shared" si="1245"/>
        <v>0.52233672508573625</v>
      </c>
      <c r="FB249" s="75">
        <f t="shared" si="1245"/>
        <v>0.48909261309663088</v>
      </c>
      <c r="FC249" s="84">
        <f t="shared" si="1245"/>
        <v>0.51175879495593968</v>
      </c>
      <c r="FD249" s="75">
        <f t="shared" si="1244"/>
        <v>0.51729641687162875</v>
      </c>
      <c r="FE249" s="75">
        <f t="shared" si="1244"/>
        <v>0.51124664192025182</v>
      </c>
      <c r="FF249" s="75">
        <f t="shared" si="1244"/>
        <v>0.51433417800175529</v>
      </c>
      <c r="FG249" s="75">
        <f t="shared" si="1244"/>
        <v>0.47355777520021025</v>
      </c>
      <c r="FH249" s="84">
        <f t="shared" ref="FH249" si="1246">FH243/FH206</f>
        <v>0.50371292928028399</v>
      </c>
      <c r="FI249" s="75">
        <f t="shared" si="1244"/>
        <v>0.47405648627096453</v>
      </c>
      <c r="FJ249" s="75">
        <f t="shared" si="1244"/>
        <v>0.45180205626628994</v>
      </c>
      <c r="FK249" s="75">
        <f t="shared" si="1244"/>
        <v>0.43480832060194546</v>
      </c>
      <c r="FL249" s="75">
        <f t="shared" si="1244"/>
        <v>0.42179804260513271</v>
      </c>
      <c r="FM249" s="75">
        <f t="shared" si="1244"/>
        <v>0.41185654651958886</v>
      </c>
    </row>
    <row r="250" spans="1:181" x14ac:dyDescent="0.3">
      <c r="A250" s="90"/>
      <c r="EN250" s="916"/>
      <c r="EO250"/>
      <c r="EP250"/>
      <c r="EQ250"/>
      <c r="ER250"/>
      <c r="ES250" s="916"/>
      <c r="EX250" s="916"/>
      <c r="FC250" s="916"/>
      <c r="FH250" s="916"/>
      <c r="FI250" s="887"/>
      <c r="FJ250" s="887"/>
      <c r="FK250" s="887"/>
      <c r="FL250" s="887"/>
      <c r="FM250" s="887"/>
    </row>
    <row r="251" spans="1:181" x14ac:dyDescent="0.3">
      <c r="A251" s="90" t="s">
        <v>396</v>
      </c>
      <c r="DZ251" s="471">
        <f>Inputs!DZ151</f>
        <v>261</v>
      </c>
      <c r="EA251" s="471">
        <f>Inputs!EA151</f>
        <v>280</v>
      </c>
      <c r="EB251" s="471">
        <f>Inputs!EB151</f>
        <v>260</v>
      </c>
      <c r="EC251" s="471">
        <f>Inputs!EC151</f>
        <v>275</v>
      </c>
      <c r="ED251" s="85">
        <f>SUM(DZ251:EC251)</f>
        <v>1076</v>
      </c>
      <c r="EE251" s="471">
        <f>Inputs!EE151</f>
        <v>269</v>
      </c>
      <c r="EF251" s="471">
        <f>Inputs!EF151</f>
        <v>276</v>
      </c>
      <c r="EG251" s="471">
        <f>Inputs!EG151</f>
        <v>278</v>
      </c>
      <c r="EH251" s="471">
        <f>Inputs!EH151</f>
        <v>273</v>
      </c>
      <c r="EI251" s="85">
        <f>SUM(EE251:EH251)</f>
        <v>1096</v>
      </c>
      <c r="EJ251" s="471">
        <f>Inputs!EJ151</f>
        <v>274</v>
      </c>
      <c r="EK251" s="471">
        <f>Inputs!EK151</f>
        <v>292</v>
      </c>
      <c r="EL251" s="471">
        <f>Inputs!EL151</f>
        <v>276</v>
      </c>
      <c r="EM251" s="471">
        <f>Inputs!EM151</f>
        <v>326</v>
      </c>
      <c r="EN251" s="85">
        <f>SUM(EJ251:EM251)</f>
        <v>1168</v>
      </c>
      <c r="EO251" s="471">
        <f>Inputs!EO151</f>
        <v>322</v>
      </c>
      <c r="EP251" s="471">
        <f>Inputs!EP151</f>
        <v>323</v>
      </c>
      <c r="EQ251" s="471">
        <f>Inputs!EQ151</f>
        <v>328</v>
      </c>
      <c r="ER251" s="471">
        <f>Inputs!ER151</f>
        <v>356</v>
      </c>
      <c r="ES251" s="85">
        <f>SUM(EO251:ER251)</f>
        <v>1329</v>
      </c>
      <c r="ET251" s="916">
        <f t="shared" ref="ET251:EW251" si="1247">ET206-ET243</f>
        <v>364.12658450955439</v>
      </c>
      <c r="EU251" s="916">
        <f t="shared" si="1247"/>
        <v>375.34915513985447</v>
      </c>
      <c r="EV251" s="916">
        <f t="shared" si="1247"/>
        <v>379.82300163721408</v>
      </c>
      <c r="EW251" s="916">
        <f t="shared" si="1247"/>
        <v>412.7964473090953</v>
      </c>
      <c r="EX251" s="85">
        <f>SUM(ET251:EW251)</f>
        <v>1532.0951885957184</v>
      </c>
      <c r="EY251" s="916">
        <f t="shared" ref="EY251:FB251" si="1248">EY206-EY243</f>
        <v>419.37568164057956</v>
      </c>
      <c r="EZ251" s="916">
        <f t="shared" si="1248"/>
        <v>439.89655483737658</v>
      </c>
      <c r="FA251" s="916">
        <f t="shared" si="1248"/>
        <v>445.39204034599732</v>
      </c>
      <c r="FB251" s="916">
        <f t="shared" si="1248"/>
        <v>483.61452863707513</v>
      </c>
      <c r="FC251" s="85">
        <f>SUM(EY251:FB251)</f>
        <v>1788.2788054610287</v>
      </c>
      <c r="FD251" s="916">
        <f t="shared" ref="FD251:FM251" si="1249">FD206-FD243</f>
        <v>473.41183703552133</v>
      </c>
      <c r="FE251" s="916">
        <f t="shared" si="1249"/>
        <v>501.08014518599293</v>
      </c>
      <c r="FF251" s="916">
        <f t="shared" si="1249"/>
        <v>510.57618726493104</v>
      </c>
      <c r="FG251" s="916">
        <f t="shared" si="1249"/>
        <v>562.34597978679642</v>
      </c>
      <c r="FH251" s="85">
        <f>SUM(FD251:FG251)</f>
        <v>2047.4141492732415</v>
      </c>
      <c r="FI251" s="916">
        <f t="shared" si="1249"/>
        <v>2423.4671519623766</v>
      </c>
      <c r="FJ251" s="916">
        <f t="shared" si="1249"/>
        <v>2779.6032083219516</v>
      </c>
      <c r="FK251" s="916">
        <f t="shared" si="1249"/>
        <v>3105.5362248123083</v>
      </c>
      <c r="FL251" s="916">
        <f t="shared" si="1249"/>
        <v>3398.9244089677045</v>
      </c>
      <c r="FM251" s="916">
        <f t="shared" si="1249"/>
        <v>3659.7838946719708</v>
      </c>
    </row>
    <row r="252" spans="1:181" x14ac:dyDescent="0.3">
      <c r="A252" s="46" t="s">
        <v>45</v>
      </c>
      <c r="DZ252" s="898">
        <f t="shared" ref="DZ252:FM252" si="1250">DZ251/DZ206</f>
        <v>0.36049723756906077</v>
      </c>
      <c r="EA252" s="898">
        <f t="shared" si="1250"/>
        <v>0.39436619718309857</v>
      </c>
      <c r="EB252" s="898">
        <f t="shared" si="1250"/>
        <v>0.37735849056603776</v>
      </c>
      <c r="EC252" s="898">
        <f t="shared" si="1250"/>
        <v>0.39855072463768115</v>
      </c>
      <c r="ED252" s="911">
        <f t="shared" si="1250"/>
        <v>0.38250977603981512</v>
      </c>
      <c r="EE252" s="898">
        <f t="shared" si="1250"/>
        <v>0.39675516224188789</v>
      </c>
      <c r="EF252" s="898">
        <f t="shared" si="1250"/>
        <v>0.40588235294117647</v>
      </c>
      <c r="EG252" s="898">
        <f t="shared" si="1250"/>
        <v>0.4064327485380117</v>
      </c>
      <c r="EH252" s="898">
        <f t="shared" si="1250"/>
        <v>0.40444444444444444</v>
      </c>
      <c r="EI252" s="911">
        <f t="shared" si="1250"/>
        <v>0.40338608759661393</v>
      </c>
      <c r="EJ252" s="898">
        <f t="shared" si="1250"/>
        <v>0.40773809523809523</v>
      </c>
      <c r="EK252" s="898">
        <f t="shared" si="1250"/>
        <v>0.42627737226277373</v>
      </c>
      <c r="EL252" s="898">
        <f t="shared" si="1250"/>
        <v>0.39942112879884228</v>
      </c>
      <c r="EM252" s="898">
        <f t="shared" si="1250"/>
        <v>0.45214979195561722</v>
      </c>
      <c r="EN252" s="911">
        <f t="shared" si="1250"/>
        <v>0.4218129288551824</v>
      </c>
      <c r="EO252" s="898">
        <f t="shared" si="1250"/>
        <v>0.44170096021947874</v>
      </c>
      <c r="EP252" s="898">
        <f t="shared" si="1250"/>
        <v>0.43297587131367293</v>
      </c>
      <c r="EQ252" s="898">
        <f t="shared" si="1250"/>
        <v>0.43157894736842106</v>
      </c>
      <c r="ER252" s="898">
        <f t="shared" si="1250"/>
        <v>0.46719160104986879</v>
      </c>
      <c r="ES252" s="911">
        <f t="shared" si="1250"/>
        <v>0.44344344344344344</v>
      </c>
      <c r="ET252" s="898">
        <f t="shared" si="1250"/>
        <v>0.46093427312741125</v>
      </c>
      <c r="EU252" s="898">
        <f t="shared" si="1250"/>
        <v>0.45954174836049178</v>
      </c>
      <c r="EV252" s="898">
        <f t="shared" si="1250"/>
        <v>0.45517640909763851</v>
      </c>
      <c r="EW252" s="898">
        <f t="shared" si="1250"/>
        <v>0.48974312120439789</v>
      </c>
      <c r="EX252" s="911">
        <f t="shared" si="1250"/>
        <v>0.46651888879444031</v>
      </c>
      <c r="EY252" s="898">
        <f t="shared" ref="EY252:FC252" si="1251">EY251/EY206</f>
        <v>0.48005698118061596</v>
      </c>
      <c r="EZ252" s="898">
        <f t="shared" si="1251"/>
        <v>0.48335991781118998</v>
      </c>
      <c r="FA252" s="898">
        <f t="shared" si="1251"/>
        <v>0.47766327491426375</v>
      </c>
      <c r="FB252" s="898">
        <f t="shared" si="1251"/>
        <v>0.51090738690336912</v>
      </c>
      <c r="FC252" s="911">
        <f t="shared" si="1251"/>
        <v>0.48824120504406043</v>
      </c>
      <c r="FD252" s="898">
        <f t="shared" si="1250"/>
        <v>0.48270358312837125</v>
      </c>
      <c r="FE252" s="898">
        <f t="shared" si="1250"/>
        <v>0.48875335807974812</v>
      </c>
      <c r="FF252" s="898">
        <f t="shared" si="1250"/>
        <v>0.48566582199824465</v>
      </c>
      <c r="FG252" s="898">
        <f t="shared" si="1250"/>
        <v>0.52644222479978975</v>
      </c>
      <c r="FH252" s="911">
        <f t="shared" ref="FH252" si="1252">FH251/FH206</f>
        <v>0.49628707071971589</v>
      </c>
      <c r="FI252" s="898">
        <f t="shared" si="1250"/>
        <v>0.52594351372903547</v>
      </c>
      <c r="FJ252" s="898">
        <f t="shared" si="1250"/>
        <v>0.54819794373371011</v>
      </c>
      <c r="FK252" s="898">
        <f t="shared" si="1250"/>
        <v>0.56519167939805459</v>
      </c>
      <c r="FL252" s="898">
        <f t="shared" si="1250"/>
        <v>0.57820195739486735</v>
      </c>
      <c r="FM252" s="898">
        <f t="shared" si="1250"/>
        <v>0.58814345348041119</v>
      </c>
    </row>
    <row r="253" spans="1:181" x14ac:dyDescent="0.3">
      <c r="A253" s="46" t="s">
        <v>29</v>
      </c>
      <c r="EE253" s="898">
        <f t="shared" ref="EE253:EX253" si="1253">EE251/DZ251-1</f>
        <v>3.0651340996168619E-2</v>
      </c>
      <c r="EF253" s="898">
        <f t="shared" si="1253"/>
        <v>-1.4285714285714235E-2</v>
      </c>
      <c r="EG253" s="898">
        <f t="shared" si="1253"/>
        <v>6.9230769230769207E-2</v>
      </c>
      <c r="EH253" s="898">
        <f t="shared" si="1253"/>
        <v>-7.2727272727273196E-3</v>
      </c>
      <c r="EI253" s="911">
        <f t="shared" si="1253"/>
        <v>1.8587360594795488E-2</v>
      </c>
      <c r="EJ253" s="898">
        <f t="shared" si="1253"/>
        <v>1.8587360594795488E-2</v>
      </c>
      <c r="EK253" s="898">
        <f t="shared" si="1253"/>
        <v>5.7971014492753659E-2</v>
      </c>
      <c r="EL253" s="898">
        <f t="shared" si="1253"/>
        <v>-7.194244604316502E-3</v>
      </c>
      <c r="EM253" s="898">
        <f t="shared" si="1253"/>
        <v>0.19413919413919412</v>
      </c>
      <c r="EN253" s="911">
        <f t="shared" si="1253"/>
        <v>6.5693430656934337E-2</v>
      </c>
      <c r="EO253" s="898">
        <f t="shared" si="1253"/>
        <v>0.17518248175182483</v>
      </c>
      <c r="EP253" s="898">
        <f t="shared" si="1253"/>
        <v>0.10616438356164393</v>
      </c>
      <c r="EQ253" s="898">
        <f t="shared" si="1253"/>
        <v>0.18840579710144922</v>
      </c>
      <c r="ER253" s="898">
        <f t="shared" si="1253"/>
        <v>9.2024539877300526E-2</v>
      </c>
      <c r="ES253" s="911">
        <f t="shared" si="1253"/>
        <v>0.13784246575342474</v>
      </c>
      <c r="ET253" s="898">
        <f t="shared" si="1253"/>
        <v>0.13082790220358498</v>
      </c>
      <c r="EU253" s="898">
        <f t="shared" si="1253"/>
        <v>0.16207168773948744</v>
      </c>
      <c r="EV253" s="898">
        <f t="shared" si="1253"/>
        <v>0.15799695621101861</v>
      </c>
      <c r="EW253" s="898">
        <f t="shared" si="1253"/>
        <v>0.15954058232891932</v>
      </c>
      <c r="EX253" s="911">
        <f t="shared" si="1253"/>
        <v>0.15281805010964522</v>
      </c>
      <c r="EY253" s="898">
        <f t="shared" ref="EY253" si="1254">EY251/ET251-1</f>
        <v>0.15173046814321656</v>
      </c>
      <c r="EZ253" s="898">
        <f t="shared" ref="EZ253" si="1255">EZ251/EU251-1</f>
        <v>0.17196628476084319</v>
      </c>
      <c r="FA253" s="898">
        <f t="shared" ref="FA253" si="1256">FA251/EV251-1</f>
        <v>0.17263051059612011</v>
      </c>
      <c r="FB253" s="898">
        <f t="shared" ref="FB253:FC253" si="1257">FB251/EW251-1</f>
        <v>0.17155690604806106</v>
      </c>
      <c r="FC253" s="911">
        <f t="shared" si="1257"/>
        <v>0.16721129259607048</v>
      </c>
      <c r="FD253" s="898">
        <f t="shared" ref="FD253" si="1258">FD251/EY251-1</f>
        <v>0.12884904337694225</v>
      </c>
      <c r="FE253" s="898">
        <f t="shared" ref="FE253" si="1259">FE251/EZ251-1</f>
        <v>0.1390863139886036</v>
      </c>
      <c r="FF253" s="898">
        <f t="shared" ref="FF253" si="1260">FF251/FA251-1</f>
        <v>0.14635229419074536</v>
      </c>
      <c r="FG253" s="898">
        <f t="shared" ref="FG253:FH253" si="1261">FG251/FB251-1</f>
        <v>0.16279794441164253</v>
      </c>
      <c r="FH253" s="911">
        <f t="shared" si="1261"/>
        <v>0.14490768610625349</v>
      </c>
      <c r="FI253" s="898">
        <f t="shared" ref="FI253:FM253" si="1262">FI251/FH251-1</f>
        <v>0.18367217146693093</v>
      </c>
      <c r="FJ253" s="898">
        <f t="shared" si="1262"/>
        <v>0.14695311882861617</v>
      </c>
      <c r="FK253" s="898">
        <f t="shared" si="1262"/>
        <v>0.11725882871142712</v>
      </c>
      <c r="FL253" s="898">
        <f t="shared" si="1262"/>
        <v>9.4472633038800824E-2</v>
      </c>
      <c r="FM253" s="898">
        <f t="shared" si="1262"/>
        <v>7.6747657293000149E-2</v>
      </c>
    </row>
    <row r="254" spans="1:181" x14ac:dyDescent="0.3">
      <c r="EO254"/>
      <c r="EP254"/>
      <c r="EQ254"/>
      <c r="ER254"/>
    </row>
    <row r="255" spans="1:181" ht="12.75" customHeight="1" x14ac:dyDescent="0.3">
      <c r="A255" s="105" t="s">
        <v>397</v>
      </c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  <c r="BJ255" s="106"/>
      <c r="BK255" s="106"/>
      <c r="BL255" s="105"/>
      <c r="BM255" s="105"/>
      <c r="BN255" s="105"/>
      <c r="BO255" s="105"/>
      <c r="BP255" s="105"/>
      <c r="BQ255" s="105"/>
      <c r="BR255" s="106"/>
      <c r="BS255" s="106"/>
      <c r="BT255" s="106"/>
      <c r="BU255" s="106"/>
      <c r="BV255" s="105"/>
      <c r="BW255" s="106"/>
      <c r="BX255" s="106"/>
      <c r="BY255" s="106"/>
      <c r="BZ255" s="106"/>
      <c r="CA255" s="105"/>
      <c r="CB255" s="106"/>
      <c r="CC255" s="106"/>
      <c r="CD255" s="106"/>
      <c r="CE255" s="106"/>
      <c r="CF255" s="105"/>
      <c r="CG255" s="106"/>
      <c r="CH255" s="106"/>
      <c r="CI255" s="106"/>
      <c r="CJ255" s="106"/>
      <c r="CK255" s="105"/>
      <c r="CL255" s="106"/>
      <c r="CM255" s="106"/>
      <c r="CN255" s="106"/>
      <c r="CO255" s="106"/>
      <c r="CP255" s="105"/>
      <c r="CQ255" s="106"/>
      <c r="CR255" s="106"/>
      <c r="CS255" s="106"/>
      <c r="CT255" s="106"/>
      <c r="CU255" s="106"/>
      <c r="CV255" s="106"/>
      <c r="CW255" s="106"/>
      <c r="CX255" s="106"/>
      <c r="CY255" s="106"/>
      <c r="CZ255" s="106"/>
      <c r="DA255" s="106"/>
      <c r="DB255" s="106"/>
      <c r="DC255" s="106"/>
      <c r="DD255" s="106"/>
      <c r="DE255" s="106"/>
      <c r="DF255" s="106"/>
      <c r="DG255" s="106"/>
      <c r="DH255" s="106"/>
      <c r="DI255" s="106"/>
      <c r="DJ255" s="106"/>
      <c r="DK255" s="106"/>
      <c r="DL255" s="106"/>
      <c r="DM255" s="106"/>
      <c r="DN255" s="106"/>
      <c r="DO255" s="106"/>
      <c r="DP255" s="106"/>
      <c r="DQ255" s="106"/>
      <c r="DR255" s="106"/>
      <c r="DS255" s="106"/>
      <c r="DT255" s="106"/>
      <c r="DU255" s="107"/>
      <c r="DV255" s="107"/>
      <c r="DW255" s="107"/>
      <c r="DX255" s="107"/>
      <c r="DY255" s="1205"/>
      <c r="DZ255" s="107"/>
      <c r="EA255" s="107"/>
      <c r="EB255" s="107"/>
      <c r="EC255" s="107"/>
      <c r="ED255" s="1205"/>
      <c r="EE255" s="107"/>
      <c r="EF255" s="107"/>
      <c r="EG255" s="107"/>
      <c r="EH255" s="107"/>
      <c r="EI255" s="1205"/>
      <c r="EJ255" s="107"/>
      <c r="EK255" s="107"/>
      <c r="EL255" s="107"/>
      <c r="EM255" s="107"/>
      <c r="EN255" s="105"/>
      <c r="EO255" s="105"/>
      <c r="EP255" s="105"/>
      <c r="EQ255" s="105"/>
      <c r="ER255" s="105"/>
      <c r="ES255" s="106"/>
      <c r="ET255" s="105"/>
      <c r="EU255" s="105"/>
      <c r="EV255" s="105"/>
      <c r="EW255" s="105"/>
      <c r="EX255" s="106"/>
      <c r="EY255" s="105"/>
      <c r="EZ255" s="105"/>
      <c r="FA255" s="105"/>
      <c r="FB255" s="105"/>
      <c r="FC255" s="106"/>
      <c r="FD255" s="105"/>
      <c r="FE255" s="105"/>
      <c r="FF255" s="105"/>
      <c r="FG255" s="105"/>
      <c r="FH255" s="106"/>
      <c r="FI255" s="106"/>
      <c r="FJ255" s="106"/>
      <c r="FK255" s="106"/>
      <c r="FL255" s="106"/>
      <c r="FM255" s="106"/>
      <c r="FN255" s="106"/>
      <c r="FO255" s="106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</row>
    <row r="256" spans="1:181" x14ac:dyDescent="0.3">
      <c r="A256" s="55" t="s">
        <v>398</v>
      </c>
      <c r="EA256" s="76"/>
      <c r="EE256" s="74"/>
      <c r="EF256" s="74"/>
      <c r="EG256" s="74"/>
      <c r="EH256" s="74"/>
      <c r="EJ256" s="74"/>
      <c r="EK256" s="74"/>
      <c r="EL256" s="74"/>
      <c r="EM256" s="74"/>
      <c r="EN256" s="92"/>
      <c r="EO256" s="92"/>
      <c r="EP256" s="92"/>
      <c r="EQ256" s="92"/>
      <c r="ER256" s="92"/>
      <c r="ES256" s="74"/>
      <c r="ET256" s="92"/>
      <c r="EU256" s="92"/>
      <c r="EV256" s="92"/>
      <c r="EW256" s="92"/>
      <c r="EX256" s="74"/>
      <c r="EY256" s="92"/>
      <c r="EZ256" s="92"/>
      <c r="FA256" s="92"/>
      <c r="FB256" s="92"/>
      <c r="FC256" s="74"/>
      <c r="FD256" s="92"/>
      <c r="FE256" s="92"/>
      <c r="FF256" s="92"/>
      <c r="FG256" s="92"/>
      <c r="FH256" s="74"/>
      <c r="FI256" s="74"/>
      <c r="FJ256" s="74"/>
      <c r="FK256" s="74"/>
      <c r="FL256" s="74"/>
      <c r="FM256" s="74"/>
    </row>
    <row r="257" spans="1:174" x14ac:dyDescent="0.3">
      <c r="A257" s="63" t="s">
        <v>399</v>
      </c>
      <c r="DU257" s="76">
        <f>+DU394-DU112</f>
        <v>1584</v>
      </c>
      <c r="DV257" s="76">
        <f>+DU260</f>
        <v>1565</v>
      </c>
      <c r="DW257" s="76">
        <f>+DV260</f>
        <v>1523</v>
      </c>
      <c r="DX257" s="76">
        <f>+DW260</f>
        <v>1475</v>
      </c>
      <c r="DY257" s="85">
        <f>+DU257</f>
        <v>1584</v>
      </c>
      <c r="DZ257" s="76">
        <f>+DY260</f>
        <v>1442</v>
      </c>
      <c r="EA257" s="76">
        <f>+DZ260</f>
        <v>1419</v>
      </c>
      <c r="EB257" s="76">
        <f>+EA260</f>
        <v>1401</v>
      </c>
      <c r="EC257" s="76">
        <f>+EB260</f>
        <v>1381</v>
      </c>
      <c r="ED257" s="85">
        <f>+DZ257</f>
        <v>1442</v>
      </c>
      <c r="EE257" s="76">
        <f>+ED260</f>
        <v>1349</v>
      </c>
      <c r="EF257" s="76">
        <f>+EE260</f>
        <v>1327</v>
      </c>
      <c r="EG257" s="76">
        <f>+EF260</f>
        <v>1297</v>
      </c>
      <c r="EH257" s="76">
        <f>+EG260</f>
        <v>1264</v>
      </c>
      <c r="EI257" s="85">
        <f>+EE257</f>
        <v>1349</v>
      </c>
      <c r="EJ257" s="76">
        <f>+EI260</f>
        <v>1234</v>
      </c>
      <c r="EK257" s="76">
        <f>+EJ260</f>
        <v>1204</v>
      </c>
      <c r="EL257" s="76">
        <f>+EK260</f>
        <v>1163</v>
      </c>
      <c r="EM257" s="76">
        <f>+EL260</f>
        <v>1105</v>
      </c>
      <c r="EN257" s="85">
        <f>+EJ257</f>
        <v>1234</v>
      </c>
      <c r="EO257" s="76">
        <f>+EN260</f>
        <v>1043</v>
      </c>
      <c r="EP257" s="76">
        <f>+EO260</f>
        <v>987</v>
      </c>
      <c r="EQ257" s="76">
        <f>+EP260</f>
        <v>928</v>
      </c>
      <c r="ER257" s="76">
        <f>+EQ260</f>
        <v>870</v>
      </c>
      <c r="ES257" s="85">
        <f>+EO257</f>
        <v>1043</v>
      </c>
      <c r="ET257" s="76">
        <f t="shared" ref="ET257:EW257" si="1263">+ES260</f>
        <v>822</v>
      </c>
      <c r="EU257" s="76">
        <f t="shared" si="1263"/>
        <v>775.61454000000003</v>
      </c>
      <c r="EV257" s="76">
        <f t="shared" si="1263"/>
        <v>724.2378328704001</v>
      </c>
      <c r="EW257" s="76">
        <f t="shared" si="1263"/>
        <v>674.50442088718967</v>
      </c>
      <c r="EX257" s="85">
        <f>+ET257</f>
        <v>822</v>
      </c>
      <c r="EY257" s="76">
        <f t="shared" ref="EY257" si="1264">+EX260</f>
        <v>633.10333953313398</v>
      </c>
      <c r="EZ257" s="76">
        <f t="shared" ref="EZ257" si="1265">+EY260</f>
        <v>595.59101701078646</v>
      </c>
      <c r="FA257" s="76">
        <f t="shared" ref="FA257" si="1266">+EZ260</f>
        <v>554.16647059565219</v>
      </c>
      <c r="FB257" s="76">
        <f t="shared" ref="FB257" si="1267">+FA260</f>
        <v>514.20912848305852</v>
      </c>
      <c r="FC257" s="85">
        <f>+EY257</f>
        <v>633.10333953313398</v>
      </c>
      <c r="FD257" s="76">
        <f t="shared" ref="FD257" si="1268">+FC260</f>
        <v>481.0688643614539</v>
      </c>
      <c r="FE257" s="76">
        <f t="shared" ref="FE257" si="1269">+FD260</f>
        <v>451.13960995390556</v>
      </c>
      <c r="FF257" s="76">
        <f t="shared" ref="FF257" si="1270">+FE260</f>
        <v>418.1930646948158</v>
      </c>
      <c r="FG257" s="76">
        <f t="shared" ref="FG257" si="1271">+FF260</f>
        <v>386.532221872582</v>
      </c>
      <c r="FH257" s="85">
        <f>+FD257</f>
        <v>481.0688643614539</v>
      </c>
      <c r="FI257" s="76">
        <f t="shared" ref="FI257:FM257" si="1272">+FH260</f>
        <v>360.37502594674265</v>
      </c>
      <c r="FJ257" s="76">
        <f t="shared" si="1272"/>
        <v>260.20990478931145</v>
      </c>
      <c r="FK257" s="76">
        <f t="shared" si="1272"/>
        <v>187.88536850627602</v>
      </c>
      <c r="FL257" s="76">
        <f t="shared" si="1272"/>
        <v>135.66321284857247</v>
      </c>
      <c r="FM257" s="76">
        <f t="shared" si="1272"/>
        <v>97.95604344668439</v>
      </c>
      <c r="FN257" s="189">
        <f>+(FJ257/ES257)^0.2-1</f>
        <v>-0.24245592973024654</v>
      </c>
    </row>
    <row r="258" spans="1:174" x14ac:dyDescent="0.3">
      <c r="A258" s="63" t="s">
        <v>336</v>
      </c>
      <c r="DU258" s="76">
        <f>+DU260-DU259-DU257</f>
        <v>94.097600000000057</v>
      </c>
      <c r="DV258" s="76">
        <f>+DV260-DV259-DV257</f>
        <v>81.47849999999994</v>
      </c>
      <c r="DW258" s="76">
        <f>+DW260-DW259-DW257</f>
        <v>84.500999999999976</v>
      </c>
      <c r="DX258" s="76">
        <f>+DX260-DX259-DX257</f>
        <v>78.9525000000001</v>
      </c>
      <c r="DY258" s="85">
        <f>+SUM(DU258:DX258)</f>
        <v>339.02960000000007</v>
      </c>
      <c r="DZ258" s="76">
        <f>+DZ260-DZ259-DZ257</f>
        <v>79.093599999999924</v>
      </c>
      <c r="EA258" s="76">
        <f>+EA260-EA259-EA257</f>
        <v>68.417099999999891</v>
      </c>
      <c r="EB258" s="76">
        <f>+EB260-EB259-EB257</f>
        <v>68.683299999999917</v>
      </c>
      <c r="EC258" s="76">
        <f>+EC260-EC259-EC257</f>
        <v>49.202800000000025</v>
      </c>
      <c r="ED258" s="85">
        <f>+SUM(DZ258:EC258)</f>
        <v>265.39679999999976</v>
      </c>
      <c r="EE258" s="76">
        <f>+EE260-EE259-EE257</f>
        <v>43.561400000000049</v>
      </c>
      <c r="EF258" s="76">
        <f>+EF260-EF259-EF257</f>
        <v>36.482700000000023</v>
      </c>
      <c r="EG258" s="76">
        <f>+EG260-EG259-EG257</f>
        <v>40.539899999999989</v>
      </c>
      <c r="EH258" s="76">
        <f>+EH260-EH259-EH257</f>
        <v>34.084800000000087</v>
      </c>
      <c r="EI258" s="85">
        <f>+SUM(EE258:EH258)</f>
        <v>154.66880000000015</v>
      </c>
      <c r="EJ258" s="76">
        <f>+EJ260-EJ259-EJ257</f>
        <v>26.640599999999949</v>
      </c>
      <c r="EK258" s="76">
        <f>+EK260-EK259-EK257</f>
        <v>21.487599999999929</v>
      </c>
      <c r="EL258" s="76">
        <f>+EL260-EL259-EL257</f>
        <v>12.477800000000116</v>
      </c>
      <c r="EM258" s="76">
        <f>+EM260-EM259-EM257</f>
        <v>0.32200000000011642</v>
      </c>
      <c r="EN258" s="900">
        <f>+SUM(EJ258:EM258)</f>
        <v>60.928000000000111</v>
      </c>
      <c r="EO258" s="76">
        <f>+EO260-EO259-EO257</f>
        <v>-2.4940999999998894</v>
      </c>
      <c r="EP258" s="76">
        <f>+EP260-EP259-EP257</f>
        <v>-4.5176000000000158</v>
      </c>
      <c r="EQ258" s="76">
        <f>+EQ260-EQ259-EQ257</f>
        <v>2.6911999999999807</v>
      </c>
      <c r="ER258" s="76">
        <f>+ER260-ER259-ER257</f>
        <v>0.54600000000004911</v>
      </c>
      <c r="ES258" s="900">
        <f>+SUM(EO258:ER258)</f>
        <v>-3.7744999999998754</v>
      </c>
      <c r="ET258" s="885">
        <f t="shared" ref="ET258:EW258" si="1273">+ET263*ES107</f>
        <v>0</v>
      </c>
      <c r="EU258" s="885">
        <f t="shared" si="1273"/>
        <v>0</v>
      </c>
      <c r="EV258" s="885">
        <f t="shared" si="1273"/>
        <v>0</v>
      </c>
      <c r="EW258" s="885">
        <f t="shared" si="1273"/>
        <v>0</v>
      </c>
      <c r="EX258" s="900">
        <f>+SUM(ET258:EW258)</f>
        <v>0</v>
      </c>
      <c r="EY258" s="885">
        <f t="shared" ref="EY258" si="1274">+EY263*EX107</f>
        <v>0</v>
      </c>
      <c r="EZ258" s="885">
        <f t="shared" ref="EZ258" si="1275">+EZ263*EY107</f>
        <v>0</v>
      </c>
      <c r="FA258" s="885">
        <f t="shared" ref="FA258" si="1276">+FA263*EZ107</f>
        <v>0</v>
      </c>
      <c r="FB258" s="885">
        <f t="shared" ref="FB258" si="1277">+FB263*FA107</f>
        <v>0</v>
      </c>
      <c r="FC258" s="900">
        <f>+SUM(EY258:FB258)</f>
        <v>0</v>
      </c>
      <c r="FD258" s="885">
        <f t="shared" ref="FD258" si="1278">+FD263*FC107</f>
        <v>0</v>
      </c>
      <c r="FE258" s="885">
        <f t="shared" ref="FE258" si="1279">+FE263*FD107</f>
        <v>0</v>
      </c>
      <c r="FF258" s="885">
        <f t="shared" ref="FF258" si="1280">+FF263*FE107</f>
        <v>0</v>
      </c>
      <c r="FG258" s="885">
        <f t="shared" ref="FG258" si="1281">+FG263*FF107</f>
        <v>0</v>
      </c>
      <c r="FH258" s="900">
        <f>+SUM(FD258:FG258)</f>
        <v>0</v>
      </c>
      <c r="FI258" s="885">
        <f t="shared" ref="FI258:FM258" si="1282">+FI263*FH107</f>
        <v>0</v>
      </c>
      <c r="FJ258" s="885">
        <f t="shared" si="1282"/>
        <v>0</v>
      </c>
      <c r="FK258" s="885">
        <f t="shared" si="1282"/>
        <v>0</v>
      </c>
      <c r="FL258" s="885">
        <f t="shared" si="1282"/>
        <v>0</v>
      </c>
      <c r="FM258" s="885">
        <f t="shared" si="1282"/>
        <v>0</v>
      </c>
      <c r="FN258" s="189">
        <f>+(FJ258/ES258)^0.2-1</f>
        <v>-1</v>
      </c>
    </row>
    <row r="259" spans="1:174" x14ac:dyDescent="0.3">
      <c r="A259" s="63" t="s">
        <v>337</v>
      </c>
      <c r="DU259" s="76">
        <f>+DU264*DU257*-3</f>
        <v>-113.09760000000001</v>
      </c>
      <c r="DV259" s="76">
        <f>+DV264*DV257*-3</f>
        <v>-123.4785</v>
      </c>
      <c r="DW259" s="76">
        <f>+DW264*DW257*-3</f>
        <v>-132.501</v>
      </c>
      <c r="DX259" s="76">
        <f>+DX264*DX257*-3</f>
        <v>-111.95250000000001</v>
      </c>
      <c r="DY259" s="85">
        <f>+SUM(DU259:DX259)</f>
        <v>-481.02959999999996</v>
      </c>
      <c r="DZ259" s="76">
        <f>+DZ264*DZ257*-3</f>
        <v>-102.0936</v>
      </c>
      <c r="EA259" s="76">
        <f>+EA264*EA257*-3</f>
        <v>-86.417099999999991</v>
      </c>
      <c r="EB259" s="76">
        <f>+EB264*EB257*-3</f>
        <v>-88.683300000000003</v>
      </c>
      <c r="EC259" s="76">
        <f>+EC264*EC257*-3</f>
        <v>-81.202799999999996</v>
      </c>
      <c r="ED259" s="85">
        <f>+SUM(DZ259:EC259)</f>
        <v>-358.39679999999998</v>
      </c>
      <c r="EE259" s="76">
        <f>+EE264*EE257*-3</f>
        <v>-65.561399999999992</v>
      </c>
      <c r="EF259" s="76">
        <f>+EF264*EF257*-3</f>
        <v>-66.482699999999994</v>
      </c>
      <c r="EG259" s="76">
        <f>+EG264*EG257*-3</f>
        <v>-73.539900000000003</v>
      </c>
      <c r="EH259" s="76">
        <f>+EH264*EH257*-3</f>
        <v>-64.084800000000001</v>
      </c>
      <c r="EI259" s="85">
        <f>+SUM(EE259:EH259)</f>
        <v>-269.66880000000003</v>
      </c>
      <c r="EJ259" s="76">
        <f>+EJ264*EJ257*-3</f>
        <v>-56.640599999999992</v>
      </c>
      <c r="EK259" s="76">
        <f>+EK264*EK257*-3</f>
        <v>-62.4876</v>
      </c>
      <c r="EL259" s="76">
        <f>+EL264*EL257*-3</f>
        <v>-70.477800000000002</v>
      </c>
      <c r="EM259" s="76">
        <f>+EM264*EM257*-3</f>
        <v>-62.322000000000003</v>
      </c>
      <c r="EN259" s="85">
        <f>+SUM(EJ259:EM259)</f>
        <v>-251.928</v>
      </c>
      <c r="EO259" s="76">
        <f>+EO264*EO257*-3</f>
        <v>-53.505899999999997</v>
      </c>
      <c r="EP259" s="76">
        <f>+EP264*EP257*-3</f>
        <v>-54.482399999999998</v>
      </c>
      <c r="EQ259" s="76">
        <f>+EQ264*EQ257*-3</f>
        <v>-60.691199999999995</v>
      </c>
      <c r="ER259" s="76">
        <f>+ER264*ER257*-3</f>
        <v>-48.545999999999992</v>
      </c>
      <c r="ES259" s="85">
        <f>+SUM(EO259:ER259)</f>
        <v>-217.22549999999998</v>
      </c>
      <c r="ET259" s="76">
        <f t="shared" ref="ET259:EW259" si="1283">+ET264*ET257*-3</f>
        <v>-46.385460000000009</v>
      </c>
      <c r="EU259" s="76">
        <f t="shared" si="1283"/>
        <v>-51.376707129599993</v>
      </c>
      <c r="EV259" s="76">
        <f t="shared" si="1283"/>
        <v>-49.733411983210381</v>
      </c>
      <c r="EW259" s="76">
        <f t="shared" si="1283"/>
        <v>-41.401081354055698</v>
      </c>
      <c r="EX259" s="85">
        <f>+SUM(ET259:EW259)</f>
        <v>-188.89666046686608</v>
      </c>
      <c r="EY259" s="76">
        <f t="shared" ref="EY259:FB259" si="1284">+EY264*EY257*-3</f>
        <v>-37.512322522347496</v>
      </c>
      <c r="EZ259" s="76">
        <f t="shared" si="1284"/>
        <v>-41.424546415134223</v>
      </c>
      <c r="FA259" s="76">
        <f t="shared" si="1284"/>
        <v>-39.957342112593608</v>
      </c>
      <c r="FB259" s="76">
        <f t="shared" si="1284"/>
        <v>-33.140264121604638</v>
      </c>
      <c r="FC259" s="85">
        <f>+SUM(EY259:FB259)</f>
        <v>-152.03447517167996</v>
      </c>
      <c r="FD259" s="76">
        <f t="shared" ref="FD259:FG259" si="1285">+FD264*FD257*-3</f>
        <v>-29.929254407548328</v>
      </c>
      <c r="FE259" s="76">
        <f t="shared" si="1285"/>
        <v>-32.946545259089746</v>
      </c>
      <c r="FF259" s="76">
        <f t="shared" si="1285"/>
        <v>-31.660842822233782</v>
      </c>
      <c r="FG259" s="76">
        <f t="shared" si="1285"/>
        <v>-26.157195925839339</v>
      </c>
      <c r="FH259" s="85">
        <f>+SUM(FD259:FG259)</f>
        <v>-120.69383841471119</v>
      </c>
      <c r="FI259" s="76">
        <f t="shared" ref="FI259:FM259" si="1286">+FI264*FI257*-12</f>
        <v>-100.1651211574312</v>
      </c>
      <c r="FJ259" s="76">
        <f t="shared" si="1286"/>
        <v>-72.324536283035428</v>
      </c>
      <c r="FK259" s="76">
        <f t="shared" si="1286"/>
        <v>-52.222155657703539</v>
      </c>
      <c r="FL259" s="76">
        <f t="shared" si="1286"/>
        <v>-37.707169401888081</v>
      </c>
      <c r="FM259" s="76">
        <f t="shared" si="1286"/>
        <v>-27.226578573704366</v>
      </c>
      <c r="FN259" s="189">
        <f>+(FJ259/ES259)^0.2-1</f>
        <v>-0.19744469385885677</v>
      </c>
    </row>
    <row r="260" spans="1:174" x14ac:dyDescent="0.3">
      <c r="A260" s="64" t="s">
        <v>400</v>
      </c>
      <c r="DU260" s="855">
        <f>Inputs!DU366</f>
        <v>1565</v>
      </c>
      <c r="DV260" s="855">
        <f>Inputs!DV366</f>
        <v>1523</v>
      </c>
      <c r="DW260" s="855">
        <f>Inputs!DW366</f>
        <v>1475</v>
      </c>
      <c r="DX260" s="855">
        <f>Inputs!DX366</f>
        <v>1442</v>
      </c>
      <c r="DY260" s="803">
        <f>+DX260</f>
        <v>1442</v>
      </c>
      <c r="DZ260" s="855">
        <f>Inputs!DZ366</f>
        <v>1419</v>
      </c>
      <c r="EA260" s="855">
        <f>Inputs!EA366</f>
        <v>1401</v>
      </c>
      <c r="EB260" s="855">
        <f>Inputs!EB366</f>
        <v>1381</v>
      </c>
      <c r="EC260" s="855">
        <f>Inputs!EC366</f>
        <v>1349</v>
      </c>
      <c r="ED260" s="803">
        <f>+EC260</f>
        <v>1349</v>
      </c>
      <c r="EE260" s="855">
        <f>Inputs!EE366</f>
        <v>1327</v>
      </c>
      <c r="EF260" s="855">
        <f>Inputs!EF366</f>
        <v>1297</v>
      </c>
      <c r="EG260" s="855">
        <f>Inputs!EG366</f>
        <v>1264</v>
      </c>
      <c r="EH260" s="855">
        <f>Inputs!EH366</f>
        <v>1234</v>
      </c>
      <c r="EI260" s="803">
        <f>+EH260</f>
        <v>1234</v>
      </c>
      <c r="EJ260" s="855">
        <f>Inputs!EJ366</f>
        <v>1204</v>
      </c>
      <c r="EK260" s="855">
        <f>Inputs!EK366</f>
        <v>1163</v>
      </c>
      <c r="EL260" s="855">
        <f>Inputs!EL366</f>
        <v>1105</v>
      </c>
      <c r="EM260" s="855">
        <f>Inputs!EM366</f>
        <v>1043</v>
      </c>
      <c r="EN260" s="803">
        <f>+EM260</f>
        <v>1043</v>
      </c>
      <c r="EO260" s="855">
        <f>Inputs!EO366</f>
        <v>987</v>
      </c>
      <c r="EP260" s="855">
        <f>Inputs!EP366</f>
        <v>928</v>
      </c>
      <c r="EQ260" s="855">
        <f>Inputs!EQ366</f>
        <v>870</v>
      </c>
      <c r="ER260" s="855">
        <f>Inputs!ER366</f>
        <v>822</v>
      </c>
      <c r="ES260" s="803">
        <f>+ER260</f>
        <v>822</v>
      </c>
      <c r="ET260" s="803">
        <f t="shared" ref="ET260:EW260" si="1287">SUM(ET257:ET259)</f>
        <v>775.61454000000003</v>
      </c>
      <c r="EU260" s="803">
        <f t="shared" si="1287"/>
        <v>724.2378328704001</v>
      </c>
      <c r="EV260" s="803">
        <f t="shared" si="1287"/>
        <v>674.50442088718967</v>
      </c>
      <c r="EW260" s="803">
        <f t="shared" si="1287"/>
        <v>633.10333953313398</v>
      </c>
      <c r="EX260" s="803">
        <f>+EW260</f>
        <v>633.10333953313398</v>
      </c>
      <c r="EY260" s="803">
        <f t="shared" ref="EY260:FB260" si="1288">SUM(EY257:EY259)</f>
        <v>595.59101701078646</v>
      </c>
      <c r="EZ260" s="803">
        <f t="shared" si="1288"/>
        <v>554.16647059565219</v>
      </c>
      <c r="FA260" s="803">
        <f t="shared" si="1288"/>
        <v>514.20912848305852</v>
      </c>
      <c r="FB260" s="803">
        <f t="shared" si="1288"/>
        <v>481.0688643614539</v>
      </c>
      <c r="FC260" s="803">
        <f>+FB260</f>
        <v>481.0688643614539</v>
      </c>
      <c r="FD260" s="803">
        <f t="shared" ref="FD260:FG260" si="1289">SUM(FD257:FD259)</f>
        <v>451.13960995390556</v>
      </c>
      <c r="FE260" s="803">
        <f t="shared" si="1289"/>
        <v>418.1930646948158</v>
      </c>
      <c r="FF260" s="803">
        <f t="shared" si="1289"/>
        <v>386.532221872582</v>
      </c>
      <c r="FG260" s="803">
        <f t="shared" si="1289"/>
        <v>360.37502594674265</v>
      </c>
      <c r="FH260" s="803">
        <f>+FG260</f>
        <v>360.37502594674265</v>
      </c>
      <c r="FI260" s="803">
        <f t="shared" ref="FI260:FM260" si="1290">SUM(FI257:FI259)</f>
        <v>260.20990478931145</v>
      </c>
      <c r="FJ260" s="803">
        <f t="shared" si="1290"/>
        <v>187.88536850627602</v>
      </c>
      <c r="FK260" s="803">
        <f t="shared" si="1290"/>
        <v>135.66321284857247</v>
      </c>
      <c r="FL260" s="803">
        <f t="shared" si="1290"/>
        <v>97.95604344668439</v>
      </c>
      <c r="FM260" s="803">
        <f t="shared" si="1290"/>
        <v>70.729464872980031</v>
      </c>
      <c r="FN260" s="189">
        <f>+(FJ260/ES260)^0.2-1</f>
        <v>-0.25560366081801711</v>
      </c>
      <c r="FR260" s="74"/>
    </row>
    <row r="261" spans="1:174" x14ac:dyDescent="0.3">
      <c r="A261" s="61" t="s">
        <v>339</v>
      </c>
      <c r="DU261" s="76"/>
      <c r="DV261" s="76"/>
      <c r="DZ261" s="83">
        <f t="shared" ref="DZ261:ER261" si="1291">+DZ260/DU260-1</f>
        <v>-9.3290734824281185E-2</v>
      </c>
      <c r="EA261" s="83">
        <f t="shared" si="1291"/>
        <v>-8.010505581089955E-2</v>
      </c>
      <c r="EB261" s="83">
        <f t="shared" si="1291"/>
        <v>-6.3728813559322028E-2</v>
      </c>
      <c r="EC261" s="83">
        <f t="shared" si="1291"/>
        <v>-6.4493758668515921E-2</v>
      </c>
      <c r="ED261" s="91">
        <f t="shared" si="1291"/>
        <v>-6.4493758668515921E-2</v>
      </c>
      <c r="EE261" s="83">
        <f t="shared" si="1291"/>
        <v>-6.4834390415785759E-2</v>
      </c>
      <c r="EF261" s="83">
        <f t="shared" si="1291"/>
        <v>-7.4232690935046364E-2</v>
      </c>
      <c r="EG261" s="83">
        <f t="shared" si="1291"/>
        <v>-8.4721216509775488E-2</v>
      </c>
      <c r="EH261" s="83">
        <f t="shared" si="1291"/>
        <v>-8.524833209785021E-2</v>
      </c>
      <c r="EI261" s="91">
        <f t="shared" si="1291"/>
        <v>-8.524833209785021E-2</v>
      </c>
      <c r="EJ261" s="83">
        <f t="shared" si="1291"/>
        <v>-9.2690278824415939E-2</v>
      </c>
      <c r="EK261" s="83">
        <f t="shared" si="1291"/>
        <v>-0.10331534309946033</v>
      </c>
      <c r="EL261" s="83">
        <f t="shared" si="1291"/>
        <v>-0.12579113924050633</v>
      </c>
      <c r="EM261" s="83">
        <f t="shared" si="1291"/>
        <v>-0.15478119935170176</v>
      </c>
      <c r="EN261" s="91">
        <f>+EN260/EI260-1</f>
        <v>-0.15478119935170176</v>
      </c>
      <c r="EO261" s="83">
        <f t="shared" si="1291"/>
        <v>-0.18023255813953487</v>
      </c>
      <c r="EP261" s="83">
        <f t="shared" si="1291"/>
        <v>-0.20206362854686155</v>
      </c>
      <c r="EQ261" s="83">
        <f t="shared" si="1291"/>
        <v>-0.21266968325791857</v>
      </c>
      <c r="ER261" s="83">
        <f t="shared" si="1291"/>
        <v>-0.211888782358581</v>
      </c>
      <c r="ES261" s="91">
        <f>+ES260/EN260-1</f>
        <v>-0.211888782358581</v>
      </c>
      <c r="ET261" s="83">
        <f t="shared" ref="ET261:EW261" si="1292">+ET260/EO260-1</f>
        <v>-0.21416966565349538</v>
      </c>
      <c r="EU261" s="83">
        <f t="shared" si="1292"/>
        <v>-0.21957130078620679</v>
      </c>
      <c r="EV261" s="83">
        <f t="shared" si="1292"/>
        <v>-0.22470756219863253</v>
      </c>
      <c r="EW261" s="83">
        <f t="shared" si="1292"/>
        <v>-0.2298012901056764</v>
      </c>
      <c r="EX261" s="91">
        <f>+EX260/ES260-1</f>
        <v>-0.2298012901056764</v>
      </c>
      <c r="EY261" s="83">
        <f t="shared" ref="EY261" si="1293">+EY260/ET260-1</f>
        <v>-0.23210436847820515</v>
      </c>
      <c r="EZ261" s="83">
        <f t="shared" ref="EZ261" si="1294">+EZ260/EU260-1</f>
        <v>-0.23482805586211564</v>
      </c>
      <c r="FA261" s="83">
        <f t="shared" ref="FA261" si="1295">+FA260/EV260-1</f>
        <v>-0.23764898707897486</v>
      </c>
      <c r="FB261" s="83">
        <f t="shared" ref="FB261" si="1296">+FB260/EW260-1</f>
        <v>-0.24014164146376804</v>
      </c>
      <c r="FC261" s="91">
        <f>+FC260/EX260-1</f>
        <v>-0.24014164146376804</v>
      </c>
      <c r="FD261" s="83">
        <f t="shared" ref="FD261" si="1297">+FD260/EY260-1</f>
        <v>-0.24253456303264698</v>
      </c>
      <c r="FE261" s="83">
        <f t="shared" ref="FE261" si="1298">+FE260/EZ260-1</f>
        <v>-0.24536563129610456</v>
      </c>
      <c r="FF261" s="83">
        <f t="shared" ref="FF261" si="1299">+FF260/FA260-1</f>
        <v>-0.24829762744027806</v>
      </c>
      <c r="FG261" s="83">
        <f t="shared" ref="FG261" si="1300">+FG260/FB260-1</f>
        <v>-0.25088682173375332</v>
      </c>
      <c r="FH261" s="91">
        <f>+FH260/FC260-1</f>
        <v>-0.25088682173375332</v>
      </c>
      <c r="FI261" s="83">
        <f t="shared" ref="FI261:FM261" si="1301">+FI260/FH260-1</f>
        <v>-0.27794689960628383</v>
      </c>
      <c r="FJ261" s="83">
        <f t="shared" si="1301"/>
        <v>-0.27794689960628383</v>
      </c>
      <c r="FK261" s="83">
        <f t="shared" si="1301"/>
        <v>-0.27794689960628383</v>
      </c>
      <c r="FL261" s="83">
        <f t="shared" si="1301"/>
        <v>-0.27794689960628383</v>
      </c>
      <c r="FM261" s="83">
        <f t="shared" si="1301"/>
        <v>-0.27794689960628383</v>
      </c>
    </row>
    <row r="262" spans="1:174" x14ac:dyDescent="0.3">
      <c r="A262" s="65" t="s">
        <v>340</v>
      </c>
      <c r="DU262" s="80">
        <f>+Inputs!DU587</f>
        <v>-19</v>
      </c>
      <c r="DV262" s="77">
        <f>+DV260-DU260</f>
        <v>-42</v>
      </c>
      <c r="DW262" s="77">
        <f>+DW260-DV260</f>
        <v>-48</v>
      </c>
      <c r="DX262" s="77">
        <f>+DX260-DW260</f>
        <v>-33</v>
      </c>
      <c r="DY262" s="86">
        <f>+SUM(DU262:DX262)</f>
        <v>-142</v>
      </c>
      <c r="DZ262" s="77">
        <f t="shared" ref="DZ262:ER262" si="1302">+DZ260-DY260</f>
        <v>-23</v>
      </c>
      <c r="EA262" s="77">
        <f t="shared" si="1302"/>
        <v>-18</v>
      </c>
      <c r="EB262" s="77">
        <f t="shared" si="1302"/>
        <v>-20</v>
      </c>
      <c r="EC262" s="77">
        <f t="shared" si="1302"/>
        <v>-32</v>
      </c>
      <c r="ED262" s="86">
        <f>+SUM(DZ262:EC262)</f>
        <v>-93</v>
      </c>
      <c r="EE262" s="77">
        <f t="shared" si="1302"/>
        <v>-22</v>
      </c>
      <c r="EF262" s="77">
        <f t="shared" si="1302"/>
        <v>-30</v>
      </c>
      <c r="EG262" s="77">
        <f t="shared" si="1302"/>
        <v>-33</v>
      </c>
      <c r="EH262" s="77">
        <f t="shared" si="1302"/>
        <v>-30</v>
      </c>
      <c r="EI262" s="86">
        <f>+SUM(EE262:EH262)</f>
        <v>-115</v>
      </c>
      <c r="EJ262" s="77">
        <f t="shared" si="1302"/>
        <v>-30</v>
      </c>
      <c r="EK262" s="77">
        <f t="shared" si="1302"/>
        <v>-41</v>
      </c>
      <c r="EL262" s="77">
        <f t="shared" si="1302"/>
        <v>-58</v>
      </c>
      <c r="EM262" s="77">
        <f t="shared" si="1302"/>
        <v>-62</v>
      </c>
      <c r="EN262" s="86">
        <f>+SUM(EJ262:EM262)</f>
        <v>-191</v>
      </c>
      <c r="EO262" s="77">
        <f t="shared" si="1302"/>
        <v>-56</v>
      </c>
      <c r="EP262" s="77">
        <f t="shared" si="1302"/>
        <v>-59</v>
      </c>
      <c r="EQ262" s="77">
        <f t="shared" si="1302"/>
        <v>-58</v>
      </c>
      <c r="ER262" s="77">
        <f t="shared" si="1302"/>
        <v>-48</v>
      </c>
      <c r="ES262" s="86">
        <f>+SUM(EO262:ER262)</f>
        <v>-221</v>
      </c>
      <c r="ET262" s="77">
        <f t="shared" ref="ET262:EW262" si="1303">+ET260-ES260</f>
        <v>-46.385459999999966</v>
      </c>
      <c r="EU262" s="77">
        <f t="shared" si="1303"/>
        <v>-51.376707129599936</v>
      </c>
      <c r="EV262" s="77">
        <f t="shared" si="1303"/>
        <v>-49.733411983210431</v>
      </c>
      <c r="EW262" s="77">
        <f t="shared" si="1303"/>
        <v>-41.401081354055691</v>
      </c>
      <c r="EX262" s="86">
        <f>+SUM(ET262:EW262)</f>
        <v>-188.89666046686602</v>
      </c>
      <c r="EY262" s="77">
        <f t="shared" ref="EY262" si="1304">+EY260-EX260</f>
        <v>-37.512322522347517</v>
      </c>
      <c r="EZ262" s="77">
        <f t="shared" ref="EZ262" si="1305">+EZ260-EY260</f>
        <v>-41.424546415134273</v>
      </c>
      <c r="FA262" s="77">
        <f t="shared" ref="FA262" si="1306">+FA260-EZ260</f>
        <v>-39.957342112593665</v>
      </c>
      <c r="FB262" s="77">
        <f t="shared" ref="FB262" si="1307">+FB260-FA260</f>
        <v>-33.140264121604616</v>
      </c>
      <c r="FC262" s="86">
        <f>+SUM(EY262:FB262)</f>
        <v>-152.03447517168007</v>
      </c>
      <c r="FD262" s="77">
        <f t="shared" ref="FD262" si="1308">+FD260-FC260</f>
        <v>-29.929254407548342</v>
      </c>
      <c r="FE262" s="77">
        <f t="shared" ref="FE262" si="1309">+FE260-FD260</f>
        <v>-32.94654525908976</v>
      </c>
      <c r="FF262" s="77">
        <f t="shared" ref="FF262" si="1310">+FF260-FE260</f>
        <v>-31.660842822233803</v>
      </c>
      <c r="FG262" s="77">
        <f t="shared" ref="FG262" si="1311">+FG260-FF260</f>
        <v>-26.157195925839346</v>
      </c>
      <c r="FH262" s="86">
        <f>+SUM(FD262:FG262)</f>
        <v>-120.69383841471125</v>
      </c>
      <c r="FI262" s="77">
        <f t="shared" ref="FI262:FM262" si="1312">+FI260-FH260</f>
        <v>-100.1651211574312</v>
      </c>
      <c r="FJ262" s="77">
        <f t="shared" si="1312"/>
        <v>-72.324536283035428</v>
      </c>
      <c r="FK262" s="77">
        <f t="shared" si="1312"/>
        <v>-52.222155657703553</v>
      </c>
      <c r="FL262" s="77">
        <f t="shared" si="1312"/>
        <v>-37.707169401888081</v>
      </c>
      <c r="FM262" s="77">
        <f t="shared" si="1312"/>
        <v>-27.226578573704359</v>
      </c>
    </row>
    <row r="263" spans="1:174" x14ac:dyDescent="0.3">
      <c r="A263" s="65" t="s">
        <v>341</v>
      </c>
      <c r="DU263" s="94"/>
      <c r="DV263" s="1198">
        <f t="shared" ref="DV263:ER263" si="1313">+DV258/DV107</f>
        <v>6.802913918343487E-3</v>
      </c>
      <c r="DW263" s="1198">
        <f t="shared" si="1313"/>
        <v>7.0552726058278345E-3</v>
      </c>
      <c r="DX263" s="1198">
        <f t="shared" si="1313"/>
        <v>6.5920096852300327E-3</v>
      </c>
      <c r="DY263" s="93">
        <f t="shared" si="1313"/>
        <v>2.8306721215663362E-2</v>
      </c>
      <c r="DZ263" s="1198">
        <f t="shared" si="1313"/>
        <v>6.6062727082898242E-3</v>
      </c>
      <c r="EA263" s="1198">
        <f t="shared" si="1313"/>
        <v>5.7185807422266708E-3</v>
      </c>
      <c r="EB263" s="1198">
        <f t="shared" si="1313"/>
        <v>5.7449123834218494E-3</v>
      </c>
      <c r="EC263" s="1198">
        <f t="shared" si="1313"/>
        <v>4.1274054190084744E-3</v>
      </c>
      <c r="ED263" s="93">
        <f t="shared" si="1313"/>
        <v>2.2202898793215214E-2</v>
      </c>
      <c r="EE263" s="1198">
        <f t="shared" si="1313"/>
        <v>3.679483064448015E-3</v>
      </c>
      <c r="EF263" s="1198">
        <f t="shared" si="1313"/>
        <v>3.1026661563975017E-3</v>
      </c>
      <c r="EG263" s="1198">
        <f t="shared" si="1313"/>
        <v>3.4835574650912988E-3</v>
      </c>
      <c r="EH263" s="1198">
        <f t="shared" si="1313"/>
        <v>2.9770984365446842E-3</v>
      </c>
      <c r="EI263" s="93">
        <f t="shared" si="1313"/>
        <v>1.3252403393025461E-2</v>
      </c>
      <c r="EJ263" s="1198">
        <f t="shared" si="1313"/>
        <v>2.3685796843743007E-3</v>
      </c>
      <c r="EK263" s="1198">
        <f t="shared" si="1313"/>
        <v>1.9531518429305029E-3</v>
      </c>
      <c r="EL263" s="1198">
        <f t="shared" si="1313"/>
        <v>1.1677319732347681E-3</v>
      </c>
      <c r="EM263" s="1198">
        <f t="shared" si="1313"/>
        <v>3.1052606200888803E-5</v>
      </c>
      <c r="EN263" s="93">
        <f t="shared" si="1313"/>
        <v>5.6279327544799659E-3</v>
      </c>
      <c r="EO263" s="1198">
        <f t="shared" si="1313"/>
        <v>-2.4793478801132156E-4</v>
      </c>
      <c r="EP263" s="1198">
        <f t="shared" si="1313"/>
        <v>-4.6420057542129222E-4</v>
      </c>
      <c r="EQ263" s="1198">
        <f t="shared" si="1313"/>
        <v>2.8605442176870546E-4</v>
      </c>
      <c r="ER263" s="1198">
        <f t="shared" si="1313"/>
        <v>6.0161974546862333E-5</v>
      </c>
      <c r="ES263" s="93">
        <f>+ES258/ES107</f>
        <v>-3.9446113651207056E-4</v>
      </c>
      <c r="ET263" s="82">
        <v>0</v>
      </c>
      <c r="EU263" s="82">
        <v>0</v>
      </c>
      <c r="EV263" s="82">
        <v>0</v>
      </c>
      <c r="EW263" s="82">
        <v>0</v>
      </c>
      <c r="EX263" s="93">
        <f>+EX258/EX107</f>
        <v>0</v>
      </c>
      <c r="EY263" s="82">
        <f t="shared" ref="EY263:FB263" si="1314">+ET263*0.9</f>
        <v>0</v>
      </c>
      <c r="EZ263" s="82">
        <f t="shared" si="1314"/>
        <v>0</v>
      </c>
      <c r="FA263" s="82">
        <f t="shared" si="1314"/>
        <v>0</v>
      </c>
      <c r="FB263" s="82">
        <f t="shared" si="1314"/>
        <v>0</v>
      </c>
      <c r="FC263" s="93">
        <f>+FC258/FC107</f>
        <v>0</v>
      </c>
      <c r="FD263" s="82">
        <f t="shared" ref="FD263" si="1315">+EY263*0.9</f>
        <v>0</v>
      </c>
      <c r="FE263" s="82">
        <f t="shared" ref="FE263" si="1316">+EZ263*0.9</f>
        <v>0</v>
      </c>
      <c r="FF263" s="82">
        <f t="shared" ref="FF263" si="1317">+FA263*0.9</f>
        <v>0</v>
      </c>
      <c r="FG263" s="82">
        <f t="shared" ref="FG263" si="1318">+FB263*0.9</f>
        <v>0</v>
      </c>
      <c r="FH263" s="93">
        <f>+FH258/FH107</f>
        <v>0</v>
      </c>
      <c r="FI263" s="82">
        <f>+FH263*0.8</f>
        <v>0</v>
      </c>
      <c r="FJ263" s="82">
        <f t="shared" ref="FJ263:FM263" si="1319">+FI263*0.8</f>
        <v>0</v>
      </c>
      <c r="FK263" s="82">
        <f t="shared" si="1319"/>
        <v>0</v>
      </c>
      <c r="FL263" s="82">
        <f t="shared" si="1319"/>
        <v>0</v>
      </c>
      <c r="FM263" s="82">
        <f t="shared" si="1319"/>
        <v>0</v>
      </c>
    </row>
    <row r="264" spans="1:174" x14ac:dyDescent="0.3">
      <c r="A264" s="65" t="s">
        <v>342</v>
      </c>
      <c r="DU264" s="827">
        <f>Inputs!DU417</f>
        <v>2.3800000000000002E-2</v>
      </c>
      <c r="DV264" s="827">
        <f>Inputs!DV417</f>
        <v>2.63E-2</v>
      </c>
      <c r="DW264" s="827">
        <f>Inputs!DW417</f>
        <v>2.9000000000000001E-2</v>
      </c>
      <c r="DX264" s="827">
        <f>Inputs!DX417</f>
        <v>2.53E-2</v>
      </c>
      <c r="DY264" s="84">
        <f>+DY259/AVERAGE(DU257:DX257)/-12</f>
        <v>2.608478932812754E-2</v>
      </c>
      <c r="DZ264" s="827">
        <f>Inputs!DZ417</f>
        <v>2.3599999999999999E-2</v>
      </c>
      <c r="EA264" s="827">
        <f>Inputs!EA417</f>
        <v>2.0299999999999999E-2</v>
      </c>
      <c r="EB264" s="827">
        <f>Inputs!EB417</f>
        <v>2.1100000000000001E-2</v>
      </c>
      <c r="EC264" s="827">
        <f>Inputs!EC417</f>
        <v>1.9599999999999999E-2</v>
      </c>
      <c r="ED264" s="93">
        <f>+ED259/AVERAGE(DZ257:EC257)/-12</f>
        <v>2.11705830232146E-2</v>
      </c>
      <c r="EE264" s="827">
        <f>Inputs!EE417</f>
        <v>1.6199999999999999E-2</v>
      </c>
      <c r="EF264" s="827">
        <f>Inputs!EF417</f>
        <v>1.67E-2</v>
      </c>
      <c r="EG264" s="827">
        <f>Inputs!EG417</f>
        <v>1.89E-2</v>
      </c>
      <c r="EH264" s="827">
        <f>Inputs!EH417</f>
        <v>1.6899999999999998E-2</v>
      </c>
      <c r="EI264" s="93">
        <f>+EI259/AVERAGE(EE257:EH257)/-12</f>
        <v>1.7164330723696775E-2</v>
      </c>
      <c r="EJ264" s="827">
        <f>Inputs!EJ417</f>
        <v>1.5299999999999999E-2</v>
      </c>
      <c r="EK264" s="827">
        <f>Inputs!EK417</f>
        <v>1.7299999999999999E-2</v>
      </c>
      <c r="EL264" s="827">
        <f>Inputs!EL417</f>
        <v>2.0199999999999999E-2</v>
      </c>
      <c r="EM264" s="827">
        <f>Inputs!EM417</f>
        <v>1.8800000000000001E-2</v>
      </c>
      <c r="EN264" s="93">
        <f>+EN259/AVERAGE(EJ257:EM257)/-12</f>
        <v>1.7844453888652783E-2</v>
      </c>
      <c r="EO264" s="827">
        <f>Inputs!EO417</f>
        <v>1.7100000000000001E-2</v>
      </c>
      <c r="EP264" s="827">
        <f>Inputs!EP417</f>
        <v>1.84E-2</v>
      </c>
      <c r="EQ264" s="827">
        <f>Inputs!EQ417</f>
        <v>2.18E-2</v>
      </c>
      <c r="ER264" s="827">
        <f>Inputs!ER417</f>
        <v>1.8599999999999998E-2</v>
      </c>
      <c r="ES264" s="93">
        <f>+ES259/AVERAGE(EO257:ER257)/-12</f>
        <v>1.8915491118077322E-2</v>
      </c>
      <c r="ET264" s="82">
        <f>EO264*1.1</f>
        <v>1.8810000000000004E-2</v>
      </c>
      <c r="EU264" s="82">
        <f>EP264*1.2</f>
        <v>2.2079999999999999E-2</v>
      </c>
      <c r="EV264" s="82">
        <f>EQ264*1.05</f>
        <v>2.2890000000000001E-2</v>
      </c>
      <c r="EW264" s="82">
        <f t="shared" ref="EW264" si="1320">ER264*1.1</f>
        <v>2.0459999999999999E-2</v>
      </c>
      <c r="EX264" s="93">
        <f>+EX259/AVERAGE(ET257:EW257)/-12</f>
        <v>2.1014037320299637E-2</v>
      </c>
      <c r="EY264" s="82">
        <f>ET264*1.05</f>
        <v>1.9750500000000004E-2</v>
      </c>
      <c r="EZ264" s="82">
        <f t="shared" ref="EZ264:FB264" si="1321">EU264*1.05</f>
        <v>2.3184E-2</v>
      </c>
      <c r="FA264" s="82">
        <f t="shared" si="1321"/>
        <v>2.40345E-2</v>
      </c>
      <c r="FB264" s="82">
        <f t="shared" si="1321"/>
        <v>2.1482999999999999E-2</v>
      </c>
      <c r="FC264" s="93">
        <f>+FC259/AVERAGE(EY257:FB257)/-12</f>
        <v>2.2062087515668821E-2</v>
      </c>
      <c r="FD264" s="82">
        <f>EY264*1.05</f>
        <v>2.0738025000000004E-2</v>
      </c>
      <c r="FE264" s="82">
        <f t="shared" ref="FE264" si="1322">EZ264*1.05</f>
        <v>2.4343200000000002E-2</v>
      </c>
      <c r="FF264" s="82">
        <f t="shared" ref="FF264" si="1323">FA264*1.05</f>
        <v>2.5236225000000001E-2</v>
      </c>
      <c r="FG264" s="82">
        <f t="shared" ref="FG264" si="1324">FB264*1.05</f>
        <v>2.2557149999999998E-2</v>
      </c>
      <c r="FH264" s="93">
        <f>+FH259/AVERAGE(FD257:FG257)/-12</f>
        <v>2.3162241633856984E-2</v>
      </c>
      <c r="FI264" s="82">
        <f t="shared" ref="FI264:FM264" si="1325">FH264</f>
        <v>2.3162241633856984E-2</v>
      </c>
      <c r="FJ264" s="82">
        <f t="shared" si="1325"/>
        <v>2.3162241633856984E-2</v>
      </c>
      <c r="FK264" s="82">
        <f t="shared" si="1325"/>
        <v>2.3162241633856984E-2</v>
      </c>
      <c r="FL264" s="82">
        <f t="shared" si="1325"/>
        <v>2.3162241633856984E-2</v>
      </c>
      <c r="FM264" s="82">
        <f t="shared" si="1325"/>
        <v>2.3162241633856984E-2</v>
      </c>
    </row>
    <row r="265" spans="1:174" x14ac:dyDescent="0.3">
      <c r="A265" s="65" t="s">
        <v>210</v>
      </c>
      <c r="DU265" s="88">
        <f t="shared" ref="DU265:FM265" si="1326">+DU260/DU94</f>
        <v>0.13066711196459882</v>
      </c>
      <c r="DV265" s="88">
        <f t="shared" si="1326"/>
        <v>0.12716039074893545</v>
      </c>
      <c r="DW265" s="88">
        <f t="shared" si="1326"/>
        <v>0.12315270935960591</v>
      </c>
      <c r="DX265" s="88">
        <f t="shared" si="1326"/>
        <v>0.12039742840444184</v>
      </c>
      <c r="DY265" s="89">
        <f t="shared" si="1326"/>
        <v>0.12039742840444184</v>
      </c>
      <c r="DZ265" s="88">
        <f t="shared" si="1326"/>
        <v>0.11856617647058823</v>
      </c>
      <c r="EA265" s="88">
        <f t="shared" si="1326"/>
        <v>0.11714046822742474</v>
      </c>
      <c r="EB265" s="88">
        <f t="shared" si="1326"/>
        <v>0.11555518366663878</v>
      </c>
      <c r="EC265" s="88">
        <f t="shared" si="1326"/>
        <v>0.11344714489950383</v>
      </c>
      <c r="ED265" s="89">
        <f t="shared" si="1326"/>
        <v>0.11344714489950383</v>
      </c>
      <c r="EE265" s="88">
        <f t="shared" si="1326"/>
        <v>0.11258165775854755</v>
      </c>
      <c r="EF265" s="88">
        <f t="shared" si="1326"/>
        <v>0.11057118499573743</v>
      </c>
      <c r="EG265" s="88">
        <f t="shared" si="1326"/>
        <v>0.10948462537895193</v>
      </c>
      <c r="EH265" s="88">
        <f t="shared" si="1326"/>
        <v>0.10869373733814851</v>
      </c>
      <c r="EI265" s="89">
        <f t="shared" si="1326"/>
        <v>0.10869373733814851</v>
      </c>
      <c r="EJ265" s="88">
        <f t="shared" si="1326"/>
        <v>0.10805959432776881</v>
      </c>
      <c r="EK265" s="88">
        <f t="shared" si="1326"/>
        <v>0.10708037933891906</v>
      </c>
      <c r="EL265" s="88">
        <f t="shared" si="1326"/>
        <v>0.10513796384395814</v>
      </c>
      <c r="EM265" s="88">
        <f t="shared" si="1326"/>
        <v>0.101965001466419</v>
      </c>
      <c r="EN265" s="89">
        <f t="shared" si="1326"/>
        <v>0.101965001466419</v>
      </c>
      <c r="EO265" s="88">
        <f t="shared" si="1326"/>
        <v>9.9797775530839225E-2</v>
      </c>
      <c r="EP265" s="88">
        <f t="shared" si="1326"/>
        <v>9.6929183204512215E-2</v>
      </c>
      <c r="EQ265" s="88">
        <f t="shared" si="1326"/>
        <v>9.4135468513308812E-2</v>
      </c>
      <c r="ER265" s="88">
        <f t="shared" si="1326"/>
        <v>9.2266247614771577E-2</v>
      </c>
      <c r="ES265" s="89">
        <f t="shared" si="1326"/>
        <v>9.2266247614771577E-2</v>
      </c>
      <c r="ET265" s="88">
        <f t="shared" si="1326"/>
        <v>9.0191884200675601E-2</v>
      </c>
      <c r="EU265" s="88">
        <f t="shared" si="1326"/>
        <v>8.7262348627451983E-2</v>
      </c>
      <c r="EV265" s="88">
        <f t="shared" si="1326"/>
        <v>8.4396710850529286E-2</v>
      </c>
      <c r="EW265" s="88">
        <f t="shared" si="1326"/>
        <v>8.2255396987466742E-2</v>
      </c>
      <c r="EX265" s="89">
        <f t="shared" si="1326"/>
        <v>8.2255396987466742E-2</v>
      </c>
      <c r="EY265" s="88">
        <f t="shared" ref="EY265:FC265" si="1327">+EY260/EY94</f>
        <v>8.0655260241519575E-2</v>
      </c>
      <c r="EZ265" s="88">
        <f t="shared" si="1327"/>
        <v>7.821120218602115E-2</v>
      </c>
      <c r="FA265" s="88">
        <f t="shared" si="1327"/>
        <v>7.5850136246556024E-2</v>
      </c>
      <c r="FB265" s="88">
        <f t="shared" si="1327"/>
        <v>7.4177727207307087E-2</v>
      </c>
      <c r="FC265" s="89">
        <f t="shared" si="1327"/>
        <v>7.4177727207307087E-2</v>
      </c>
      <c r="FD265" s="88">
        <f t="shared" si="1326"/>
        <v>7.3119258522365269E-2</v>
      </c>
      <c r="FE265" s="88">
        <f t="shared" si="1326"/>
        <v>7.1215654258106706E-2</v>
      </c>
      <c r="FF265" s="88">
        <f t="shared" si="1326"/>
        <v>6.7988867605292394E-2</v>
      </c>
      <c r="FG265" s="88">
        <f t="shared" si="1326"/>
        <v>6.2940246942855882E-2</v>
      </c>
      <c r="FH265" s="89">
        <f t="shared" ref="FH265" si="1328">+FH260/FH94</f>
        <v>6.2940246942855882E-2</v>
      </c>
      <c r="FI265" s="88">
        <f t="shared" si="1326"/>
        <v>4.5366335837782233E-2</v>
      </c>
      <c r="FJ265" s="88">
        <f t="shared" si="1326"/>
        <v>3.2700745087314555E-2</v>
      </c>
      <c r="FK265" s="88">
        <f t="shared" si="1326"/>
        <v>2.3572222433001895E-2</v>
      </c>
      <c r="FL265" s="88">
        <f t="shared" si="1326"/>
        <v>1.6992708581914821E-2</v>
      </c>
      <c r="FM265" s="88">
        <f t="shared" si="1326"/>
        <v>1.2250227363800402E-2</v>
      </c>
    </row>
    <row r="266" spans="1:174" x14ac:dyDescent="0.3">
      <c r="A266" s="65"/>
      <c r="EJ266" s="623"/>
      <c r="EK266" s="623"/>
      <c r="EL266" s="623"/>
      <c r="EM266" s="623"/>
      <c r="EN266" s="1210"/>
      <c r="EO266" s="623"/>
      <c r="EP266" s="623"/>
      <c r="EQ266" s="623"/>
      <c r="ER266" s="623"/>
      <c r="ET266" s="623"/>
      <c r="EU266" s="623"/>
      <c r="EV266" s="623"/>
      <c r="EW266" s="623"/>
      <c r="EY266" s="623"/>
      <c r="EZ266" s="623"/>
      <c r="FA266" s="623"/>
      <c r="FB266" s="623"/>
      <c r="FD266" s="623"/>
      <c r="FE266" s="623"/>
      <c r="FF266" s="623"/>
      <c r="FG266" s="623"/>
    </row>
    <row r="267" spans="1:174" s="108" customFormat="1" x14ac:dyDescent="0.3">
      <c r="A267" s="78" t="s">
        <v>401</v>
      </c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  <c r="AA267" s="119"/>
      <c r="AB267" s="119"/>
      <c r="AC267" s="119"/>
      <c r="AD267" s="119"/>
      <c r="AE267" s="119"/>
      <c r="AF267" s="119"/>
      <c r="AG267" s="119"/>
      <c r="AH267" s="119"/>
      <c r="AI267" s="119"/>
      <c r="AJ267" s="119"/>
      <c r="AK267" s="119"/>
      <c r="AL267" s="119"/>
      <c r="AM267" s="119"/>
      <c r="AN267" s="119"/>
      <c r="AO267" s="119"/>
      <c r="AP267" s="119"/>
      <c r="AQ267" s="119"/>
      <c r="AR267" s="119"/>
      <c r="AS267" s="119"/>
      <c r="AT267" s="119"/>
      <c r="AU267" s="119"/>
      <c r="AV267" s="119"/>
      <c r="AW267" s="119"/>
      <c r="AX267" s="119"/>
      <c r="AY267" s="119"/>
      <c r="AZ267" s="119"/>
      <c r="BA267" s="119"/>
      <c r="BB267" s="119"/>
      <c r="BC267" s="119"/>
      <c r="BD267" s="119"/>
      <c r="BE267" s="119"/>
      <c r="BF267" s="119"/>
      <c r="BG267" s="119"/>
      <c r="BH267" s="119"/>
      <c r="BI267" s="119"/>
      <c r="BJ267" s="119"/>
      <c r="BK267" s="119"/>
      <c r="BL267" s="119"/>
      <c r="BM267" s="119"/>
      <c r="BN267" s="119"/>
      <c r="BO267" s="119"/>
      <c r="BP267" s="119"/>
      <c r="BQ267" s="119"/>
      <c r="BR267" s="119"/>
      <c r="BS267" s="119"/>
      <c r="BT267" s="119"/>
      <c r="BU267" s="119"/>
      <c r="BV267" s="119"/>
      <c r="BW267" s="119"/>
      <c r="BX267" s="119"/>
      <c r="BY267" s="119"/>
      <c r="BZ267" s="119"/>
      <c r="CA267" s="119"/>
      <c r="CB267" s="119"/>
      <c r="CC267" s="119"/>
      <c r="CD267" s="119"/>
      <c r="CE267" s="119"/>
      <c r="CF267" s="119"/>
      <c r="CG267" s="119"/>
      <c r="CH267" s="119"/>
      <c r="CI267" s="119"/>
      <c r="CJ267" s="119"/>
      <c r="CK267" s="119"/>
      <c r="CL267" s="119"/>
      <c r="CM267" s="119"/>
      <c r="CN267" s="119"/>
      <c r="CO267" s="119"/>
      <c r="CP267" s="119"/>
      <c r="CQ267" s="119"/>
      <c r="CR267" s="119"/>
      <c r="CS267" s="119"/>
      <c r="CT267" s="119"/>
      <c r="CU267" s="119"/>
      <c r="CV267" s="119"/>
      <c r="CW267" s="119"/>
      <c r="CX267" s="119"/>
      <c r="CY267" s="119"/>
      <c r="CZ267" s="119"/>
      <c r="DA267" s="119"/>
      <c r="DB267" s="119"/>
      <c r="DC267" s="119"/>
      <c r="DD267" s="119"/>
      <c r="DE267" s="119"/>
      <c r="DF267" s="119"/>
      <c r="DG267" s="119"/>
      <c r="DH267" s="119"/>
      <c r="DI267" s="119"/>
      <c r="DJ267" s="119"/>
      <c r="DK267" s="119"/>
      <c r="DL267" s="119"/>
      <c r="DM267" s="119"/>
      <c r="DN267" s="119"/>
      <c r="DO267" s="119"/>
      <c r="DP267" s="119"/>
      <c r="DQ267" s="119"/>
      <c r="DR267" s="119"/>
      <c r="DS267" s="119"/>
      <c r="DT267" s="119"/>
      <c r="DU267" s="119"/>
      <c r="DV267" s="119"/>
      <c r="DW267" s="119"/>
      <c r="DX267" s="119"/>
      <c r="DY267" s="1202"/>
      <c r="DZ267" s="119"/>
      <c r="EA267" s="119"/>
      <c r="EB267" s="119"/>
      <c r="EC267" s="119"/>
      <c r="ED267" s="1202"/>
      <c r="EE267" s="119"/>
      <c r="EF267" s="119"/>
      <c r="EG267" s="119"/>
      <c r="EH267" s="119"/>
      <c r="EI267" s="1202"/>
      <c r="EJ267" s="119"/>
      <c r="EK267" s="119"/>
      <c r="EL267" s="119"/>
      <c r="EM267" s="119"/>
      <c r="EN267" s="1202"/>
      <c r="EO267" s="119"/>
      <c r="EP267" s="119"/>
      <c r="EQ267" s="119"/>
      <c r="ER267" s="119"/>
      <c r="ES267" s="119"/>
      <c r="ET267" s="119"/>
      <c r="EU267" s="119"/>
      <c r="EV267" s="119"/>
      <c r="EW267" s="119"/>
      <c r="EX267" s="119"/>
      <c r="EY267" s="119"/>
      <c r="EZ267" s="119"/>
      <c r="FA267" s="119"/>
      <c r="FB267" s="119"/>
      <c r="FC267" s="119"/>
      <c r="FD267" s="119"/>
      <c r="FE267" s="119"/>
      <c r="FF267" s="119"/>
      <c r="FG267" s="119"/>
      <c r="FH267" s="119"/>
      <c r="FI267" s="119"/>
      <c r="FJ267" s="119"/>
      <c r="FK267" s="119"/>
      <c r="FL267" s="119"/>
      <c r="FM267" s="119"/>
    </row>
    <row r="268" spans="1:174" s="108" customFormat="1" x14ac:dyDescent="0.3">
      <c r="A268" s="63" t="s">
        <v>344</v>
      </c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  <c r="Z268" s="119"/>
      <c r="AA268" s="119"/>
      <c r="AB268" s="119"/>
      <c r="AC268" s="119"/>
      <c r="AD268" s="119"/>
      <c r="AE268" s="119"/>
      <c r="AF268" s="119"/>
      <c r="AG268" s="119"/>
      <c r="AH268" s="119"/>
      <c r="AI268" s="119"/>
      <c r="AJ268" s="119"/>
      <c r="AK268" s="119"/>
      <c r="AL268" s="119"/>
      <c r="AM268" s="119"/>
      <c r="AN268" s="119"/>
      <c r="AO268" s="119"/>
      <c r="AP268" s="119"/>
      <c r="AQ268" s="119"/>
      <c r="AR268" s="119"/>
      <c r="AS268" s="119"/>
      <c r="AT268" s="119"/>
      <c r="AU268" s="119"/>
      <c r="AV268" s="119"/>
      <c r="AW268" s="119"/>
      <c r="AX268" s="119"/>
      <c r="AY268" s="119"/>
      <c r="AZ268" s="119"/>
      <c r="BA268" s="119"/>
      <c r="BB268" s="119"/>
      <c r="BC268" s="119"/>
      <c r="BD268" s="119"/>
      <c r="BE268" s="119"/>
      <c r="BF268" s="119"/>
      <c r="BG268" s="119"/>
      <c r="BH268" s="119"/>
      <c r="BI268" s="119"/>
      <c r="BJ268" s="119"/>
      <c r="BK268" s="119"/>
      <c r="BL268" s="119"/>
      <c r="BM268" s="119"/>
      <c r="BN268" s="119"/>
      <c r="BO268" s="119"/>
      <c r="BP268" s="119"/>
      <c r="BQ268" s="119"/>
      <c r="BR268" s="119"/>
      <c r="BS268" s="119"/>
      <c r="BT268" s="119"/>
      <c r="BU268" s="119"/>
      <c r="BV268" s="119"/>
      <c r="BW268" s="119"/>
      <c r="BX268" s="119"/>
      <c r="BY268" s="119"/>
      <c r="BZ268" s="119"/>
      <c r="CA268" s="119"/>
      <c r="CB268" s="119"/>
      <c r="CC268" s="119"/>
      <c r="CD268" s="119"/>
      <c r="CE268" s="119"/>
      <c r="CF268" s="119"/>
      <c r="CG268" s="119"/>
      <c r="CH268" s="119"/>
      <c r="CI268" s="119"/>
      <c r="CJ268" s="119"/>
      <c r="CK268" s="119"/>
      <c r="CL268" s="119"/>
      <c r="CM268" s="119"/>
      <c r="CN268" s="119"/>
      <c r="CO268" s="119"/>
      <c r="CP268" s="119"/>
      <c r="CQ268" s="119"/>
      <c r="CR268" s="119"/>
      <c r="CS268" s="119"/>
      <c r="CT268" s="119"/>
      <c r="CU268" s="119"/>
      <c r="CV268" s="119"/>
      <c r="CW268" s="119"/>
      <c r="CX268" s="119"/>
      <c r="CY268" s="119"/>
      <c r="CZ268" s="119"/>
      <c r="DA268" s="119"/>
      <c r="DB268" s="119"/>
      <c r="DC268" s="119"/>
      <c r="DD268" s="119"/>
      <c r="DE268" s="119"/>
      <c r="DF268" s="119"/>
      <c r="DG268" s="119"/>
      <c r="DH268" s="119"/>
      <c r="DI268" s="119"/>
      <c r="DJ268" s="119"/>
      <c r="DK268" s="119"/>
      <c r="DL268" s="119"/>
      <c r="DM268" s="119"/>
      <c r="DN268" s="119"/>
      <c r="DO268" s="119"/>
      <c r="DP268" s="119"/>
      <c r="DQ268" s="119"/>
      <c r="DR268" s="119"/>
      <c r="DS268" s="119"/>
      <c r="DT268" s="119"/>
      <c r="DU268" s="159">
        <v>127.60602249442759</v>
      </c>
      <c r="DV268" s="56">
        <f>+DU271</f>
        <v>118.61091580089591</v>
      </c>
      <c r="DW268" s="56">
        <f>+DV271</f>
        <v>110.91066219024958</v>
      </c>
      <c r="DX268" s="56">
        <f>+DW271</f>
        <v>101.32842012898928</v>
      </c>
      <c r="DY268" s="60">
        <f>+DU268</f>
        <v>127.60602249442759</v>
      </c>
      <c r="DZ268" s="56">
        <f>DZ271-DZ273</f>
        <v>93</v>
      </c>
      <c r="EA268" s="56">
        <f>+DZ271</f>
        <v>87</v>
      </c>
      <c r="EB268" s="56">
        <f>+EA271</f>
        <v>82</v>
      </c>
      <c r="EC268" s="56">
        <f>+EB271</f>
        <v>75</v>
      </c>
      <c r="ED268" s="60">
        <f>+DZ268</f>
        <v>93</v>
      </c>
      <c r="EE268" s="56">
        <f>+ED271</f>
        <v>69</v>
      </c>
      <c r="EF268" s="56">
        <f>+EE271</f>
        <v>64</v>
      </c>
      <c r="EG268" s="56">
        <f>+EF271</f>
        <v>60</v>
      </c>
      <c r="EH268" s="56">
        <f>+EG271</f>
        <v>57</v>
      </c>
      <c r="EI268" s="60">
        <f>+EE268</f>
        <v>69</v>
      </c>
      <c r="EJ268" s="56">
        <f>+EI271</f>
        <v>53</v>
      </c>
      <c r="EK268" s="56">
        <f>+EJ271</f>
        <v>49</v>
      </c>
      <c r="EL268" s="56">
        <f>+EK271</f>
        <v>48</v>
      </c>
      <c r="EM268" s="56">
        <f>+EL271</f>
        <v>40</v>
      </c>
      <c r="EN268" s="60">
        <f>+EJ268</f>
        <v>53</v>
      </c>
      <c r="EO268" s="56">
        <f>+EN271</f>
        <v>35</v>
      </c>
      <c r="EP268" s="56">
        <f>+EO271</f>
        <v>32</v>
      </c>
      <c r="EQ268" s="56">
        <f>+EP271</f>
        <v>25</v>
      </c>
      <c r="ER268" s="56">
        <f>+EQ271</f>
        <v>21</v>
      </c>
      <c r="ES268" s="60">
        <f>+EO268</f>
        <v>35</v>
      </c>
      <c r="ET268" s="56">
        <f t="shared" ref="ET268:EW268" si="1329">+ES271</f>
        <v>19</v>
      </c>
      <c r="EU268" s="56">
        <f t="shared" si="1329"/>
        <v>16.309734513274336</v>
      </c>
      <c r="EV268" s="56">
        <f t="shared" si="1329"/>
        <v>14.000391573341686</v>
      </c>
      <c r="EW268" s="56">
        <f t="shared" si="1329"/>
        <v>12.018035244372951</v>
      </c>
      <c r="EX268" s="60">
        <f>+ET268</f>
        <v>19</v>
      </c>
      <c r="EY268" s="56">
        <f t="shared" ref="EY268" si="1330">+EX271</f>
        <v>10.3163665372051</v>
      </c>
      <c r="EZ268" s="56">
        <f t="shared" ref="EZ268" si="1331">+EY271</f>
        <v>8.8556420717601299</v>
      </c>
      <c r="FA268" s="56">
        <f t="shared" ref="FA268" si="1332">+EZ271</f>
        <v>7.6017458492100225</v>
      </c>
      <c r="FB268" s="56">
        <f t="shared" ref="FB268" si="1333">+FA271</f>
        <v>6.5253924546316124</v>
      </c>
      <c r="FC268" s="60">
        <f>+EY268</f>
        <v>10.3163665372051</v>
      </c>
      <c r="FD268" s="56">
        <f t="shared" ref="FD268" si="1334">+FC271</f>
        <v>5.601443080524481</v>
      </c>
      <c r="FE268" s="56">
        <f t="shared" ref="FE268" si="1335">+FD271</f>
        <v>4.8083183965564125</v>
      </c>
      <c r="FF268" s="56">
        <f t="shared" ref="FF268" si="1336">+FE271</f>
        <v>4.1274945527962128</v>
      </c>
      <c r="FG268" s="56">
        <f t="shared" ref="FG268" si="1337">+FF271</f>
        <v>3.543070545320643</v>
      </c>
      <c r="FH268" s="60">
        <f>+FD268</f>
        <v>5.601443080524481</v>
      </c>
      <c r="FI268" s="56">
        <f t="shared" ref="FI268:FM268" si="1338">+FH271</f>
        <v>3.0413968397885167</v>
      </c>
      <c r="FJ268" s="56">
        <f t="shared" si="1338"/>
        <v>1.3188357977844012</v>
      </c>
      <c r="FK268" s="56">
        <f t="shared" si="1338"/>
        <v>0.57188454948173151</v>
      </c>
      <c r="FL268" s="56">
        <f t="shared" si="1338"/>
        <v>0.24798533561597208</v>
      </c>
      <c r="FM268" s="56">
        <f t="shared" si="1338"/>
        <v>0.10753346411666045</v>
      </c>
      <c r="FN268" s="1068">
        <f>+(FJ268/ES268)^0.2-1</f>
        <v>-0.48093166462085146</v>
      </c>
    </row>
    <row r="269" spans="1:174" s="108" customFormat="1" x14ac:dyDescent="0.3">
      <c r="A269" s="63" t="s">
        <v>336</v>
      </c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  <c r="AA269" s="119"/>
      <c r="AB269" s="119"/>
      <c r="AC269" s="119"/>
      <c r="AD269" s="119"/>
      <c r="AE269" s="119"/>
      <c r="AF269" s="119"/>
      <c r="AG269" s="119"/>
      <c r="AH269" s="119"/>
      <c r="AI269" s="119"/>
      <c r="AJ269" s="119"/>
      <c r="AK269" s="119"/>
      <c r="AL269" s="119"/>
      <c r="AM269" s="119"/>
      <c r="AN269" s="119"/>
      <c r="AO269" s="119"/>
      <c r="AP269" s="119"/>
      <c r="AQ269" s="119"/>
      <c r="AR269" s="119"/>
      <c r="AS269" s="119"/>
      <c r="AT269" s="119"/>
      <c r="AU269" s="119"/>
      <c r="AV269" s="119"/>
      <c r="AW269" s="119"/>
      <c r="AX269" s="119"/>
      <c r="AY269" s="119"/>
      <c r="AZ269" s="119"/>
      <c r="BA269" s="119"/>
      <c r="BB269" s="119"/>
      <c r="BC269" s="119"/>
      <c r="BD269" s="119"/>
      <c r="BE269" s="119"/>
      <c r="BF269" s="119"/>
      <c r="BG269" s="119"/>
      <c r="BH269" s="119"/>
      <c r="BI269" s="119"/>
      <c r="BJ269" s="119"/>
      <c r="BK269" s="119"/>
      <c r="BL269" s="119"/>
      <c r="BM269" s="119"/>
      <c r="BN269" s="119"/>
      <c r="BO269" s="119"/>
      <c r="BP269" s="119"/>
      <c r="BQ269" s="119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19"/>
      <c r="CB269" s="119"/>
      <c r="CC269" s="119"/>
      <c r="CD269" s="119"/>
      <c r="CE269" s="119"/>
      <c r="CF269" s="119"/>
      <c r="CG269" s="119"/>
      <c r="CH269" s="119"/>
      <c r="CI269" s="119"/>
      <c r="CJ269" s="119"/>
      <c r="CK269" s="119"/>
      <c r="CL269" s="119"/>
      <c r="CM269" s="119"/>
      <c r="CN269" s="119"/>
      <c r="CO269" s="119"/>
      <c r="CP269" s="119"/>
      <c r="CQ269" s="119"/>
      <c r="CR269" s="119"/>
      <c r="CS269" s="119"/>
      <c r="CT269" s="119"/>
      <c r="CU269" s="119"/>
      <c r="CV269" s="119"/>
      <c r="CW269" s="119"/>
      <c r="CX269" s="119"/>
      <c r="CY269" s="119"/>
      <c r="CZ269" s="119"/>
      <c r="DA269" s="119"/>
      <c r="DB269" s="119"/>
      <c r="DC269" s="119"/>
      <c r="DD269" s="119"/>
      <c r="DE269" s="119"/>
      <c r="DF269" s="119"/>
      <c r="DG269" s="119"/>
      <c r="DH269" s="119"/>
      <c r="DI269" s="119"/>
      <c r="DJ269" s="119"/>
      <c r="DK269" s="119"/>
      <c r="DL269" s="119"/>
      <c r="DM269" s="119"/>
      <c r="DN269" s="119"/>
      <c r="DO269" s="119"/>
      <c r="DP269" s="119"/>
      <c r="DQ269" s="119"/>
      <c r="DR269" s="119"/>
      <c r="DS269" s="119"/>
      <c r="DT269" s="119"/>
      <c r="DU269" s="56">
        <f>+DU274*AVERAGE(DT94:DU94)</f>
        <v>2.4894353309668036</v>
      </c>
      <c r="DV269" s="56">
        <f>+DV274*AVERAGE(DU94:DV94)</f>
        <v>2.9747288114343013</v>
      </c>
      <c r="DW269" s="56">
        <f>+DW274*AVERAGE(DV94:DW94)</f>
        <v>0.3997175358621507</v>
      </c>
      <c r="DX269" s="56">
        <f>+DX274*AVERAGE(DW94:DX94)</f>
        <v>0.79119935408103348</v>
      </c>
      <c r="DY269" s="60">
        <f>+SUM(DU269:DX269)</f>
        <v>6.655081032344289</v>
      </c>
      <c r="DZ269" s="56">
        <f>+DZ271-DZ270-DZ268</f>
        <v>2.3700000000000045</v>
      </c>
      <c r="EA269" s="56">
        <f>+EA271-EA270-EA268</f>
        <v>2.8299999999999983</v>
      </c>
      <c r="EB269" s="56">
        <f>+EB271-EB270-EB268</f>
        <v>0.37999999999999545</v>
      </c>
      <c r="EC269" s="56">
        <f>+EC271-EC270-EC268</f>
        <v>0.75</v>
      </c>
      <c r="ED269" s="60">
        <f>+SUM(DZ269:EC269)</f>
        <v>6.3299999999999983</v>
      </c>
      <c r="EE269" s="56">
        <f>+EE271-EE270-EE268</f>
        <v>1.210000000000008</v>
      </c>
      <c r="EF269" s="56">
        <f>+EF271-EF270-EF268</f>
        <v>1.7600000000000051</v>
      </c>
      <c r="EG269" s="56">
        <f>+EG274*EG107</f>
        <v>0</v>
      </c>
      <c r="EH269" s="56">
        <f>+EH274*EH107</f>
        <v>0</v>
      </c>
      <c r="EI269" s="60">
        <f>+SUM(EE269:EH269)</f>
        <v>2.9700000000000131</v>
      </c>
      <c r="EJ269" s="56">
        <f>+EJ274*EJ107</f>
        <v>0</v>
      </c>
      <c r="EK269" s="56">
        <f>+EK274*EK107</f>
        <v>0</v>
      </c>
      <c r="EL269" s="56">
        <f>+EL274*EL107</f>
        <v>0</v>
      </c>
      <c r="EM269" s="56">
        <f>+EM274*EM107</f>
        <v>0</v>
      </c>
      <c r="EN269" s="60">
        <f>+SUM(EJ269:EM269)</f>
        <v>0</v>
      </c>
      <c r="EO269" s="56">
        <f>+EO274*EO107</f>
        <v>0</v>
      </c>
      <c r="EP269" s="56">
        <f>+EP274*EP107</f>
        <v>0</v>
      </c>
      <c r="EQ269" s="56">
        <f>+EQ274*EQ107</f>
        <v>0</v>
      </c>
      <c r="ER269" s="56">
        <f>+ER274*ER107</f>
        <v>0</v>
      </c>
      <c r="ES269" s="60">
        <f>+SUM(EO269:ER269)</f>
        <v>0</v>
      </c>
      <c r="ET269" s="56">
        <f t="shared" ref="ET269:EW269" si="1339">+ET274*ET107</f>
        <v>0</v>
      </c>
      <c r="EU269" s="56">
        <f t="shared" si="1339"/>
        <v>0</v>
      </c>
      <c r="EV269" s="56">
        <f t="shared" si="1339"/>
        <v>0</v>
      </c>
      <c r="EW269" s="56">
        <f t="shared" si="1339"/>
        <v>0</v>
      </c>
      <c r="EX269" s="60">
        <f>+SUM(ET269:EW269)</f>
        <v>0</v>
      </c>
      <c r="EY269" s="56">
        <f t="shared" ref="EY269:FB269" si="1340">+EY274*EY107</f>
        <v>0</v>
      </c>
      <c r="EZ269" s="56">
        <f t="shared" si="1340"/>
        <v>0</v>
      </c>
      <c r="FA269" s="56">
        <f t="shared" si="1340"/>
        <v>0</v>
      </c>
      <c r="FB269" s="56">
        <f t="shared" si="1340"/>
        <v>0</v>
      </c>
      <c r="FC269" s="60">
        <f>+SUM(EY269:FB269)</f>
        <v>0</v>
      </c>
      <c r="FD269" s="56">
        <f t="shared" ref="FD269:FM269" si="1341">+FD274*FD107</f>
        <v>0</v>
      </c>
      <c r="FE269" s="56">
        <f t="shared" si="1341"/>
        <v>0</v>
      </c>
      <c r="FF269" s="56">
        <f t="shared" si="1341"/>
        <v>0</v>
      </c>
      <c r="FG269" s="56">
        <f t="shared" si="1341"/>
        <v>0</v>
      </c>
      <c r="FH269" s="60">
        <f>+SUM(FD269:FG269)</f>
        <v>0</v>
      </c>
      <c r="FI269" s="56">
        <f t="shared" si="1341"/>
        <v>0</v>
      </c>
      <c r="FJ269" s="56">
        <f t="shared" si="1341"/>
        <v>0</v>
      </c>
      <c r="FK269" s="56">
        <f t="shared" si="1341"/>
        <v>0</v>
      </c>
      <c r="FL269" s="56">
        <f t="shared" si="1341"/>
        <v>0</v>
      </c>
      <c r="FM269" s="56">
        <f t="shared" si="1341"/>
        <v>0</v>
      </c>
      <c r="FN269" s="1068" t="e">
        <f>+(FJ269/ES269)^0.2-1</f>
        <v>#DIV/0!</v>
      </c>
    </row>
    <row r="270" spans="1:174" s="108" customFormat="1" x14ac:dyDescent="0.3">
      <c r="A270" s="63" t="s">
        <v>337</v>
      </c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  <c r="Z270" s="119"/>
      <c r="AA270" s="119"/>
      <c r="AB270" s="119"/>
      <c r="AC270" s="119"/>
      <c r="AD270" s="119"/>
      <c r="AE270" s="119"/>
      <c r="AF270" s="119"/>
      <c r="AG270" s="119"/>
      <c r="AH270" s="119"/>
      <c r="AI270" s="119"/>
      <c r="AJ270" s="119"/>
      <c r="AK270" s="119"/>
      <c r="AL270" s="119"/>
      <c r="AM270" s="119"/>
      <c r="AN270" s="119"/>
      <c r="AO270" s="119"/>
      <c r="AP270" s="119"/>
      <c r="AQ270" s="119"/>
      <c r="AR270" s="119"/>
      <c r="AS270" s="119"/>
      <c r="AT270" s="119"/>
      <c r="AU270" s="119"/>
      <c r="AV270" s="119"/>
      <c r="AW270" s="119"/>
      <c r="AX270" s="119"/>
      <c r="AY270" s="119"/>
      <c r="AZ270" s="119"/>
      <c r="BA270" s="119"/>
      <c r="BB270" s="119"/>
      <c r="BC270" s="119"/>
      <c r="BD270" s="119"/>
      <c r="BE270" s="119"/>
      <c r="BF270" s="119"/>
      <c r="BG270" s="119"/>
      <c r="BH270" s="119"/>
      <c r="BI270" s="119"/>
      <c r="BJ270" s="119"/>
      <c r="BK270" s="119"/>
      <c r="BL270" s="119"/>
      <c r="BM270" s="119"/>
      <c r="BN270" s="119"/>
      <c r="BO270" s="119"/>
      <c r="BP270" s="119"/>
      <c r="BQ270" s="119"/>
      <c r="BR270" s="119"/>
      <c r="BS270" s="119"/>
      <c r="BT270" s="119"/>
      <c r="BU270" s="119"/>
      <c r="BV270" s="119"/>
      <c r="BW270" s="119"/>
      <c r="BX270" s="119"/>
      <c r="BY270" s="119"/>
      <c r="BZ270" s="119"/>
      <c r="CA270" s="119"/>
      <c r="CB270" s="119"/>
      <c r="CC270" s="119"/>
      <c r="CD270" s="119"/>
      <c r="CE270" s="119"/>
      <c r="CF270" s="119"/>
      <c r="CG270" s="119"/>
      <c r="CH270" s="119"/>
      <c r="CI270" s="119"/>
      <c r="CJ270" s="119"/>
      <c r="CK270" s="119"/>
      <c r="CL270" s="119"/>
      <c r="CM270" s="119"/>
      <c r="CN270" s="119"/>
      <c r="CO270" s="119"/>
      <c r="CP270" s="119"/>
      <c r="CQ270" s="119"/>
      <c r="CR270" s="119"/>
      <c r="CS270" s="119"/>
      <c r="CT270" s="119"/>
      <c r="CU270" s="119"/>
      <c r="CV270" s="119"/>
      <c r="CW270" s="119"/>
      <c r="CX270" s="119"/>
      <c r="CY270" s="119"/>
      <c r="CZ270" s="119"/>
      <c r="DA270" s="119"/>
      <c r="DB270" s="119"/>
      <c r="DC270" s="119"/>
      <c r="DD270" s="119"/>
      <c r="DE270" s="119"/>
      <c r="DF270" s="119"/>
      <c r="DG270" s="119"/>
      <c r="DH270" s="119"/>
      <c r="DI270" s="119"/>
      <c r="DJ270" s="119"/>
      <c r="DK270" s="119"/>
      <c r="DL270" s="119"/>
      <c r="DM270" s="119"/>
      <c r="DN270" s="119"/>
      <c r="DO270" s="119"/>
      <c r="DP270" s="119"/>
      <c r="DQ270" s="119"/>
      <c r="DR270" s="119"/>
      <c r="DS270" s="119"/>
      <c r="DT270" s="119"/>
      <c r="DU270" s="56">
        <f>+DU268*DU275*-3</f>
        <v>-11.484542024498483</v>
      </c>
      <c r="DV270" s="56">
        <f>+DV268*DV275*-3</f>
        <v>-10.674982422080632</v>
      </c>
      <c r="DW270" s="56">
        <f>+DW268*DW275*-3</f>
        <v>-9.9819595971224615</v>
      </c>
      <c r="DX270" s="56">
        <f>+DX268*DX275*-3</f>
        <v>-9.1195578116090346</v>
      </c>
      <c r="DY270" s="60">
        <f>+SUM(DU270:DX270)</f>
        <v>-41.261041855310609</v>
      </c>
      <c r="DZ270" s="56">
        <f>+DZ268*DZ275*-3</f>
        <v>-8.370000000000001</v>
      </c>
      <c r="EA270" s="56">
        <f>+EA268*EA275*-3</f>
        <v>-7.83</v>
      </c>
      <c r="EB270" s="56">
        <f>+EB268*EB275*-3</f>
        <v>-7.38</v>
      </c>
      <c r="EC270" s="56">
        <f>+EC268*EC275*-3</f>
        <v>-6.75</v>
      </c>
      <c r="ED270" s="60">
        <f>+SUM(DZ270:EC270)</f>
        <v>-30.330000000000002</v>
      </c>
      <c r="EE270" s="56">
        <f>+EE268*EE275*-3</f>
        <v>-6.2100000000000009</v>
      </c>
      <c r="EF270" s="56">
        <f>+EF268*EF275*-3</f>
        <v>-5.7600000000000007</v>
      </c>
      <c r="EG270" s="56">
        <f>EG271-EG268-EG269</f>
        <v>-3</v>
      </c>
      <c r="EH270" s="56">
        <f>EH271-EH268-EH269</f>
        <v>-4</v>
      </c>
      <c r="EI270" s="60">
        <f>+SUM(EE270:EH270)</f>
        <v>-18.970000000000002</v>
      </c>
      <c r="EJ270" s="56">
        <f>EJ271-EJ268-EJ269</f>
        <v>-4</v>
      </c>
      <c r="EK270" s="56">
        <f>EK271-EK268-EK269</f>
        <v>-1</v>
      </c>
      <c r="EL270" s="56">
        <f>EL271-EL268-EL269</f>
        <v>-8</v>
      </c>
      <c r="EM270" s="56">
        <f>EM271-EM268-EM269</f>
        <v>-5</v>
      </c>
      <c r="EN270" s="60">
        <f>+SUM(EJ270:EM270)</f>
        <v>-18</v>
      </c>
      <c r="EO270" s="56">
        <f>EO271-EO268-EO269</f>
        <v>-3</v>
      </c>
      <c r="EP270" s="56">
        <f>EP271-EP268-EP269</f>
        <v>-7</v>
      </c>
      <c r="EQ270" s="56">
        <f>EQ271-EQ268-EQ269</f>
        <v>-4</v>
      </c>
      <c r="ER270" s="56">
        <f>ER271-ER268-ER269</f>
        <v>-2</v>
      </c>
      <c r="ES270" s="60">
        <f>+SUM(EO270:ER270)</f>
        <v>-16</v>
      </c>
      <c r="ET270" s="56">
        <f t="shared" ref="ET270:EW270" si="1342">+ET268*ET275*-3</f>
        <v>-2.6902654867256635</v>
      </c>
      <c r="EU270" s="56">
        <f t="shared" si="1342"/>
        <v>-2.3093429399326495</v>
      </c>
      <c r="EV270" s="56">
        <f t="shared" si="1342"/>
        <v>-1.9823563289687343</v>
      </c>
      <c r="EW270" s="56">
        <f t="shared" si="1342"/>
        <v>-1.7016687071678516</v>
      </c>
      <c r="EX270" s="60">
        <f>+SUM(ET270:EW270)</f>
        <v>-8.6836334627948979</v>
      </c>
      <c r="EY270" s="56">
        <f t="shared" ref="EY270:FB270" si="1343">+EY268*EY275*-3</f>
        <v>-1.46072446544497</v>
      </c>
      <c r="EZ270" s="56">
        <f t="shared" si="1343"/>
        <v>-1.2538962225501069</v>
      </c>
      <c r="FA270" s="56">
        <f t="shared" si="1343"/>
        <v>-1.0763533945784103</v>
      </c>
      <c r="FB270" s="56">
        <f t="shared" si="1343"/>
        <v>-0.92394937410713096</v>
      </c>
      <c r="FC270" s="60">
        <f>+SUM(EY270:FB270)</f>
        <v>-4.7149234566806175</v>
      </c>
      <c r="FD270" s="56">
        <f t="shared" ref="FD270:FG270" si="1344">+FD268*FD275*-3</f>
        <v>-0.79312468396806812</v>
      </c>
      <c r="FE270" s="56">
        <f t="shared" si="1344"/>
        <v>-0.6808238437602</v>
      </c>
      <c r="FF270" s="56">
        <f t="shared" si="1344"/>
        <v>-0.58442400747557</v>
      </c>
      <c r="FG270" s="56">
        <f t="shared" si="1344"/>
        <v>-0.50167370553212653</v>
      </c>
      <c r="FH270" s="60">
        <f>+SUM(FD270:FG270)</f>
        <v>-2.5600462407359643</v>
      </c>
      <c r="FI270" s="56">
        <f t="shared" ref="FI270:FM270" si="1345">+FI268*FI275*-12</f>
        <v>-1.7225610420041155</v>
      </c>
      <c r="FJ270" s="56">
        <f t="shared" si="1345"/>
        <v>-0.74695124830266968</v>
      </c>
      <c r="FK270" s="56">
        <f t="shared" si="1345"/>
        <v>-0.32389921386575943</v>
      </c>
      <c r="FL270" s="56">
        <f t="shared" si="1345"/>
        <v>-0.14045187149931163</v>
      </c>
      <c r="FM270" s="56">
        <f t="shared" si="1345"/>
        <v>-6.090390888023247E-2</v>
      </c>
      <c r="FN270" s="1068">
        <f>+(FJ270/ES270)^0.2-1</f>
        <v>-0.45820567097786413</v>
      </c>
    </row>
    <row r="271" spans="1:174" s="108" customFormat="1" x14ac:dyDescent="0.3">
      <c r="A271" s="64" t="s">
        <v>402</v>
      </c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  <c r="AA271" s="119"/>
      <c r="AB271" s="119"/>
      <c r="AC271" s="119"/>
      <c r="AD271" s="119"/>
      <c r="AE271" s="119"/>
      <c r="AF271" s="119"/>
      <c r="AG271" s="119"/>
      <c r="AH271" s="119"/>
      <c r="AI271" s="119"/>
      <c r="AJ271" s="119"/>
      <c r="AK271" s="119"/>
      <c r="AL271" s="119"/>
      <c r="AM271" s="119"/>
      <c r="AN271" s="119"/>
      <c r="AO271" s="119"/>
      <c r="AP271" s="119"/>
      <c r="AQ271" s="119"/>
      <c r="AR271" s="119"/>
      <c r="AS271" s="119"/>
      <c r="AT271" s="119"/>
      <c r="AU271" s="119"/>
      <c r="AV271" s="119"/>
      <c r="AW271" s="119"/>
      <c r="AX271" s="119"/>
      <c r="AY271" s="119"/>
      <c r="AZ271" s="119"/>
      <c r="BA271" s="119"/>
      <c r="BB271" s="119"/>
      <c r="BC271" s="119"/>
      <c r="BD271" s="119"/>
      <c r="BE271" s="119"/>
      <c r="BF271" s="119"/>
      <c r="BG271" s="119"/>
      <c r="BH271" s="119"/>
      <c r="BI271" s="119"/>
      <c r="BJ271" s="119"/>
      <c r="BK271" s="119"/>
      <c r="BL271" s="119"/>
      <c r="BM271" s="119"/>
      <c r="BN271" s="119"/>
      <c r="BO271" s="119"/>
      <c r="BP271" s="119"/>
      <c r="BQ271" s="119"/>
      <c r="BR271" s="119"/>
      <c r="BS271" s="119"/>
      <c r="BT271" s="119"/>
      <c r="BU271" s="119"/>
      <c r="BV271" s="119"/>
      <c r="BW271" s="119"/>
      <c r="BX271" s="119"/>
      <c r="BY271" s="119"/>
      <c r="BZ271" s="119"/>
      <c r="CA271" s="119"/>
      <c r="CB271" s="119"/>
      <c r="CC271" s="119"/>
      <c r="CD271" s="119"/>
      <c r="CE271" s="119"/>
      <c r="CF271" s="119"/>
      <c r="CG271" s="119"/>
      <c r="CH271" s="119"/>
      <c r="CI271" s="119"/>
      <c r="CJ271" s="119"/>
      <c r="CK271" s="119"/>
      <c r="CL271" s="119"/>
      <c r="CM271" s="119"/>
      <c r="CN271" s="119"/>
      <c r="CO271" s="119"/>
      <c r="CP271" s="119"/>
      <c r="CQ271" s="119"/>
      <c r="CR271" s="119"/>
      <c r="CS271" s="119"/>
      <c r="CT271" s="119"/>
      <c r="CU271" s="119"/>
      <c r="CV271" s="119"/>
      <c r="CW271" s="119"/>
      <c r="CX271" s="119"/>
      <c r="CY271" s="119"/>
      <c r="CZ271" s="119"/>
      <c r="DA271" s="119"/>
      <c r="DB271" s="119"/>
      <c r="DC271" s="119"/>
      <c r="DD271" s="119"/>
      <c r="DE271" s="119"/>
      <c r="DF271" s="119"/>
      <c r="DG271" s="119"/>
      <c r="DH271" s="119"/>
      <c r="DI271" s="119"/>
      <c r="DJ271" s="119"/>
      <c r="DK271" s="119"/>
      <c r="DL271" s="119"/>
      <c r="DM271" s="119"/>
      <c r="DN271" s="119"/>
      <c r="DO271" s="119"/>
      <c r="DP271" s="119"/>
      <c r="DQ271" s="119"/>
      <c r="DR271" s="119"/>
      <c r="DS271" s="119"/>
      <c r="DT271" s="119"/>
      <c r="DU271" s="1795">
        <f>+DU268+DU269+DU270</f>
        <v>118.61091580089591</v>
      </c>
      <c r="DV271" s="1795">
        <f>+DV268+DV269+DV270</f>
        <v>110.91066219024958</v>
      </c>
      <c r="DW271" s="1795">
        <f>+DW268+DW269+DW270</f>
        <v>101.32842012898928</v>
      </c>
      <c r="DX271" s="1795">
        <f>+DX268+DX269+DX270</f>
        <v>93.000061671461282</v>
      </c>
      <c r="DY271" s="1797">
        <f>+DX271</f>
        <v>93.000061671461282</v>
      </c>
      <c r="DZ271" s="1798">
        <f>Inputs!DZ406</f>
        <v>87</v>
      </c>
      <c r="EA271" s="1798">
        <f>Inputs!EA406</f>
        <v>82</v>
      </c>
      <c r="EB271" s="1798">
        <f>Inputs!EB406</f>
        <v>75</v>
      </c>
      <c r="EC271" s="1798">
        <f>Inputs!EC406</f>
        <v>69</v>
      </c>
      <c r="ED271" s="1797">
        <f>+EC271</f>
        <v>69</v>
      </c>
      <c r="EE271" s="1798">
        <f>Inputs!EE406</f>
        <v>64</v>
      </c>
      <c r="EF271" s="1798">
        <f>Inputs!EF406</f>
        <v>60</v>
      </c>
      <c r="EG271" s="1798">
        <f>Inputs!EG406</f>
        <v>57</v>
      </c>
      <c r="EH271" s="1798">
        <f>Inputs!EH406</f>
        <v>53</v>
      </c>
      <c r="EI271" s="1797">
        <f>+EH271</f>
        <v>53</v>
      </c>
      <c r="EJ271" s="1798">
        <f>Inputs!EJ406</f>
        <v>49</v>
      </c>
      <c r="EK271" s="1798">
        <f>Inputs!EK406</f>
        <v>48</v>
      </c>
      <c r="EL271" s="1798">
        <f>Inputs!EL406</f>
        <v>40</v>
      </c>
      <c r="EM271" s="1798">
        <f>Inputs!EM406</f>
        <v>35</v>
      </c>
      <c r="EN271" s="1797">
        <f>+EM271</f>
        <v>35</v>
      </c>
      <c r="EO271" s="1798">
        <f>Inputs!EO406</f>
        <v>32</v>
      </c>
      <c r="EP271" s="1798">
        <f>Inputs!EP406</f>
        <v>25</v>
      </c>
      <c r="EQ271" s="1798">
        <f>Inputs!EQ406</f>
        <v>21</v>
      </c>
      <c r="ER271" s="1798">
        <f>Inputs!ER406</f>
        <v>19</v>
      </c>
      <c r="ES271" s="1797">
        <f>+ER271</f>
        <v>19</v>
      </c>
      <c r="ET271" s="1795">
        <f t="shared" ref="ET271:EW271" si="1346">+ET268+ET269+ET270</f>
        <v>16.309734513274336</v>
      </c>
      <c r="EU271" s="1795">
        <f t="shared" si="1346"/>
        <v>14.000391573341686</v>
      </c>
      <c r="EV271" s="1795">
        <f t="shared" si="1346"/>
        <v>12.018035244372951</v>
      </c>
      <c r="EW271" s="1795">
        <f t="shared" si="1346"/>
        <v>10.3163665372051</v>
      </c>
      <c r="EX271" s="1797">
        <f>+EW271</f>
        <v>10.3163665372051</v>
      </c>
      <c r="EY271" s="1795">
        <f t="shared" ref="EY271:FB271" si="1347">+EY268+EY269+EY270</f>
        <v>8.8556420717601299</v>
      </c>
      <c r="EZ271" s="1795">
        <f t="shared" si="1347"/>
        <v>7.6017458492100225</v>
      </c>
      <c r="FA271" s="1795">
        <f t="shared" si="1347"/>
        <v>6.5253924546316124</v>
      </c>
      <c r="FB271" s="1795">
        <f t="shared" si="1347"/>
        <v>5.601443080524481</v>
      </c>
      <c r="FC271" s="1797">
        <f>+FB271</f>
        <v>5.601443080524481</v>
      </c>
      <c r="FD271" s="1795">
        <f t="shared" ref="FD271:FL271" si="1348">+FD268+FD269+FD270</f>
        <v>4.8083183965564125</v>
      </c>
      <c r="FE271" s="1795">
        <f t="shared" si="1348"/>
        <v>4.1274945527962128</v>
      </c>
      <c r="FF271" s="1795">
        <f t="shared" si="1348"/>
        <v>3.543070545320643</v>
      </c>
      <c r="FG271" s="1795">
        <f t="shared" si="1348"/>
        <v>3.0413968397885167</v>
      </c>
      <c r="FH271" s="1797">
        <f>+FG271</f>
        <v>3.0413968397885167</v>
      </c>
      <c r="FI271" s="1795">
        <f t="shared" si="1348"/>
        <v>1.3188357977844012</v>
      </c>
      <c r="FJ271" s="1795">
        <f t="shared" si="1348"/>
        <v>0.57188454948173151</v>
      </c>
      <c r="FK271" s="1795">
        <f t="shared" si="1348"/>
        <v>0.24798533561597208</v>
      </c>
      <c r="FL271" s="1795">
        <f t="shared" si="1348"/>
        <v>0.10753346411666045</v>
      </c>
      <c r="FM271" s="1795">
        <f>+FM268+FM269+FM270</f>
        <v>4.6629555236427984E-2</v>
      </c>
      <c r="FN271" s="1068">
        <f>+(FJ271/ES271)^0.2-1</f>
        <v>-0.50373807882093213</v>
      </c>
    </row>
    <row r="272" spans="1:174" s="108" customFormat="1" x14ac:dyDescent="0.3">
      <c r="A272" s="61" t="s">
        <v>339</v>
      </c>
      <c r="DY272" s="538"/>
      <c r="DZ272" s="122">
        <f t="shared" ref="DZ272:EX272" si="1349">+DZ271/DU271-1</f>
        <v>-0.26650933084404316</v>
      </c>
      <c r="EA272" s="122">
        <f t="shared" si="1349"/>
        <v>-0.26066621206045948</v>
      </c>
      <c r="EB272" s="122">
        <f t="shared" si="1349"/>
        <v>-0.25983253361173175</v>
      </c>
      <c r="EC272" s="122">
        <f t="shared" si="1349"/>
        <v>-0.25806500813134547</v>
      </c>
      <c r="ED272" s="123">
        <f t="shared" si="1349"/>
        <v>-0.25806500813134547</v>
      </c>
      <c r="EE272" s="122">
        <f t="shared" si="1349"/>
        <v>-0.26436781609195403</v>
      </c>
      <c r="EF272" s="122">
        <f t="shared" si="1349"/>
        <v>-0.26829268292682928</v>
      </c>
      <c r="EG272" s="122">
        <f t="shared" si="1349"/>
        <v>-0.24</v>
      </c>
      <c r="EH272" s="122">
        <f t="shared" si="1349"/>
        <v>-0.23188405797101452</v>
      </c>
      <c r="EI272" s="123">
        <f t="shared" si="1349"/>
        <v>-0.23188405797101452</v>
      </c>
      <c r="EJ272" s="122">
        <f t="shared" si="1349"/>
        <v>-0.234375</v>
      </c>
      <c r="EK272" s="122">
        <f t="shared" si="1349"/>
        <v>-0.19999999999999996</v>
      </c>
      <c r="EL272" s="122">
        <f t="shared" si="1349"/>
        <v>-0.29824561403508776</v>
      </c>
      <c r="EM272" s="122">
        <f t="shared" si="1349"/>
        <v>-0.339622641509434</v>
      </c>
      <c r="EN272" s="123">
        <f t="shared" si="1349"/>
        <v>-0.339622641509434</v>
      </c>
      <c r="EO272" s="122">
        <f t="shared" si="1349"/>
        <v>-0.34693877551020413</v>
      </c>
      <c r="EP272" s="122">
        <f t="shared" si="1349"/>
        <v>-0.47916666666666663</v>
      </c>
      <c r="EQ272" s="122">
        <f t="shared" si="1349"/>
        <v>-0.47499999999999998</v>
      </c>
      <c r="ER272" s="122">
        <f t="shared" si="1349"/>
        <v>-0.45714285714285718</v>
      </c>
      <c r="ES272" s="123">
        <f t="shared" si="1349"/>
        <v>-0.45714285714285718</v>
      </c>
      <c r="ET272" s="122">
        <f t="shared" si="1349"/>
        <v>-0.49032079646017701</v>
      </c>
      <c r="EU272" s="122">
        <f t="shared" si="1349"/>
        <v>-0.43998433706633255</v>
      </c>
      <c r="EV272" s="122">
        <f t="shared" si="1349"/>
        <v>-0.42771260741081185</v>
      </c>
      <c r="EW272" s="122">
        <f t="shared" si="1349"/>
        <v>-0.45703334014709995</v>
      </c>
      <c r="EX272" s="123">
        <f t="shared" si="1349"/>
        <v>-0.45703334014709995</v>
      </c>
      <c r="EY272" s="122">
        <f t="shared" ref="EY272" si="1350">+EY271/ET271-1</f>
        <v>-0.45703334014709995</v>
      </c>
      <c r="EZ272" s="122">
        <f t="shared" ref="EZ272" si="1351">+EZ271/EU271-1</f>
        <v>-0.45703334014709995</v>
      </c>
      <c r="FA272" s="122">
        <f t="shared" ref="FA272" si="1352">+FA271/EV271-1</f>
        <v>-0.45703334014709995</v>
      </c>
      <c r="FB272" s="122">
        <f t="shared" ref="FB272:FC272" si="1353">+FB271/EW271-1</f>
        <v>-0.45703334014710006</v>
      </c>
      <c r="FC272" s="123">
        <f t="shared" si="1353"/>
        <v>-0.45703334014710006</v>
      </c>
      <c r="FD272" s="122">
        <f t="shared" ref="FD272" si="1354">+FD271/EY271-1</f>
        <v>-0.45703334014710006</v>
      </c>
      <c r="FE272" s="122">
        <f t="shared" ref="FE272" si="1355">+FE271/EZ271-1</f>
        <v>-0.45703334014709995</v>
      </c>
      <c r="FF272" s="122">
        <f t="shared" ref="FF272" si="1356">+FF271/FA271-1</f>
        <v>-0.45703334014709995</v>
      </c>
      <c r="FG272" s="122">
        <f t="shared" ref="FG272:FH272" si="1357">+FG271/FB271-1</f>
        <v>-0.45703334014709995</v>
      </c>
      <c r="FH272" s="123">
        <f t="shared" si="1357"/>
        <v>-0.45703334014709995</v>
      </c>
      <c r="FI272" s="122">
        <f t="shared" ref="FI272:FM272" si="1358">+FI271/FH271-1</f>
        <v>-0.5663716814159292</v>
      </c>
      <c r="FJ272" s="122">
        <f t="shared" si="1358"/>
        <v>-0.5663716814159292</v>
      </c>
      <c r="FK272" s="122">
        <f t="shared" si="1358"/>
        <v>-0.5663716814159292</v>
      </c>
      <c r="FL272" s="122">
        <f t="shared" si="1358"/>
        <v>-0.5663716814159292</v>
      </c>
      <c r="FM272" s="122">
        <f t="shared" si="1358"/>
        <v>-0.5663716814159292</v>
      </c>
    </row>
    <row r="273" spans="1:171" s="108" customFormat="1" x14ac:dyDescent="0.3">
      <c r="A273" s="65" t="s">
        <v>340</v>
      </c>
      <c r="DU273" s="124">
        <f>DU271-DU268</f>
        <v>-8.9951066935316817</v>
      </c>
      <c r="DV273" s="124">
        <f>+DV271-DU271</f>
        <v>-7.7002536106463282</v>
      </c>
      <c r="DW273" s="124">
        <f>+DW271-DV271</f>
        <v>-9.5822420612603025</v>
      </c>
      <c r="DX273" s="124">
        <f>+DX271-DW271</f>
        <v>-8.3283584575279974</v>
      </c>
      <c r="DY273" s="125">
        <f>SUM(DU273:DX273)</f>
        <v>-34.60596082296631</v>
      </c>
      <c r="DZ273" s="1105">
        <f>Inputs!DZ411</f>
        <v>-6</v>
      </c>
      <c r="EA273" s="1105">
        <f>Inputs!EA411</f>
        <v>-5</v>
      </c>
      <c r="EB273" s="1105">
        <f>Inputs!EB411</f>
        <v>-7</v>
      </c>
      <c r="EC273" s="1105">
        <f>Inputs!EC411</f>
        <v>-6</v>
      </c>
      <c r="ED273" s="125">
        <f>+SUM(DZ273:EC273)</f>
        <v>-24</v>
      </c>
      <c r="EE273" s="1105">
        <f>Inputs!EE411</f>
        <v>-5</v>
      </c>
      <c r="EF273" s="1105">
        <f>Inputs!EF411</f>
        <v>-4</v>
      </c>
      <c r="EG273" s="1105">
        <f>Inputs!EG411</f>
        <v>-4</v>
      </c>
      <c r="EH273" s="1105">
        <f>Inputs!EH411</f>
        <v>-4</v>
      </c>
      <c r="EI273" s="125">
        <f>+SUM(EE273:EH273)</f>
        <v>-17</v>
      </c>
      <c r="EJ273" s="1105">
        <f>Inputs!EJ411</f>
        <v>-4</v>
      </c>
      <c r="EK273" s="1105">
        <f>Inputs!EK411</f>
        <v>-1</v>
      </c>
      <c r="EL273" s="1105">
        <f>Inputs!EL411</f>
        <v>-8</v>
      </c>
      <c r="EM273" s="1105">
        <f>Inputs!EM411</f>
        <v>-5</v>
      </c>
      <c r="EN273" s="125">
        <f>+SUM(EJ273:EM273)</f>
        <v>-18</v>
      </c>
      <c r="EO273" s="1105">
        <f>Inputs!EO411</f>
        <v>-3</v>
      </c>
      <c r="EP273" s="1105">
        <f>Inputs!EP411</f>
        <v>-7</v>
      </c>
      <c r="EQ273" s="1105">
        <f>Inputs!EQ411</f>
        <v>-4</v>
      </c>
      <c r="ER273" s="1105">
        <f>Inputs!ER411</f>
        <v>-2</v>
      </c>
      <c r="ES273" s="125">
        <f>+SUM(EO273:ER273)</f>
        <v>-16</v>
      </c>
      <c r="ET273" s="124">
        <f t="shared" ref="ET273:EW273" si="1359">+ET271-ES271</f>
        <v>-2.6902654867256643</v>
      </c>
      <c r="EU273" s="124">
        <f t="shared" si="1359"/>
        <v>-2.3093429399326499</v>
      </c>
      <c r="EV273" s="124">
        <f t="shared" si="1359"/>
        <v>-1.9823563289687343</v>
      </c>
      <c r="EW273" s="124">
        <f t="shared" si="1359"/>
        <v>-1.7016687071678511</v>
      </c>
      <c r="EX273" s="125">
        <f>+SUM(ET273:EW273)</f>
        <v>-8.6836334627948997</v>
      </c>
      <c r="EY273" s="124">
        <f t="shared" ref="EY273" si="1360">+EY271-EX271</f>
        <v>-1.4607244654449705</v>
      </c>
      <c r="EZ273" s="124">
        <f t="shared" ref="EZ273" si="1361">+EZ271-EY271</f>
        <v>-1.2538962225501074</v>
      </c>
      <c r="FA273" s="124">
        <f t="shared" ref="FA273" si="1362">+FA271-EZ271</f>
        <v>-1.0763533945784101</v>
      </c>
      <c r="FB273" s="124">
        <f t="shared" ref="FB273" si="1363">+FB271-FA271</f>
        <v>-0.9239493741071314</v>
      </c>
      <c r="FC273" s="125">
        <f>+SUM(EY273:FB273)</f>
        <v>-4.7149234566806193</v>
      </c>
      <c r="FD273" s="124">
        <f t="shared" ref="FD273" si="1364">+FD271-FC271</f>
        <v>-0.79312468396806857</v>
      </c>
      <c r="FE273" s="124">
        <f t="shared" ref="FE273" si="1365">+FE271-FD271</f>
        <v>-0.68082384376019967</v>
      </c>
      <c r="FF273" s="124">
        <f t="shared" ref="FF273" si="1366">+FF271-FE271</f>
        <v>-0.58442400747556977</v>
      </c>
      <c r="FG273" s="124">
        <f t="shared" ref="FG273" si="1367">+FG271-FF271</f>
        <v>-0.50167370553212631</v>
      </c>
      <c r="FH273" s="125">
        <f>+SUM(FD273:FG273)</f>
        <v>-2.5600462407359643</v>
      </c>
      <c r="FI273" s="124">
        <f t="shared" ref="FI273:FM273" si="1368">+FI271-FH271</f>
        <v>-1.7225610420041155</v>
      </c>
      <c r="FJ273" s="124">
        <f t="shared" si="1368"/>
        <v>-0.74695124830266968</v>
      </c>
      <c r="FK273" s="124">
        <f t="shared" si="1368"/>
        <v>-0.32389921386575943</v>
      </c>
      <c r="FL273" s="124">
        <f t="shared" si="1368"/>
        <v>-0.14045187149931163</v>
      </c>
      <c r="FM273" s="124">
        <f t="shared" si="1368"/>
        <v>-6.090390888023247E-2</v>
      </c>
      <c r="FO273" s="1069" t="s">
        <v>346</v>
      </c>
    </row>
    <row r="274" spans="1:171" s="108" customFormat="1" x14ac:dyDescent="0.3">
      <c r="A274" s="65" t="s">
        <v>341</v>
      </c>
      <c r="DU274" s="122">
        <f>DZ274*1.05</f>
        <v>2.0785132595531466E-4</v>
      </c>
      <c r="DV274" s="122">
        <f>EA274*1.05</f>
        <v>2.4837011033099286E-4</v>
      </c>
      <c r="DW274" s="122">
        <f>EB274*1.05</f>
        <v>3.3373761030487659E-5</v>
      </c>
      <c r="DX274" s="122">
        <f>EC274*1.05</f>
        <v>6.6059894304169116E-5</v>
      </c>
      <c r="DY274" s="123">
        <f t="shared" ref="DY274:EF274" si="1369">+DY269/DY107</f>
        <v>5.5565509162096424E-4</v>
      </c>
      <c r="DZ274" s="122">
        <f t="shared" si="1369"/>
        <v>1.9795364376696634E-4</v>
      </c>
      <c r="EA274" s="122">
        <f t="shared" si="1369"/>
        <v>2.3654296221999318E-4</v>
      </c>
      <c r="EB274" s="122">
        <f t="shared" si="1369"/>
        <v>3.1784534314750152E-5</v>
      </c>
      <c r="EC274" s="122">
        <f t="shared" si="1369"/>
        <v>6.2914185051589626E-5</v>
      </c>
      <c r="ED274" s="123">
        <f t="shared" si="1369"/>
        <v>5.2956308953631839E-4</v>
      </c>
      <c r="EE274" s="122">
        <f t="shared" si="1369"/>
        <v>1.0220457808936633E-4</v>
      </c>
      <c r="EF274" s="122">
        <f t="shared" si="1369"/>
        <v>1.4967895564910533E-4</v>
      </c>
      <c r="EG274" s="694">
        <v>0</v>
      </c>
      <c r="EH274" s="694">
        <v>0</v>
      </c>
      <c r="EI274" s="123">
        <f>+EI269/AVERAGE(EE94:EH94)</f>
        <v>2.5595173973930955E-4</v>
      </c>
      <c r="EJ274" s="694">
        <v>0</v>
      </c>
      <c r="EK274" s="694">
        <v>0</v>
      </c>
      <c r="EL274" s="694">
        <v>0</v>
      </c>
      <c r="EM274" s="694">
        <v>0</v>
      </c>
      <c r="EN274" s="123">
        <f>+EN269/AVERAGE(EJ94:EM94)</f>
        <v>0</v>
      </c>
      <c r="EO274" s="694">
        <v>0</v>
      </c>
      <c r="EP274" s="694">
        <v>0</v>
      </c>
      <c r="EQ274" s="694">
        <v>0</v>
      </c>
      <c r="ER274" s="694">
        <v>0</v>
      </c>
      <c r="ES274" s="123">
        <f>+ES269/AVERAGE(EO94:ER94)</f>
        <v>0</v>
      </c>
      <c r="ET274" s="694">
        <v>0</v>
      </c>
      <c r="EU274" s="694">
        <v>0</v>
      </c>
      <c r="EV274" s="694">
        <v>0</v>
      </c>
      <c r="EW274" s="694">
        <v>0</v>
      </c>
      <c r="EX274" s="123">
        <f>+EX269/AVERAGE(ET94:EW94)</f>
        <v>0</v>
      </c>
      <c r="EY274" s="694">
        <f t="shared" ref="EY274:FB274" si="1370">ET274*0.95</f>
        <v>0</v>
      </c>
      <c r="EZ274" s="694">
        <f t="shared" si="1370"/>
        <v>0</v>
      </c>
      <c r="FA274" s="694">
        <f t="shared" si="1370"/>
        <v>0</v>
      </c>
      <c r="FB274" s="694">
        <f t="shared" si="1370"/>
        <v>0</v>
      </c>
      <c r="FC274" s="123">
        <f>+FC269/AVERAGE(EY94:FB94)</f>
        <v>0</v>
      </c>
      <c r="FD274" s="694">
        <f t="shared" ref="FD274:FG274" si="1371">EY274*0.95</f>
        <v>0</v>
      </c>
      <c r="FE274" s="694">
        <f t="shared" si="1371"/>
        <v>0</v>
      </c>
      <c r="FF274" s="694">
        <f t="shared" si="1371"/>
        <v>0</v>
      </c>
      <c r="FG274" s="694">
        <f t="shared" si="1371"/>
        <v>0</v>
      </c>
      <c r="FH274" s="123">
        <f>+FH269/AVERAGE(FD94:FG94)</f>
        <v>0</v>
      </c>
      <c r="FI274" s="694">
        <f t="shared" ref="FI274:FM274" si="1372">FH274*0.95</f>
        <v>0</v>
      </c>
      <c r="FJ274" s="694">
        <f t="shared" si="1372"/>
        <v>0</v>
      </c>
      <c r="FK274" s="694">
        <f t="shared" si="1372"/>
        <v>0</v>
      </c>
      <c r="FL274" s="694">
        <f t="shared" si="1372"/>
        <v>0</v>
      </c>
      <c r="FM274" s="694">
        <f t="shared" si="1372"/>
        <v>0</v>
      </c>
    </row>
    <row r="275" spans="1:171" s="108" customFormat="1" x14ac:dyDescent="0.3">
      <c r="A275" s="65" t="s">
        <v>342</v>
      </c>
      <c r="DU275" s="694">
        <v>0.03</v>
      </c>
      <c r="DV275" s="694">
        <f>+DU275</f>
        <v>0.03</v>
      </c>
      <c r="DW275" s="694">
        <f>+DV275</f>
        <v>0.03</v>
      </c>
      <c r="DX275" s="694">
        <f>+DW275</f>
        <v>0.03</v>
      </c>
      <c r="DY275" s="123">
        <f>+DY270/AVERAGE(DU268:DX268)/-12</f>
        <v>0.03</v>
      </c>
      <c r="DZ275" s="694">
        <v>0.03</v>
      </c>
      <c r="EA275" s="694">
        <f>+DZ275</f>
        <v>0.03</v>
      </c>
      <c r="EB275" s="694">
        <f>+EA275</f>
        <v>0.03</v>
      </c>
      <c r="EC275" s="694">
        <f>+EB275</f>
        <v>0.03</v>
      </c>
      <c r="ED275" s="123">
        <f>+ED270/AVERAGE(DZ268:EC268)/-12</f>
        <v>3.0000000000000002E-2</v>
      </c>
      <c r="EE275" s="694">
        <f>+ED275</f>
        <v>3.0000000000000002E-2</v>
      </c>
      <c r="EF275" s="694">
        <f>+EE275</f>
        <v>3.0000000000000002E-2</v>
      </c>
      <c r="EG275" s="1106">
        <f>-EG270/EG268/3</f>
        <v>1.6666666666666666E-2</v>
      </c>
      <c r="EH275" s="1106">
        <f>-EH270/EH268/3</f>
        <v>2.3391812865497075E-2</v>
      </c>
      <c r="EI275" s="123">
        <f>+EI270/AVERAGE(EE268:EH268)/-12</f>
        <v>2.5293333333333334E-2</v>
      </c>
      <c r="EJ275" s="1106">
        <f>-EJ270/EJ268/3</f>
        <v>2.5157232704402514E-2</v>
      </c>
      <c r="EK275" s="1106">
        <f>-EK270/EK268/3</f>
        <v>6.8027210884353739E-3</v>
      </c>
      <c r="EL275" s="1106">
        <f>-EL270/EL268/3</f>
        <v>5.5555555555555552E-2</v>
      </c>
      <c r="EM275" s="1106">
        <f>-EM270/EM268/3</f>
        <v>4.1666666666666664E-2</v>
      </c>
      <c r="EN275" s="123">
        <f>+EN270/AVERAGE(EJ268:EM268)/-12</f>
        <v>3.1578947368421054E-2</v>
      </c>
      <c r="EO275" s="1106">
        <f>-EO270/EO268/3</f>
        <v>2.8571428571428571E-2</v>
      </c>
      <c r="EP275" s="1106">
        <f>-EP270/EP268/3</f>
        <v>7.2916666666666671E-2</v>
      </c>
      <c r="EQ275" s="1106">
        <f>-EQ270/EQ268/3</f>
        <v>5.3333333333333337E-2</v>
      </c>
      <c r="ER275" s="1106">
        <f>-ER270/ER268/3</f>
        <v>3.1746031746031744E-2</v>
      </c>
      <c r="ES275" s="123">
        <f>+ES270/AVERAGE(EO268:ER268)/-12</f>
        <v>4.71976401179941E-2</v>
      </c>
      <c r="ET275" s="694">
        <f t="shared" ref="ET275:EW275" si="1373">+ES275</f>
        <v>4.71976401179941E-2</v>
      </c>
      <c r="EU275" s="694">
        <f t="shared" si="1373"/>
        <v>4.71976401179941E-2</v>
      </c>
      <c r="EV275" s="694">
        <f t="shared" si="1373"/>
        <v>4.71976401179941E-2</v>
      </c>
      <c r="EW275" s="694">
        <f t="shared" si="1373"/>
        <v>4.71976401179941E-2</v>
      </c>
      <c r="EX275" s="123">
        <f>+EX270/AVERAGE(ET268:EW268)/-12</f>
        <v>4.7197640117994093E-2</v>
      </c>
      <c r="EY275" s="694">
        <f t="shared" ref="EY275:FB275" si="1374">+ET275</f>
        <v>4.71976401179941E-2</v>
      </c>
      <c r="EZ275" s="694">
        <f t="shared" si="1374"/>
        <v>4.71976401179941E-2</v>
      </c>
      <c r="FA275" s="694">
        <f t="shared" si="1374"/>
        <v>4.71976401179941E-2</v>
      </c>
      <c r="FB275" s="694">
        <f t="shared" si="1374"/>
        <v>4.71976401179941E-2</v>
      </c>
      <c r="FC275" s="123">
        <f>+FC270/AVERAGE(EY268:FB268)/-12</f>
        <v>4.71976401179941E-2</v>
      </c>
      <c r="FD275" s="694">
        <f t="shared" ref="FD275:FG275" si="1375">+EY275</f>
        <v>4.71976401179941E-2</v>
      </c>
      <c r="FE275" s="694">
        <f t="shared" si="1375"/>
        <v>4.71976401179941E-2</v>
      </c>
      <c r="FF275" s="694">
        <f t="shared" si="1375"/>
        <v>4.71976401179941E-2</v>
      </c>
      <c r="FG275" s="694">
        <f t="shared" si="1375"/>
        <v>4.71976401179941E-2</v>
      </c>
      <c r="FH275" s="123">
        <f>+FH270/AVERAGE(FD268:FG268)/-12</f>
        <v>4.71976401179941E-2</v>
      </c>
      <c r="FI275" s="694">
        <f t="shared" ref="FI275:FM275" si="1376">+FH275</f>
        <v>4.71976401179941E-2</v>
      </c>
      <c r="FJ275" s="694">
        <f t="shared" si="1376"/>
        <v>4.71976401179941E-2</v>
      </c>
      <c r="FK275" s="694">
        <f t="shared" si="1376"/>
        <v>4.71976401179941E-2</v>
      </c>
      <c r="FL275" s="694">
        <f t="shared" si="1376"/>
        <v>4.71976401179941E-2</v>
      </c>
      <c r="FM275" s="694">
        <f t="shared" si="1376"/>
        <v>4.71976401179941E-2</v>
      </c>
    </row>
    <row r="276" spans="1:171" s="108" customFormat="1" x14ac:dyDescent="0.3">
      <c r="A276" s="65" t="s">
        <v>403</v>
      </c>
      <c r="DU276" s="126"/>
      <c r="DV276" s="126"/>
      <c r="DW276" s="126"/>
      <c r="DX276" s="126"/>
      <c r="DY276" s="127"/>
      <c r="DZ276" s="126">
        <f t="shared" ref="DZ276:FM276" si="1377">+DZ271/DZ94</f>
        <v>7.2693850267379683E-3</v>
      </c>
      <c r="EA276" s="126">
        <f t="shared" si="1377"/>
        <v>6.8561872909698998E-3</v>
      </c>
      <c r="EB276" s="126">
        <f t="shared" si="1377"/>
        <v>6.2756254706719103E-3</v>
      </c>
      <c r="EC276" s="126">
        <f t="shared" si="1377"/>
        <v>5.8027079303675051E-3</v>
      </c>
      <c r="ED276" s="127">
        <f t="shared" si="1377"/>
        <v>5.8027079303675051E-3</v>
      </c>
      <c r="EE276" s="126">
        <f t="shared" si="1377"/>
        <v>5.4297106982268599E-3</v>
      </c>
      <c r="EF276" s="126">
        <f t="shared" si="1377"/>
        <v>5.1150895140664966E-3</v>
      </c>
      <c r="EG276" s="126">
        <f t="shared" si="1377"/>
        <v>4.9372022520571676E-3</v>
      </c>
      <c r="EH276" s="126">
        <f t="shared" si="1377"/>
        <v>4.668369593939928E-3</v>
      </c>
      <c r="EI276" s="127">
        <f t="shared" si="1377"/>
        <v>4.668369593939928E-3</v>
      </c>
      <c r="EJ276" s="126">
        <f t="shared" si="1377"/>
        <v>4.3977741877580323E-3</v>
      </c>
      <c r="EK276" s="126">
        <f t="shared" si="1377"/>
        <v>4.4194825522511742E-3</v>
      </c>
      <c r="EL276" s="126">
        <f t="shared" si="1377"/>
        <v>3.8058991436726928E-3</v>
      </c>
      <c r="EM276" s="126">
        <f t="shared" si="1377"/>
        <v>3.4216443445107048E-3</v>
      </c>
      <c r="EN276" s="127">
        <f t="shared" si="1377"/>
        <v>3.4216443445107048E-3</v>
      </c>
      <c r="EO276" s="126">
        <f t="shared" si="1377"/>
        <v>3.2355915065722953E-3</v>
      </c>
      <c r="EP276" s="126">
        <f t="shared" si="1377"/>
        <v>2.6112387716732818E-3</v>
      </c>
      <c r="EQ276" s="126">
        <f t="shared" si="1377"/>
        <v>2.2722354468729714E-3</v>
      </c>
      <c r="ER276" s="126">
        <f t="shared" si="1377"/>
        <v>2.1326748232124819E-3</v>
      </c>
      <c r="ES276" s="127">
        <f t="shared" si="1377"/>
        <v>2.1326748232124819E-3</v>
      </c>
      <c r="ET276" s="126">
        <f t="shared" si="1377"/>
        <v>1.8965679608907292E-3</v>
      </c>
      <c r="EU276" s="126">
        <f t="shared" si="1377"/>
        <v>1.6868865377437461E-3</v>
      </c>
      <c r="EV276" s="126">
        <f t="shared" si="1377"/>
        <v>1.5037449927707027E-3</v>
      </c>
      <c r="EW276" s="126">
        <f t="shared" si="1377"/>
        <v>1.3403448884218249E-3</v>
      </c>
      <c r="EX276" s="127">
        <f t="shared" si="1377"/>
        <v>1.3403448884218249E-3</v>
      </c>
      <c r="EY276" s="126">
        <f t="shared" ref="EY276:FC276" si="1378">+EY271/EY94</f>
        <v>1.1992358774790374E-3</v>
      </c>
      <c r="EZ276" s="126">
        <f t="shared" si="1378"/>
        <v>1.072857549357438E-3</v>
      </c>
      <c r="FA276" s="126">
        <f t="shared" si="1378"/>
        <v>9.6254982521642172E-4</v>
      </c>
      <c r="FB276" s="126">
        <f t="shared" si="1378"/>
        <v>8.6370652431626228E-4</v>
      </c>
      <c r="FC276" s="127">
        <f t="shared" si="1378"/>
        <v>8.6370652431626228E-4</v>
      </c>
      <c r="FD276" s="126">
        <f t="shared" si="1377"/>
        <v>7.7931679714750692E-4</v>
      </c>
      <c r="FE276" s="126">
        <f t="shared" si="1377"/>
        <v>7.0288641739829833E-4</v>
      </c>
      <c r="FF276" s="126">
        <f t="shared" si="1377"/>
        <v>6.2320639933977887E-4</v>
      </c>
      <c r="FG276" s="126">
        <f t="shared" si="1377"/>
        <v>5.3118627642027643E-4</v>
      </c>
      <c r="FH276" s="127">
        <f t="shared" ref="FH276" si="1379">+FH271/FH94</f>
        <v>5.3118627642027643E-4</v>
      </c>
      <c r="FI276" s="126">
        <f t="shared" si="1377"/>
        <v>2.2993262983444376E-4</v>
      </c>
      <c r="FJ276" s="126">
        <f t="shared" si="1377"/>
        <v>9.9534365132594922E-5</v>
      </c>
      <c r="FK276" s="126">
        <f t="shared" si="1377"/>
        <v>4.3088803283666531E-5</v>
      </c>
      <c r="FL276" s="126">
        <f t="shared" si="1377"/>
        <v>1.865413050837197E-5</v>
      </c>
      <c r="FM276" s="126">
        <f t="shared" si="1377"/>
        <v>8.0761625235673193E-6</v>
      </c>
    </row>
    <row r="277" spans="1:171" s="108" customFormat="1" x14ac:dyDescent="0.3">
      <c r="A277" s="65" t="s">
        <v>404</v>
      </c>
      <c r="DU277" s="126"/>
      <c r="DV277" s="126"/>
      <c r="DW277" s="126"/>
      <c r="DX277" s="126"/>
      <c r="DY277" s="127"/>
      <c r="DZ277" s="126"/>
      <c r="EA277" s="126"/>
      <c r="EB277" s="126"/>
      <c r="EC277" s="126"/>
      <c r="ED277" s="127"/>
      <c r="EE277" s="126"/>
      <c r="EF277" s="126"/>
      <c r="EG277" s="126"/>
      <c r="EH277" s="126"/>
      <c r="EI277" s="127"/>
      <c r="EJ277" s="126"/>
      <c r="EK277" s="126"/>
      <c r="EL277" s="126"/>
      <c r="EM277" s="126"/>
      <c r="EN277" s="127"/>
      <c r="EO277" s="126"/>
      <c r="EP277" s="126"/>
      <c r="EQ277" s="126"/>
      <c r="ER277" s="126"/>
      <c r="ES277" s="126"/>
      <c r="ET277" s="126"/>
      <c r="EU277" s="126"/>
      <c r="EV277" s="126"/>
      <c r="EW277" s="126"/>
      <c r="EX277" s="126"/>
      <c r="EY277" s="126"/>
      <c r="EZ277" s="126"/>
      <c r="FA277" s="126"/>
      <c r="FB277" s="126"/>
      <c r="FC277" s="126"/>
      <c r="FD277" s="126"/>
      <c r="FE277" s="126"/>
      <c r="FF277" s="126"/>
      <c r="FG277" s="126"/>
      <c r="FH277" s="126"/>
      <c r="FI277" s="126"/>
      <c r="FJ277" s="126"/>
      <c r="FK277" s="126"/>
      <c r="FL277" s="126"/>
      <c r="FM277" s="126"/>
    </row>
    <row r="278" spans="1:171" s="108" customFormat="1" x14ac:dyDescent="0.3">
      <c r="A278" s="65"/>
      <c r="DU278" s="126"/>
      <c r="DV278" s="126"/>
      <c r="DW278" s="126"/>
      <c r="DX278" s="126"/>
      <c r="DY278" s="127"/>
      <c r="DZ278" s="126"/>
      <c r="EA278" s="126"/>
      <c r="EB278" s="126"/>
      <c r="EC278" s="126"/>
      <c r="ED278" s="127"/>
      <c r="EE278" s="126"/>
      <c r="EF278" s="126"/>
      <c r="EG278" s="126"/>
      <c r="EH278" s="126"/>
      <c r="EI278" s="127"/>
      <c r="EJ278" s="126"/>
      <c r="EK278" s="126"/>
      <c r="EL278" s="126"/>
      <c r="EM278" s="126"/>
      <c r="EN278" s="127"/>
      <c r="EO278" s="126"/>
      <c r="EP278" s="126"/>
      <c r="EQ278" s="126"/>
      <c r="ER278" s="126"/>
      <c r="ES278" s="126"/>
      <c r="ET278" s="126"/>
      <c r="EU278" s="126"/>
      <c r="EV278" s="126"/>
      <c r="EW278" s="126"/>
      <c r="EX278" s="126"/>
      <c r="EY278" s="126"/>
      <c r="EZ278" s="126"/>
      <c r="FA278" s="126"/>
      <c r="FB278" s="126"/>
      <c r="FC278" s="126"/>
      <c r="FD278" s="126"/>
      <c r="FE278" s="126"/>
      <c r="FF278" s="126"/>
      <c r="FG278" s="126"/>
      <c r="FH278" s="126"/>
      <c r="FI278" s="126"/>
      <c r="FJ278" s="126"/>
      <c r="FK278" s="126"/>
      <c r="FL278" s="126"/>
      <c r="FM278" s="126"/>
    </row>
    <row r="279" spans="1:171" s="108" customFormat="1" x14ac:dyDescent="0.3">
      <c r="A279" s="78" t="s">
        <v>405</v>
      </c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  <c r="AA279" s="119"/>
      <c r="AB279" s="119"/>
      <c r="AC279" s="119"/>
      <c r="AD279" s="119"/>
      <c r="AE279" s="119"/>
      <c r="AF279" s="119"/>
      <c r="AG279" s="119"/>
      <c r="AH279" s="119"/>
      <c r="AI279" s="119"/>
      <c r="AJ279" s="119"/>
      <c r="AK279" s="119"/>
      <c r="AL279" s="119"/>
      <c r="AM279" s="119"/>
      <c r="AN279" s="119"/>
      <c r="AO279" s="119"/>
      <c r="AP279" s="119"/>
      <c r="AQ279" s="119"/>
      <c r="AR279" s="119"/>
      <c r="AS279" s="119"/>
      <c r="AT279" s="119"/>
      <c r="AU279" s="119"/>
      <c r="AV279" s="119"/>
      <c r="AW279" s="119"/>
      <c r="AX279" s="119"/>
      <c r="AY279" s="119"/>
      <c r="AZ279" s="119"/>
      <c r="BA279" s="119"/>
      <c r="BB279" s="119"/>
      <c r="BC279" s="119"/>
      <c r="BD279" s="119"/>
      <c r="BE279" s="119"/>
      <c r="BF279" s="119"/>
      <c r="BG279" s="119"/>
      <c r="BH279" s="119"/>
      <c r="BI279" s="119"/>
      <c r="BJ279" s="119"/>
      <c r="BK279" s="119"/>
      <c r="BL279" s="119"/>
      <c r="BM279" s="119"/>
      <c r="BN279" s="119"/>
      <c r="BO279" s="119"/>
      <c r="BP279" s="119"/>
      <c r="BQ279" s="119"/>
      <c r="BR279" s="119"/>
      <c r="BS279" s="119"/>
      <c r="BT279" s="119"/>
      <c r="BU279" s="119"/>
      <c r="BV279" s="119"/>
      <c r="BW279" s="119"/>
      <c r="BX279" s="119"/>
      <c r="BY279" s="119"/>
      <c r="BZ279" s="119"/>
      <c r="CA279" s="119"/>
      <c r="CB279" s="119"/>
      <c r="CC279" s="119"/>
      <c r="CD279" s="119"/>
      <c r="CE279" s="119"/>
      <c r="CF279" s="119"/>
      <c r="CG279" s="119"/>
      <c r="CH279" s="119"/>
      <c r="CI279" s="119"/>
      <c r="CJ279" s="119"/>
      <c r="CK279" s="119"/>
      <c r="CL279" s="119"/>
      <c r="CM279" s="119"/>
      <c r="CN279" s="119"/>
      <c r="CO279" s="119"/>
      <c r="CP279" s="119"/>
      <c r="CQ279" s="119"/>
      <c r="CR279" s="119"/>
      <c r="CS279" s="119"/>
      <c r="CT279" s="119"/>
      <c r="CU279" s="119"/>
      <c r="CV279" s="119"/>
      <c r="CW279" s="119"/>
      <c r="CX279" s="119"/>
      <c r="CY279" s="119"/>
      <c r="CZ279" s="119"/>
      <c r="DA279" s="119"/>
      <c r="DB279" s="119"/>
      <c r="DC279" s="119"/>
      <c r="DD279" s="119"/>
      <c r="DE279" s="119"/>
      <c r="DF279" s="119"/>
      <c r="DG279" s="119"/>
      <c r="DH279" s="119"/>
      <c r="DI279" s="119"/>
      <c r="DJ279" s="119"/>
      <c r="DK279" s="119"/>
      <c r="DL279" s="119"/>
      <c r="DM279" s="119"/>
      <c r="DN279" s="119"/>
      <c r="DO279" s="119"/>
      <c r="DP279" s="119"/>
      <c r="DQ279" s="119"/>
      <c r="DR279" s="119"/>
      <c r="DS279" s="119"/>
      <c r="DT279" s="119"/>
      <c r="DU279" s="119"/>
      <c r="DV279" s="119"/>
      <c r="DW279" s="119"/>
      <c r="DX279" s="119"/>
      <c r="DY279" s="1202"/>
      <c r="DZ279" s="119"/>
      <c r="EA279" s="119"/>
      <c r="EB279" s="119"/>
      <c r="EC279" s="119"/>
      <c r="ED279" s="1202"/>
      <c r="EE279" s="119"/>
      <c r="EF279" s="119"/>
      <c r="EG279" s="119"/>
      <c r="EH279" s="119"/>
      <c r="EI279" s="1202"/>
      <c r="EJ279" s="119"/>
      <c r="EK279" s="119"/>
      <c r="EL279" s="119"/>
      <c r="EM279" s="119"/>
      <c r="EN279" s="1202"/>
      <c r="EO279" s="119"/>
      <c r="EP279" s="119"/>
      <c r="EQ279" s="119"/>
      <c r="ER279" s="119"/>
      <c r="ES279" s="119"/>
      <c r="ET279" s="119"/>
      <c r="EU279" s="119"/>
      <c r="EV279" s="119"/>
      <c r="EW279" s="119"/>
      <c r="EX279" s="119"/>
      <c r="EY279" s="119"/>
      <c r="EZ279" s="119"/>
      <c r="FA279" s="119"/>
      <c r="FB279" s="119"/>
      <c r="FC279" s="119"/>
      <c r="FD279" s="119"/>
      <c r="FE279" s="119"/>
      <c r="FF279" s="119"/>
      <c r="FG279" s="119"/>
      <c r="FH279" s="119"/>
      <c r="FI279" s="119"/>
      <c r="FJ279" s="119"/>
      <c r="FK279" s="119"/>
      <c r="FL279" s="119"/>
      <c r="FM279" s="119"/>
    </row>
    <row r="280" spans="1:171" s="108" customFormat="1" x14ac:dyDescent="0.3">
      <c r="A280" s="63" t="s">
        <v>406</v>
      </c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  <c r="AA280" s="119"/>
      <c r="AB280" s="119"/>
      <c r="AC280" s="119"/>
      <c r="AD280" s="119"/>
      <c r="AE280" s="119"/>
      <c r="AF280" s="119"/>
      <c r="AG280" s="119"/>
      <c r="AH280" s="119"/>
      <c r="AI280" s="119"/>
      <c r="AJ280" s="119"/>
      <c r="AK280" s="119"/>
      <c r="AL280" s="119"/>
      <c r="AM280" s="119"/>
      <c r="AN280" s="119"/>
      <c r="AO280" s="119"/>
      <c r="AP280" s="119"/>
      <c r="AQ280" s="119"/>
      <c r="AR280" s="119"/>
      <c r="AS280" s="119"/>
      <c r="AT280" s="119"/>
      <c r="AU280" s="119"/>
      <c r="AV280" s="119"/>
      <c r="AW280" s="119"/>
      <c r="AX280" s="119"/>
      <c r="AY280" s="119"/>
      <c r="AZ280" s="119"/>
      <c r="BA280" s="119"/>
      <c r="BB280" s="119"/>
      <c r="BC280" s="119"/>
      <c r="BD280" s="119"/>
      <c r="BE280" s="119"/>
      <c r="BF280" s="119"/>
      <c r="BG280" s="119"/>
      <c r="BH280" s="119"/>
      <c r="BI280" s="119"/>
      <c r="BJ280" s="119"/>
      <c r="BK280" s="119"/>
      <c r="BL280" s="119"/>
      <c r="BM280" s="119"/>
      <c r="BN280" s="119"/>
      <c r="BO280" s="119"/>
      <c r="BP280" s="119"/>
      <c r="BQ280" s="119"/>
      <c r="BR280" s="119"/>
      <c r="BS280" s="119"/>
      <c r="BT280" s="119"/>
      <c r="BU280" s="119"/>
      <c r="BV280" s="119"/>
      <c r="BW280" s="119"/>
      <c r="BX280" s="119"/>
      <c r="BY280" s="119"/>
      <c r="BZ280" s="119"/>
      <c r="CA280" s="119"/>
      <c r="CB280" s="119"/>
      <c r="CC280" s="119"/>
      <c r="CD280" s="119"/>
      <c r="CE280" s="119"/>
      <c r="CF280" s="119"/>
      <c r="CG280" s="119"/>
      <c r="CH280" s="119"/>
      <c r="CI280" s="119"/>
      <c r="CJ280" s="119"/>
      <c r="CK280" s="119"/>
      <c r="CL280" s="119"/>
      <c r="CM280" s="119"/>
      <c r="CN280" s="119"/>
      <c r="CO280" s="119"/>
      <c r="CP280" s="119"/>
      <c r="CQ280" s="119"/>
      <c r="CR280" s="119"/>
      <c r="CS280" s="119"/>
      <c r="CT280" s="119"/>
      <c r="CU280" s="119"/>
      <c r="CV280" s="119"/>
      <c r="CW280" s="119"/>
      <c r="CX280" s="119"/>
      <c r="CY280" s="119"/>
      <c r="CZ280" s="119"/>
      <c r="DA280" s="119"/>
      <c r="DB280" s="119"/>
      <c r="DC280" s="119"/>
      <c r="DD280" s="119"/>
      <c r="DE280" s="119"/>
      <c r="DF280" s="119"/>
      <c r="DG280" s="119"/>
      <c r="DH280" s="119"/>
      <c r="DI280" s="119"/>
      <c r="DJ280" s="119"/>
      <c r="DK280" s="119"/>
      <c r="DL280" s="119"/>
      <c r="DM280" s="119"/>
      <c r="DN280" s="119"/>
      <c r="DO280" s="119"/>
      <c r="DP280" s="119"/>
      <c r="DQ280" s="119"/>
      <c r="DR280" s="119"/>
      <c r="DS280" s="119"/>
      <c r="DT280" s="119"/>
      <c r="DU280" s="56"/>
      <c r="DV280" s="56"/>
      <c r="DW280" s="56"/>
      <c r="DX280" s="56"/>
      <c r="DY280" s="60"/>
      <c r="DZ280" s="56">
        <f>DZ283-DZ285</f>
        <v>740</v>
      </c>
      <c r="EA280" s="56">
        <f>+DZ283</f>
        <v>740</v>
      </c>
      <c r="EB280" s="56">
        <f>+EA283</f>
        <v>718</v>
      </c>
      <c r="EC280" s="56">
        <f>+EB283</f>
        <v>696</v>
      </c>
      <c r="ED280" s="60">
        <f>+DZ280</f>
        <v>740</v>
      </c>
      <c r="EE280" s="56">
        <f>+ED283</f>
        <v>677</v>
      </c>
      <c r="EF280" s="56">
        <f>+EE283</f>
        <v>657</v>
      </c>
      <c r="EG280" s="56">
        <f>+EF283</f>
        <v>636</v>
      </c>
      <c r="EH280" s="56">
        <f>+EG283</f>
        <v>617</v>
      </c>
      <c r="EI280" s="60">
        <f>+EE280</f>
        <v>677</v>
      </c>
      <c r="EJ280" s="56">
        <f>+EI283</f>
        <v>595</v>
      </c>
      <c r="EK280" s="56">
        <f>+EJ283</f>
        <v>577</v>
      </c>
      <c r="EL280" s="56">
        <f>+EK283</f>
        <v>558</v>
      </c>
      <c r="EM280" s="56">
        <f>+EL283</f>
        <v>535</v>
      </c>
      <c r="EN280" s="60">
        <f>+EJ280</f>
        <v>595</v>
      </c>
      <c r="EO280" s="56">
        <f>+EN283</f>
        <v>515</v>
      </c>
      <c r="EP280" s="56">
        <f>+EO283</f>
        <v>494</v>
      </c>
      <c r="EQ280" s="56">
        <f>+EP283</f>
        <v>477</v>
      </c>
      <c r="ER280" s="56">
        <f>+EQ283</f>
        <v>451</v>
      </c>
      <c r="ES280" s="60">
        <f>+EO280</f>
        <v>515</v>
      </c>
      <c r="ET280" s="56">
        <f t="shared" ref="ET280:EW280" si="1380">+ES283</f>
        <v>429</v>
      </c>
      <c r="EU280" s="56">
        <f t="shared" si="1380"/>
        <v>409.14339408514678</v>
      </c>
      <c r="EV280" s="56">
        <f t="shared" si="1380"/>
        <v>392.84212147160861</v>
      </c>
      <c r="EW280" s="56">
        <f t="shared" si="1380"/>
        <v>368.94485638181328</v>
      </c>
      <c r="EX280" s="60">
        <f>+ET280</f>
        <v>429</v>
      </c>
      <c r="EY280" s="56">
        <f t="shared" ref="EY280" si="1381">+EX283</f>
        <v>349.05485071131272</v>
      </c>
      <c r="EZ280" s="56">
        <f t="shared" ref="EZ280" si="1382">+EY283</f>
        <v>334.16241878075908</v>
      </c>
      <c r="FA280" s="56">
        <f t="shared" ref="FA280" si="1383">+EZ283</f>
        <v>321.85481867174155</v>
      </c>
      <c r="FB280" s="56">
        <f t="shared" ref="FB280" si="1384">+FA283</f>
        <v>302.88347953214412</v>
      </c>
      <c r="FC280" s="60">
        <f>+EY280</f>
        <v>349.05485071131272</v>
      </c>
      <c r="FD280" s="56">
        <f t="shared" ref="FD280" si="1385">+FC283</f>
        <v>286.73019210233792</v>
      </c>
      <c r="FE280" s="56">
        <f t="shared" ref="FE280" si="1386">+FD283</f>
        <v>274.36368706453675</v>
      </c>
      <c r="FF280" s="56">
        <f t="shared" ref="FF280" si="1387">+FE283</f>
        <v>263.81149403509642</v>
      </c>
      <c r="FG280" s="56">
        <f t="shared" ref="FG280" si="1388">+FF283</f>
        <v>247.92812796749558</v>
      </c>
      <c r="FH280" s="60">
        <f>+FD280</f>
        <v>286.73019210233792</v>
      </c>
      <c r="FI280" s="56">
        <f t="shared" ref="FI280:FM280" si="1389">+FH283</f>
        <v>235.56408351247859</v>
      </c>
      <c r="FJ280" s="56">
        <f t="shared" si="1389"/>
        <v>201.50110185717665</v>
      </c>
      <c r="FK280" s="56">
        <f t="shared" si="1389"/>
        <v>189.19906598923799</v>
      </c>
      <c r="FL280" s="56">
        <f t="shared" si="1389"/>
        <v>182.75938798290812</v>
      </c>
      <c r="FM280" s="56">
        <f t="shared" si="1389"/>
        <v>177.94846980067507</v>
      </c>
      <c r="FN280" s="1068">
        <f>+(FJ280/ES280)^0.2-1</f>
        <v>-0.17111546034855984</v>
      </c>
    </row>
    <row r="281" spans="1:171" s="108" customFormat="1" x14ac:dyDescent="0.3">
      <c r="A281" s="63" t="s">
        <v>336</v>
      </c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  <c r="AA281" s="119"/>
      <c r="AB281" s="119"/>
      <c r="AC281" s="119"/>
      <c r="AD281" s="119"/>
      <c r="AE281" s="119"/>
      <c r="AF281" s="119"/>
      <c r="AG281" s="119"/>
      <c r="AH281" s="119"/>
      <c r="AI281" s="119"/>
      <c r="AJ281" s="119"/>
      <c r="AK281" s="119"/>
      <c r="AL281" s="119"/>
      <c r="AM281" s="119"/>
      <c r="AN281" s="119"/>
      <c r="AO281" s="119"/>
      <c r="AP281" s="119"/>
      <c r="AQ281" s="119"/>
      <c r="AR281" s="119"/>
      <c r="AS281" s="119"/>
      <c r="AT281" s="119"/>
      <c r="AU281" s="119"/>
      <c r="AV281" s="119"/>
      <c r="AW281" s="119"/>
      <c r="AX281" s="119"/>
      <c r="AY281" s="119"/>
      <c r="AZ281" s="119"/>
      <c r="BA281" s="119"/>
      <c r="BB281" s="119"/>
      <c r="BC281" s="119"/>
      <c r="BD281" s="119"/>
      <c r="BE281" s="119"/>
      <c r="BF281" s="119"/>
      <c r="BG281" s="119"/>
      <c r="BH281" s="119"/>
      <c r="BI281" s="119"/>
      <c r="BJ281" s="119"/>
      <c r="BK281" s="119"/>
      <c r="BL281" s="119"/>
      <c r="BM281" s="119"/>
      <c r="BN281" s="119"/>
      <c r="BO281" s="119"/>
      <c r="BP281" s="119"/>
      <c r="BQ281" s="119"/>
      <c r="BR281" s="119"/>
      <c r="BS281" s="119"/>
      <c r="BT281" s="119"/>
      <c r="BU281" s="119"/>
      <c r="BV281" s="119"/>
      <c r="BW281" s="119"/>
      <c r="BX281" s="119"/>
      <c r="BY281" s="119"/>
      <c r="BZ281" s="119"/>
      <c r="CA281" s="119"/>
      <c r="CB281" s="119"/>
      <c r="CC281" s="119"/>
      <c r="CD281" s="119"/>
      <c r="CE281" s="119"/>
      <c r="CF281" s="119"/>
      <c r="CG281" s="119"/>
      <c r="CH281" s="119"/>
      <c r="CI281" s="119"/>
      <c r="CJ281" s="119"/>
      <c r="CK281" s="119"/>
      <c r="CL281" s="119"/>
      <c r="CM281" s="119"/>
      <c r="CN281" s="119"/>
      <c r="CO281" s="119"/>
      <c r="CP281" s="119"/>
      <c r="CQ281" s="119"/>
      <c r="CR281" s="119"/>
      <c r="CS281" s="119"/>
      <c r="CT281" s="119"/>
      <c r="CU281" s="119"/>
      <c r="CV281" s="119"/>
      <c r="CW281" s="119"/>
      <c r="CX281" s="119"/>
      <c r="CY281" s="119"/>
      <c r="CZ281" s="119"/>
      <c r="DA281" s="119"/>
      <c r="DB281" s="119"/>
      <c r="DC281" s="119"/>
      <c r="DD281" s="119"/>
      <c r="DE281" s="119"/>
      <c r="DF281" s="119"/>
      <c r="DG281" s="119"/>
      <c r="DH281" s="119"/>
      <c r="DI281" s="119"/>
      <c r="DJ281" s="119"/>
      <c r="DK281" s="119"/>
      <c r="DL281" s="119"/>
      <c r="DM281" s="119"/>
      <c r="DN281" s="119"/>
      <c r="DO281" s="119"/>
      <c r="DP281" s="119"/>
      <c r="DQ281" s="119"/>
      <c r="DR281" s="119"/>
      <c r="DS281" s="119"/>
      <c r="DT281" s="119"/>
      <c r="DU281" s="56"/>
      <c r="DV281" s="56"/>
      <c r="DW281" s="56"/>
      <c r="DX281" s="56"/>
      <c r="DY281" s="60"/>
      <c r="DZ281" s="56">
        <f>+DZ283-DZ282-DZ280</f>
        <v>77.933999999999969</v>
      </c>
      <c r="EA281" s="56">
        <f t="shared" ref="EA281:EC281" si="1390">+EA283-EA282-EA280</f>
        <v>48.741499999999974</v>
      </c>
      <c r="EB281" s="56">
        <f t="shared" si="1390"/>
        <v>63.407299999999964</v>
      </c>
      <c r="EC281" s="56">
        <f t="shared" si="1390"/>
        <v>58.677800000000047</v>
      </c>
      <c r="ED281" s="60">
        <f>+SUM(DZ281:EC281)</f>
        <v>248.76059999999995</v>
      </c>
      <c r="EE281" s="56">
        <f>+EE283-EE282-EE280</f>
        <v>50.212600000000066</v>
      </c>
      <c r="EF281" s="56">
        <f>+EF283-EF282-EF280</f>
        <v>56.168099999999981</v>
      </c>
      <c r="EG281" s="56">
        <f>+EG283-EG282-EG280</f>
        <v>61.703300000000013</v>
      </c>
      <c r="EH281" s="56">
        <f>+EH283-EH282-EH280</f>
        <v>47.940699999999993</v>
      </c>
      <c r="EI281" s="60">
        <f>+SUM(EE281:EH281)</f>
        <v>216.02470000000005</v>
      </c>
      <c r="EJ281" s="56">
        <f>+EJ283-EJ282-EJ280</f>
        <v>49.541900000000055</v>
      </c>
      <c r="EK281" s="56">
        <f>+EK283-EK282-EK280</f>
        <v>62.969500000000039</v>
      </c>
      <c r="EL281" s="56">
        <f>+EL283-EL282-EL280</f>
        <v>65.317400000000021</v>
      </c>
      <c r="EM281" s="56">
        <f>+EM283-EM282-EM280</f>
        <v>56.895800000000008</v>
      </c>
      <c r="EN281" s="60">
        <f>+SUM(EJ281:EM281)</f>
        <v>234.72460000000012</v>
      </c>
      <c r="EO281" s="56">
        <f>+EO283-EO282-EO280</f>
        <v>56.899800000000027</v>
      </c>
      <c r="EP281" s="56">
        <f>+EP283-EP282-EP280</f>
        <v>65.643599999999992</v>
      </c>
      <c r="EQ281" s="56">
        <f>+EQ283-EQ282-EQ280</f>
        <v>68.785799999999995</v>
      </c>
      <c r="ER281" s="56">
        <f>+ER283-ER282-ER280</f>
        <v>61.216200000000072</v>
      </c>
      <c r="ES281" s="60">
        <f>+SUM(EO281:ER281)</f>
        <v>252.54540000000009</v>
      </c>
      <c r="ET281" s="56">
        <f t="shared" ref="ET281:EW281" si="1391">+ET286*ET107</f>
        <v>48.279248279321571</v>
      </c>
      <c r="EU281" s="56">
        <f t="shared" si="1391"/>
        <v>55.568640652830254</v>
      </c>
      <c r="EV281" s="56">
        <f t="shared" si="1391"/>
        <v>58.068452929602593</v>
      </c>
      <c r="EW281" s="56">
        <f t="shared" si="1391"/>
        <v>51.58959168099009</v>
      </c>
      <c r="EX281" s="60">
        <f>+SUM(ET281:EW281)</f>
        <v>213.50593354274449</v>
      </c>
      <c r="EY281" s="56">
        <f t="shared" ref="EY281:FB281" si="1392">+EY286*EY107</f>
        <v>40.546147122675826</v>
      </c>
      <c r="EZ281" s="56">
        <f t="shared" si="1392"/>
        <v>46.391194499053306</v>
      </c>
      <c r="FA281" s="56">
        <f t="shared" si="1392"/>
        <v>48.183021018135804</v>
      </c>
      <c r="FB281" s="56">
        <f t="shared" si="1392"/>
        <v>42.527539221889953</v>
      </c>
      <c r="FC281" s="60">
        <f>+SUM(EY281:FB281)</f>
        <v>177.64790186175489</v>
      </c>
      <c r="FD281" s="56">
        <f t="shared" ref="FD281:FM281" si="1393">+FD286*FD107</f>
        <v>33.173370398451965</v>
      </c>
      <c r="FE281" s="56">
        <f t="shared" si="1393"/>
        <v>37.642387838375612</v>
      </c>
      <c r="FF281" s="56">
        <f t="shared" si="1393"/>
        <v>39.160371221450426</v>
      </c>
      <c r="FG281" s="56">
        <f t="shared" si="1393"/>
        <v>35.669699484444529</v>
      </c>
      <c r="FH281" s="60">
        <f>+SUM(FD281:FG281)</f>
        <v>145.64582894272252</v>
      </c>
      <c r="FI281" s="56">
        <f t="shared" si="1393"/>
        <v>138.7944976782203</v>
      </c>
      <c r="FJ281" s="56">
        <f t="shared" si="1393"/>
        <v>135.55994729433647</v>
      </c>
      <c r="FK281" s="56">
        <f t="shared" si="1393"/>
        <v>132.39504225960559</v>
      </c>
      <c r="FL281" s="56">
        <f t="shared" si="1393"/>
        <v>129.298351194519</v>
      </c>
      <c r="FM281" s="56">
        <f t="shared" si="1393"/>
        <v>126.2684712599136</v>
      </c>
      <c r="FN281" s="1068">
        <f>+(FJ281/ES281)^0.2-1</f>
        <v>-0.11700471250598143</v>
      </c>
    </row>
    <row r="282" spans="1:171" s="108" customFormat="1" x14ac:dyDescent="0.3">
      <c r="A282" s="63" t="s">
        <v>337</v>
      </c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  <c r="AA282" s="119"/>
      <c r="AB282" s="119"/>
      <c r="AC282" s="119"/>
      <c r="AD282" s="119"/>
      <c r="AE282" s="119"/>
      <c r="AF282" s="119"/>
      <c r="AG282" s="119"/>
      <c r="AH282" s="119"/>
      <c r="AI282" s="119"/>
      <c r="AJ282" s="119"/>
      <c r="AK282" s="119"/>
      <c r="AL282" s="119"/>
      <c r="AM282" s="119"/>
      <c r="AN282" s="119"/>
      <c r="AO282" s="119"/>
      <c r="AP282" s="119"/>
      <c r="AQ282" s="119"/>
      <c r="AR282" s="119"/>
      <c r="AS282" s="119"/>
      <c r="AT282" s="119"/>
      <c r="AU282" s="119"/>
      <c r="AV282" s="119"/>
      <c r="AW282" s="119"/>
      <c r="AX282" s="119"/>
      <c r="AY282" s="119"/>
      <c r="AZ282" s="119"/>
      <c r="BA282" s="119"/>
      <c r="BB282" s="119"/>
      <c r="BC282" s="119"/>
      <c r="BD282" s="119"/>
      <c r="BE282" s="119"/>
      <c r="BF282" s="119"/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  <c r="BS282" s="119"/>
      <c r="BT282" s="119"/>
      <c r="BU282" s="119"/>
      <c r="BV282" s="119"/>
      <c r="BW282" s="119"/>
      <c r="BX282" s="119"/>
      <c r="BY282" s="119"/>
      <c r="BZ282" s="119"/>
      <c r="CA282" s="119"/>
      <c r="CB282" s="119"/>
      <c r="CC282" s="119"/>
      <c r="CD282" s="119"/>
      <c r="CE282" s="119"/>
      <c r="CF282" s="119"/>
      <c r="CG282" s="119"/>
      <c r="CH282" s="119"/>
      <c r="CI282" s="119"/>
      <c r="CJ282" s="119"/>
      <c r="CK282" s="119"/>
      <c r="CL282" s="119"/>
      <c r="CM282" s="119"/>
      <c r="CN282" s="119"/>
      <c r="CO282" s="119"/>
      <c r="CP282" s="119"/>
      <c r="CQ282" s="119"/>
      <c r="CR282" s="119"/>
      <c r="CS282" s="119"/>
      <c r="CT282" s="119"/>
      <c r="CU282" s="119"/>
      <c r="CV282" s="119"/>
      <c r="CW282" s="119"/>
      <c r="CX282" s="119"/>
      <c r="CY282" s="119"/>
      <c r="CZ282" s="119"/>
      <c r="DA282" s="119"/>
      <c r="DB282" s="119"/>
      <c r="DC282" s="119"/>
      <c r="DD282" s="119"/>
      <c r="DE282" s="119"/>
      <c r="DF282" s="119"/>
      <c r="DG282" s="119"/>
      <c r="DH282" s="119"/>
      <c r="DI282" s="119"/>
      <c r="DJ282" s="119"/>
      <c r="DK282" s="119"/>
      <c r="DL282" s="119"/>
      <c r="DM282" s="119"/>
      <c r="DN282" s="119"/>
      <c r="DO282" s="119"/>
      <c r="DP282" s="119"/>
      <c r="DQ282" s="119"/>
      <c r="DR282" s="119"/>
      <c r="DS282" s="119"/>
      <c r="DT282" s="119"/>
      <c r="DU282" s="56"/>
      <c r="DV282" s="56"/>
      <c r="DW282" s="56"/>
      <c r="DX282" s="56"/>
      <c r="DY282" s="60"/>
      <c r="DZ282" s="56">
        <f>DZ430-DZ259-DZ270</f>
        <v>-77.934000000000012</v>
      </c>
      <c r="EA282" s="56">
        <f>EA430-EA259-EA270</f>
        <v>-70.741500000000002</v>
      </c>
      <c r="EB282" s="56">
        <f>EB430-EB259-EB270</f>
        <v>-85.407299999999992</v>
      </c>
      <c r="EC282" s="56">
        <f>EC430-EC259-EC270</f>
        <v>-77.677800000000019</v>
      </c>
      <c r="ED282" s="60">
        <f>+SUM(DZ282:EC282)</f>
        <v>-311.76060000000001</v>
      </c>
      <c r="EE282" s="56">
        <f>EE430-EE259-EE270</f>
        <v>-70.212600000000009</v>
      </c>
      <c r="EF282" s="56">
        <f>EF430-EF259-EF270</f>
        <v>-77.168099999999995</v>
      </c>
      <c r="EG282" s="56">
        <f>EG430-EG259-EG270</f>
        <v>-80.703300000000027</v>
      </c>
      <c r="EH282" s="56">
        <f>EH430-EH259-EH270</f>
        <v>-69.940700000000021</v>
      </c>
      <c r="EI282" s="60">
        <f>+SUM(EE282:EH282)</f>
        <v>-298.02470000000005</v>
      </c>
      <c r="EJ282" s="56">
        <f>EJ430-EJ259-EJ270</f>
        <v>-67.541900000000012</v>
      </c>
      <c r="EK282" s="56">
        <f>EK430-EK259-EK270</f>
        <v>-81.969499999999996</v>
      </c>
      <c r="EL282" s="56">
        <f>EL430-EL259-EL270</f>
        <v>-88.317400000000021</v>
      </c>
      <c r="EM282" s="56">
        <f>EM430-EM259-EM270</f>
        <v>-76.895800000000008</v>
      </c>
      <c r="EN282" s="60">
        <f>+SUM(EJ282:EM282)</f>
        <v>-314.72460000000001</v>
      </c>
      <c r="EO282" s="56">
        <f>EO430-EO259-EO270</f>
        <v>-77.899800000000027</v>
      </c>
      <c r="EP282" s="56">
        <f>EP430-EP259-EP270</f>
        <v>-82.643599999999978</v>
      </c>
      <c r="EQ282" s="56">
        <f>EQ430-EQ259-EQ270</f>
        <v>-94.785800000000037</v>
      </c>
      <c r="ER282" s="56">
        <f>ER430-ER259-ER270</f>
        <v>-83.216200000000015</v>
      </c>
      <c r="ES282" s="60">
        <f>+SUM(EO282:ER282)</f>
        <v>-338.54540000000009</v>
      </c>
      <c r="ET282" s="56">
        <f t="shared" ref="ET282:EW282" si="1394">+ET280*ET287*-3</f>
        <v>-68.135854194174783</v>
      </c>
      <c r="EU282" s="56">
        <f t="shared" si="1394"/>
        <v>-71.8699132663684</v>
      </c>
      <c r="EV282" s="56">
        <f t="shared" si="1394"/>
        <v>-81.965718019397897</v>
      </c>
      <c r="EW282" s="56">
        <f t="shared" si="1394"/>
        <v>-71.479597351490639</v>
      </c>
      <c r="EX282" s="60">
        <f>+SUM(ET282:EW282)</f>
        <v>-293.45108283143168</v>
      </c>
      <c r="EY282" s="56">
        <f t="shared" ref="EY282:FB282" si="1395">+EY280*EY287*-3</f>
        <v>-55.438579053229482</v>
      </c>
      <c r="EZ282" s="56">
        <f t="shared" si="1395"/>
        <v>-58.69879460807087</v>
      </c>
      <c r="FA282" s="56">
        <f t="shared" si="1395"/>
        <v>-67.154360157733265</v>
      </c>
      <c r="FB282" s="56">
        <f t="shared" si="1395"/>
        <v>-58.680826651696151</v>
      </c>
      <c r="FC282" s="60">
        <f>+SUM(EY282:FB282)</f>
        <v>-239.97256047072977</v>
      </c>
      <c r="FD282" s="56">
        <f t="shared" ref="FD282:FG282" si="1396">+FD280*FD287*-3</f>
        <v>-45.539875436253197</v>
      </c>
      <c r="FE282" s="56">
        <f t="shared" si="1396"/>
        <v>-48.194580867815951</v>
      </c>
      <c r="FF282" s="56">
        <f t="shared" si="1396"/>
        <v>-55.043737289051251</v>
      </c>
      <c r="FG282" s="56">
        <f t="shared" si="1396"/>
        <v>-48.03374393946153</v>
      </c>
      <c r="FH282" s="60">
        <f>+SUM(FD282:FG282)</f>
        <v>-196.81193753258191</v>
      </c>
      <c r="FI282" s="56">
        <f t="shared" ref="FI282:FM282" si="1397">+FI280*FI287*-12</f>
        <v>-172.85747933352224</v>
      </c>
      <c r="FJ282" s="56">
        <f t="shared" si="1397"/>
        <v>-147.8619831622751</v>
      </c>
      <c r="FK282" s="56">
        <f t="shared" si="1397"/>
        <v>-138.83472026593543</v>
      </c>
      <c r="FL282" s="56">
        <f t="shared" si="1397"/>
        <v>-134.10926937675208</v>
      </c>
      <c r="FM282" s="56">
        <f t="shared" si="1397"/>
        <v>-130.57900628290244</v>
      </c>
      <c r="FN282" s="1068">
        <f>+(FJ282/ES282)^0.2-1</f>
        <v>-0.15267909399083524</v>
      </c>
    </row>
    <row r="283" spans="1:171" s="108" customFormat="1" x14ac:dyDescent="0.3">
      <c r="A283" s="64" t="s">
        <v>407</v>
      </c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  <c r="AA283" s="119"/>
      <c r="AB283" s="119"/>
      <c r="AC283" s="119"/>
      <c r="AD283" s="119"/>
      <c r="AE283" s="119"/>
      <c r="AF283" s="119"/>
      <c r="AG283" s="119"/>
      <c r="AH283" s="119"/>
      <c r="AI283" s="119"/>
      <c r="AJ283" s="119"/>
      <c r="AK283" s="119"/>
      <c r="AL283" s="119"/>
      <c r="AM283" s="119"/>
      <c r="AN283" s="119"/>
      <c r="AO283" s="119"/>
      <c r="AP283" s="119"/>
      <c r="AQ283" s="119"/>
      <c r="AR283" s="119"/>
      <c r="AS283" s="119"/>
      <c r="AT283" s="119"/>
      <c r="AU283" s="119"/>
      <c r="AV283" s="119"/>
      <c r="AW283" s="119"/>
      <c r="AX283" s="119"/>
      <c r="AY283" s="119"/>
      <c r="AZ283" s="119"/>
      <c r="BA283" s="119"/>
      <c r="BB283" s="119"/>
      <c r="BC283" s="119"/>
      <c r="BD283" s="119"/>
      <c r="BE283" s="119"/>
      <c r="BF283" s="119"/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  <c r="BS283" s="119"/>
      <c r="BT283" s="119"/>
      <c r="BU283" s="119"/>
      <c r="BV283" s="119"/>
      <c r="BW283" s="119"/>
      <c r="BX283" s="119"/>
      <c r="BY283" s="119"/>
      <c r="BZ283" s="119"/>
      <c r="CA283" s="119"/>
      <c r="CB283" s="119"/>
      <c r="CC283" s="119"/>
      <c r="CD283" s="119"/>
      <c r="CE283" s="119"/>
      <c r="CF283" s="119"/>
      <c r="CG283" s="119"/>
      <c r="CH283" s="119"/>
      <c r="CI283" s="119"/>
      <c r="CJ283" s="119"/>
      <c r="CK283" s="119"/>
      <c r="CL283" s="119"/>
      <c r="CM283" s="119"/>
      <c r="CN283" s="119"/>
      <c r="CO283" s="119"/>
      <c r="CP283" s="119"/>
      <c r="CQ283" s="119"/>
      <c r="CR283" s="119"/>
      <c r="CS283" s="119"/>
      <c r="CT283" s="119"/>
      <c r="CU283" s="119"/>
      <c r="CV283" s="119"/>
      <c r="CW283" s="119"/>
      <c r="CX283" s="119"/>
      <c r="CY283" s="119"/>
      <c r="CZ283" s="119"/>
      <c r="DA283" s="119"/>
      <c r="DB283" s="119"/>
      <c r="DC283" s="119"/>
      <c r="DD283" s="119"/>
      <c r="DE283" s="119"/>
      <c r="DF283" s="119"/>
      <c r="DG283" s="119"/>
      <c r="DH283" s="119"/>
      <c r="DI283" s="119"/>
      <c r="DJ283" s="119"/>
      <c r="DK283" s="119"/>
      <c r="DL283" s="119"/>
      <c r="DM283" s="119"/>
      <c r="DN283" s="119"/>
      <c r="DO283" s="119"/>
      <c r="DP283" s="119"/>
      <c r="DQ283" s="119"/>
      <c r="DR283" s="119"/>
      <c r="DS283" s="119"/>
      <c r="DT283" s="119"/>
      <c r="DU283" s="1798"/>
      <c r="DV283" s="1798"/>
      <c r="DW283" s="1798"/>
      <c r="DX283" s="1798"/>
      <c r="DY283" s="1797"/>
      <c r="DZ283" s="1798">
        <f>Inputs!DZ357-'Drivers (2)'!DZ115-'Drivers (2)'!DZ260</f>
        <v>740</v>
      </c>
      <c r="EA283" s="1798">
        <f>Inputs!EA357-'Drivers (2)'!EA115-'Drivers (2)'!EA260</f>
        <v>718</v>
      </c>
      <c r="EB283" s="1798">
        <f>Inputs!EB357-'Drivers (2)'!EB115-'Drivers (2)'!EB260</f>
        <v>696</v>
      </c>
      <c r="EC283" s="1798">
        <f>Inputs!EC357-'Drivers (2)'!EC115-'Drivers (2)'!EC260</f>
        <v>677</v>
      </c>
      <c r="ED283" s="1797">
        <f>+EC283</f>
        <v>677</v>
      </c>
      <c r="EE283" s="1798">
        <f>Inputs!EE357-'Drivers (2)'!EE115-'Drivers (2)'!EE260</f>
        <v>657</v>
      </c>
      <c r="EF283" s="1798">
        <f>Inputs!EF357-'Drivers (2)'!EF115-'Drivers (2)'!EF260</f>
        <v>636</v>
      </c>
      <c r="EG283" s="1798">
        <f>Inputs!EG357-'Drivers (2)'!EG115-'Drivers (2)'!EG260</f>
        <v>617</v>
      </c>
      <c r="EH283" s="1798">
        <f>Inputs!EH357-'Drivers (2)'!EH115-'Drivers (2)'!EH260</f>
        <v>595</v>
      </c>
      <c r="EI283" s="1797">
        <f>+EH283</f>
        <v>595</v>
      </c>
      <c r="EJ283" s="1798">
        <f>Inputs!EJ357-'Drivers (2)'!EJ115-'Drivers (2)'!EJ260</f>
        <v>577</v>
      </c>
      <c r="EK283" s="1798">
        <f>Inputs!EK357-'Drivers (2)'!EK115-'Drivers (2)'!EK260</f>
        <v>558</v>
      </c>
      <c r="EL283" s="1798">
        <f>Inputs!EL357-'Drivers (2)'!EL115-'Drivers (2)'!EL260</f>
        <v>535</v>
      </c>
      <c r="EM283" s="1798">
        <f>Inputs!EM357-'Drivers (2)'!EM115-'Drivers (2)'!EM260</f>
        <v>515</v>
      </c>
      <c r="EN283" s="1797">
        <f>+EM283</f>
        <v>515</v>
      </c>
      <c r="EO283" s="1798">
        <f>Inputs!EO357-'Drivers (2)'!EO115-'Drivers (2)'!EO260</f>
        <v>494</v>
      </c>
      <c r="EP283" s="1798">
        <f>Inputs!EP357-'Drivers (2)'!EP115-'Drivers (2)'!EP260</f>
        <v>477</v>
      </c>
      <c r="EQ283" s="1798">
        <f>Inputs!EQ357-'Drivers (2)'!EQ115-'Drivers (2)'!EQ260</f>
        <v>451</v>
      </c>
      <c r="ER283" s="1798">
        <f>Inputs!ER357-'Drivers (2)'!ER115-'Drivers (2)'!ER260</f>
        <v>429</v>
      </c>
      <c r="ES283" s="1797">
        <f>+ER283</f>
        <v>429</v>
      </c>
      <c r="ET283" s="1795">
        <f t="shared" ref="ET283:EW283" si="1398">+ET280+ET281+ET282</f>
        <v>409.14339408514678</v>
      </c>
      <c r="EU283" s="1795">
        <f t="shared" si="1398"/>
        <v>392.84212147160861</v>
      </c>
      <c r="EV283" s="1795">
        <f t="shared" si="1398"/>
        <v>368.94485638181328</v>
      </c>
      <c r="EW283" s="1795">
        <f t="shared" si="1398"/>
        <v>349.05485071131272</v>
      </c>
      <c r="EX283" s="1797">
        <f>+EW283</f>
        <v>349.05485071131272</v>
      </c>
      <c r="EY283" s="1795">
        <f t="shared" ref="EY283:FB283" si="1399">+EY280+EY281+EY282</f>
        <v>334.16241878075908</v>
      </c>
      <c r="EZ283" s="1795">
        <f t="shared" si="1399"/>
        <v>321.85481867174155</v>
      </c>
      <c r="FA283" s="1795">
        <f t="shared" si="1399"/>
        <v>302.88347953214412</v>
      </c>
      <c r="FB283" s="1795">
        <f t="shared" si="1399"/>
        <v>286.73019210233792</v>
      </c>
      <c r="FC283" s="1797">
        <f>+FB283</f>
        <v>286.73019210233792</v>
      </c>
      <c r="FD283" s="1795">
        <f t="shared" ref="FD283:FL283" si="1400">+FD280+FD281+FD282</f>
        <v>274.36368706453675</v>
      </c>
      <c r="FE283" s="1795">
        <f t="shared" si="1400"/>
        <v>263.81149403509642</v>
      </c>
      <c r="FF283" s="1795">
        <f t="shared" si="1400"/>
        <v>247.92812796749558</v>
      </c>
      <c r="FG283" s="1795">
        <f t="shared" si="1400"/>
        <v>235.56408351247859</v>
      </c>
      <c r="FH283" s="1797">
        <f>+FG283</f>
        <v>235.56408351247859</v>
      </c>
      <c r="FI283" s="1795">
        <f t="shared" si="1400"/>
        <v>201.50110185717665</v>
      </c>
      <c r="FJ283" s="1795">
        <f t="shared" si="1400"/>
        <v>189.19906598923799</v>
      </c>
      <c r="FK283" s="1795">
        <f t="shared" si="1400"/>
        <v>182.75938798290812</v>
      </c>
      <c r="FL283" s="1795">
        <f t="shared" si="1400"/>
        <v>177.94846980067507</v>
      </c>
      <c r="FM283" s="1795">
        <f>+FM280+FM281+FM282</f>
        <v>173.63793477768624</v>
      </c>
      <c r="FN283" s="1068">
        <f>+(FJ283/ES283)^0.2-1</f>
        <v>-0.15103000917457754</v>
      </c>
    </row>
    <row r="284" spans="1:171" s="108" customFormat="1" x14ac:dyDescent="0.3">
      <c r="A284" s="61" t="s">
        <v>339</v>
      </c>
      <c r="DY284" s="538"/>
      <c r="DZ284" s="122"/>
      <c r="EA284" s="122"/>
      <c r="EB284" s="122"/>
      <c r="EC284" s="122"/>
      <c r="ED284" s="123"/>
      <c r="EE284" s="122">
        <f t="shared" ref="EE284:EX284" si="1401">+EE283/DZ283-1</f>
        <v>-0.11216216216216213</v>
      </c>
      <c r="EF284" s="122">
        <f t="shared" si="1401"/>
        <v>-0.11420612813370479</v>
      </c>
      <c r="EG284" s="122">
        <f t="shared" si="1401"/>
        <v>-0.1135057471264368</v>
      </c>
      <c r="EH284" s="122">
        <f t="shared" si="1401"/>
        <v>-0.12112259970457906</v>
      </c>
      <c r="EI284" s="123">
        <f t="shared" si="1401"/>
        <v>-0.12112259970457906</v>
      </c>
      <c r="EJ284" s="122">
        <f t="shared" si="1401"/>
        <v>-0.12176560121765601</v>
      </c>
      <c r="EK284" s="122">
        <f t="shared" si="1401"/>
        <v>-0.12264150943396224</v>
      </c>
      <c r="EL284" s="122">
        <f t="shared" si="1401"/>
        <v>-0.13290113452188002</v>
      </c>
      <c r="EM284" s="122">
        <f t="shared" si="1401"/>
        <v>-0.13445378151260501</v>
      </c>
      <c r="EN284" s="123">
        <f t="shared" si="1401"/>
        <v>-0.13445378151260501</v>
      </c>
      <c r="EO284" s="122">
        <f t="shared" si="1401"/>
        <v>-0.14384748700173311</v>
      </c>
      <c r="EP284" s="122">
        <f t="shared" si="1401"/>
        <v>-0.14516129032258063</v>
      </c>
      <c r="EQ284" s="122">
        <f t="shared" si="1401"/>
        <v>-0.15700934579439252</v>
      </c>
      <c r="ER284" s="122">
        <f t="shared" si="1401"/>
        <v>-0.16699029126213594</v>
      </c>
      <c r="ES284" s="123">
        <f t="shared" si="1401"/>
        <v>-0.16699029126213594</v>
      </c>
      <c r="ET284" s="122">
        <f t="shared" si="1401"/>
        <v>-0.17177450590051258</v>
      </c>
      <c r="EU284" s="122">
        <f t="shared" si="1401"/>
        <v>-0.17643161117063189</v>
      </c>
      <c r="EV284" s="122">
        <f t="shared" si="1401"/>
        <v>-0.18194045148156701</v>
      </c>
      <c r="EW284" s="122">
        <f t="shared" si="1401"/>
        <v>-0.18635232934425938</v>
      </c>
      <c r="EX284" s="123">
        <f t="shared" si="1401"/>
        <v>-0.18635232934425938</v>
      </c>
      <c r="EY284" s="122">
        <f t="shared" ref="EY284" si="1402">+EY283/ET283-1</f>
        <v>-0.18326331645179494</v>
      </c>
      <c r="EZ284" s="122">
        <f t="shared" ref="EZ284" si="1403">+EZ283/EU283-1</f>
        <v>-0.18070186194378712</v>
      </c>
      <c r="FA284" s="122">
        <f t="shared" ref="FA284" si="1404">+FA283/EV283-1</f>
        <v>-0.1790548796303143</v>
      </c>
      <c r="FB284" s="122">
        <f t="shared" ref="FB284:FC284" si="1405">+FB283/EW283-1</f>
        <v>-0.17855262140597117</v>
      </c>
      <c r="FC284" s="123">
        <f t="shared" si="1405"/>
        <v>-0.17855262140597117</v>
      </c>
      <c r="FD284" s="122">
        <f t="shared" ref="FD284" si="1406">+FD283/EY283-1</f>
        <v>-0.17895109789546904</v>
      </c>
      <c r="FE284" s="122">
        <f t="shared" ref="FE284" si="1407">+FE283/EZ283-1</f>
        <v>-0.180340082762108</v>
      </c>
      <c r="FF284" s="122">
        <f t="shared" ref="FF284" si="1408">+FF283/FA283-1</f>
        <v>-0.18144057130331626</v>
      </c>
      <c r="FG284" s="122">
        <f t="shared" ref="FG284:FH284" si="1409">+FG283/FB283-1</f>
        <v>-0.17844688142083565</v>
      </c>
      <c r="FH284" s="123">
        <f t="shared" si="1409"/>
        <v>-0.17844688142083565</v>
      </c>
      <c r="FI284" s="122">
        <f t="shared" ref="FI284:FM284" si="1410">+FI283/FH283-1</f>
        <v>-0.14460176249023771</v>
      </c>
      <c r="FJ284" s="122">
        <f t="shared" si="1410"/>
        <v>-6.1051953337001086E-2</v>
      </c>
      <c r="FK284" s="122">
        <f t="shared" si="1410"/>
        <v>-3.4036521124772179E-2</v>
      </c>
      <c r="FL284" s="122">
        <f t="shared" si="1410"/>
        <v>-2.6323781422834314E-2</v>
      </c>
      <c r="FM284" s="122">
        <f t="shared" si="1410"/>
        <v>-2.4223501487914856E-2</v>
      </c>
    </row>
    <row r="285" spans="1:171" s="108" customFormat="1" x14ac:dyDescent="0.3">
      <c r="A285" s="65" t="s">
        <v>340</v>
      </c>
      <c r="DU285" s="455"/>
      <c r="DV285" s="124"/>
      <c r="DW285" s="124"/>
      <c r="DX285" s="124"/>
      <c r="DY285" s="125"/>
      <c r="DZ285" s="1105"/>
      <c r="EA285" s="124">
        <f t="shared" ref="EA285:ER285" si="1411">+EA283-DZ283</f>
        <v>-22</v>
      </c>
      <c r="EB285" s="124">
        <f t="shared" si="1411"/>
        <v>-22</v>
      </c>
      <c r="EC285" s="124">
        <f t="shared" si="1411"/>
        <v>-19</v>
      </c>
      <c r="ED285" s="125">
        <f>+SUM(DZ285:EC285)</f>
        <v>-63</v>
      </c>
      <c r="EE285" s="124">
        <f t="shared" si="1411"/>
        <v>-20</v>
      </c>
      <c r="EF285" s="124">
        <f t="shared" si="1411"/>
        <v>-21</v>
      </c>
      <c r="EG285" s="124">
        <f t="shared" si="1411"/>
        <v>-19</v>
      </c>
      <c r="EH285" s="124">
        <f t="shared" si="1411"/>
        <v>-22</v>
      </c>
      <c r="EI285" s="125">
        <f>+SUM(EE285:EH285)</f>
        <v>-82</v>
      </c>
      <c r="EJ285" s="124">
        <f t="shared" si="1411"/>
        <v>-18</v>
      </c>
      <c r="EK285" s="124">
        <f t="shared" si="1411"/>
        <v>-19</v>
      </c>
      <c r="EL285" s="124">
        <f t="shared" si="1411"/>
        <v>-23</v>
      </c>
      <c r="EM285" s="124">
        <f t="shared" si="1411"/>
        <v>-20</v>
      </c>
      <c r="EN285" s="125">
        <f>+SUM(EJ285:EM285)</f>
        <v>-80</v>
      </c>
      <c r="EO285" s="124">
        <f t="shared" si="1411"/>
        <v>-21</v>
      </c>
      <c r="EP285" s="124">
        <f t="shared" si="1411"/>
        <v>-17</v>
      </c>
      <c r="EQ285" s="124">
        <f t="shared" si="1411"/>
        <v>-26</v>
      </c>
      <c r="ER285" s="124">
        <f t="shared" si="1411"/>
        <v>-22</v>
      </c>
      <c r="ES285" s="125">
        <f>+SUM(EO285:ER285)</f>
        <v>-86</v>
      </c>
      <c r="ET285" s="124">
        <f t="shared" ref="ET285:EW285" si="1412">+ET283-ES283</f>
        <v>-19.856605914853219</v>
      </c>
      <c r="EU285" s="124">
        <f t="shared" si="1412"/>
        <v>-16.301272613538174</v>
      </c>
      <c r="EV285" s="124">
        <f t="shared" si="1412"/>
        <v>-23.897265089795326</v>
      </c>
      <c r="EW285" s="124">
        <f t="shared" si="1412"/>
        <v>-19.890005670500557</v>
      </c>
      <c r="EX285" s="125">
        <f>+SUM(ET285:EW285)</f>
        <v>-79.945149288687276</v>
      </c>
      <c r="EY285" s="124">
        <f t="shared" ref="EY285" si="1413">+EY283-EX283</f>
        <v>-14.892431930553641</v>
      </c>
      <c r="EZ285" s="124">
        <f t="shared" ref="EZ285" si="1414">+EZ283-EY283</f>
        <v>-12.307600109017528</v>
      </c>
      <c r="FA285" s="124">
        <f t="shared" ref="FA285" si="1415">+FA283-EZ283</f>
        <v>-18.971339139597433</v>
      </c>
      <c r="FB285" s="124">
        <f t="shared" ref="FB285" si="1416">+FB283-FA283</f>
        <v>-16.153287429806198</v>
      </c>
      <c r="FC285" s="125">
        <f>+SUM(EY285:FB285)</f>
        <v>-62.324658608974801</v>
      </c>
      <c r="FD285" s="124">
        <f t="shared" ref="FD285" si="1417">+FD283-FC283</f>
        <v>-12.366505037801176</v>
      </c>
      <c r="FE285" s="124">
        <f t="shared" ref="FE285" si="1418">+FE283-FD283</f>
        <v>-10.552193029440332</v>
      </c>
      <c r="FF285" s="124">
        <f t="shared" ref="FF285" si="1419">+FF283-FE283</f>
        <v>-15.883366067600832</v>
      </c>
      <c r="FG285" s="124">
        <f t="shared" ref="FG285" si="1420">+FG283-FF283</f>
        <v>-12.364044455016995</v>
      </c>
      <c r="FH285" s="125">
        <f>+SUM(FD285:FG285)</f>
        <v>-51.166108589859334</v>
      </c>
      <c r="FI285" s="124">
        <f t="shared" ref="FI285:FM285" si="1421">+FI283-FH283</f>
        <v>-34.06298165530194</v>
      </c>
      <c r="FJ285" s="124">
        <f t="shared" si="1421"/>
        <v>-12.302035867938656</v>
      </c>
      <c r="FK285" s="124">
        <f t="shared" si="1421"/>
        <v>-6.4396780063298706</v>
      </c>
      <c r="FL285" s="124">
        <f t="shared" si="1421"/>
        <v>-4.8109181822330527</v>
      </c>
      <c r="FM285" s="124">
        <f t="shared" si="1421"/>
        <v>-4.3105350229888302</v>
      </c>
      <c r="FO285" s="1069" t="s">
        <v>346</v>
      </c>
    </row>
    <row r="286" spans="1:171" s="108" customFormat="1" x14ac:dyDescent="0.3">
      <c r="A286" s="65" t="s">
        <v>341</v>
      </c>
      <c r="DU286" s="122"/>
      <c r="DV286" s="122"/>
      <c r="DW286" s="122"/>
      <c r="DX286" s="122"/>
      <c r="DY286" s="123"/>
      <c r="DZ286" s="122">
        <f t="shared" ref="DZ286:EH286" si="1422">+DZ281/DZ107</f>
        <v>6.5094174149091643E-3</v>
      </c>
      <c r="EA286" s="122">
        <f t="shared" si="1422"/>
        <v>4.0740137077900345E-3</v>
      </c>
      <c r="EB286" s="122">
        <f t="shared" si="1422"/>
        <v>5.3036092175149478E-3</v>
      </c>
      <c r="EC286" s="122">
        <f t="shared" si="1422"/>
        <v>4.9222212901602258E-3</v>
      </c>
      <c r="ED286" s="123">
        <f t="shared" si="1422"/>
        <v>2.0811126681028167E-2</v>
      </c>
      <c r="EE286" s="122">
        <f t="shared" si="1422"/>
        <v>4.2412872708843712E-3</v>
      </c>
      <c r="EF286" s="122">
        <f t="shared" si="1422"/>
        <v>4.7768082663605035E-3</v>
      </c>
      <c r="EG286" s="122">
        <f t="shared" si="1422"/>
        <v>5.3021095596133203E-3</v>
      </c>
      <c r="EH286" s="122">
        <f t="shared" si="1422"/>
        <v>4.1873264040527547E-3</v>
      </c>
      <c r="EI286" s="123">
        <f>+EI281/AVERAGE(EE94:EH94)</f>
        <v>1.8616800603253263E-2</v>
      </c>
      <c r="EJ286" s="122">
        <f>+EJ281/EJ107</f>
        <v>4.4047032673927592E-3</v>
      </c>
      <c r="EK286" s="122">
        <f>+EK281/EK107</f>
        <v>5.7237194927964403E-3</v>
      </c>
      <c r="EL286" s="122">
        <f>+EL281/EL107</f>
        <v>6.1127134902437905E-3</v>
      </c>
      <c r="EM286" s="122">
        <f>+EM281/EM107</f>
        <v>5.4868412170307156E-3</v>
      </c>
      <c r="EN286" s="123">
        <f>+EN281/AVERAGE(EJ94:EM94)</f>
        <v>2.1966646389967724E-2</v>
      </c>
      <c r="EO286" s="122">
        <f>+EO281/EO107</f>
        <v>5.6563248670411081E-3</v>
      </c>
      <c r="EP286" s="122">
        <f>+EP281/EP107</f>
        <v>6.7451294697903818E-3</v>
      </c>
      <c r="EQ286" s="122">
        <f>+EQ281/EQ107</f>
        <v>7.3114158163265297E-3</v>
      </c>
      <c r="ER286" s="122">
        <f>+ER281/ER107</f>
        <v>6.7452151396617342E-3</v>
      </c>
      <c r="ES286" s="123">
        <f>+ES281/AVERAGE(EO94:ER94)</f>
        <v>2.6855818157649883E-2</v>
      </c>
      <c r="ET286" s="694">
        <f t="shared" ref="ET286:EW286" si="1423">EO286*0.975</f>
        <v>5.5149167453650803E-3</v>
      </c>
      <c r="EU286" s="694">
        <f t="shared" si="1423"/>
        <v>6.5765012330456221E-3</v>
      </c>
      <c r="EV286" s="694">
        <f t="shared" si="1423"/>
        <v>7.1286304209183665E-3</v>
      </c>
      <c r="EW286" s="694">
        <f t="shared" si="1423"/>
        <v>6.576584761170191E-3</v>
      </c>
      <c r="EX286" s="123">
        <f>+EX281/AVERAGE(ET94:EW94)</f>
        <v>2.6206677552225548E-2</v>
      </c>
      <c r="EY286" s="694">
        <f t="shared" ref="EY286:FB286" si="1424">ET286*0.975</f>
        <v>5.3770438267309534E-3</v>
      </c>
      <c r="EZ286" s="694">
        <f t="shared" si="1424"/>
        <v>6.4120887022194812E-3</v>
      </c>
      <c r="FA286" s="694">
        <f t="shared" si="1424"/>
        <v>6.950414660395407E-3</v>
      </c>
      <c r="FB286" s="694">
        <f t="shared" si="1424"/>
        <v>6.4121701421409362E-3</v>
      </c>
      <c r="FC286" s="123">
        <f>+FC281/AVERAGE(EY94:FB94)</f>
        <v>2.5621170619118221E-2</v>
      </c>
      <c r="FD286" s="694">
        <f t="shared" ref="FD286:FG286" si="1425">EY286*0.975</f>
        <v>5.2426177310626798E-3</v>
      </c>
      <c r="FE286" s="694">
        <f t="shared" si="1425"/>
        <v>6.2517864846639943E-3</v>
      </c>
      <c r="FF286" s="694">
        <f t="shared" si="1425"/>
        <v>6.7766542938855218E-3</v>
      </c>
      <c r="FG286" s="694">
        <f t="shared" si="1425"/>
        <v>6.2518658885874125E-3</v>
      </c>
      <c r="FH286" s="123">
        <f>+FH281/AVERAGE(FD94:FG94)</f>
        <v>2.4840439959558223E-2</v>
      </c>
      <c r="FI286" s="694">
        <f t="shared" ref="FI286:FM286" si="1426">FH286*0.975</f>
        <v>2.4219428960569268E-2</v>
      </c>
      <c r="FJ286" s="694">
        <f t="shared" si="1426"/>
        <v>2.3613943236555034E-2</v>
      </c>
      <c r="FK286" s="694">
        <f t="shared" si="1426"/>
        <v>2.3023594655641157E-2</v>
      </c>
      <c r="FL286" s="694">
        <f t="shared" si="1426"/>
        <v>2.2448004789250128E-2</v>
      </c>
      <c r="FM286" s="694">
        <f t="shared" si="1426"/>
        <v>2.1886804669518874E-2</v>
      </c>
    </row>
    <row r="287" spans="1:171" s="108" customFormat="1" x14ac:dyDescent="0.3">
      <c r="A287" s="65" t="s">
        <v>342</v>
      </c>
      <c r="DU287" s="694"/>
      <c r="DV287" s="694"/>
      <c r="DW287" s="694"/>
      <c r="DX287" s="694"/>
      <c r="DY287" s="123"/>
      <c r="DZ287" s="1106">
        <f>-DZ282/DZ280/3</f>
        <v>3.510540540540541E-2</v>
      </c>
      <c r="EA287" s="1106">
        <f t="shared" ref="EA287:EC287" si="1427">-EA282/EA280/3</f>
        <v>3.1865540540540541E-2</v>
      </c>
      <c r="EB287" s="1106">
        <f t="shared" si="1427"/>
        <v>3.9650557103064067E-2</v>
      </c>
      <c r="EC287" s="1106">
        <f t="shared" si="1427"/>
        <v>3.7202011494252882E-2</v>
      </c>
      <c r="ED287" s="123">
        <f>+ED282/AVERAGE(DZ280:EC280)/-12</f>
        <v>3.590884588804423E-2</v>
      </c>
      <c r="EE287" s="1106">
        <f>-EE282/EE280/3</f>
        <v>3.4570457902511086E-2</v>
      </c>
      <c r="EF287" s="1106">
        <f t="shared" ref="EF287:EM287" si="1428">-EF282/EF280/3</f>
        <v>3.9151750380517499E-2</v>
      </c>
      <c r="EG287" s="1106">
        <f t="shared" si="1428"/>
        <v>4.2297327044025168E-2</v>
      </c>
      <c r="EH287" s="1106">
        <f t="shared" si="1428"/>
        <v>3.7785359265262032E-2</v>
      </c>
      <c r="EI287" s="123">
        <f>+EI282/AVERAGE(EE280:EH280)/-12</f>
        <v>3.8400296353562693E-2</v>
      </c>
      <c r="EJ287" s="1106">
        <f t="shared" si="1428"/>
        <v>3.7838599439775918E-2</v>
      </c>
      <c r="EK287" s="1106">
        <f t="shared" si="1428"/>
        <v>4.7353841709994217E-2</v>
      </c>
      <c r="EL287" s="1106">
        <f t="shared" si="1428"/>
        <v>5.2758303464755095E-2</v>
      </c>
      <c r="EM287" s="1106">
        <f t="shared" si="1428"/>
        <v>4.7910155763239877E-2</v>
      </c>
      <c r="EN287" s="123">
        <f>+EN282/AVERAGE(EJ280:EM280)/-12</f>
        <v>4.6317086092715232E-2</v>
      </c>
      <c r="EO287" s="1106">
        <f t="shared" ref="EO287:ER287" si="1429">-EO282/EO280/3</f>
        <v>5.0420582524271861E-2</v>
      </c>
      <c r="EP287" s="1106">
        <f t="shared" si="1429"/>
        <v>5.5764912280701739E-2</v>
      </c>
      <c r="EQ287" s="1106">
        <f t="shared" si="1429"/>
        <v>6.6237456324248808E-2</v>
      </c>
      <c r="ER287" s="1106">
        <f t="shared" si="1429"/>
        <v>6.1504951958610506E-2</v>
      </c>
      <c r="ES287" s="123">
        <f>+ES282/AVERAGE(EO280:ER280)/-12</f>
        <v>5.8259404577525396E-2</v>
      </c>
      <c r="ET287" s="694">
        <f t="shared" ref="ET287:EW287" si="1430">EO287*1.05</f>
        <v>5.2941611650485457E-2</v>
      </c>
      <c r="EU287" s="694">
        <f t="shared" si="1430"/>
        <v>5.8553157894736828E-2</v>
      </c>
      <c r="EV287" s="694">
        <f t="shared" si="1430"/>
        <v>6.9549329140461247E-2</v>
      </c>
      <c r="EW287" s="694">
        <f t="shared" si="1430"/>
        <v>6.458019955654104E-2</v>
      </c>
      <c r="EX287" s="123">
        <f>+EX282/AVERAGE(ET280:EW280)/-12</f>
        <v>6.1138302844989702E-2</v>
      </c>
      <c r="EY287" s="694">
        <f t="shared" ref="EY287:FB287" si="1431">+ET287</f>
        <v>5.2941611650485457E-2</v>
      </c>
      <c r="EZ287" s="694">
        <f t="shared" si="1431"/>
        <v>5.8553157894736828E-2</v>
      </c>
      <c r="FA287" s="694">
        <f t="shared" si="1431"/>
        <v>6.9549329140461247E-2</v>
      </c>
      <c r="FB287" s="694">
        <f t="shared" si="1431"/>
        <v>6.458019955654104E-2</v>
      </c>
      <c r="FC287" s="123">
        <f>+FC282/AVERAGE(EY280:FB280)/-12</f>
        <v>6.1157164253791862E-2</v>
      </c>
      <c r="FD287" s="694">
        <f t="shared" ref="FD287:FG287" si="1432">+EY287</f>
        <v>5.2941611650485457E-2</v>
      </c>
      <c r="FE287" s="694">
        <f t="shared" si="1432"/>
        <v>5.8553157894736828E-2</v>
      </c>
      <c r="FF287" s="694">
        <f t="shared" si="1432"/>
        <v>6.9549329140461247E-2</v>
      </c>
      <c r="FG287" s="694">
        <f t="shared" si="1432"/>
        <v>6.458019955654104E-2</v>
      </c>
      <c r="FH287" s="123">
        <f>+FH282/AVERAGE(FD280:FG280)/-12</f>
        <v>6.1150196284898067E-2</v>
      </c>
      <c r="FI287" s="694">
        <f t="shared" ref="FI287:FM287" si="1433">+FH287</f>
        <v>6.1150196284898067E-2</v>
      </c>
      <c r="FJ287" s="694">
        <f t="shared" si="1433"/>
        <v>6.1150196284898067E-2</v>
      </c>
      <c r="FK287" s="694">
        <f t="shared" si="1433"/>
        <v>6.1150196284898067E-2</v>
      </c>
      <c r="FL287" s="694">
        <f t="shared" si="1433"/>
        <v>6.1150196284898067E-2</v>
      </c>
      <c r="FM287" s="694">
        <f t="shared" si="1433"/>
        <v>6.1150196284898067E-2</v>
      </c>
    </row>
    <row r="288" spans="1:171" s="108" customFormat="1" x14ac:dyDescent="0.3">
      <c r="A288" s="65" t="s">
        <v>403</v>
      </c>
      <c r="DU288" s="126"/>
      <c r="DV288" s="126"/>
      <c r="DW288" s="126"/>
      <c r="DX288" s="126"/>
      <c r="DY288" s="127"/>
      <c r="DZ288" s="126">
        <f t="shared" ref="DZ288:FM288" si="1434">+DZ283/DZ94</f>
        <v>6.1831550802139035E-2</v>
      </c>
      <c r="EA288" s="126">
        <f t="shared" si="1434"/>
        <v>6.0033444816053515E-2</v>
      </c>
      <c r="EB288" s="126">
        <f t="shared" si="1434"/>
        <v>5.8237804367835329E-2</v>
      </c>
      <c r="EC288" s="126">
        <f t="shared" si="1434"/>
        <v>5.6933815490707258E-2</v>
      </c>
      <c r="ED288" s="127">
        <f t="shared" si="1434"/>
        <v>5.6933815490707258E-2</v>
      </c>
      <c r="EE288" s="126">
        <f t="shared" si="1434"/>
        <v>5.5739373886485109E-2</v>
      </c>
      <c r="EF288" s="126">
        <f t="shared" si="1434"/>
        <v>5.421994884910486E-2</v>
      </c>
      <c r="EG288" s="126">
        <f t="shared" si="1434"/>
        <v>5.3443048938934604E-2</v>
      </c>
      <c r="EH288" s="126">
        <f t="shared" si="1434"/>
        <v>5.2409054875363341E-2</v>
      </c>
      <c r="EI288" s="127">
        <f t="shared" si="1434"/>
        <v>5.2409054875363341E-2</v>
      </c>
      <c r="EJ288" s="126">
        <f t="shared" si="1434"/>
        <v>5.178603482319153E-2</v>
      </c>
      <c r="EK288" s="126">
        <f t="shared" si="1434"/>
        <v>5.1376484669919897E-2</v>
      </c>
      <c r="EL288" s="126">
        <f t="shared" si="1434"/>
        <v>5.0903901046622263E-2</v>
      </c>
      <c r="EM288" s="126">
        <f t="shared" si="1434"/>
        <v>5.0347052497800374E-2</v>
      </c>
      <c r="EN288" s="127">
        <f t="shared" si="1434"/>
        <v>5.0347052497800374E-2</v>
      </c>
      <c r="EO288" s="126">
        <f t="shared" si="1434"/>
        <v>4.9949443882709811E-2</v>
      </c>
      <c r="EP288" s="126">
        <f t="shared" si="1434"/>
        <v>4.982243576352622E-2</v>
      </c>
      <c r="EQ288" s="126">
        <f t="shared" si="1434"/>
        <v>4.8798961263795716E-2</v>
      </c>
      <c r="ER288" s="126">
        <f t="shared" si="1434"/>
        <v>4.8153552587271296E-2</v>
      </c>
      <c r="ES288" s="127">
        <f t="shared" si="1434"/>
        <v>4.8153552587271296E-2</v>
      </c>
      <c r="ET288" s="126">
        <f t="shared" si="1434"/>
        <v>4.7577000839616725E-2</v>
      </c>
      <c r="EU288" s="126">
        <f t="shared" si="1434"/>
        <v>4.7332967988621626E-2</v>
      </c>
      <c r="EV288" s="126">
        <f t="shared" si="1434"/>
        <v>4.6163866980871437E-2</v>
      </c>
      <c r="EW288" s="126">
        <f t="shared" si="1434"/>
        <v>4.5350645815314512E-2</v>
      </c>
      <c r="EX288" s="127">
        <f t="shared" si="1434"/>
        <v>4.5350645815314512E-2</v>
      </c>
      <c r="EY288" s="126">
        <f t="shared" ref="EY288:FC288" si="1435">+EY283/EY94</f>
        <v>4.5252456937592896E-2</v>
      </c>
      <c r="EZ288" s="126">
        <f t="shared" si="1435"/>
        <v>4.5424351044955208E-2</v>
      </c>
      <c r="FA288" s="126">
        <f t="shared" si="1435"/>
        <v>4.467784003974757E-2</v>
      </c>
      <c r="FB288" s="126">
        <f t="shared" si="1435"/>
        <v>4.4211952898047864E-2</v>
      </c>
      <c r="FC288" s="127">
        <f t="shared" si="1435"/>
        <v>4.4211952898047864E-2</v>
      </c>
      <c r="FD288" s="126">
        <f t="shared" si="1434"/>
        <v>4.446798490088448E-2</v>
      </c>
      <c r="FE288" s="126">
        <f t="shared" si="1434"/>
        <v>4.4925441702933409E-2</v>
      </c>
      <c r="FF288" s="126">
        <f t="shared" si="1434"/>
        <v>4.3609178521646363E-2</v>
      </c>
      <c r="FG288" s="126">
        <f t="shared" si="1434"/>
        <v>4.1141756558164017E-2</v>
      </c>
      <c r="FH288" s="127">
        <f t="shared" ref="FH288" si="1436">+FH283/FH94</f>
        <v>4.1141756558164017E-2</v>
      </c>
      <c r="FI288" s="126">
        <f t="shared" si="1434"/>
        <v>3.5130740568609355E-2</v>
      </c>
      <c r="FJ288" s="126">
        <f t="shared" si="1434"/>
        <v>3.29293892167309E-2</v>
      </c>
      <c r="FK288" s="126">
        <f t="shared" si="1434"/>
        <v>3.1755439479831955E-2</v>
      </c>
      <c r="FL288" s="126">
        <f t="shared" si="1434"/>
        <v>3.0869218309805994E-2</v>
      </c>
      <c r="FM288" s="126">
        <f t="shared" si="1434"/>
        <v>3.0073805645601522E-2</v>
      </c>
    </row>
    <row r="289" spans="1:171" s="108" customFormat="1" x14ac:dyDescent="0.3">
      <c r="A289" s="65"/>
      <c r="DU289" s="126"/>
      <c r="DV289" s="126"/>
      <c r="DW289" s="126"/>
      <c r="DX289" s="126"/>
      <c r="DY289" s="127"/>
      <c r="DZ289" s="126"/>
      <c r="EA289" s="126"/>
      <c r="EB289" s="126"/>
      <c r="EC289" s="126"/>
      <c r="ED289" s="127"/>
      <c r="EE289" s="126"/>
      <c r="EF289" s="126"/>
      <c r="EG289" s="126"/>
      <c r="EH289" s="126"/>
      <c r="EI289" s="127"/>
      <c r="EJ289" s="126"/>
      <c r="EK289" s="126"/>
      <c r="EL289" s="126"/>
      <c r="EM289" s="126"/>
      <c r="EN289" s="127"/>
      <c r="EO289" s="126"/>
      <c r="EP289" s="126"/>
      <c r="EQ289" s="126"/>
      <c r="ER289" s="126"/>
      <c r="ES289" s="126"/>
      <c r="ET289" s="126"/>
      <c r="EU289" s="126"/>
      <c r="EV289" s="126"/>
      <c r="EW289" s="126"/>
      <c r="EX289" s="126"/>
      <c r="EY289" s="126"/>
      <c r="EZ289" s="126"/>
      <c r="FA289" s="126"/>
      <c r="FB289" s="126"/>
      <c r="FC289" s="126"/>
      <c r="FD289" s="126"/>
      <c r="FE289" s="126"/>
      <c r="FF289" s="126"/>
      <c r="FG289" s="126"/>
      <c r="FH289" s="126"/>
      <c r="FI289" s="126"/>
      <c r="FJ289" s="126"/>
      <c r="FK289" s="126"/>
      <c r="FL289" s="126"/>
      <c r="FM289" s="126"/>
    </row>
    <row r="290" spans="1:171" s="108" customFormat="1" x14ac:dyDescent="0.3">
      <c r="A290" s="78" t="s">
        <v>408</v>
      </c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  <c r="AA290" s="119"/>
      <c r="AB290" s="119"/>
      <c r="AC290" s="119"/>
      <c r="AD290" s="119"/>
      <c r="AE290" s="119"/>
      <c r="AF290" s="119"/>
      <c r="AG290" s="119"/>
      <c r="AH290" s="119"/>
      <c r="AI290" s="119"/>
      <c r="AJ290" s="119"/>
      <c r="AK290" s="119"/>
      <c r="AL290" s="119"/>
      <c r="AM290" s="119"/>
      <c r="AN290" s="119"/>
      <c r="AO290" s="119"/>
      <c r="AP290" s="119"/>
      <c r="AQ290" s="119"/>
      <c r="AR290" s="119"/>
      <c r="AS290" s="119"/>
      <c r="AT290" s="119"/>
      <c r="AU290" s="119"/>
      <c r="AV290" s="119"/>
      <c r="AW290" s="119"/>
      <c r="AX290" s="119"/>
      <c r="AY290" s="119"/>
      <c r="AZ290" s="119"/>
      <c r="BA290" s="119"/>
      <c r="BB290" s="119"/>
      <c r="BC290" s="119"/>
      <c r="BD290" s="119"/>
      <c r="BE290" s="119"/>
      <c r="BF290" s="119"/>
      <c r="BG290" s="119"/>
      <c r="BH290" s="119"/>
      <c r="BI290" s="119"/>
      <c r="BJ290" s="119"/>
      <c r="BK290" s="119"/>
      <c r="BL290" s="119"/>
      <c r="BM290" s="119"/>
      <c r="BN290" s="119"/>
      <c r="BO290" s="119"/>
      <c r="BP290" s="119"/>
      <c r="BQ290" s="119"/>
      <c r="BR290" s="119"/>
      <c r="BS290" s="119"/>
      <c r="BT290" s="119"/>
      <c r="BU290" s="119"/>
      <c r="BV290" s="119"/>
      <c r="BW290" s="119"/>
      <c r="BX290" s="119"/>
      <c r="BY290" s="119"/>
      <c r="BZ290" s="119"/>
      <c r="CA290" s="119"/>
      <c r="CB290" s="119"/>
      <c r="CC290" s="119"/>
      <c r="CD290" s="119"/>
      <c r="CE290" s="119"/>
      <c r="CF290" s="119"/>
      <c r="CG290" s="119"/>
      <c r="CH290" s="119"/>
      <c r="CI290" s="119"/>
      <c r="CJ290" s="119"/>
      <c r="CK290" s="119"/>
      <c r="CL290" s="119"/>
      <c r="CM290" s="119"/>
      <c r="CN290" s="119"/>
      <c r="CO290" s="119"/>
      <c r="CP290" s="119"/>
      <c r="CQ290" s="119"/>
      <c r="CR290" s="119"/>
      <c r="CS290" s="119"/>
      <c r="CT290" s="119"/>
      <c r="CU290" s="119"/>
      <c r="CV290" s="119"/>
      <c r="CW290" s="119"/>
      <c r="CX290" s="119"/>
      <c r="CY290" s="119"/>
      <c r="CZ290" s="119"/>
      <c r="DA290" s="119"/>
      <c r="DB290" s="119"/>
      <c r="DC290" s="119"/>
      <c r="DD290" s="119"/>
      <c r="DE290" s="119"/>
      <c r="DF290" s="119"/>
      <c r="DG290" s="119"/>
      <c r="DH290" s="119"/>
      <c r="DI290" s="119"/>
      <c r="DJ290" s="119"/>
      <c r="DK290" s="119"/>
      <c r="DL290" s="119"/>
      <c r="DM290" s="119"/>
      <c r="DN290" s="119"/>
      <c r="DO290" s="119"/>
      <c r="DP290" s="119"/>
      <c r="DQ290" s="119"/>
      <c r="DR290" s="119"/>
      <c r="DS290" s="119"/>
      <c r="DT290" s="119"/>
      <c r="DU290" s="119"/>
      <c r="DV290" s="119"/>
      <c r="DW290" s="119"/>
      <c r="DX290" s="119"/>
      <c r="DY290" s="1202"/>
      <c r="DZ290" s="119"/>
      <c r="EA290" s="119"/>
      <c r="EB290" s="119"/>
      <c r="EC290" s="119"/>
      <c r="ED290" s="1202"/>
      <c r="EE290" s="119"/>
      <c r="EF290" s="119"/>
      <c r="EG290" s="119"/>
      <c r="EH290" s="119"/>
      <c r="EI290" s="1202"/>
      <c r="EJ290" s="119"/>
      <c r="EK290" s="119"/>
      <c r="EL290" s="119"/>
      <c r="EM290" s="119"/>
      <c r="EN290" s="1202"/>
      <c r="EO290" s="119"/>
      <c r="EP290" s="119"/>
      <c r="EQ290" s="119"/>
      <c r="ER290" s="119"/>
      <c r="ES290" s="119"/>
      <c r="ET290" s="119"/>
      <c r="EU290" s="119"/>
      <c r="EV290" s="119"/>
      <c r="EW290" s="119"/>
      <c r="EX290" s="119"/>
      <c r="EY290" s="119"/>
      <c r="EZ290" s="119"/>
      <c r="FA290" s="119"/>
      <c r="FB290" s="119"/>
      <c r="FC290" s="119"/>
      <c r="FD290" s="119"/>
      <c r="FE290" s="119"/>
      <c r="FF290" s="119"/>
      <c r="FG290" s="119"/>
      <c r="FH290" s="119"/>
      <c r="FI290" s="119"/>
      <c r="FJ290" s="119"/>
      <c r="FK290" s="119"/>
      <c r="FL290" s="119"/>
      <c r="FM290" s="119"/>
    </row>
    <row r="291" spans="1:171" s="108" customFormat="1" x14ac:dyDescent="0.3">
      <c r="A291" s="63" t="s">
        <v>409</v>
      </c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  <c r="AA291" s="119"/>
      <c r="AB291" s="119"/>
      <c r="AC291" s="119"/>
      <c r="AD291" s="119"/>
      <c r="AE291" s="119"/>
      <c r="AF291" s="119"/>
      <c r="AG291" s="119"/>
      <c r="AH291" s="119"/>
      <c r="AI291" s="119"/>
      <c r="AJ291" s="119"/>
      <c r="AK291" s="119"/>
      <c r="AL291" s="119"/>
      <c r="AM291" s="119"/>
      <c r="AN291" s="119"/>
      <c r="AO291" s="119"/>
      <c r="AP291" s="119"/>
      <c r="AQ291" s="119"/>
      <c r="AR291" s="119"/>
      <c r="AS291" s="119"/>
      <c r="AT291" s="119"/>
      <c r="AU291" s="119"/>
      <c r="AV291" s="119"/>
      <c r="AW291" s="119"/>
      <c r="AX291" s="119"/>
      <c r="AY291" s="119"/>
      <c r="AZ291" s="119"/>
      <c r="BA291" s="119"/>
      <c r="BB291" s="119"/>
      <c r="BC291" s="119"/>
      <c r="BD291" s="119"/>
      <c r="BE291" s="119"/>
      <c r="BF291" s="119"/>
      <c r="BG291" s="119"/>
      <c r="BH291" s="119"/>
      <c r="BI291" s="119"/>
      <c r="BJ291" s="119"/>
      <c r="BK291" s="119"/>
      <c r="BL291" s="119"/>
      <c r="BM291" s="119"/>
      <c r="BN291" s="119"/>
      <c r="BO291" s="119"/>
      <c r="BP291" s="119"/>
      <c r="BQ291" s="119"/>
      <c r="BR291" s="119"/>
      <c r="BS291" s="119"/>
      <c r="BT291" s="119"/>
      <c r="BU291" s="119"/>
      <c r="BV291" s="119"/>
      <c r="BW291" s="119"/>
      <c r="BX291" s="119"/>
      <c r="BY291" s="119"/>
      <c r="BZ291" s="119"/>
      <c r="CA291" s="119"/>
      <c r="CB291" s="119"/>
      <c r="CC291" s="119"/>
      <c r="CD291" s="119"/>
      <c r="CE291" s="119"/>
      <c r="CF291" s="119"/>
      <c r="CG291" s="119"/>
      <c r="CH291" s="119"/>
      <c r="CI291" s="119"/>
      <c r="CJ291" s="119"/>
      <c r="CK291" s="119"/>
      <c r="CL291" s="119"/>
      <c r="CM291" s="119"/>
      <c r="CN291" s="119"/>
      <c r="CO291" s="119"/>
      <c r="CP291" s="119"/>
      <c r="CQ291" s="119"/>
      <c r="CR291" s="119"/>
      <c r="CS291" s="119"/>
      <c r="CT291" s="119"/>
      <c r="CU291" s="119"/>
      <c r="CV291" s="119"/>
      <c r="CW291" s="119"/>
      <c r="CX291" s="119"/>
      <c r="CY291" s="119"/>
      <c r="CZ291" s="119"/>
      <c r="DA291" s="119"/>
      <c r="DB291" s="119"/>
      <c r="DC291" s="119"/>
      <c r="DD291" s="119"/>
      <c r="DE291" s="119"/>
      <c r="DF291" s="119"/>
      <c r="DG291" s="119"/>
      <c r="DH291" s="119"/>
      <c r="DI291" s="119"/>
      <c r="DJ291" s="119"/>
      <c r="DK291" s="119"/>
      <c r="DL291" s="119"/>
      <c r="DM291" s="119"/>
      <c r="DN291" s="119"/>
      <c r="DO291" s="119"/>
      <c r="DP291" s="119"/>
      <c r="DQ291" s="119"/>
      <c r="DR291" s="119"/>
      <c r="DS291" s="119"/>
      <c r="DT291" s="119"/>
      <c r="DU291" s="56"/>
      <c r="DV291" s="56"/>
      <c r="DW291" s="56"/>
      <c r="DX291" s="56"/>
      <c r="DY291" s="60"/>
      <c r="DZ291" s="56">
        <f>DZ257+DZ280</f>
        <v>2182</v>
      </c>
      <c r="EA291" s="56">
        <f t="shared" ref="EA291:EC291" si="1437">EA257+EA280</f>
        <v>2159</v>
      </c>
      <c r="EB291" s="56">
        <f t="shared" si="1437"/>
        <v>2119</v>
      </c>
      <c r="EC291" s="56">
        <f t="shared" si="1437"/>
        <v>2077</v>
      </c>
      <c r="ED291" s="60">
        <f>+DZ291</f>
        <v>2182</v>
      </c>
      <c r="EE291" s="56">
        <f>EE257+EE280</f>
        <v>2026</v>
      </c>
      <c r="EF291" s="56">
        <f t="shared" ref="EF291:EM294" si="1438">EF257+EF280</f>
        <v>1984</v>
      </c>
      <c r="EG291" s="56">
        <f t="shared" si="1438"/>
        <v>1933</v>
      </c>
      <c r="EH291" s="56">
        <f t="shared" si="1438"/>
        <v>1881</v>
      </c>
      <c r="EI291" s="60">
        <f>+EE291</f>
        <v>2026</v>
      </c>
      <c r="EJ291" s="56">
        <f t="shared" si="1438"/>
        <v>1829</v>
      </c>
      <c r="EK291" s="56">
        <f t="shared" si="1438"/>
        <v>1781</v>
      </c>
      <c r="EL291" s="56">
        <f t="shared" si="1438"/>
        <v>1721</v>
      </c>
      <c r="EM291" s="56">
        <f t="shared" si="1438"/>
        <v>1640</v>
      </c>
      <c r="EN291" s="60">
        <f>+EJ291</f>
        <v>1829</v>
      </c>
      <c r="EO291" s="56">
        <f t="shared" ref="EO291:ER294" si="1439">EO257+EO280</f>
        <v>1558</v>
      </c>
      <c r="EP291" s="56">
        <f t="shared" si="1439"/>
        <v>1481</v>
      </c>
      <c r="EQ291" s="56">
        <f t="shared" si="1439"/>
        <v>1405</v>
      </c>
      <c r="ER291" s="56">
        <f t="shared" si="1439"/>
        <v>1321</v>
      </c>
      <c r="ES291" s="60">
        <f>+EO291</f>
        <v>1558</v>
      </c>
      <c r="ET291" s="56">
        <f t="shared" ref="ET291:EW294" si="1440">ET257+ET280</f>
        <v>1251</v>
      </c>
      <c r="EU291" s="56">
        <f t="shared" si="1440"/>
        <v>1184.7579340851469</v>
      </c>
      <c r="EV291" s="56">
        <f t="shared" si="1440"/>
        <v>1117.0799543420087</v>
      </c>
      <c r="EW291" s="56">
        <f t="shared" si="1440"/>
        <v>1043.449277269003</v>
      </c>
      <c r="EX291" s="60">
        <f>+ET291</f>
        <v>1251</v>
      </c>
      <c r="EY291" s="56">
        <f t="shared" ref="EY291:FB291" si="1441">EY257+EY280</f>
        <v>982.1581902444467</v>
      </c>
      <c r="EZ291" s="56">
        <f t="shared" si="1441"/>
        <v>929.7534357915456</v>
      </c>
      <c r="FA291" s="56">
        <f t="shared" si="1441"/>
        <v>876.02128926739374</v>
      </c>
      <c r="FB291" s="56">
        <f t="shared" si="1441"/>
        <v>817.09260801520259</v>
      </c>
      <c r="FC291" s="60">
        <f>+EY291</f>
        <v>982.1581902444467</v>
      </c>
      <c r="FD291" s="56">
        <f t="shared" ref="FD291:FM294" si="1442">FD257+FD280</f>
        <v>767.79905646379189</v>
      </c>
      <c r="FE291" s="56">
        <f t="shared" si="1442"/>
        <v>725.50329701844225</v>
      </c>
      <c r="FF291" s="56">
        <f t="shared" si="1442"/>
        <v>682.00455872991222</v>
      </c>
      <c r="FG291" s="56">
        <f t="shared" si="1442"/>
        <v>634.46034984007758</v>
      </c>
      <c r="FH291" s="60">
        <f>+FD291</f>
        <v>767.79905646379189</v>
      </c>
      <c r="FI291" s="56">
        <f t="shared" si="1442"/>
        <v>595.9391094592213</v>
      </c>
      <c r="FJ291" s="56">
        <f t="shared" si="1442"/>
        <v>461.7110066464881</v>
      </c>
      <c r="FK291" s="56">
        <f t="shared" si="1442"/>
        <v>377.08443449551402</v>
      </c>
      <c r="FL291" s="56">
        <f t="shared" si="1442"/>
        <v>318.42260083148062</v>
      </c>
      <c r="FM291" s="56">
        <f t="shared" si="1442"/>
        <v>275.90451324735943</v>
      </c>
      <c r="FN291" s="1068">
        <f>+(FJ291/ES291)^0.2-1</f>
        <v>-0.21591967738325035</v>
      </c>
    </row>
    <row r="292" spans="1:171" s="108" customFormat="1" x14ac:dyDescent="0.3">
      <c r="A292" s="63" t="s">
        <v>336</v>
      </c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  <c r="AA292" s="119"/>
      <c r="AB292" s="119"/>
      <c r="AC292" s="119"/>
      <c r="AD292" s="119"/>
      <c r="AE292" s="119"/>
      <c r="AF292" s="119"/>
      <c r="AG292" s="119"/>
      <c r="AH292" s="119"/>
      <c r="AI292" s="119"/>
      <c r="AJ292" s="119"/>
      <c r="AK292" s="119"/>
      <c r="AL292" s="119"/>
      <c r="AM292" s="119"/>
      <c r="AN292" s="119"/>
      <c r="AO292" s="119"/>
      <c r="AP292" s="119"/>
      <c r="AQ292" s="119"/>
      <c r="AR292" s="119"/>
      <c r="AS292" s="119"/>
      <c r="AT292" s="119"/>
      <c r="AU292" s="119"/>
      <c r="AV292" s="119"/>
      <c r="AW292" s="119"/>
      <c r="AX292" s="119"/>
      <c r="AY292" s="119"/>
      <c r="AZ292" s="119"/>
      <c r="BA292" s="119"/>
      <c r="BB292" s="119"/>
      <c r="BC292" s="119"/>
      <c r="BD292" s="119"/>
      <c r="BE292" s="119"/>
      <c r="BF292" s="119"/>
      <c r="BG292" s="119"/>
      <c r="BH292" s="119"/>
      <c r="BI292" s="119"/>
      <c r="BJ292" s="119"/>
      <c r="BK292" s="119"/>
      <c r="BL292" s="119"/>
      <c r="BM292" s="119"/>
      <c r="BN292" s="119"/>
      <c r="BO292" s="119"/>
      <c r="BP292" s="119"/>
      <c r="BQ292" s="119"/>
      <c r="BR292" s="119"/>
      <c r="BS292" s="119"/>
      <c r="BT292" s="119"/>
      <c r="BU292" s="119"/>
      <c r="BV292" s="119"/>
      <c r="BW292" s="119"/>
      <c r="BX292" s="119"/>
      <c r="BY292" s="119"/>
      <c r="BZ292" s="119"/>
      <c r="CA292" s="119"/>
      <c r="CB292" s="119"/>
      <c r="CC292" s="119"/>
      <c r="CD292" s="119"/>
      <c r="CE292" s="119"/>
      <c r="CF292" s="119"/>
      <c r="CG292" s="119"/>
      <c r="CH292" s="119"/>
      <c r="CI292" s="119"/>
      <c r="CJ292" s="119"/>
      <c r="CK292" s="119"/>
      <c r="CL292" s="119"/>
      <c r="CM292" s="119"/>
      <c r="CN292" s="119"/>
      <c r="CO292" s="119"/>
      <c r="CP292" s="119"/>
      <c r="CQ292" s="119"/>
      <c r="CR292" s="119"/>
      <c r="CS292" s="119"/>
      <c r="CT292" s="119"/>
      <c r="CU292" s="119"/>
      <c r="CV292" s="119"/>
      <c r="CW292" s="119"/>
      <c r="CX292" s="119"/>
      <c r="CY292" s="119"/>
      <c r="CZ292" s="119"/>
      <c r="DA292" s="119"/>
      <c r="DB292" s="119"/>
      <c r="DC292" s="119"/>
      <c r="DD292" s="119"/>
      <c r="DE292" s="119"/>
      <c r="DF292" s="119"/>
      <c r="DG292" s="119"/>
      <c r="DH292" s="119"/>
      <c r="DI292" s="119"/>
      <c r="DJ292" s="119"/>
      <c r="DK292" s="119"/>
      <c r="DL292" s="119"/>
      <c r="DM292" s="119"/>
      <c r="DN292" s="119"/>
      <c r="DO292" s="119"/>
      <c r="DP292" s="119"/>
      <c r="DQ292" s="119"/>
      <c r="DR292" s="119"/>
      <c r="DS292" s="119"/>
      <c r="DT292" s="119"/>
      <c r="DU292" s="56"/>
      <c r="DV292" s="56"/>
      <c r="DW292" s="56"/>
      <c r="DX292" s="56"/>
      <c r="DY292" s="60"/>
      <c r="DZ292" s="56">
        <f t="shared" ref="DZ292:EC294" si="1443">DZ258+DZ281</f>
        <v>157.02759999999989</v>
      </c>
      <c r="EA292" s="56">
        <f t="shared" si="1443"/>
        <v>117.15859999999986</v>
      </c>
      <c r="EB292" s="56">
        <f t="shared" si="1443"/>
        <v>132.09059999999988</v>
      </c>
      <c r="EC292" s="56">
        <f t="shared" si="1443"/>
        <v>107.88060000000007</v>
      </c>
      <c r="ED292" s="60">
        <f>+SUM(DZ292:EC292)</f>
        <v>514.15739999999971</v>
      </c>
      <c r="EE292" s="56">
        <f t="shared" ref="EE292:EG294" si="1444">EE258+EE281</f>
        <v>93.774000000000115</v>
      </c>
      <c r="EF292" s="56">
        <f t="shared" si="1444"/>
        <v>92.650800000000004</v>
      </c>
      <c r="EG292" s="56">
        <f t="shared" si="1444"/>
        <v>102.2432</v>
      </c>
      <c r="EH292" s="56">
        <f t="shared" si="1438"/>
        <v>82.025500000000079</v>
      </c>
      <c r="EI292" s="60">
        <f>+SUM(EE292:EH292)</f>
        <v>370.6935000000002</v>
      </c>
      <c r="EJ292" s="56">
        <f t="shared" si="1438"/>
        <v>76.182500000000005</v>
      </c>
      <c r="EK292" s="56">
        <f t="shared" si="1438"/>
        <v>84.457099999999969</v>
      </c>
      <c r="EL292" s="56">
        <f t="shared" si="1438"/>
        <v>77.795200000000136</v>
      </c>
      <c r="EM292" s="56">
        <f t="shared" si="1438"/>
        <v>57.217800000000125</v>
      </c>
      <c r="EN292" s="60">
        <f>+SUM(EJ292:EM292)</f>
        <v>295.65260000000023</v>
      </c>
      <c r="EO292" s="56">
        <f t="shared" si="1439"/>
        <v>54.405700000000138</v>
      </c>
      <c r="EP292" s="56">
        <f t="shared" si="1439"/>
        <v>61.125999999999976</v>
      </c>
      <c r="EQ292" s="56">
        <f t="shared" si="1439"/>
        <v>71.476999999999975</v>
      </c>
      <c r="ER292" s="56">
        <f t="shared" si="1439"/>
        <v>61.762200000000121</v>
      </c>
      <c r="ES292" s="60">
        <f>+SUM(EO292:ER292)</f>
        <v>248.77090000000021</v>
      </c>
      <c r="ET292" s="56">
        <f t="shared" si="1440"/>
        <v>48.279248279321571</v>
      </c>
      <c r="EU292" s="56">
        <f t="shared" si="1440"/>
        <v>55.568640652830254</v>
      </c>
      <c r="EV292" s="56">
        <f t="shared" si="1440"/>
        <v>58.068452929602593</v>
      </c>
      <c r="EW292" s="56">
        <f t="shared" si="1440"/>
        <v>51.58959168099009</v>
      </c>
      <c r="EX292" s="60">
        <f>+SUM(ET292:EW292)</f>
        <v>213.50593354274449</v>
      </c>
      <c r="EY292" s="56">
        <f t="shared" ref="EY292:FB292" si="1445">EY258+EY281</f>
        <v>40.546147122675826</v>
      </c>
      <c r="EZ292" s="56">
        <f t="shared" si="1445"/>
        <v>46.391194499053306</v>
      </c>
      <c r="FA292" s="56">
        <f t="shared" si="1445"/>
        <v>48.183021018135804</v>
      </c>
      <c r="FB292" s="56">
        <f t="shared" si="1445"/>
        <v>42.527539221889953</v>
      </c>
      <c r="FC292" s="60">
        <f>+SUM(EY292:FB292)</f>
        <v>177.64790186175489</v>
      </c>
      <c r="FD292" s="56">
        <f t="shared" si="1442"/>
        <v>33.173370398451965</v>
      </c>
      <c r="FE292" s="56">
        <f t="shared" si="1442"/>
        <v>37.642387838375612</v>
      </c>
      <c r="FF292" s="56">
        <f t="shared" si="1442"/>
        <v>39.160371221450426</v>
      </c>
      <c r="FG292" s="56">
        <f t="shared" si="1442"/>
        <v>35.669699484444529</v>
      </c>
      <c r="FH292" s="60">
        <f>+SUM(FD292:FG292)</f>
        <v>145.64582894272252</v>
      </c>
      <c r="FI292" s="56">
        <f t="shared" si="1442"/>
        <v>138.7944976782203</v>
      </c>
      <c r="FJ292" s="56">
        <f t="shared" si="1442"/>
        <v>135.55994729433647</v>
      </c>
      <c r="FK292" s="56">
        <f t="shared" si="1442"/>
        <v>132.39504225960559</v>
      </c>
      <c r="FL292" s="56">
        <f t="shared" si="1442"/>
        <v>129.298351194519</v>
      </c>
      <c r="FM292" s="56">
        <f t="shared" si="1442"/>
        <v>126.2684712599136</v>
      </c>
      <c r="FN292" s="1068">
        <f>+(FJ292/ES292)^0.2-1</f>
        <v>-0.11434136190394473</v>
      </c>
    </row>
    <row r="293" spans="1:171" s="108" customFormat="1" x14ac:dyDescent="0.3">
      <c r="A293" s="63" t="s">
        <v>337</v>
      </c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  <c r="AA293" s="119"/>
      <c r="AB293" s="119"/>
      <c r="AC293" s="119"/>
      <c r="AD293" s="119"/>
      <c r="AE293" s="119"/>
      <c r="AF293" s="119"/>
      <c r="AG293" s="119"/>
      <c r="AH293" s="119"/>
      <c r="AI293" s="119"/>
      <c r="AJ293" s="119"/>
      <c r="AK293" s="119"/>
      <c r="AL293" s="119"/>
      <c r="AM293" s="119"/>
      <c r="AN293" s="119"/>
      <c r="AO293" s="119"/>
      <c r="AP293" s="119"/>
      <c r="AQ293" s="119"/>
      <c r="AR293" s="119"/>
      <c r="AS293" s="119"/>
      <c r="AT293" s="119"/>
      <c r="AU293" s="119"/>
      <c r="AV293" s="119"/>
      <c r="AW293" s="119"/>
      <c r="AX293" s="119"/>
      <c r="AY293" s="119"/>
      <c r="AZ293" s="119"/>
      <c r="BA293" s="119"/>
      <c r="BB293" s="119"/>
      <c r="BC293" s="119"/>
      <c r="BD293" s="119"/>
      <c r="BE293" s="119"/>
      <c r="BF293" s="119"/>
      <c r="BG293" s="119"/>
      <c r="BH293" s="119"/>
      <c r="BI293" s="119"/>
      <c r="BJ293" s="119"/>
      <c r="BK293" s="119"/>
      <c r="BL293" s="119"/>
      <c r="BM293" s="119"/>
      <c r="BN293" s="119"/>
      <c r="BO293" s="119"/>
      <c r="BP293" s="119"/>
      <c r="BQ293" s="119"/>
      <c r="BR293" s="119"/>
      <c r="BS293" s="119"/>
      <c r="BT293" s="119"/>
      <c r="BU293" s="119"/>
      <c r="BV293" s="119"/>
      <c r="BW293" s="119"/>
      <c r="BX293" s="119"/>
      <c r="BY293" s="119"/>
      <c r="BZ293" s="119"/>
      <c r="CA293" s="119"/>
      <c r="CB293" s="119"/>
      <c r="CC293" s="119"/>
      <c r="CD293" s="119"/>
      <c r="CE293" s="119"/>
      <c r="CF293" s="119"/>
      <c r="CG293" s="119"/>
      <c r="CH293" s="119"/>
      <c r="CI293" s="119"/>
      <c r="CJ293" s="119"/>
      <c r="CK293" s="119"/>
      <c r="CL293" s="119"/>
      <c r="CM293" s="119"/>
      <c r="CN293" s="119"/>
      <c r="CO293" s="119"/>
      <c r="CP293" s="119"/>
      <c r="CQ293" s="119"/>
      <c r="CR293" s="119"/>
      <c r="CS293" s="119"/>
      <c r="CT293" s="119"/>
      <c r="CU293" s="119"/>
      <c r="CV293" s="119"/>
      <c r="CW293" s="119"/>
      <c r="CX293" s="119"/>
      <c r="CY293" s="119"/>
      <c r="CZ293" s="119"/>
      <c r="DA293" s="119"/>
      <c r="DB293" s="119"/>
      <c r="DC293" s="119"/>
      <c r="DD293" s="119"/>
      <c r="DE293" s="119"/>
      <c r="DF293" s="119"/>
      <c r="DG293" s="119"/>
      <c r="DH293" s="119"/>
      <c r="DI293" s="119"/>
      <c r="DJ293" s="119"/>
      <c r="DK293" s="119"/>
      <c r="DL293" s="119"/>
      <c r="DM293" s="119"/>
      <c r="DN293" s="119"/>
      <c r="DO293" s="119"/>
      <c r="DP293" s="119"/>
      <c r="DQ293" s="119"/>
      <c r="DR293" s="119"/>
      <c r="DS293" s="119"/>
      <c r="DT293" s="119"/>
      <c r="DU293" s="56"/>
      <c r="DV293" s="56"/>
      <c r="DW293" s="56"/>
      <c r="DX293" s="56"/>
      <c r="DY293" s="60"/>
      <c r="DZ293" s="1213">
        <f t="shared" si="1443"/>
        <v>-180.02760000000001</v>
      </c>
      <c r="EA293" s="1213">
        <f t="shared" si="1443"/>
        <v>-157.15859999999998</v>
      </c>
      <c r="EB293" s="1213">
        <f t="shared" si="1443"/>
        <v>-174.09059999999999</v>
      </c>
      <c r="EC293" s="1213">
        <f t="shared" si="1443"/>
        <v>-158.88060000000002</v>
      </c>
      <c r="ED293" s="60">
        <f>+SUM(DZ293:EC293)</f>
        <v>-670.15740000000005</v>
      </c>
      <c r="EE293" s="1213">
        <f t="shared" si="1444"/>
        <v>-135.774</v>
      </c>
      <c r="EF293" s="1213">
        <f t="shared" si="1444"/>
        <v>-143.6508</v>
      </c>
      <c r="EG293" s="1213">
        <f t="shared" si="1444"/>
        <v>-154.24320000000003</v>
      </c>
      <c r="EH293" s="1213">
        <f t="shared" si="1438"/>
        <v>-134.02550000000002</v>
      </c>
      <c r="EI293" s="60">
        <f>+SUM(EE293:EH293)</f>
        <v>-567.69350000000009</v>
      </c>
      <c r="EJ293" s="1213">
        <f t="shared" si="1438"/>
        <v>-124.1825</v>
      </c>
      <c r="EK293" s="1213">
        <f t="shared" si="1438"/>
        <v>-144.4571</v>
      </c>
      <c r="EL293" s="1213">
        <f t="shared" si="1438"/>
        <v>-158.79520000000002</v>
      </c>
      <c r="EM293" s="1213">
        <f t="shared" si="1438"/>
        <v>-139.21780000000001</v>
      </c>
      <c r="EN293" s="60">
        <f>+SUM(EJ293:EM293)</f>
        <v>-566.65260000000001</v>
      </c>
      <c r="EO293" s="1213">
        <f t="shared" si="1439"/>
        <v>-131.40570000000002</v>
      </c>
      <c r="EP293" s="1213">
        <f t="shared" si="1439"/>
        <v>-137.12599999999998</v>
      </c>
      <c r="EQ293" s="1213">
        <f t="shared" si="1439"/>
        <v>-155.47700000000003</v>
      </c>
      <c r="ER293" s="1213">
        <f t="shared" si="1439"/>
        <v>-131.76220000000001</v>
      </c>
      <c r="ES293" s="60">
        <f>+SUM(EO293:ER293)</f>
        <v>-555.77089999999998</v>
      </c>
      <c r="ET293" s="1213">
        <f t="shared" si="1440"/>
        <v>-114.52131419417479</v>
      </c>
      <c r="EU293" s="1213">
        <f t="shared" si="1440"/>
        <v>-123.24662039596839</v>
      </c>
      <c r="EV293" s="1213">
        <f t="shared" si="1440"/>
        <v>-131.69913000260829</v>
      </c>
      <c r="EW293" s="1213">
        <f t="shared" si="1440"/>
        <v>-112.88067870554633</v>
      </c>
      <c r="EX293" s="60">
        <f>+SUM(ET293:EW293)</f>
        <v>-482.34774329829781</v>
      </c>
      <c r="EY293" s="1213">
        <f t="shared" ref="EY293:FB293" si="1446">EY259+EY282</f>
        <v>-92.950901575576978</v>
      </c>
      <c r="EZ293" s="1213">
        <f t="shared" si="1446"/>
        <v>-100.12334102320509</v>
      </c>
      <c r="FA293" s="1213">
        <f t="shared" si="1446"/>
        <v>-107.11170227032687</v>
      </c>
      <c r="FB293" s="1213">
        <f t="shared" si="1446"/>
        <v>-91.821090773300796</v>
      </c>
      <c r="FC293" s="60">
        <f>+SUM(EY293:FB293)</f>
        <v>-392.00703564240973</v>
      </c>
      <c r="FD293" s="1213">
        <f t="shared" si="1442"/>
        <v>-75.469129843801525</v>
      </c>
      <c r="FE293" s="1213">
        <f t="shared" si="1442"/>
        <v>-81.141126126905704</v>
      </c>
      <c r="FF293" s="1213">
        <f t="shared" si="1442"/>
        <v>-86.704580111285026</v>
      </c>
      <c r="FG293" s="1213">
        <f t="shared" si="1442"/>
        <v>-74.190939865300862</v>
      </c>
      <c r="FH293" s="60">
        <f>+SUM(FD293:FG293)</f>
        <v>-317.5057759472931</v>
      </c>
      <c r="FI293" s="1213">
        <f t="shared" si="1442"/>
        <v>-273.02260049095344</v>
      </c>
      <c r="FJ293" s="1213">
        <f t="shared" si="1442"/>
        <v>-220.18651944531052</v>
      </c>
      <c r="FK293" s="1213">
        <f t="shared" si="1442"/>
        <v>-191.05687592363898</v>
      </c>
      <c r="FL293" s="1213">
        <f t="shared" si="1442"/>
        <v>-171.81643877864016</v>
      </c>
      <c r="FM293" s="1213">
        <f t="shared" si="1442"/>
        <v>-157.8055848566068</v>
      </c>
      <c r="FN293" s="1068">
        <f>+(FJ293/ES293)^0.2-1</f>
        <v>-0.16904216977361364</v>
      </c>
    </row>
    <row r="294" spans="1:171" s="108" customFormat="1" x14ac:dyDescent="0.3">
      <c r="A294" s="64" t="s">
        <v>410</v>
      </c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  <c r="AA294" s="119"/>
      <c r="AB294" s="119"/>
      <c r="AC294" s="119"/>
      <c r="AD294" s="119"/>
      <c r="AE294" s="119"/>
      <c r="AF294" s="119"/>
      <c r="AG294" s="119"/>
      <c r="AH294" s="119"/>
      <c r="AI294" s="119"/>
      <c r="AJ294" s="119"/>
      <c r="AK294" s="119"/>
      <c r="AL294" s="119"/>
      <c r="AM294" s="119"/>
      <c r="AN294" s="119"/>
      <c r="AO294" s="119"/>
      <c r="AP294" s="119"/>
      <c r="AQ294" s="119"/>
      <c r="AR294" s="119"/>
      <c r="AS294" s="119"/>
      <c r="AT294" s="119"/>
      <c r="AU294" s="119"/>
      <c r="AV294" s="119"/>
      <c r="AW294" s="119"/>
      <c r="AX294" s="119"/>
      <c r="AY294" s="119"/>
      <c r="AZ294" s="119"/>
      <c r="BA294" s="119"/>
      <c r="BB294" s="119"/>
      <c r="BC294" s="119"/>
      <c r="BD294" s="119"/>
      <c r="BE294" s="119"/>
      <c r="BF294" s="119"/>
      <c r="BG294" s="119"/>
      <c r="BH294" s="119"/>
      <c r="BI294" s="119"/>
      <c r="BJ294" s="119"/>
      <c r="BK294" s="119"/>
      <c r="BL294" s="119"/>
      <c r="BM294" s="119"/>
      <c r="BN294" s="119"/>
      <c r="BO294" s="119"/>
      <c r="BP294" s="119"/>
      <c r="BQ294" s="119"/>
      <c r="BR294" s="119"/>
      <c r="BS294" s="119"/>
      <c r="BT294" s="119"/>
      <c r="BU294" s="119"/>
      <c r="BV294" s="119"/>
      <c r="BW294" s="119"/>
      <c r="BX294" s="119"/>
      <c r="BY294" s="119"/>
      <c r="BZ294" s="119"/>
      <c r="CA294" s="119"/>
      <c r="CB294" s="119"/>
      <c r="CC294" s="119"/>
      <c r="CD294" s="119"/>
      <c r="CE294" s="119"/>
      <c r="CF294" s="119"/>
      <c r="CG294" s="119"/>
      <c r="CH294" s="119"/>
      <c r="CI294" s="119"/>
      <c r="CJ294" s="119"/>
      <c r="CK294" s="119"/>
      <c r="CL294" s="119"/>
      <c r="CM294" s="119"/>
      <c r="CN294" s="119"/>
      <c r="CO294" s="119"/>
      <c r="CP294" s="119"/>
      <c r="CQ294" s="119"/>
      <c r="CR294" s="119"/>
      <c r="CS294" s="119"/>
      <c r="CT294" s="119"/>
      <c r="CU294" s="119"/>
      <c r="CV294" s="119"/>
      <c r="CW294" s="119"/>
      <c r="CX294" s="119"/>
      <c r="CY294" s="119"/>
      <c r="CZ294" s="119"/>
      <c r="DA294" s="119"/>
      <c r="DB294" s="119"/>
      <c r="DC294" s="119"/>
      <c r="DD294" s="119"/>
      <c r="DE294" s="119"/>
      <c r="DF294" s="119"/>
      <c r="DG294" s="119"/>
      <c r="DH294" s="119"/>
      <c r="DI294" s="119"/>
      <c r="DJ294" s="119"/>
      <c r="DK294" s="119"/>
      <c r="DL294" s="119"/>
      <c r="DM294" s="119"/>
      <c r="DN294" s="119"/>
      <c r="DO294" s="119"/>
      <c r="DP294" s="119"/>
      <c r="DQ294" s="119"/>
      <c r="DR294" s="119"/>
      <c r="DS294" s="119"/>
      <c r="DT294" s="119"/>
      <c r="DU294" s="1798"/>
      <c r="DV294" s="1798"/>
      <c r="DW294" s="1798"/>
      <c r="DX294" s="1798"/>
      <c r="DY294" s="1797"/>
      <c r="DZ294" s="56">
        <f>DZ260+DZ283</f>
        <v>2159</v>
      </c>
      <c r="EA294" s="56">
        <f t="shared" si="1443"/>
        <v>2119</v>
      </c>
      <c r="EB294" s="56">
        <f t="shared" si="1443"/>
        <v>2077</v>
      </c>
      <c r="EC294" s="56">
        <f t="shared" si="1443"/>
        <v>2026</v>
      </c>
      <c r="ED294" s="1797">
        <f>+EC294</f>
        <v>2026</v>
      </c>
      <c r="EE294" s="56">
        <f>EE260+EE283</f>
        <v>1984</v>
      </c>
      <c r="EF294" s="56">
        <f t="shared" si="1444"/>
        <v>1933</v>
      </c>
      <c r="EG294" s="56">
        <f t="shared" si="1444"/>
        <v>1881</v>
      </c>
      <c r="EH294" s="56">
        <f t="shared" si="1438"/>
        <v>1829</v>
      </c>
      <c r="EI294" s="1797">
        <f>+EH294</f>
        <v>1829</v>
      </c>
      <c r="EJ294" s="56">
        <f t="shared" si="1438"/>
        <v>1781</v>
      </c>
      <c r="EK294" s="56">
        <f t="shared" si="1438"/>
        <v>1721</v>
      </c>
      <c r="EL294" s="56">
        <f t="shared" si="1438"/>
        <v>1640</v>
      </c>
      <c r="EM294" s="56">
        <f t="shared" si="1438"/>
        <v>1558</v>
      </c>
      <c r="EN294" s="1797">
        <f>+EM294</f>
        <v>1558</v>
      </c>
      <c r="EO294" s="56">
        <f t="shared" si="1439"/>
        <v>1481</v>
      </c>
      <c r="EP294" s="56">
        <f t="shared" si="1439"/>
        <v>1405</v>
      </c>
      <c r="EQ294" s="56">
        <f t="shared" si="1439"/>
        <v>1321</v>
      </c>
      <c r="ER294" s="56">
        <f t="shared" si="1439"/>
        <v>1251</v>
      </c>
      <c r="ES294" s="1797">
        <f>+ER294</f>
        <v>1251</v>
      </c>
      <c r="ET294" s="56">
        <f t="shared" si="1440"/>
        <v>1184.7579340851469</v>
      </c>
      <c r="EU294" s="56">
        <f t="shared" si="1440"/>
        <v>1117.0799543420087</v>
      </c>
      <c r="EV294" s="56">
        <f t="shared" si="1440"/>
        <v>1043.449277269003</v>
      </c>
      <c r="EW294" s="56">
        <f t="shared" si="1440"/>
        <v>982.1581902444467</v>
      </c>
      <c r="EX294" s="1797">
        <f>+EW294</f>
        <v>982.1581902444467</v>
      </c>
      <c r="EY294" s="56">
        <f t="shared" ref="EY294:FB294" si="1447">EY260+EY283</f>
        <v>929.7534357915456</v>
      </c>
      <c r="EZ294" s="56">
        <f t="shared" si="1447"/>
        <v>876.02128926739374</v>
      </c>
      <c r="FA294" s="56">
        <f t="shared" si="1447"/>
        <v>817.09260801520259</v>
      </c>
      <c r="FB294" s="56">
        <f t="shared" si="1447"/>
        <v>767.79905646379189</v>
      </c>
      <c r="FC294" s="1797">
        <f>+FB294</f>
        <v>767.79905646379189</v>
      </c>
      <c r="FD294" s="56">
        <f t="shared" si="1442"/>
        <v>725.50329701844225</v>
      </c>
      <c r="FE294" s="56">
        <f t="shared" si="1442"/>
        <v>682.00455872991222</v>
      </c>
      <c r="FF294" s="56">
        <f t="shared" si="1442"/>
        <v>634.46034984007758</v>
      </c>
      <c r="FG294" s="56">
        <f t="shared" si="1442"/>
        <v>595.9391094592213</v>
      </c>
      <c r="FH294" s="1797">
        <f>+FG294</f>
        <v>595.9391094592213</v>
      </c>
      <c r="FI294" s="60">
        <f t="shared" si="1442"/>
        <v>461.7110066464881</v>
      </c>
      <c r="FJ294" s="60">
        <f t="shared" si="1442"/>
        <v>377.08443449551402</v>
      </c>
      <c r="FK294" s="60">
        <f t="shared" si="1442"/>
        <v>318.42260083148062</v>
      </c>
      <c r="FL294" s="60">
        <f t="shared" si="1442"/>
        <v>275.90451324735943</v>
      </c>
      <c r="FM294" s="60">
        <f t="shared" si="1442"/>
        <v>244.36739965066627</v>
      </c>
      <c r="FN294" s="1068">
        <f>+(FJ294/ES294)^0.2-1</f>
        <v>-0.21325089197383684</v>
      </c>
    </row>
    <row r="295" spans="1:171" s="108" customFormat="1" x14ac:dyDescent="0.3">
      <c r="A295" s="61" t="s">
        <v>339</v>
      </c>
      <c r="DY295" s="538"/>
      <c r="DZ295" s="122"/>
      <c r="EA295" s="122"/>
      <c r="EB295" s="122"/>
      <c r="EC295" s="122"/>
      <c r="ED295" s="123"/>
      <c r="EE295" s="122">
        <f t="shared" ref="EE295:EX295" si="1448">+EE294/DZ294-1</f>
        <v>-8.1056044465030119E-2</v>
      </c>
      <c r="EF295" s="122">
        <f t="shared" si="1448"/>
        <v>-8.7777253421425172E-2</v>
      </c>
      <c r="EG295" s="122">
        <f t="shared" si="1448"/>
        <v>-9.436687530091481E-2</v>
      </c>
      <c r="EH295" s="122">
        <f t="shared" si="1448"/>
        <v>-9.7235932872655528E-2</v>
      </c>
      <c r="EI295" s="123">
        <f t="shared" si="1448"/>
        <v>-9.7235932872655528E-2</v>
      </c>
      <c r="EJ295" s="122">
        <f t="shared" si="1448"/>
        <v>-0.10231854838709675</v>
      </c>
      <c r="EK295" s="122">
        <f t="shared" si="1448"/>
        <v>-0.10967408173823068</v>
      </c>
      <c r="EL295" s="122">
        <f t="shared" si="1448"/>
        <v>-0.12812333864965442</v>
      </c>
      <c r="EM295" s="122">
        <f t="shared" si="1448"/>
        <v>-0.14816839803171133</v>
      </c>
      <c r="EN295" s="123">
        <f t="shared" si="1448"/>
        <v>-0.14816839803171133</v>
      </c>
      <c r="EO295" s="122">
        <f t="shared" si="1448"/>
        <v>-0.16844469399213924</v>
      </c>
      <c r="EP295" s="122">
        <f t="shared" si="1448"/>
        <v>-0.18361417780360256</v>
      </c>
      <c r="EQ295" s="122">
        <f t="shared" si="1448"/>
        <v>-0.19451219512195117</v>
      </c>
      <c r="ER295" s="122">
        <f t="shared" si="1448"/>
        <v>-0.19704749679075739</v>
      </c>
      <c r="ES295" s="123">
        <f t="shared" si="1448"/>
        <v>-0.19704749679075739</v>
      </c>
      <c r="ET295" s="122">
        <f t="shared" si="1448"/>
        <v>-0.20002840372373609</v>
      </c>
      <c r="EU295" s="122">
        <f t="shared" si="1448"/>
        <v>-0.20492529940070559</v>
      </c>
      <c r="EV295" s="122">
        <f t="shared" si="1448"/>
        <v>-0.21010652742694702</v>
      </c>
      <c r="EW295" s="122">
        <f t="shared" si="1448"/>
        <v>-0.21490152658317607</v>
      </c>
      <c r="EX295" s="123">
        <f t="shared" si="1448"/>
        <v>-0.21490152658317607</v>
      </c>
      <c r="EY295" s="122">
        <f t="shared" ref="EY295" si="1449">+EY294/ET294-1</f>
        <v>-0.21523763712163879</v>
      </c>
      <c r="EZ295" s="122">
        <f t="shared" ref="EZ295" si="1450">+EZ294/EU294-1</f>
        <v>-0.21579356440659192</v>
      </c>
      <c r="FA295" s="122">
        <f t="shared" ref="FA295" si="1451">+FA294/EV294-1</f>
        <v>-0.21693116683758584</v>
      </c>
      <c r="FB295" s="122">
        <f t="shared" ref="FB295:FC295" si="1452">+FB294/EW294-1</f>
        <v>-0.21825316523329463</v>
      </c>
      <c r="FC295" s="123">
        <f t="shared" si="1452"/>
        <v>-0.21825316523329463</v>
      </c>
      <c r="FD295" s="122">
        <f t="shared" ref="FD295" si="1453">+FD294/EY294-1</f>
        <v>-0.21968204785305789</v>
      </c>
      <c r="FE295" s="122">
        <f t="shared" ref="FE295" si="1454">+FE294/EZ294-1</f>
        <v>-0.22147490353771582</v>
      </c>
      <c r="FF295" s="122">
        <f t="shared" ref="FF295" si="1455">+FF294/FA294-1</f>
        <v>-0.22351475999612391</v>
      </c>
      <c r="FG295" s="122">
        <f t="shared" ref="FG295:FH295" si="1456">+FG294/FB294-1</f>
        <v>-0.22383453790122654</v>
      </c>
      <c r="FH295" s="123">
        <f t="shared" si="1456"/>
        <v>-0.22383453790122654</v>
      </c>
      <c r="FI295" s="122">
        <f t="shared" ref="FI295:FM295" si="1457">+FI294/FH294-1</f>
        <v>-0.22523794911620598</v>
      </c>
      <c r="FJ295" s="122">
        <f t="shared" si="1457"/>
        <v>-0.18328905079745894</v>
      </c>
      <c r="FK295" s="122">
        <f t="shared" si="1457"/>
        <v>-0.15556683940697447</v>
      </c>
      <c r="FL295" s="122">
        <f t="shared" si="1457"/>
        <v>-0.13352722913855952</v>
      </c>
      <c r="FM295" s="122">
        <f t="shared" si="1457"/>
        <v>-0.11430444984572929</v>
      </c>
    </row>
    <row r="296" spans="1:171" s="108" customFormat="1" x14ac:dyDescent="0.3">
      <c r="A296" s="65" t="s">
        <v>340</v>
      </c>
      <c r="DU296" s="455"/>
      <c r="DV296" s="124"/>
      <c r="DW296" s="124"/>
      <c r="DX296" s="124"/>
      <c r="DY296" s="125"/>
      <c r="DZ296" s="1105"/>
      <c r="EA296" s="124">
        <f t="shared" ref="EA296:EC296" si="1458">+EA294-DZ294</f>
        <v>-40</v>
      </c>
      <c r="EB296" s="124">
        <f t="shared" si="1458"/>
        <v>-42</v>
      </c>
      <c r="EC296" s="124">
        <f t="shared" si="1458"/>
        <v>-51</v>
      </c>
      <c r="ED296" s="125">
        <f>+SUM(DZ296:EC296)</f>
        <v>-133</v>
      </c>
      <c r="EE296" s="124">
        <f t="shared" ref="EE296:ER296" si="1459">+EE294-ED294</f>
        <v>-42</v>
      </c>
      <c r="EF296" s="124">
        <f t="shared" si="1459"/>
        <v>-51</v>
      </c>
      <c r="EG296" s="124">
        <f t="shared" si="1459"/>
        <v>-52</v>
      </c>
      <c r="EH296" s="124">
        <f t="shared" si="1459"/>
        <v>-52</v>
      </c>
      <c r="EI296" s="125">
        <f>+SUM(EE296:EH296)</f>
        <v>-197</v>
      </c>
      <c r="EJ296" s="124">
        <f t="shared" si="1459"/>
        <v>-48</v>
      </c>
      <c r="EK296" s="124">
        <f t="shared" si="1459"/>
        <v>-60</v>
      </c>
      <c r="EL296" s="124">
        <f t="shared" si="1459"/>
        <v>-81</v>
      </c>
      <c r="EM296" s="124">
        <f t="shared" si="1459"/>
        <v>-82</v>
      </c>
      <c r="EN296" s="125">
        <f>+SUM(EJ296:EM296)</f>
        <v>-271</v>
      </c>
      <c r="EO296" s="124">
        <f t="shared" si="1459"/>
        <v>-77</v>
      </c>
      <c r="EP296" s="124">
        <f t="shared" si="1459"/>
        <v>-76</v>
      </c>
      <c r="EQ296" s="124">
        <f t="shared" si="1459"/>
        <v>-84</v>
      </c>
      <c r="ER296" s="124">
        <f t="shared" si="1459"/>
        <v>-70</v>
      </c>
      <c r="ES296" s="125">
        <f>+SUM(EO296:ER296)</f>
        <v>-307</v>
      </c>
      <c r="ET296" s="124">
        <f t="shared" ref="ET296:EW296" si="1460">+ET294-ES294</f>
        <v>-66.242065914853129</v>
      </c>
      <c r="EU296" s="124">
        <f t="shared" si="1460"/>
        <v>-67.677979743138167</v>
      </c>
      <c r="EV296" s="124">
        <f t="shared" si="1460"/>
        <v>-73.6306770730057</v>
      </c>
      <c r="EW296" s="124">
        <f t="shared" si="1460"/>
        <v>-61.291087024556305</v>
      </c>
      <c r="EX296" s="125">
        <f>+SUM(ET296:EW296)</f>
        <v>-268.8418097555533</v>
      </c>
      <c r="EY296" s="124">
        <f t="shared" ref="EY296" si="1461">+EY294-EX294</f>
        <v>-52.404754452901102</v>
      </c>
      <c r="EZ296" s="124">
        <f t="shared" ref="EZ296" si="1462">+EZ294-EY294</f>
        <v>-53.732146524151858</v>
      </c>
      <c r="FA296" s="124">
        <f t="shared" ref="FA296" si="1463">+FA294-EZ294</f>
        <v>-58.928681252191154</v>
      </c>
      <c r="FB296" s="124">
        <f t="shared" ref="FB296" si="1464">+FB294-FA294</f>
        <v>-49.293551551410701</v>
      </c>
      <c r="FC296" s="125">
        <f>+SUM(EY296:FB296)</f>
        <v>-214.35913378065482</v>
      </c>
      <c r="FD296" s="124">
        <f t="shared" ref="FD296" si="1465">+FD294-FC294</f>
        <v>-42.295759445349631</v>
      </c>
      <c r="FE296" s="124">
        <f t="shared" ref="FE296" si="1466">+FE294-FD294</f>
        <v>-43.498738288530035</v>
      </c>
      <c r="FF296" s="124">
        <f t="shared" ref="FF296" si="1467">+FF294-FE294</f>
        <v>-47.544208889834636</v>
      </c>
      <c r="FG296" s="124">
        <f t="shared" ref="FG296" si="1468">+FG294-FF294</f>
        <v>-38.521240380856284</v>
      </c>
      <c r="FH296" s="125">
        <f>+SUM(FD296:FG296)</f>
        <v>-171.85994700457059</v>
      </c>
      <c r="FI296" s="124">
        <f t="shared" ref="FI296:FM296" si="1469">+FI294-FH294</f>
        <v>-134.2281028127332</v>
      </c>
      <c r="FJ296" s="124">
        <f t="shared" si="1469"/>
        <v>-84.626572150974084</v>
      </c>
      <c r="FK296" s="124">
        <f t="shared" si="1469"/>
        <v>-58.661833664033395</v>
      </c>
      <c r="FL296" s="124">
        <f t="shared" si="1469"/>
        <v>-42.51808758412119</v>
      </c>
      <c r="FM296" s="124">
        <f t="shared" si="1469"/>
        <v>-31.53711359669316</v>
      </c>
      <c r="FO296" s="1069" t="s">
        <v>346</v>
      </c>
    </row>
    <row r="297" spans="1:171" s="108" customFormat="1" x14ac:dyDescent="0.3">
      <c r="A297" s="65" t="s">
        <v>341</v>
      </c>
      <c r="DU297" s="122"/>
      <c r="DV297" s="122"/>
      <c r="DW297" s="122"/>
      <c r="DX297" s="122"/>
      <c r="DY297" s="123"/>
      <c r="DZ297" s="122">
        <f t="shared" ref="DZ297:FM297" si="1470">+DZ292/DZ107</f>
        <v>1.3115690123198988E-2</v>
      </c>
      <c r="EA297" s="122">
        <f t="shared" si="1470"/>
        <v>9.7925944500167061E-3</v>
      </c>
      <c r="EB297" s="122">
        <f t="shared" si="1470"/>
        <v>1.1048521600936797E-2</v>
      </c>
      <c r="EC297" s="122">
        <f t="shared" si="1470"/>
        <v>9.0496267091686993E-3</v>
      </c>
      <c r="ED297" s="123">
        <f t="shared" si="1470"/>
        <v>4.3014025474243385E-2</v>
      </c>
      <c r="EE297" s="122">
        <f t="shared" si="1470"/>
        <v>7.9207703353323857E-3</v>
      </c>
      <c r="EF297" s="122">
        <f t="shared" si="1470"/>
        <v>7.8794744227580048E-3</v>
      </c>
      <c r="EG297" s="122">
        <f t="shared" si="1470"/>
        <v>8.785667024704619E-3</v>
      </c>
      <c r="EH297" s="122">
        <f t="shared" si="1470"/>
        <v>7.1644248405974388E-3</v>
      </c>
      <c r="EI297" s="123">
        <f t="shared" si="1470"/>
        <v>3.1761931282666453E-2</v>
      </c>
      <c r="EJ297" s="122">
        <f t="shared" si="1470"/>
        <v>6.7732829517670595E-3</v>
      </c>
      <c r="EK297" s="122">
        <f t="shared" si="1470"/>
        <v>7.6768713357269437E-3</v>
      </c>
      <c r="EL297" s="122">
        <f t="shared" si="1470"/>
        <v>7.2804454634785585E-3</v>
      </c>
      <c r="EM297" s="122">
        <f t="shared" si="1470"/>
        <v>5.5178938232316047E-3</v>
      </c>
      <c r="EN297" s="123">
        <f t="shared" si="1470"/>
        <v>2.7309495658599688E-2</v>
      </c>
      <c r="EO297" s="122">
        <f t="shared" si="1470"/>
        <v>5.408390079029787E-3</v>
      </c>
      <c r="EP297" s="122">
        <f t="shared" si="1470"/>
        <v>6.2809288943690891E-3</v>
      </c>
      <c r="EQ297" s="122">
        <f t="shared" si="1470"/>
        <v>7.5974702380952356E-3</v>
      </c>
      <c r="ER297" s="122">
        <f t="shared" si="1470"/>
        <v>6.805377114208597E-3</v>
      </c>
      <c r="ES297" s="123">
        <f t="shared" si="1470"/>
        <v>2.5998265186152864E-2</v>
      </c>
      <c r="ET297" s="122">
        <f t="shared" si="1470"/>
        <v>5.5149167453650803E-3</v>
      </c>
      <c r="EU297" s="122">
        <f t="shared" si="1470"/>
        <v>6.5765012330456221E-3</v>
      </c>
      <c r="EV297" s="122">
        <f t="shared" si="1470"/>
        <v>7.1286304209183665E-3</v>
      </c>
      <c r="EW297" s="122">
        <f t="shared" si="1470"/>
        <v>6.576584761170191E-3</v>
      </c>
      <c r="EX297" s="123">
        <f t="shared" si="1470"/>
        <v>2.5728163067475978E-2</v>
      </c>
      <c r="EY297" s="122">
        <f t="shared" ref="EY297:FC297" si="1471">+EY292/EY107</f>
        <v>5.3770438267309534E-3</v>
      </c>
      <c r="EZ297" s="122">
        <f t="shared" si="1471"/>
        <v>6.4120887022194812E-3</v>
      </c>
      <c r="FA297" s="122">
        <f t="shared" si="1471"/>
        <v>6.950414660395407E-3</v>
      </c>
      <c r="FB297" s="122">
        <f t="shared" si="1471"/>
        <v>6.4121701421409362E-3</v>
      </c>
      <c r="FC297" s="123">
        <f t="shared" si="1471"/>
        <v>2.5073563845774759E-2</v>
      </c>
      <c r="FD297" s="122">
        <f t="shared" si="1470"/>
        <v>5.2426177310626798E-3</v>
      </c>
      <c r="FE297" s="122">
        <f t="shared" si="1470"/>
        <v>6.2517864846639943E-3</v>
      </c>
      <c r="FF297" s="122">
        <f t="shared" si="1470"/>
        <v>6.7766542938855218E-3</v>
      </c>
      <c r="FG297" s="122">
        <f t="shared" si="1470"/>
        <v>6.2518658885874125E-3</v>
      </c>
      <c r="FH297" s="123">
        <f t="shared" ref="FH297" si="1472">+FH292/FH107</f>
        <v>2.4444538650876878E-2</v>
      </c>
      <c r="FI297" s="122">
        <f t="shared" si="1470"/>
        <v>2.4219428960569268E-2</v>
      </c>
      <c r="FJ297" s="122">
        <f t="shared" si="1470"/>
        <v>2.3613943236555034E-2</v>
      </c>
      <c r="FK297" s="122">
        <f t="shared" si="1470"/>
        <v>2.3023594655641154E-2</v>
      </c>
      <c r="FL297" s="122">
        <f t="shared" si="1470"/>
        <v>2.2448004789250131E-2</v>
      </c>
      <c r="FM297" s="122">
        <f t="shared" si="1470"/>
        <v>2.1886804669518874E-2</v>
      </c>
    </row>
    <row r="298" spans="1:171" s="108" customFormat="1" x14ac:dyDescent="0.3">
      <c r="A298" s="65" t="s">
        <v>342</v>
      </c>
      <c r="DU298" s="694"/>
      <c r="DV298" s="694"/>
      <c r="DW298" s="694"/>
      <c r="DX298" s="694"/>
      <c r="DY298" s="123"/>
      <c r="DZ298" s="1106">
        <f>-DZ293/DZ291/3</f>
        <v>2.7501924839596698E-2</v>
      </c>
      <c r="EA298" s="1106">
        <f t="shared" ref="EA298:EC298" si="1473">-EA293/EA291/3</f>
        <v>2.4264103751736914E-2</v>
      </c>
      <c r="EB298" s="1106">
        <f t="shared" si="1473"/>
        <v>2.7385653610193489E-2</v>
      </c>
      <c r="EC298" s="1106">
        <f t="shared" si="1473"/>
        <v>2.5498411169956672E-2</v>
      </c>
      <c r="ED298" s="123">
        <f>+ED293/AVERAGE(DZ291:EC291)/-12</f>
        <v>2.6166779899262037E-2</v>
      </c>
      <c r="EE298" s="1106">
        <f>-EE293/EE291/3</f>
        <v>2.2338598223099703E-2</v>
      </c>
      <c r="EF298" s="1106">
        <f t="shared" ref="EF298:EM298" si="1474">-EF293/EF291/3</f>
        <v>2.4134879032258066E-2</v>
      </c>
      <c r="EG298" s="1106">
        <f t="shared" si="1474"/>
        <v>2.6598241076047597E-2</v>
      </c>
      <c r="EH298" s="1106">
        <f t="shared" si="1474"/>
        <v>2.3750753145489991E-2</v>
      </c>
      <c r="EI298" s="123">
        <f>+EI293/AVERAGE(EE291:EH291)/-12</f>
        <v>2.4185987559645541E-2</v>
      </c>
      <c r="EJ298" s="1106">
        <f t="shared" si="1474"/>
        <v>2.2632130490249685E-2</v>
      </c>
      <c r="EK298" s="1106">
        <f t="shared" si="1474"/>
        <v>2.7036702227213175E-2</v>
      </c>
      <c r="EL298" s="1106">
        <f t="shared" si="1474"/>
        <v>3.0756381948479572E-2</v>
      </c>
      <c r="EM298" s="1106">
        <f t="shared" si="1474"/>
        <v>2.8296300813008133E-2</v>
      </c>
      <c r="EN298" s="123">
        <f>+EN293/AVERAGE(EJ291:EM291)/-12</f>
        <v>2.7095710801893561E-2</v>
      </c>
      <c r="EO298" s="1106">
        <f t="shared" ref="EO298:ER298" si="1475">-EO293/EO291/3</f>
        <v>2.8114184852374848E-2</v>
      </c>
      <c r="EP298" s="1106">
        <f t="shared" si="1475"/>
        <v>3.0863380598694572E-2</v>
      </c>
      <c r="EQ298" s="1106">
        <f t="shared" si="1475"/>
        <v>3.6886595492289447E-2</v>
      </c>
      <c r="ER298" s="1106">
        <f t="shared" si="1475"/>
        <v>3.324809487761797E-2</v>
      </c>
      <c r="ES298" s="123">
        <f>+ES293/AVERAGE(EO291:ER291)/-12</f>
        <v>3.213477305579647E-2</v>
      </c>
      <c r="ET298" s="1106">
        <f t="shared" ref="ET298:EW298" si="1476">-ET293/ET291/3</f>
        <v>3.051460543409933E-2</v>
      </c>
      <c r="EU298" s="1106">
        <f t="shared" si="1476"/>
        <v>3.4675612305883584E-2</v>
      </c>
      <c r="EV298" s="1106">
        <f t="shared" si="1476"/>
        <v>3.9298628383970587E-2</v>
      </c>
      <c r="EW298" s="1106">
        <f t="shared" si="1476"/>
        <v>3.6060107301361902E-2</v>
      </c>
      <c r="EX298" s="123">
        <f>+EX293/AVERAGE(ET291:EW291)/-12</f>
        <v>3.4980969487592987E-2</v>
      </c>
      <c r="EY298" s="1106">
        <f t="shared" ref="EY298:FB298" si="1477">-EY293/EY291/3</f>
        <v>3.1546480155925011E-2</v>
      </c>
      <c r="EZ298" s="1106">
        <f t="shared" si="1477"/>
        <v>3.5896019012096138E-2</v>
      </c>
      <c r="FA298" s="1106">
        <f t="shared" si="1477"/>
        <v>4.0756887069073829E-2</v>
      </c>
      <c r="FB298" s="1106">
        <f t="shared" si="1477"/>
        <v>3.7458459368656369E-2</v>
      </c>
      <c r="FC298" s="123">
        <f>+FC293/AVERAGE(EY291:FB291)/-12</f>
        <v>3.624634861406377E-2</v>
      </c>
      <c r="FD298" s="1106">
        <f t="shared" ref="FD298:FG298" si="1478">-FD293/FD291/3</f>
        <v>3.276427133221782E-2</v>
      </c>
      <c r="FE298" s="1106">
        <f t="shared" si="1478"/>
        <v>3.7280384739057038E-2</v>
      </c>
      <c r="FF298" s="1106">
        <f t="shared" si="1478"/>
        <v>4.2377321872429409E-2</v>
      </c>
      <c r="FG298" s="1106">
        <f t="shared" si="1478"/>
        <v>3.8978500854572169E-2</v>
      </c>
      <c r="FH298" s="123">
        <f>+FH293/AVERAGE(FD291:FG291)/-12</f>
        <v>3.7666912871565296E-2</v>
      </c>
      <c r="FI298" s="122">
        <f t="shared" ref="FI298:FM298" si="1479">+FI293/FI291/-12</f>
        <v>3.8178201452312939E-2</v>
      </c>
      <c r="FJ298" s="122">
        <f t="shared" si="1479"/>
        <v>3.9741042245699541E-2</v>
      </c>
      <c r="FK298" s="122">
        <f t="shared" si="1479"/>
        <v>4.2222390718064301E-2</v>
      </c>
      <c r="FL298" s="122">
        <f t="shared" si="1479"/>
        <v>4.4965516039058545E-2</v>
      </c>
      <c r="FM298" s="122">
        <f t="shared" si="1479"/>
        <v>4.7663103622111881E-2</v>
      </c>
    </row>
    <row r="299" spans="1:171" s="108" customFormat="1" x14ac:dyDescent="0.3">
      <c r="A299" s="65" t="s">
        <v>403</v>
      </c>
      <c r="DU299" s="126"/>
      <c r="DV299" s="126"/>
      <c r="DW299" s="126"/>
      <c r="DX299" s="126"/>
      <c r="DY299" s="127"/>
      <c r="DZ299" s="126">
        <f t="shared" ref="DZ299:FM299" si="1480">+DZ294/DZ107</f>
        <v>0.1803299227396116</v>
      </c>
      <c r="EA299" s="126">
        <f t="shared" si="1480"/>
        <v>0.17711467736542963</v>
      </c>
      <c r="EB299" s="126">
        <f t="shared" si="1480"/>
        <v>0.17372757308351805</v>
      </c>
      <c r="EC299" s="126">
        <f t="shared" si="1480"/>
        <v>0.16995218521936079</v>
      </c>
      <c r="ED299" s="127">
        <f t="shared" si="1480"/>
        <v>0.1694936523539623</v>
      </c>
      <c r="EE299" s="126">
        <f t="shared" si="1480"/>
        <v>0.16758172142917477</v>
      </c>
      <c r="EF299" s="126">
        <f t="shared" si="1480"/>
        <v>0.1643917166305226</v>
      </c>
      <c r="EG299" s="126">
        <f t="shared" si="1480"/>
        <v>0.16163265306122448</v>
      </c>
      <c r="EH299" s="126">
        <f t="shared" si="1480"/>
        <v>0.15975194340117041</v>
      </c>
      <c r="EI299" s="127">
        <f t="shared" si="1480"/>
        <v>0.15671322080370148</v>
      </c>
      <c r="EJ299" s="126">
        <f t="shared" si="1480"/>
        <v>0.15834629917759502</v>
      </c>
      <c r="EK299" s="126">
        <f t="shared" si="1480"/>
        <v>0.15643321365268373</v>
      </c>
      <c r="EL299" s="126">
        <f t="shared" si="1480"/>
        <v>0.15347901361658323</v>
      </c>
      <c r="EM299" s="126">
        <f t="shared" si="1480"/>
        <v>0.15024832441294181</v>
      </c>
      <c r="EN299" s="127">
        <f t="shared" si="1480"/>
        <v>0.14391280251246999</v>
      </c>
      <c r="EO299" s="126">
        <f t="shared" si="1480"/>
        <v>0.14722401709826533</v>
      </c>
      <c r="EP299" s="126">
        <f t="shared" si="1480"/>
        <v>0.14436909165639128</v>
      </c>
      <c r="EQ299" s="126">
        <f t="shared" si="1480"/>
        <v>0.14041241496598639</v>
      </c>
      <c r="ER299" s="126">
        <f t="shared" si="1480"/>
        <v>0.13784364497823812</v>
      </c>
      <c r="ES299" s="127">
        <f t="shared" si="1480"/>
        <v>0.13073807968647944</v>
      </c>
      <c r="ET299" s="126">
        <f t="shared" si="1480"/>
        <v>0.1353343641990552</v>
      </c>
      <c r="EU299" s="126">
        <f t="shared" si="1480"/>
        <v>0.1322054599650638</v>
      </c>
      <c r="EV299" s="126">
        <f t="shared" si="1480"/>
        <v>0.12809647726697246</v>
      </c>
      <c r="EW299" s="126">
        <f t="shared" si="1480"/>
        <v>0.12520445261442623</v>
      </c>
      <c r="EX299" s="127">
        <f t="shared" si="1480"/>
        <v>0.11835327317311896</v>
      </c>
      <c r="EY299" s="126">
        <f t="shared" ref="EY299:FC299" si="1481">+EY294/EY107</f>
        <v>0.12329963084233232</v>
      </c>
      <c r="EZ299" s="126">
        <f t="shared" si="1481"/>
        <v>0.12108173269670447</v>
      </c>
      <c r="FA299" s="126">
        <f t="shared" si="1481"/>
        <v>0.11786584405971534</v>
      </c>
      <c r="FB299" s="126">
        <f t="shared" si="1481"/>
        <v>0.11576635458105672</v>
      </c>
      <c r="FC299" s="127">
        <f t="shared" si="1481"/>
        <v>0.10836862389712848</v>
      </c>
      <c r="FD299" s="126">
        <f t="shared" si="1480"/>
        <v>0.11465631629250464</v>
      </c>
      <c r="FE299" s="126">
        <f t="shared" si="1480"/>
        <v>0.11326983030550729</v>
      </c>
      <c r="FF299" s="126">
        <f t="shared" si="1480"/>
        <v>0.10979258673852342</v>
      </c>
      <c r="FG299" s="126">
        <f t="shared" si="1480"/>
        <v>0.10445087690542637</v>
      </c>
      <c r="FH299" s="127">
        <f t="shared" ref="FH299" si="1482">+FH294/FH107</f>
        <v>0.10001973074336347</v>
      </c>
      <c r="FI299" s="126">
        <f t="shared" si="1480"/>
        <v>8.0567869136373454E-2</v>
      </c>
      <c r="FJ299" s="126">
        <f t="shared" si="1480"/>
        <v>6.5686440643353217E-2</v>
      </c>
      <c r="FK299" s="126">
        <f t="shared" si="1480"/>
        <v>5.5373923113855382E-2</v>
      </c>
      <c r="FL299" s="126">
        <f t="shared" si="1480"/>
        <v>4.7900887965963444E-2</v>
      </c>
      <c r="FM299" s="126">
        <f t="shared" si="1480"/>
        <v>4.2357537795346296E-2</v>
      </c>
    </row>
    <row r="300" spans="1:171" s="108" customFormat="1" x14ac:dyDescent="0.3">
      <c r="A300" s="65"/>
      <c r="DU300" s="126"/>
      <c r="DV300" s="126"/>
      <c r="DW300" s="126"/>
      <c r="DX300" s="126"/>
      <c r="DY300" s="127"/>
      <c r="DZ300" s="126"/>
      <c r="EA300" s="126"/>
      <c r="EB300" s="126"/>
      <c r="EC300" s="126"/>
      <c r="ED300" s="127"/>
      <c r="EE300" s="126"/>
      <c r="EF300" s="126"/>
      <c r="EG300" s="126"/>
      <c r="EH300" s="126"/>
      <c r="EI300" s="127"/>
      <c r="EJ300" s="126"/>
      <c r="EK300" s="126"/>
      <c r="EL300" s="126"/>
      <c r="EM300" s="126"/>
      <c r="EN300" s="127"/>
      <c r="EO300" s="126"/>
      <c r="EP300" s="126"/>
      <c r="EQ300" s="126"/>
      <c r="ER300" s="126"/>
      <c r="ES300" s="126"/>
      <c r="ET300" s="126"/>
      <c r="EU300" s="126"/>
      <c r="EV300" s="126"/>
      <c r="EW300" s="126"/>
      <c r="EX300" s="126"/>
      <c r="EY300" s="126"/>
      <c r="EZ300" s="126"/>
      <c r="FA300" s="126"/>
      <c r="FB300" s="126"/>
      <c r="FC300" s="126"/>
      <c r="FD300" s="126"/>
      <c r="FE300" s="126"/>
      <c r="FF300" s="126"/>
      <c r="FG300" s="126"/>
      <c r="FH300" s="126"/>
      <c r="FI300" s="126"/>
      <c r="FJ300" s="126"/>
      <c r="FK300" s="126"/>
      <c r="FL300" s="126"/>
      <c r="FM300" s="126"/>
    </row>
    <row r="301" spans="1:171" x14ac:dyDescent="0.3">
      <c r="A301" s="68" t="s">
        <v>411</v>
      </c>
      <c r="EO301"/>
      <c r="EP301"/>
      <c r="EQ301"/>
      <c r="ER301"/>
    </row>
    <row r="302" spans="1:171" x14ac:dyDescent="0.3">
      <c r="A302" s="67" t="s">
        <v>350</v>
      </c>
      <c r="DU302" s="76">
        <f>+DU305-DU307</f>
        <v>221.78299148423201</v>
      </c>
      <c r="DV302" s="76">
        <f>+DU305</f>
        <v>214.78299148423201</v>
      </c>
      <c r="DW302" s="76">
        <f>+DV305</f>
        <v>208.26460665049439</v>
      </c>
      <c r="DX302" s="76">
        <f>+DW305</f>
        <v>202.75857092358399</v>
      </c>
      <c r="DY302" s="85">
        <f>+DU302</f>
        <v>221.78299148423201</v>
      </c>
      <c r="DZ302" s="76">
        <f>+DY305</f>
        <v>197.26520094726561</v>
      </c>
      <c r="EA302" s="76">
        <f>+DZ305</f>
        <v>190.78482148437499</v>
      </c>
      <c r="EB302" s="76">
        <f>+EA305</f>
        <v>185.31776562499999</v>
      </c>
      <c r="EC302" s="76">
        <f>+EB305</f>
        <v>178.864375</v>
      </c>
      <c r="ED302" s="85">
        <f>+DZ302</f>
        <v>197.26520094726561</v>
      </c>
      <c r="EE302" s="76">
        <f>+ED305</f>
        <v>174.42500000000001</v>
      </c>
      <c r="EF302" s="76">
        <f>+EE305</f>
        <v>170</v>
      </c>
      <c r="EG302" s="76">
        <f>+EF305</f>
        <v>167</v>
      </c>
      <c r="EH302" s="76">
        <f>+EG305</f>
        <v>163</v>
      </c>
      <c r="EI302" s="85">
        <f>+EE302</f>
        <v>174.42500000000001</v>
      </c>
      <c r="EJ302" s="76">
        <f>+EI305</f>
        <v>156</v>
      </c>
      <c r="EK302" s="76">
        <f>+EJ305</f>
        <v>153</v>
      </c>
      <c r="EL302" s="76">
        <f>+EK305</f>
        <v>148</v>
      </c>
      <c r="EM302" s="76">
        <f>+EL305</f>
        <v>143</v>
      </c>
      <c r="EN302" s="85">
        <f>+EJ302</f>
        <v>156</v>
      </c>
      <c r="EO302" s="76">
        <f>+EN305</f>
        <v>136</v>
      </c>
      <c r="EP302" s="76">
        <f>+EO305</f>
        <v>130</v>
      </c>
      <c r="EQ302" s="76">
        <f>+EP305</f>
        <v>126</v>
      </c>
      <c r="ER302" s="76">
        <f>+EQ305</f>
        <v>120</v>
      </c>
      <c r="ES302" s="85">
        <f>+EO302</f>
        <v>136</v>
      </c>
      <c r="ET302" s="76">
        <f t="shared" ref="ET302:EW302" si="1483">+ES305</f>
        <v>114</v>
      </c>
      <c r="EU302" s="76">
        <f t="shared" si="1483"/>
        <v>107.57040000000001</v>
      </c>
      <c r="EV302" s="76">
        <f t="shared" si="1483"/>
        <v>104.36615418097026</v>
      </c>
      <c r="EW302" s="76">
        <f t="shared" si="1483"/>
        <v>99.409489788693236</v>
      </c>
      <c r="EX302" s="85">
        <f>+ET302</f>
        <v>114</v>
      </c>
      <c r="EY302" s="76">
        <f t="shared" ref="EY302" si="1484">+EX305</f>
        <v>94.447209736292692</v>
      </c>
      <c r="EZ302" s="76">
        <f t="shared" ref="EZ302" si="1485">+EY305</f>
        <v>89.120387107165783</v>
      </c>
      <c r="FA302" s="76">
        <f t="shared" ref="FA302" si="1486">+EZ305</f>
        <v>86.528183337474275</v>
      </c>
      <c r="FB302" s="76">
        <f t="shared" ref="FB302" si="1487">+FA305</f>
        <v>82.42535924796843</v>
      </c>
      <c r="FC302" s="85">
        <f>+EY302</f>
        <v>94.447209736292692</v>
      </c>
      <c r="FD302" s="76">
        <f t="shared" ref="FD302" si="1488">+FC305</f>
        <v>78.314104013042538</v>
      </c>
      <c r="FE302" s="76">
        <f t="shared" ref="FE302" si="1489">+FD305</f>
        <v>73.897188546706943</v>
      </c>
      <c r="FF302" s="76">
        <f t="shared" ref="FF302" si="1490">+FE305</f>
        <v>71.753618871389421</v>
      </c>
      <c r="FG302" s="76">
        <f t="shared" ref="FG302" si="1491">+FF305</f>
        <v>68.352464226432616</v>
      </c>
      <c r="FH302" s="85">
        <f>+FD302</f>
        <v>78.314104013042538</v>
      </c>
      <c r="FI302" s="76">
        <f t="shared" ref="FI302:FM302" si="1492">+FH305</f>
        <v>64.948306937830907</v>
      </c>
      <c r="FJ302" s="76">
        <f t="shared" si="1492"/>
        <v>53.212981649418197</v>
      </c>
      <c r="FK302" s="76">
        <f t="shared" si="1492"/>
        <v>43.942258674585887</v>
      </c>
      <c r="FL302" s="76">
        <f t="shared" si="1492"/>
        <v>36.619145585310058</v>
      </c>
      <c r="FM302" s="76">
        <f t="shared" si="1492"/>
        <v>30.835080413981732</v>
      </c>
    </row>
    <row r="303" spans="1:171" x14ac:dyDescent="0.3">
      <c r="A303" s="67" t="s">
        <v>351</v>
      </c>
      <c r="DU303" s="76">
        <f>+DU305-DU304-DU302</f>
        <v>7.9703519251856676</v>
      </c>
      <c r="DV303" s="76">
        <f>+DV305-DV304-DV302</f>
        <v>7.6572926042216807</v>
      </c>
      <c r="DW303" s="76">
        <f>+DW305-DW304-DW302</f>
        <v>8.7392633679834262</v>
      </c>
      <c r="DX303" s="76">
        <f>+DX305-DX304-DX302</f>
        <v>7.7670405620840199</v>
      </c>
      <c r="DY303" s="85">
        <f>+SUM(DU303:DX303)</f>
        <v>32.133948459474794</v>
      </c>
      <c r="DZ303" s="76">
        <f>+DZ305-DZ304-DZ302</f>
        <v>6.3024055584921825</v>
      </c>
      <c r="EA303" s="76">
        <f>+EA305-EA304-EA302</f>
        <v>5.4076789652343678</v>
      </c>
      <c r="EB303" s="76">
        <f>+EB305-EB304-EB302</f>
        <v>4.8324613015624891</v>
      </c>
      <c r="EC303" s="76">
        <f>+EC305-EC304-EC302</f>
        <v>5.1119826250000244</v>
      </c>
      <c r="ED303" s="85">
        <f>+SUM(DZ303:EC303)</f>
        <v>21.654528450289064</v>
      </c>
      <c r="EE303" s="76">
        <f>+EE305-EE304-EE302</f>
        <v>4.5230024999999898</v>
      </c>
      <c r="EF303" s="76">
        <f>+EF305-EF304-EF302</f>
        <v>5.414999999999992</v>
      </c>
      <c r="EG303" s="76">
        <f>+EG305-EG304-EG302</f>
        <v>3.9659000000000049</v>
      </c>
      <c r="EH303" s="76">
        <f>+EH305-EH304-EH302</f>
        <v>0.87289999999998713</v>
      </c>
      <c r="EI303" s="85">
        <f>+SUM(EE303:EH303)</f>
        <v>14.776802499999974</v>
      </c>
      <c r="EJ303" s="76">
        <f>+EJ305-EJ304-EJ302</f>
        <v>4.1604000000000099</v>
      </c>
      <c r="EK303" s="76">
        <f>+EK305-EK304-EK302</f>
        <v>2.1144999999999925</v>
      </c>
      <c r="EL303" s="76">
        <f>+EL305-EL304-EL302</f>
        <v>2.7255999999999858</v>
      </c>
      <c r="EM303" s="76">
        <f>+EM305-EM304-EM302</f>
        <v>0.76490000000001146</v>
      </c>
      <c r="EN303" s="85">
        <f>+SUM(EJ303:EM303)</f>
        <v>9.7653999999999996</v>
      </c>
      <c r="EO303" s="76">
        <f>+EO305-EO304-EO302</f>
        <v>1.6704000000000008</v>
      </c>
      <c r="EP303" s="76">
        <f>+EP305-EP304-EP302</f>
        <v>2.5910000000000082</v>
      </c>
      <c r="EQ303" s="76">
        <f>+EQ305-EQ304-EQ302</f>
        <v>0.35040000000000759</v>
      </c>
      <c r="ER303" s="76">
        <f>+ER305-ER304-ER302</f>
        <v>0.22799999999999443</v>
      </c>
      <c r="ES303" s="85">
        <f>+SUM(EO303:ER303)</f>
        <v>4.839800000000011</v>
      </c>
      <c r="ET303" s="76">
        <f t="shared" ref="ET303:EW303" si="1493">+ET308*ET107</f>
        <v>0</v>
      </c>
      <c r="EU303" s="76">
        <f t="shared" si="1493"/>
        <v>2.2495734609702596</v>
      </c>
      <c r="EV303" s="76">
        <f t="shared" si="1493"/>
        <v>0.30338977844388409</v>
      </c>
      <c r="EW303" s="76">
        <f t="shared" si="1493"/>
        <v>0.1970724676326325</v>
      </c>
      <c r="EX303" s="85">
        <f>+SUM(ET303:EW303)</f>
        <v>2.7500357070467762</v>
      </c>
      <c r="EY303" s="76">
        <f t="shared" ref="EY303:FB303" si="1494">+EY308*EY107</f>
        <v>0</v>
      </c>
      <c r="EZ303" s="76">
        <f t="shared" si="1494"/>
        <v>1.9261998566418004</v>
      </c>
      <c r="FA303" s="76">
        <f t="shared" si="1494"/>
        <v>0.25819635070285379</v>
      </c>
      <c r="FB303" s="76">
        <f t="shared" si="1494"/>
        <v>0.16662091004367394</v>
      </c>
      <c r="FC303" s="85">
        <f>+SUM(EY303:FB303)</f>
        <v>2.3510171173883281</v>
      </c>
      <c r="FD303" s="76">
        <f t="shared" ref="FD303:FM303" si="1495">+FD308*FD107</f>
        <v>0</v>
      </c>
      <c r="FE303" s="76">
        <f t="shared" si="1495"/>
        <v>1.6030177840005164</v>
      </c>
      <c r="FF303" s="76">
        <f t="shared" si="1495"/>
        <v>0.21522774616121571</v>
      </c>
      <c r="FG303" s="76">
        <f t="shared" si="1495"/>
        <v>0.14333560475014587</v>
      </c>
      <c r="FH303" s="85">
        <f>+SUM(FD303:FG303)</f>
        <v>1.9615811349118781</v>
      </c>
      <c r="FI303" s="76">
        <f t="shared" si="1495"/>
        <v>1.8866807562702388</v>
      </c>
      <c r="FJ303" s="76">
        <f t="shared" si="1495"/>
        <v>1.8899614503649029</v>
      </c>
      <c r="FK303" s="76">
        <f t="shared" si="1495"/>
        <v>1.8931658486062373</v>
      </c>
      <c r="FL303" s="76">
        <f t="shared" si="1495"/>
        <v>1.896292424316149</v>
      </c>
      <c r="FM303" s="76">
        <f t="shared" si="1495"/>
        <v>1.8993396302037266</v>
      </c>
    </row>
    <row r="304" spans="1:171" x14ac:dyDescent="0.3">
      <c r="A304" s="67" t="s">
        <v>337</v>
      </c>
      <c r="DU304" s="76">
        <f>+DU309*DU302*-3</f>
        <v>-14.97035192518566</v>
      </c>
      <c r="DV304" s="76">
        <f>+DV309*DV302*-3</f>
        <v>-14.175677437959312</v>
      </c>
      <c r="DW304" s="76">
        <f>+DW309*DW302*-3</f>
        <v>-14.245299094893817</v>
      </c>
      <c r="DX304" s="76">
        <f>+DX309*DX302*-3</f>
        <v>-13.260410538402393</v>
      </c>
      <c r="DY304" s="85">
        <f>+SUM(DU304:DX304)</f>
        <v>-56.651738996441182</v>
      </c>
      <c r="DZ304" s="76">
        <f>+DZ309*DZ302*-3</f>
        <v>-12.782785021382812</v>
      </c>
      <c r="EA304" s="76">
        <f>+EA309*EA302*-3</f>
        <v>-10.874734824609375</v>
      </c>
      <c r="EB304" s="76">
        <f>+EB309*EB302*-3</f>
        <v>-11.285851926562499</v>
      </c>
      <c r="EC304" s="76">
        <f>+EC309*EC302*-3</f>
        <v>-9.5513576249999996</v>
      </c>
      <c r="ED304" s="85">
        <f>+SUM(DZ304:EC304)</f>
        <v>-44.494729397554686</v>
      </c>
      <c r="EE304" s="76">
        <f>+EE309*EE302*-3</f>
        <v>-8.9480025000000012</v>
      </c>
      <c r="EF304" s="76">
        <f>+EF309*EF302*-3</f>
        <v>-8.4150000000000009</v>
      </c>
      <c r="EG304" s="76">
        <f>+EG309*EG302*-3</f>
        <v>-7.9658999999999995</v>
      </c>
      <c r="EH304" s="76">
        <f>+EH309*EH302*-3</f>
        <v>-7.8728999999999996</v>
      </c>
      <c r="EI304" s="85">
        <f>+SUM(EE304:EH304)</f>
        <v>-33.201802499999999</v>
      </c>
      <c r="EJ304" s="76">
        <f>+EJ309*EJ302*-3</f>
        <v>-7.1604000000000001</v>
      </c>
      <c r="EK304" s="76">
        <f>+EK309*EK302*-3</f>
        <v>-7.1145000000000005</v>
      </c>
      <c r="EL304" s="76">
        <f>+EL309*EL302*-3</f>
        <v>-7.7255999999999991</v>
      </c>
      <c r="EM304" s="76">
        <f>+EM309*EM302*-3</f>
        <v>-7.7649000000000008</v>
      </c>
      <c r="EN304" s="85">
        <f>+SUM(EJ304:EM304)</f>
        <v>-29.7654</v>
      </c>
      <c r="EO304" s="76">
        <f>+EO309*EO302*-3</f>
        <v>-7.6703999999999999</v>
      </c>
      <c r="EP304" s="76">
        <f>+EP309*EP302*-3</f>
        <v>-6.5909999999999993</v>
      </c>
      <c r="EQ304" s="76">
        <f>+EQ309*EQ302*-3</f>
        <v>-6.3504000000000005</v>
      </c>
      <c r="ER304" s="76">
        <f>+ER309*ER302*-3</f>
        <v>-6.2279999999999998</v>
      </c>
      <c r="ES304" s="85">
        <f>+SUM(EO304:ER304)</f>
        <v>-26.839799999999997</v>
      </c>
      <c r="ET304" s="76">
        <f t="shared" ref="ET304:EW304" si="1496">+ET309*ET302*-3</f>
        <v>-6.4296000000000006</v>
      </c>
      <c r="EU304" s="76">
        <f t="shared" si="1496"/>
        <v>-5.4538192800000003</v>
      </c>
      <c r="EV304" s="76">
        <f t="shared" si="1496"/>
        <v>-5.2600541707209008</v>
      </c>
      <c r="EW304" s="76">
        <f t="shared" si="1496"/>
        <v>-5.1593525200331785</v>
      </c>
      <c r="EX304" s="85">
        <f>+SUM(ET304:EW304)</f>
        <v>-22.302825970754082</v>
      </c>
      <c r="EY304" s="76">
        <f t="shared" ref="EY304:FB304" si="1497">+EY309*EY302*-3</f>
        <v>-5.3268226291269078</v>
      </c>
      <c r="EZ304" s="76">
        <f t="shared" si="1497"/>
        <v>-4.5184036263333045</v>
      </c>
      <c r="FA304" s="76">
        <f t="shared" si="1497"/>
        <v>-4.3610204402087032</v>
      </c>
      <c r="FB304" s="76">
        <f t="shared" si="1497"/>
        <v>-4.2778761449695617</v>
      </c>
      <c r="FC304" s="85">
        <f>+SUM(EY304:FB304)</f>
        <v>-18.484122840638477</v>
      </c>
      <c r="FD304" s="76">
        <f t="shared" ref="FD304:FG304" si="1498">+FD309*FD302*-3</f>
        <v>-4.4169154663355989</v>
      </c>
      <c r="FE304" s="76">
        <f t="shared" si="1498"/>
        <v>-3.7465874593180413</v>
      </c>
      <c r="FF304" s="76">
        <f t="shared" si="1498"/>
        <v>-3.6163823911180266</v>
      </c>
      <c r="FG304" s="76">
        <f t="shared" si="1498"/>
        <v>-3.5474928933518521</v>
      </c>
      <c r="FH304" s="85">
        <f>+SUM(FD304:FG304)</f>
        <v>-15.32737821012352</v>
      </c>
      <c r="FI304" s="76">
        <f t="shared" ref="FI304:FM304" si="1499">+FI309*FI302*-12</f>
        <v>-13.622006044682946</v>
      </c>
      <c r="FJ304" s="76">
        <f t="shared" si="1499"/>
        <v>-11.160684425197211</v>
      </c>
      <c r="FK304" s="76">
        <f t="shared" si="1499"/>
        <v>-9.2162789378820644</v>
      </c>
      <c r="FL304" s="76">
        <f t="shared" si="1499"/>
        <v>-7.6803575956444758</v>
      </c>
      <c r="FM304" s="76">
        <f t="shared" si="1499"/>
        <v>-6.4672301956940252</v>
      </c>
    </row>
    <row r="305" spans="1:181" x14ac:dyDescent="0.3">
      <c r="A305" s="64" t="s">
        <v>412</v>
      </c>
      <c r="DU305" s="1080">
        <f>Inputs!DU386</f>
        <v>214.78299148423201</v>
      </c>
      <c r="DV305" s="1080">
        <f>Inputs!DV386</f>
        <v>208.26460665049439</v>
      </c>
      <c r="DW305" s="1080">
        <f>Inputs!DW386</f>
        <v>202.75857092358399</v>
      </c>
      <c r="DX305" s="1080">
        <f>Inputs!DX386</f>
        <v>197.26520094726561</v>
      </c>
      <c r="DY305" s="803">
        <f>+DX305</f>
        <v>197.26520094726561</v>
      </c>
      <c r="DZ305" s="1080">
        <f>Inputs!DZ386</f>
        <v>190.78482148437499</v>
      </c>
      <c r="EA305" s="1080">
        <f>Inputs!EA386</f>
        <v>185.31776562499999</v>
      </c>
      <c r="EB305" s="1080">
        <f>Inputs!EB386</f>
        <v>178.864375</v>
      </c>
      <c r="EC305" s="1080">
        <f>Inputs!EC386</f>
        <v>174.42500000000001</v>
      </c>
      <c r="ED305" s="803">
        <f>+EC305</f>
        <v>174.42500000000001</v>
      </c>
      <c r="EE305" s="1080">
        <f>Inputs!EE386</f>
        <v>170</v>
      </c>
      <c r="EF305" s="1080">
        <f>Inputs!EF386</f>
        <v>167</v>
      </c>
      <c r="EG305" s="1080">
        <f>Inputs!EG386</f>
        <v>163</v>
      </c>
      <c r="EH305" s="1080">
        <f>Inputs!EH386</f>
        <v>156</v>
      </c>
      <c r="EI305" s="803">
        <f>+EH305</f>
        <v>156</v>
      </c>
      <c r="EJ305" s="1080">
        <f>Inputs!EJ386</f>
        <v>153</v>
      </c>
      <c r="EK305" s="1080">
        <f>Inputs!EK386</f>
        <v>148</v>
      </c>
      <c r="EL305" s="1080">
        <f>Inputs!EL386</f>
        <v>143</v>
      </c>
      <c r="EM305" s="1080">
        <f>Inputs!EM386</f>
        <v>136</v>
      </c>
      <c r="EN305" s="803">
        <f>+EM305</f>
        <v>136</v>
      </c>
      <c r="EO305" s="1080">
        <f>Inputs!EO386</f>
        <v>130</v>
      </c>
      <c r="EP305" s="1080">
        <f>Inputs!EP386</f>
        <v>126</v>
      </c>
      <c r="EQ305" s="1080">
        <f>Inputs!EQ386</f>
        <v>120</v>
      </c>
      <c r="ER305" s="1080">
        <f>Inputs!ER386</f>
        <v>114</v>
      </c>
      <c r="ES305" s="803">
        <f>+ER305</f>
        <v>114</v>
      </c>
      <c r="ET305" s="804">
        <f t="shared" ref="ET305:EW305" si="1500">+SUM(ET302:ET304)</f>
        <v>107.57040000000001</v>
      </c>
      <c r="EU305" s="804">
        <f t="shared" si="1500"/>
        <v>104.36615418097026</v>
      </c>
      <c r="EV305" s="804">
        <f t="shared" si="1500"/>
        <v>99.409489788693236</v>
      </c>
      <c r="EW305" s="804">
        <f t="shared" si="1500"/>
        <v>94.447209736292692</v>
      </c>
      <c r="EX305" s="803">
        <f>+EW305</f>
        <v>94.447209736292692</v>
      </c>
      <c r="EY305" s="804">
        <f t="shared" ref="EY305:FB305" si="1501">+SUM(EY302:EY304)</f>
        <v>89.120387107165783</v>
      </c>
      <c r="EZ305" s="804">
        <f t="shared" si="1501"/>
        <v>86.528183337474275</v>
      </c>
      <c r="FA305" s="804">
        <f t="shared" si="1501"/>
        <v>82.42535924796843</v>
      </c>
      <c r="FB305" s="804">
        <f t="shared" si="1501"/>
        <v>78.314104013042538</v>
      </c>
      <c r="FC305" s="803">
        <f>+FB305</f>
        <v>78.314104013042538</v>
      </c>
      <c r="FD305" s="804">
        <f t="shared" ref="FD305:FG305" si="1502">+SUM(FD302:FD304)</f>
        <v>73.897188546706943</v>
      </c>
      <c r="FE305" s="804">
        <f t="shared" si="1502"/>
        <v>71.753618871389421</v>
      </c>
      <c r="FF305" s="804">
        <f t="shared" si="1502"/>
        <v>68.352464226432616</v>
      </c>
      <c r="FG305" s="804">
        <f t="shared" si="1502"/>
        <v>64.948306937830907</v>
      </c>
      <c r="FH305" s="803">
        <f>+FG305</f>
        <v>64.948306937830907</v>
      </c>
      <c r="FI305" s="804">
        <f t="shared" ref="FI305:FM305" si="1503">+SUM(FI302:FI304)</f>
        <v>53.212981649418197</v>
      </c>
      <c r="FJ305" s="804">
        <f t="shared" si="1503"/>
        <v>43.942258674585887</v>
      </c>
      <c r="FK305" s="804">
        <f t="shared" si="1503"/>
        <v>36.619145585310058</v>
      </c>
      <c r="FL305" s="804">
        <f t="shared" si="1503"/>
        <v>30.835080413981732</v>
      </c>
      <c r="FM305" s="804">
        <f t="shared" si="1503"/>
        <v>26.26718984849143</v>
      </c>
    </row>
    <row r="306" spans="1:181" x14ac:dyDescent="0.3">
      <c r="A306" s="69" t="s">
        <v>339</v>
      </c>
      <c r="DU306" s="79"/>
      <c r="DZ306" s="83">
        <f t="shared" ref="DZ306:ER306" si="1504">+DZ305/DU305-1</f>
        <v>-0.11173217131403446</v>
      </c>
      <c r="EA306" s="83">
        <f t="shared" si="1504"/>
        <v>-0.11018118438147939</v>
      </c>
      <c r="EB306" s="83">
        <f t="shared" si="1504"/>
        <v>-0.11784555303750532</v>
      </c>
      <c r="EC306" s="83">
        <f t="shared" si="1504"/>
        <v>-0.11578423785638403</v>
      </c>
      <c r="ED306" s="91">
        <f t="shared" si="1504"/>
        <v>-0.11578423785638403</v>
      </c>
      <c r="EE306" s="83">
        <f t="shared" si="1504"/>
        <v>-0.10894378977667907</v>
      </c>
      <c r="EF306" s="83">
        <f t="shared" si="1504"/>
        <v>-9.8845167721625438E-2</v>
      </c>
      <c r="EG306" s="83">
        <f t="shared" si="1504"/>
        <v>-8.8694995859292858E-2</v>
      </c>
      <c r="EH306" s="83">
        <f t="shared" si="1504"/>
        <v>-0.1056327934642397</v>
      </c>
      <c r="EI306" s="91">
        <f t="shared" si="1504"/>
        <v>-0.1056327934642397</v>
      </c>
      <c r="EJ306" s="83">
        <f t="shared" si="1504"/>
        <v>-9.9999999999999978E-2</v>
      </c>
      <c r="EK306" s="83">
        <f t="shared" si="1504"/>
        <v>-0.11377245508982037</v>
      </c>
      <c r="EL306" s="83">
        <f t="shared" si="1504"/>
        <v>-0.12269938650306744</v>
      </c>
      <c r="EM306" s="83">
        <f t="shared" si="1504"/>
        <v>-0.12820512820512819</v>
      </c>
      <c r="EN306" s="91">
        <f>+EN305/EI305-1</f>
        <v>-0.12820512820512819</v>
      </c>
      <c r="EO306" s="83">
        <f t="shared" si="1504"/>
        <v>-0.15032679738562094</v>
      </c>
      <c r="EP306" s="83">
        <f t="shared" si="1504"/>
        <v>-0.14864864864864868</v>
      </c>
      <c r="EQ306" s="83">
        <f t="shared" si="1504"/>
        <v>-0.16083916083916083</v>
      </c>
      <c r="ER306" s="83">
        <f t="shared" si="1504"/>
        <v>-0.16176470588235292</v>
      </c>
      <c r="ES306" s="91">
        <f>+ES305/EN305-1</f>
        <v>-0.16176470588235292</v>
      </c>
      <c r="ET306" s="83">
        <f t="shared" ref="ET306:EW306" si="1505">+ET305/EO305-1</f>
        <v>-0.17253538461538453</v>
      </c>
      <c r="EU306" s="83">
        <f t="shared" si="1505"/>
        <v>-0.1716971890399186</v>
      </c>
      <c r="EV306" s="83">
        <f t="shared" si="1505"/>
        <v>-0.17158758509422301</v>
      </c>
      <c r="EW306" s="83">
        <f t="shared" si="1505"/>
        <v>-0.17151570406760797</v>
      </c>
      <c r="EX306" s="91">
        <f>+EX305/ES305-1</f>
        <v>-0.17151570406760797</v>
      </c>
      <c r="EY306" s="83">
        <f t="shared" ref="EY306" si="1506">+EY305/ET305-1</f>
        <v>-0.17151570406760808</v>
      </c>
      <c r="EZ306" s="83">
        <f t="shared" ref="EZ306" si="1507">+EZ305/EU305-1</f>
        <v>-0.17091719996278731</v>
      </c>
      <c r="FA306" s="83">
        <f t="shared" ref="FA306" si="1508">+FA305/EV305-1</f>
        <v>-0.17085019324439354</v>
      </c>
      <c r="FB306" s="83">
        <f t="shared" ref="FB306" si="1509">+FB305/EW305-1</f>
        <v>-0.17081611800174523</v>
      </c>
      <c r="FC306" s="91">
        <f>+FC305/EX305-1</f>
        <v>-0.17081611800174523</v>
      </c>
      <c r="FD306" s="83">
        <f t="shared" ref="FD306" si="1510">+FD305/EY305-1</f>
        <v>-0.17081611800174523</v>
      </c>
      <c r="FE306" s="83">
        <f t="shared" ref="FE306" si="1511">+FE305/EZ305-1</f>
        <v>-0.17074858036093976</v>
      </c>
      <c r="FF306" s="83">
        <f t="shared" ref="FF306" si="1512">+FF305/FA305-1</f>
        <v>-0.17073501589721829</v>
      </c>
      <c r="FG306" s="83">
        <f t="shared" ref="FG306" si="1513">+FG305/FB305-1</f>
        <v>-0.17066909267053187</v>
      </c>
      <c r="FH306" s="91">
        <f>+FH305/FC305-1</f>
        <v>-0.17066909267053187</v>
      </c>
      <c r="FI306" s="83">
        <f t="shared" ref="FI306:FM306" si="1514">+FI305/FH305-1</f>
        <v>-0.18068716247901373</v>
      </c>
      <c r="FJ306" s="83">
        <f t="shared" si="1514"/>
        <v>-0.17421919778730666</v>
      </c>
      <c r="FK306" s="83">
        <f t="shared" si="1514"/>
        <v>-0.16665308771465515</v>
      </c>
      <c r="FL306" s="83">
        <f t="shared" si="1514"/>
        <v>-0.15795194232081233</v>
      </c>
      <c r="FM306" s="83">
        <f t="shared" si="1514"/>
        <v>-0.14813940823773741</v>
      </c>
    </row>
    <row r="307" spans="1:181" x14ac:dyDescent="0.3">
      <c r="A307" s="65" t="s">
        <v>340</v>
      </c>
      <c r="DU307" s="80">
        <f>Inputs!DU391</f>
        <v>-7</v>
      </c>
      <c r="DV307" s="77">
        <f>+DV305-DU305</f>
        <v>-6.5183848337376276</v>
      </c>
      <c r="DW307" s="77">
        <f>+DW305-DV305</f>
        <v>-5.5060357269103974</v>
      </c>
      <c r="DX307" s="77">
        <f>+DX305-DW305</f>
        <v>-5.4933699763183768</v>
      </c>
      <c r="DY307" s="86">
        <f>+SUM(DU307:DX307)</f>
        <v>-24.517790536966402</v>
      </c>
      <c r="DZ307" s="77">
        <f>+DZ305-DY305</f>
        <v>-6.4803794628906246</v>
      </c>
      <c r="EA307" s="77">
        <f>+EA305-DZ305</f>
        <v>-5.4670558593749945</v>
      </c>
      <c r="EB307" s="77">
        <f>+EB305-EA305</f>
        <v>-6.4533906249999973</v>
      </c>
      <c r="EC307" s="77">
        <f>+EC305-EB305</f>
        <v>-4.4393749999999841</v>
      </c>
      <c r="ED307" s="86">
        <f>+SUM(DZ307:EC307)</f>
        <v>-22.8402009472656</v>
      </c>
      <c r="EE307" s="77">
        <f>+EE305-ED305</f>
        <v>-4.4250000000000114</v>
      </c>
      <c r="EF307" s="77">
        <f>+EF305-EE305</f>
        <v>-3</v>
      </c>
      <c r="EG307" s="77">
        <f>+EG305-EF305</f>
        <v>-4</v>
      </c>
      <c r="EH307" s="77">
        <f>+EH305-EG305</f>
        <v>-7</v>
      </c>
      <c r="EI307" s="86">
        <f>+SUM(EE307:EH307)</f>
        <v>-18.425000000000011</v>
      </c>
      <c r="EJ307" s="77">
        <f>+EJ305-EI305</f>
        <v>-3</v>
      </c>
      <c r="EK307" s="77">
        <f>+EK305-EJ305</f>
        <v>-5</v>
      </c>
      <c r="EL307" s="77">
        <f>+EL305-EK305</f>
        <v>-5</v>
      </c>
      <c r="EM307" s="77">
        <f>+EM305-EL305</f>
        <v>-7</v>
      </c>
      <c r="EN307" s="86">
        <f>+SUM(EJ307:EM307)</f>
        <v>-20</v>
      </c>
      <c r="EO307" s="77">
        <f>+EO305-EN305</f>
        <v>-6</v>
      </c>
      <c r="EP307" s="77">
        <f>+EP305-EO305</f>
        <v>-4</v>
      </c>
      <c r="EQ307" s="77">
        <f>+EQ305-EP305</f>
        <v>-6</v>
      </c>
      <c r="ER307" s="77">
        <f>+ER305-EQ305</f>
        <v>-6</v>
      </c>
      <c r="ES307" s="86">
        <f>+SUM(EO307:ER307)</f>
        <v>-22</v>
      </c>
      <c r="ET307" s="77">
        <f t="shared" ref="ET307:EW307" si="1515">+ET305-ES305</f>
        <v>-6.4295999999999935</v>
      </c>
      <c r="EU307" s="77">
        <f t="shared" si="1515"/>
        <v>-3.2042458190297509</v>
      </c>
      <c r="EV307" s="77">
        <f t="shared" si="1515"/>
        <v>-4.9566643922770197</v>
      </c>
      <c r="EW307" s="77">
        <f t="shared" si="1515"/>
        <v>-4.9622800524005442</v>
      </c>
      <c r="EX307" s="86">
        <f>+SUM(ET307:EW307)</f>
        <v>-19.552790263707308</v>
      </c>
      <c r="EY307" s="77">
        <f t="shared" ref="EY307" si="1516">+EY305-EX305</f>
        <v>-5.3268226291269087</v>
      </c>
      <c r="EZ307" s="77">
        <f t="shared" ref="EZ307" si="1517">+EZ305-EY305</f>
        <v>-2.5922037696915083</v>
      </c>
      <c r="FA307" s="77">
        <f t="shared" ref="FA307" si="1518">+FA305-EZ305</f>
        <v>-4.1028240895058445</v>
      </c>
      <c r="FB307" s="77">
        <f t="shared" ref="FB307" si="1519">+FB305-FA305</f>
        <v>-4.111255234925892</v>
      </c>
      <c r="FC307" s="86">
        <f>+SUM(EY307:FB307)</f>
        <v>-16.133105723250154</v>
      </c>
      <c r="FD307" s="77">
        <f t="shared" ref="FD307" si="1520">+FD305-FC305</f>
        <v>-4.4169154663355954</v>
      </c>
      <c r="FE307" s="77">
        <f t="shared" ref="FE307" si="1521">+FE305-FD305</f>
        <v>-2.1435696753175222</v>
      </c>
      <c r="FF307" s="77">
        <f t="shared" ref="FF307" si="1522">+FF305-FE305</f>
        <v>-3.4011546449568044</v>
      </c>
      <c r="FG307" s="77">
        <f t="shared" ref="FG307" si="1523">+FG305-FF305</f>
        <v>-3.4041572886017093</v>
      </c>
      <c r="FH307" s="86">
        <f>+SUM(FD307:FG307)</f>
        <v>-13.365797075211631</v>
      </c>
      <c r="FI307" s="77">
        <f t="shared" ref="FI307:FM307" si="1524">+FI305-FH305</f>
        <v>-11.73532528841271</v>
      </c>
      <c r="FJ307" s="77">
        <f t="shared" si="1524"/>
        <v>-9.2707229748323101</v>
      </c>
      <c r="FK307" s="77">
        <f t="shared" si="1524"/>
        <v>-7.3231130892758287</v>
      </c>
      <c r="FL307" s="77">
        <f t="shared" si="1524"/>
        <v>-5.7840651713283258</v>
      </c>
      <c r="FM307" s="77">
        <f t="shared" si="1524"/>
        <v>-4.5678905654903019</v>
      </c>
    </row>
    <row r="308" spans="1:181" x14ac:dyDescent="0.3">
      <c r="A308" s="65" t="s">
        <v>341</v>
      </c>
      <c r="DU308" s="96"/>
      <c r="DV308" s="1198">
        <f t="shared" ref="DV308:ER308" si="1525">+DV303/DV107</f>
        <v>6.3933310547062546E-4</v>
      </c>
      <c r="DW308" s="1198">
        <f t="shared" si="1525"/>
        <v>7.2967048242326342E-4</v>
      </c>
      <c r="DX308" s="1198">
        <f t="shared" si="1525"/>
        <v>6.4849633147566336E-4</v>
      </c>
      <c r="DY308" s="93">
        <f t="shared" si="1525"/>
        <v>2.6829714001398342E-3</v>
      </c>
      <c r="DZ308" s="1198">
        <f t="shared" si="1525"/>
        <v>5.2640681215219737E-4</v>
      </c>
      <c r="EA308" s="1198">
        <f t="shared" si="1525"/>
        <v>4.5199590147395252E-4</v>
      </c>
      <c r="EB308" s="1198">
        <f t="shared" si="1525"/>
        <v>4.0420403174793937E-4</v>
      </c>
      <c r="EC308" s="1198">
        <f t="shared" si="1525"/>
        <v>4.288216277996833E-4</v>
      </c>
      <c r="ED308" s="93">
        <f t="shared" si="1525"/>
        <v>1.8116017359537417E-3</v>
      </c>
      <c r="EE308" s="1198">
        <f t="shared" si="1525"/>
        <v>3.8204261339640086E-4</v>
      </c>
      <c r="EF308" s="1198">
        <f t="shared" si="1525"/>
        <v>4.6051792320448971E-4</v>
      </c>
      <c r="EG308" s="1198">
        <f t="shared" si="1525"/>
        <v>3.4078625134264276E-4</v>
      </c>
      <c r="EH308" s="1198">
        <f t="shared" si="1525"/>
        <v>7.6242466590967516E-5</v>
      </c>
      <c r="EI308" s="93">
        <f t="shared" si="1525"/>
        <v>1.2661128009596413E-3</v>
      </c>
      <c r="EJ308" s="1198">
        <f t="shared" si="1525"/>
        <v>3.6989553234052097E-4</v>
      </c>
      <c r="EK308" s="1198">
        <f t="shared" si="1525"/>
        <v>1.9220106349134141E-4</v>
      </c>
      <c r="EL308" s="1198">
        <f t="shared" si="1525"/>
        <v>2.5507463384960794E-4</v>
      </c>
      <c r="EM308" s="1198">
        <f t="shared" si="1525"/>
        <v>7.3764405226868358E-5</v>
      </c>
      <c r="EN308" s="93">
        <f t="shared" si="1525"/>
        <v>9.0203214483650465E-4</v>
      </c>
      <c r="EO308" s="1198">
        <f t="shared" si="1525"/>
        <v>1.6605199065559926E-4</v>
      </c>
      <c r="EP308" s="1198">
        <f t="shared" si="1525"/>
        <v>2.6623510069872668E-4</v>
      </c>
      <c r="EQ308" s="1198">
        <f t="shared" si="1525"/>
        <v>3.7244897959184478E-5</v>
      </c>
      <c r="ER308" s="1198">
        <f t="shared" si="1525"/>
        <v>2.512258277780777E-5</v>
      </c>
      <c r="ES308" s="93">
        <f>+ES303/ES107</f>
        <v>5.0579229261920428E-4</v>
      </c>
      <c r="ET308" s="82">
        <v>0</v>
      </c>
      <c r="EU308" s="82">
        <f t="shared" ref="EU308:EW309" si="1526">EP308</f>
        <v>2.6623510069872668E-4</v>
      </c>
      <c r="EV308" s="82">
        <f t="shared" si="1526"/>
        <v>3.7244897959184478E-5</v>
      </c>
      <c r="EW308" s="82">
        <f t="shared" si="1526"/>
        <v>2.512258277780777E-5</v>
      </c>
      <c r="EX308" s="93">
        <f>+EX303/EX107</f>
        <v>3.3138829417176849E-4</v>
      </c>
      <c r="EY308" s="82">
        <f t="shared" ref="EY308:FB308" si="1527">ET308</f>
        <v>0</v>
      </c>
      <c r="EZ308" s="82">
        <f t="shared" si="1527"/>
        <v>2.6623510069872668E-4</v>
      </c>
      <c r="FA308" s="82">
        <f t="shared" si="1527"/>
        <v>3.7244897959184478E-5</v>
      </c>
      <c r="FB308" s="82">
        <f t="shared" si="1527"/>
        <v>2.512258277780777E-5</v>
      </c>
      <c r="FC308" s="93">
        <f>+FC303/FC107</f>
        <v>3.3182704201718658E-4</v>
      </c>
      <c r="FD308" s="82">
        <f t="shared" ref="FD308:FG308" si="1528">EY308</f>
        <v>0</v>
      </c>
      <c r="FE308" s="82">
        <f t="shared" si="1528"/>
        <v>2.6623510069872668E-4</v>
      </c>
      <c r="FF308" s="82">
        <f t="shared" si="1528"/>
        <v>3.7244897959184478E-5</v>
      </c>
      <c r="FG308" s="82">
        <f t="shared" si="1528"/>
        <v>2.512258277780777E-5</v>
      </c>
      <c r="FH308" s="93">
        <f>+FH303/FH107</f>
        <v>3.2922292534749757E-4</v>
      </c>
      <c r="FI308" s="82">
        <f t="shared" ref="FI308:FM308" si="1529">FH308</f>
        <v>3.2922292534749757E-4</v>
      </c>
      <c r="FJ308" s="82">
        <f t="shared" si="1529"/>
        <v>3.2922292534749757E-4</v>
      </c>
      <c r="FK308" s="82">
        <f t="shared" si="1529"/>
        <v>3.2922292534749757E-4</v>
      </c>
      <c r="FL308" s="82">
        <f t="shared" si="1529"/>
        <v>3.2922292534749757E-4</v>
      </c>
      <c r="FM308" s="82">
        <f t="shared" si="1529"/>
        <v>3.2922292534749757E-4</v>
      </c>
    </row>
    <row r="309" spans="1:181" x14ac:dyDescent="0.3">
      <c r="A309" s="65" t="s">
        <v>342</v>
      </c>
      <c r="DU309" s="1235">
        <f>Inputs!DU421</f>
        <v>2.2499999999999999E-2</v>
      </c>
      <c r="DV309" s="1235">
        <f>Inputs!DV421</f>
        <v>2.1999999999999999E-2</v>
      </c>
      <c r="DW309" s="1235">
        <f>Inputs!DW421</f>
        <v>2.2800000000000001E-2</v>
      </c>
      <c r="DX309" s="1235">
        <f>Inputs!DX421</f>
        <v>2.18E-2</v>
      </c>
      <c r="DY309" s="1236">
        <f>+DY304/AVERAGE(DU302:DX302)/-12</f>
        <v>2.227955934066703E-2</v>
      </c>
      <c r="DZ309" s="1235">
        <f>Inputs!DZ421</f>
        <v>2.1600000000000001E-2</v>
      </c>
      <c r="EA309" s="1235">
        <f>Inputs!EA421</f>
        <v>1.9E-2</v>
      </c>
      <c r="EB309" s="1235">
        <f>Inputs!EB421</f>
        <v>2.0299999999999999E-2</v>
      </c>
      <c r="EC309" s="1235">
        <f>Inputs!EC421</f>
        <v>1.78E-2</v>
      </c>
      <c r="ED309" s="1236">
        <f>+ED304/AVERAGE(DZ302:EC302)/-12</f>
        <v>1.971675394147537E-2</v>
      </c>
      <c r="EE309" s="1235">
        <f>Inputs!EE425</f>
        <v>1.7100000000000001E-2</v>
      </c>
      <c r="EF309" s="1235">
        <f>Inputs!EF425</f>
        <v>1.6500000000000001E-2</v>
      </c>
      <c r="EG309" s="1235">
        <f>Inputs!EG425</f>
        <v>1.5900000000000001E-2</v>
      </c>
      <c r="EH309" s="1235">
        <f>Inputs!EH425</f>
        <v>1.61E-2</v>
      </c>
      <c r="EI309" s="1236">
        <f>+EI304/AVERAGE(EE302:EH302)/-12</f>
        <v>1.6409930681691814E-2</v>
      </c>
      <c r="EJ309" s="1235">
        <f>Inputs!EJ425</f>
        <v>1.5299999999999999E-2</v>
      </c>
      <c r="EK309" s="1235">
        <f>Inputs!EK425</f>
        <v>1.55E-2</v>
      </c>
      <c r="EL309" s="1235">
        <f>Inputs!EL425</f>
        <v>1.7399999999999999E-2</v>
      </c>
      <c r="EM309" s="1235">
        <f>Inputs!EM425</f>
        <v>1.8100000000000002E-2</v>
      </c>
      <c r="EN309" s="1236">
        <f>+EN304/AVERAGE(EJ302:EM302)/-12</f>
        <v>1.6536333333333333E-2</v>
      </c>
      <c r="EO309" s="1235">
        <f>Inputs!EO425</f>
        <v>1.8800000000000001E-2</v>
      </c>
      <c r="EP309" s="1235">
        <f>Inputs!EP425</f>
        <v>1.6899999999999998E-2</v>
      </c>
      <c r="EQ309" s="1235">
        <f>Inputs!EQ425</f>
        <v>1.6799999999999999E-2</v>
      </c>
      <c r="ER309" s="1235">
        <f>Inputs!ER425</f>
        <v>1.7299999999999999E-2</v>
      </c>
      <c r="ES309" s="1236">
        <f>+ES304/AVERAGE(EO302:ER302)/-12</f>
        <v>1.7473828124999997E-2</v>
      </c>
      <c r="ET309" s="1186">
        <f>EO309</f>
        <v>1.8800000000000001E-2</v>
      </c>
      <c r="EU309" s="1186">
        <f t="shared" si="1526"/>
        <v>1.6899999999999998E-2</v>
      </c>
      <c r="EV309" s="1186">
        <f t="shared" si="1526"/>
        <v>1.6799999999999999E-2</v>
      </c>
      <c r="EW309" s="1186">
        <f t="shared" si="1526"/>
        <v>1.7299999999999999E-2</v>
      </c>
      <c r="EX309" s="1236">
        <f>+EX304/AVERAGE(ET302:EW302)/-12</f>
        <v>1.7478181421889328E-2</v>
      </c>
      <c r="EY309" s="1186">
        <f t="shared" ref="EY309:FB309" si="1530">+ET309</f>
        <v>1.8800000000000001E-2</v>
      </c>
      <c r="EZ309" s="1186">
        <f t="shared" si="1530"/>
        <v>1.6899999999999998E-2</v>
      </c>
      <c r="FA309" s="1186">
        <f t="shared" si="1530"/>
        <v>1.6799999999999999E-2</v>
      </c>
      <c r="FB309" s="1186">
        <f t="shared" si="1530"/>
        <v>1.7299999999999999E-2</v>
      </c>
      <c r="FC309" s="1236">
        <f>+FC304/AVERAGE(EY302:FB302)/-12</f>
        <v>1.7478027814713488E-2</v>
      </c>
      <c r="FD309" s="1186">
        <f t="shared" ref="FD309:FG309" si="1531">+EY309</f>
        <v>1.8800000000000001E-2</v>
      </c>
      <c r="FE309" s="1186">
        <f t="shared" si="1531"/>
        <v>1.6899999999999998E-2</v>
      </c>
      <c r="FF309" s="1186">
        <f t="shared" si="1531"/>
        <v>1.6799999999999999E-2</v>
      </c>
      <c r="FG309" s="1186">
        <f t="shared" si="1531"/>
        <v>1.7299999999999999E-2</v>
      </c>
      <c r="FH309" s="1236">
        <f>+FH304/AVERAGE(FD302:FG302)/-12</f>
        <v>1.7478010188577163E-2</v>
      </c>
      <c r="FI309" s="1186">
        <f t="shared" ref="FI309:FM309" si="1532">+FH309</f>
        <v>1.7478010188577163E-2</v>
      </c>
      <c r="FJ309" s="1186">
        <f t="shared" si="1532"/>
        <v>1.7478010188577163E-2</v>
      </c>
      <c r="FK309" s="1186">
        <f t="shared" si="1532"/>
        <v>1.7478010188577163E-2</v>
      </c>
      <c r="FL309" s="1186">
        <f t="shared" si="1532"/>
        <v>1.7478010188577163E-2</v>
      </c>
      <c r="FM309" s="1186">
        <f t="shared" si="1532"/>
        <v>1.7478010188577163E-2</v>
      </c>
    </row>
    <row r="310" spans="1:181" x14ac:dyDescent="0.3">
      <c r="A310" s="65" t="s">
        <v>210</v>
      </c>
      <c r="DU310" s="75">
        <f t="shared" ref="DU310:FM310" si="1533">DU305/DU94</f>
        <v>1.7932954119080906E-2</v>
      </c>
      <c r="DV310" s="75">
        <f t="shared" si="1533"/>
        <v>1.7388712252692191E-2</v>
      </c>
      <c r="DW310" s="75">
        <f t="shared" si="1533"/>
        <v>1.692899481703131E-2</v>
      </c>
      <c r="DX310" s="75">
        <f t="shared" si="1533"/>
        <v>1.6470334887473126E-2</v>
      </c>
      <c r="DY310" s="84">
        <f t="shared" si="1533"/>
        <v>1.6470334887473126E-2</v>
      </c>
      <c r="DZ310" s="75">
        <f t="shared" si="1533"/>
        <v>1.5941245110659676E-2</v>
      </c>
      <c r="EA310" s="75">
        <f t="shared" si="1533"/>
        <v>1.5494796456939798E-2</v>
      </c>
      <c r="EB310" s="75">
        <f t="shared" si="1533"/>
        <v>1.4966477700610827E-2</v>
      </c>
      <c r="EC310" s="75">
        <f t="shared" si="1533"/>
        <v>1.4668656967454377E-2</v>
      </c>
      <c r="ED310" s="84">
        <f t="shared" si="1533"/>
        <v>1.4668656967454377E-2</v>
      </c>
      <c r="EE310" s="75">
        <f t="shared" si="1533"/>
        <v>1.4422669042165097E-2</v>
      </c>
      <c r="EF310" s="75">
        <f t="shared" si="1533"/>
        <v>1.4236999147485082E-2</v>
      </c>
      <c r="EG310" s="75">
        <f t="shared" si="1533"/>
        <v>1.411866608921611E-2</v>
      </c>
      <c r="EH310" s="75">
        <f t="shared" si="1533"/>
        <v>1.374086144631375E-2</v>
      </c>
      <c r="EI310" s="84">
        <f t="shared" si="1533"/>
        <v>1.374086144631375E-2</v>
      </c>
      <c r="EJ310" s="75">
        <f t="shared" si="1533"/>
        <v>1.3731825525040387E-2</v>
      </c>
      <c r="EK310" s="75">
        <f t="shared" si="1533"/>
        <v>1.362673786944112E-2</v>
      </c>
      <c r="EL310" s="75">
        <f t="shared" si="1533"/>
        <v>1.3606089438629876E-2</v>
      </c>
      <c r="EM310" s="75">
        <f t="shared" si="1533"/>
        <v>1.3295532310098739E-2</v>
      </c>
      <c r="EN310" s="84">
        <f t="shared" si="1533"/>
        <v>1.3295532310098739E-2</v>
      </c>
      <c r="EO310" s="75">
        <f t="shared" si="1533"/>
        <v>1.314459049544995E-2</v>
      </c>
      <c r="EP310" s="75">
        <f t="shared" si="1533"/>
        <v>1.316064340923334E-2</v>
      </c>
      <c r="EQ310" s="75">
        <f t="shared" si="1533"/>
        <v>1.2984202553559835E-2</v>
      </c>
      <c r="ER310" s="75">
        <f t="shared" si="1533"/>
        <v>1.2796048939274891E-2</v>
      </c>
      <c r="ES310" s="84">
        <f t="shared" si="1533"/>
        <v>1.2796048939274891E-2</v>
      </c>
      <c r="ET310" s="75">
        <f t="shared" si="1533"/>
        <v>1.2508761194987854E-2</v>
      </c>
      <c r="EU310" s="75">
        <f t="shared" si="1533"/>
        <v>1.25749240342101E-2</v>
      </c>
      <c r="EV310" s="75">
        <f t="shared" si="1533"/>
        <v>1.2438515902474981E-2</v>
      </c>
      <c r="EW310" s="75">
        <f t="shared" si="1533"/>
        <v>1.2270971018643164E-2</v>
      </c>
      <c r="EX310" s="84">
        <f t="shared" si="1533"/>
        <v>1.2270971018643164E-2</v>
      </c>
      <c r="EY310" s="75">
        <f t="shared" ref="EY310:FC310" si="1534">EY305/EY94</f>
        <v>1.2068731410741279E-2</v>
      </c>
      <c r="EZ310" s="75">
        <f t="shared" si="1534"/>
        <v>1.2211986110459211E-2</v>
      </c>
      <c r="FA310" s="75">
        <f t="shared" si="1534"/>
        <v>1.2158428123540623E-2</v>
      </c>
      <c r="FB310" s="75">
        <f t="shared" si="1534"/>
        <v>1.2075531538867987E-2</v>
      </c>
      <c r="FC310" s="84">
        <f t="shared" si="1534"/>
        <v>1.2075531538867987E-2</v>
      </c>
      <c r="FD310" s="75">
        <f t="shared" si="1533"/>
        <v>1.1977018896599899E-2</v>
      </c>
      <c r="FE310" s="75">
        <f t="shared" si="1533"/>
        <v>1.2219190954402685E-2</v>
      </c>
      <c r="FF310" s="75">
        <f t="shared" si="1533"/>
        <v>1.2022818222689687E-2</v>
      </c>
      <c r="FG310" s="75">
        <f t="shared" si="1533"/>
        <v>1.1343356733581184E-2</v>
      </c>
      <c r="FH310" s="84">
        <f t="shared" ref="FH310" si="1535">FH305/FH94</f>
        <v>1.1343356733581184E-2</v>
      </c>
      <c r="FI310" s="75">
        <f t="shared" si="1533"/>
        <v>9.2774254630771883E-3</v>
      </c>
      <c r="FJ310" s="75">
        <f t="shared" si="1533"/>
        <v>7.647985635616277E-3</v>
      </c>
      <c r="FK310" s="75">
        <f t="shared" si="1533"/>
        <v>6.362776075537202E-3</v>
      </c>
      <c r="FL310" s="75">
        <f t="shared" si="1533"/>
        <v>5.349047563970759E-3</v>
      </c>
      <c r="FM310" s="75">
        <f t="shared" si="1533"/>
        <v>4.5494342199534363E-3</v>
      </c>
    </row>
    <row r="311" spans="1:181" x14ac:dyDescent="0.3">
      <c r="A311" s="65"/>
      <c r="ET311" s="90"/>
      <c r="EU311" s="90"/>
      <c r="EV311" s="90"/>
      <c r="EW311" s="90"/>
      <c r="EY311" s="90"/>
      <c r="EZ311" s="90"/>
      <c r="FA311" s="90"/>
      <c r="FB311" s="90"/>
      <c r="FD311" s="90"/>
      <c r="FE311" s="90"/>
      <c r="FF311" s="90"/>
      <c r="FG311" s="90"/>
    </row>
    <row r="312" spans="1:181" ht="12.75" customHeight="1" x14ac:dyDescent="0.3">
      <c r="A312" s="105" t="s">
        <v>413</v>
      </c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106"/>
      <c r="AH312" s="106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5"/>
      <c r="BM312" s="105"/>
      <c r="BN312" s="105"/>
      <c r="BO312" s="105"/>
      <c r="BP312" s="105"/>
      <c r="BQ312" s="105"/>
      <c r="BR312" s="106"/>
      <c r="BS312" s="106"/>
      <c r="BT312" s="106"/>
      <c r="BU312" s="106"/>
      <c r="BV312" s="105"/>
      <c r="BW312" s="106"/>
      <c r="BX312" s="106"/>
      <c r="BY312" s="106"/>
      <c r="BZ312" s="106"/>
      <c r="CA312" s="105"/>
      <c r="CB312" s="106"/>
      <c r="CC312" s="106"/>
      <c r="CD312" s="106"/>
      <c r="CE312" s="106"/>
      <c r="CF312" s="105"/>
      <c r="CG312" s="106"/>
      <c r="CH312" s="106"/>
      <c r="CI312" s="106"/>
      <c r="CJ312" s="106"/>
      <c r="CK312" s="105"/>
      <c r="CL312" s="106"/>
      <c r="CM312" s="106"/>
      <c r="CN312" s="106"/>
      <c r="CO312" s="106"/>
      <c r="CP312" s="105"/>
      <c r="CQ312" s="106"/>
      <c r="CR312" s="106"/>
      <c r="CS312" s="106"/>
      <c r="CT312" s="106"/>
      <c r="CU312" s="106"/>
      <c r="CV312" s="106"/>
      <c r="CW312" s="106"/>
      <c r="CX312" s="106"/>
      <c r="CY312" s="106"/>
      <c r="CZ312" s="106"/>
      <c r="DA312" s="106"/>
      <c r="DB312" s="106"/>
      <c r="DC312" s="106"/>
      <c r="DD312" s="106"/>
      <c r="DE312" s="106"/>
      <c r="DF312" s="106"/>
      <c r="DG312" s="106"/>
      <c r="DH312" s="106"/>
      <c r="DI312" s="106"/>
      <c r="DJ312" s="106"/>
      <c r="DK312" s="106"/>
      <c r="DL312" s="106"/>
      <c r="DM312" s="106"/>
      <c r="DN312" s="106"/>
      <c r="DO312" s="106"/>
      <c r="DP312" s="106"/>
      <c r="DQ312" s="106"/>
      <c r="DR312" s="106"/>
      <c r="DS312" s="106"/>
      <c r="DT312" s="106"/>
      <c r="DU312" s="107"/>
      <c r="DV312" s="107"/>
      <c r="DW312" s="107"/>
      <c r="DX312" s="107"/>
      <c r="DY312" s="1205"/>
      <c r="DZ312" s="107"/>
      <c r="EA312" s="107"/>
      <c r="EB312" s="107"/>
      <c r="EC312" s="107"/>
      <c r="ED312" s="1205"/>
      <c r="EE312" s="107"/>
      <c r="EF312" s="107"/>
      <c r="EG312" s="107"/>
      <c r="EH312" s="107"/>
      <c r="EI312" s="1205"/>
      <c r="EJ312" s="107"/>
      <c r="EK312" s="107"/>
      <c r="EL312" s="107"/>
      <c r="EM312" s="107"/>
      <c r="EN312" s="105"/>
      <c r="EO312" s="105"/>
      <c r="EP312" s="105"/>
      <c r="EQ312" s="105"/>
      <c r="ER312" s="105"/>
      <c r="ES312" s="106"/>
      <c r="ET312" s="105"/>
      <c r="EU312" s="105"/>
      <c r="EV312" s="105"/>
      <c r="EW312" s="105"/>
      <c r="EX312" s="106"/>
      <c r="EY312" s="105"/>
      <c r="EZ312" s="105"/>
      <c r="FA312" s="105"/>
      <c r="FB312" s="105"/>
      <c r="FC312" s="106"/>
      <c r="FD312" s="105"/>
      <c r="FE312" s="105"/>
      <c r="FF312" s="105"/>
      <c r="FG312" s="105"/>
      <c r="FH312" s="106"/>
      <c r="FI312" s="106"/>
      <c r="FJ312" s="106"/>
      <c r="FK312" s="106"/>
      <c r="FL312" s="106"/>
      <c r="FM312" s="106"/>
      <c r="FN312" s="106"/>
      <c r="FO312" s="106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</row>
    <row r="313" spans="1:181" x14ac:dyDescent="0.3">
      <c r="A313" s="55" t="s">
        <v>357</v>
      </c>
      <c r="ET313" s="90"/>
      <c r="EU313" s="90"/>
      <c r="EV313" s="90"/>
      <c r="EW313" s="90"/>
      <c r="EY313" s="90"/>
      <c r="EZ313" s="90"/>
      <c r="FA313" s="90"/>
      <c r="FB313" s="90"/>
      <c r="FD313" s="90"/>
      <c r="FE313" s="90"/>
      <c r="FF313" s="90"/>
      <c r="FG313" s="90"/>
    </row>
    <row r="314" spans="1:181" x14ac:dyDescent="0.3">
      <c r="A314" s="56" t="s">
        <v>414</v>
      </c>
      <c r="DU314" s="76">
        <f>AVERAGE(DU257,DU260)</f>
        <v>1574.5</v>
      </c>
      <c r="DV314" s="76">
        <f>AVERAGE(DV257,DV260)</f>
        <v>1544</v>
      </c>
      <c r="DW314" s="76">
        <f>AVERAGE(DW257,DW260)</f>
        <v>1499</v>
      </c>
      <c r="DX314" s="76">
        <f>AVERAGE(DX257,DX260)</f>
        <v>1458.5</v>
      </c>
      <c r="DY314" s="85">
        <f>AVERAGE(DU314:DX314)</f>
        <v>1519</v>
      </c>
      <c r="DZ314" s="76">
        <f>AVERAGE(DZ257,DZ260)</f>
        <v>1430.5</v>
      </c>
      <c r="EA314" s="76">
        <f>AVERAGE(EA257,EA260)</f>
        <v>1410</v>
      </c>
      <c r="EB314" s="76">
        <f>AVERAGE(EB257,EB260)</f>
        <v>1391</v>
      </c>
      <c r="EC314" s="76">
        <f>AVERAGE(EC257,EC260)</f>
        <v>1365</v>
      </c>
      <c r="ED314" s="85">
        <f t="shared" ref="ED314:ED319" si="1536">AVERAGE(DZ314:EC314)</f>
        <v>1399.125</v>
      </c>
      <c r="EE314" s="76">
        <f>AVERAGE(EE257,EE260)</f>
        <v>1338</v>
      </c>
      <c r="EF314" s="76">
        <f>AVERAGE(EF257,EF260)</f>
        <v>1312</v>
      </c>
      <c r="EG314" s="76">
        <f>AVERAGE(EG257,EG260)</f>
        <v>1280.5</v>
      </c>
      <c r="EH314" s="76">
        <f>AVERAGE(EH257,EH260)</f>
        <v>1249</v>
      </c>
      <c r="EI314" s="85">
        <f t="shared" ref="EI314:EI319" si="1537">AVERAGE(EE314:EH314)</f>
        <v>1294.875</v>
      </c>
      <c r="EJ314" s="76">
        <f>AVERAGE(EJ257,EJ260)</f>
        <v>1219</v>
      </c>
      <c r="EK314" s="76">
        <f>AVERAGE(EK257,EK260)</f>
        <v>1183.5</v>
      </c>
      <c r="EL314" s="76">
        <f>AVERAGE(EL257,EL260)</f>
        <v>1134</v>
      </c>
      <c r="EM314" s="76">
        <f>AVERAGE(EM257,EM260)</f>
        <v>1074</v>
      </c>
      <c r="EN314" s="85">
        <f>AVERAGE(EJ314:EM314)</f>
        <v>1152.625</v>
      </c>
      <c r="EO314" s="76">
        <f>AVERAGE(EO257,EO260)</f>
        <v>1015</v>
      </c>
      <c r="EP314" s="76">
        <f>AVERAGE(EP257,EP260)</f>
        <v>957.5</v>
      </c>
      <c r="EQ314" s="76">
        <f>AVERAGE(EQ257,EQ260)</f>
        <v>899</v>
      </c>
      <c r="ER314" s="76">
        <f>AVERAGE(ER257,ER260)</f>
        <v>846</v>
      </c>
      <c r="ES314" s="85">
        <f>AVERAGE(EO314:ER314)</f>
        <v>929.375</v>
      </c>
      <c r="ET314" s="76">
        <f t="shared" ref="ET314:EW314" si="1538">AVERAGE(ET257,ET260)</f>
        <v>798.80727000000002</v>
      </c>
      <c r="EU314" s="76">
        <f t="shared" si="1538"/>
        <v>749.92618643520007</v>
      </c>
      <c r="EV314" s="76">
        <f t="shared" si="1538"/>
        <v>699.37112687879494</v>
      </c>
      <c r="EW314" s="76">
        <f t="shared" si="1538"/>
        <v>653.80388021016188</v>
      </c>
      <c r="EX314" s="85">
        <f>AVERAGE(ET314:EW314)</f>
        <v>725.47711588103925</v>
      </c>
      <c r="EY314" s="76">
        <f t="shared" ref="EY314:FB314" si="1539">AVERAGE(EY257,EY260)</f>
        <v>614.34717827196027</v>
      </c>
      <c r="EZ314" s="76">
        <f t="shared" si="1539"/>
        <v>574.87874380321932</v>
      </c>
      <c r="FA314" s="76">
        <f t="shared" si="1539"/>
        <v>534.18779953935541</v>
      </c>
      <c r="FB314" s="76">
        <f t="shared" si="1539"/>
        <v>497.63899642225624</v>
      </c>
      <c r="FC314" s="85">
        <f>AVERAGE(EY314:FB314)</f>
        <v>555.26317950919781</v>
      </c>
      <c r="FD314" s="76">
        <f t="shared" ref="FD314:FM314" si="1540">AVERAGE(FD257,FD260)</f>
        <v>466.10423715767973</v>
      </c>
      <c r="FE314" s="76">
        <f t="shared" si="1540"/>
        <v>434.66633732436071</v>
      </c>
      <c r="FF314" s="76">
        <f t="shared" si="1540"/>
        <v>402.3626432836989</v>
      </c>
      <c r="FG314" s="76">
        <f t="shared" si="1540"/>
        <v>373.45362390966233</v>
      </c>
      <c r="FH314" s="85">
        <f>AVERAGE(FD314:FG314)</f>
        <v>419.14671041885043</v>
      </c>
      <c r="FI314" s="76">
        <f t="shared" si="1540"/>
        <v>310.29246536802702</v>
      </c>
      <c r="FJ314" s="76">
        <f t="shared" si="1540"/>
        <v>224.04763664779375</v>
      </c>
      <c r="FK314" s="76">
        <f t="shared" si="1540"/>
        <v>161.77429067742423</v>
      </c>
      <c r="FL314" s="76">
        <f t="shared" si="1540"/>
        <v>116.80962814762843</v>
      </c>
      <c r="FM314" s="76">
        <f t="shared" si="1540"/>
        <v>84.342754159832211</v>
      </c>
    </row>
    <row r="315" spans="1:181" x14ac:dyDescent="0.3">
      <c r="A315" s="56" t="s">
        <v>415</v>
      </c>
      <c r="DZ315" s="76">
        <f>AVERAGE(DZ268,DZ271)</f>
        <v>90</v>
      </c>
      <c r="EA315" s="76">
        <f>AVERAGE(EA268,EA271)</f>
        <v>84.5</v>
      </c>
      <c r="EB315" s="76">
        <f>AVERAGE(EB268,EB271)</f>
        <v>78.5</v>
      </c>
      <c r="EC315" s="76">
        <f>AVERAGE(EC268,EC271)</f>
        <v>72</v>
      </c>
      <c r="ED315" s="85">
        <f t="shared" si="1536"/>
        <v>81.25</v>
      </c>
      <c r="EE315" s="76">
        <f>AVERAGE(EE268,EE271)</f>
        <v>66.5</v>
      </c>
      <c r="EF315" s="76">
        <f>AVERAGE(EF268,EF271)</f>
        <v>62</v>
      </c>
      <c r="EG315" s="76">
        <f>AVERAGE(EG268,EG271)</f>
        <v>58.5</v>
      </c>
      <c r="EH315" s="76">
        <f>AVERAGE(EH268,EH271)</f>
        <v>55</v>
      </c>
      <c r="EI315" s="85">
        <f t="shared" si="1537"/>
        <v>60.5</v>
      </c>
      <c r="EJ315" s="76">
        <f>AVERAGE(EJ268,EJ271)</f>
        <v>51</v>
      </c>
      <c r="EK315" s="76">
        <f>AVERAGE(EK268,EK271)</f>
        <v>48.5</v>
      </c>
      <c r="EL315" s="76">
        <f>AVERAGE(EL268,EL271)</f>
        <v>44</v>
      </c>
      <c r="EM315" s="76">
        <f>AVERAGE(EM268,EM271)</f>
        <v>37.5</v>
      </c>
      <c r="EN315" s="85">
        <f>AVERAGE(EJ315:EM315)</f>
        <v>45.25</v>
      </c>
      <c r="EO315" s="76">
        <f>AVERAGE(EO268,EO271)</f>
        <v>33.5</v>
      </c>
      <c r="EP315" s="76">
        <f>AVERAGE(EP268,EP271)</f>
        <v>28.5</v>
      </c>
      <c r="EQ315" s="76">
        <f>AVERAGE(EQ268,EQ271)</f>
        <v>23</v>
      </c>
      <c r="ER315" s="76">
        <f>AVERAGE(ER268,ER271)</f>
        <v>20</v>
      </c>
      <c r="ES315" s="85">
        <f>AVERAGE(EO315:ER315)</f>
        <v>26.25</v>
      </c>
      <c r="ET315" s="76">
        <f t="shared" ref="ET315:EW315" si="1541">AVERAGE(ET268,ET271)</f>
        <v>17.654867256637168</v>
      </c>
      <c r="EU315" s="76">
        <f t="shared" si="1541"/>
        <v>15.155063043308012</v>
      </c>
      <c r="EV315" s="76">
        <f t="shared" si="1541"/>
        <v>13.009213408857319</v>
      </c>
      <c r="EW315" s="76">
        <f t="shared" si="1541"/>
        <v>11.167200890789026</v>
      </c>
      <c r="EX315" s="85">
        <f>AVERAGE(ET315:EW315)</f>
        <v>14.246586149897881</v>
      </c>
      <c r="EY315" s="76">
        <f t="shared" ref="EY315:FB315" si="1542">AVERAGE(EY268,EY271)</f>
        <v>9.5860043044826142</v>
      </c>
      <c r="EZ315" s="76">
        <f t="shared" si="1542"/>
        <v>8.2286939604850762</v>
      </c>
      <c r="FA315" s="76">
        <f t="shared" si="1542"/>
        <v>7.0635691519208175</v>
      </c>
      <c r="FB315" s="76">
        <f t="shared" si="1542"/>
        <v>6.0634177675780467</v>
      </c>
      <c r="FC315" s="85">
        <f>AVERAGE(EY315:FB315)</f>
        <v>7.7354212961166375</v>
      </c>
      <c r="FD315" s="76">
        <f t="shared" ref="FD315:FM315" si="1543">AVERAGE(FD268,FD271)</f>
        <v>5.2048807385404467</v>
      </c>
      <c r="FE315" s="76">
        <f t="shared" si="1543"/>
        <v>4.4679064746763126</v>
      </c>
      <c r="FF315" s="76">
        <f t="shared" si="1543"/>
        <v>3.8352825490584279</v>
      </c>
      <c r="FG315" s="76">
        <f t="shared" si="1543"/>
        <v>3.2922336925545799</v>
      </c>
      <c r="FH315" s="85">
        <f>AVERAGE(FD315:FG315)</f>
        <v>4.2000758637074416</v>
      </c>
      <c r="FI315" s="76">
        <f t="shared" si="1543"/>
        <v>2.180116318786459</v>
      </c>
      <c r="FJ315" s="76">
        <f t="shared" si="1543"/>
        <v>0.94536017363306635</v>
      </c>
      <c r="FK315" s="76">
        <f t="shared" si="1543"/>
        <v>0.40993494254885177</v>
      </c>
      <c r="FL315" s="76">
        <f t="shared" si="1543"/>
        <v>0.17775939986631628</v>
      </c>
      <c r="FM315" s="76">
        <f t="shared" si="1543"/>
        <v>7.7081509676544216E-2</v>
      </c>
    </row>
    <row r="316" spans="1:181" x14ac:dyDescent="0.3">
      <c r="A316" s="56" t="s">
        <v>416</v>
      </c>
      <c r="DZ316" s="76">
        <f>AVERAGE(DZ280,DZ283)</f>
        <v>740</v>
      </c>
      <c r="EA316" s="76">
        <f>AVERAGE(EA280,EA283)</f>
        <v>729</v>
      </c>
      <c r="EB316" s="76">
        <f>AVERAGE(EB280,EB283)</f>
        <v>707</v>
      </c>
      <c r="EC316" s="76">
        <f>AVERAGE(EC280,EC283)</f>
        <v>686.5</v>
      </c>
      <c r="ED316" s="85">
        <f t="shared" si="1536"/>
        <v>715.625</v>
      </c>
      <c r="EE316" s="76">
        <f>AVERAGE(EE280,EE283)</f>
        <v>667</v>
      </c>
      <c r="EF316" s="76">
        <f>AVERAGE(EF280,EF283)</f>
        <v>646.5</v>
      </c>
      <c r="EG316" s="76">
        <f>AVERAGE(EG280,EG283)</f>
        <v>626.5</v>
      </c>
      <c r="EH316" s="76">
        <f>AVERAGE(EH280,EH283)</f>
        <v>606</v>
      </c>
      <c r="EI316" s="85">
        <f t="shared" si="1537"/>
        <v>636.5</v>
      </c>
      <c r="EJ316" s="76">
        <f>AVERAGE(EJ280,EJ283)</f>
        <v>586</v>
      </c>
      <c r="EK316" s="76">
        <f>AVERAGE(EK280,EK283)</f>
        <v>567.5</v>
      </c>
      <c r="EL316" s="76">
        <f>AVERAGE(EL280,EL283)</f>
        <v>546.5</v>
      </c>
      <c r="EM316" s="76">
        <f>AVERAGE(EM280,EM283)</f>
        <v>525</v>
      </c>
      <c r="EN316" s="85">
        <f>AVERAGE(EJ316:EM316)</f>
        <v>556.25</v>
      </c>
      <c r="EO316" s="76">
        <f>AVERAGE(EO280,EO283)</f>
        <v>504.5</v>
      </c>
      <c r="EP316" s="76">
        <f>AVERAGE(EP280,EP283)</f>
        <v>485.5</v>
      </c>
      <c r="EQ316" s="76">
        <f>AVERAGE(EQ280,EQ283)</f>
        <v>464</v>
      </c>
      <c r="ER316" s="76">
        <f>AVERAGE(ER280,ER283)</f>
        <v>440</v>
      </c>
      <c r="ES316" s="85">
        <f>AVERAGE(EO316:ER316)</f>
        <v>473.5</v>
      </c>
      <c r="ET316" s="76">
        <f t="shared" ref="ET316:EW316" si="1544">AVERAGE(ET280,ET283)</f>
        <v>419.07169704257342</v>
      </c>
      <c r="EU316" s="76">
        <f t="shared" si="1544"/>
        <v>400.99275777837772</v>
      </c>
      <c r="EV316" s="76">
        <f t="shared" si="1544"/>
        <v>380.89348892671092</v>
      </c>
      <c r="EW316" s="76">
        <f t="shared" si="1544"/>
        <v>358.99985354656303</v>
      </c>
      <c r="EX316" s="85">
        <f>AVERAGE(ET316:EW316)</f>
        <v>389.9894493235563</v>
      </c>
      <c r="EY316" s="76">
        <f t="shared" ref="EY316:FB316" si="1545">AVERAGE(EY280,EY283)</f>
        <v>341.60863474603593</v>
      </c>
      <c r="EZ316" s="76">
        <f t="shared" si="1545"/>
        <v>328.00861872625035</v>
      </c>
      <c r="FA316" s="76">
        <f t="shared" si="1545"/>
        <v>312.36914910194287</v>
      </c>
      <c r="FB316" s="76">
        <f t="shared" si="1545"/>
        <v>294.80683581724099</v>
      </c>
      <c r="FC316" s="85">
        <f>AVERAGE(EY316:FB316)</f>
        <v>319.19830959786754</v>
      </c>
      <c r="FD316" s="76">
        <f t="shared" ref="FD316:FM316" si="1546">AVERAGE(FD280,FD283)</f>
        <v>280.54693958343734</v>
      </c>
      <c r="FE316" s="76">
        <f t="shared" si="1546"/>
        <v>269.08759054981658</v>
      </c>
      <c r="FF316" s="76">
        <f t="shared" si="1546"/>
        <v>255.869811001296</v>
      </c>
      <c r="FG316" s="76">
        <f t="shared" si="1546"/>
        <v>241.74610573998709</v>
      </c>
      <c r="FH316" s="85">
        <f>AVERAGE(FD316:FG316)</f>
        <v>261.81261171863429</v>
      </c>
      <c r="FI316" s="76">
        <f t="shared" si="1546"/>
        <v>218.53259268482762</v>
      </c>
      <c r="FJ316" s="76">
        <f t="shared" si="1546"/>
        <v>195.35008392320731</v>
      </c>
      <c r="FK316" s="76">
        <f t="shared" si="1546"/>
        <v>185.97922698607306</v>
      </c>
      <c r="FL316" s="76">
        <f t="shared" si="1546"/>
        <v>180.35392889179161</v>
      </c>
      <c r="FM316" s="76">
        <f t="shared" si="1546"/>
        <v>175.79320228918067</v>
      </c>
    </row>
    <row r="317" spans="1:181" x14ac:dyDescent="0.3">
      <c r="A317" s="56" t="s">
        <v>417</v>
      </c>
      <c r="DZ317" s="76">
        <f>AVERAGE(DZ291,DZ294)</f>
        <v>2170.5</v>
      </c>
      <c r="EA317" s="76">
        <f t="shared" ref="EA317:EC317" si="1547">AVERAGE(EA291,EA294)</f>
        <v>2139</v>
      </c>
      <c r="EB317" s="76">
        <f t="shared" si="1547"/>
        <v>2098</v>
      </c>
      <c r="EC317" s="76">
        <f t="shared" si="1547"/>
        <v>2051.5</v>
      </c>
      <c r="ED317" s="85">
        <f t="shared" si="1536"/>
        <v>2114.75</v>
      </c>
      <c r="EE317" s="76">
        <f>AVERAGE(EE291,EE294)</f>
        <v>2005</v>
      </c>
      <c r="EF317" s="76">
        <f t="shared" ref="EF317:EM317" si="1548">AVERAGE(EF291,EF294)</f>
        <v>1958.5</v>
      </c>
      <c r="EG317" s="76">
        <f t="shared" si="1548"/>
        <v>1907</v>
      </c>
      <c r="EH317" s="76">
        <f t="shared" si="1548"/>
        <v>1855</v>
      </c>
      <c r="EI317" s="85">
        <f t="shared" si="1537"/>
        <v>1931.375</v>
      </c>
      <c r="EJ317" s="76">
        <f t="shared" si="1548"/>
        <v>1805</v>
      </c>
      <c r="EK317" s="76">
        <f t="shared" si="1548"/>
        <v>1751</v>
      </c>
      <c r="EL317" s="76">
        <f t="shared" si="1548"/>
        <v>1680.5</v>
      </c>
      <c r="EM317" s="76">
        <f t="shared" si="1548"/>
        <v>1599</v>
      </c>
      <c r="EN317" s="85">
        <f>AVERAGE(EJ317:EM317)</f>
        <v>1708.875</v>
      </c>
      <c r="EO317" s="76">
        <f t="shared" ref="EO317:ER317" si="1549">AVERAGE(EO291,EO294)</f>
        <v>1519.5</v>
      </c>
      <c r="EP317" s="76">
        <f t="shared" si="1549"/>
        <v>1443</v>
      </c>
      <c r="EQ317" s="76">
        <f t="shared" si="1549"/>
        <v>1363</v>
      </c>
      <c r="ER317" s="76">
        <f t="shared" si="1549"/>
        <v>1286</v>
      </c>
      <c r="ES317" s="85">
        <f>AVERAGE(EO317:ER317)</f>
        <v>1402.875</v>
      </c>
      <c r="ET317" s="76">
        <f t="shared" ref="ET317:EW317" si="1550">AVERAGE(ET291,ET294)</f>
        <v>1217.8789670425735</v>
      </c>
      <c r="EU317" s="76">
        <f t="shared" si="1550"/>
        <v>1150.9189442135778</v>
      </c>
      <c r="EV317" s="76">
        <f t="shared" si="1550"/>
        <v>1080.2646158055059</v>
      </c>
      <c r="EW317" s="76">
        <f t="shared" si="1550"/>
        <v>1012.8037337567248</v>
      </c>
      <c r="EX317" s="85">
        <f>AVERAGE(ET317:EW317)</f>
        <v>1115.4665652045956</v>
      </c>
      <c r="EY317" s="76">
        <f t="shared" ref="EY317:FB317" si="1551">AVERAGE(EY291,EY294)</f>
        <v>955.95581301799621</v>
      </c>
      <c r="EZ317" s="76">
        <f t="shared" si="1551"/>
        <v>902.88736252946967</v>
      </c>
      <c r="FA317" s="76">
        <f t="shared" si="1551"/>
        <v>846.55694864129816</v>
      </c>
      <c r="FB317" s="76">
        <f t="shared" si="1551"/>
        <v>792.44583223949724</v>
      </c>
      <c r="FC317" s="85">
        <f>AVERAGE(EY317:FB317)</f>
        <v>874.46148910706529</v>
      </c>
      <c r="FD317" s="76">
        <f t="shared" ref="FD317:FM317" si="1552">AVERAGE(FD291,FD294)</f>
        <v>746.65117674111707</v>
      </c>
      <c r="FE317" s="76">
        <f t="shared" si="1552"/>
        <v>703.75392787417718</v>
      </c>
      <c r="FF317" s="76">
        <f t="shared" si="1552"/>
        <v>658.2324542849949</v>
      </c>
      <c r="FG317" s="76">
        <f t="shared" si="1552"/>
        <v>615.1997296496495</v>
      </c>
      <c r="FH317" s="85">
        <f>AVERAGE(FD317:FG317)</f>
        <v>680.95932213748461</v>
      </c>
      <c r="FI317" s="76">
        <f t="shared" si="1552"/>
        <v>528.82505805285473</v>
      </c>
      <c r="FJ317" s="76">
        <f t="shared" si="1552"/>
        <v>419.39772057100106</v>
      </c>
      <c r="FK317" s="76">
        <f t="shared" si="1552"/>
        <v>347.75351766349729</v>
      </c>
      <c r="FL317" s="76">
        <f t="shared" si="1552"/>
        <v>297.16355703942003</v>
      </c>
      <c r="FM317" s="76">
        <f t="shared" si="1552"/>
        <v>260.13595644901284</v>
      </c>
    </row>
    <row r="318" spans="1:181" x14ac:dyDescent="0.3">
      <c r="A318" s="56" t="s">
        <v>418</v>
      </c>
      <c r="DZ318" s="76">
        <f>AVERAGE(DZ302,DZ305)</f>
        <v>194.02501121582031</v>
      </c>
      <c r="EA318" s="76">
        <f>AVERAGE(EA302,EA305)</f>
        <v>188.0512935546875</v>
      </c>
      <c r="EB318" s="76">
        <f>AVERAGE(EB302,EB305)</f>
        <v>182.09107031249999</v>
      </c>
      <c r="EC318" s="76">
        <f>AVERAGE(EC302,EC305)</f>
        <v>176.6446875</v>
      </c>
      <c r="ED318" s="85">
        <f t="shared" si="1536"/>
        <v>185.20301564575195</v>
      </c>
      <c r="EE318" s="76">
        <f>AVERAGE(EE302,EE305)</f>
        <v>172.21250000000001</v>
      </c>
      <c r="EF318" s="76">
        <f>AVERAGE(EF302,EF305)</f>
        <v>168.5</v>
      </c>
      <c r="EG318" s="76">
        <f>AVERAGE(EG302,EG305)</f>
        <v>165</v>
      </c>
      <c r="EH318" s="76">
        <f>AVERAGE(EH302,EH305)</f>
        <v>159.5</v>
      </c>
      <c r="EI318" s="85">
        <f t="shared" si="1537"/>
        <v>166.30312499999999</v>
      </c>
      <c r="EJ318" s="76">
        <f>AVERAGE(EJ302,EJ305)</f>
        <v>154.5</v>
      </c>
      <c r="EK318" s="76">
        <f>AVERAGE(EK302,EK305)</f>
        <v>150.5</v>
      </c>
      <c r="EL318" s="76">
        <f>AVERAGE(EL302,EL305)</f>
        <v>145.5</v>
      </c>
      <c r="EM318" s="76">
        <f>AVERAGE(EM302,EM305)</f>
        <v>139.5</v>
      </c>
      <c r="EN318" s="85">
        <f>AVERAGE(EJ318:EM318)</f>
        <v>147.5</v>
      </c>
      <c r="EO318" s="76">
        <f>AVERAGE(EO302,EO305)</f>
        <v>133</v>
      </c>
      <c r="EP318" s="76">
        <f>AVERAGE(EP302,EP305)</f>
        <v>128</v>
      </c>
      <c r="EQ318" s="76">
        <f>AVERAGE(EQ302,EQ305)</f>
        <v>123</v>
      </c>
      <c r="ER318" s="76">
        <f>AVERAGE(ER302,ER305)</f>
        <v>117</v>
      </c>
      <c r="ES318" s="85">
        <f>AVERAGE(EO318:ER318)</f>
        <v>125.25</v>
      </c>
      <c r="ET318" s="76">
        <f t="shared" ref="ET318:EW318" si="1553">AVERAGE(ET302,ET305)</f>
        <v>110.7852</v>
      </c>
      <c r="EU318" s="76">
        <f t="shared" si="1553"/>
        <v>105.96827709048513</v>
      </c>
      <c r="EV318" s="76">
        <f t="shared" si="1553"/>
        <v>101.88782198483175</v>
      </c>
      <c r="EW318" s="76">
        <f t="shared" si="1553"/>
        <v>96.928349762492957</v>
      </c>
      <c r="EX318" s="85">
        <f>AVERAGE(ET318:EW318)</f>
        <v>103.89241220945246</v>
      </c>
      <c r="EY318" s="76">
        <f t="shared" ref="EY318:FB318" si="1554">AVERAGE(EY302,EY305)</f>
        <v>91.783798421729244</v>
      </c>
      <c r="EZ318" s="76">
        <f t="shared" si="1554"/>
        <v>87.824285222320029</v>
      </c>
      <c r="FA318" s="76">
        <f t="shared" si="1554"/>
        <v>84.476771292721352</v>
      </c>
      <c r="FB318" s="76">
        <f t="shared" si="1554"/>
        <v>80.369731630505484</v>
      </c>
      <c r="FC318" s="85">
        <f>AVERAGE(EY318:FB318)</f>
        <v>86.113646641819031</v>
      </c>
      <c r="FD318" s="76">
        <f t="shared" ref="FD318:FM318" si="1555">AVERAGE(FD302,FD305)</f>
        <v>76.105646279874748</v>
      </c>
      <c r="FE318" s="76">
        <f t="shared" si="1555"/>
        <v>72.825403709048175</v>
      </c>
      <c r="FF318" s="76">
        <f t="shared" si="1555"/>
        <v>70.053041548911011</v>
      </c>
      <c r="FG318" s="76">
        <f t="shared" si="1555"/>
        <v>66.650385582131761</v>
      </c>
      <c r="FH318" s="85">
        <f>AVERAGE(FD318:FG318)</f>
        <v>71.408619279991427</v>
      </c>
      <c r="FI318" s="76">
        <f t="shared" si="1555"/>
        <v>59.080644293624552</v>
      </c>
      <c r="FJ318" s="76">
        <f t="shared" si="1555"/>
        <v>48.577620162002042</v>
      </c>
      <c r="FK318" s="76">
        <f t="shared" si="1555"/>
        <v>40.280702129947969</v>
      </c>
      <c r="FL318" s="76">
        <f t="shared" si="1555"/>
        <v>33.727112999645897</v>
      </c>
      <c r="FM318" s="76">
        <f t="shared" si="1555"/>
        <v>28.551135131236581</v>
      </c>
    </row>
    <row r="319" spans="1:181" x14ac:dyDescent="0.3">
      <c r="A319" s="56" t="s">
        <v>419</v>
      </c>
      <c r="DZ319" s="76">
        <f>DZ314+DZ316+DZ318</f>
        <v>2364.5250112158201</v>
      </c>
      <c r="EA319" s="76">
        <f t="shared" ref="EA319:EC319" si="1556">EA314+EA316+EA318</f>
        <v>2327.0512935546876</v>
      </c>
      <c r="EB319" s="76">
        <f t="shared" si="1556"/>
        <v>2280.0910703125001</v>
      </c>
      <c r="EC319" s="76">
        <f t="shared" si="1556"/>
        <v>2228.1446875000001</v>
      </c>
      <c r="ED319" s="85">
        <f t="shared" si="1536"/>
        <v>2299.9530156457522</v>
      </c>
      <c r="EE319" s="76">
        <f>EE314+EE316+EE318</f>
        <v>2177.2125000000001</v>
      </c>
      <c r="EF319" s="76">
        <f t="shared" ref="EF319:EH319" si="1557">EF314+EF316+EF318</f>
        <v>2127</v>
      </c>
      <c r="EG319" s="76">
        <f t="shared" si="1557"/>
        <v>2072</v>
      </c>
      <c r="EH319" s="76">
        <f t="shared" si="1557"/>
        <v>2014.5</v>
      </c>
      <c r="EI319" s="85">
        <f t="shared" si="1537"/>
        <v>2097.6781249999999</v>
      </c>
      <c r="EJ319" s="76">
        <f t="shared" ref="EJ319:FM319" si="1558">EJ314+EJ316+EJ318</f>
        <v>1959.5</v>
      </c>
      <c r="EK319" s="76">
        <f t="shared" si="1558"/>
        <v>1901.5</v>
      </c>
      <c r="EL319" s="76">
        <f t="shared" si="1558"/>
        <v>1826</v>
      </c>
      <c r="EM319" s="76">
        <f t="shared" si="1558"/>
        <v>1738.5</v>
      </c>
      <c r="EN319" s="85">
        <f t="shared" si="1558"/>
        <v>1856.375</v>
      </c>
      <c r="EO319" s="76">
        <f t="shared" si="1558"/>
        <v>1652.5</v>
      </c>
      <c r="EP319" s="76">
        <f t="shared" si="1558"/>
        <v>1571</v>
      </c>
      <c r="EQ319" s="76">
        <f t="shared" si="1558"/>
        <v>1486</v>
      </c>
      <c r="ER319" s="76">
        <f t="shared" si="1558"/>
        <v>1403</v>
      </c>
      <c r="ES319" s="85">
        <f t="shared" si="1558"/>
        <v>1528.125</v>
      </c>
      <c r="ET319" s="76">
        <f t="shared" si="1558"/>
        <v>1328.6641670425736</v>
      </c>
      <c r="EU319" s="76">
        <f t="shared" si="1558"/>
        <v>1256.8872213040629</v>
      </c>
      <c r="EV319" s="76">
        <f t="shared" si="1558"/>
        <v>1182.1524377903377</v>
      </c>
      <c r="EW319" s="76">
        <f t="shared" si="1558"/>
        <v>1109.7320835192179</v>
      </c>
      <c r="EX319" s="85">
        <f t="shared" si="1558"/>
        <v>1219.358977414048</v>
      </c>
      <c r="EY319" s="76">
        <f t="shared" ref="EY319:FC319" si="1559">EY314+EY316+EY318</f>
        <v>1047.7396114397254</v>
      </c>
      <c r="EZ319" s="76">
        <f t="shared" si="1559"/>
        <v>990.71164775178966</v>
      </c>
      <c r="FA319" s="76">
        <f t="shared" si="1559"/>
        <v>931.03371993401959</v>
      </c>
      <c r="FB319" s="76">
        <f t="shared" si="1559"/>
        <v>872.81556387000273</v>
      </c>
      <c r="FC319" s="85">
        <f t="shared" si="1559"/>
        <v>960.57513574888435</v>
      </c>
      <c r="FD319" s="76">
        <f t="shared" si="1558"/>
        <v>822.75682302099176</v>
      </c>
      <c r="FE319" s="76">
        <f t="shared" si="1558"/>
        <v>776.57933158322544</v>
      </c>
      <c r="FF319" s="76">
        <f t="shared" si="1558"/>
        <v>728.28549583390588</v>
      </c>
      <c r="FG319" s="76">
        <f t="shared" si="1558"/>
        <v>681.85011523178116</v>
      </c>
      <c r="FH319" s="85">
        <f t="shared" ref="FH319" si="1560">FH314+FH316+FH318</f>
        <v>752.36794141747612</v>
      </c>
      <c r="FI319" s="76">
        <f t="shared" si="1558"/>
        <v>587.90570234647919</v>
      </c>
      <c r="FJ319" s="76">
        <f t="shared" si="1558"/>
        <v>467.97534073300312</v>
      </c>
      <c r="FK319" s="76">
        <f t="shared" si="1558"/>
        <v>388.03421979344523</v>
      </c>
      <c r="FL319" s="76">
        <f t="shared" si="1558"/>
        <v>330.89067003906592</v>
      </c>
      <c r="FM319" s="76">
        <f t="shared" si="1558"/>
        <v>288.6870915802495</v>
      </c>
    </row>
    <row r="320" spans="1:181" ht="12.75" customHeight="1" x14ac:dyDescent="0.3">
      <c r="A320" s="70" t="s">
        <v>420</v>
      </c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3"/>
      <c r="AK320" s="193"/>
      <c r="AL320" s="193"/>
      <c r="AM320" s="193"/>
      <c r="AN320" s="193"/>
      <c r="AO320" s="193"/>
      <c r="AP320" s="193"/>
      <c r="AQ320" s="193"/>
      <c r="AR320" s="193"/>
      <c r="AS320" s="193"/>
      <c r="AT320" s="193"/>
      <c r="AU320" s="193"/>
      <c r="AV320" s="193"/>
      <c r="AW320" s="193"/>
      <c r="AX320" s="193"/>
      <c r="AY320" s="193"/>
      <c r="AZ320" s="193"/>
      <c r="BA320" s="193"/>
      <c r="BB320" s="193"/>
      <c r="BC320" s="193"/>
      <c r="BD320" s="193"/>
      <c r="BE320" s="193"/>
      <c r="BF320" s="193"/>
      <c r="BG320" s="193"/>
      <c r="BH320" s="193"/>
      <c r="BI320" s="193"/>
      <c r="BJ320" s="193"/>
      <c r="BK320" s="193"/>
      <c r="BL320" s="192"/>
      <c r="BM320" s="192"/>
      <c r="BN320" s="192"/>
      <c r="BO320" s="192"/>
      <c r="BP320" s="192"/>
      <c r="BQ320" s="192"/>
      <c r="BR320" s="193"/>
      <c r="BS320" s="193"/>
      <c r="BT320" s="193"/>
      <c r="BU320" s="193"/>
      <c r="BV320" s="192"/>
      <c r="BW320" s="193"/>
      <c r="BX320" s="193"/>
      <c r="BY320" s="193"/>
      <c r="BZ320" s="193"/>
      <c r="CA320" s="192"/>
      <c r="CB320" s="193"/>
      <c r="CC320" s="193"/>
      <c r="CD320" s="193"/>
      <c r="CE320" s="193"/>
      <c r="CF320" s="192"/>
      <c r="CG320" s="193"/>
      <c r="CH320" s="193"/>
      <c r="CI320" s="193"/>
      <c r="CJ320" s="193"/>
      <c r="CK320" s="192"/>
      <c r="CL320" s="193"/>
      <c r="CM320" s="193"/>
      <c r="CN320" s="193"/>
      <c r="CO320" s="193"/>
      <c r="CP320" s="192"/>
      <c r="CQ320" s="193"/>
      <c r="CR320" s="193"/>
      <c r="CS320" s="193"/>
      <c r="CT320" s="193"/>
      <c r="CU320" s="193"/>
      <c r="CV320" s="193"/>
      <c r="CW320" s="193"/>
      <c r="CX320" s="193"/>
      <c r="CY320" s="193"/>
      <c r="CZ320" s="193"/>
      <c r="DA320" s="193"/>
      <c r="DB320" s="193"/>
      <c r="DC320" s="193"/>
      <c r="DD320" s="193"/>
      <c r="DE320" s="193"/>
      <c r="DF320" s="193"/>
      <c r="DG320" s="193"/>
      <c r="DH320" s="193"/>
      <c r="DI320" s="193"/>
      <c r="DJ320" s="193"/>
      <c r="DK320" s="193"/>
      <c r="DL320" s="193"/>
      <c r="DM320" s="193"/>
      <c r="DN320" s="193"/>
      <c r="DO320" s="193"/>
      <c r="DP320" s="193"/>
      <c r="DQ320" s="193"/>
      <c r="DR320" s="193"/>
      <c r="DS320" s="193"/>
      <c r="DT320" s="193"/>
      <c r="DU320" s="196"/>
      <c r="DV320" s="196"/>
      <c r="DW320" s="196"/>
      <c r="DX320" s="665"/>
      <c r="DY320" s="1191"/>
      <c r="DZ320" s="1212">
        <f t="shared" ref="DZ320:FM320" si="1561">DZ108-DZ183</f>
        <v>13891.930432832032</v>
      </c>
      <c r="EA320" s="1212">
        <f t="shared" si="1561"/>
        <v>13883.83890546875</v>
      </c>
      <c r="EB320" s="1212">
        <f t="shared" si="1561"/>
        <v>13876.74503125</v>
      </c>
      <c r="EC320" s="1212">
        <f t="shared" si="1561"/>
        <v>13868.14875</v>
      </c>
      <c r="ED320" s="1162">
        <f t="shared" si="1561"/>
        <v>13880.165779887695</v>
      </c>
      <c r="EE320" s="1212">
        <f t="shared" si="1561"/>
        <v>13856.55</v>
      </c>
      <c r="EF320" s="1212">
        <f t="shared" si="1561"/>
        <v>13893.5</v>
      </c>
      <c r="EG320" s="1212">
        <f t="shared" si="1561"/>
        <v>13922.5</v>
      </c>
      <c r="EH320" s="1212">
        <f t="shared" si="1561"/>
        <v>13885.5</v>
      </c>
      <c r="EI320" s="1162">
        <f t="shared" si="1561"/>
        <v>13889.512500000001</v>
      </c>
      <c r="EJ320" s="1212">
        <f t="shared" si="1561"/>
        <v>13835.5</v>
      </c>
      <c r="EK320" s="1212">
        <f t="shared" si="1561"/>
        <v>13781</v>
      </c>
      <c r="EL320" s="1212">
        <f t="shared" si="1561"/>
        <v>13721</v>
      </c>
      <c r="EM320" s="1212">
        <f t="shared" si="1561"/>
        <v>13699.5</v>
      </c>
      <c r="EN320" s="1162">
        <f t="shared" si="1561"/>
        <v>13759.25</v>
      </c>
      <c r="EO320" s="1212">
        <f t="shared" si="1561"/>
        <v>13667</v>
      </c>
      <c r="EP320" s="1212">
        <f t="shared" si="1561"/>
        <v>13589.5</v>
      </c>
      <c r="EQ320" s="1212">
        <f t="shared" si="1561"/>
        <v>13516.5</v>
      </c>
      <c r="ER320" s="1212">
        <f t="shared" si="1561"/>
        <v>13433.521250888414</v>
      </c>
      <c r="ES320" s="1162">
        <f t="shared" si="1561"/>
        <v>13551.630312722104</v>
      </c>
      <c r="ET320" s="1212">
        <f t="shared" si="1561"/>
        <v>13350.559459251202</v>
      </c>
      <c r="EU320" s="1212">
        <f t="shared" si="1561"/>
        <v>13278.081792958643</v>
      </c>
      <c r="EV320" s="1212">
        <f t="shared" si="1561"/>
        <v>13209.219918878471</v>
      </c>
      <c r="EW320" s="1212">
        <f t="shared" si="1561"/>
        <v>13140.232421583232</v>
      </c>
      <c r="EX320" s="1162">
        <f t="shared" si="1561"/>
        <v>13244.523398167887</v>
      </c>
      <c r="EY320" s="1212">
        <f t="shared" ref="EY320:FC320" si="1562">EY108-EY183</f>
        <v>13055.056582426139</v>
      </c>
      <c r="EZ320" s="1212">
        <f t="shared" si="1562"/>
        <v>12962.96748735139</v>
      </c>
      <c r="FA320" s="1212">
        <f t="shared" si="1562"/>
        <v>12879.527824753864</v>
      </c>
      <c r="FB320" s="1212">
        <f t="shared" si="1562"/>
        <v>12795.373136128022</v>
      </c>
      <c r="FC320" s="1162">
        <f t="shared" si="1562"/>
        <v>12923.231257664855</v>
      </c>
      <c r="FD320" s="1212">
        <f t="shared" si="1561"/>
        <v>12694.192687173183</v>
      </c>
      <c r="FE320" s="1212">
        <f t="shared" si="1561"/>
        <v>12590.717367013711</v>
      </c>
      <c r="FF320" s="1212">
        <f t="shared" si="1561"/>
        <v>12501.722702508067</v>
      </c>
      <c r="FG320" s="1212">
        <f t="shared" si="1561"/>
        <v>12414.496889590884</v>
      </c>
      <c r="FH320" s="1162">
        <f t="shared" ref="FH320" si="1563">FH108-FH183</f>
        <v>12550.282411571463</v>
      </c>
      <c r="FI320" s="1212">
        <f t="shared" si="1561"/>
        <v>12210.305988391792</v>
      </c>
      <c r="FJ320" s="1212">
        <f t="shared" si="1561"/>
        <v>11924.991562693758</v>
      </c>
      <c r="FK320" s="1212">
        <f t="shared" si="1561"/>
        <v>11718.678215272146</v>
      </c>
      <c r="FL320" s="1212">
        <f t="shared" si="1561"/>
        <v>11585.557773850698</v>
      </c>
      <c r="FM320" s="1212">
        <f t="shared" si="1561"/>
        <v>11517.57026939822</v>
      </c>
      <c r="FN320" s="193"/>
      <c r="FO320" s="193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</row>
    <row r="321" spans="1:170" x14ac:dyDescent="0.3">
      <c r="A321" s="55"/>
      <c r="EO321"/>
      <c r="EP321"/>
      <c r="EQ321"/>
      <c r="ER321"/>
    </row>
    <row r="322" spans="1:170" x14ac:dyDescent="0.3">
      <c r="A322" s="60" t="s">
        <v>361</v>
      </c>
      <c r="ED322" s="85"/>
      <c r="EE322" s="74"/>
      <c r="EO322"/>
      <c r="EP322"/>
      <c r="EQ322"/>
      <c r="ER322"/>
    </row>
    <row r="323" spans="1:170" x14ac:dyDescent="0.3">
      <c r="A323" s="56" t="s">
        <v>421</v>
      </c>
      <c r="DU323" s="828">
        <f>Inputs!DU430</f>
        <v>39.53</v>
      </c>
      <c r="DV323" s="828">
        <f>Inputs!DV430</f>
        <v>40.18</v>
      </c>
      <c r="DW323" s="828">
        <f>Inputs!DW430</f>
        <v>40.75</v>
      </c>
      <c r="DX323" s="828">
        <f>Inputs!DX430</f>
        <v>40.97</v>
      </c>
      <c r="DY323" s="102">
        <f>+DY619/DY314/12*1000</f>
        <v>40.3418202764977</v>
      </c>
      <c r="DZ323" s="828">
        <f>Inputs!DZ430</f>
        <v>41.15</v>
      </c>
      <c r="EA323" s="828">
        <f>Inputs!EA430</f>
        <v>41.93</v>
      </c>
      <c r="EB323" s="828">
        <f>Inputs!EB430</f>
        <v>42.16</v>
      </c>
      <c r="EC323" s="828">
        <f>Inputs!EC430</f>
        <v>42.61</v>
      </c>
      <c r="ED323" s="102">
        <f>ED337/ED314*1000/12</f>
        <v>41.953646922183502</v>
      </c>
      <c r="EE323" s="828">
        <f>Inputs!EE430</f>
        <v>43.23</v>
      </c>
      <c r="EF323" s="828">
        <f>Inputs!EF430</f>
        <v>44.8</v>
      </c>
      <c r="EG323" s="828">
        <f>Inputs!EG430</f>
        <v>45.44</v>
      </c>
      <c r="EH323" s="828">
        <f>Inputs!EH430</f>
        <v>45.33</v>
      </c>
      <c r="EI323" s="102">
        <f>EI337/EI314*1000/12</f>
        <v>44.680457573124819</v>
      </c>
      <c r="EJ323" s="828">
        <f>Inputs!EJ430</f>
        <v>45.72</v>
      </c>
      <c r="EK323" s="828">
        <f>Inputs!EK430</f>
        <v>48.47</v>
      </c>
      <c r="EL323" s="828">
        <f>Inputs!EL430</f>
        <v>49.65</v>
      </c>
      <c r="EM323" s="828">
        <f>Inputs!EM430</f>
        <v>48.7</v>
      </c>
      <c r="EN323" s="102">
        <f>EN337/EN314*1000/12</f>
        <v>48.086720529226767</v>
      </c>
      <c r="EO323" s="828">
        <f>Inputs!EO430</f>
        <v>48.88</v>
      </c>
      <c r="EP323" s="828">
        <f>Inputs!EP430</f>
        <v>51.9</v>
      </c>
      <c r="EQ323" s="828">
        <f>Inputs!EQ430</f>
        <v>54.62</v>
      </c>
      <c r="ER323" s="828">
        <f>Inputs!ER430</f>
        <v>54.22</v>
      </c>
      <c r="ES323" s="102">
        <f>ES337/ES314*1000/12</f>
        <v>52.261183591123064</v>
      </c>
      <c r="ET323" s="101">
        <f t="shared" ref="ET323:EW323" si="1564">+EO323*(1+ET324)</f>
        <v>52.911162129769252</v>
      </c>
      <c r="EU323" s="101">
        <f t="shared" si="1564"/>
        <v>56.180223292451387</v>
      </c>
      <c r="EV323" s="101">
        <f t="shared" si="1564"/>
        <v>59.124543280032654</v>
      </c>
      <c r="EW323" s="101">
        <f t="shared" si="1564"/>
        <v>58.691555046564822</v>
      </c>
      <c r="EX323" s="102">
        <f>EX337/EX314*1000/12</f>
        <v>56.555748924570146</v>
      </c>
      <c r="EY323" s="101">
        <f t="shared" ref="EY323:FB323" si="1565">+ET323*(1+EY324)</f>
        <v>57.056595832073391</v>
      </c>
      <c r="EZ323" s="101">
        <f t="shared" si="1565"/>
        <v>60.581778307786593</v>
      </c>
      <c r="FA323" s="101">
        <f t="shared" si="1565"/>
        <v>63.756777093859412</v>
      </c>
      <c r="FB323" s="101">
        <f t="shared" si="1565"/>
        <v>63.289865507672239</v>
      </c>
      <c r="FC323" s="102">
        <f>FC337/FC314*1000/12</f>
        <v>60.977090628592428</v>
      </c>
      <c r="FD323" s="101">
        <f t="shared" ref="FD323" si="1566">+EY323*(1+FD324)</f>
        <v>61.303301243398131</v>
      </c>
      <c r="FE323" s="101">
        <f t="shared" ref="FE323" si="1567">+EZ323*(1+FE324)</f>
        <v>65.09086199943458</v>
      </c>
      <c r="FF323" s="101">
        <f t="shared" ref="FF323" si="1568">+FA323*(1+FF324)</f>
        <v>68.502174998248876</v>
      </c>
      <c r="FG323" s="101">
        <f t="shared" ref="FG323" si="1569">+FB323*(1+FG324)</f>
        <v>68.000511321952672</v>
      </c>
      <c r="FH323" s="102">
        <f>FH337/FH314*1000/12</f>
        <v>65.50468242611619</v>
      </c>
      <c r="FI323" s="101">
        <f t="shared" ref="FI323:FM323" si="1570">+FH323*(1+FI324)</f>
        <v>70.125262660509577</v>
      </c>
      <c r="FJ323" s="101">
        <f t="shared" si="1570"/>
        <v>74.824444780794622</v>
      </c>
      <c r="FK323" s="101">
        <f t="shared" si="1570"/>
        <v>79.587820998543393</v>
      </c>
      <c r="FL323" s="101">
        <f t="shared" si="1570"/>
        <v>84.401106257574199</v>
      </c>
      <c r="FM323" s="101">
        <f t="shared" si="1570"/>
        <v>89.25026867619053</v>
      </c>
      <c r="FN323" s="189">
        <f>+(FJ323/ES323)^0.2-1</f>
        <v>7.4416952957486737E-2</v>
      </c>
    </row>
    <row r="324" spans="1:170" x14ac:dyDescent="0.3">
      <c r="A324" s="70" t="s">
        <v>363</v>
      </c>
      <c r="DZ324" s="375">
        <f t="shared" ref="DZ324:ER324" si="1571">+DZ323/DU323-1</f>
        <v>4.0981533012901528E-2</v>
      </c>
      <c r="EA324" s="375">
        <f t="shared" si="1571"/>
        <v>4.355400696864109E-2</v>
      </c>
      <c r="EB324" s="375">
        <f t="shared" si="1571"/>
        <v>3.460122699386492E-2</v>
      </c>
      <c r="EC324" s="375">
        <f t="shared" si="1571"/>
        <v>4.002928972418851E-2</v>
      </c>
      <c r="ED324" s="84">
        <f t="shared" si="1571"/>
        <v>3.9954236934242049E-2</v>
      </c>
      <c r="EE324" s="375">
        <f t="shared" si="1571"/>
        <v>5.054678007290403E-2</v>
      </c>
      <c r="EF324" s="375">
        <f t="shared" si="1571"/>
        <v>6.8447412353923154E-2</v>
      </c>
      <c r="EG324" s="375">
        <f t="shared" si="1571"/>
        <v>7.7798861480075976E-2</v>
      </c>
      <c r="EH324" s="375">
        <f t="shared" si="1571"/>
        <v>6.3834780567941785E-2</v>
      </c>
      <c r="EI324" s="84">
        <f>+EI323/ED323-1</f>
        <v>6.4995795383392174E-2</v>
      </c>
      <c r="EJ324" s="375">
        <f t="shared" si="1571"/>
        <v>5.7598889659958408E-2</v>
      </c>
      <c r="EK324" s="375">
        <f t="shared" si="1571"/>
        <v>8.1919642857142927E-2</v>
      </c>
      <c r="EL324" s="375">
        <f t="shared" si="1571"/>
        <v>9.2649647887323994E-2</v>
      </c>
      <c r="EM324" s="375">
        <f t="shared" si="1571"/>
        <v>7.434370174277527E-2</v>
      </c>
      <c r="EN324" s="84">
        <f>+EN323/EI323-1</f>
        <v>7.6236080405559736E-2</v>
      </c>
      <c r="EO324" s="375">
        <f t="shared" si="1571"/>
        <v>6.9116360454943182E-2</v>
      </c>
      <c r="EP324" s="375">
        <f t="shared" si="1571"/>
        <v>7.0765421910460091E-2</v>
      </c>
      <c r="EQ324" s="375">
        <f t="shared" si="1571"/>
        <v>0.10010070493454171</v>
      </c>
      <c r="ER324" s="375">
        <f t="shared" si="1571"/>
        <v>0.11334702258726881</v>
      </c>
      <c r="ES324" s="84">
        <f>+ES323/EN323-1</f>
        <v>8.6811140704824874E-2</v>
      </c>
      <c r="ET324" s="87">
        <f>ES324*0.95</f>
        <v>8.2470583669583625E-2</v>
      </c>
      <c r="EU324" s="87">
        <f>ET324</f>
        <v>8.2470583669583625E-2</v>
      </c>
      <c r="EV324" s="87">
        <f t="shared" ref="EV324:EW324" si="1572">EU324</f>
        <v>8.2470583669583625E-2</v>
      </c>
      <c r="EW324" s="87">
        <f t="shared" si="1572"/>
        <v>8.2470583669583625E-2</v>
      </c>
      <c r="EX324" s="84">
        <f>+EX323/ES323-1</f>
        <v>8.2175049211410167E-2</v>
      </c>
      <c r="EY324" s="87">
        <f t="shared" ref="EY324:FB324" si="1573">ET324*0.95</f>
        <v>7.8347054486104434E-2</v>
      </c>
      <c r="EZ324" s="87">
        <f t="shared" si="1573"/>
        <v>7.8347054486104434E-2</v>
      </c>
      <c r="FA324" s="87">
        <f t="shared" si="1573"/>
        <v>7.8347054486104434E-2</v>
      </c>
      <c r="FB324" s="87">
        <f t="shared" si="1573"/>
        <v>7.8347054486104434E-2</v>
      </c>
      <c r="FC324" s="84">
        <f>+FC323/EX323-1</f>
        <v>7.8176698003224132E-2</v>
      </c>
      <c r="FD324" s="87">
        <f t="shared" ref="FD324:FG324" si="1574">EY324*0.95</f>
        <v>7.4429701761799208E-2</v>
      </c>
      <c r="FE324" s="87">
        <f t="shared" si="1574"/>
        <v>7.4429701761799208E-2</v>
      </c>
      <c r="FF324" s="87">
        <f t="shared" si="1574"/>
        <v>7.4429701761799208E-2</v>
      </c>
      <c r="FG324" s="87">
        <f t="shared" si="1574"/>
        <v>7.4429701761799208E-2</v>
      </c>
      <c r="FH324" s="84">
        <f>+FH323/FC323-1</f>
        <v>7.4250702203898733E-2</v>
      </c>
      <c r="FI324" s="87">
        <f t="shared" ref="FI324:FM324" si="1575">FH324*0.95</f>
        <v>7.0538167093703794E-2</v>
      </c>
      <c r="FJ324" s="87">
        <f t="shared" si="1575"/>
        <v>6.70112587390186E-2</v>
      </c>
      <c r="FK324" s="87">
        <f t="shared" si="1575"/>
        <v>6.3660695802067666E-2</v>
      </c>
      <c r="FL324" s="87">
        <f t="shared" si="1575"/>
        <v>6.0477661011964279E-2</v>
      </c>
      <c r="FM324" s="87">
        <f t="shared" si="1575"/>
        <v>5.7453777961366061E-2</v>
      </c>
    </row>
    <row r="325" spans="1:170" x14ac:dyDescent="0.3">
      <c r="A325" s="56" t="s">
        <v>422</v>
      </c>
      <c r="DU325" s="828"/>
      <c r="DV325" s="828"/>
      <c r="DW325" s="828"/>
      <c r="DX325" s="828"/>
      <c r="DY325" s="102"/>
      <c r="DZ325" s="828">
        <f>Inputs!DZ439</f>
        <v>110</v>
      </c>
      <c r="EA325" s="828">
        <f>Inputs!EA439</f>
        <v>109.98</v>
      </c>
      <c r="EB325" s="828">
        <f>Inputs!EB439</f>
        <v>111.88</v>
      </c>
      <c r="EC325" s="828">
        <f>Inputs!EC439</f>
        <v>112.41</v>
      </c>
      <c r="ED325" s="102">
        <f>ED338/ED315/12*1000</f>
        <v>110.9828</v>
      </c>
      <c r="EE325" s="828">
        <f>Inputs!EE439</f>
        <v>115.76</v>
      </c>
      <c r="EF325" s="828">
        <f>Inputs!EF439</f>
        <v>117.46</v>
      </c>
      <c r="EG325" s="828">
        <f>Inputs!EG439</f>
        <v>118.98</v>
      </c>
      <c r="EH325" s="828">
        <f>Inputs!EH439</f>
        <v>119.01</v>
      </c>
      <c r="EI325" s="102">
        <f>EI338/EI315/12*1000</f>
        <v>117.71256198347106</v>
      </c>
      <c r="EJ325" s="828">
        <f>Inputs!EJ439</f>
        <v>119.54</v>
      </c>
      <c r="EK325" s="828">
        <f>Inputs!EK439</f>
        <v>124.29</v>
      </c>
      <c r="EL325" s="828">
        <f>Inputs!EL439</f>
        <v>125.52</v>
      </c>
      <c r="EM325" s="828">
        <f>Inputs!EM439</f>
        <v>124.89</v>
      </c>
      <c r="EN325" s="102">
        <f>EN338/EN315/12*1000</f>
        <v>123.37491712707181</v>
      </c>
      <c r="EO325" s="828">
        <f>Inputs!EO439</f>
        <v>130.65</v>
      </c>
      <c r="EP325" s="828">
        <f>Inputs!EP439</f>
        <v>134.86000000000001</v>
      </c>
      <c r="EQ325" s="828">
        <f>Inputs!EQ439</f>
        <v>135.04</v>
      </c>
      <c r="ER325" s="828">
        <f>Inputs!ER439</f>
        <v>128.84</v>
      </c>
      <c r="ES325" s="102">
        <f>ES338/ES315/12*1000</f>
        <v>132.40957142857144</v>
      </c>
      <c r="ET325" s="101">
        <f t="shared" ref="ET325:EW325" si="1576">+EO325*(1+ET326)</f>
        <v>135.876</v>
      </c>
      <c r="EU325" s="101">
        <f t="shared" si="1576"/>
        <v>140.25440000000003</v>
      </c>
      <c r="EV325" s="101">
        <f t="shared" si="1576"/>
        <v>140.44159999999999</v>
      </c>
      <c r="EW325" s="101">
        <f t="shared" si="1576"/>
        <v>133.99360000000001</v>
      </c>
      <c r="EX325" s="102">
        <f>EX338/EX315/12*1000</f>
        <v>137.71378507899294</v>
      </c>
      <c r="EY325" s="101">
        <f t="shared" ref="EY325:FB325" si="1577">+ET325*(1+EY326)</f>
        <v>141.31104000000002</v>
      </c>
      <c r="EZ325" s="101">
        <f t="shared" si="1577"/>
        <v>145.86457600000003</v>
      </c>
      <c r="FA325" s="101">
        <f t="shared" si="1577"/>
        <v>146.05926399999998</v>
      </c>
      <c r="FB325" s="101">
        <f t="shared" si="1577"/>
        <v>139.35334400000002</v>
      </c>
      <c r="FC325" s="102">
        <f>FC338/FC315/12*1000</f>
        <v>143.22233648215266</v>
      </c>
      <c r="FD325" s="101">
        <f t="shared" ref="FD325" si="1578">+EY325*(1+FD326)</f>
        <v>146.96348160000002</v>
      </c>
      <c r="FE325" s="101">
        <f t="shared" ref="FE325" si="1579">+EZ325*(1+FE326)</f>
        <v>151.69915904000004</v>
      </c>
      <c r="FF325" s="101">
        <f t="shared" ref="FF325" si="1580">+FA325*(1+FF326)</f>
        <v>151.90163455999999</v>
      </c>
      <c r="FG325" s="101">
        <f t="shared" ref="FG325" si="1581">+FB325*(1+FG326)</f>
        <v>144.92747776000002</v>
      </c>
      <c r="FH325" s="102">
        <f>FH338/FH315/12*1000</f>
        <v>148.95122994143875</v>
      </c>
      <c r="FI325" s="101">
        <f t="shared" ref="FI325:FM325" si="1582">+FH325*(1+FI326)</f>
        <v>154.9092791390963</v>
      </c>
      <c r="FJ325" s="101">
        <f t="shared" si="1582"/>
        <v>161.10565030466014</v>
      </c>
      <c r="FK325" s="101">
        <f t="shared" si="1582"/>
        <v>167.54987631684656</v>
      </c>
      <c r="FL325" s="101">
        <f t="shared" si="1582"/>
        <v>174.25187136952044</v>
      </c>
      <c r="FM325" s="101">
        <f t="shared" si="1582"/>
        <v>181.22194622430126</v>
      </c>
      <c r="FN325" s="189">
        <f>+(FJ325/ES325)^0.2-1</f>
        <v>4.0011827868752459E-2</v>
      </c>
    </row>
    <row r="326" spans="1:170" x14ac:dyDescent="0.3">
      <c r="A326" s="70" t="s">
        <v>363</v>
      </c>
      <c r="DZ326" s="375"/>
      <c r="EA326" s="375"/>
      <c r="EB326" s="375"/>
      <c r="EC326" s="375"/>
      <c r="ED326" s="84"/>
      <c r="EE326" s="375">
        <f t="shared" ref="EE326:ER326" si="1583">+EE325/DZ325-1</f>
        <v>5.236363636363639E-2</v>
      </c>
      <c r="EF326" s="375">
        <f t="shared" si="1583"/>
        <v>6.8012365884706272E-2</v>
      </c>
      <c r="EG326" s="375">
        <f t="shared" si="1583"/>
        <v>6.346085091169118E-2</v>
      </c>
      <c r="EH326" s="375">
        <f t="shared" si="1583"/>
        <v>5.8713637576728095E-2</v>
      </c>
      <c r="EI326" s="84">
        <f t="shared" si="1583"/>
        <v>6.0637882477925009E-2</v>
      </c>
      <c r="EJ326" s="375">
        <f t="shared" si="1583"/>
        <v>3.2653766413268892E-2</v>
      </c>
      <c r="EK326" s="375">
        <f t="shared" si="1583"/>
        <v>5.8147454452579739E-2</v>
      </c>
      <c r="EL326" s="375">
        <f t="shared" si="1583"/>
        <v>5.4967221381744702E-2</v>
      </c>
      <c r="EM326" s="375">
        <f t="shared" si="1583"/>
        <v>4.940761280564665E-2</v>
      </c>
      <c r="EN326" s="84">
        <f>+EN325/EI325-1</f>
        <v>4.8103235951961087E-2</v>
      </c>
      <c r="EO326" s="375">
        <f t="shared" si="1583"/>
        <v>9.2939601806926619E-2</v>
      </c>
      <c r="EP326" s="375">
        <f t="shared" si="1583"/>
        <v>8.50430444927186E-2</v>
      </c>
      <c r="EQ326" s="375">
        <f t="shared" si="1583"/>
        <v>7.5844486934353084E-2</v>
      </c>
      <c r="ER326" s="375">
        <f t="shared" si="1583"/>
        <v>3.1627832492593599E-2</v>
      </c>
      <c r="ES326" s="84">
        <f>+ES325/EN325-1</f>
        <v>7.322926338580027E-2</v>
      </c>
      <c r="ET326" s="87">
        <v>0.04</v>
      </c>
      <c r="EU326" s="87">
        <v>0.04</v>
      </c>
      <c r="EV326" s="87">
        <v>0.04</v>
      </c>
      <c r="EW326" s="87">
        <v>0.04</v>
      </c>
      <c r="EX326" s="84">
        <f>+EX325/ES325-1</f>
        <v>4.0059140688955885E-2</v>
      </c>
      <c r="EY326" s="87">
        <f t="shared" ref="EY326:FB326" si="1584">ET326</f>
        <v>0.04</v>
      </c>
      <c r="EZ326" s="87">
        <f t="shared" si="1584"/>
        <v>0.04</v>
      </c>
      <c r="FA326" s="87">
        <f t="shared" si="1584"/>
        <v>0.04</v>
      </c>
      <c r="FB326" s="87">
        <f t="shared" si="1584"/>
        <v>0.04</v>
      </c>
      <c r="FC326" s="84">
        <f>+FC325/EX325-1</f>
        <v>4.0000000000000036E-2</v>
      </c>
      <c r="FD326" s="87">
        <f t="shared" ref="FD326:FG326" si="1585">EY326</f>
        <v>0.04</v>
      </c>
      <c r="FE326" s="87">
        <f t="shared" si="1585"/>
        <v>0.04</v>
      </c>
      <c r="FF326" s="87">
        <f t="shared" si="1585"/>
        <v>0.04</v>
      </c>
      <c r="FG326" s="87">
        <f t="shared" si="1585"/>
        <v>0.04</v>
      </c>
      <c r="FH326" s="84">
        <f>+FH325/FC325-1</f>
        <v>4.0000000000000036E-2</v>
      </c>
      <c r="FI326" s="87">
        <f t="shared" ref="FI326:FM326" si="1586">FH326</f>
        <v>4.0000000000000036E-2</v>
      </c>
      <c r="FJ326" s="87">
        <f t="shared" si="1586"/>
        <v>4.0000000000000036E-2</v>
      </c>
      <c r="FK326" s="87">
        <f t="shared" si="1586"/>
        <v>4.0000000000000036E-2</v>
      </c>
      <c r="FL326" s="87">
        <f t="shared" si="1586"/>
        <v>4.0000000000000036E-2</v>
      </c>
      <c r="FM326" s="87">
        <f t="shared" si="1586"/>
        <v>4.0000000000000036E-2</v>
      </c>
    </row>
    <row r="327" spans="1:170" s="108" customFormat="1" x14ac:dyDescent="0.3">
      <c r="A327" s="56" t="s">
        <v>423</v>
      </c>
      <c r="DU327" s="1070"/>
      <c r="DV327" s="1070"/>
      <c r="DW327" s="1071"/>
      <c r="DX327" s="1071"/>
      <c r="DY327" s="1072"/>
      <c r="DZ327" s="1143">
        <f>DZ339/DZ317*1000/3</f>
        <v>37.119676725792836</v>
      </c>
      <c r="EA327" s="1143">
        <f>EA339/EA317*1000/3</f>
        <v>36.583476702508953</v>
      </c>
      <c r="EB327" s="1143">
        <f>EB339/EB317*1000/3</f>
        <v>35.862500794407374</v>
      </c>
      <c r="EC327" s="1143">
        <f>EC339/EC317*1000/3</f>
        <v>35.946297830855471</v>
      </c>
      <c r="ED327" s="1214">
        <f>ED339/ED317*1000/12</f>
        <v>36.387713874768487</v>
      </c>
      <c r="EE327" s="1143">
        <f>EE339/EE317*1000/3</f>
        <v>35.308505403158769</v>
      </c>
      <c r="EF327" s="1143">
        <f>EF339/EF317*1000/3</f>
        <v>34.859950642498511</v>
      </c>
      <c r="EG327" s="1143">
        <f>EG339/EG317*1000/3</f>
        <v>34.183053661947206</v>
      </c>
      <c r="EH327" s="1143">
        <f>EH339/EH317*1000/3</f>
        <v>33.694849955076364</v>
      </c>
      <c r="EI327" s="1214">
        <f>EI339/EI317*1000/12</f>
        <v>34.529518693504194</v>
      </c>
      <c r="EJ327" s="1143">
        <f>EJ339/EJ317*1000/3</f>
        <v>33.889628808864266</v>
      </c>
      <c r="EK327" s="1143">
        <f>EK339/EK317*1000/3</f>
        <v>34.232451932229203</v>
      </c>
      <c r="EL327" s="1143">
        <f>EL339/EL317*1000/3</f>
        <v>34.81544381632451</v>
      </c>
      <c r="EM327" s="1143">
        <f>EM339/EM317*1000/3</f>
        <v>32.736809464248488</v>
      </c>
      <c r="EN327" s="1214">
        <f>EN339/EN317*1000/12</f>
        <v>33.935383658839882</v>
      </c>
      <c r="EO327" s="1143">
        <f>EO339/EO317*1000/3</f>
        <v>33.131529011736312</v>
      </c>
      <c r="EP327" s="1143">
        <f>EP339/EP317*1000/3</f>
        <v>35.201367521367523</v>
      </c>
      <c r="EQ327" s="1143">
        <f>EQ339/EQ317*1000/3</f>
        <v>37.019344583027639</v>
      </c>
      <c r="ER327" s="1143">
        <f>ER339/ER317*1000/3</f>
        <v>37.495914981855883</v>
      </c>
      <c r="ES327" s="1214">
        <f>ES339/ES317*1000/12</f>
        <v>35.608312394190499</v>
      </c>
      <c r="ET327" s="1073">
        <f t="shared" ref="ET327:EW327" si="1587">+EO327*(1+ET328)</f>
        <v>35.450736042557857</v>
      </c>
      <c r="EU327" s="1073">
        <f t="shared" si="1587"/>
        <v>35.905394871794876</v>
      </c>
      <c r="EV327" s="1073">
        <f t="shared" si="1587"/>
        <v>37.019344583027639</v>
      </c>
      <c r="EW327" s="1073">
        <f t="shared" si="1587"/>
        <v>37.495914981855883</v>
      </c>
      <c r="EX327" s="1214">
        <f>EX339/EX317*1000/12</f>
        <v>36.412027210253598</v>
      </c>
      <c r="EY327" s="1073">
        <f t="shared" ref="EY327:FB327" si="1588">+ET327*(1+EY328)</f>
        <v>35.450736042557857</v>
      </c>
      <c r="EZ327" s="1073">
        <f t="shared" si="1588"/>
        <v>35.905394871794876</v>
      </c>
      <c r="FA327" s="1073">
        <f t="shared" si="1588"/>
        <v>37.019344583027639</v>
      </c>
      <c r="FB327" s="1073">
        <f t="shared" si="1588"/>
        <v>37.495914981855883</v>
      </c>
      <c r="FC327" s="1214">
        <f>FC339/FC317*1000/12</f>
        <v>36.411074416313504</v>
      </c>
      <c r="FD327" s="1073">
        <f t="shared" ref="FD327:FG327" si="1589">+EY327*(1+FD328)</f>
        <v>35.450736042557857</v>
      </c>
      <c r="FE327" s="1073">
        <f t="shared" si="1589"/>
        <v>35.905394871794876</v>
      </c>
      <c r="FF327" s="1073">
        <f t="shared" si="1589"/>
        <v>37.019344583027639</v>
      </c>
      <c r="FG327" s="1073">
        <f t="shared" si="1589"/>
        <v>37.495914981855883</v>
      </c>
      <c r="FH327" s="1214">
        <f>FH339/FH317*1000/12</f>
        <v>36.409189224706331</v>
      </c>
      <c r="FI327" s="1073">
        <f t="shared" ref="FI327:FM327" si="1590">+FH327*(1+FI328)</f>
        <v>36.407681149505571</v>
      </c>
      <c r="FJ327" s="1073">
        <f t="shared" si="1590"/>
        <v>36.406474739316764</v>
      </c>
      <c r="FK327" s="1073">
        <f t="shared" si="1590"/>
        <v>36.405509643146338</v>
      </c>
      <c r="FL327" s="1073">
        <f t="shared" si="1590"/>
        <v>36.404737586676923</v>
      </c>
      <c r="FM327" s="1073">
        <f t="shared" si="1590"/>
        <v>36.404119954599871</v>
      </c>
      <c r="FN327" s="1068">
        <f>+(FJ327/ES327)^0.2-1</f>
        <v>4.443348820650117E-3</v>
      </c>
    </row>
    <row r="328" spans="1:170" s="108" customFormat="1" x14ac:dyDescent="0.3">
      <c r="A328" s="70" t="s">
        <v>363</v>
      </c>
      <c r="DY328" s="538"/>
      <c r="DZ328" s="940"/>
      <c r="EA328" s="940"/>
      <c r="EB328" s="940"/>
      <c r="EC328" s="940"/>
      <c r="ED328" s="127"/>
      <c r="EE328" s="126">
        <f t="shared" ref="EE328:ER328" si="1591">+EE327/DZ327-1</f>
        <v>-4.879275582094611E-2</v>
      </c>
      <c r="EF328" s="126">
        <f t="shared" si="1591"/>
        <v>-4.7112145027272345E-2</v>
      </c>
      <c r="EG328" s="126">
        <f t="shared" si="1591"/>
        <v>-4.6830173447415357E-2</v>
      </c>
      <c r="EH328" s="126">
        <f t="shared" si="1591"/>
        <v>-6.2633651075091112E-2</v>
      </c>
      <c r="EI328" s="127">
        <f t="shared" si="1591"/>
        <v>-5.1066554707433265E-2</v>
      </c>
      <c r="EJ328" s="126">
        <f t="shared" si="1591"/>
        <v>-4.018512191591006E-2</v>
      </c>
      <c r="EK328" s="126">
        <f t="shared" si="1591"/>
        <v>-1.800056221262436E-2</v>
      </c>
      <c r="EL328" s="126">
        <f t="shared" si="1591"/>
        <v>1.8500107118319953E-2</v>
      </c>
      <c r="EM328" s="126">
        <f t="shared" si="1591"/>
        <v>-2.8432846328301897E-2</v>
      </c>
      <c r="EN328" s="127">
        <f>+EN327/EI327-1</f>
        <v>-1.7206583153911215E-2</v>
      </c>
      <c r="EO328" s="126">
        <f t="shared" si="1591"/>
        <v>-2.2369669535290515E-2</v>
      </c>
      <c r="EP328" s="126">
        <f t="shared" si="1591"/>
        <v>2.8304007876984727E-2</v>
      </c>
      <c r="EQ328" s="126">
        <f t="shared" si="1591"/>
        <v>6.3302388972268364E-2</v>
      </c>
      <c r="ER328" s="126">
        <f t="shared" si="1591"/>
        <v>0.14537475079252182</v>
      </c>
      <c r="ES328" s="127">
        <f>+ES327/EN327-1</f>
        <v>4.9297475230247745E-2</v>
      </c>
      <c r="ET328" s="940">
        <v>7.0000000000000007E-2</v>
      </c>
      <c r="EU328" s="940">
        <v>0.02</v>
      </c>
      <c r="EV328" s="940">
        <v>0</v>
      </c>
      <c r="EW328" s="940">
        <v>0</v>
      </c>
      <c r="EX328" s="127">
        <f>+EX327/ES327-1</f>
        <v>2.2570988682806048E-2</v>
      </c>
      <c r="EY328" s="940">
        <v>0</v>
      </c>
      <c r="EZ328" s="940">
        <v>0</v>
      </c>
      <c r="FA328" s="940">
        <v>0</v>
      </c>
      <c r="FB328" s="940">
        <v>0</v>
      </c>
      <c r="FC328" s="127">
        <f>+FC327/EX327-1</f>
        <v>-2.6167011646816007E-5</v>
      </c>
      <c r="FD328" s="940">
        <f t="shared" ref="FD328:FG328" si="1592">EY328*0.8</f>
        <v>0</v>
      </c>
      <c r="FE328" s="940">
        <f t="shared" si="1592"/>
        <v>0</v>
      </c>
      <c r="FF328" s="940">
        <f t="shared" si="1592"/>
        <v>0</v>
      </c>
      <c r="FG328" s="940">
        <f t="shared" si="1592"/>
        <v>0</v>
      </c>
      <c r="FH328" s="127">
        <f>+FH327/FC327-1</f>
        <v>-5.177522601007567E-5</v>
      </c>
      <c r="FI328" s="940">
        <f t="shared" ref="FI328:FM328" si="1593">FH328*0.8</f>
        <v>-4.142018080806054E-5</v>
      </c>
      <c r="FJ328" s="940">
        <f t="shared" si="1593"/>
        <v>-3.3136144646448433E-5</v>
      </c>
      <c r="FK328" s="940">
        <f t="shared" si="1593"/>
        <v>-2.6508915717158748E-5</v>
      </c>
      <c r="FL328" s="940">
        <f t="shared" si="1593"/>
        <v>-2.1207132573726999E-5</v>
      </c>
      <c r="FM328" s="940">
        <f t="shared" si="1593"/>
        <v>-1.69657060589816E-5</v>
      </c>
    </row>
    <row r="329" spans="1:170" x14ac:dyDescent="0.3">
      <c r="A329" s="56" t="s">
        <v>424</v>
      </c>
      <c r="DZ329" s="828">
        <f>Inputs!DZ443</f>
        <v>65.209999999999994</v>
      </c>
      <c r="EA329" s="828">
        <f>Inputs!EA443</f>
        <v>64.739999999999995</v>
      </c>
      <c r="EB329" s="828">
        <f>Inputs!EB443</f>
        <v>64.92</v>
      </c>
      <c r="EC329" s="828">
        <f>Inputs!EC443</f>
        <v>66.12</v>
      </c>
      <c r="ED329" s="102">
        <f>ED341/ED318*1000/12</f>
        <v>65.236398257063328</v>
      </c>
      <c r="EE329" s="828">
        <f>Inputs!EE448</f>
        <v>63.8</v>
      </c>
      <c r="EF329" s="828">
        <f>Inputs!EF448</f>
        <v>61.07</v>
      </c>
      <c r="EG329" s="828">
        <f>Inputs!EG448</f>
        <v>59.15</v>
      </c>
      <c r="EH329" s="828">
        <f>Inputs!EH448</f>
        <v>57.76</v>
      </c>
      <c r="EI329" s="102">
        <f>EI341/EI318*1000/12</f>
        <v>60.506864347858773</v>
      </c>
      <c r="EJ329" s="828">
        <f>Inputs!EJ448</f>
        <v>59.35</v>
      </c>
      <c r="EK329" s="828">
        <f>Inputs!EK448</f>
        <v>57.35</v>
      </c>
      <c r="EL329" s="828">
        <f>Inputs!EL448</f>
        <v>59.25</v>
      </c>
      <c r="EM329" s="828">
        <f>Inputs!EM448</f>
        <v>60.18</v>
      </c>
      <c r="EN329" s="102">
        <f>EN341/EN318*1000/12</f>
        <v>59.011415254237285</v>
      </c>
      <c r="EO329" s="828">
        <f>Inputs!EO448</f>
        <v>60.59</v>
      </c>
      <c r="EP329" s="828">
        <f>Inputs!EP448</f>
        <v>61.26</v>
      </c>
      <c r="EQ329" s="828">
        <f>Inputs!EQ448</f>
        <v>59.87</v>
      </c>
      <c r="ER329" s="828">
        <f>Inputs!ER448</f>
        <v>59.87</v>
      </c>
      <c r="ES329" s="102">
        <f>ES341/ES318*1000/12</f>
        <v>60.416267465069858</v>
      </c>
      <c r="ET329" s="1073">
        <f t="shared" ref="ET329:EW329" si="1594">+EO329*(1+ET330)</f>
        <v>61.195900000000002</v>
      </c>
      <c r="EU329" s="1073">
        <f t="shared" si="1594"/>
        <v>61.872599999999998</v>
      </c>
      <c r="EV329" s="1073">
        <f t="shared" si="1594"/>
        <v>60.468699999999998</v>
      </c>
      <c r="EW329" s="1073">
        <f t="shared" si="1594"/>
        <v>60.468699999999998</v>
      </c>
      <c r="EX329" s="102">
        <f>EX341/EX318*1000/12</f>
        <v>61.020549400668898</v>
      </c>
      <c r="EY329" s="101">
        <f t="shared" ref="EY329:FB329" si="1595">ET329*(1+EY330)</f>
        <v>61.746663099999992</v>
      </c>
      <c r="EZ329" s="101">
        <f t="shared" si="1595"/>
        <v>62.429453399999993</v>
      </c>
      <c r="FA329" s="101">
        <f t="shared" si="1595"/>
        <v>61.012918299999995</v>
      </c>
      <c r="FB329" s="101">
        <f t="shared" si="1595"/>
        <v>61.012918299999995</v>
      </c>
      <c r="FC329" s="102">
        <f>FC341/FC318*1000/12</f>
        <v>61.569601459243017</v>
      </c>
      <c r="FD329" s="101">
        <f t="shared" ref="FD329:FG329" si="1596">EY329*(1+FD330)</f>
        <v>62.246811071109995</v>
      </c>
      <c r="FE329" s="101">
        <f t="shared" si="1596"/>
        <v>62.935131972539992</v>
      </c>
      <c r="FF329" s="101">
        <f t="shared" si="1596"/>
        <v>61.507122938229998</v>
      </c>
      <c r="FG329" s="101">
        <f t="shared" si="1596"/>
        <v>61.507122938229998</v>
      </c>
      <c r="FH329" s="102">
        <f>FH341/FH318*1000/12</f>
        <v>62.068293912540838</v>
      </c>
      <c r="FI329" s="101">
        <f t="shared" ref="FI329:FM329" si="1597">FH329*(1+FI330)</f>
        <v>62.520752433088035</v>
      </c>
      <c r="FJ329" s="101">
        <f t="shared" si="1597"/>
        <v>62.930933555035885</v>
      </c>
      <c r="FK329" s="101">
        <f t="shared" si="1597"/>
        <v>63.302518539759326</v>
      </c>
      <c r="FL329" s="101">
        <f t="shared" si="1597"/>
        <v>63.638919696554225</v>
      </c>
      <c r="FM329" s="101">
        <f t="shared" si="1597"/>
        <v>63.943289665194364</v>
      </c>
      <c r="FN329" s="189"/>
    </row>
    <row r="330" spans="1:170" x14ac:dyDescent="0.3">
      <c r="A330" s="70" t="s">
        <v>363</v>
      </c>
      <c r="EE330" s="126">
        <f t="shared" ref="EE330:ER330" si="1598">+EE329/DZ329-1</f>
        <v>-2.1622450544394933E-2</v>
      </c>
      <c r="EF330" s="126">
        <f t="shared" si="1598"/>
        <v>-5.6688291628050558E-2</v>
      </c>
      <c r="EG330" s="126">
        <f t="shared" si="1598"/>
        <v>-8.887861983980283E-2</v>
      </c>
      <c r="EH330" s="126">
        <f t="shared" si="1598"/>
        <v>-0.12643678160919547</v>
      </c>
      <c r="EI330" s="127">
        <f t="shared" si="1598"/>
        <v>-7.2498391014290453E-2</v>
      </c>
      <c r="EJ330" s="126">
        <f t="shared" si="1598"/>
        <v>-6.9749216300940331E-2</v>
      </c>
      <c r="EK330" s="126">
        <f t="shared" si="1598"/>
        <v>-6.0913705583756306E-2</v>
      </c>
      <c r="EL330" s="126">
        <f t="shared" si="1598"/>
        <v>1.6906170752324368E-3</v>
      </c>
      <c r="EM330" s="126">
        <f t="shared" si="1598"/>
        <v>4.1897506925207884E-2</v>
      </c>
      <c r="EN330" s="127">
        <f>+EN329/EI329-1</f>
        <v>-2.4715362624379789E-2</v>
      </c>
      <c r="EO330" s="126">
        <f t="shared" si="1598"/>
        <v>2.0893007582139855E-2</v>
      </c>
      <c r="EP330" s="126">
        <f t="shared" si="1598"/>
        <v>6.8177855274629495E-2</v>
      </c>
      <c r="EQ330" s="126">
        <f t="shared" si="1598"/>
        <v>1.0464135021096999E-2</v>
      </c>
      <c r="ER330" s="126">
        <f t="shared" si="1598"/>
        <v>-5.151213027583923E-3</v>
      </c>
      <c r="ES330" s="127">
        <f>+ES329/EN329-1</f>
        <v>2.3806448375794487E-2</v>
      </c>
      <c r="ET330" s="940">
        <v>0.01</v>
      </c>
      <c r="EU330" s="940">
        <v>0.01</v>
      </c>
      <c r="EV330" s="940">
        <v>0.01</v>
      </c>
      <c r="EW330" s="940">
        <v>0.01</v>
      </c>
      <c r="EX330" s="127">
        <f>+EX329/ES329-1</f>
        <v>1.0001973987360468E-2</v>
      </c>
      <c r="EY330" s="940">
        <f t="shared" ref="EY330:FB330" si="1599">ET330*0.9</f>
        <v>9.0000000000000011E-3</v>
      </c>
      <c r="EZ330" s="940">
        <f t="shared" si="1599"/>
        <v>9.0000000000000011E-3</v>
      </c>
      <c r="FA330" s="940">
        <f t="shared" si="1599"/>
        <v>9.0000000000000011E-3</v>
      </c>
      <c r="FB330" s="940">
        <f t="shared" si="1599"/>
        <v>9.0000000000000011E-3</v>
      </c>
      <c r="FC330" s="127">
        <f>+FC329/EX329-1</f>
        <v>8.9978222740829672E-3</v>
      </c>
      <c r="FD330" s="940">
        <f t="shared" ref="FD330:FG330" si="1600">EY330*0.9</f>
        <v>8.1000000000000013E-3</v>
      </c>
      <c r="FE330" s="940">
        <f t="shared" si="1600"/>
        <v>8.1000000000000013E-3</v>
      </c>
      <c r="FF330" s="940">
        <f t="shared" si="1600"/>
        <v>8.1000000000000013E-3</v>
      </c>
      <c r="FG330" s="940">
        <f t="shared" si="1600"/>
        <v>8.1000000000000013E-3</v>
      </c>
      <c r="FH330" s="127">
        <f>+FH329/FC329-1</f>
        <v>8.0996537492277199E-3</v>
      </c>
      <c r="FI330" s="940">
        <f t="shared" ref="FI330:FM330" si="1601">FH330*0.9</f>
        <v>7.289688374304948E-3</v>
      </c>
      <c r="FJ330" s="940">
        <f t="shared" si="1601"/>
        <v>6.5607195368744533E-3</v>
      </c>
      <c r="FK330" s="940">
        <f t="shared" si="1601"/>
        <v>5.9046475831870081E-3</v>
      </c>
      <c r="FL330" s="940">
        <f t="shared" si="1601"/>
        <v>5.3141828248683071E-3</v>
      </c>
      <c r="FM330" s="940">
        <f t="shared" si="1601"/>
        <v>4.7827645423814766E-3</v>
      </c>
    </row>
    <row r="331" spans="1:170" s="705" customFormat="1" hidden="1" x14ac:dyDescent="0.3">
      <c r="A331" s="1011" t="s">
        <v>425</v>
      </c>
      <c r="DU331" s="1144"/>
      <c r="DV331" s="1144"/>
      <c r="DW331" s="1144"/>
      <c r="DX331" s="1144"/>
      <c r="DY331" s="1145"/>
      <c r="DZ331" s="1144">
        <f>+DZ624/DZ602/3*1000</f>
        <v>106.14787878787878</v>
      </c>
      <c r="EA331" s="1144">
        <f>+EA624/EA602/3*1000</f>
        <v>105.40403932082216</v>
      </c>
      <c r="EB331" s="1144">
        <f>+EB624/EB602/3*1000</f>
        <v>106.21305555555553</v>
      </c>
      <c r="EC331" s="1144">
        <f>+EC624/EC602/3*1000</f>
        <v>108.0841443298969</v>
      </c>
      <c r="ED331" s="1145">
        <f>+ED624/ED602/12*1000</f>
        <v>106.40565841240452</v>
      </c>
      <c r="EE331" s="1144">
        <f>+EE624/EE602/3*1000</f>
        <v>111.02473509933775</v>
      </c>
      <c r="EF331" s="1144">
        <f>+EF624/EF602/3*1000</f>
        <v>114.85704491725768</v>
      </c>
      <c r="EG331" s="1144">
        <f>+EG624/EG602/3*1000</f>
        <v>115.98656603773587</v>
      </c>
      <c r="EH331" s="1144">
        <f>+EH624/EH602/3*1000</f>
        <v>116.84909814323608</v>
      </c>
      <c r="EI331" s="1145">
        <f>+EI624/EI602/12*1000</f>
        <v>114.53226598000604</v>
      </c>
      <c r="EJ331" s="1144">
        <f>+EJ624/EJ602/3*1000</f>
        <v>118.08116828929067</v>
      </c>
      <c r="EK331" s="1144">
        <f>+EK624/EK602/3*1000</f>
        <v>121.93970674486802</v>
      </c>
      <c r="EL331" s="1144">
        <f>+EL624/EL602/3*1000</f>
        <v>122.16404056162246</v>
      </c>
      <c r="EM331" s="1144">
        <f>+EM624/EM602/3*1000</f>
        <v>122.53402317880796</v>
      </c>
      <c r="EN331" s="1145">
        <f t="shared" ref="EN331" si="1602">+EN624/EN602/12*1000</f>
        <v>121.08123204837491</v>
      </c>
      <c r="EO331" s="1144" t="e">
        <f>+EO624/EO602/3*1000</f>
        <v>#DIV/0!</v>
      </c>
      <c r="EP331" s="1144" t="e">
        <f>+EP624/EP602/3*1000</f>
        <v>#DIV/0!</v>
      </c>
      <c r="EQ331" s="1144" t="e">
        <f>+EQ624/EQ602/3*1000</f>
        <v>#DIV/0!</v>
      </c>
      <c r="ER331" s="1144" t="e">
        <f>+ER624/ER602/3*1000</f>
        <v>#DIV/0!</v>
      </c>
      <c r="ES331" s="1145"/>
      <c r="ET331" s="1144"/>
      <c r="EU331" s="1144"/>
      <c r="EV331" s="1144"/>
      <c r="EW331" s="1144"/>
      <c r="EX331" s="1145"/>
      <c r="EY331" s="1144"/>
      <c r="EZ331" s="1144"/>
      <c r="FA331" s="1144"/>
      <c r="FB331" s="1144"/>
      <c r="FC331" s="1145"/>
      <c r="FD331" s="1144"/>
      <c r="FE331" s="1144"/>
      <c r="FF331" s="1144"/>
      <c r="FG331" s="1144"/>
      <c r="FH331" s="1145"/>
      <c r="FI331" s="1144"/>
      <c r="FJ331" s="1144"/>
      <c r="FK331" s="1144"/>
      <c r="FL331" s="1144"/>
      <c r="FM331" s="1144"/>
      <c r="FN331" s="1121"/>
    </row>
    <row r="332" spans="1:170" s="705" customFormat="1" hidden="1" x14ac:dyDescent="0.3">
      <c r="A332" s="1117" t="s">
        <v>363</v>
      </c>
      <c r="DY332" s="760"/>
      <c r="DZ332" s="735"/>
      <c r="EA332" s="735"/>
      <c r="EB332" s="735"/>
      <c r="EC332" s="735"/>
      <c r="ED332" s="1119"/>
      <c r="EE332" s="735">
        <f t="shared" ref="EE332:ER332" si="1603">+EE331/DZ331-1</f>
        <v>4.5943982745097145E-2</v>
      </c>
      <c r="EF332" s="735">
        <f t="shared" si="1603"/>
        <v>8.9683523111131036E-2</v>
      </c>
      <c r="EG332" s="735">
        <f t="shared" si="1603"/>
        <v>9.2017976801997081E-2</v>
      </c>
      <c r="EH332" s="735">
        <f t="shared" si="1603"/>
        <v>8.1093798426035368E-2</v>
      </c>
      <c r="EI332" s="1119">
        <f t="shared" si="1603"/>
        <v>7.6373829069358523E-2</v>
      </c>
      <c r="EJ332" s="735">
        <f t="shared" si="1603"/>
        <v>6.3557307149972431E-2</v>
      </c>
      <c r="EK332" s="735">
        <f t="shared" si="1603"/>
        <v>6.1665018743191968E-2</v>
      </c>
      <c r="EL332" s="735">
        <f t="shared" si="1603"/>
        <v>5.3260258794770809E-2</v>
      </c>
      <c r="EM332" s="735">
        <f t="shared" si="1603"/>
        <v>4.8651852054546252E-2</v>
      </c>
      <c r="EN332" s="1119">
        <f t="shared" si="1603"/>
        <v>5.7180096912708755E-2</v>
      </c>
      <c r="EO332" s="735" t="e">
        <f t="shared" si="1603"/>
        <v>#DIV/0!</v>
      </c>
      <c r="EP332" s="735" t="e">
        <f t="shared" si="1603"/>
        <v>#DIV/0!</v>
      </c>
      <c r="EQ332" s="735" t="e">
        <f t="shared" si="1603"/>
        <v>#DIV/0!</v>
      </c>
      <c r="ER332" s="735" t="e">
        <f t="shared" si="1603"/>
        <v>#DIV/0!</v>
      </c>
      <c r="ES332" s="1119"/>
      <c r="ET332" s="735"/>
      <c r="EU332" s="735"/>
      <c r="EV332" s="735"/>
      <c r="EW332" s="735"/>
      <c r="EX332" s="1119"/>
      <c r="EY332" s="735"/>
      <c r="EZ332" s="735"/>
      <c r="FA332" s="735"/>
      <c r="FB332" s="735"/>
      <c r="FC332" s="1119"/>
      <c r="FD332" s="735"/>
      <c r="FE332" s="735"/>
      <c r="FF332" s="735"/>
      <c r="FG332" s="735"/>
      <c r="FH332" s="1119"/>
      <c r="FI332" s="735"/>
      <c r="FJ332" s="735"/>
      <c r="FK332" s="735"/>
      <c r="FL332" s="735"/>
      <c r="FM332" s="735"/>
    </row>
    <row r="333" spans="1:170" s="705" customFormat="1" hidden="1" x14ac:dyDescent="0.3">
      <c r="A333" s="1011" t="s">
        <v>426</v>
      </c>
      <c r="DU333" s="1146">
        <f>+DZ333/(1+DZ334)</f>
        <v>21.05263157894737</v>
      </c>
      <c r="DV333" s="1146">
        <f>+EA333/(1+EA334)</f>
        <v>21.05263157894737</v>
      </c>
      <c r="DW333" s="1146">
        <f>+EB333/(1+EB334)</f>
        <v>21.05263157894737</v>
      </c>
      <c r="DX333" s="1146">
        <f>+EC333/(1+EC334)</f>
        <v>21.05263157894737</v>
      </c>
      <c r="DY333" s="1145">
        <f>+DY631/DY603/12*1000</f>
        <v>21.052631578947366</v>
      </c>
      <c r="DZ333" s="1147">
        <f>+EA333</f>
        <v>20</v>
      </c>
      <c r="EA333" s="1147">
        <v>20</v>
      </c>
      <c r="EB333" s="1147">
        <v>20</v>
      </c>
      <c r="EC333" s="1147">
        <v>20</v>
      </c>
      <c r="ED333" s="1145">
        <f>+ED631/ED603/12*1000</f>
        <v>20</v>
      </c>
      <c r="EE333" s="1144">
        <f>EE628/EE603/3*1000</f>
        <v>20.334912351316227</v>
      </c>
      <c r="EF333" s="1144">
        <f>EF628/EF603/3*1000</f>
        <v>19.528526254937706</v>
      </c>
      <c r="EG333" s="1144">
        <f>EG628/EG603/3*1000</f>
        <v>18.850927476042308</v>
      </c>
      <c r="EH333" s="1144">
        <f>EH628/EH603/3*1000</f>
        <v>18.250037107570328</v>
      </c>
      <c r="EI333" s="1145">
        <f>+EI631/EI603/12*1000</f>
        <v>19.24848748042896</v>
      </c>
      <c r="EJ333" s="1144">
        <f>EJ628/EJ603/3*1000</f>
        <v>17.696332233871871</v>
      </c>
      <c r="EK333" s="1144">
        <f>EK628/EK603/3*1000</f>
        <v>17.629745636892096</v>
      </c>
      <c r="EL333" s="1144">
        <f>EL628/EL603/3*1000</f>
        <v>17.336121765131043</v>
      </c>
      <c r="EM333" s="1144">
        <f>EM628/EM603/3*1000</f>
        <v>17.215798150736635</v>
      </c>
      <c r="EN333" s="1145">
        <f>+EN631/EN603/12*1000</f>
        <v>17.470228837370655</v>
      </c>
      <c r="EO333" s="1144" t="e">
        <f>EO628/EO603/3*1000</f>
        <v>#DIV/0!</v>
      </c>
      <c r="EP333" s="1144" t="e">
        <f>EP628/EP603/3*1000</f>
        <v>#DIV/0!</v>
      </c>
      <c r="EQ333" s="1144" t="e">
        <f>EQ628/EQ603/3*1000</f>
        <v>#DIV/0!</v>
      </c>
      <c r="ER333" s="1144" t="e">
        <f>ER628/ER603/3*1000</f>
        <v>#DIV/0!</v>
      </c>
      <c r="ES333" s="1145"/>
      <c r="ET333" s="1144"/>
      <c r="EU333" s="1144"/>
      <c r="EV333" s="1144"/>
      <c r="EW333" s="1144"/>
      <c r="EX333" s="1145"/>
      <c r="EY333" s="1144"/>
      <c r="EZ333" s="1144"/>
      <c r="FA333" s="1144"/>
      <c r="FB333" s="1144"/>
      <c r="FC333" s="1145"/>
      <c r="FD333" s="1144"/>
      <c r="FE333" s="1144"/>
      <c r="FF333" s="1144"/>
      <c r="FG333" s="1144"/>
      <c r="FH333" s="1145"/>
      <c r="FI333" s="1144"/>
      <c r="FJ333" s="1144"/>
      <c r="FK333" s="1144"/>
      <c r="FL333" s="1144"/>
      <c r="FM333" s="1144"/>
      <c r="FN333" s="1121"/>
    </row>
    <row r="334" spans="1:170" s="705" customFormat="1" hidden="1" x14ac:dyDescent="0.3">
      <c r="A334" s="1117" t="s">
        <v>363</v>
      </c>
      <c r="DY334" s="760"/>
      <c r="DZ334" s="1118">
        <v>-0.05</v>
      </c>
      <c r="EA334" s="1118">
        <v>-0.05</v>
      </c>
      <c r="EB334" s="1118">
        <v>-0.05</v>
      </c>
      <c r="EC334" s="1118">
        <v>-0.05</v>
      </c>
      <c r="ED334" s="1119">
        <f t="shared" ref="ED334:ER334" si="1604">+ED333/DY333-1</f>
        <v>-4.9999999999999933E-2</v>
      </c>
      <c r="EE334" s="1148">
        <f t="shared" si="1604"/>
        <v>1.6745617565811388E-2</v>
      </c>
      <c r="EF334" s="1148">
        <f t="shared" si="1604"/>
        <v>-2.3573687253114706E-2</v>
      </c>
      <c r="EG334" s="1148">
        <f t="shared" si="1604"/>
        <v>-5.7453626197884633E-2</v>
      </c>
      <c r="EH334" s="1148">
        <f t="shared" si="1604"/>
        <v>-8.7498144621483531E-2</v>
      </c>
      <c r="EI334" s="1149">
        <f t="shared" si="1604"/>
        <v>-3.7575625978552019E-2</v>
      </c>
      <c r="EJ334" s="1148">
        <f t="shared" si="1604"/>
        <v>-0.1297561588591537</v>
      </c>
      <c r="EK334" s="1148">
        <f t="shared" si="1604"/>
        <v>-9.7231127083412749E-2</v>
      </c>
      <c r="EL334" s="1148">
        <f t="shared" si="1604"/>
        <v>-8.0357091863858421E-2</v>
      </c>
      <c r="EM334" s="1148">
        <f t="shared" si="1604"/>
        <v>-5.6670512544036322E-2</v>
      </c>
      <c r="EN334" s="1149">
        <f t="shared" si="1604"/>
        <v>-9.2384331229472538E-2</v>
      </c>
      <c r="EO334" s="1148" t="e">
        <f t="shared" si="1604"/>
        <v>#DIV/0!</v>
      </c>
      <c r="EP334" s="1148" t="e">
        <f t="shared" si="1604"/>
        <v>#DIV/0!</v>
      </c>
      <c r="EQ334" s="1148" t="e">
        <f t="shared" si="1604"/>
        <v>#DIV/0!</v>
      </c>
      <c r="ER334" s="1148" t="e">
        <f t="shared" si="1604"/>
        <v>#DIV/0!</v>
      </c>
      <c r="ES334" s="1149"/>
      <c r="ET334" s="1148"/>
      <c r="EU334" s="1148"/>
      <c r="EV334" s="1148"/>
      <c r="EW334" s="1148"/>
      <c r="EX334" s="1149"/>
      <c r="EY334" s="1148"/>
      <c r="EZ334" s="1148"/>
      <c r="FA334" s="1148"/>
      <c r="FB334" s="1148"/>
      <c r="FC334" s="1149"/>
      <c r="FD334" s="1148"/>
      <c r="FE334" s="1148"/>
      <c r="FF334" s="1148"/>
      <c r="FG334" s="1148"/>
      <c r="FH334" s="1149"/>
      <c r="FI334" s="1148"/>
      <c r="FJ334" s="1148"/>
      <c r="FK334" s="1148"/>
      <c r="FL334" s="1148"/>
      <c r="FM334" s="1148"/>
    </row>
    <row r="335" spans="1:170" x14ac:dyDescent="0.3">
      <c r="A335" s="60"/>
      <c r="ED335" s="85"/>
      <c r="EE335" s="74"/>
      <c r="EO335"/>
      <c r="EP335"/>
      <c r="EQ335"/>
      <c r="ER335"/>
      <c r="ES335" s="90"/>
      <c r="EX335" s="90"/>
      <c r="FC335" s="90"/>
      <c r="FH335" s="90"/>
    </row>
    <row r="336" spans="1:170" x14ac:dyDescent="0.3">
      <c r="A336" s="90" t="s">
        <v>284</v>
      </c>
      <c r="EO336"/>
      <c r="EP336"/>
      <c r="EQ336"/>
      <c r="ER336"/>
      <c r="ES336" s="90"/>
      <c r="EX336" s="90"/>
      <c r="FC336" s="90"/>
      <c r="FH336" s="90"/>
    </row>
    <row r="337" spans="1:169" x14ac:dyDescent="0.3">
      <c r="A337" t="s">
        <v>427</v>
      </c>
      <c r="DU337" s="885">
        <f>DU323*DU314*3/1000</f>
        <v>186.71995500000003</v>
      </c>
      <c r="DV337" s="885">
        <f>DV323*DV314*3/1000</f>
        <v>186.11376000000001</v>
      </c>
      <c r="DW337" s="885">
        <f>DW323*DW314*3/1000</f>
        <v>183.25274999999999</v>
      </c>
      <c r="DX337" s="885">
        <f>DX323*DX314*3/1000</f>
        <v>179.26423499999999</v>
      </c>
      <c r="DY337" s="916">
        <f>SUM(DU337:DX337)</f>
        <v>735.35070000000007</v>
      </c>
      <c r="DZ337" s="885">
        <f>DZ323*DZ314*3/1000</f>
        <v>176.59522499999997</v>
      </c>
      <c r="EA337" s="885">
        <f>EA323*EA314*3/1000</f>
        <v>177.36390000000003</v>
      </c>
      <c r="EB337" s="885">
        <f>EB323*EB314*3/1000</f>
        <v>175.93367999999998</v>
      </c>
      <c r="EC337" s="885">
        <f>EC323*EC314*3/1000</f>
        <v>174.48795000000001</v>
      </c>
      <c r="ED337" s="1079">
        <f>+SUM(DZ337:EC337)</f>
        <v>704.38075499999991</v>
      </c>
      <c r="EE337" s="885">
        <f>EE323*EE314*3/1000</f>
        <v>173.52521999999999</v>
      </c>
      <c r="EF337" s="885">
        <f>EF323*EF314*3/1000</f>
        <v>176.33279999999999</v>
      </c>
      <c r="EG337" s="885">
        <f>EG323*EG314*3/1000</f>
        <v>174.55776</v>
      </c>
      <c r="EH337" s="885">
        <f>EH323*EH314*3/1000</f>
        <v>169.85151000000002</v>
      </c>
      <c r="EI337" s="1079">
        <f>+SUM(EE337:EH337)</f>
        <v>694.26729</v>
      </c>
      <c r="EJ337" s="885">
        <f>EJ323*EJ314*3/1000</f>
        <v>167.19804000000002</v>
      </c>
      <c r="EK337" s="885">
        <f>EK323*EK314*3/1000</f>
        <v>172.09273499999998</v>
      </c>
      <c r="EL337" s="885">
        <f>EL323*EL314*3/1000</f>
        <v>168.9093</v>
      </c>
      <c r="EM337" s="885">
        <f>EM323*EM314*3/1000</f>
        <v>156.91140000000001</v>
      </c>
      <c r="EN337" s="1079">
        <f>+SUM(EJ337:EM337)</f>
        <v>665.11147499999993</v>
      </c>
      <c r="EO337" s="885">
        <f>EO323*EO314*3/1000</f>
        <v>148.83960000000002</v>
      </c>
      <c r="EP337" s="885">
        <f>EP323*EP314*3/1000</f>
        <v>149.08275</v>
      </c>
      <c r="EQ337" s="885">
        <f>EQ323*EQ314*3/1000</f>
        <v>147.31013999999999</v>
      </c>
      <c r="ER337" s="885">
        <f>ER323*ER314*3/1000</f>
        <v>137.61036000000001</v>
      </c>
      <c r="ES337" s="1079">
        <f>+SUM(EO337:ER337)</f>
        <v>582.84285</v>
      </c>
      <c r="ET337" s="885">
        <f t="shared" ref="ET337:EW337" si="1605">ET323*ET314*3/1000</f>
        <v>126.7974629202251</v>
      </c>
      <c r="EU337" s="885">
        <f t="shared" si="1605"/>
        <v>126.39306182035821</v>
      </c>
      <c r="EV337" s="885">
        <f t="shared" si="1605"/>
        <v>124.04999537985155</v>
      </c>
      <c r="EW337" s="885">
        <f t="shared" si="1605"/>
        <v>115.11829927503717</v>
      </c>
      <c r="EX337" s="1079">
        <f>+SUM(ET337:EW337)</f>
        <v>492.3588193954721</v>
      </c>
      <c r="EY337" s="885">
        <f t="shared" ref="EY337:FB337" si="1606">EY323*EY314*3/1000</f>
        <v>105.15767595371392</v>
      </c>
      <c r="EZ337" s="885">
        <f t="shared" si="1606"/>
        <v>104.48152983283643</v>
      </c>
      <c r="FA337" s="885">
        <f t="shared" si="1606"/>
        <v>102.17427738446982</v>
      </c>
      <c r="FB337" s="885">
        <f t="shared" si="1606"/>
        <v>94.486515464812754</v>
      </c>
      <c r="FC337" s="1079">
        <f>+SUM(EY337:FB337)</f>
        <v>406.29999863583294</v>
      </c>
      <c r="FD337" s="885">
        <f t="shared" ref="FD337:FG337" si="1607">FD323*FD314*3/1000</f>
        <v>85.721185383904583</v>
      </c>
      <c r="FE337" s="885">
        <f t="shared" si="1607"/>
        <v>84.878419735738916</v>
      </c>
      <c r="FF337" s="885">
        <f t="shared" si="1607"/>
        <v>82.688148608933787</v>
      </c>
      <c r="FG337" s="885">
        <f t="shared" si="1607"/>
        <v>76.185112142679742</v>
      </c>
      <c r="FH337" s="1079">
        <f>+SUM(FD337:FG337)</f>
        <v>329.472865871257</v>
      </c>
      <c r="FI337" s="885">
        <f t="shared" ref="FI337:FM337" si="1608">FI323*FI314*12/1000</f>
        <v>261.1120876261196</v>
      </c>
      <c r="FJ337" s="885">
        <f t="shared" si="1608"/>
        <v>201.17088019944455</v>
      </c>
      <c r="FK337" s="885">
        <f t="shared" si="1608"/>
        <v>154.50315946321399</v>
      </c>
      <c r="FL337" s="885">
        <f t="shared" si="1608"/>
        <v>118.30634204634859</v>
      </c>
      <c r="FM337" s="885">
        <f t="shared" si="1608"/>
        <v>90.33136163585894</v>
      </c>
    </row>
    <row r="338" spans="1:169" x14ac:dyDescent="0.3">
      <c r="A338" t="s">
        <v>428</v>
      </c>
      <c r="DZ338" s="885">
        <f>DZ325*DZ315*3/1000</f>
        <v>29.7</v>
      </c>
      <c r="EA338" s="885">
        <f>EA325*EA315*3/1000</f>
        <v>27.879930000000002</v>
      </c>
      <c r="EB338" s="885">
        <f>EB325*EB315*3/1000</f>
        <v>26.347739999999998</v>
      </c>
      <c r="EC338" s="885">
        <f>EC325*EC315*3/1000</f>
        <v>24.280559999999998</v>
      </c>
      <c r="ED338" s="1079">
        <f>+SUM(DZ338:EC338)</f>
        <v>108.20823</v>
      </c>
      <c r="EE338" s="885">
        <f>EE325*EE315*3/1000</f>
        <v>23.09412</v>
      </c>
      <c r="EF338" s="885">
        <f>EF325*EF315*3/1000</f>
        <v>21.847559999999998</v>
      </c>
      <c r="EG338" s="885">
        <f>EG325*EG315*3/1000</f>
        <v>20.880989999999997</v>
      </c>
      <c r="EH338" s="885">
        <f>EH325*EH315*3/1000</f>
        <v>19.636650000000003</v>
      </c>
      <c r="EI338" s="1079">
        <f>+SUM(EE338:EH338)</f>
        <v>85.459319999999991</v>
      </c>
      <c r="EJ338" s="885">
        <f>EJ325*EJ315*3/1000</f>
        <v>18.289619999999999</v>
      </c>
      <c r="EK338" s="885">
        <f>EK325*EK315*3/1000</f>
        <v>18.084195000000001</v>
      </c>
      <c r="EL338" s="885">
        <f>EL325*EL315*3/1000</f>
        <v>16.568639999999998</v>
      </c>
      <c r="EM338" s="885">
        <f>EM325*EM315*3/1000</f>
        <v>14.050125</v>
      </c>
      <c r="EN338" s="1079">
        <f>+SUM(EJ338:EM338)</f>
        <v>66.99257999999999</v>
      </c>
      <c r="EO338" s="885">
        <f>EO325*EO315*3/1000</f>
        <v>13.130325000000001</v>
      </c>
      <c r="EP338" s="885">
        <f>EP325*EP315*3/1000</f>
        <v>11.530530000000001</v>
      </c>
      <c r="EQ338" s="885">
        <f>EQ325*EQ315*3/1000</f>
        <v>9.317759999999998</v>
      </c>
      <c r="ER338" s="885">
        <f>ER325*ER315*3/1000</f>
        <v>7.7304000000000004</v>
      </c>
      <c r="ES338" s="1079">
        <f>+SUM(EO338:ER338)</f>
        <v>41.709015000000001</v>
      </c>
      <c r="ET338" s="885">
        <f t="shared" ref="ET338:EW338" si="1609">ET325*ET315*3/1000</f>
        <v>7.1966182300884958</v>
      </c>
      <c r="EU338" s="885">
        <f t="shared" si="1609"/>
        <v>6.3766928223040198</v>
      </c>
      <c r="EV338" s="885">
        <f t="shared" si="1609"/>
        <v>5.4811042376441286</v>
      </c>
      <c r="EW338" s="885">
        <f t="shared" si="1609"/>
        <v>4.4890003478400855</v>
      </c>
      <c r="EX338" s="1079">
        <f>+SUM(ET338:EW338)</f>
        <v>23.543415637876731</v>
      </c>
      <c r="EY338" s="885">
        <f t="shared" ref="EY338:FB338" si="1610">EY325*EY315*3/1000</f>
        <v>4.0638247131327452</v>
      </c>
      <c r="EZ338" s="885">
        <f t="shared" si="1610"/>
        <v>3.60082486673975</v>
      </c>
      <c r="FA338" s="885">
        <f t="shared" si="1610"/>
        <v>3.0950991346279761</v>
      </c>
      <c r="FB338" s="885">
        <f t="shared" si="1610"/>
        <v>2.5348726259430472</v>
      </c>
      <c r="FC338" s="1079">
        <f>+SUM(EY338:FB338)</f>
        <v>13.294621340443518</v>
      </c>
      <c r="FD338" s="885">
        <f t="shared" ref="FD338:FG338" si="1611">FD325*FD315*3/1000</f>
        <v>2.2947821839460505</v>
      </c>
      <c r="FE338" s="885">
        <f t="shared" si="1611"/>
        <v>2.0333329646333036</v>
      </c>
      <c r="FF338" s="885">
        <f t="shared" si="1611"/>
        <v>1.7477570646042555</v>
      </c>
      <c r="FG338" s="885">
        <f t="shared" si="1611"/>
        <v>1.43140537577528</v>
      </c>
      <c r="FH338" s="1079">
        <f>+SUM(FD338:FG338)</f>
        <v>7.507277588958889</v>
      </c>
      <c r="FI338" s="885">
        <f t="shared" ref="FI338:FM338" si="1612">FI325*FI315*12/1000</f>
        <v>4.0526429685910879</v>
      </c>
      <c r="FJ338" s="885">
        <f t="shared" si="1612"/>
        <v>1.8276343865433788</v>
      </c>
      <c r="FK338" s="885">
        <f t="shared" si="1612"/>
        <v>0.82421458706416462</v>
      </c>
      <c r="FL338" s="885">
        <f t="shared" si="1612"/>
        <v>0.37169889696274194</v>
      </c>
      <c r="FM338" s="885">
        <f t="shared" si="1612"/>
        <v>0.16762633441788785</v>
      </c>
    </row>
    <row r="339" spans="1:169" x14ac:dyDescent="0.3">
      <c r="A339" t="s">
        <v>429</v>
      </c>
      <c r="DZ339" s="901">
        <f>DZ340-DZ337-DZ338</f>
        <v>241.70477500000004</v>
      </c>
      <c r="EA339" s="901">
        <f>EA340-EA337-EA338</f>
        <v>234.75616999999994</v>
      </c>
      <c r="EB339" s="901">
        <f>EB340-EB337-EB338</f>
        <v>225.71858000000003</v>
      </c>
      <c r="EC339" s="901">
        <f>EC340-EC337-EC338</f>
        <v>221.23148999999998</v>
      </c>
      <c r="ED339" s="1111">
        <f>+SUM(DZ339:EC339)</f>
        <v>923.41101500000002</v>
      </c>
      <c r="EE339" s="901">
        <f>EE340-EE337-EE338</f>
        <v>212.38066000000001</v>
      </c>
      <c r="EF339" s="901">
        <f>EF340-EF337-EF338</f>
        <v>204.81964000000002</v>
      </c>
      <c r="EG339" s="901">
        <f>EG340-EG337-EG338</f>
        <v>195.56125</v>
      </c>
      <c r="EH339" s="901">
        <f>EH340-EH337-EH338</f>
        <v>187.51183999999998</v>
      </c>
      <c r="EI339" s="1111">
        <f>+SUM(EE339:EH339)</f>
        <v>800.27339000000006</v>
      </c>
      <c r="EJ339" s="901">
        <f>EJ340-EJ337-EJ338</f>
        <v>183.51233999999999</v>
      </c>
      <c r="EK339" s="901">
        <f>EK340-EK337-EK338</f>
        <v>179.82307000000003</v>
      </c>
      <c r="EL339" s="901">
        <f>EL340-EL337-EL338</f>
        <v>175.52206000000001</v>
      </c>
      <c r="EM339" s="901">
        <f>EM340-EM337-EM338</f>
        <v>157.03847499999998</v>
      </c>
      <c r="EN339" s="1111">
        <f>+SUM(EJ339:EM339)</f>
        <v>695.89594499999998</v>
      </c>
      <c r="EO339" s="901">
        <f>EO340-EO337-EO338</f>
        <v>151.03007499999998</v>
      </c>
      <c r="EP339" s="901">
        <f>EP340-EP337-EP338</f>
        <v>152.38672</v>
      </c>
      <c r="EQ339" s="901">
        <f>EQ340-EQ337-EQ338</f>
        <v>151.37210000000002</v>
      </c>
      <c r="ER339" s="901">
        <f>ER340-ER337-ER338</f>
        <v>144.65923999999998</v>
      </c>
      <c r="ES339" s="1111">
        <f>+SUM(EO339:ER339)</f>
        <v>599.44813499999998</v>
      </c>
      <c r="ET339" s="901">
        <f t="shared" ref="ET339:EW339" si="1613">ET327*ET317*3/1000</f>
        <v>129.5241173772279</v>
      </c>
      <c r="EU339" s="901">
        <f t="shared" si="1613"/>
        <v>123.9725974722533</v>
      </c>
      <c r="EV339" s="901">
        <f t="shared" si="1613"/>
        <v>119.97206416006797</v>
      </c>
      <c r="EW339" s="901">
        <f t="shared" si="1613"/>
        <v>113.92800808274505</v>
      </c>
      <c r="EX339" s="1111">
        <f>+SUM(ET339:EW339)</f>
        <v>487.39678709229423</v>
      </c>
      <c r="EY339" s="901">
        <f t="shared" ref="EY339:FB339" si="1614">EY327*EY317*3/1000</f>
        <v>101.66801158694935</v>
      </c>
      <c r="EZ339" s="901">
        <f t="shared" si="1614"/>
        <v>97.255581829122065</v>
      </c>
      <c r="FA339" s="901">
        <f t="shared" si="1614"/>
        <v>94.016950172725942</v>
      </c>
      <c r="FB339" s="901">
        <f t="shared" si="1614"/>
        <v>89.140444660134648</v>
      </c>
      <c r="FC339" s="1111">
        <f>+SUM(EY339:FB339)</f>
        <v>382.08098824893204</v>
      </c>
      <c r="FD339" s="901">
        <f t="shared" ref="FD339:FG339" si="1615">FD327*FD317*3/1000</f>
        <v>79.408001347543674</v>
      </c>
      <c r="FE339" s="901">
        <f t="shared" si="1615"/>
        <v>75.805688018696941</v>
      </c>
      <c r="FF339" s="901">
        <f t="shared" si="1615"/>
        <v>73.102002122724642</v>
      </c>
      <c r="FG339" s="901">
        <f t="shared" si="1615"/>
        <v>69.202430279411942</v>
      </c>
      <c r="FH339" s="1111">
        <f>+SUM(FD339:FG339)</f>
        <v>297.51812176837717</v>
      </c>
      <c r="FI339" s="901">
        <f t="shared" ref="FI339:FM339" si="1616">FI327*FI317*12/1000</f>
        <v>231.03952916948526</v>
      </c>
      <c r="FJ339" s="901">
        <f t="shared" si="1616"/>
        <v>183.22551023634216</v>
      </c>
      <c r="FK339" s="901">
        <f t="shared" si="1616"/>
        <v>151.92172848883811</v>
      </c>
      <c r="FL339" s="901">
        <f t="shared" si="1616"/>
        <v>129.81793577212304</v>
      </c>
      <c r="FM339" s="901">
        <f t="shared" si="1616"/>
        <v>113.64024675689318</v>
      </c>
    </row>
    <row r="340" spans="1:169" s="90" customFormat="1" x14ac:dyDescent="0.3">
      <c r="A340" s="90" t="s">
        <v>430</v>
      </c>
      <c r="DZ340" s="1109">
        <f>Inputs!DZ169</f>
        <v>448</v>
      </c>
      <c r="EA340" s="1109">
        <f>Inputs!EA169</f>
        <v>440</v>
      </c>
      <c r="EB340" s="1109">
        <f>Inputs!EB169</f>
        <v>428</v>
      </c>
      <c r="EC340" s="1109">
        <f>Inputs!EC169</f>
        <v>420</v>
      </c>
      <c r="ED340" s="1079">
        <f>SUM(DZ340:EC340)</f>
        <v>1736</v>
      </c>
      <c r="EE340" s="1109">
        <f>Inputs!EE169</f>
        <v>409</v>
      </c>
      <c r="EF340" s="1109">
        <f>Inputs!EF169</f>
        <v>403</v>
      </c>
      <c r="EG340" s="1109">
        <f>Inputs!EG169</f>
        <v>391</v>
      </c>
      <c r="EH340" s="1109">
        <f>Inputs!EH169</f>
        <v>377</v>
      </c>
      <c r="EI340" s="1079">
        <f>SUM(EE340:EH340)</f>
        <v>1580</v>
      </c>
      <c r="EJ340" s="1109">
        <f>Inputs!EJ169</f>
        <v>369</v>
      </c>
      <c r="EK340" s="1109">
        <f>Inputs!EK169</f>
        <v>370</v>
      </c>
      <c r="EL340" s="1109">
        <f>Inputs!EL169</f>
        <v>361</v>
      </c>
      <c r="EM340" s="1109">
        <f>Inputs!EM169</f>
        <v>328</v>
      </c>
      <c r="EN340" s="1079">
        <f>SUM(EJ340:EM340)</f>
        <v>1428</v>
      </c>
      <c r="EO340" s="1109">
        <f>Inputs!EO169</f>
        <v>313</v>
      </c>
      <c r="EP340" s="1109">
        <f>Inputs!EP169</f>
        <v>313</v>
      </c>
      <c r="EQ340" s="1109">
        <f>Inputs!EQ169</f>
        <v>308</v>
      </c>
      <c r="ER340" s="1109">
        <f>Inputs!ER169</f>
        <v>290</v>
      </c>
      <c r="ES340" s="1079">
        <f>SUM(EO340:ER340)</f>
        <v>1224</v>
      </c>
      <c r="ET340" s="900">
        <f t="shared" ref="ET340:EW340" si="1617">SUM(ET337:ET339)</f>
        <v>263.51819852754147</v>
      </c>
      <c r="EU340" s="900">
        <f t="shared" si="1617"/>
        <v>256.74235211491555</v>
      </c>
      <c r="EV340" s="900">
        <f t="shared" si="1617"/>
        <v>249.50316377756366</v>
      </c>
      <c r="EW340" s="900">
        <f t="shared" si="1617"/>
        <v>233.5353077056223</v>
      </c>
      <c r="EX340" s="1079">
        <f>SUM(ET340:EW340)</f>
        <v>1003.299022125643</v>
      </c>
      <c r="EY340" s="900">
        <f t="shared" ref="EY340:FB340" si="1618">SUM(EY337:EY339)</f>
        <v>210.889512253796</v>
      </c>
      <c r="EZ340" s="900">
        <f t="shared" si="1618"/>
        <v>205.33793652869826</v>
      </c>
      <c r="FA340" s="900">
        <f t="shared" si="1618"/>
        <v>199.28632669182372</v>
      </c>
      <c r="FB340" s="900">
        <f t="shared" si="1618"/>
        <v>186.16183275089045</v>
      </c>
      <c r="FC340" s="1079">
        <f>SUM(EY340:FB340)</f>
        <v>801.67560822520841</v>
      </c>
      <c r="FD340" s="900">
        <f t="shared" ref="FD340:FM340" si="1619">SUM(FD337:FD339)</f>
        <v>167.42396891539431</v>
      </c>
      <c r="FE340" s="900">
        <f t="shared" si="1619"/>
        <v>162.71744071906915</v>
      </c>
      <c r="FF340" s="900">
        <f t="shared" si="1619"/>
        <v>157.53790779626269</v>
      </c>
      <c r="FG340" s="900">
        <f t="shared" si="1619"/>
        <v>146.81894779786697</v>
      </c>
      <c r="FH340" s="1079">
        <f>SUM(FD340:FG340)</f>
        <v>634.49826522859314</v>
      </c>
      <c r="FI340" s="900">
        <f t="shared" si="1619"/>
        <v>496.20425976419597</v>
      </c>
      <c r="FJ340" s="900">
        <f t="shared" si="1619"/>
        <v>386.22402482233008</v>
      </c>
      <c r="FK340" s="900">
        <f t="shared" si="1619"/>
        <v>307.24910253911628</v>
      </c>
      <c r="FL340" s="900">
        <f t="shared" si="1619"/>
        <v>248.49597671543438</v>
      </c>
      <c r="FM340" s="900">
        <f t="shared" si="1619"/>
        <v>204.13923472716999</v>
      </c>
    </row>
    <row r="341" spans="1:169" x14ac:dyDescent="0.3">
      <c r="A341" t="s">
        <v>418</v>
      </c>
      <c r="DZ341" s="1150">
        <f>DZ329*DZ318*3/1000</f>
        <v>37.957112944150929</v>
      </c>
      <c r="EA341" s="1150">
        <f>EA329*EA318*3/1000</f>
        <v>36.523322234191397</v>
      </c>
      <c r="EB341" s="1150">
        <f>EB329*EB318*3/1000</f>
        <v>35.464056854062505</v>
      </c>
      <c r="EC341" s="1150">
        <f>EC329*EC318*3/1000</f>
        <v>35.039240212500005</v>
      </c>
      <c r="ED341" s="1079">
        <f>SUM(DZ341:EC341)</f>
        <v>144.98373224490484</v>
      </c>
      <c r="EE341" s="1150">
        <f>EE329*EE318*3/1000</f>
        <v>32.961472499999999</v>
      </c>
      <c r="EF341" s="1150">
        <f>EF329*EF318*3/1000</f>
        <v>30.870885000000001</v>
      </c>
      <c r="EG341" s="1150">
        <f>EG329*EG318*3/1000</f>
        <v>29.279250000000001</v>
      </c>
      <c r="EH341" s="1150">
        <f>EH329*EH318*3/1000</f>
        <v>27.638159999999996</v>
      </c>
      <c r="EI341" s="1079">
        <f>SUM(EE341:EH341)</f>
        <v>120.7497675</v>
      </c>
      <c r="EJ341" s="1150">
        <f>EJ329*EJ318*3/1000</f>
        <v>27.508725000000002</v>
      </c>
      <c r="EK341" s="1150">
        <f>EK329*EK318*3/1000</f>
        <v>25.893525</v>
      </c>
      <c r="EL341" s="1150">
        <f>EL329*EL318*3/1000</f>
        <v>25.862625000000001</v>
      </c>
      <c r="EM341" s="1150">
        <f>EM329*EM318*3/1000</f>
        <v>25.18533</v>
      </c>
      <c r="EN341" s="1079">
        <f>SUM(EJ341:EM341)</f>
        <v>104.45020500000001</v>
      </c>
      <c r="EO341" s="1150">
        <f>EO329*EO318*3/1000</f>
        <v>24.175409999999999</v>
      </c>
      <c r="EP341" s="1150">
        <f>EP329*EP318*3/1000</f>
        <v>23.52384</v>
      </c>
      <c r="EQ341" s="1150">
        <f>EQ329*EQ318*3/1000</f>
        <v>22.092029999999998</v>
      </c>
      <c r="ER341" s="1150">
        <f>ER329*ER318*3/1000</f>
        <v>21.01437</v>
      </c>
      <c r="ES341" s="1079">
        <f>SUM(EO341:ER341)</f>
        <v>90.80565</v>
      </c>
      <c r="ET341" s="1150">
        <f t="shared" ref="ET341:EW341" si="1620">ET329*ET318*3/1000</f>
        <v>20.338800062039997</v>
      </c>
      <c r="EU341" s="1150">
        <f t="shared" si="1620"/>
        <v>19.669598463326249</v>
      </c>
      <c r="EV341" s="1150">
        <f t="shared" si="1620"/>
        <v>18.483072423762586</v>
      </c>
      <c r="EW341" s="1150">
        <f t="shared" si="1620"/>
        <v>17.583393909849772</v>
      </c>
      <c r="EX341" s="1079">
        <f>SUM(ET341:EW341)</f>
        <v>76.0748648589786</v>
      </c>
      <c r="EY341" s="1150">
        <f t="shared" ref="EY341:FB341" si="1621">EY329*EY318*3/1000</f>
        <v>17.002029837554481</v>
      </c>
      <c r="EZ341" s="1150">
        <f t="shared" si="1621"/>
        <v>16.448466365025407</v>
      </c>
      <c r="FA341" s="1150">
        <f t="shared" si="1621"/>
        <v>15.462523035391779</v>
      </c>
      <c r="FB341" s="1150">
        <f t="shared" si="1621"/>
        <v>14.710775609294869</v>
      </c>
      <c r="FC341" s="1079">
        <f>SUM(EY341:FB341)</f>
        <v>63.623794847266538</v>
      </c>
      <c r="FD341" s="1150">
        <f t="shared" ref="FD341:FG341" si="1622">FD329*FD318*3/1000</f>
        <v>14.212001356284267</v>
      </c>
      <c r="FE341" s="1150">
        <f t="shared" si="1622"/>
        <v>13.74982918014735</v>
      </c>
      <c r="FF341" s="1150">
        <f t="shared" si="1622"/>
        <v>12.926283116237409</v>
      </c>
      <c r="FG341" s="1150">
        <f t="shared" si="1622"/>
        <v>12.298420379641833</v>
      </c>
      <c r="FH341" s="1079">
        <f>SUM(FD341:FG341)</f>
        <v>53.18653403231086</v>
      </c>
      <c r="FI341" s="1150">
        <f t="shared" ref="FI341:FM341" si="1623">FI329*FI318*12/1000</f>
        <v>44.325196025628429</v>
      </c>
      <c r="FJ341" s="1150">
        <f t="shared" si="1623"/>
        <v>36.684419840120668</v>
      </c>
      <c r="FK341" s="1150">
        <f t="shared" si="1623"/>
        <v>30.59843872050665</v>
      </c>
      <c r="FL341" s="1150">
        <f t="shared" si="1623"/>
        <v>25.756284429372908</v>
      </c>
      <c r="FM341" s="1150">
        <f t="shared" si="1623"/>
        <v>21.907842047601214</v>
      </c>
    </row>
    <row r="342" spans="1:169" x14ac:dyDescent="0.3">
      <c r="A342" t="s">
        <v>431</v>
      </c>
      <c r="DZ342" s="945">
        <f>DZ343-DZ341</f>
        <v>451.04288705584906</v>
      </c>
      <c r="EA342" s="945">
        <f>EA343-EA341</f>
        <v>434.47667776580863</v>
      </c>
      <c r="EB342" s="945">
        <f>EB343-EB341</f>
        <v>425.53594314593749</v>
      </c>
      <c r="EC342" s="945">
        <f>EC343-EC341</f>
        <v>411.96075978750002</v>
      </c>
      <c r="ED342" s="1153">
        <f>SUM(DZ342:EC342)</f>
        <v>1723.0162677550952</v>
      </c>
      <c r="EE342" s="945">
        <f>EE343-EE341</f>
        <v>415.03852749999999</v>
      </c>
      <c r="EF342" s="945">
        <f>EF343-EF341</f>
        <v>400.12911500000001</v>
      </c>
      <c r="EG342" s="945">
        <f>EG343-EG341</f>
        <v>388.72075000000001</v>
      </c>
      <c r="EH342" s="945">
        <f>EH343-EH341</f>
        <v>379.36184000000003</v>
      </c>
      <c r="EI342" s="1153">
        <f>SUM(EE342:EH342)</f>
        <v>1583.2502325</v>
      </c>
      <c r="EJ342" s="945">
        <f>EJ343-EJ341</f>
        <v>373.49127499999997</v>
      </c>
      <c r="EK342" s="945">
        <f>EK343-EK341</f>
        <v>361.10647499999999</v>
      </c>
      <c r="EL342" s="945">
        <f>EL343-EL341</f>
        <v>348.13737500000002</v>
      </c>
      <c r="EM342" s="945">
        <f>EM343-EM341</f>
        <v>348.81466999999998</v>
      </c>
      <c r="EN342" s="1111">
        <f>SUM(EJ342:EM342)</f>
        <v>1431.5497949999999</v>
      </c>
      <c r="EO342" s="945">
        <f>EO343-EO341</f>
        <v>351.82459</v>
      </c>
      <c r="EP342" s="945">
        <f>EP343-EP341</f>
        <v>345.47615999999999</v>
      </c>
      <c r="EQ342" s="945">
        <f>EQ343-EQ341</f>
        <v>330.90796999999998</v>
      </c>
      <c r="ER342" s="945">
        <f>ER343-ER341</f>
        <v>335.98563000000001</v>
      </c>
      <c r="ES342" s="1111">
        <f>SUM(EO342:ER342)</f>
        <v>1364.1943500000002</v>
      </c>
      <c r="ET342" s="945">
        <f t="shared" ref="ET342:EW342" si="1624">EO342*(1+ET350)</f>
        <v>338.58171048345901</v>
      </c>
      <c r="EU342" s="945">
        <f t="shared" si="1624"/>
        <v>332.47223903268718</v>
      </c>
      <c r="EV342" s="945">
        <f t="shared" si="1624"/>
        <v>318.45240406649555</v>
      </c>
      <c r="EW342" s="945">
        <f t="shared" si="1624"/>
        <v>323.3389380294953</v>
      </c>
      <c r="EX342" s="1111">
        <f>SUM(ET342:EW342)</f>
        <v>1312.8452916121371</v>
      </c>
      <c r="EY342" s="945">
        <f t="shared" ref="EY342" si="1625">ET342*(1+EY350)</f>
        <v>327.11174154640111</v>
      </c>
      <c r="EZ342" s="945">
        <f t="shared" ref="EZ342" si="1626">EU342*(1+EZ350)</f>
        <v>321.209237706674</v>
      </c>
      <c r="FA342" s="945">
        <f t="shared" ref="FA342" si="1627">EV342*(1+FA350)</f>
        <v>307.66434591250214</v>
      </c>
      <c r="FB342" s="945">
        <f t="shared" ref="FB342" si="1628">EW342*(1+FB350)</f>
        <v>312.38534112656754</v>
      </c>
      <c r="FC342" s="1111">
        <f>SUM(EY342:FB342)</f>
        <v>1268.3706662921447</v>
      </c>
      <c r="FD342" s="945">
        <f t="shared" ref="FD342" si="1629">EY342*(1+FD350)</f>
        <v>318.24661647127112</v>
      </c>
      <c r="FE342" s="945">
        <f t="shared" ref="FE342" si="1630">EZ342*(1+FE350)</f>
        <v>312.50407764701015</v>
      </c>
      <c r="FF342" s="945">
        <f t="shared" ref="FF342" si="1631">FA342*(1+FF350)</f>
        <v>299.32626885425174</v>
      </c>
      <c r="FG342" s="945">
        <f t="shared" ref="FG342" si="1632">FB342*(1+FG350)</f>
        <v>303.91931937011117</v>
      </c>
      <c r="FH342" s="1111">
        <f>SUM(FD342:FG342)</f>
        <v>1233.9962823426442</v>
      </c>
      <c r="FI342" s="945">
        <f t="shared" ref="FI342:FM342" si="1633">FH342*(1+FI350)</f>
        <v>1207.2420451917626</v>
      </c>
      <c r="FJ342" s="945">
        <f t="shared" si="1633"/>
        <v>1183.6852838027955</v>
      </c>
      <c r="FK342" s="945">
        <f t="shared" si="1633"/>
        <v>1162.8978926486293</v>
      </c>
      <c r="FL342" s="945">
        <f t="shared" si="1633"/>
        <v>1144.517794215486</v>
      </c>
      <c r="FM342" s="945">
        <f t="shared" si="1633"/>
        <v>1128.2371604089985</v>
      </c>
    </row>
    <row r="343" spans="1:169" x14ac:dyDescent="0.3">
      <c r="A343" t="s">
        <v>432</v>
      </c>
      <c r="DZ343" s="1110">
        <f>Inputs!DZ170</f>
        <v>489</v>
      </c>
      <c r="EA343" s="1110">
        <f>Inputs!EA170</f>
        <v>471</v>
      </c>
      <c r="EB343" s="1110">
        <f>Inputs!EB170</f>
        <v>461</v>
      </c>
      <c r="EC343" s="1110">
        <f>Inputs!EC170</f>
        <v>447</v>
      </c>
      <c r="ED343" s="1111">
        <f>SUM(DZ343:EC343)</f>
        <v>1868</v>
      </c>
      <c r="EE343" s="1110">
        <f>Inputs!EE170</f>
        <v>448</v>
      </c>
      <c r="EF343" s="1110">
        <f>Inputs!EF170</f>
        <v>431</v>
      </c>
      <c r="EG343" s="1110">
        <f>Inputs!EG170</f>
        <v>418</v>
      </c>
      <c r="EH343" s="1110">
        <f>Inputs!EH170</f>
        <v>407</v>
      </c>
      <c r="EI343" s="1111">
        <f>SUM(EE343:EH343)</f>
        <v>1704</v>
      </c>
      <c r="EJ343" s="1110">
        <f>Inputs!EJ170</f>
        <v>401</v>
      </c>
      <c r="EK343" s="1110">
        <f>Inputs!EK170</f>
        <v>387</v>
      </c>
      <c r="EL343" s="1110">
        <f>Inputs!EL170</f>
        <v>374</v>
      </c>
      <c r="EM343" s="1110">
        <f>Inputs!EM170</f>
        <v>374</v>
      </c>
      <c r="EN343" s="1111">
        <f>SUM(EJ343:EM343)</f>
        <v>1536</v>
      </c>
      <c r="EO343" s="1110">
        <f>Inputs!EO170</f>
        <v>376</v>
      </c>
      <c r="EP343" s="1110">
        <f>Inputs!EP170</f>
        <v>369</v>
      </c>
      <c r="EQ343" s="1110">
        <f>Inputs!EQ170</f>
        <v>353</v>
      </c>
      <c r="ER343" s="1110">
        <f>Inputs!ER170</f>
        <v>357</v>
      </c>
      <c r="ES343" s="1111">
        <f>SUM(EO343:ER343)</f>
        <v>1455</v>
      </c>
      <c r="ET343" s="901">
        <f t="shared" ref="ET343:EW343" si="1634">SUM(ET341:ET342)</f>
        <v>358.92051054549898</v>
      </c>
      <c r="EU343" s="901">
        <f t="shared" si="1634"/>
        <v>352.14183749601341</v>
      </c>
      <c r="EV343" s="901">
        <f t="shared" si="1634"/>
        <v>336.93547649025811</v>
      </c>
      <c r="EW343" s="901">
        <f t="shared" si="1634"/>
        <v>340.92233193934504</v>
      </c>
      <c r="EX343" s="1111">
        <f>SUM(ET343:EW343)</f>
        <v>1388.9201564711157</v>
      </c>
      <c r="EY343" s="901">
        <f t="shared" ref="EY343:FB343" si="1635">SUM(EY341:EY342)</f>
        <v>344.11377138395557</v>
      </c>
      <c r="EZ343" s="901">
        <f t="shared" si="1635"/>
        <v>337.65770407169941</v>
      </c>
      <c r="FA343" s="901">
        <f t="shared" si="1635"/>
        <v>323.12686894789391</v>
      </c>
      <c r="FB343" s="901">
        <f t="shared" si="1635"/>
        <v>327.09611673586238</v>
      </c>
      <c r="FC343" s="1111">
        <f>SUM(EY343:FB343)</f>
        <v>1331.9944611394112</v>
      </c>
      <c r="FD343" s="901">
        <f t="shared" ref="FD343:FM343" si="1636">SUM(FD341:FD342)</f>
        <v>332.45861782755537</v>
      </c>
      <c r="FE343" s="901">
        <f t="shared" si="1636"/>
        <v>326.25390682715749</v>
      </c>
      <c r="FF343" s="901">
        <f t="shared" si="1636"/>
        <v>312.25255197048915</v>
      </c>
      <c r="FG343" s="901">
        <f t="shared" si="1636"/>
        <v>316.21773974975298</v>
      </c>
      <c r="FH343" s="1111">
        <f>SUM(FD343:FG343)</f>
        <v>1287.1828163749551</v>
      </c>
      <c r="FI343" s="901">
        <f t="shared" si="1636"/>
        <v>1251.567241217391</v>
      </c>
      <c r="FJ343" s="901">
        <f t="shared" si="1636"/>
        <v>1220.3697036429162</v>
      </c>
      <c r="FK343" s="901">
        <f t="shared" si="1636"/>
        <v>1193.496331369136</v>
      </c>
      <c r="FL343" s="901">
        <f t="shared" si="1636"/>
        <v>1170.2740786448589</v>
      </c>
      <c r="FM343" s="901">
        <f t="shared" si="1636"/>
        <v>1150.1450024565997</v>
      </c>
    </row>
    <row r="344" spans="1:169" s="90" customFormat="1" x14ac:dyDescent="0.3">
      <c r="A344" s="90" t="s">
        <v>433</v>
      </c>
      <c r="DZ344" s="1109">
        <f>Inputs!DZ171</f>
        <v>937</v>
      </c>
      <c r="EA344" s="1109">
        <f>Inputs!EA171</f>
        <v>911</v>
      </c>
      <c r="EB344" s="1109">
        <f>Inputs!EB171</f>
        <v>889</v>
      </c>
      <c r="EC344" s="1109">
        <f>Inputs!EC171</f>
        <v>867</v>
      </c>
      <c r="ED344" s="900">
        <f>SUM(DZ344:EC344)</f>
        <v>3604</v>
      </c>
      <c r="EE344" s="1109">
        <f>Inputs!EE171</f>
        <v>857</v>
      </c>
      <c r="EF344" s="1109">
        <f>Inputs!EF171</f>
        <v>834</v>
      </c>
      <c r="EG344" s="1109">
        <f>Inputs!EG171</f>
        <v>809</v>
      </c>
      <c r="EH344" s="1109">
        <f>Inputs!EH171</f>
        <v>784</v>
      </c>
      <c r="EI344" s="900">
        <f>SUM(EE344:EH344)</f>
        <v>3284</v>
      </c>
      <c r="EJ344" s="1109">
        <f>Inputs!EJ171</f>
        <v>770</v>
      </c>
      <c r="EK344" s="1109">
        <f>Inputs!EK171</f>
        <v>757</v>
      </c>
      <c r="EL344" s="1109">
        <f>Inputs!EL171</f>
        <v>735</v>
      </c>
      <c r="EM344" s="1109">
        <f>Inputs!EM171</f>
        <v>702</v>
      </c>
      <c r="EN344" s="900">
        <f>SUM(EJ344:EM344)</f>
        <v>2964</v>
      </c>
      <c r="EO344" s="1109">
        <f>Inputs!EO171</f>
        <v>689</v>
      </c>
      <c r="EP344" s="1109">
        <f>Inputs!EP171</f>
        <v>682</v>
      </c>
      <c r="EQ344" s="1109">
        <f>Inputs!EQ171</f>
        <v>661</v>
      </c>
      <c r="ER344" s="1109">
        <f>Inputs!ER171</f>
        <v>647</v>
      </c>
      <c r="ES344" s="900">
        <f>SUM(EO344:ER344)</f>
        <v>2679</v>
      </c>
      <c r="ET344" s="900">
        <f t="shared" ref="ET344:EW344" si="1637">ET340+ET343</f>
        <v>622.4387090730404</v>
      </c>
      <c r="EU344" s="900">
        <f t="shared" si="1637"/>
        <v>608.88418961092896</v>
      </c>
      <c r="EV344" s="900">
        <f t="shared" si="1637"/>
        <v>586.43864026782171</v>
      </c>
      <c r="EW344" s="900">
        <f t="shared" si="1637"/>
        <v>574.45763964496734</v>
      </c>
      <c r="EX344" s="900">
        <f>SUM(ET344:EW344)</f>
        <v>2392.2191785967584</v>
      </c>
      <c r="EY344" s="900">
        <f t="shared" ref="EY344:FB344" si="1638">EY340+EY343</f>
        <v>555.00328363775157</v>
      </c>
      <c r="EZ344" s="900">
        <f t="shared" si="1638"/>
        <v>542.99564060039768</v>
      </c>
      <c r="FA344" s="900">
        <f t="shared" si="1638"/>
        <v>522.41319563971763</v>
      </c>
      <c r="FB344" s="900">
        <f t="shared" si="1638"/>
        <v>513.25794948675286</v>
      </c>
      <c r="FC344" s="900">
        <f>SUM(EY344:FB344)</f>
        <v>2133.6700693646198</v>
      </c>
      <c r="FD344" s="900">
        <f t="shared" ref="FD344:FM344" si="1639">FD340+FD343</f>
        <v>499.88258674294968</v>
      </c>
      <c r="FE344" s="900">
        <f t="shared" si="1639"/>
        <v>488.97134754622664</v>
      </c>
      <c r="FF344" s="900">
        <f t="shared" si="1639"/>
        <v>469.79045976675184</v>
      </c>
      <c r="FG344" s="900">
        <f t="shared" si="1639"/>
        <v>463.03668754761998</v>
      </c>
      <c r="FH344" s="900">
        <f>SUM(FD344:FG344)</f>
        <v>1921.6810816035481</v>
      </c>
      <c r="FI344" s="900">
        <f t="shared" si="1639"/>
        <v>1747.771500981587</v>
      </c>
      <c r="FJ344" s="900">
        <f t="shared" si="1639"/>
        <v>1606.5937284652464</v>
      </c>
      <c r="FK344" s="900">
        <f t="shared" si="1639"/>
        <v>1500.7454339082524</v>
      </c>
      <c r="FL344" s="900">
        <f t="shared" si="1639"/>
        <v>1418.7700553602933</v>
      </c>
      <c r="FM344" s="900">
        <f t="shared" si="1639"/>
        <v>1354.2842371837696</v>
      </c>
    </row>
    <row r="345" spans="1:169" s="94" customFormat="1" x14ac:dyDescent="0.3">
      <c r="A345" s="73" t="s">
        <v>434</v>
      </c>
      <c r="DY345" s="141"/>
      <c r="ED345" s="141"/>
      <c r="EE345" s="1168">
        <f t="shared" ref="EE345:EX352" si="1640">EE337/DZ337-1</f>
        <v>-1.7384416821009663E-2</v>
      </c>
      <c r="EF345" s="1168">
        <f t="shared" si="1640"/>
        <v>-5.8134716252858931E-3</v>
      </c>
      <c r="EG345" s="1168">
        <f t="shared" si="1640"/>
        <v>-7.8206742449767885E-3</v>
      </c>
      <c r="EH345" s="1168">
        <f t="shared" si="1640"/>
        <v>-2.6571691626842919E-2</v>
      </c>
      <c r="EI345" s="1169">
        <f t="shared" si="1640"/>
        <v>-1.4357951900602295E-2</v>
      </c>
      <c r="EJ345" s="1168">
        <f t="shared" si="1640"/>
        <v>-3.6462596042235118E-2</v>
      </c>
      <c r="EK345" s="1168">
        <f t="shared" si="1640"/>
        <v>-2.4045809968423426E-2</v>
      </c>
      <c r="EL345" s="1168">
        <f t="shared" si="1640"/>
        <v>-3.2358687462533897E-2</v>
      </c>
      <c r="EM345" s="1168">
        <f t="shared" si="1640"/>
        <v>-7.6184839334074828E-2</v>
      </c>
      <c r="EN345" s="1169">
        <f t="shared" si="1640"/>
        <v>-4.1995086647392044E-2</v>
      </c>
      <c r="EO345" s="1168">
        <f t="shared" si="1640"/>
        <v>-0.10980056943251248</v>
      </c>
      <c r="EP345" s="1168">
        <f t="shared" si="1640"/>
        <v>-0.13370689355364118</v>
      </c>
      <c r="EQ345" s="1168">
        <f t="shared" si="1640"/>
        <v>-0.12787430887464468</v>
      </c>
      <c r="ER345" s="1168">
        <f t="shared" si="1640"/>
        <v>-0.1230059766212015</v>
      </c>
      <c r="ES345" s="1169">
        <f t="shared" si="1640"/>
        <v>-0.12369148344644021</v>
      </c>
      <c r="ET345" s="1168">
        <f t="shared" si="1640"/>
        <v>-0.14809322975723471</v>
      </c>
      <c r="EU345" s="1168">
        <f t="shared" si="1640"/>
        <v>-0.15219526189074051</v>
      </c>
      <c r="EV345" s="1168">
        <f t="shared" si="1640"/>
        <v>-0.15789914136357786</v>
      </c>
      <c r="EW345" s="1168">
        <f t="shared" si="1640"/>
        <v>-0.16344743756911062</v>
      </c>
      <c r="EX345" s="1169">
        <f t="shared" si="1640"/>
        <v>-0.15524601632245794</v>
      </c>
      <c r="EY345" s="1168">
        <f t="shared" ref="EY345:EY349" si="1641">EY337/ET337-1</f>
        <v>-0.17066419523019871</v>
      </c>
      <c r="EZ345" s="1168">
        <f t="shared" ref="EZ345:EZ349" si="1642">EZ337/EU337-1</f>
        <v>-0.17336024360786928</v>
      </c>
      <c r="FA345" s="1168">
        <f t="shared" ref="FA345:FA349" si="1643">FA337/EV337-1</f>
        <v>-0.17634597992846712</v>
      </c>
      <c r="FB345" s="1168">
        <f t="shared" ref="FB345:FC352" si="1644">FB337/EW337-1</f>
        <v>-0.17922245151425997</v>
      </c>
      <c r="FC345" s="1169">
        <f t="shared" si="1644"/>
        <v>-0.17478882751669578</v>
      </c>
      <c r="FD345" s="1168">
        <f t="shared" ref="FD345:FD349" si="1645">FD337/EY337-1</f>
        <v>-0.18483187645155341</v>
      </c>
      <c r="FE345" s="1168">
        <f t="shared" ref="FE345:FE349" si="1646">FE337/EZ337-1</f>
        <v>-0.18762273225192239</v>
      </c>
      <c r="FF345" s="1168">
        <f t="shared" ref="FF345:FF349" si="1647">FF337/FA337-1</f>
        <v>-0.19071462284202911</v>
      </c>
      <c r="FG345" s="1168">
        <f t="shared" ref="FG345:FH352" si="1648">FG337/FB337-1</f>
        <v>-0.1936932823916927</v>
      </c>
      <c r="FH345" s="1169">
        <f t="shared" si="1648"/>
        <v>-0.18908967024987899</v>
      </c>
      <c r="FI345" s="1168">
        <f t="shared" ref="FI345:FM349" si="1649">FI337/FH337-1</f>
        <v>-0.20748530554819555</v>
      </c>
      <c r="FJ345" s="1168">
        <f t="shared" si="1649"/>
        <v>-0.22956121247248995</v>
      </c>
      <c r="FK345" s="1168">
        <f t="shared" si="1649"/>
        <v>-0.23198049682917987</v>
      </c>
      <c r="FL345" s="1168">
        <f t="shared" si="1649"/>
        <v>-0.23427881696803476</v>
      </c>
      <c r="FM345" s="1168">
        <f t="shared" si="1649"/>
        <v>-0.23646222109994708</v>
      </c>
    </row>
    <row r="346" spans="1:169" s="94" customFormat="1" x14ac:dyDescent="0.3">
      <c r="A346" s="73" t="s">
        <v>435</v>
      </c>
      <c r="DY346" s="141"/>
      <c r="ED346" s="141"/>
      <c r="EE346" s="1168">
        <f t="shared" si="1640"/>
        <v>-0.22242020202020196</v>
      </c>
      <c r="EF346" s="1168">
        <f t="shared" si="1640"/>
        <v>-0.21636962503133983</v>
      </c>
      <c r="EG346" s="1168">
        <f t="shared" si="1640"/>
        <v>-0.20748458881103282</v>
      </c>
      <c r="EH346" s="1168">
        <f t="shared" si="1640"/>
        <v>-0.19126041573999919</v>
      </c>
      <c r="EI346" s="1169">
        <f t="shared" si="1640"/>
        <v>-0.21023271520105269</v>
      </c>
      <c r="EJ346" s="1168">
        <f t="shared" si="1640"/>
        <v>-0.20803996861538787</v>
      </c>
      <c r="EK346" s="1168">
        <f t="shared" si="1640"/>
        <v>-0.17225562030725616</v>
      </c>
      <c r="EL346" s="1168">
        <f t="shared" si="1640"/>
        <v>-0.20652038049920041</v>
      </c>
      <c r="EM346" s="1168">
        <f t="shared" si="1640"/>
        <v>-0.28449480945069561</v>
      </c>
      <c r="EN346" s="1169">
        <f t="shared" si="1640"/>
        <v>-0.21608807558964904</v>
      </c>
      <c r="EO346" s="1168">
        <f t="shared" si="1640"/>
        <v>-0.28208869293074423</v>
      </c>
      <c r="EP346" s="1168">
        <f t="shared" si="1640"/>
        <v>-0.36239738622592821</v>
      </c>
      <c r="EQ346" s="1168">
        <f t="shared" si="1640"/>
        <v>-0.43762674546613367</v>
      </c>
      <c r="ER346" s="1168">
        <f t="shared" si="1640"/>
        <v>-0.44979848933728339</v>
      </c>
      <c r="ES346" s="1169">
        <f t="shared" si="1640"/>
        <v>-0.37740843836735338</v>
      </c>
      <c r="ET346" s="1168">
        <f t="shared" si="1640"/>
        <v>-0.45190859859992072</v>
      </c>
      <c r="EU346" s="1168">
        <f t="shared" si="1640"/>
        <v>-0.44697313806876016</v>
      </c>
      <c r="EV346" s="1168">
        <f t="shared" si="1640"/>
        <v>-0.41175730672992972</v>
      </c>
      <c r="EW346" s="1168">
        <f t="shared" si="1640"/>
        <v>-0.4193055536789706</v>
      </c>
      <c r="EX346" s="1169">
        <f t="shared" si="1640"/>
        <v>-0.43553172766422965</v>
      </c>
      <c r="EY346" s="1168">
        <f t="shared" si="1641"/>
        <v>-0.43531467375298394</v>
      </c>
      <c r="EZ346" s="1168">
        <f t="shared" si="1642"/>
        <v>-0.43531467375298405</v>
      </c>
      <c r="FA346" s="1168">
        <f t="shared" si="1643"/>
        <v>-0.43531467375298405</v>
      </c>
      <c r="FB346" s="1168">
        <f t="shared" si="1644"/>
        <v>-0.43531467375298394</v>
      </c>
      <c r="FC346" s="1169">
        <f t="shared" si="1644"/>
        <v>-0.43531467375298405</v>
      </c>
      <c r="FD346" s="1168">
        <f t="shared" si="1645"/>
        <v>-0.43531467375298394</v>
      </c>
      <c r="FE346" s="1168">
        <f t="shared" si="1646"/>
        <v>-0.43531467375298405</v>
      </c>
      <c r="FF346" s="1168">
        <f t="shared" si="1647"/>
        <v>-0.43531467375298405</v>
      </c>
      <c r="FG346" s="1168">
        <f t="shared" si="1648"/>
        <v>-0.43531467375298394</v>
      </c>
      <c r="FH346" s="1169">
        <f t="shared" si="1648"/>
        <v>-0.43531467375298405</v>
      </c>
      <c r="FI346" s="1168">
        <f t="shared" si="1649"/>
        <v>-0.46017142425219559</v>
      </c>
      <c r="FJ346" s="1168">
        <f t="shared" si="1649"/>
        <v>-0.54902654867256651</v>
      </c>
      <c r="FK346" s="1168">
        <f t="shared" si="1649"/>
        <v>-0.54902654867256628</v>
      </c>
      <c r="FL346" s="1168">
        <f t="shared" si="1649"/>
        <v>-0.54902654867256628</v>
      </c>
      <c r="FM346" s="1168">
        <f t="shared" si="1649"/>
        <v>-0.54902654867256651</v>
      </c>
    </row>
    <row r="347" spans="1:169" s="94" customFormat="1" x14ac:dyDescent="0.3">
      <c r="A347" s="73" t="s">
        <v>436</v>
      </c>
      <c r="DY347" s="141"/>
      <c r="ED347" s="141"/>
      <c r="EE347" s="1168">
        <f t="shared" si="1640"/>
        <v>-0.12132203428748989</v>
      </c>
      <c r="EF347" s="1168">
        <f t="shared" si="1640"/>
        <v>-0.12752180272833691</v>
      </c>
      <c r="EG347" s="1168">
        <f t="shared" si="1640"/>
        <v>-0.13360588215644464</v>
      </c>
      <c r="EH347" s="1168">
        <f t="shared" si="1640"/>
        <v>-0.15241794918074281</v>
      </c>
      <c r="EI347" s="1169">
        <f t="shared" si="1640"/>
        <v>-0.13335082969526846</v>
      </c>
      <c r="EJ347" s="1168">
        <f t="shared" si="1640"/>
        <v>-0.13592725439312603</v>
      </c>
      <c r="EK347" s="1168">
        <f t="shared" si="1640"/>
        <v>-0.12204186082936186</v>
      </c>
      <c r="EL347" s="1168">
        <f t="shared" si="1640"/>
        <v>-0.10247014682100875</v>
      </c>
      <c r="EM347" s="1168">
        <f t="shared" si="1640"/>
        <v>-0.16251435109377632</v>
      </c>
      <c r="EN347" s="1169">
        <f t="shared" si="1640"/>
        <v>-0.13042723437299353</v>
      </c>
      <c r="EO347" s="1168">
        <f t="shared" si="1640"/>
        <v>-0.17700316501876667</v>
      </c>
      <c r="EP347" s="1168">
        <f t="shared" si="1640"/>
        <v>-0.15257413856853863</v>
      </c>
      <c r="EQ347" s="1168">
        <f t="shared" si="1640"/>
        <v>-0.13758931498411076</v>
      </c>
      <c r="ER347" s="1168">
        <f t="shared" si="1640"/>
        <v>-7.8829312370742199E-2</v>
      </c>
      <c r="ES347" s="1169">
        <f t="shared" si="1640"/>
        <v>-0.13859516022901963</v>
      </c>
      <c r="ET347" s="1168">
        <f t="shared" si="1640"/>
        <v>-0.14239519925267918</v>
      </c>
      <c r="EU347" s="1168">
        <f t="shared" si="1640"/>
        <v>-0.18646062155381193</v>
      </c>
      <c r="EV347" s="1168">
        <f t="shared" si="1640"/>
        <v>-0.20743608524907853</v>
      </c>
      <c r="EW347" s="1168">
        <f t="shared" si="1640"/>
        <v>-0.2124387762389387</v>
      </c>
      <c r="EX347" s="1169">
        <f t="shared" si="1640"/>
        <v>-0.18692417469562361</v>
      </c>
      <c r="EY347" s="1168">
        <f t="shared" si="1641"/>
        <v>-0.21506501147697477</v>
      </c>
      <c r="EZ347" s="1168">
        <f t="shared" si="1642"/>
        <v>-0.21550742815653967</v>
      </c>
      <c r="FA347" s="1168">
        <f t="shared" si="1643"/>
        <v>-0.21634298091856163</v>
      </c>
      <c r="FB347" s="1168">
        <f t="shared" si="1644"/>
        <v>-0.21757216543808422</v>
      </c>
      <c r="FC347" s="1169">
        <f t="shared" si="1644"/>
        <v>-0.21607815568841537</v>
      </c>
      <c r="FD347" s="1168">
        <f t="shared" si="1645"/>
        <v>-0.21894802398459701</v>
      </c>
      <c r="FE347" s="1168">
        <f t="shared" si="1646"/>
        <v>-0.22055180182986889</v>
      </c>
      <c r="FF347" s="1168">
        <f t="shared" si="1647"/>
        <v>-0.22245933325402278</v>
      </c>
      <c r="FG347" s="1168">
        <f t="shared" si="1648"/>
        <v>-0.22366967605715093</v>
      </c>
      <c r="FH347" s="1169">
        <f t="shared" si="1648"/>
        <v>-0.22132183772897063</v>
      </c>
      <c r="FI347" s="1168">
        <f t="shared" si="1649"/>
        <v>-0.22344384336577183</v>
      </c>
      <c r="FJ347" s="1168">
        <f t="shared" si="1649"/>
        <v>-0.20695168097433159</v>
      </c>
      <c r="FK347" s="1168">
        <f t="shared" si="1649"/>
        <v>-0.17084838081294118</v>
      </c>
      <c r="FL347" s="1168">
        <f t="shared" si="1649"/>
        <v>-0.14549461052464963</v>
      </c>
      <c r="FM347" s="1168">
        <f t="shared" si="1649"/>
        <v>-0.12461828882896042</v>
      </c>
    </row>
    <row r="348" spans="1:169" s="141" customFormat="1" x14ac:dyDescent="0.3">
      <c r="A348" s="1108" t="s">
        <v>437</v>
      </c>
      <c r="EE348" s="1169">
        <f t="shared" si="1640"/>
        <v>-8.7053571428571397E-2</v>
      </c>
      <c r="EF348" s="1169">
        <f t="shared" si="1640"/>
        <v>-8.4090909090909105E-2</v>
      </c>
      <c r="EG348" s="1169">
        <f t="shared" si="1640"/>
        <v>-8.6448598130841159E-2</v>
      </c>
      <c r="EH348" s="1169">
        <f t="shared" si="1640"/>
        <v>-0.10238095238095235</v>
      </c>
      <c r="EI348" s="1169">
        <f t="shared" si="1640"/>
        <v>-8.9861751152073732E-2</v>
      </c>
      <c r="EJ348" s="1169">
        <f t="shared" si="1640"/>
        <v>-9.7799511002444994E-2</v>
      </c>
      <c r="EK348" s="1169">
        <f t="shared" si="1640"/>
        <v>-8.1885856079404462E-2</v>
      </c>
      <c r="EL348" s="1169">
        <f t="shared" si="1640"/>
        <v>-7.6726342710997431E-2</v>
      </c>
      <c r="EM348" s="1169">
        <f t="shared" si="1640"/>
        <v>-0.12997347480106103</v>
      </c>
      <c r="EN348" s="1169">
        <f t="shared" si="1640"/>
        <v>-9.6202531645569578E-2</v>
      </c>
      <c r="EO348" s="1169">
        <f t="shared" si="1640"/>
        <v>-0.1517615176151762</v>
      </c>
      <c r="EP348" s="1169">
        <f t="shared" si="1640"/>
        <v>-0.15405405405405403</v>
      </c>
      <c r="EQ348" s="1169">
        <f t="shared" si="1640"/>
        <v>-0.14681440443213301</v>
      </c>
      <c r="ER348" s="1169">
        <f t="shared" si="1640"/>
        <v>-0.11585365853658536</v>
      </c>
      <c r="ES348" s="1169">
        <f t="shared" si="1640"/>
        <v>-0.1428571428571429</v>
      </c>
      <c r="ET348" s="1169">
        <f t="shared" si="1640"/>
        <v>-0.15808882259571411</v>
      </c>
      <c r="EU348" s="1169">
        <f t="shared" si="1640"/>
        <v>-0.17973689420154781</v>
      </c>
      <c r="EV348" s="1169">
        <f t="shared" si="1640"/>
        <v>-0.1899247929299881</v>
      </c>
      <c r="EW348" s="1169">
        <f t="shared" si="1640"/>
        <v>-0.19470583549785414</v>
      </c>
      <c r="EX348" s="1169">
        <f t="shared" si="1640"/>
        <v>-0.18031125643329826</v>
      </c>
      <c r="EY348" s="1169">
        <f t="shared" si="1641"/>
        <v>-0.19971556639282739</v>
      </c>
      <c r="EZ348" s="1169">
        <f t="shared" si="1642"/>
        <v>-0.20021790391329408</v>
      </c>
      <c r="FA348" s="1169">
        <f t="shared" si="1643"/>
        <v>-0.20126733595454172</v>
      </c>
      <c r="FB348" s="1169">
        <f t="shared" si="1644"/>
        <v>-0.20285358740892157</v>
      </c>
      <c r="FC348" s="1169">
        <f t="shared" si="1644"/>
        <v>-0.20096044095933074</v>
      </c>
      <c r="FD348" s="1169">
        <f t="shared" si="1645"/>
        <v>-0.20610576066055319</v>
      </c>
      <c r="FE348" s="1169">
        <f t="shared" si="1646"/>
        <v>-0.20756269654863524</v>
      </c>
      <c r="FF348" s="1169">
        <f t="shared" si="1647"/>
        <v>-0.20948963026510481</v>
      </c>
      <c r="FG348" s="1169">
        <f t="shared" si="1648"/>
        <v>-0.21133700915842157</v>
      </c>
      <c r="FH348" s="1169">
        <f t="shared" si="1648"/>
        <v>-0.20853490025313515</v>
      </c>
      <c r="FI348" s="1169">
        <f t="shared" si="1649"/>
        <v>-0.21795805133458235</v>
      </c>
      <c r="FJ348" s="1169">
        <f t="shared" si="1649"/>
        <v>-0.22164306891305252</v>
      </c>
      <c r="FK348" s="1169">
        <f t="shared" si="1649"/>
        <v>-0.20447956938863054</v>
      </c>
      <c r="FL348" s="1169">
        <f t="shared" si="1649"/>
        <v>-0.1912230998826171</v>
      </c>
      <c r="FM348" s="1169">
        <f t="shared" si="1649"/>
        <v>-0.1785008456658419</v>
      </c>
    </row>
    <row r="349" spans="1:169" s="94" customFormat="1" x14ac:dyDescent="0.3">
      <c r="A349" s="73" t="s">
        <v>438</v>
      </c>
      <c r="DY349" s="141"/>
      <c r="ED349" s="141"/>
      <c r="EE349" s="1168">
        <f t="shared" si="1640"/>
        <v>-0.13161276126299115</v>
      </c>
      <c r="EF349" s="1168">
        <f t="shared" si="1640"/>
        <v>-0.15476240627693649</v>
      </c>
      <c r="EG349" s="1168">
        <f t="shared" si="1640"/>
        <v>-0.17439648485545489</v>
      </c>
      <c r="EH349" s="1168">
        <f t="shared" si="1640"/>
        <v>-0.21122262262581037</v>
      </c>
      <c r="EI349" s="1169">
        <f t="shared" si="1640"/>
        <v>-0.16714954408794713</v>
      </c>
      <c r="EJ349" s="1168">
        <f t="shared" si="1640"/>
        <v>-0.16542790981197819</v>
      </c>
      <c r="EK349" s="1168">
        <f t="shared" si="1640"/>
        <v>-0.16123152931961626</v>
      </c>
      <c r="EL349" s="1168">
        <f t="shared" si="1640"/>
        <v>-0.11669100130638588</v>
      </c>
      <c r="EM349" s="1168">
        <f t="shared" si="1640"/>
        <v>-8.8747948488611228E-2</v>
      </c>
      <c r="EN349" s="1169">
        <f t="shared" si="1640"/>
        <v>-0.13498628475620045</v>
      </c>
      <c r="EO349" s="1168">
        <f t="shared" si="1640"/>
        <v>-0.12117300965420974</v>
      </c>
      <c r="EP349" s="1168">
        <f t="shared" si="1640"/>
        <v>-9.1516508470746993E-2</v>
      </c>
      <c r="EQ349" s="1168">
        <f t="shared" si="1640"/>
        <v>-0.1457932054460831</v>
      </c>
      <c r="ER349" s="1168">
        <f t="shared" si="1640"/>
        <v>-0.16561069479732848</v>
      </c>
      <c r="ES349" s="1169">
        <f t="shared" si="1640"/>
        <v>-0.13063215146394414</v>
      </c>
      <c r="ET349" s="1168">
        <f t="shared" si="1640"/>
        <v>-0.15869885714285725</v>
      </c>
      <c r="EU349" s="1168">
        <f t="shared" si="1640"/>
        <v>-0.16384406358289083</v>
      </c>
      <c r="EV349" s="1168">
        <f t="shared" si="1640"/>
        <v>-0.16336016093756034</v>
      </c>
      <c r="EW349" s="1168">
        <f t="shared" si="1640"/>
        <v>-0.16326809179386426</v>
      </c>
      <c r="EX349" s="1169">
        <f t="shared" si="1640"/>
        <v>-0.16222322224466645</v>
      </c>
      <c r="EY349" s="1168">
        <f t="shared" si="1641"/>
        <v>-0.16405934540421629</v>
      </c>
      <c r="EZ349" s="1168">
        <f t="shared" si="1642"/>
        <v>-0.16376196516195318</v>
      </c>
      <c r="FA349" s="1168">
        <f t="shared" si="1643"/>
        <v>-0.1634224721474048</v>
      </c>
      <c r="FB349" s="1168">
        <f t="shared" si="1644"/>
        <v>-0.16337109407221628</v>
      </c>
      <c r="FC349" s="1169">
        <f t="shared" si="1644"/>
        <v>-0.16366864449635032</v>
      </c>
      <c r="FD349" s="1168">
        <f t="shared" si="1645"/>
        <v>-0.16409972855755928</v>
      </c>
      <c r="FE349" s="1168">
        <f t="shared" si="1646"/>
        <v>-0.16406618860322475</v>
      </c>
      <c r="FF349" s="1168">
        <f t="shared" si="1647"/>
        <v>-0.16402497272594097</v>
      </c>
      <c r="FG349" s="1168">
        <f t="shared" si="1648"/>
        <v>-0.16398559081608255</v>
      </c>
      <c r="FH349" s="1169">
        <f t="shared" si="1648"/>
        <v>-0.16404649926982617</v>
      </c>
      <c r="FI349" s="1168">
        <f t="shared" si="1649"/>
        <v>-0.16660867582195071</v>
      </c>
      <c r="FJ349" s="1168">
        <f t="shared" si="1649"/>
        <v>-0.17237997506181213</v>
      </c>
      <c r="FK349" s="1168">
        <f t="shared" si="1649"/>
        <v>-0.16590097774854162</v>
      </c>
      <c r="FL349" s="1168">
        <f t="shared" si="1649"/>
        <v>-0.15824841049450655</v>
      </c>
      <c r="FM349" s="1168">
        <f t="shared" si="1649"/>
        <v>-0.14941760688831596</v>
      </c>
    </row>
    <row r="350" spans="1:169" s="94" customFormat="1" x14ac:dyDescent="0.3">
      <c r="A350" s="73" t="s">
        <v>439</v>
      </c>
      <c r="DY350" s="141"/>
      <c r="ED350" s="141"/>
      <c r="EE350" s="1168">
        <f t="shared" si="1640"/>
        <v>-7.9824692039519807E-2</v>
      </c>
      <c r="EF350" s="1168">
        <f t="shared" si="1640"/>
        <v>-7.9055020726158776E-2</v>
      </c>
      <c r="EG350" s="1168">
        <f t="shared" si="1640"/>
        <v>-8.6514884909056233E-2</v>
      </c>
      <c r="EH350" s="1168">
        <f t="shared" si="1640"/>
        <v>-7.9131128421831676E-2</v>
      </c>
      <c r="EI350" s="1169">
        <f t="shared" si="1640"/>
        <v>-8.111707235196064E-2</v>
      </c>
      <c r="EJ350" s="1168">
        <f t="shared" si="1640"/>
        <v>-0.10010456800302714</v>
      </c>
      <c r="EK350" s="1168">
        <f t="shared" si="1640"/>
        <v>-9.7525120110292463E-2</v>
      </c>
      <c r="EL350" s="1168">
        <f t="shared" si="1640"/>
        <v>-0.10440238911866673</v>
      </c>
      <c r="EM350" s="1168">
        <f t="shared" si="1640"/>
        <v>-8.0522516444985759E-2</v>
      </c>
      <c r="EN350" s="1169">
        <f t="shared" si="1640"/>
        <v>-9.5815831500280613E-2</v>
      </c>
      <c r="EO350" s="1168">
        <f t="shared" si="1640"/>
        <v>-5.8011221279533176E-2</v>
      </c>
      <c r="EP350" s="1168">
        <f t="shared" si="1640"/>
        <v>-4.3284504937221024E-2</v>
      </c>
      <c r="EQ350" s="1168">
        <f t="shared" si="1640"/>
        <v>-4.9490247922964414E-2</v>
      </c>
      <c r="ER350" s="1168">
        <f t="shared" si="1640"/>
        <v>-3.6778957719868721E-2</v>
      </c>
      <c r="ES350" s="1169">
        <f t="shared" si="1640"/>
        <v>-4.7050717505778161E-2</v>
      </c>
      <c r="ET350" s="1187">
        <f>ES350*0.8</f>
        <v>-3.7640574004622535E-2</v>
      </c>
      <c r="EU350" s="1187">
        <f>ET350</f>
        <v>-3.7640574004622535E-2</v>
      </c>
      <c r="EV350" s="1187">
        <f t="shared" ref="EV350:EW350" si="1650">EU350</f>
        <v>-3.7640574004622535E-2</v>
      </c>
      <c r="EW350" s="1187">
        <f t="shared" si="1650"/>
        <v>-3.7640574004622535E-2</v>
      </c>
      <c r="EX350" s="1169">
        <f t="shared" si="1640"/>
        <v>-3.7640574004622618E-2</v>
      </c>
      <c r="EY350" s="1187">
        <f t="shared" ref="EY350:FB350" si="1651">ET350*0.9</f>
        <v>-3.387651660416028E-2</v>
      </c>
      <c r="EZ350" s="1187">
        <f t="shared" si="1651"/>
        <v>-3.387651660416028E-2</v>
      </c>
      <c r="FA350" s="1187">
        <f t="shared" si="1651"/>
        <v>-3.387651660416028E-2</v>
      </c>
      <c r="FB350" s="1187">
        <f t="shared" si="1651"/>
        <v>-3.387651660416028E-2</v>
      </c>
      <c r="FC350" s="1169">
        <f t="shared" si="1644"/>
        <v>-3.3876516604160356E-2</v>
      </c>
      <c r="FD350" s="1187">
        <f t="shared" ref="FD350:FG350" si="1652">EY350*0.8</f>
        <v>-2.7101213283328224E-2</v>
      </c>
      <c r="FE350" s="1187">
        <f t="shared" si="1652"/>
        <v>-2.7101213283328224E-2</v>
      </c>
      <c r="FF350" s="1187">
        <f t="shared" si="1652"/>
        <v>-2.7101213283328224E-2</v>
      </c>
      <c r="FG350" s="1187">
        <f t="shared" si="1652"/>
        <v>-2.7101213283328224E-2</v>
      </c>
      <c r="FH350" s="1169">
        <f t="shared" si="1648"/>
        <v>-2.7101213283328152E-2</v>
      </c>
      <c r="FI350" s="1187">
        <f>FH350*0.8</f>
        <v>-2.1680970626662521E-2</v>
      </c>
      <c r="FJ350" s="1187">
        <f t="shared" ref="FJ350:FM350" si="1653">FI350*0.9</f>
        <v>-1.951287356399627E-2</v>
      </c>
      <c r="FK350" s="1187">
        <f t="shared" si="1653"/>
        <v>-1.7561586207596642E-2</v>
      </c>
      <c r="FL350" s="1187">
        <f t="shared" si="1653"/>
        <v>-1.5805427586836979E-2</v>
      </c>
      <c r="FM350" s="1187">
        <f t="shared" si="1653"/>
        <v>-1.422488482815328E-2</v>
      </c>
    </row>
    <row r="351" spans="1:169" s="94" customFormat="1" x14ac:dyDescent="0.3">
      <c r="A351" s="73" t="s">
        <v>440</v>
      </c>
      <c r="DY351" s="141"/>
      <c r="ED351" s="141"/>
      <c r="EE351" s="1169">
        <f t="shared" si="1640"/>
        <v>-8.3844580777096112E-2</v>
      </c>
      <c r="EF351" s="1169">
        <f t="shared" si="1640"/>
        <v>-8.4925690021231404E-2</v>
      </c>
      <c r="EG351" s="1169">
        <f t="shared" si="1640"/>
        <v>-9.3275488069414325E-2</v>
      </c>
      <c r="EH351" s="1169">
        <f t="shared" si="1640"/>
        <v>-8.948545861297541E-2</v>
      </c>
      <c r="EI351" s="1169">
        <f t="shared" si="1640"/>
        <v>-8.7794432548179868E-2</v>
      </c>
      <c r="EJ351" s="1169">
        <f t="shared" si="1640"/>
        <v>-0.1049107142857143</v>
      </c>
      <c r="EK351" s="1169">
        <f t="shared" si="1640"/>
        <v>-0.10208816705336432</v>
      </c>
      <c r="EL351" s="1169">
        <f t="shared" si="1640"/>
        <v>-0.10526315789473684</v>
      </c>
      <c r="EM351" s="1169">
        <f t="shared" si="1640"/>
        <v>-8.108108108108103E-2</v>
      </c>
      <c r="EN351" s="1169">
        <f t="shared" si="1640"/>
        <v>-9.8591549295774628E-2</v>
      </c>
      <c r="EO351" s="1169">
        <f t="shared" si="1640"/>
        <v>-6.2344139650872821E-2</v>
      </c>
      <c r="EP351" s="1169">
        <f t="shared" si="1640"/>
        <v>-4.6511627906976716E-2</v>
      </c>
      <c r="EQ351" s="1169">
        <f t="shared" si="1640"/>
        <v>-5.6149732620320858E-2</v>
      </c>
      <c r="ER351" s="1169">
        <f t="shared" si="1640"/>
        <v>-4.5454545454545414E-2</v>
      </c>
      <c r="ES351" s="1169">
        <f t="shared" si="1640"/>
        <v>-5.2734375E-2</v>
      </c>
      <c r="ET351" s="1169">
        <f t="shared" si="1640"/>
        <v>-4.5424174081119761E-2</v>
      </c>
      <c r="EU351" s="1169">
        <f t="shared" si="1640"/>
        <v>-4.568607724657614E-2</v>
      </c>
      <c r="EV351" s="1169">
        <f t="shared" si="1640"/>
        <v>-4.5508565183404737E-2</v>
      </c>
      <c r="EW351" s="1169">
        <f t="shared" si="1640"/>
        <v>-4.503548476373942E-2</v>
      </c>
      <c r="EX351" s="1169">
        <f t="shared" si="1640"/>
        <v>-4.5415700019851735E-2</v>
      </c>
      <c r="EY351" s="1169">
        <f t="shared" ref="EY351:EY352" si="1654">EY343/ET343-1</f>
        <v>-4.1253533098567274E-2</v>
      </c>
      <c r="EZ351" s="1169">
        <f t="shared" ref="EZ351:EZ352" si="1655">EZ343/EU343-1</f>
        <v>-4.1131532473695276E-2</v>
      </c>
      <c r="FA351" s="1169">
        <f t="shared" ref="FA351:FA352" si="1656">FA343/EV343-1</f>
        <v>-4.0982943340379996E-2</v>
      </c>
      <c r="FB351" s="1169">
        <f t="shared" ref="FB351:FB352" si="1657">FB343/EW343-1</f>
        <v>-4.0555322747066413E-2</v>
      </c>
      <c r="FC351" s="1169">
        <f t="shared" si="1644"/>
        <v>-4.0985577944478657E-2</v>
      </c>
      <c r="FD351" s="1169">
        <f t="shared" ref="FD351:FD352" si="1658">FD343/EY343-1</f>
        <v>-3.3870058467946662E-2</v>
      </c>
      <c r="FE351" s="1169">
        <f t="shared" ref="FE351:FE352" si="1659">FE343/EZ343-1</f>
        <v>-3.3773247602608802E-2</v>
      </c>
      <c r="FF351" s="1169">
        <f t="shared" ref="FF351:FF352" si="1660">FF343/FA343-1</f>
        <v>-3.3653397542617536E-2</v>
      </c>
      <c r="FG351" s="1169">
        <f t="shared" ref="FG351:FG352" si="1661">FG343/FB343-1</f>
        <v>-3.3257432386132324E-2</v>
      </c>
      <c r="FH351" s="1169">
        <f t="shared" si="1648"/>
        <v>-3.3642515845091037E-2</v>
      </c>
      <c r="FI351" s="1169">
        <f t="shared" ref="FI351:FM352" si="1662">FI343/FH343-1</f>
        <v>-2.7669399175065834E-2</v>
      </c>
      <c r="FJ351" s="1169">
        <f t="shared" si="1662"/>
        <v>-2.4926777041662795E-2</v>
      </c>
      <c r="FK351" s="1169">
        <f t="shared" si="1662"/>
        <v>-2.2020681268603015E-2</v>
      </c>
      <c r="FL351" s="1169">
        <f t="shared" si="1662"/>
        <v>-1.9457330629275793E-2</v>
      </c>
      <c r="FM351" s="1169">
        <f t="shared" si="1662"/>
        <v>-1.7200309359640009E-2</v>
      </c>
    </row>
    <row r="352" spans="1:169" s="141" customFormat="1" x14ac:dyDescent="0.3">
      <c r="A352" s="1108" t="s">
        <v>441</v>
      </c>
      <c r="EE352" s="1169">
        <f t="shared" si="1640"/>
        <v>-8.5378868729989343E-2</v>
      </c>
      <c r="EF352" s="1169">
        <f t="shared" si="1640"/>
        <v>-8.4522502744237116E-2</v>
      </c>
      <c r="EG352" s="1169">
        <f t="shared" si="1640"/>
        <v>-8.9988751406074208E-2</v>
      </c>
      <c r="EH352" s="1169">
        <f t="shared" si="1640"/>
        <v>-9.5732410611303331E-2</v>
      </c>
      <c r="EI352" s="1169">
        <f t="shared" si="1640"/>
        <v>-8.8790233074361846E-2</v>
      </c>
      <c r="EJ352" s="1169">
        <f t="shared" si="1640"/>
        <v>-0.10151691948658115</v>
      </c>
      <c r="EK352" s="1169">
        <f t="shared" si="1640"/>
        <v>-9.2326139088728998E-2</v>
      </c>
      <c r="EL352" s="1169">
        <f t="shared" si="1640"/>
        <v>-9.1470951792336219E-2</v>
      </c>
      <c r="EM352" s="1169">
        <f t="shared" si="1640"/>
        <v>-0.10459183673469385</v>
      </c>
      <c r="EN352" s="1169">
        <f t="shared" si="1640"/>
        <v>-9.7442143727161978E-2</v>
      </c>
      <c r="EO352" s="1169">
        <f t="shared" si="1640"/>
        <v>-0.10519480519480517</v>
      </c>
      <c r="EP352" s="1169">
        <f t="shared" si="1640"/>
        <v>-9.9075297225891701E-2</v>
      </c>
      <c r="EQ352" s="1169">
        <f t="shared" si="1640"/>
        <v>-0.10068027210884356</v>
      </c>
      <c r="ER352" s="1169">
        <f t="shared" si="1640"/>
        <v>-7.8347578347578328E-2</v>
      </c>
      <c r="ES352" s="1169">
        <f t="shared" si="1640"/>
        <v>-9.6153846153846145E-2</v>
      </c>
      <c r="ET352" s="1169">
        <f t="shared" si="1640"/>
        <v>-9.6605647208939938E-2</v>
      </c>
      <c r="EU352" s="1169">
        <f t="shared" si="1640"/>
        <v>-0.1072079331218051</v>
      </c>
      <c r="EV352" s="1169">
        <f t="shared" si="1640"/>
        <v>-0.11280084679603375</v>
      </c>
      <c r="EW352" s="1169">
        <f t="shared" si="1640"/>
        <v>-0.11212111337717567</v>
      </c>
      <c r="EX352" s="1169">
        <f t="shared" si="1640"/>
        <v>-0.10704771235656652</v>
      </c>
      <c r="EY352" s="1169">
        <f t="shared" si="1654"/>
        <v>-0.10834066784778895</v>
      </c>
      <c r="EZ352" s="1169">
        <f t="shared" si="1655"/>
        <v>-0.10821195579512977</v>
      </c>
      <c r="FA352" s="1169">
        <f t="shared" si="1656"/>
        <v>-0.10917671557055686</v>
      </c>
      <c r="FB352" s="1169">
        <f t="shared" si="1657"/>
        <v>-0.10653473108310962</v>
      </c>
      <c r="FC352" s="1169">
        <f t="shared" si="1644"/>
        <v>-0.10807918920865767</v>
      </c>
      <c r="FD352" s="1169">
        <f t="shared" si="1658"/>
        <v>-9.9315983382143314E-2</v>
      </c>
      <c r="FE352" s="1169">
        <f t="shared" si="1659"/>
        <v>-9.9493051167843016E-2</v>
      </c>
      <c r="FF352" s="1169">
        <f t="shared" si="1660"/>
        <v>-0.10073010466078858</v>
      </c>
      <c r="FG352" s="1169">
        <f t="shared" si="1661"/>
        <v>-9.7847996293779937E-2</v>
      </c>
      <c r="FH352" s="1169">
        <f t="shared" si="1648"/>
        <v>-9.9354155454877469E-2</v>
      </c>
      <c r="FI352" s="1169">
        <f t="shared" si="1662"/>
        <v>-9.0498669257253694E-2</v>
      </c>
      <c r="FJ352" s="1169">
        <f t="shared" si="1662"/>
        <v>-8.0775875128443309E-2</v>
      </c>
      <c r="FK352" s="1169">
        <f t="shared" si="1662"/>
        <v>-6.5883672195153675E-2</v>
      </c>
      <c r="FL352" s="1169">
        <f t="shared" si="1662"/>
        <v>-5.4623107087841127E-2</v>
      </c>
      <c r="FM352" s="1169">
        <f t="shared" si="1662"/>
        <v>-4.545191656173464E-2</v>
      </c>
    </row>
    <row r="353" spans="1:181" x14ac:dyDescent="0.3">
      <c r="EO353"/>
      <c r="EP353"/>
      <c r="EQ353"/>
      <c r="ER353"/>
    </row>
    <row r="354" spans="1:181" x14ac:dyDescent="0.3">
      <c r="A354" s="54" t="s">
        <v>442</v>
      </c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4"/>
      <c r="CO354" s="54"/>
      <c r="CP354" s="54"/>
      <c r="CQ354" s="54"/>
      <c r="CR354" s="54"/>
      <c r="CS354" s="54"/>
      <c r="CT354" s="54"/>
      <c r="CU354" s="54"/>
      <c r="CV354" s="54"/>
      <c r="CW354" s="54"/>
      <c r="CX354" s="54"/>
      <c r="CY354" s="54"/>
      <c r="CZ354" s="54"/>
      <c r="DA354" s="54"/>
      <c r="DB354" s="54"/>
      <c r="DC354" s="54"/>
      <c r="DD354" s="54"/>
      <c r="DE354" s="54"/>
      <c r="DF354" s="54"/>
      <c r="DG354" s="54"/>
      <c r="DH354" s="54"/>
      <c r="DI354" s="54"/>
      <c r="DJ354" s="54"/>
      <c r="DK354" s="54"/>
      <c r="DL354" s="54"/>
      <c r="DM354" s="54"/>
      <c r="DN354" s="54"/>
      <c r="DO354" s="54"/>
      <c r="DP354" s="54"/>
      <c r="DQ354" s="54"/>
      <c r="DR354" s="54"/>
      <c r="DS354" s="54"/>
      <c r="DT354" s="54"/>
      <c r="DU354" s="54"/>
      <c r="DV354" s="54"/>
      <c r="DW354" s="54"/>
      <c r="DX354" s="54"/>
      <c r="DY354" s="54"/>
      <c r="DZ354" s="54"/>
      <c r="EA354" s="54"/>
      <c r="EB354" s="54"/>
      <c r="EC354" s="54"/>
      <c r="ED354" s="54"/>
      <c r="EE354" s="54"/>
      <c r="EF354" s="54"/>
      <c r="EG354" s="54"/>
      <c r="EH354" s="54"/>
      <c r="EI354" s="54"/>
      <c r="EJ354" s="54"/>
      <c r="EK354" s="54"/>
      <c r="EL354" s="54"/>
      <c r="EM354" s="54"/>
      <c r="EN354" s="54"/>
      <c r="EO354" s="54"/>
      <c r="EP354" s="54"/>
      <c r="EQ354" s="54"/>
      <c r="ER354" s="54"/>
      <c r="ES354" s="54"/>
      <c r="ET354" s="54"/>
      <c r="EU354" s="54"/>
      <c r="EV354" s="54"/>
      <c r="EW354" s="54"/>
      <c r="EX354" s="54"/>
      <c r="EY354" s="54"/>
      <c r="EZ354" s="54"/>
      <c r="FA354" s="54"/>
      <c r="FB354" s="54"/>
      <c r="FC354" s="54"/>
      <c r="FD354" s="54"/>
      <c r="FE354" s="54"/>
      <c r="FF354" s="54"/>
      <c r="FG354" s="54"/>
      <c r="FH354" s="54"/>
      <c r="FI354" s="54"/>
      <c r="FJ354" s="54"/>
      <c r="FK354" s="54"/>
      <c r="FL354" s="54"/>
      <c r="FM354" s="54"/>
      <c r="FN354" s="54"/>
    </row>
    <row r="355" spans="1:181" ht="12.75" customHeight="1" x14ac:dyDescent="0.3">
      <c r="A355" s="110" t="s">
        <v>443</v>
      </c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  <c r="AW355" s="193"/>
      <c r="AX355" s="193"/>
      <c r="AY355" s="193"/>
      <c r="AZ355" s="193"/>
      <c r="BA355" s="193"/>
      <c r="BB355" s="193"/>
      <c r="BC355" s="193"/>
      <c r="BD355" s="193"/>
      <c r="BE355" s="193"/>
      <c r="BF355" s="193"/>
      <c r="BG355" s="193"/>
      <c r="BH355" s="193"/>
      <c r="BI355" s="193"/>
      <c r="BJ355" s="193"/>
      <c r="BK355" s="193"/>
      <c r="BL355" s="192"/>
      <c r="BM355" s="192"/>
      <c r="BN355" s="192"/>
      <c r="BO355" s="192"/>
      <c r="BP355" s="192"/>
      <c r="BQ355" s="192"/>
      <c r="BR355" s="193"/>
      <c r="BS355" s="193"/>
      <c r="BT355" s="193"/>
      <c r="BU355" s="193"/>
      <c r="BV355" s="192"/>
      <c r="BW355" s="193"/>
      <c r="BX355" s="193"/>
      <c r="BY355" s="193"/>
      <c r="BZ355" s="193"/>
      <c r="CA355" s="192"/>
      <c r="CB355" s="193"/>
      <c r="CC355" s="193"/>
      <c r="CD355" s="193"/>
      <c r="CE355" s="193"/>
      <c r="CF355" s="192"/>
      <c r="CG355" s="193"/>
      <c r="CH355" s="193"/>
      <c r="CI355" s="193"/>
      <c r="CJ355" s="193"/>
      <c r="CK355" s="192"/>
      <c r="CL355" s="193"/>
      <c r="CM355" s="193"/>
      <c r="CN355" s="193"/>
      <c r="CO355" s="193"/>
      <c r="CP355" s="192"/>
      <c r="CQ355" s="193"/>
      <c r="CR355" s="193"/>
      <c r="CS355" s="193"/>
      <c r="CT355" s="193"/>
      <c r="CU355" s="193"/>
      <c r="CV355" s="193"/>
      <c r="CW355" s="193"/>
      <c r="CX355" s="193"/>
      <c r="CY355" s="193"/>
      <c r="CZ355" s="193"/>
      <c r="DA355" s="193"/>
      <c r="DB355" s="193"/>
      <c r="DC355" s="193"/>
      <c r="DD355" s="193"/>
      <c r="DE355" s="193"/>
      <c r="DF355" s="193"/>
      <c r="DG355" s="193"/>
      <c r="DH355" s="193"/>
      <c r="DI355" s="193"/>
      <c r="DJ355" s="193"/>
      <c r="DK355" s="193"/>
      <c r="DL355" s="193"/>
      <c r="DM355" s="193"/>
      <c r="DN355" s="193"/>
      <c r="DO355" s="193"/>
      <c r="DP355" s="193"/>
      <c r="DQ355" s="193"/>
      <c r="DR355" s="193"/>
      <c r="DS355" s="193"/>
      <c r="DT355" s="193"/>
      <c r="DU355" s="76"/>
      <c r="DV355" s="76"/>
      <c r="DW355" s="76"/>
      <c r="DX355" s="76"/>
      <c r="DY355" s="475"/>
      <c r="DZ355" s="76">
        <f>+DZ357*DZ315*0.003</f>
        <v>25.757575757575754</v>
      </c>
      <c r="EA355" s="76">
        <f>+EA357*EA315*0.003</f>
        <v>23.409294012511172</v>
      </c>
      <c r="EB355" s="76">
        <f>+EB357*EB315*0.003</f>
        <v>20.452107279693486</v>
      </c>
      <c r="EC355" s="76">
        <f>+EC357*EC315*0.003</f>
        <v>17.220618556701034</v>
      </c>
      <c r="ED355" s="85">
        <f>+SUM(DZ355:EC355)</f>
        <v>86.839595606481453</v>
      </c>
      <c r="EE355" s="76">
        <f>+EE357*EE315*0.003</f>
        <v>16.294701986754966</v>
      </c>
      <c r="EF355" s="76">
        <f>+EF357*EF315*0.003</f>
        <v>15.829787234042552</v>
      </c>
      <c r="EG355" s="76">
        <f>+EG357*EG315*0.003</f>
        <v>13.981132075471697</v>
      </c>
      <c r="EH355" s="76">
        <f>+EH357*EH315*0.003</f>
        <v>13.567639257294429</v>
      </c>
      <c r="EI355" s="121">
        <f>+SUM(EE355:EH355)</f>
        <v>59.673260553563644</v>
      </c>
      <c r="EJ355" s="76">
        <f>+EJ357*EJ315*0.003</f>
        <v>13.051460361613351</v>
      </c>
      <c r="EK355" s="76">
        <f>+EK357*EK315*0.003</f>
        <v>12.373900293255133</v>
      </c>
      <c r="EL355" s="76">
        <f>+EL357*EL315*0.003</f>
        <v>11.120124804992201</v>
      </c>
      <c r="EM355" s="76">
        <f>+EM357*EM315*0.003</f>
        <v>9.4370860927152318</v>
      </c>
      <c r="EN355" s="121">
        <f>+SUM(EJ355:EM355)</f>
        <v>45.982571552575919</v>
      </c>
      <c r="EO355" s="76">
        <f>+EO357*EO315*0.003</f>
        <v>8.9333333333333353</v>
      </c>
      <c r="EP355" s="76">
        <f>+EP357*EP315*0.003</f>
        <v>7.6214689265536739</v>
      </c>
      <c r="EQ355" s="76">
        <f>+EQ357*EQ315*0.003</f>
        <v>6.089613034623218</v>
      </c>
      <c r="ER355" s="76">
        <f>+ER357*ER315*0.003</f>
        <v>5.3275109170305681</v>
      </c>
      <c r="ES355" s="121">
        <f>+SUM(EO355:ER355)</f>
        <v>27.971926211540794</v>
      </c>
      <c r="ET355" s="76">
        <f t="shared" ref="ET355:EW355" si="1663">+ET357*ET315*0.003</f>
        <v>4.9789738761061955</v>
      </c>
      <c r="EU355" s="76">
        <f t="shared" si="1663"/>
        <v>4.2912767704048438</v>
      </c>
      <c r="EV355" s="76">
        <f t="shared" si="1663"/>
        <v>3.6499297533923785</v>
      </c>
      <c r="EW355" s="76">
        <f t="shared" si="1663"/>
        <v>3.1516246982330443</v>
      </c>
      <c r="EX355" s="121">
        <f>+SUM(ET355:EW355)</f>
        <v>16.071805098136462</v>
      </c>
      <c r="EY355" s="76">
        <f t="shared" ref="EY355:FB355" si="1664">+EY357*EY315*0.003</f>
        <v>2.8564517754987784</v>
      </c>
      <c r="EZ355" s="76">
        <f t="shared" si="1664"/>
        <v>2.4647035275031768</v>
      </c>
      <c r="FA355" s="76">
        <f t="shared" si="1664"/>
        <v>2.0978528583120073</v>
      </c>
      <c r="FB355" s="76">
        <f t="shared" si="1664"/>
        <v>1.8111512901723432</v>
      </c>
      <c r="FC355" s="121">
        <f>+SUM(EY355:FB355)</f>
        <v>9.2301594514863066</v>
      </c>
      <c r="FD355" s="76">
        <f t="shared" ref="FD355:FG355" si="1665">+FD357*FD315*0.003</f>
        <v>1.6373746761675221</v>
      </c>
      <c r="FE355" s="76">
        <f t="shared" si="1665"/>
        <v>1.4143055323817499</v>
      </c>
      <c r="FF355" s="76">
        <f t="shared" si="1665"/>
        <v>1.2046030581072191</v>
      </c>
      <c r="FG355" s="76">
        <f t="shared" si="1665"/>
        <v>1.0398204703888927</v>
      </c>
      <c r="FH355" s="121">
        <f>+SUM(FD355:FG355)</f>
        <v>5.2961037370453843</v>
      </c>
      <c r="FI355" s="76">
        <f t="shared" ref="FI355:FM355" si="1666">+FI357*FI315*12/1000</f>
        <v>2.9028878205831465</v>
      </c>
      <c r="FJ355" s="76">
        <f t="shared" si="1666"/>
        <v>1.3281006343342916</v>
      </c>
      <c r="FK355" s="76">
        <f t="shared" si="1666"/>
        <v>0.60716635207152958</v>
      </c>
      <c r="FL355" s="76">
        <f t="shared" si="1666"/>
        <v>0.27738389682346476</v>
      </c>
      <c r="FM355" s="76">
        <f t="shared" si="1666"/>
        <v>0.1266399554479456</v>
      </c>
      <c r="FN355" s="189">
        <f>+(FJ355/ES355)^0.2-1</f>
        <v>-0.45637211927207211</v>
      </c>
      <c r="FO355" s="193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</row>
    <row r="356" spans="1:181" ht="12.75" customHeight="1" x14ac:dyDescent="0.3">
      <c r="A356" s="70" t="s">
        <v>363</v>
      </c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  <c r="AW356" s="193"/>
      <c r="AX356" s="193"/>
      <c r="AY356" s="193"/>
      <c r="AZ356" s="193"/>
      <c r="BA356" s="193"/>
      <c r="BB356" s="193"/>
      <c r="BC356" s="193"/>
      <c r="BD356" s="193"/>
      <c r="BE356" s="193"/>
      <c r="BF356" s="193"/>
      <c r="BG356" s="193"/>
      <c r="BH356" s="193"/>
      <c r="BI356" s="193"/>
      <c r="BJ356" s="193"/>
      <c r="BK356" s="193"/>
      <c r="BL356" s="192"/>
      <c r="BM356" s="192"/>
      <c r="BN356" s="192"/>
      <c r="BO356" s="192"/>
      <c r="BP356" s="192"/>
      <c r="BQ356" s="192"/>
      <c r="BR356" s="193"/>
      <c r="BS356" s="193"/>
      <c r="BT356" s="193"/>
      <c r="BU356" s="193"/>
      <c r="BV356" s="192"/>
      <c r="BW356" s="193"/>
      <c r="BX356" s="193"/>
      <c r="BY356" s="193"/>
      <c r="BZ356" s="193"/>
      <c r="CA356" s="192"/>
      <c r="CB356" s="193"/>
      <c r="CC356" s="193"/>
      <c r="CD356" s="193"/>
      <c r="CE356" s="193"/>
      <c r="CF356" s="192"/>
      <c r="CG356" s="193"/>
      <c r="CH356" s="193"/>
      <c r="CI356" s="193"/>
      <c r="CJ356" s="193"/>
      <c r="CK356" s="192"/>
      <c r="CL356" s="193"/>
      <c r="CM356" s="193"/>
      <c r="CN356" s="193"/>
      <c r="CO356" s="193"/>
      <c r="CP356" s="192"/>
      <c r="CQ356" s="193"/>
      <c r="CR356" s="193"/>
      <c r="CS356" s="193"/>
      <c r="CT356" s="193"/>
      <c r="CU356" s="193"/>
      <c r="CV356" s="193"/>
      <c r="CW356" s="193"/>
      <c r="CX356" s="193"/>
      <c r="CY356" s="193"/>
      <c r="CZ356" s="193"/>
      <c r="DA356" s="193"/>
      <c r="DB356" s="193"/>
      <c r="DC356" s="193"/>
      <c r="DD356" s="193"/>
      <c r="DE356" s="193"/>
      <c r="DF356" s="193"/>
      <c r="DG356" s="193"/>
      <c r="DH356" s="193"/>
      <c r="DI356" s="193"/>
      <c r="DJ356" s="193"/>
      <c r="DK356" s="193"/>
      <c r="DL356" s="193"/>
      <c r="DM356" s="193"/>
      <c r="DN356" s="193"/>
      <c r="DO356" s="193"/>
      <c r="DP356" s="193"/>
      <c r="DQ356" s="193"/>
      <c r="DR356" s="193"/>
      <c r="DS356" s="193"/>
      <c r="DT356" s="193"/>
      <c r="DU356" s="194"/>
      <c r="DV356" s="194"/>
      <c r="DW356" s="194"/>
      <c r="DX356" s="194"/>
      <c r="DY356" s="1208"/>
      <c r="DZ356" s="75"/>
      <c r="EA356" s="75"/>
      <c r="EB356" s="75"/>
      <c r="EC356" s="75"/>
      <c r="ED356" s="84"/>
      <c r="EE356" s="75">
        <f t="shared" ref="EE356:EX356" si="1667">+EE355/DZ355-1</f>
        <v>-0.36738215816127773</v>
      </c>
      <c r="EF356" s="75">
        <f t="shared" si="1667"/>
        <v>-0.32378194636787117</v>
      </c>
      <c r="EG356" s="75">
        <f t="shared" si="1667"/>
        <v>-0.31639650211725123</v>
      </c>
      <c r="EH356" s="75">
        <f t="shared" si="1667"/>
        <v>-0.21212822799475606</v>
      </c>
      <c r="EI356" s="127">
        <f t="shared" si="1667"/>
        <v>-0.31283350484522743</v>
      </c>
      <c r="EJ356" s="75">
        <f t="shared" si="1667"/>
        <v>-0.19903657199609182</v>
      </c>
      <c r="EK356" s="126">
        <f t="shared" si="1667"/>
        <v>-0.21831543846372137</v>
      </c>
      <c r="EL356" s="126">
        <f t="shared" si="1667"/>
        <v>-0.20463344849583442</v>
      </c>
      <c r="EM356" s="126">
        <f t="shared" si="1667"/>
        <v>-0.30444155289273855</v>
      </c>
      <c r="EN356" s="127">
        <f t="shared" si="1667"/>
        <v>-0.22942753377283198</v>
      </c>
      <c r="EO356" s="75">
        <f t="shared" si="1667"/>
        <v>-0.31552998010798505</v>
      </c>
      <c r="EP356" s="75">
        <f t="shared" si="1667"/>
        <v>-0.38406898827946379</v>
      </c>
      <c r="EQ356" s="75">
        <f t="shared" si="1667"/>
        <v>-0.45237907474838912</v>
      </c>
      <c r="ER356" s="75">
        <f t="shared" si="1667"/>
        <v>-0.43547077300237491</v>
      </c>
      <c r="ES356" s="127">
        <f t="shared" si="1667"/>
        <v>-0.39168416930405836</v>
      </c>
      <c r="ET356" s="126">
        <f t="shared" si="1667"/>
        <v>-0.44265217804781409</v>
      </c>
      <c r="EU356" s="126">
        <f t="shared" si="1667"/>
        <v>-0.43694885962812657</v>
      </c>
      <c r="EV356" s="126">
        <f t="shared" si="1667"/>
        <v>-0.40063026457670303</v>
      </c>
      <c r="EW356" s="126">
        <f t="shared" si="1667"/>
        <v>-0.40842454434805975</v>
      </c>
      <c r="EX356" s="127">
        <f t="shared" si="1667"/>
        <v>-0.42543087749511233</v>
      </c>
      <c r="EY356" s="126">
        <f t="shared" ref="EY356" si="1668">+EY355/ET355-1</f>
        <v>-0.42629709522945614</v>
      </c>
      <c r="EZ356" s="126">
        <f t="shared" ref="EZ356" si="1669">+EZ355/EU355-1</f>
        <v>-0.42564796927077397</v>
      </c>
      <c r="FA356" s="126">
        <f t="shared" ref="FA356" si="1670">+FA355/EV355-1</f>
        <v>-0.42523473051441996</v>
      </c>
      <c r="FB356" s="126">
        <f t="shared" ref="FB356:FC356" si="1671">+FB355/EW355-1</f>
        <v>-0.42532773931243661</v>
      </c>
      <c r="FC356" s="127">
        <f t="shared" si="1671"/>
        <v>-0.42569242252965411</v>
      </c>
      <c r="FD356" s="126">
        <f t="shared" ref="FD356" si="1672">+FD355/EY355-1</f>
        <v>-0.42678021375606368</v>
      </c>
      <c r="FE356" s="126">
        <f t="shared" ref="FE356" si="1673">+FE355/EZ355-1</f>
        <v>-0.42617620472410878</v>
      </c>
      <c r="FF356" s="126">
        <f t="shared" ref="FF356" si="1674">+FF355/FA355-1</f>
        <v>-0.42579239848285766</v>
      </c>
      <c r="FG356" s="126">
        <f t="shared" ref="FG356:FH356" si="1675">+FG355/FB355-1</f>
        <v>-0.42587873468596493</v>
      </c>
      <c r="FH356" s="127">
        <f t="shared" si="1675"/>
        <v>-0.42621752474789942</v>
      </c>
      <c r="FI356" s="126">
        <f t="shared" ref="FI356:FM356" si="1676">+FI355/FH355-1</f>
        <v>-0.45188237151060351</v>
      </c>
      <c r="FJ356" s="126">
        <f t="shared" si="1676"/>
        <v>-0.5424898527193186</v>
      </c>
      <c r="FK356" s="126">
        <f t="shared" si="1676"/>
        <v>-0.54283106537640435</v>
      </c>
      <c r="FL356" s="126">
        <f t="shared" si="1676"/>
        <v>-0.54315008419507005</v>
      </c>
      <c r="FM356" s="126">
        <f t="shared" si="1676"/>
        <v>-0.54344878380397477</v>
      </c>
      <c r="FN356" s="193"/>
      <c r="FO356" s="193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</row>
    <row r="357" spans="1:181" ht="12.75" customHeight="1" x14ac:dyDescent="0.3">
      <c r="A357" s="61" t="s">
        <v>386</v>
      </c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  <c r="AW357" s="193"/>
      <c r="AX357" s="193"/>
      <c r="AY357" s="193"/>
      <c r="AZ357" s="193"/>
      <c r="BA357" s="193"/>
      <c r="BB357" s="193"/>
      <c r="BC357" s="193"/>
      <c r="BD357" s="193"/>
      <c r="BE357" s="193"/>
      <c r="BF357" s="193"/>
      <c r="BG357" s="193"/>
      <c r="BH357" s="193"/>
      <c r="BI357" s="193"/>
      <c r="BJ357" s="193"/>
      <c r="BK357" s="193"/>
      <c r="BL357" s="192"/>
      <c r="BM357" s="192"/>
      <c r="BN357" s="192"/>
      <c r="BO357" s="192"/>
      <c r="BP357" s="192"/>
      <c r="BQ357" s="192"/>
      <c r="BR357" s="193"/>
      <c r="BS357" s="193"/>
      <c r="BT357" s="193"/>
      <c r="BU357" s="193"/>
      <c r="BV357" s="192"/>
      <c r="BW357" s="193"/>
      <c r="BX357" s="193"/>
      <c r="BY357" s="193"/>
      <c r="BZ357" s="193"/>
      <c r="CA357" s="192"/>
      <c r="CB357" s="193"/>
      <c r="CC357" s="193"/>
      <c r="CD357" s="193"/>
      <c r="CE357" s="193"/>
      <c r="CF357" s="192"/>
      <c r="CG357" s="193"/>
      <c r="CH357" s="193"/>
      <c r="CI357" s="193"/>
      <c r="CJ357" s="193"/>
      <c r="CK357" s="192"/>
      <c r="CL357" s="193"/>
      <c r="CM357" s="193"/>
      <c r="CN357" s="193"/>
      <c r="CO357" s="193"/>
      <c r="CP357" s="192"/>
      <c r="CQ357" s="193"/>
      <c r="CR357" s="193"/>
      <c r="CS357" s="193"/>
      <c r="CT357" s="193"/>
      <c r="CU357" s="193"/>
      <c r="CV357" s="193"/>
      <c r="CW357" s="193"/>
      <c r="CX357" s="193"/>
      <c r="CY357" s="193"/>
      <c r="CZ357" s="193"/>
      <c r="DA357" s="193"/>
      <c r="DB357" s="193"/>
      <c r="DC357" s="193"/>
      <c r="DD357" s="193"/>
      <c r="DE357" s="193"/>
      <c r="DF357" s="193"/>
      <c r="DG357" s="193"/>
      <c r="DH357" s="193"/>
      <c r="DI357" s="193"/>
      <c r="DJ357" s="193"/>
      <c r="DK357" s="193"/>
      <c r="DL357" s="193"/>
      <c r="DM357" s="193"/>
      <c r="DN357" s="193"/>
      <c r="DO357" s="193"/>
      <c r="DP357" s="193"/>
      <c r="DQ357" s="193"/>
      <c r="DR357" s="193"/>
      <c r="DS357" s="193"/>
      <c r="DT357" s="193"/>
      <c r="DU357" s="111"/>
      <c r="DV357" s="111"/>
      <c r="DW357" s="111"/>
      <c r="DX357" s="111"/>
      <c r="DY357" s="112"/>
      <c r="DZ357" s="111">
        <f t="shared" ref="DZ357:ER357" si="1677">DZ72</f>
        <v>95.398428731762053</v>
      </c>
      <c r="EA357" s="111">
        <f t="shared" si="1677"/>
        <v>92.344355078939529</v>
      </c>
      <c r="EB357" s="111">
        <f t="shared" si="1677"/>
        <v>86.845466155810982</v>
      </c>
      <c r="EC357" s="111">
        <f t="shared" si="1677"/>
        <v>79.725085910652922</v>
      </c>
      <c r="ED357" s="112">
        <f t="shared" si="1677"/>
        <v>89.022602792563461</v>
      </c>
      <c r="EE357" s="111">
        <f t="shared" si="1677"/>
        <v>81.677704194260485</v>
      </c>
      <c r="EF357" s="111">
        <f t="shared" si="1677"/>
        <v>85.106382978723403</v>
      </c>
      <c r="EG357" s="111">
        <f t="shared" si="1677"/>
        <v>79.664570230607964</v>
      </c>
      <c r="EH357" s="111">
        <f t="shared" si="1677"/>
        <v>82.228116710875327</v>
      </c>
      <c r="EI357" s="112">
        <f t="shared" si="1677"/>
        <v>82.197313945269102</v>
      </c>
      <c r="EJ357" s="111">
        <f t="shared" si="1677"/>
        <v>85.303662494204914</v>
      </c>
      <c r="EK357" s="111">
        <f t="shared" si="1677"/>
        <v>85.043988269794724</v>
      </c>
      <c r="EL357" s="111">
        <f t="shared" si="1677"/>
        <v>84.243369734789397</v>
      </c>
      <c r="EM357" s="111">
        <f t="shared" si="1677"/>
        <v>83.885209713024281</v>
      </c>
      <c r="EN357" s="112">
        <f t="shared" si="1677"/>
        <v>84.656084656084644</v>
      </c>
      <c r="EO357" s="111">
        <f t="shared" si="1677"/>
        <v>88.8888888888889</v>
      </c>
      <c r="EP357" s="111">
        <f t="shared" si="1677"/>
        <v>89.139987445072208</v>
      </c>
      <c r="EQ357" s="111">
        <f t="shared" si="1677"/>
        <v>88.255261371350983</v>
      </c>
      <c r="ER357" s="111">
        <f t="shared" si="1677"/>
        <v>88.791848617176129</v>
      </c>
      <c r="ES357" s="112">
        <f>ES72</f>
        <v>88.780487804878064</v>
      </c>
      <c r="ET357" s="111">
        <f t="shared" ref="ET357:EW357" si="1678">ET219</f>
        <v>94.005688888888898</v>
      </c>
      <c r="EU357" s="111">
        <f t="shared" si="1678"/>
        <v>94.385987445072217</v>
      </c>
      <c r="EV357" s="111">
        <f t="shared" si="1678"/>
        <v>93.521661371350987</v>
      </c>
      <c r="EW357" s="111">
        <f t="shared" si="1678"/>
        <v>94.073848617176139</v>
      </c>
      <c r="EX357" s="112">
        <f>EX72</f>
        <v>94.002637272820337</v>
      </c>
      <c r="EY357" s="111">
        <f t="shared" ref="EY357:FB357" si="1679">EY219</f>
        <v>99.327160888888898</v>
      </c>
      <c r="EZ357" s="111">
        <f t="shared" si="1679"/>
        <v>99.841827445072212</v>
      </c>
      <c r="FA357" s="111">
        <f t="shared" si="1679"/>
        <v>98.998717371350992</v>
      </c>
      <c r="FB357" s="111">
        <f t="shared" si="1679"/>
        <v>99.567128617176138</v>
      </c>
      <c r="FC357" s="112">
        <f>FC72</f>
        <v>99.434889581495838</v>
      </c>
      <c r="FD357" s="111">
        <f t="shared" ref="FD357:FM357" si="1680">FD219</f>
        <v>104.8614917688889</v>
      </c>
      <c r="FE357" s="111">
        <f t="shared" si="1680"/>
        <v>105.51590104507223</v>
      </c>
      <c r="FF357" s="111">
        <f t="shared" si="1680"/>
        <v>104.694855611351</v>
      </c>
      <c r="FG357" s="111">
        <f t="shared" si="1680"/>
        <v>105.28013981717615</v>
      </c>
      <c r="FH357" s="112">
        <f>FH72</f>
        <v>105.08468300027586</v>
      </c>
      <c r="FI357" s="111">
        <f t="shared" si="1680"/>
        <v>110.96073924926368</v>
      </c>
      <c r="FJ357" s="111">
        <f t="shared" si="1680"/>
        <v>117.07183774821102</v>
      </c>
      <c r="FK357" s="111">
        <f t="shared" si="1680"/>
        <v>123.42738018711627</v>
      </c>
      <c r="FL357" s="111">
        <f t="shared" si="1680"/>
        <v>130.03714432357771</v>
      </c>
      <c r="FM357" s="111">
        <f t="shared" si="1680"/>
        <v>136.91129902549761</v>
      </c>
      <c r="FN357" s="111">
        <f>FN72</f>
        <v>0</v>
      </c>
      <c r="FO357" s="193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</row>
    <row r="358" spans="1:181" ht="12.75" customHeight="1" x14ac:dyDescent="0.3">
      <c r="A358" s="70" t="s">
        <v>387</v>
      </c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  <c r="AW358" s="193"/>
      <c r="AX358" s="193"/>
      <c r="AY358" s="193"/>
      <c r="AZ358" s="193"/>
      <c r="BA358" s="193"/>
      <c r="BB358" s="193"/>
      <c r="BC358" s="193"/>
      <c r="BD358" s="193"/>
      <c r="BE358" s="193"/>
      <c r="BF358" s="193"/>
      <c r="BG358" s="193"/>
      <c r="BH358" s="193"/>
      <c r="BI358" s="193"/>
      <c r="BJ358" s="193"/>
      <c r="BK358" s="193"/>
      <c r="BL358" s="192"/>
      <c r="BM358" s="192"/>
      <c r="BN358" s="192"/>
      <c r="BO358" s="192"/>
      <c r="BP358" s="192"/>
      <c r="BQ358" s="192"/>
      <c r="BR358" s="193"/>
      <c r="BS358" s="193"/>
      <c r="BT358" s="193"/>
      <c r="BU358" s="193"/>
      <c r="BV358" s="192"/>
      <c r="BW358" s="193"/>
      <c r="BX358" s="193"/>
      <c r="BY358" s="193"/>
      <c r="BZ358" s="193"/>
      <c r="CA358" s="192"/>
      <c r="CB358" s="193"/>
      <c r="CC358" s="193"/>
      <c r="CD358" s="193"/>
      <c r="CE358" s="193"/>
      <c r="CF358" s="192"/>
      <c r="CG358" s="193"/>
      <c r="CH358" s="193"/>
      <c r="CI358" s="193"/>
      <c r="CJ358" s="193"/>
      <c r="CK358" s="192"/>
      <c r="CL358" s="193"/>
      <c r="CM358" s="193"/>
      <c r="CN358" s="193"/>
      <c r="CO358" s="193"/>
      <c r="CP358" s="192"/>
      <c r="CQ358" s="193"/>
      <c r="CR358" s="193"/>
      <c r="CS358" s="193"/>
      <c r="CT358" s="193"/>
      <c r="CU358" s="193"/>
      <c r="CV358" s="193"/>
      <c r="CW358" s="193"/>
      <c r="CX358" s="193"/>
      <c r="CY358" s="193"/>
      <c r="CZ358" s="193"/>
      <c r="DA358" s="193"/>
      <c r="DB358" s="193"/>
      <c r="DC358" s="193"/>
      <c r="DD358" s="193"/>
      <c r="DE358" s="193"/>
      <c r="DF358" s="193"/>
      <c r="DG358" s="193"/>
      <c r="DH358" s="193"/>
      <c r="DI358" s="193"/>
      <c r="DJ358" s="193"/>
      <c r="DK358" s="193"/>
      <c r="DL358" s="193"/>
      <c r="DM358" s="193"/>
      <c r="DN358" s="193"/>
      <c r="DO358" s="193"/>
      <c r="DP358" s="193"/>
      <c r="DQ358" s="193"/>
      <c r="DR358" s="193"/>
      <c r="DS358" s="193"/>
      <c r="DT358" s="193"/>
      <c r="DU358" s="194"/>
      <c r="DV358" s="194"/>
      <c r="DW358" s="194"/>
      <c r="DX358" s="194"/>
      <c r="DY358" s="1208"/>
      <c r="DZ358" s="195"/>
      <c r="EA358" s="195"/>
      <c r="EB358" s="195"/>
      <c r="EC358" s="195"/>
      <c r="ED358" s="199"/>
      <c r="EE358" s="195">
        <f t="shared" ref="EE358:EX358" si="1681">+EE357/DZ357-1</f>
        <v>-0.14382547721075178</v>
      </c>
      <c r="EF358" s="195">
        <f t="shared" si="1681"/>
        <v>-7.838023335621136E-2</v>
      </c>
      <c r="EG358" s="195">
        <f t="shared" si="1681"/>
        <v>-8.2685904550499512E-2</v>
      </c>
      <c r="EH358" s="195">
        <f t="shared" si="1681"/>
        <v>3.1395774261410381E-2</v>
      </c>
      <c r="EI358" s="199">
        <f t="shared" si="1681"/>
        <v>-7.666916752814279E-2</v>
      </c>
      <c r="EJ358" s="195">
        <f t="shared" si="1681"/>
        <v>4.4393489456076463E-2</v>
      </c>
      <c r="EK358" s="195">
        <f t="shared" si="1681"/>
        <v>-7.3313782991202281E-4</v>
      </c>
      <c r="EL358" s="195">
        <f t="shared" si="1681"/>
        <v>5.7475983249856366E-2</v>
      </c>
      <c r="EM358" s="195">
        <f t="shared" si="1681"/>
        <v>2.0152389090650091E-2</v>
      </c>
      <c r="EN358" s="199">
        <f t="shared" si="1681"/>
        <v>2.9913029913029909E-2</v>
      </c>
      <c r="EO358" s="195">
        <f t="shared" si="1681"/>
        <v>4.202898550724643E-2</v>
      </c>
      <c r="EP358" s="195">
        <f t="shared" si="1681"/>
        <v>4.8163300647228402E-2</v>
      </c>
      <c r="EQ358" s="195">
        <f t="shared" si="1681"/>
        <v>4.7622639611777373E-2</v>
      </c>
      <c r="ER358" s="195">
        <f t="shared" si="1681"/>
        <v>5.8492300620547111E-2</v>
      </c>
      <c r="ES358" s="199">
        <f t="shared" si="1681"/>
        <v>4.8719512195122272E-2</v>
      </c>
      <c r="ET358" s="195">
        <f t="shared" si="1681"/>
        <v>5.7563999999999949E-2</v>
      </c>
      <c r="EU358" s="195">
        <f t="shared" si="1681"/>
        <v>5.8851253521126745E-2</v>
      </c>
      <c r="EV358" s="195">
        <f t="shared" si="1681"/>
        <v>5.9672363076923141E-2</v>
      </c>
      <c r="EW358" s="195">
        <f t="shared" si="1681"/>
        <v>5.9487442622951026E-2</v>
      </c>
      <c r="EX358" s="199">
        <f t="shared" si="1681"/>
        <v>5.8820914336712438E-2</v>
      </c>
      <c r="EY358" s="195">
        <f t="shared" ref="EY358" si="1682">+EY357/ET357-1</f>
        <v>5.6607978335117215E-2</v>
      </c>
      <c r="EZ358" s="195">
        <f t="shared" ref="EZ358" si="1683">+EZ357/EU357-1</f>
        <v>5.7803495494233248E-2</v>
      </c>
      <c r="FA358" s="195">
        <f t="shared" ref="FA358" si="1684">+FA357/EV357-1</f>
        <v>5.8564571241436658E-2</v>
      </c>
      <c r="FB358" s="195">
        <f t="shared" ref="FB358:FC358" si="1685">+FB357/EW357-1</f>
        <v>5.8393273802949563E-2</v>
      </c>
      <c r="FC358" s="199">
        <f t="shared" si="1685"/>
        <v>5.7788296863519717E-2</v>
      </c>
      <c r="FD358" s="195">
        <f t="shared" ref="FD358" si="1686">+FD357/EY357-1</f>
        <v>5.5718202659501337E-2</v>
      </c>
      <c r="FE358" s="195">
        <f t="shared" ref="FE358" si="1687">+FE357/EZ357-1</f>
        <v>5.6830626453843625E-2</v>
      </c>
      <c r="FF358" s="195">
        <f t="shared" ref="FF358" si="1688">+FF357/FA357-1</f>
        <v>5.7537495345857836E-2</v>
      </c>
      <c r="FG358" s="195">
        <f t="shared" ref="FG358:FH358" si="1689">+FG357/FB357-1</f>
        <v>5.7378487050338212E-2</v>
      </c>
      <c r="FH358" s="199">
        <f t="shared" si="1689"/>
        <v>5.6819024414458852E-2</v>
      </c>
      <c r="FI358" s="195">
        <f t="shared" ref="FI358:FM358" si="1690">+FI357/FH357-1</f>
        <v>5.5917342863111674E-2</v>
      </c>
      <c r="FJ358" s="195">
        <f t="shared" si="1690"/>
        <v>5.5074421279938335E-2</v>
      </c>
      <c r="FK358" s="195">
        <f t="shared" si="1690"/>
        <v>5.4287543111557257E-2</v>
      </c>
      <c r="FL358" s="195">
        <f t="shared" si="1690"/>
        <v>5.3551846652185375E-2</v>
      </c>
      <c r="FM358" s="195">
        <f t="shared" si="1690"/>
        <v>5.2863008778588849E-2</v>
      </c>
      <c r="FN358" s="193"/>
      <c r="FO358" s="193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</row>
    <row r="359" spans="1:181" ht="12.75" customHeight="1" x14ac:dyDescent="0.3">
      <c r="A359" s="192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3"/>
      <c r="AF359" s="193"/>
      <c r="AG359" s="193"/>
      <c r="AH359" s="193"/>
      <c r="AI359" s="193"/>
      <c r="AJ359" s="193"/>
      <c r="AK359" s="193"/>
      <c r="AL359" s="193"/>
      <c r="AM359" s="193"/>
      <c r="AN359" s="193"/>
      <c r="AO359" s="193"/>
      <c r="AP359" s="193"/>
      <c r="AQ359" s="193"/>
      <c r="AR359" s="193"/>
      <c r="AS359" s="193"/>
      <c r="AT359" s="193"/>
      <c r="AU359" s="193"/>
      <c r="AV359" s="193"/>
      <c r="AW359" s="193"/>
      <c r="AX359" s="193"/>
      <c r="AY359" s="193"/>
      <c r="AZ359" s="193"/>
      <c r="BA359" s="193"/>
      <c r="BB359" s="193"/>
      <c r="BC359" s="193"/>
      <c r="BD359" s="193"/>
      <c r="BE359" s="193"/>
      <c r="BF359" s="193"/>
      <c r="BG359" s="193"/>
      <c r="BH359" s="193"/>
      <c r="BI359" s="193"/>
      <c r="BJ359" s="193"/>
      <c r="BK359" s="193"/>
      <c r="BL359" s="192"/>
      <c r="BM359" s="192"/>
      <c r="BN359" s="192"/>
      <c r="BO359" s="192"/>
      <c r="BP359" s="192"/>
      <c r="BQ359" s="192"/>
      <c r="BR359" s="193"/>
      <c r="BS359" s="193"/>
      <c r="BT359" s="193"/>
      <c r="BU359" s="193"/>
      <c r="BV359" s="192"/>
      <c r="BW359" s="193"/>
      <c r="BX359" s="193"/>
      <c r="BY359" s="193"/>
      <c r="BZ359" s="193"/>
      <c r="CA359" s="192"/>
      <c r="CB359" s="193"/>
      <c r="CC359" s="193"/>
      <c r="CD359" s="193"/>
      <c r="CE359" s="193"/>
      <c r="CF359" s="192"/>
      <c r="CG359" s="193"/>
      <c r="CH359" s="193"/>
      <c r="CI359" s="193"/>
      <c r="CJ359" s="193"/>
      <c r="CK359" s="192"/>
      <c r="CL359" s="193"/>
      <c r="CM359" s="193"/>
      <c r="CN359" s="193"/>
      <c r="CO359" s="193"/>
      <c r="CP359" s="192"/>
      <c r="CQ359" s="193"/>
      <c r="CR359" s="193"/>
      <c r="CS359" s="193"/>
      <c r="CT359" s="193"/>
      <c r="CU359" s="193"/>
      <c r="CV359" s="193"/>
      <c r="CW359" s="193"/>
      <c r="CX359" s="193"/>
      <c r="CY359" s="193"/>
      <c r="CZ359" s="193"/>
      <c r="DA359" s="193"/>
      <c r="DB359" s="193"/>
      <c r="DC359" s="193"/>
      <c r="DD359" s="193"/>
      <c r="DE359" s="193"/>
      <c r="DF359" s="193"/>
      <c r="DG359" s="193"/>
      <c r="DH359" s="193"/>
      <c r="DI359" s="193"/>
      <c r="DJ359" s="193"/>
      <c r="DK359" s="193"/>
      <c r="DL359" s="193"/>
      <c r="DM359" s="193"/>
      <c r="DN359" s="193"/>
      <c r="DO359" s="193"/>
      <c r="DP359" s="193"/>
      <c r="DQ359" s="193"/>
      <c r="DR359" s="193"/>
      <c r="DS359" s="193"/>
      <c r="DT359" s="193"/>
      <c r="DU359" s="196"/>
      <c r="DV359" s="196"/>
      <c r="DW359" s="196"/>
      <c r="DX359" s="665"/>
      <c r="DY359" s="1191"/>
      <c r="DZ359" s="197"/>
      <c r="EB359" s="665"/>
      <c r="EC359" s="665"/>
      <c r="ED359" s="1204"/>
      <c r="EE359" s="197"/>
      <c r="EF359" s="197"/>
      <c r="EG359" s="197"/>
      <c r="EH359" s="197"/>
      <c r="EI359" s="1191"/>
      <c r="EJ359" s="197"/>
      <c r="EK359" s="197"/>
      <c r="EL359" s="197"/>
      <c r="EM359" s="197"/>
      <c r="EN359" s="1192"/>
      <c r="EO359" s="197"/>
      <c r="EP359" s="197"/>
      <c r="EQ359" s="197"/>
      <c r="ER359" s="197"/>
      <c r="ES359" s="198"/>
      <c r="ET359" s="197"/>
      <c r="EU359" s="197"/>
      <c r="EV359" s="197"/>
      <c r="EW359" s="197"/>
      <c r="EX359" s="198"/>
      <c r="EY359" s="197"/>
      <c r="EZ359" s="197"/>
      <c r="FA359" s="197"/>
      <c r="FB359" s="197"/>
      <c r="FC359" s="198"/>
      <c r="FD359" s="197"/>
      <c r="FE359" s="197"/>
      <c r="FF359" s="197"/>
      <c r="FG359" s="197"/>
      <c r="FH359" s="198"/>
      <c r="FI359" s="198"/>
      <c r="FJ359" s="198"/>
      <c r="FK359" s="198"/>
      <c r="FL359" s="198"/>
      <c r="FM359" s="198"/>
      <c r="FN359" s="193"/>
      <c r="FO359" s="193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</row>
    <row r="360" spans="1:181" ht="12.75" customHeight="1" x14ac:dyDescent="0.3">
      <c r="A360" s="60" t="s">
        <v>388</v>
      </c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  <c r="AW360" s="193"/>
      <c r="AX360" s="193"/>
      <c r="AY360" s="193"/>
      <c r="AZ360" s="193"/>
      <c r="BA360" s="193"/>
      <c r="BB360" s="193"/>
      <c r="BC360" s="193"/>
      <c r="BD360" s="193"/>
      <c r="BE360" s="193"/>
      <c r="BF360" s="193"/>
      <c r="BG360" s="193"/>
      <c r="BH360" s="193"/>
      <c r="BI360" s="193"/>
      <c r="BJ360" s="193"/>
      <c r="BK360" s="193"/>
      <c r="BL360" s="192"/>
      <c r="BM360" s="192"/>
      <c r="BN360" s="192"/>
      <c r="BO360" s="192"/>
      <c r="BP360" s="192"/>
      <c r="BQ360" s="192"/>
      <c r="BR360" s="193"/>
      <c r="BS360" s="193"/>
      <c r="BT360" s="193"/>
      <c r="BU360" s="193"/>
      <c r="BV360" s="192"/>
      <c r="BW360" s="193"/>
      <c r="BX360" s="193"/>
      <c r="BY360" s="193"/>
      <c r="BZ360" s="193"/>
      <c r="CA360" s="192"/>
      <c r="CB360" s="193"/>
      <c r="CC360" s="193"/>
      <c r="CD360" s="193"/>
      <c r="CE360" s="193"/>
      <c r="CF360" s="192"/>
      <c r="CG360" s="193"/>
      <c r="CH360" s="193"/>
      <c r="CI360" s="193"/>
      <c r="CJ360" s="193"/>
      <c r="CK360" s="192"/>
      <c r="CL360" s="193"/>
      <c r="CM360" s="193"/>
      <c r="CN360" s="193"/>
      <c r="CO360" s="193"/>
      <c r="CP360" s="192"/>
      <c r="CQ360" s="193"/>
      <c r="CR360" s="193"/>
      <c r="CS360" s="193"/>
      <c r="CT360" s="193"/>
      <c r="CU360" s="193"/>
      <c r="CV360" s="193"/>
      <c r="CW360" s="193"/>
      <c r="CX360" s="193"/>
      <c r="CY360" s="193"/>
      <c r="CZ360" s="193"/>
      <c r="DA360" s="193"/>
      <c r="DB360" s="193"/>
      <c r="DC360" s="193"/>
      <c r="DD360" s="193"/>
      <c r="DE360" s="193"/>
      <c r="DF360" s="193"/>
      <c r="DG360" s="193"/>
      <c r="DH360" s="193"/>
      <c r="DI360" s="193"/>
      <c r="DJ360" s="193"/>
      <c r="DK360" s="193"/>
      <c r="DL360" s="193"/>
      <c r="DM360" s="193"/>
      <c r="DN360" s="193"/>
      <c r="DO360" s="193"/>
      <c r="DP360" s="193"/>
      <c r="DQ360" s="193"/>
      <c r="DR360" s="193"/>
      <c r="DS360" s="193"/>
      <c r="DT360" s="193"/>
      <c r="DU360" s="196"/>
      <c r="DV360" s="196"/>
      <c r="DW360" s="196"/>
      <c r="DX360" s="665"/>
      <c r="DY360" s="1191"/>
      <c r="DZ360" s="85">
        <f>DZ372-DZ367</f>
        <v>492.83879873771235</v>
      </c>
      <c r="EA360" s="85">
        <f>EA372-EA367</f>
        <v>480.87339777752788</v>
      </c>
      <c r="EB360" s="85">
        <f>EB372-EB367</f>
        <v>459.94379455624403</v>
      </c>
      <c r="EC360" s="85">
        <f>EC372-EC367</f>
        <v>446.5128705057989</v>
      </c>
      <c r="ED360" s="85">
        <f>SUM(DZ360:EC360)</f>
        <v>1880.1688615772832</v>
      </c>
      <c r="EE360" s="85">
        <f>EE372-EE367</f>
        <v>445.73073551324507</v>
      </c>
      <c r="EF360" s="85">
        <f>EF372-EF367</f>
        <v>454.45521276595741</v>
      </c>
      <c r="EG360" s="85">
        <f>EG372-EG367</f>
        <v>474.7788679245283</v>
      </c>
      <c r="EH360" s="85">
        <f>EH372-EH367</f>
        <v>451.77986074270552</v>
      </c>
      <c r="EI360" s="85">
        <f>SUM(EE360:EH360)</f>
        <v>1826.7446769464361</v>
      </c>
      <c r="EJ360" s="85">
        <f>EJ372-EJ367</f>
        <v>438.77103963838658</v>
      </c>
      <c r="EK360" s="85">
        <f>EK372-EK367</f>
        <v>432.05859970674487</v>
      </c>
      <c r="EL360" s="85">
        <f>EL372-EL367</f>
        <v>426.70987519500778</v>
      </c>
      <c r="EM360" s="85">
        <f>EM372-EM367</f>
        <v>427.33041390728476</v>
      </c>
      <c r="EN360" s="85">
        <f>SUM(EJ360:EM360)</f>
        <v>1724.8699284474239</v>
      </c>
      <c r="EO360" s="85">
        <f>EO372-EO367</f>
        <v>429.70416666666665</v>
      </c>
      <c r="EP360" s="85">
        <f>EP372-EP367</f>
        <v>414.68353107344626</v>
      </c>
      <c r="EQ360" s="85">
        <f>EQ372-EQ367</f>
        <v>405.0403869653768</v>
      </c>
      <c r="ER360" s="85">
        <f>ER372-ER367</f>
        <v>401.53748908296944</v>
      </c>
      <c r="ES360" s="121">
        <f>SUM(EO360:ER360)</f>
        <v>1650.9655737884591</v>
      </c>
      <c r="ET360" s="85">
        <f t="shared" ref="ET360:EW360" si="1691">ET362*ET107*3/1000</f>
        <v>397.2056976294578</v>
      </c>
      <c r="EU360" s="85">
        <f t="shared" si="1691"/>
        <v>382.42855771562444</v>
      </c>
      <c r="EV360" s="85">
        <f t="shared" si="1691"/>
        <v>372.50828587702688</v>
      </c>
      <c r="EW360" s="85">
        <f t="shared" si="1691"/>
        <v>368.65316544379596</v>
      </c>
      <c r="EX360" s="121">
        <f>SUM(ET360:EW360)</f>
        <v>1520.7957066659051</v>
      </c>
      <c r="EY360" s="85">
        <f t="shared" ref="EY360:FB360" si="1692">EY362*EY107*3/1000</f>
        <v>365.54083615726393</v>
      </c>
      <c r="EZ360" s="85">
        <f t="shared" si="1692"/>
        <v>349.85447759950358</v>
      </c>
      <c r="FA360" s="85">
        <f t="shared" si="1692"/>
        <v>338.70456261077999</v>
      </c>
      <c r="FB360" s="85">
        <f t="shared" si="1692"/>
        <v>333.01014898851241</v>
      </c>
      <c r="FC360" s="121">
        <f>SUM(EY360:FB360)</f>
        <v>1387.1100253560599</v>
      </c>
      <c r="FD360" s="85">
        <f t="shared" ref="FD360:FG360" si="1693">FD362*FD107*3/1000</f>
        <v>325.62498210094145</v>
      </c>
      <c r="FE360" s="85">
        <f t="shared" si="1693"/>
        <v>309.07996644263199</v>
      </c>
      <c r="FF360" s="85">
        <f t="shared" si="1693"/>
        <v>299.71993560359522</v>
      </c>
      <c r="FG360" s="85">
        <f t="shared" si="1693"/>
        <v>304.10844182738396</v>
      </c>
      <c r="FH360" s="121">
        <f>SUM(FD360:FG360)</f>
        <v>1238.5333259745526</v>
      </c>
      <c r="FI360" s="85">
        <f>FI362*FI107*12/1000</f>
        <v>1191.2415706529198</v>
      </c>
      <c r="FJ360" s="85">
        <f t="shared" ref="FJ360:FM360" si="1694">FJ362*FJ107*12/1000</f>
        <v>1145.5804664137522</v>
      </c>
      <c r="FK360" s="85">
        <f t="shared" si="1694"/>
        <v>1101.6218679006065</v>
      </c>
      <c r="FL360" s="85">
        <f t="shared" si="1694"/>
        <v>1059.3035554359412</v>
      </c>
      <c r="FM360" s="85">
        <f t="shared" si="1694"/>
        <v>1018.5655490458089</v>
      </c>
      <c r="FN360" s="193"/>
      <c r="FO360" s="193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</row>
    <row r="361" spans="1:181" ht="12.75" customHeight="1" x14ac:dyDescent="0.3">
      <c r="A361" s="70" t="s">
        <v>363</v>
      </c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  <c r="AW361" s="193"/>
      <c r="AX361" s="193"/>
      <c r="AY361" s="193"/>
      <c r="AZ361" s="193"/>
      <c r="BA361" s="193"/>
      <c r="BB361" s="193"/>
      <c r="BC361" s="193"/>
      <c r="BD361" s="193"/>
      <c r="BE361" s="193"/>
      <c r="BF361" s="193"/>
      <c r="BG361" s="193"/>
      <c r="BH361" s="193"/>
      <c r="BI361" s="193"/>
      <c r="BJ361" s="193"/>
      <c r="BK361" s="193"/>
      <c r="BL361" s="192"/>
      <c r="BM361" s="192"/>
      <c r="BN361" s="192"/>
      <c r="BO361" s="192"/>
      <c r="BP361" s="192"/>
      <c r="BQ361" s="192"/>
      <c r="BR361" s="193"/>
      <c r="BS361" s="193"/>
      <c r="BT361" s="193"/>
      <c r="BU361" s="193"/>
      <c r="BV361" s="192"/>
      <c r="BW361" s="193"/>
      <c r="BX361" s="193"/>
      <c r="BY361" s="193"/>
      <c r="BZ361" s="193"/>
      <c r="CA361" s="192"/>
      <c r="CB361" s="193"/>
      <c r="CC361" s="193"/>
      <c r="CD361" s="193"/>
      <c r="CE361" s="193"/>
      <c r="CF361" s="192"/>
      <c r="CG361" s="193"/>
      <c r="CH361" s="193"/>
      <c r="CI361" s="193"/>
      <c r="CJ361" s="193"/>
      <c r="CK361" s="192"/>
      <c r="CL361" s="193"/>
      <c r="CM361" s="193"/>
      <c r="CN361" s="193"/>
      <c r="CO361" s="193"/>
      <c r="CP361" s="192"/>
      <c r="CQ361" s="193"/>
      <c r="CR361" s="193"/>
      <c r="CS361" s="193"/>
      <c r="CT361" s="193"/>
      <c r="CU361" s="193"/>
      <c r="CV361" s="193"/>
      <c r="CW361" s="193"/>
      <c r="CX361" s="193"/>
      <c r="CY361" s="193"/>
      <c r="CZ361" s="193"/>
      <c r="DA361" s="193"/>
      <c r="DB361" s="193"/>
      <c r="DC361" s="193"/>
      <c r="DD361" s="193"/>
      <c r="DE361" s="193"/>
      <c r="DF361" s="193"/>
      <c r="DG361" s="193"/>
      <c r="DH361" s="193"/>
      <c r="DI361" s="193"/>
      <c r="DJ361" s="193"/>
      <c r="DK361" s="193"/>
      <c r="DL361" s="193"/>
      <c r="DM361" s="193"/>
      <c r="DN361" s="193"/>
      <c r="DO361" s="193"/>
      <c r="DP361" s="193"/>
      <c r="DQ361" s="193"/>
      <c r="DR361" s="193"/>
      <c r="DS361" s="193"/>
      <c r="DT361" s="193"/>
      <c r="DU361" s="196"/>
      <c r="DV361" s="196"/>
      <c r="DW361" s="196"/>
      <c r="DX361" s="665"/>
      <c r="DY361" s="1191"/>
      <c r="DZ361" s="197"/>
      <c r="EB361" s="665"/>
      <c r="EC361" s="665"/>
      <c r="ED361" s="1204"/>
      <c r="EE361" s="75">
        <f t="shared" ref="EE361:EX361" si="1695">+EE360/DZ360-1</f>
        <v>-9.5585135231080032E-2</v>
      </c>
      <c r="EF361" s="75">
        <f t="shared" si="1695"/>
        <v>-5.4937921568688264E-2</v>
      </c>
      <c r="EG361" s="75">
        <f t="shared" si="1695"/>
        <v>3.2254100487641546E-2</v>
      </c>
      <c r="EH361" s="75">
        <f t="shared" si="1695"/>
        <v>1.1795830724745437E-2</v>
      </c>
      <c r="EI361" s="84">
        <f t="shared" si="1695"/>
        <v>-2.8414567288402637E-2</v>
      </c>
      <c r="EJ361" s="75">
        <f t="shared" si="1695"/>
        <v>-1.5614126019029451E-2</v>
      </c>
      <c r="EK361" s="75">
        <f t="shared" si="1695"/>
        <v>-4.9282332846178001E-2</v>
      </c>
      <c r="EL361" s="75">
        <f t="shared" si="1695"/>
        <v>-0.1012450131566548</v>
      </c>
      <c r="EM361" s="75">
        <f t="shared" si="1695"/>
        <v>-5.4118053857529103E-2</v>
      </c>
      <c r="EN361" s="84">
        <f t="shared" si="1695"/>
        <v>-5.5768466050386878E-2</v>
      </c>
      <c r="EO361" s="75">
        <f t="shared" si="1695"/>
        <v>-2.0664246617535187E-2</v>
      </c>
      <c r="EP361" s="75">
        <f t="shared" si="1695"/>
        <v>-4.0214611270535383E-2</v>
      </c>
      <c r="EQ361" s="75">
        <f t="shared" si="1695"/>
        <v>-5.0782720272709803E-2</v>
      </c>
      <c r="ER361" s="75">
        <f t="shared" si="1695"/>
        <v>-6.0358270754656496E-2</v>
      </c>
      <c r="ES361" s="127">
        <f t="shared" si="1695"/>
        <v>-4.2846334926533891E-2</v>
      </c>
      <c r="ET361" s="75">
        <f t="shared" si="1695"/>
        <v>-7.5629867146293717E-2</v>
      </c>
      <c r="EU361" s="75">
        <f t="shared" si="1695"/>
        <v>-7.7782142141808452E-2</v>
      </c>
      <c r="EV361" s="75">
        <f t="shared" si="1695"/>
        <v>-8.0318166126803536E-2</v>
      </c>
      <c r="EW361" s="75">
        <f t="shared" si="1695"/>
        <v>-8.1896023492786796E-2</v>
      </c>
      <c r="EX361" s="127">
        <f t="shared" si="1695"/>
        <v>-7.8844688943970009E-2</v>
      </c>
      <c r="EY361" s="75">
        <f t="shared" ref="EY361" si="1696">+EY360/ET360-1</f>
        <v>-7.9719051517063488E-2</v>
      </c>
      <c r="EZ361" s="75">
        <f t="shared" ref="EZ361" si="1697">+EZ360/EU360-1</f>
        <v>-8.5176902872256433E-2</v>
      </c>
      <c r="FA361" s="75">
        <f t="shared" ref="FA361" si="1698">+FA360/EV360-1</f>
        <v>-9.074623182316599E-2</v>
      </c>
      <c r="FB361" s="75">
        <f t="shared" ref="FB361:FC361" si="1699">+FB360/EW360-1</f>
        <v>-9.6684417214688456E-2</v>
      </c>
      <c r="FC361" s="127">
        <f t="shared" si="1699"/>
        <v>-8.7905088582166724E-2</v>
      </c>
      <c r="FD361" s="75">
        <f t="shared" ref="FD361" si="1700">+FD360/EY360-1</f>
        <v>-0.10919670282515237</v>
      </c>
      <c r="FE361" s="75">
        <f t="shared" ref="FE361" si="1701">+FE360/EZ360-1</f>
        <v>-0.11654706104275814</v>
      </c>
      <c r="FF361" s="75">
        <f t="shared" ref="FF361" si="1702">+FF360/FA360-1</f>
        <v>-0.1150992083091118</v>
      </c>
      <c r="FG361" s="75">
        <f t="shared" ref="FG361:FH361" si="1703">+FG360/FB360-1</f>
        <v>-8.6789268281806775E-2</v>
      </c>
      <c r="FH361" s="127">
        <f t="shared" si="1703"/>
        <v>-0.10711241117543568</v>
      </c>
      <c r="FI361" s="126">
        <f t="shared" ref="FI361:FM361" si="1704">FI360/FH360-1</f>
        <v>-3.8183676070581929E-2</v>
      </c>
      <c r="FJ361" s="126">
        <f t="shared" si="1704"/>
        <v>-3.8330684022503281E-2</v>
      </c>
      <c r="FK361" s="126">
        <f t="shared" si="1704"/>
        <v>-3.8372335948393399E-2</v>
      </c>
      <c r="FL361" s="126">
        <f t="shared" si="1704"/>
        <v>-3.8414553757281977E-2</v>
      </c>
      <c r="FM361" s="126">
        <f t="shared" si="1704"/>
        <v>-3.8457348869528896E-2</v>
      </c>
      <c r="FN361" s="193"/>
      <c r="FO361" s="193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</row>
    <row r="362" spans="1:181" ht="12.75" customHeight="1" x14ac:dyDescent="0.3">
      <c r="A362" s="61" t="s">
        <v>389</v>
      </c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  <c r="AW362" s="193"/>
      <c r="AX362" s="193"/>
      <c r="AY362" s="193"/>
      <c r="AZ362" s="193"/>
      <c r="BA362" s="193"/>
      <c r="BB362" s="193"/>
      <c r="BC362" s="193"/>
      <c r="BD362" s="193"/>
      <c r="BE362" s="193"/>
      <c r="BF362" s="193"/>
      <c r="BG362" s="193"/>
      <c r="BH362" s="193"/>
      <c r="BI362" s="193"/>
      <c r="BJ362" s="193"/>
      <c r="BK362" s="193"/>
      <c r="BL362" s="192"/>
      <c r="BM362" s="192"/>
      <c r="BN362" s="192"/>
      <c r="BO362" s="192"/>
      <c r="BP362" s="192"/>
      <c r="BQ362" s="192"/>
      <c r="BR362" s="193"/>
      <c r="BS362" s="193"/>
      <c r="BT362" s="193"/>
      <c r="BU362" s="193"/>
      <c r="BV362" s="192"/>
      <c r="BW362" s="193"/>
      <c r="BX362" s="193"/>
      <c r="BY362" s="193"/>
      <c r="BZ362" s="193"/>
      <c r="CA362" s="192"/>
      <c r="CB362" s="193"/>
      <c r="CC362" s="193"/>
      <c r="CD362" s="193"/>
      <c r="CE362" s="193"/>
      <c r="CF362" s="192"/>
      <c r="CG362" s="193"/>
      <c r="CH362" s="193"/>
      <c r="CI362" s="193"/>
      <c r="CJ362" s="193"/>
      <c r="CK362" s="192"/>
      <c r="CL362" s="193"/>
      <c r="CM362" s="193"/>
      <c r="CN362" s="193"/>
      <c r="CO362" s="193"/>
      <c r="CP362" s="192"/>
      <c r="CQ362" s="193"/>
      <c r="CR362" s="193"/>
      <c r="CS362" s="193"/>
      <c r="CT362" s="193"/>
      <c r="CU362" s="193"/>
      <c r="CV362" s="193"/>
      <c r="CW362" s="193"/>
      <c r="CX362" s="193"/>
      <c r="CY362" s="193"/>
      <c r="CZ362" s="193"/>
      <c r="DA362" s="193"/>
      <c r="DB362" s="193"/>
      <c r="DC362" s="193"/>
      <c r="DD362" s="193"/>
      <c r="DE362" s="193"/>
      <c r="DF362" s="193"/>
      <c r="DG362" s="193"/>
      <c r="DH362" s="193"/>
      <c r="DI362" s="193"/>
      <c r="DJ362" s="193"/>
      <c r="DK362" s="193"/>
      <c r="DL362" s="193"/>
      <c r="DM362" s="193"/>
      <c r="DN362" s="193"/>
      <c r="DO362" s="193"/>
      <c r="DP362" s="193"/>
      <c r="DQ362" s="193"/>
      <c r="DR362" s="193"/>
      <c r="DS362" s="193"/>
      <c r="DT362" s="193"/>
      <c r="DU362" s="196"/>
      <c r="DV362" s="196"/>
      <c r="DW362" s="196"/>
      <c r="DX362" s="665"/>
      <c r="DY362" s="1191"/>
      <c r="DZ362" s="111">
        <f>DZ360/DZ107*1000/3</f>
        <v>13.72141153303299</v>
      </c>
      <c r="EA362" s="111">
        <f>EA360/EA107*1000/3</f>
        <v>13.39778774594695</v>
      </c>
      <c r="EB362" s="111">
        <f>EB360/EB107*1000/3</f>
        <v>12.82377133414869</v>
      </c>
      <c r="EC362" s="111">
        <f>EC360/EC107*1000/3</f>
        <v>12.48533038351925</v>
      </c>
      <c r="ED362" s="112">
        <f>ED360/ED107*1000/12</f>
        <v>13.107793986135453</v>
      </c>
      <c r="EE362" s="111">
        <f>EE360/EE107*1000/3</f>
        <v>12.549785610080951</v>
      </c>
      <c r="EF362" s="111">
        <f>EF360/EF107*1000/3</f>
        <v>12.883026825018993</v>
      </c>
      <c r="EG362" s="111">
        <f>EG360/EG107*1000/3</f>
        <v>13.59910828283647</v>
      </c>
      <c r="EH362" s="111">
        <f>EH360/EH107*1000/3</f>
        <v>13.153400900885247</v>
      </c>
      <c r="EI362" s="112">
        <f>EI360/EI107*1000/12</f>
        <v>13.043331597881044</v>
      </c>
      <c r="EJ362" s="111">
        <f>EJ360/EJ107*1000/3</f>
        <v>13.003513066263217</v>
      </c>
      <c r="EK362" s="111">
        <f>EK360/EK107*1000/3</f>
        <v>13.090899716909661</v>
      </c>
      <c r="EL362" s="111">
        <f>EL360/EL107*1000/3</f>
        <v>13.311181045809986</v>
      </c>
      <c r="EM362" s="111">
        <f>EM360/EM107*1000/3</f>
        <v>13.736773354783573</v>
      </c>
      <c r="EN362" s="112">
        <f>EN360/EN107*1000/12</f>
        <v>13.277217874002586</v>
      </c>
      <c r="EO362" s="111">
        <f>EO360/EO107*1000/3</f>
        <v>14.238751649905284</v>
      </c>
      <c r="EP362" s="111">
        <f>EP360/EP107*1000/3</f>
        <v>14.203436466414791</v>
      </c>
      <c r="EQ362" s="111">
        <f>EQ360/EQ107*1000/3</f>
        <v>14.350920739986423</v>
      </c>
      <c r="ER362" s="111">
        <f>ER360/ER107*1000/3</f>
        <v>14.748039192807354</v>
      </c>
      <c r="ES362" s="1294">
        <f>ES360/ES107*1000/12</f>
        <v>14.378102101358232</v>
      </c>
      <c r="ET362" s="111">
        <f t="shared" ref="ET362:EW362" si="1705">EO362*(1+ET363)</f>
        <v>15.124209201557035</v>
      </c>
      <c r="EU362" s="111">
        <f t="shared" si="1705"/>
        <v>15.08669789184154</v>
      </c>
      <c r="EV362" s="111">
        <f t="shared" si="1705"/>
        <v>15.243353690206551</v>
      </c>
      <c r="EW362" s="111">
        <f t="shared" si="1705"/>
        <v>15.665167533578304</v>
      </c>
      <c r="EX362" s="1294">
        <f>EX360/EX107*1000/12</f>
        <v>15.271737918540632</v>
      </c>
      <c r="EY362" s="111">
        <f t="shared" ref="EY362" si="1706">ET362*(1+EY363)</f>
        <v>16.158782325487145</v>
      </c>
      <c r="EZ362" s="111">
        <f t="shared" ref="EZ362" si="1707">EU362*(1+EZ363)</f>
        <v>16.118705050678344</v>
      </c>
      <c r="FA362" s="111">
        <f t="shared" ref="FA362" si="1708">EV362*(1+FA363)</f>
        <v>16.28607690543588</v>
      </c>
      <c r="FB362" s="111">
        <f t="shared" ref="FB362" si="1709">EW362*(1+FB363)</f>
        <v>16.736744969206089</v>
      </c>
      <c r="FC362" s="1294">
        <f>FC360/FC107*1000/12</f>
        <v>16.314946314866955</v>
      </c>
      <c r="FD362" s="111">
        <f t="shared" ref="FD362" si="1710">EY362*(1+FD363)</f>
        <v>17.153591212215471</v>
      </c>
      <c r="FE362" s="111">
        <f t="shared" ref="FE362" si="1711">EZ362*(1+FE363)</f>
        <v>17.111046596221392</v>
      </c>
      <c r="FF362" s="111">
        <f t="shared" ref="FF362" si="1712">FA362*(1+FF363)</f>
        <v>17.288722631402127</v>
      </c>
      <c r="FG362" s="111">
        <f t="shared" ref="FG362" si="1713">FB362*(1+FG363)</f>
        <v>17.767135891918755</v>
      </c>
      <c r="FH362" s="1294">
        <f>FH360/FH107*1000/12</f>
        <v>17.322487008931269</v>
      </c>
      <c r="FI362" s="1294">
        <f t="shared" ref="FI362:FM362" si="1714">FH362*(1+FI363)</f>
        <v>17.322487008931269</v>
      </c>
      <c r="FJ362" s="1294">
        <f t="shared" si="1714"/>
        <v>16.629587528574017</v>
      </c>
      <c r="FK362" s="1294">
        <f t="shared" si="1714"/>
        <v>15.964404027431057</v>
      </c>
      <c r="FL362" s="1294">
        <f t="shared" si="1714"/>
        <v>15.325827866333814</v>
      </c>
      <c r="FM362" s="1294">
        <f t="shared" si="1714"/>
        <v>14.712794751680461</v>
      </c>
      <c r="FN362" s="193"/>
      <c r="FO362" s="193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</row>
    <row r="363" spans="1:181" ht="12.75" customHeight="1" x14ac:dyDescent="0.3">
      <c r="A363" s="70" t="s">
        <v>387</v>
      </c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  <c r="AW363" s="193"/>
      <c r="AX363" s="193"/>
      <c r="AY363" s="193"/>
      <c r="AZ363" s="193"/>
      <c r="BA363" s="193"/>
      <c r="BB363" s="193"/>
      <c r="BC363" s="193"/>
      <c r="BD363" s="193"/>
      <c r="BE363" s="193"/>
      <c r="BF363" s="193"/>
      <c r="BG363" s="193"/>
      <c r="BH363" s="193"/>
      <c r="BI363" s="193"/>
      <c r="BJ363" s="193"/>
      <c r="BK363" s="193"/>
      <c r="BL363" s="192"/>
      <c r="BM363" s="192"/>
      <c r="BN363" s="192"/>
      <c r="BO363" s="192"/>
      <c r="BP363" s="192"/>
      <c r="BQ363" s="192"/>
      <c r="BR363" s="193"/>
      <c r="BS363" s="193"/>
      <c r="BT363" s="193"/>
      <c r="BU363" s="193"/>
      <c r="BV363" s="192"/>
      <c r="BW363" s="193"/>
      <c r="BX363" s="193"/>
      <c r="BY363" s="193"/>
      <c r="BZ363" s="193"/>
      <c r="CA363" s="192"/>
      <c r="CB363" s="193"/>
      <c r="CC363" s="193"/>
      <c r="CD363" s="193"/>
      <c r="CE363" s="193"/>
      <c r="CF363" s="192"/>
      <c r="CG363" s="193"/>
      <c r="CH363" s="193"/>
      <c r="CI363" s="193"/>
      <c r="CJ363" s="193"/>
      <c r="CK363" s="192"/>
      <c r="CL363" s="193"/>
      <c r="CM363" s="193"/>
      <c r="CN363" s="193"/>
      <c r="CO363" s="193"/>
      <c r="CP363" s="192"/>
      <c r="CQ363" s="193"/>
      <c r="CR363" s="193"/>
      <c r="CS363" s="193"/>
      <c r="CT363" s="193"/>
      <c r="CU363" s="193"/>
      <c r="CV363" s="193"/>
      <c r="CW363" s="193"/>
      <c r="CX363" s="193"/>
      <c r="CY363" s="193"/>
      <c r="CZ363" s="193"/>
      <c r="DA363" s="193"/>
      <c r="DB363" s="193"/>
      <c r="DC363" s="193"/>
      <c r="DD363" s="193"/>
      <c r="DE363" s="193"/>
      <c r="DF363" s="193"/>
      <c r="DG363" s="193"/>
      <c r="DH363" s="193"/>
      <c r="DI363" s="193"/>
      <c r="DJ363" s="193"/>
      <c r="DK363" s="193"/>
      <c r="DL363" s="193"/>
      <c r="DM363" s="193"/>
      <c r="DN363" s="193"/>
      <c r="DO363" s="193"/>
      <c r="DP363" s="193"/>
      <c r="DQ363" s="193"/>
      <c r="DR363" s="193"/>
      <c r="DS363" s="193"/>
      <c r="DT363" s="193"/>
      <c r="DU363" s="196"/>
      <c r="DV363" s="196"/>
      <c r="DW363" s="196"/>
      <c r="DX363" s="665"/>
      <c r="DY363" s="1191"/>
      <c r="DZ363" s="197"/>
      <c r="EB363" s="665"/>
      <c r="EC363" s="665"/>
      <c r="ED363" s="1204"/>
      <c r="EE363" s="75">
        <f t="shared" ref="EE363:ES363" si="1715">+EE362/DZ362-1</f>
        <v>-8.5386690730138159E-2</v>
      </c>
      <c r="EF363" s="75">
        <f t="shared" si="1715"/>
        <v>-3.8421337215442941E-2</v>
      </c>
      <c r="EG363" s="75">
        <f t="shared" si="1715"/>
        <v>6.0460915005800198E-2</v>
      </c>
      <c r="EH363" s="75">
        <f t="shared" si="1715"/>
        <v>5.3508437249514484E-2</v>
      </c>
      <c r="EI363" s="84">
        <f t="shared" si="1715"/>
        <v>-4.9178670585297013E-3</v>
      </c>
      <c r="EJ363" s="75">
        <f t="shared" si="1715"/>
        <v>3.6154199783126062E-2</v>
      </c>
      <c r="EK363" s="75">
        <f t="shared" si="1715"/>
        <v>1.6135407828770099E-2</v>
      </c>
      <c r="EL363" s="75">
        <f t="shared" si="1715"/>
        <v>-2.1172508596749573E-2</v>
      </c>
      <c r="EM363" s="75">
        <f t="shared" si="1715"/>
        <v>4.4351453916307237E-2</v>
      </c>
      <c r="EN363" s="84">
        <f t="shared" si="1715"/>
        <v>1.7931482793823728E-2</v>
      </c>
      <c r="EO363" s="75">
        <f t="shared" si="1715"/>
        <v>9.4992682158086428E-2</v>
      </c>
      <c r="EP363" s="75">
        <f t="shared" si="1715"/>
        <v>8.4985506998274118E-2</v>
      </c>
      <c r="EQ363" s="75">
        <f t="shared" si="1715"/>
        <v>7.811025111883052E-2</v>
      </c>
      <c r="ER363" s="75">
        <f t="shared" si="1715"/>
        <v>7.3617421784980319E-2</v>
      </c>
      <c r="ES363" s="127">
        <f t="shared" si="1715"/>
        <v>8.2915279225117544E-2</v>
      </c>
      <c r="ET363" s="87">
        <f>ES363*0.75</f>
        <v>6.2186459418838158E-2</v>
      </c>
      <c r="EU363" s="87">
        <f>ET363</f>
        <v>6.2186459418838158E-2</v>
      </c>
      <c r="EV363" s="87">
        <f t="shared" ref="EV363:EW363" si="1716">EU363</f>
        <v>6.2186459418838158E-2</v>
      </c>
      <c r="EW363" s="87">
        <f t="shared" si="1716"/>
        <v>6.2186459418838158E-2</v>
      </c>
      <c r="EX363" s="127">
        <f t="shared" ref="EX363" si="1717">+EX362/ES362-1</f>
        <v>6.2152557471266023E-2</v>
      </c>
      <c r="EY363" s="940">
        <f t="shared" ref="EY363:FB363" si="1718">ET363*1.1</f>
        <v>6.8405105360721974E-2</v>
      </c>
      <c r="EZ363" s="940">
        <f t="shared" si="1718"/>
        <v>6.8405105360721974E-2</v>
      </c>
      <c r="FA363" s="940">
        <f t="shared" si="1718"/>
        <v>6.8405105360721974E-2</v>
      </c>
      <c r="FB363" s="940">
        <f t="shared" si="1718"/>
        <v>6.8405105360721974E-2</v>
      </c>
      <c r="FC363" s="127">
        <f t="shared" ref="FC363" si="1719">+FC362/EX362-1</f>
        <v>6.830973671043794E-2</v>
      </c>
      <c r="FD363" s="940">
        <f>EY363*0.9</f>
        <v>6.1564594824649779E-2</v>
      </c>
      <c r="FE363" s="940">
        <f t="shared" ref="FE363:FG363" si="1720">EZ363*0.9</f>
        <v>6.1564594824649779E-2</v>
      </c>
      <c r="FF363" s="940">
        <f t="shared" si="1720"/>
        <v>6.1564594824649779E-2</v>
      </c>
      <c r="FG363" s="940">
        <f t="shared" si="1720"/>
        <v>6.1564594824649779E-2</v>
      </c>
      <c r="FH363" s="127">
        <f t="shared" ref="FH363" si="1721">+FH362/FC362-1</f>
        <v>6.1755685530279436E-2</v>
      </c>
      <c r="FI363" s="940">
        <v>0</v>
      </c>
      <c r="FJ363" s="940">
        <v>-0.04</v>
      </c>
      <c r="FK363" s="940">
        <f>FJ363</f>
        <v>-0.04</v>
      </c>
      <c r="FL363" s="940">
        <f t="shared" ref="FL363:FM363" si="1722">FK363</f>
        <v>-0.04</v>
      </c>
      <c r="FM363" s="940">
        <f t="shared" si="1722"/>
        <v>-0.04</v>
      </c>
      <c r="FN363" s="193"/>
      <c r="FO363" s="193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</row>
    <row r="364" spans="1:181" ht="12.75" customHeight="1" x14ac:dyDescent="0.3">
      <c r="A364" s="61" t="s">
        <v>444</v>
      </c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  <c r="AW364" s="193"/>
      <c r="AX364" s="193"/>
      <c r="AY364" s="193"/>
      <c r="AZ364" s="193"/>
      <c r="BA364" s="193"/>
      <c r="BB364" s="193"/>
      <c r="BC364" s="193"/>
      <c r="BD364" s="193"/>
      <c r="BE364" s="193"/>
      <c r="BF364" s="193"/>
      <c r="BG364" s="193"/>
      <c r="BH364" s="193"/>
      <c r="BI364" s="193"/>
      <c r="BJ364" s="193"/>
      <c r="BK364" s="193"/>
      <c r="BL364" s="192"/>
      <c r="BM364" s="192"/>
      <c r="BN364" s="192"/>
      <c r="BO364" s="192"/>
      <c r="BP364" s="192"/>
      <c r="BQ364" s="192"/>
      <c r="BR364" s="193"/>
      <c r="BS364" s="193"/>
      <c r="BT364" s="193"/>
      <c r="BU364" s="193"/>
      <c r="BV364" s="192"/>
      <c r="BW364" s="193"/>
      <c r="BX364" s="193"/>
      <c r="BY364" s="193"/>
      <c r="BZ364" s="193"/>
      <c r="CA364" s="192"/>
      <c r="CB364" s="193"/>
      <c r="CC364" s="193"/>
      <c r="CD364" s="193"/>
      <c r="CE364" s="193"/>
      <c r="CF364" s="192"/>
      <c r="CG364" s="193"/>
      <c r="CH364" s="193"/>
      <c r="CI364" s="193"/>
      <c r="CJ364" s="193"/>
      <c r="CK364" s="192"/>
      <c r="CL364" s="193"/>
      <c r="CM364" s="193"/>
      <c r="CN364" s="193"/>
      <c r="CO364" s="193"/>
      <c r="CP364" s="192"/>
      <c r="CQ364" s="193"/>
      <c r="CR364" s="193"/>
      <c r="CS364" s="193"/>
      <c r="CT364" s="193"/>
      <c r="CU364" s="193"/>
      <c r="CV364" s="193"/>
      <c r="CW364" s="193"/>
      <c r="CX364" s="193"/>
      <c r="CY364" s="193"/>
      <c r="CZ364" s="193"/>
      <c r="DA364" s="193"/>
      <c r="DB364" s="193"/>
      <c r="DC364" s="193"/>
      <c r="DD364" s="193"/>
      <c r="DE364" s="193"/>
      <c r="DF364" s="193"/>
      <c r="DG364" s="193"/>
      <c r="DH364" s="193"/>
      <c r="DI364" s="193"/>
      <c r="DJ364" s="193"/>
      <c r="DK364" s="193"/>
      <c r="DL364" s="193"/>
      <c r="DM364" s="193"/>
      <c r="DN364" s="193"/>
      <c r="DO364" s="193"/>
      <c r="DP364" s="193"/>
      <c r="DQ364" s="193"/>
      <c r="DR364" s="193"/>
      <c r="DS364" s="193"/>
      <c r="DT364" s="193"/>
      <c r="DU364" s="196"/>
      <c r="DV364" s="196"/>
      <c r="DW364" s="196"/>
      <c r="DX364" s="665"/>
      <c r="DY364" s="1191"/>
      <c r="DZ364" s="111">
        <f>DZ360/DZ320/3*1000</f>
        <v>11.825541480612433</v>
      </c>
      <c r="EA364" s="111">
        <f>EA360/EA320/3*1000</f>
        <v>11.54515935281932</v>
      </c>
      <c r="EB364" s="111">
        <f>EB360/EB320/3*1000</f>
        <v>11.048311245912132</v>
      </c>
      <c r="EC364" s="111">
        <f>EC360/EC320/3*1000</f>
        <v>10.732335381240627</v>
      </c>
      <c r="ED364" s="112">
        <f>ED360/ED320/12*1000</f>
        <v>11.28810281875764</v>
      </c>
      <c r="EE364" s="111">
        <f>EE360/EE320/3*1000</f>
        <v>10.722503930469585</v>
      </c>
      <c r="EF364" s="111">
        <f>EF360/EF320/3*1000</f>
        <v>10.903305209053574</v>
      </c>
      <c r="EG364" s="111">
        <f>EG360/EG320/3*1000</f>
        <v>11.367184244317432</v>
      </c>
      <c r="EH364" s="111">
        <f>EH360/EH320/3*1000</f>
        <v>10.84536292637897</v>
      </c>
      <c r="EI364" s="112">
        <f>EI360/EI320/12*1000</f>
        <v>10.959975958758069</v>
      </c>
      <c r="EJ364" s="111">
        <f>EJ360/EJ320/3*1000</f>
        <v>10.571140415076833</v>
      </c>
      <c r="EK364" s="111">
        <f>EK360/EK320/3*1000</f>
        <v>10.450586549276659</v>
      </c>
      <c r="EL364" s="111">
        <f>EL360/EL320/3*1000</f>
        <v>10.366345387727032</v>
      </c>
      <c r="EM364" s="111">
        <f>EM360/EM320/3*1000</f>
        <v>10.397713150292219</v>
      </c>
      <c r="EN364" s="112">
        <f>EN360/EN320/12*1000</f>
        <v>10.446729342366192</v>
      </c>
      <c r="EO364" s="111">
        <f>EO360/EO320/3*1000</f>
        <v>10.480333812996431</v>
      </c>
      <c r="EP364" s="111">
        <f>EP360/EP320/3*1000</f>
        <v>10.171665159950606</v>
      </c>
      <c r="EQ364" s="111">
        <f>EQ360/EQ320/3*1000</f>
        <v>9.988788689512246</v>
      </c>
      <c r="ER364" s="111">
        <f>ER360/ER320/3*1000</f>
        <v>9.9635700271417189</v>
      </c>
      <c r="ES364" s="1294">
        <f>ES360/ES320/12*1000</f>
        <v>10.152318304699675</v>
      </c>
      <c r="ET364" s="111">
        <f t="shared" ref="ET364:EW364" si="1723">ET360/ET320/3*1000</f>
        <v>9.9173296530335318</v>
      </c>
      <c r="EU364" s="111">
        <f t="shared" si="1723"/>
        <v>9.6004971119253586</v>
      </c>
      <c r="EV364" s="111">
        <f t="shared" si="1723"/>
        <v>9.4002090500601074</v>
      </c>
      <c r="EW364" s="111">
        <f t="shared" si="1723"/>
        <v>9.3517667373542004</v>
      </c>
      <c r="EX364" s="1294">
        <f>EX360/EX320/12*1000</f>
        <v>9.5687078912196295</v>
      </c>
      <c r="EY364" s="111">
        <f t="shared" ref="EY364:FB364" si="1724">EY360/EY320/3*1000</f>
        <v>9.3333142308840689</v>
      </c>
      <c r="EZ364" s="111">
        <f t="shared" si="1724"/>
        <v>8.9962548555047022</v>
      </c>
      <c r="FA364" s="111">
        <f t="shared" si="1724"/>
        <v>8.765967386884201</v>
      </c>
      <c r="FB364" s="111">
        <f t="shared" si="1724"/>
        <v>8.6752751807409414</v>
      </c>
      <c r="FC364" s="1294">
        <f>FC360/FC320/12*1000</f>
        <v>8.9445510807868818</v>
      </c>
      <c r="FD364" s="111">
        <f t="shared" ref="FD364:FG364" si="1725">FD360/FD320/3*1000</f>
        <v>8.5504973317436317</v>
      </c>
      <c r="FE364" s="111">
        <f t="shared" si="1725"/>
        <v>8.1827470570339216</v>
      </c>
      <c r="FF364" s="111">
        <f t="shared" si="1725"/>
        <v>7.9914302675386777</v>
      </c>
      <c r="FG364" s="111">
        <f t="shared" si="1725"/>
        <v>8.1654118979338346</v>
      </c>
      <c r="FH364" s="1294">
        <f>FH360/FH320/12*1000</f>
        <v>8.2238078087165505</v>
      </c>
      <c r="FI364" s="1294">
        <f t="shared" ref="FI364:FM364" si="1726">FI360/FI320/12*1000</f>
        <v>8.1300281075771856</v>
      </c>
      <c r="FJ364" s="1294">
        <f t="shared" si="1726"/>
        <v>8.0054596572182319</v>
      </c>
      <c r="FK364" s="1294">
        <f t="shared" si="1726"/>
        <v>7.8338034920535282</v>
      </c>
      <c r="FL364" s="1294">
        <f t="shared" si="1726"/>
        <v>7.619425668531135</v>
      </c>
      <c r="FM364" s="1294">
        <f t="shared" si="1726"/>
        <v>7.369650059440791</v>
      </c>
      <c r="FN364" s="193"/>
      <c r="FO364" s="193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</row>
    <row r="365" spans="1:181" ht="12.75" customHeight="1" x14ac:dyDescent="0.3">
      <c r="A365" s="70" t="s">
        <v>387</v>
      </c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  <c r="AE365" s="193"/>
      <c r="AF365" s="193"/>
      <c r="AG365" s="193"/>
      <c r="AH365" s="193"/>
      <c r="AI365" s="193"/>
      <c r="AJ365" s="193"/>
      <c r="AK365" s="193"/>
      <c r="AL365" s="193"/>
      <c r="AM365" s="193"/>
      <c r="AN365" s="193"/>
      <c r="AO365" s="193"/>
      <c r="AP365" s="193"/>
      <c r="AQ365" s="193"/>
      <c r="AR365" s="193"/>
      <c r="AS365" s="193"/>
      <c r="AT365" s="193"/>
      <c r="AU365" s="193"/>
      <c r="AV365" s="193"/>
      <c r="AW365" s="193"/>
      <c r="AX365" s="193"/>
      <c r="AY365" s="193"/>
      <c r="AZ365" s="193"/>
      <c r="BA365" s="193"/>
      <c r="BB365" s="193"/>
      <c r="BC365" s="193"/>
      <c r="BD365" s="193"/>
      <c r="BE365" s="193"/>
      <c r="BF365" s="193"/>
      <c r="BG365" s="193"/>
      <c r="BH365" s="193"/>
      <c r="BI365" s="193"/>
      <c r="BJ365" s="193"/>
      <c r="BK365" s="193"/>
      <c r="BL365" s="192"/>
      <c r="BM365" s="192"/>
      <c r="BN365" s="192"/>
      <c r="BO365" s="192"/>
      <c r="BP365" s="192"/>
      <c r="BQ365" s="192"/>
      <c r="BR365" s="193"/>
      <c r="BS365" s="193"/>
      <c r="BT365" s="193"/>
      <c r="BU365" s="193"/>
      <c r="BV365" s="192"/>
      <c r="BW365" s="193"/>
      <c r="BX365" s="193"/>
      <c r="BY365" s="193"/>
      <c r="BZ365" s="193"/>
      <c r="CA365" s="192"/>
      <c r="CB365" s="193"/>
      <c r="CC365" s="193"/>
      <c r="CD365" s="193"/>
      <c r="CE365" s="193"/>
      <c r="CF365" s="192"/>
      <c r="CG365" s="193"/>
      <c r="CH365" s="193"/>
      <c r="CI365" s="193"/>
      <c r="CJ365" s="193"/>
      <c r="CK365" s="192"/>
      <c r="CL365" s="193"/>
      <c r="CM365" s="193"/>
      <c r="CN365" s="193"/>
      <c r="CO365" s="193"/>
      <c r="CP365" s="192"/>
      <c r="CQ365" s="193"/>
      <c r="CR365" s="193"/>
      <c r="CS365" s="193"/>
      <c r="CT365" s="193"/>
      <c r="CU365" s="193"/>
      <c r="CV365" s="193"/>
      <c r="CW365" s="193"/>
      <c r="CX365" s="193"/>
      <c r="CY365" s="193"/>
      <c r="CZ365" s="193"/>
      <c r="DA365" s="193"/>
      <c r="DB365" s="193"/>
      <c r="DC365" s="193"/>
      <c r="DD365" s="193"/>
      <c r="DE365" s="193"/>
      <c r="DF365" s="193"/>
      <c r="DG365" s="193"/>
      <c r="DH365" s="193"/>
      <c r="DI365" s="193"/>
      <c r="DJ365" s="193"/>
      <c r="DK365" s="193"/>
      <c r="DL365" s="193"/>
      <c r="DM365" s="193"/>
      <c r="DN365" s="193"/>
      <c r="DO365" s="193"/>
      <c r="DP365" s="193"/>
      <c r="DQ365" s="193"/>
      <c r="DR365" s="193"/>
      <c r="DS365" s="193"/>
      <c r="DT365" s="193"/>
      <c r="DU365" s="196"/>
      <c r="DV365" s="196"/>
      <c r="DW365" s="196"/>
      <c r="DX365" s="665"/>
      <c r="DY365" s="1191"/>
      <c r="DZ365" s="197"/>
      <c r="EB365" s="665"/>
      <c r="EC365" s="665"/>
      <c r="ED365" s="1204"/>
      <c r="EE365" s="75">
        <f t="shared" ref="EE365:ER365" si="1727">+EE364/DZ364-1</f>
        <v>-9.3275859879333178E-2</v>
      </c>
      <c r="EF365" s="75">
        <f t="shared" si="1727"/>
        <v>-5.5595087443206737E-2</v>
      </c>
      <c r="EG365" s="75">
        <f t="shared" si="1727"/>
        <v>2.886169581104836E-2</v>
      </c>
      <c r="EH365" s="75">
        <f t="shared" si="1727"/>
        <v>1.0531495813661085E-2</v>
      </c>
      <c r="EI365" s="84">
        <f t="shared" si="1727"/>
        <v>-2.9068379803762645E-2</v>
      </c>
      <c r="EJ365" s="75">
        <f t="shared" si="1727"/>
        <v>-1.4116433658991734E-2</v>
      </c>
      <c r="EK365" s="75">
        <f t="shared" si="1727"/>
        <v>-4.1521231507029577E-2</v>
      </c>
      <c r="EL365" s="75">
        <f t="shared" si="1727"/>
        <v>-8.8046330127069861E-2</v>
      </c>
      <c r="EM365" s="75">
        <f t="shared" si="1727"/>
        <v>-4.1275684283274661E-2</v>
      </c>
      <c r="EN365" s="84">
        <f>+EN364/EI364-1</f>
        <v>-4.6829173560526294E-2</v>
      </c>
      <c r="EO365" s="75">
        <f t="shared" si="1727"/>
        <v>-8.5900478581186768E-3</v>
      </c>
      <c r="EP365" s="75">
        <f t="shared" si="1727"/>
        <v>-2.6689543980223607E-2</v>
      </c>
      <c r="EQ365" s="75">
        <f t="shared" si="1727"/>
        <v>-3.6421389032800677E-2</v>
      </c>
      <c r="ER365" s="75">
        <f t="shared" si="1727"/>
        <v>-4.17537122706928E-2</v>
      </c>
      <c r="ES365" s="127">
        <f>+ES364/EN364-1</f>
        <v>-2.8182125526364343E-2</v>
      </c>
      <c r="ET365" s="75">
        <f t="shared" ref="ET365:EW365" si="1728">+ET364/EO364-1</f>
        <v>-5.3720059876788517E-2</v>
      </c>
      <c r="EU365" s="75">
        <f t="shared" si="1728"/>
        <v>-5.6152855903489174E-2</v>
      </c>
      <c r="EV365" s="75">
        <f t="shared" si="1728"/>
        <v>-5.8924025499720423E-2</v>
      </c>
      <c r="EW365" s="75">
        <f t="shared" si="1728"/>
        <v>-6.1404023670321717E-2</v>
      </c>
      <c r="EX365" s="127">
        <f>+EX364/ES364-1</f>
        <v>-5.7485432978385043E-2</v>
      </c>
      <c r="EY365" s="75">
        <f t="shared" ref="EY365" si="1729">+EY364/ET364-1</f>
        <v>-5.8888374449751479E-2</v>
      </c>
      <c r="EZ365" s="75">
        <f t="shared" ref="EZ365" si="1730">+EZ364/EU364-1</f>
        <v>-6.2938642590714466E-2</v>
      </c>
      <c r="FA365" s="75">
        <f t="shared" ref="FA365" si="1731">+FA364/EV364-1</f>
        <v>-6.7471016846359477E-2</v>
      </c>
      <c r="FB365" s="75">
        <f t="shared" ref="FB365" si="1732">+FB364/EW364-1</f>
        <v>-7.233836938116911E-2</v>
      </c>
      <c r="FC365" s="127">
        <f>+FC364/EX364-1</f>
        <v>-6.5228954371726822E-2</v>
      </c>
      <c r="FD365" s="75">
        <f t="shared" ref="FD365" si="1733">+FD364/EY364-1</f>
        <v>-8.3873410856572739E-2</v>
      </c>
      <c r="FE365" s="75">
        <f t="shared" ref="FE365" si="1734">+FE364/EZ364-1</f>
        <v>-9.0427384676969758E-2</v>
      </c>
      <c r="FF365" s="75">
        <f t="shared" ref="FF365" si="1735">+FF364/FA364-1</f>
        <v>-8.8357289636326941E-2</v>
      </c>
      <c r="FG365" s="75">
        <f t="shared" ref="FG365" si="1736">+FG364/FB364-1</f>
        <v>-5.8772001139399066E-2</v>
      </c>
      <c r="FH365" s="127">
        <f>+FH364/FC364-1</f>
        <v>-8.0579032481407076E-2</v>
      </c>
      <c r="FI365" s="1345">
        <f t="shared" ref="FI365:FM365" si="1737">FI364/FH364-1</f>
        <v>-1.1403440270085885E-2</v>
      </c>
      <c r="FJ365" s="1345">
        <f t="shared" si="1737"/>
        <v>-1.5322019642571183E-2</v>
      </c>
      <c r="FK365" s="1345">
        <f t="shared" si="1737"/>
        <v>-2.1442387135125696E-2</v>
      </c>
      <c r="FL365" s="1345">
        <f t="shared" si="1737"/>
        <v>-2.7365739227420582E-2</v>
      </c>
      <c r="FM365" s="1345">
        <f t="shared" si="1737"/>
        <v>-3.2781422111897274E-2</v>
      </c>
      <c r="FN365" s="193"/>
      <c r="FO365" s="193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</row>
    <row r="366" spans="1:181" ht="12.75" customHeight="1" x14ac:dyDescent="0.3">
      <c r="A366" s="192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  <c r="AW366" s="193"/>
      <c r="AX366" s="193"/>
      <c r="AY366" s="193"/>
      <c r="AZ366" s="193"/>
      <c r="BA366" s="193"/>
      <c r="BB366" s="193"/>
      <c r="BC366" s="193"/>
      <c r="BD366" s="193"/>
      <c r="BE366" s="193"/>
      <c r="BF366" s="193"/>
      <c r="BG366" s="193"/>
      <c r="BH366" s="193"/>
      <c r="BI366" s="193"/>
      <c r="BJ366" s="193"/>
      <c r="BK366" s="193"/>
      <c r="BL366" s="192"/>
      <c r="BM366" s="192"/>
      <c r="BN366" s="192"/>
      <c r="BO366" s="192"/>
      <c r="BP366" s="192"/>
      <c r="BQ366" s="192"/>
      <c r="BR366" s="193"/>
      <c r="BS366" s="193"/>
      <c r="BT366" s="193"/>
      <c r="BU366" s="193"/>
      <c r="BV366" s="192"/>
      <c r="BW366" s="193"/>
      <c r="BX366" s="193"/>
      <c r="BY366" s="193"/>
      <c r="BZ366" s="193"/>
      <c r="CA366" s="192"/>
      <c r="CB366" s="193"/>
      <c r="CC366" s="193"/>
      <c r="CD366" s="193"/>
      <c r="CE366" s="193"/>
      <c r="CF366" s="192"/>
      <c r="CG366" s="193"/>
      <c r="CH366" s="193"/>
      <c r="CI366" s="193"/>
      <c r="CJ366" s="193"/>
      <c r="CK366" s="192"/>
      <c r="CL366" s="193"/>
      <c r="CM366" s="193"/>
      <c r="CN366" s="193"/>
      <c r="CO366" s="193"/>
      <c r="CP366" s="192"/>
      <c r="CQ366" s="193"/>
      <c r="CR366" s="193"/>
      <c r="CS366" s="193"/>
      <c r="CT366" s="193"/>
      <c r="CU366" s="193"/>
      <c r="CV366" s="193"/>
      <c r="CW366" s="193"/>
      <c r="CX366" s="193"/>
      <c r="CY366" s="193"/>
      <c r="CZ366" s="193"/>
      <c r="DA366" s="193"/>
      <c r="DB366" s="193"/>
      <c r="DC366" s="193"/>
      <c r="DD366" s="193"/>
      <c r="DE366" s="193"/>
      <c r="DF366" s="193"/>
      <c r="DG366" s="193"/>
      <c r="DH366" s="193"/>
      <c r="DI366" s="193"/>
      <c r="DJ366" s="193"/>
      <c r="DK366" s="193"/>
      <c r="DL366" s="193"/>
      <c r="DM366" s="193"/>
      <c r="DN366" s="193"/>
      <c r="DO366" s="193"/>
      <c r="DP366" s="193"/>
      <c r="DQ366" s="193"/>
      <c r="DR366" s="193"/>
      <c r="DS366" s="193"/>
      <c r="DT366" s="193"/>
      <c r="DU366" s="196"/>
      <c r="DV366" s="196"/>
      <c r="DW366" s="196"/>
      <c r="DX366" s="665"/>
      <c r="DY366" s="1191"/>
      <c r="DZ366" s="197"/>
      <c r="EB366" s="665"/>
      <c r="EC366" s="665"/>
      <c r="ED366" s="1204"/>
      <c r="EE366" s="197"/>
      <c r="EF366" s="197"/>
      <c r="EG366" s="197"/>
      <c r="EH366" s="197"/>
      <c r="EI366" s="1191"/>
      <c r="EJ366" s="197"/>
      <c r="EK366" s="197"/>
      <c r="EL366" s="197"/>
      <c r="EM366" s="197"/>
      <c r="EN366" s="1192"/>
      <c r="EO366" s="197"/>
      <c r="EP366" s="197"/>
      <c r="EQ366" s="197"/>
      <c r="ER366" s="197"/>
      <c r="ES366" s="198"/>
      <c r="ET366" s="197"/>
      <c r="EU366" s="197"/>
      <c r="EV366" s="197"/>
      <c r="EW366" s="197"/>
      <c r="EX366" s="198"/>
      <c r="EY366" s="197"/>
      <c r="EZ366" s="197"/>
      <c r="FA366" s="197"/>
      <c r="FB366" s="197"/>
      <c r="FC366" s="198"/>
      <c r="FD366" s="197"/>
      <c r="FE366" s="197"/>
      <c r="FF366" s="197"/>
      <c r="FG366" s="197"/>
      <c r="FH366" s="198"/>
      <c r="FI366" s="198"/>
      <c r="FJ366" s="198"/>
      <c r="FK366" s="198"/>
      <c r="FL366" s="198"/>
      <c r="FM366" s="198"/>
      <c r="FN366" s="193"/>
      <c r="FO366" s="193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</row>
    <row r="367" spans="1:181" ht="12.75" customHeight="1" x14ac:dyDescent="0.3">
      <c r="A367" s="60" t="s">
        <v>392</v>
      </c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  <c r="AW367" s="193"/>
      <c r="AX367" s="193"/>
      <c r="AY367" s="193"/>
      <c r="AZ367" s="193"/>
      <c r="BA367" s="193"/>
      <c r="BB367" s="193"/>
      <c r="BC367" s="193"/>
      <c r="BD367" s="193"/>
      <c r="BE367" s="193"/>
      <c r="BF367" s="193"/>
      <c r="BG367" s="193"/>
      <c r="BH367" s="193"/>
      <c r="BI367" s="193"/>
      <c r="BJ367" s="193"/>
      <c r="BK367" s="193"/>
      <c r="BL367" s="192"/>
      <c r="BM367" s="192"/>
      <c r="BN367" s="192"/>
      <c r="BO367" s="192"/>
      <c r="BP367" s="192"/>
      <c r="BQ367" s="192"/>
      <c r="BR367" s="193"/>
      <c r="BS367" s="193"/>
      <c r="BT367" s="193"/>
      <c r="BU367" s="193"/>
      <c r="BV367" s="192"/>
      <c r="BW367" s="193"/>
      <c r="BX367" s="193"/>
      <c r="BY367" s="193"/>
      <c r="BZ367" s="193"/>
      <c r="CA367" s="192"/>
      <c r="CB367" s="193"/>
      <c r="CC367" s="193"/>
      <c r="CD367" s="193"/>
      <c r="CE367" s="193"/>
      <c r="CF367" s="192"/>
      <c r="CG367" s="193"/>
      <c r="CH367" s="193"/>
      <c r="CI367" s="193"/>
      <c r="CJ367" s="193"/>
      <c r="CK367" s="192"/>
      <c r="CL367" s="193"/>
      <c r="CM367" s="193"/>
      <c r="CN367" s="193"/>
      <c r="CO367" s="193"/>
      <c r="CP367" s="192"/>
      <c r="CQ367" s="193"/>
      <c r="CR367" s="193"/>
      <c r="CS367" s="193"/>
      <c r="CT367" s="193"/>
      <c r="CU367" s="193"/>
      <c r="CV367" s="193"/>
      <c r="CW367" s="193"/>
      <c r="CX367" s="193"/>
      <c r="CY367" s="193"/>
      <c r="CZ367" s="193"/>
      <c r="DA367" s="193"/>
      <c r="DB367" s="193"/>
      <c r="DC367" s="193"/>
      <c r="DD367" s="193"/>
      <c r="DE367" s="193"/>
      <c r="DF367" s="193"/>
      <c r="DG367" s="193"/>
      <c r="DH367" s="193"/>
      <c r="DI367" s="193"/>
      <c r="DJ367" s="193"/>
      <c r="DK367" s="193"/>
      <c r="DL367" s="193"/>
      <c r="DM367" s="193"/>
      <c r="DN367" s="193"/>
      <c r="DO367" s="193"/>
      <c r="DP367" s="193"/>
      <c r="DQ367" s="193"/>
      <c r="DR367" s="193"/>
      <c r="DS367" s="193"/>
      <c r="DT367" s="193"/>
      <c r="DU367" s="196"/>
      <c r="DV367" s="196"/>
      <c r="DW367" s="196"/>
      <c r="DX367" s="665"/>
      <c r="DY367" s="1191"/>
      <c r="DZ367" s="85">
        <f>DZ369*DZ319*3/1000</f>
        <v>106.40362550471191</v>
      </c>
      <c r="EA367" s="85">
        <f>EA369*EA319*3/1000</f>
        <v>104.71730820996095</v>
      </c>
      <c r="EB367" s="85">
        <f>EB369*EB319*3/1000</f>
        <v>102.60409816406251</v>
      </c>
      <c r="EC367" s="85">
        <f>EC369*EC319*3/1000</f>
        <v>100.26651093750002</v>
      </c>
      <c r="ED367" s="85">
        <f>SUM(DZ367:EC367)</f>
        <v>413.99154281623538</v>
      </c>
      <c r="EE367" s="85">
        <f>EE369*EE319*3/1000</f>
        <v>97.974562500000005</v>
      </c>
      <c r="EF367" s="85">
        <f>EF369*EF319*3/1000</f>
        <v>95.715000000000003</v>
      </c>
      <c r="EG367" s="85">
        <f>EG369*EG319*3/1000</f>
        <v>93.24</v>
      </c>
      <c r="EH367" s="85">
        <f>EH369*EH319*3/1000</f>
        <v>90.652500000000003</v>
      </c>
      <c r="EI367" s="85">
        <f>SUM(EE367:EH367)</f>
        <v>377.58206250000001</v>
      </c>
      <c r="EJ367" s="85">
        <f>EJ369*EJ319*3/1000</f>
        <v>88.177500000000009</v>
      </c>
      <c r="EK367" s="85">
        <f>EK369*EK319*3/1000</f>
        <v>85.56750000000001</v>
      </c>
      <c r="EL367" s="85">
        <f>EL369*EL319*3/1000</f>
        <v>82.170000000000016</v>
      </c>
      <c r="EM367" s="85">
        <f>EM369*EM319*3/1000</f>
        <v>78.232500000000016</v>
      </c>
      <c r="EN367" s="85">
        <f>SUM(EJ367:EM367)</f>
        <v>334.14750000000004</v>
      </c>
      <c r="EO367" s="85">
        <f>EO369*EO319*3/1000</f>
        <v>74.362500000000011</v>
      </c>
      <c r="EP367" s="85">
        <f>EP369*EP319*3/1000</f>
        <v>70.695000000000022</v>
      </c>
      <c r="EQ367" s="85">
        <f>EQ369*EQ319*3/1000</f>
        <v>66.870000000000019</v>
      </c>
      <c r="ER367" s="85">
        <f>ER369*ER319*3/1000</f>
        <v>63.135000000000012</v>
      </c>
      <c r="ES367" s="85">
        <f>SUM(EO367:ER367)</f>
        <v>275.06250000000006</v>
      </c>
      <c r="ET367" s="85">
        <f t="shared" ref="ET367:EW367" si="1738">ET369*ET319*3/1000</f>
        <v>60.387786392084976</v>
      </c>
      <c r="EU367" s="85">
        <f t="shared" si="1738"/>
        <v>57.125524208269667</v>
      </c>
      <c r="EV367" s="85">
        <f t="shared" si="1738"/>
        <v>53.728828297570857</v>
      </c>
      <c r="EW367" s="85">
        <f t="shared" si="1738"/>
        <v>50.437323195948458</v>
      </c>
      <c r="EX367" s="85">
        <f>SUM(ET367:EW367)</f>
        <v>221.67946209387395</v>
      </c>
      <c r="EY367" s="85">
        <f t="shared" ref="EY367:FB367" si="1739">EY369*EY319*3/1000</f>
        <v>48.095962993334886</v>
      </c>
      <c r="EZ367" s="85">
        <f t="shared" si="1739"/>
        <v>45.478122834222034</v>
      </c>
      <c r="FA367" s="85">
        <f t="shared" si="1739"/>
        <v>42.738637396711212</v>
      </c>
      <c r="FB367" s="85">
        <f t="shared" si="1739"/>
        <v>40.066162051670553</v>
      </c>
      <c r="FC367" s="85">
        <f>SUM(EY367:FB367)</f>
        <v>176.3788852759387</v>
      </c>
      <c r="FD367" s="85">
        <f t="shared" ref="FD367:FG367" si="1740">FD369*FD319*3/1000</f>
        <v>38.145922988190797</v>
      </c>
      <c r="FE367" s="85">
        <f t="shared" si="1740"/>
        <v>36.004970785928805</v>
      </c>
      <c r="FF367" s="85">
        <f t="shared" si="1740"/>
        <v>33.765897358942617</v>
      </c>
      <c r="FG367" s="85">
        <f t="shared" si="1740"/>
        <v>31.612988500803876</v>
      </c>
      <c r="FH367" s="85">
        <f>SUM(FD367:FG367)</f>
        <v>139.5297796338661</v>
      </c>
      <c r="FI367" s="85">
        <f t="shared" ref="FI367:FM367" si="1741">FI369*FI319*12/1000</f>
        <v>110.11986564545026</v>
      </c>
      <c r="FJ367" s="85">
        <f t="shared" si="1741"/>
        <v>88.532421535684449</v>
      </c>
      <c r="FK367" s="85">
        <f t="shared" si="1741"/>
        <v>74.143105818026271</v>
      </c>
      <c r="FL367" s="85">
        <f t="shared" si="1741"/>
        <v>63.856725305626469</v>
      </c>
      <c r="FM367" s="85">
        <f t="shared" si="1741"/>
        <v>56.2692155302693</v>
      </c>
      <c r="FN367" s="193"/>
      <c r="FO367" s="193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</row>
    <row r="368" spans="1:181" ht="12.75" customHeight="1" x14ac:dyDescent="0.3">
      <c r="A368" s="70" t="s">
        <v>363</v>
      </c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  <c r="AW368" s="193"/>
      <c r="AX368" s="193"/>
      <c r="AY368" s="193"/>
      <c r="AZ368" s="193"/>
      <c r="BA368" s="193"/>
      <c r="BB368" s="193"/>
      <c r="BC368" s="193"/>
      <c r="BD368" s="193"/>
      <c r="BE368" s="193"/>
      <c r="BF368" s="193"/>
      <c r="BG368" s="193"/>
      <c r="BH368" s="193"/>
      <c r="BI368" s="193"/>
      <c r="BJ368" s="193"/>
      <c r="BK368" s="193"/>
      <c r="BL368" s="192"/>
      <c r="BM368" s="192"/>
      <c r="BN368" s="192"/>
      <c r="BO368" s="192"/>
      <c r="BP368" s="192"/>
      <c r="BQ368" s="192"/>
      <c r="BR368" s="193"/>
      <c r="BS368" s="193"/>
      <c r="BT368" s="193"/>
      <c r="BU368" s="193"/>
      <c r="BV368" s="192"/>
      <c r="BW368" s="193"/>
      <c r="BX368" s="193"/>
      <c r="BY368" s="193"/>
      <c r="BZ368" s="193"/>
      <c r="CA368" s="192"/>
      <c r="CB368" s="193"/>
      <c r="CC368" s="193"/>
      <c r="CD368" s="193"/>
      <c r="CE368" s="193"/>
      <c r="CF368" s="192"/>
      <c r="CG368" s="193"/>
      <c r="CH368" s="193"/>
      <c r="CI368" s="193"/>
      <c r="CJ368" s="193"/>
      <c r="CK368" s="192"/>
      <c r="CL368" s="193"/>
      <c r="CM368" s="193"/>
      <c r="CN368" s="193"/>
      <c r="CO368" s="193"/>
      <c r="CP368" s="192"/>
      <c r="CQ368" s="193"/>
      <c r="CR368" s="193"/>
      <c r="CS368" s="193"/>
      <c r="CT368" s="193"/>
      <c r="CU368" s="193"/>
      <c r="CV368" s="193"/>
      <c r="CW368" s="193"/>
      <c r="CX368" s="193"/>
      <c r="CY368" s="193"/>
      <c r="CZ368" s="193"/>
      <c r="DA368" s="193"/>
      <c r="DB368" s="193"/>
      <c r="DC368" s="193"/>
      <c r="DD368" s="193"/>
      <c r="DE368" s="193"/>
      <c r="DF368" s="193"/>
      <c r="DG368" s="193"/>
      <c r="DH368" s="193"/>
      <c r="DI368" s="193"/>
      <c r="DJ368" s="193"/>
      <c r="DK368" s="193"/>
      <c r="DL368" s="193"/>
      <c r="DM368" s="193"/>
      <c r="DN368" s="193"/>
      <c r="DO368" s="193"/>
      <c r="DP368" s="193"/>
      <c r="DQ368" s="193"/>
      <c r="DR368" s="193"/>
      <c r="DS368" s="193"/>
      <c r="DT368" s="193"/>
      <c r="DU368" s="196"/>
      <c r="DV368" s="196"/>
      <c r="DW368" s="196"/>
      <c r="DX368" s="665"/>
      <c r="DY368" s="1191"/>
      <c r="DZ368" s="197"/>
      <c r="EB368" s="665"/>
      <c r="EC368" s="665"/>
      <c r="ED368" s="1204"/>
      <c r="EE368" s="75">
        <f t="shared" ref="EE368:EX368" si="1742">+EE367/DZ367-1</f>
        <v>-7.9217817670495072E-2</v>
      </c>
      <c r="EF368" s="75">
        <f t="shared" si="1742"/>
        <v>-8.596771979576745E-2</v>
      </c>
      <c r="EG368" s="75">
        <f t="shared" si="1742"/>
        <v>-9.1264367911401023E-2</v>
      </c>
      <c r="EH368" s="75">
        <f t="shared" si="1742"/>
        <v>-9.5884566517855596E-2</v>
      </c>
      <c r="EI368" s="84">
        <f t="shared" si="1742"/>
        <v>-8.7947401216350474E-2</v>
      </c>
      <c r="EJ368" s="75">
        <f t="shared" si="1742"/>
        <v>-9.9995981099685882E-2</v>
      </c>
      <c r="EK368" s="75">
        <f t="shared" si="1742"/>
        <v>-0.10601786553831682</v>
      </c>
      <c r="EL368" s="75">
        <f t="shared" si="1742"/>
        <v>-0.11872586872586854</v>
      </c>
      <c r="EM368" s="75">
        <f t="shared" si="1742"/>
        <v>-0.13700670141474292</v>
      </c>
      <c r="EN368" s="84">
        <f t="shared" si="1742"/>
        <v>-0.11503343726769322</v>
      </c>
      <c r="EO368" s="75">
        <f t="shared" si="1742"/>
        <v>-0.15667262056647102</v>
      </c>
      <c r="EP368" s="75">
        <f t="shared" si="1742"/>
        <v>-0.1738101498816722</v>
      </c>
      <c r="EQ368" s="75">
        <f t="shared" si="1742"/>
        <v>-0.18619934282584882</v>
      </c>
      <c r="ER368" s="75">
        <f t="shared" si="1742"/>
        <v>-0.19298245614035092</v>
      </c>
      <c r="ES368" s="84">
        <f t="shared" si="1742"/>
        <v>-0.17682310955491209</v>
      </c>
      <c r="ET368" s="75">
        <f t="shared" si="1742"/>
        <v>-0.18792689336580981</v>
      </c>
      <c r="EU368" s="75">
        <f t="shared" si="1742"/>
        <v>-0.19194392519598769</v>
      </c>
      <c r="EV368" s="75">
        <f t="shared" si="1742"/>
        <v>-0.19651819504156065</v>
      </c>
      <c r="EW368" s="75">
        <f t="shared" si="1742"/>
        <v>-0.20111945519999286</v>
      </c>
      <c r="EX368" s="84">
        <f t="shared" si="1742"/>
        <v>-0.19407602965190129</v>
      </c>
      <c r="EY368" s="75">
        <f t="shared" ref="EY368" si="1743">+EY367/ET367-1</f>
        <v>-0.20354816980609147</v>
      </c>
      <c r="EZ368" s="75">
        <f t="shared" ref="EZ368" si="1744">+EZ367/EU367-1</f>
        <v>-0.20389136967186938</v>
      </c>
      <c r="FA368" s="75">
        <f t="shared" ref="FA368" si="1745">+FA367/EV367-1</f>
        <v>-0.20454923825979887</v>
      </c>
      <c r="FB368" s="75">
        <f t="shared" ref="FB368:FC368" si="1746">+FB367/EW367-1</f>
        <v>-0.20562473357251843</v>
      </c>
      <c r="FC368" s="84">
        <f t="shared" si="1746"/>
        <v>-0.20435170849860662</v>
      </c>
      <c r="FD368" s="75">
        <f t="shared" ref="FD368" si="1747">+FD367/EY367-1</f>
        <v>-0.20687890180144564</v>
      </c>
      <c r="FE368" s="75">
        <f t="shared" ref="FE368" si="1748">+FE367/EZ367-1</f>
        <v>-0.20830129868871228</v>
      </c>
      <c r="FF368" s="75">
        <f t="shared" ref="FF368" si="1749">+FF367/FA367-1</f>
        <v>-0.20994445738831757</v>
      </c>
      <c r="FG368" s="75">
        <f t="shared" ref="FG368:FH368" si="1750">+FG367/FB367-1</f>
        <v>-0.21098036642404638</v>
      </c>
      <c r="FH368" s="84">
        <f t="shared" si="1750"/>
        <v>-0.20892016402316771</v>
      </c>
      <c r="FI368" s="75">
        <f t="shared" ref="FI368:FM368" si="1751">FI367/FH367-1</f>
        <v>-0.2107787603878476</v>
      </c>
      <c r="FJ368" s="75">
        <f t="shared" si="1751"/>
        <v>-0.19603587402903555</v>
      </c>
      <c r="FK368" s="75">
        <f t="shared" si="1751"/>
        <v>-0.16253159540946616</v>
      </c>
      <c r="FL368" s="75">
        <f t="shared" si="1751"/>
        <v>-0.13873684409237275</v>
      </c>
      <c r="FM368" s="75">
        <f t="shared" si="1751"/>
        <v>-0.11882084054643227</v>
      </c>
      <c r="FN368" s="193"/>
      <c r="FO368" s="193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</row>
    <row r="369" spans="1:181" ht="12.75" customHeight="1" x14ac:dyDescent="0.3">
      <c r="A369" s="61" t="s">
        <v>391</v>
      </c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  <c r="AW369" s="193"/>
      <c r="AX369" s="193"/>
      <c r="AY369" s="193"/>
      <c r="AZ369" s="193"/>
      <c r="BA369" s="193"/>
      <c r="BB369" s="193"/>
      <c r="BC369" s="193"/>
      <c r="BD369" s="193"/>
      <c r="BE369" s="193"/>
      <c r="BF369" s="193"/>
      <c r="BG369" s="193"/>
      <c r="BH369" s="193"/>
      <c r="BI369" s="193"/>
      <c r="BJ369" s="193"/>
      <c r="BK369" s="193"/>
      <c r="BL369" s="192"/>
      <c r="BM369" s="192"/>
      <c r="BN369" s="192"/>
      <c r="BO369" s="192"/>
      <c r="BP369" s="192"/>
      <c r="BQ369" s="192"/>
      <c r="BR369" s="193"/>
      <c r="BS369" s="193"/>
      <c r="BT369" s="193"/>
      <c r="BU369" s="193"/>
      <c r="BV369" s="192"/>
      <c r="BW369" s="193"/>
      <c r="BX369" s="193"/>
      <c r="BY369" s="193"/>
      <c r="BZ369" s="193"/>
      <c r="CA369" s="192"/>
      <c r="CB369" s="193"/>
      <c r="CC369" s="193"/>
      <c r="CD369" s="193"/>
      <c r="CE369" s="193"/>
      <c r="CF369" s="192"/>
      <c r="CG369" s="193"/>
      <c r="CH369" s="193"/>
      <c r="CI369" s="193"/>
      <c r="CJ369" s="193"/>
      <c r="CK369" s="192"/>
      <c r="CL369" s="193"/>
      <c r="CM369" s="193"/>
      <c r="CN369" s="193"/>
      <c r="CO369" s="193"/>
      <c r="CP369" s="192"/>
      <c r="CQ369" s="193"/>
      <c r="CR369" s="193"/>
      <c r="CS369" s="193"/>
      <c r="CT369" s="193"/>
      <c r="CU369" s="193"/>
      <c r="CV369" s="193"/>
      <c r="CW369" s="193"/>
      <c r="CX369" s="193"/>
      <c r="CY369" s="193"/>
      <c r="CZ369" s="193"/>
      <c r="DA369" s="193"/>
      <c r="DB369" s="193"/>
      <c r="DC369" s="193"/>
      <c r="DD369" s="193"/>
      <c r="DE369" s="193"/>
      <c r="DF369" s="193"/>
      <c r="DG369" s="193"/>
      <c r="DH369" s="193"/>
      <c r="DI369" s="193"/>
      <c r="DJ369" s="193"/>
      <c r="DK369" s="193"/>
      <c r="DL369" s="193"/>
      <c r="DM369" s="193"/>
      <c r="DN369" s="193"/>
      <c r="DO369" s="193"/>
      <c r="DP369" s="193"/>
      <c r="DQ369" s="193"/>
      <c r="DR369" s="193"/>
      <c r="DS369" s="193"/>
      <c r="DT369" s="193"/>
      <c r="DU369" s="196"/>
      <c r="DV369" s="196"/>
      <c r="DW369" s="196"/>
      <c r="DX369" s="665"/>
      <c r="DY369" s="1191"/>
      <c r="DZ369" s="111">
        <v>15</v>
      </c>
      <c r="EA369" s="111">
        <f>DZ369</f>
        <v>15</v>
      </c>
      <c r="EB369" s="111">
        <f>EA369</f>
        <v>15</v>
      </c>
      <c r="EC369" s="111">
        <f>EB369</f>
        <v>15</v>
      </c>
      <c r="ED369" s="112">
        <f>ED367/ED319*1000/12</f>
        <v>15</v>
      </c>
      <c r="EE369" s="111">
        <v>15</v>
      </c>
      <c r="EF369" s="111">
        <f>EE369</f>
        <v>15</v>
      </c>
      <c r="EG369" s="111">
        <f>EF369</f>
        <v>15</v>
      </c>
      <c r="EH369" s="111">
        <f>EG369</f>
        <v>15</v>
      </c>
      <c r="EI369" s="112">
        <f>EI367/EI319*1000/12</f>
        <v>15.000000000000002</v>
      </c>
      <c r="EJ369" s="111">
        <f>EI369</f>
        <v>15.000000000000002</v>
      </c>
      <c r="EK369" s="111">
        <f>EJ369</f>
        <v>15.000000000000002</v>
      </c>
      <c r="EL369" s="111">
        <f>EK369</f>
        <v>15.000000000000002</v>
      </c>
      <c r="EM369" s="111">
        <f>EL369</f>
        <v>15.000000000000002</v>
      </c>
      <c r="EN369" s="112">
        <f>EN367/EN319*1000/12</f>
        <v>15.000000000000002</v>
      </c>
      <c r="EO369" s="111">
        <f>EN369</f>
        <v>15.000000000000002</v>
      </c>
      <c r="EP369" s="111">
        <f>EO369</f>
        <v>15.000000000000002</v>
      </c>
      <c r="EQ369" s="111">
        <f>EP369</f>
        <v>15.000000000000002</v>
      </c>
      <c r="ER369" s="111">
        <f>EQ369</f>
        <v>15.000000000000002</v>
      </c>
      <c r="ES369" s="112">
        <f>ES367/ES319*1000/12</f>
        <v>15.000000000000005</v>
      </c>
      <c r="ET369" s="196">
        <f t="shared" ref="ET369:EW369" si="1752">EO369*(1+ET370)</f>
        <v>15.150000000000002</v>
      </c>
      <c r="EU369" s="196">
        <f t="shared" si="1752"/>
        <v>15.150000000000002</v>
      </c>
      <c r="EV369" s="196">
        <f t="shared" si="1752"/>
        <v>15.150000000000002</v>
      </c>
      <c r="EW369" s="196">
        <f t="shared" si="1752"/>
        <v>15.150000000000002</v>
      </c>
      <c r="EX369" s="112">
        <f>EX367/EX319*1000/12</f>
        <v>15.15</v>
      </c>
      <c r="EY369" s="196">
        <f t="shared" ref="EY369" si="1753">ET369*(1+EY370)</f>
        <v>15.301500000000003</v>
      </c>
      <c r="EZ369" s="196">
        <f t="shared" ref="EZ369" si="1754">EU369*(1+EZ370)</f>
        <v>15.301500000000003</v>
      </c>
      <c r="FA369" s="196">
        <f t="shared" ref="FA369" si="1755">EV369*(1+FA370)</f>
        <v>15.301500000000003</v>
      </c>
      <c r="FB369" s="196">
        <f t="shared" ref="FB369" si="1756">EW369*(1+FB370)</f>
        <v>15.301500000000003</v>
      </c>
      <c r="FC369" s="112">
        <f>FC367/FC319*1000/12</f>
        <v>15.301500000000004</v>
      </c>
      <c r="FD369" s="196">
        <f t="shared" ref="FD369" si="1757">EY369*(1+FD370)</f>
        <v>15.454515000000002</v>
      </c>
      <c r="FE369" s="196">
        <f t="shared" ref="FE369" si="1758">EZ369*(1+FE370)</f>
        <v>15.454515000000002</v>
      </c>
      <c r="FF369" s="196">
        <f t="shared" ref="FF369" si="1759">FA369*(1+FF370)</f>
        <v>15.454515000000002</v>
      </c>
      <c r="FG369" s="196">
        <f t="shared" ref="FG369" si="1760">FB369*(1+FG370)</f>
        <v>15.454515000000002</v>
      </c>
      <c r="FH369" s="112">
        <f>FH367/FH319*1000/12</f>
        <v>15.454515000000002</v>
      </c>
      <c r="FI369" s="112">
        <f t="shared" ref="FI369:FM369" si="1761">FH369*(1+FI370)</f>
        <v>15.609060149999999</v>
      </c>
      <c r="FJ369" s="112">
        <f t="shared" si="1761"/>
        <v>15.765150751499997</v>
      </c>
      <c r="FK369" s="112">
        <f t="shared" si="1761"/>
        <v>15.922802259014993</v>
      </c>
      <c r="FL369" s="112">
        <f t="shared" si="1761"/>
        <v>16.082030281605139</v>
      </c>
      <c r="FM369" s="112">
        <f t="shared" si="1761"/>
        <v>16.242850584421188</v>
      </c>
      <c r="FN369" s="193"/>
      <c r="FO369" s="193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</row>
    <row r="370" spans="1:181" ht="12.75" customHeight="1" x14ac:dyDescent="0.3">
      <c r="A370" s="70" t="s">
        <v>387</v>
      </c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  <c r="AW370" s="193"/>
      <c r="AX370" s="193"/>
      <c r="AY370" s="193"/>
      <c r="AZ370" s="193"/>
      <c r="BA370" s="193"/>
      <c r="BB370" s="193"/>
      <c r="BC370" s="193"/>
      <c r="BD370" s="193"/>
      <c r="BE370" s="193"/>
      <c r="BF370" s="193"/>
      <c r="BG370" s="193"/>
      <c r="BH370" s="193"/>
      <c r="BI370" s="193"/>
      <c r="BJ370" s="193"/>
      <c r="BK370" s="193"/>
      <c r="BL370" s="192"/>
      <c r="BM370" s="192"/>
      <c r="BN370" s="192"/>
      <c r="BO370" s="192"/>
      <c r="BP370" s="192"/>
      <c r="BQ370" s="192"/>
      <c r="BR370" s="193"/>
      <c r="BS370" s="193"/>
      <c r="BT370" s="193"/>
      <c r="BU370" s="193"/>
      <c r="BV370" s="192"/>
      <c r="BW370" s="193"/>
      <c r="BX370" s="193"/>
      <c r="BY370" s="193"/>
      <c r="BZ370" s="193"/>
      <c r="CA370" s="192"/>
      <c r="CB370" s="193"/>
      <c r="CC370" s="193"/>
      <c r="CD370" s="193"/>
      <c r="CE370" s="193"/>
      <c r="CF370" s="192"/>
      <c r="CG370" s="193"/>
      <c r="CH370" s="193"/>
      <c r="CI370" s="193"/>
      <c r="CJ370" s="193"/>
      <c r="CK370" s="192"/>
      <c r="CL370" s="193"/>
      <c r="CM370" s="193"/>
      <c r="CN370" s="193"/>
      <c r="CO370" s="193"/>
      <c r="CP370" s="192"/>
      <c r="CQ370" s="193"/>
      <c r="CR370" s="193"/>
      <c r="CS370" s="193"/>
      <c r="CT370" s="193"/>
      <c r="CU370" s="193"/>
      <c r="CV370" s="193"/>
      <c r="CW370" s="193"/>
      <c r="CX370" s="193"/>
      <c r="CY370" s="193"/>
      <c r="CZ370" s="193"/>
      <c r="DA370" s="193"/>
      <c r="DB370" s="193"/>
      <c r="DC370" s="193"/>
      <c r="DD370" s="193"/>
      <c r="DE370" s="193"/>
      <c r="DF370" s="193"/>
      <c r="DG370" s="193"/>
      <c r="DH370" s="193"/>
      <c r="DI370" s="193"/>
      <c r="DJ370" s="193"/>
      <c r="DK370" s="193"/>
      <c r="DL370" s="193"/>
      <c r="DM370" s="193"/>
      <c r="DN370" s="193"/>
      <c r="DO370" s="193"/>
      <c r="DP370" s="193"/>
      <c r="DQ370" s="193"/>
      <c r="DR370" s="193"/>
      <c r="DS370" s="193"/>
      <c r="DT370" s="193"/>
      <c r="DU370" s="196"/>
      <c r="DV370" s="196"/>
      <c r="DW370" s="196"/>
      <c r="DX370" s="665"/>
      <c r="DY370" s="1191"/>
      <c r="DZ370" s="197"/>
      <c r="EB370" s="665"/>
      <c r="EC370" s="665"/>
      <c r="ED370" s="1204"/>
      <c r="EE370" s="75">
        <f t="shared" ref="EE370:ER370" si="1762">+EE369/DZ369-1</f>
        <v>0</v>
      </c>
      <c r="EF370" s="75">
        <f t="shared" si="1762"/>
        <v>0</v>
      </c>
      <c r="EG370" s="75">
        <f t="shared" si="1762"/>
        <v>0</v>
      </c>
      <c r="EH370" s="75">
        <f t="shared" si="1762"/>
        <v>0</v>
      </c>
      <c r="EI370" s="84">
        <f t="shared" si="1762"/>
        <v>0</v>
      </c>
      <c r="EJ370" s="75">
        <f t="shared" si="1762"/>
        <v>0</v>
      </c>
      <c r="EK370" s="75">
        <f t="shared" si="1762"/>
        <v>0</v>
      </c>
      <c r="EL370" s="75">
        <f t="shared" si="1762"/>
        <v>0</v>
      </c>
      <c r="EM370" s="75">
        <f t="shared" si="1762"/>
        <v>0</v>
      </c>
      <c r="EN370" s="84">
        <f>+EN369/EI369-1</f>
        <v>0</v>
      </c>
      <c r="EO370" s="75">
        <f t="shared" si="1762"/>
        <v>0</v>
      </c>
      <c r="EP370" s="75">
        <f t="shared" si="1762"/>
        <v>0</v>
      </c>
      <c r="EQ370" s="75">
        <f t="shared" si="1762"/>
        <v>0</v>
      </c>
      <c r="ER370" s="75">
        <f t="shared" si="1762"/>
        <v>0</v>
      </c>
      <c r="ES370" s="84">
        <f>+ES369/EN369-1</f>
        <v>0</v>
      </c>
      <c r="ET370" s="87">
        <v>0.01</v>
      </c>
      <c r="EU370" s="87">
        <v>0.01</v>
      </c>
      <c r="EV370" s="87">
        <v>0.01</v>
      </c>
      <c r="EW370" s="87">
        <v>0.01</v>
      </c>
      <c r="EX370" s="84">
        <f>+EX369/ES369-1</f>
        <v>9.9999999999995648E-3</v>
      </c>
      <c r="EY370" s="87">
        <f t="shared" ref="EY370:FB370" si="1763">ET370</f>
        <v>0.01</v>
      </c>
      <c r="EZ370" s="87">
        <f t="shared" si="1763"/>
        <v>0.01</v>
      </c>
      <c r="FA370" s="87">
        <f t="shared" si="1763"/>
        <v>0.01</v>
      </c>
      <c r="FB370" s="87">
        <f t="shared" si="1763"/>
        <v>0.01</v>
      </c>
      <c r="FC370" s="84">
        <f>+FC369/EX369-1</f>
        <v>1.0000000000000231E-2</v>
      </c>
      <c r="FD370" s="87">
        <f t="shared" ref="FD370:FG370" si="1764">EY370</f>
        <v>0.01</v>
      </c>
      <c r="FE370" s="87">
        <f t="shared" si="1764"/>
        <v>0.01</v>
      </c>
      <c r="FF370" s="87">
        <f t="shared" si="1764"/>
        <v>0.01</v>
      </c>
      <c r="FG370" s="87">
        <f t="shared" si="1764"/>
        <v>0.01</v>
      </c>
      <c r="FH370" s="84">
        <f>+FH369/FC369-1</f>
        <v>9.9999999999997868E-3</v>
      </c>
      <c r="FI370" s="87">
        <f t="shared" ref="FI370:FM370" si="1765">FH370</f>
        <v>9.9999999999997868E-3</v>
      </c>
      <c r="FJ370" s="87">
        <f t="shared" si="1765"/>
        <v>9.9999999999997868E-3</v>
      </c>
      <c r="FK370" s="87">
        <f t="shared" si="1765"/>
        <v>9.9999999999997868E-3</v>
      </c>
      <c r="FL370" s="87">
        <f t="shared" si="1765"/>
        <v>9.9999999999997868E-3</v>
      </c>
      <c r="FM370" s="87">
        <f t="shared" si="1765"/>
        <v>9.9999999999997868E-3</v>
      </c>
      <c r="FN370" s="193"/>
      <c r="FO370" s="193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</row>
    <row r="371" spans="1:181" ht="12.75" customHeight="1" x14ac:dyDescent="0.3">
      <c r="A371" s="192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  <c r="AW371" s="193"/>
      <c r="AX371" s="193"/>
      <c r="AY371" s="193"/>
      <c r="AZ371" s="193"/>
      <c r="BA371" s="193"/>
      <c r="BB371" s="193"/>
      <c r="BC371" s="193"/>
      <c r="BD371" s="193"/>
      <c r="BE371" s="193"/>
      <c r="BF371" s="193"/>
      <c r="BG371" s="193"/>
      <c r="BH371" s="193"/>
      <c r="BI371" s="193"/>
      <c r="BJ371" s="193"/>
      <c r="BK371" s="193"/>
      <c r="BL371" s="192"/>
      <c r="BM371" s="192"/>
      <c r="BN371" s="192"/>
      <c r="BO371" s="192"/>
      <c r="BP371" s="192"/>
      <c r="BQ371" s="192"/>
      <c r="BR371" s="193"/>
      <c r="BS371" s="193"/>
      <c r="BT371" s="193"/>
      <c r="BU371" s="193"/>
      <c r="BV371" s="192"/>
      <c r="BW371" s="193"/>
      <c r="BX371" s="193"/>
      <c r="BY371" s="193"/>
      <c r="BZ371" s="193"/>
      <c r="CA371" s="192"/>
      <c r="CB371" s="193"/>
      <c r="CC371" s="193"/>
      <c r="CD371" s="193"/>
      <c r="CE371" s="193"/>
      <c r="CF371" s="192"/>
      <c r="CG371" s="193"/>
      <c r="CH371" s="193"/>
      <c r="CI371" s="193"/>
      <c r="CJ371" s="193"/>
      <c r="CK371" s="192"/>
      <c r="CL371" s="193"/>
      <c r="CM371" s="193"/>
      <c r="CN371" s="193"/>
      <c r="CO371" s="193"/>
      <c r="CP371" s="192"/>
      <c r="CQ371" s="193"/>
      <c r="CR371" s="193"/>
      <c r="CS371" s="193"/>
      <c r="CT371" s="193"/>
      <c r="CU371" s="193"/>
      <c r="CV371" s="193"/>
      <c r="CW371" s="193"/>
      <c r="CX371" s="193"/>
      <c r="CY371" s="193"/>
      <c r="CZ371" s="193"/>
      <c r="DA371" s="193"/>
      <c r="DB371" s="193"/>
      <c r="DC371" s="193"/>
      <c r="DD371" s="193"/>
      <c r="DE371" s="193"/>
      <c r="DF371" s="193"/>
      <c r="DG371" s="193"/>
      <c r="DH371" s="193"/>
      <c r="DI371" s="193"/>
      <c r="DJ371" s="193"/>
      <c r="DK371" s="193"/>
      <c r="DL371" s="193"/>
      <c r="DM371" s="193"/>
      <c r="DN371" s="193"/>
      <c r="DO371" s="193"/>
      <c r="DP371" s="193"/>
      <c r="DQ371" s="193"/>
      <c r="DR371" s="193"/>
      <c r="DS371" s="193"/>
      <c r="DT371" s="193"/>
      <c r="DU371" s="196"/>
      <c r="DV371" s="196"/>
      <c r="DW371" s="196"/>
      <c r="DX371" s="665"/>
      <c r="DY371" s="1191"/>
      <c r="DZ371" s="197"/>
      <c r="EB371" s="665"/>
      <c r="EC371" s="665"/>
      <c r="ED371" s="1204"/>
      <c r="EE371" s="197"/>
      <c r="EF371" s="197"/>
      <c r="EG371" s="197"/>
      <c r="EH371" s="197"/>
      <c r="EI371" s="1191"/>
      <c r="EJ371" s="197"/>
      <c r="EK371" s="197"/>
      <c r="EL371" s="197"/>
      <c r="EM371" s="197"/>
      <c r="EN371" s="1192"/>
      <c r="EO371" s="197"/>
      <c r="EP371" s="197"/>
      <c r="EQ371" s="197"/>
      <c r="ER371" s="197"/>
      <c r="ES371" s="198"/>
      <c r="ET371" s="197"/>
      <c r="EU371" s="197"/>
      <c r="EV371" s="197"/>
      <c r="EW371" s="197"/>
      <c r="EX371" s="198"/>
      <c r="EY371" s="197"/>
      <c r="EZ371" s="197"/>
      <c r="FA371" s="197"/>
      <c r="FB371" s="197"/>
      <c r="FC371" s="198"/>
      <c r="FD371" s="197"/>
      <c r="FE371" s="197"/>
      <c r="FF371" s="197"/>
      <c r="FG371" s="197"/>
      <c r="FH371" s="198"/>
      <c r="FI371" s="198"/>
      <c r="FJ371" s="198"/>
      <c r="FK371" s="198"/>
      <c r="FL371" s="198"/>
      <c r="FM371" s="198"/>
      <c r="FN371" s="193"/>
      <c r="FO371" s="193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</row>
    <row r="372" spans="1:181" x14ac:dyDescent="0.3">
      <c r="A372" s="55" t="s">
        <v>445</v>
      </c>
      <c r="DU372" s="76"/>
      <c r="DV372" s="76"/>
      <c r="DW372" s="76"/>
      <c r="DX372" s="76"/>
      <c r="DY372" s="85"/>
      <c r="DZ372" s="85">
        <f>DZ380-DZ355</f>
        <v>599.24242424242425</v>
      </c>
      <c r="EA372" s="85">
        <f>EA380-EA355</f>
        <v>585.59070598748883</v>
      </c>
      <c r="EB372" s="85">
        <f>EB380-EB355</f>
        <v>562.54789272030655</v>
      </c>
      <c r="EC372" s="85">
        <f>EC380-EC355</f>
        <v>546.77938144329892</v>
      </c>
      <c r="ED372" s="85">
        <f>+SUM(DZ372:EC372)</f>
        <v>2294.1604043935185</v>
      </c>
      <c r="EE372" s="85">
        <f>EE380-EE355</f>
        <v>543.70529801324506</v>
      </c>
      <c r="EF372" s="85">
        <f>EF380-EF355</f>
        <v>550.17021276595744</v>
      </c>
      <c r="EG372" s="85">
        <f>EG380-EG355</f>
        <v>568.01886792452831</v>
      </c>
      <c r="EH372" s="85">
        <f>EH380-EH355</f>
        <v>542.43236074270555</v>
      </c>
      <c r="EI372" s="85">
        <f>+SUM(EE372:EH372)</f>
        <v>2204.3267394464365</v>
      </c>
      <c r="EJ372" s="85">
        <f>EJ380-EJ355</f>
        <v>526.94853963838659</v>
      </c>
      <c r="EK372" s="85">
        <f>EK380-EK355</f>
        <v>517.62609970674487</v>
      </c>
      <c r="EL372" s="85">
        <f>EL380-EL355</f>
        <v>508.8798751950078</v>
      </c>
      <c r="EM372" s="85">
        <f>EM380-EM355</f>
        <v>505.56291390728478</v>
      </c>
      <c r="EN372" s="85">
        <f>+SUM(EJ372:EM372)</f>
        <v>2059.0174284474238</v>
      </c>
      <c r="EO372" s="85">
        <f>EO380-EO355</f>
        <v>504.06666666666666</v>
      </c>
      <c r="EP372" s="85">
        <f>EP380-EP355</f>
        <v>485.37853107344631</v>
      </c>
      <c r="EQ372" s="85">
        <f>EQ380-EQ355</f>
        <v>471.9103869653768</v>
      </c>
      <c r="ER372" s="85">
        <f>ER380-ER355</f>
        <v>464.67248908296943</v>
      </c>
      <c r="ES372" s="85">
        <f>+SUM(EO372:ER372)</f>
        <v>1926.0280737884591</v>
      </c>
      <c r="ET372" s="85">
        <f t="shared" ref="ET372:EW372" si="1766">ET360+ET367</f>
        <v>457.59348402154279</v>
      </c>
      <c r="EU372" s="85">
        <f t="shared" si="1766"/>
        <v>439.5540819238941</v>
      </c>
      <c r="EV372" s="85">
        <f t="shared" si="1766"/>
        <v>426.23711417459776</v>
      </c>
      <c r="EW372" s="85">
        <f t="shared" si="1766"/>
        <v>419.09048863974442</v>
      </c>
      <c r="EX372" s="85">
        <f>+SUM(ET372:EW372)</f>
        <v>1742.4751687597791</v>
      </c>
      <c r="EY372" s="85">
        <f t="shared" ref="EY372:FB372" si="1767">EY360+EY367</f>
        <v>413.63679915059879</v>
      </c>
      <c r="EZ372" s="85">
        <f t="shared" si="1767"/>
        <v>395.33260043372559</v>
      </c>
      <c r="FA372" s="85">
        <f t="shared" si="1767"/>
        <v>381.44320000749121</v>
      </c>
      <c r="FB372" s="85">
        <f t="shared" si="1767"/>
        <v>373.07631104018299</v>
      </c>
      <c r="FC372" s="85">
        <f>+SUM(EY372:FB372)</f>
        <v>1563.4889106319988</v>
      </c>
      <c r="FD372" s="85">
        <f t="shared" ref="FD372:FM372" si="1768">FD360+FD367</f>
        <v>363.77090508913227</v>
      </c>
      <c r="FE372" s="85">
        <f t="shared" si="1768"/>
        <v>345.08493722856076</v>
      </c>
      <c r="FF372" s="85">
        <f t="shared" si="1768"/>
        <v>333.48583296253781</v>
      </c>
      <c r="FG372" s="85">
        <f t="shared" si="1768"/>
        <v>335.72143032818781</v>
      </c>
      <c r="FH372" s="85">
        <f>+SUM(FD372:FG372)</f>
        <v>1378.0631056084187</v>
      </c>
      <c r="FI372" s="85">
        <f t="shared" si="1768"/>
        <v>1301.3614362983701</v>
      </c>
      <c r="FJ372" s="85">
        <f t="shared" si="1768"/>
        <v>1234.1128879494368</v>
      </c>
      <c r="FK372" s="85">
        <f t="shared" si="1768"/>
        <v>1175.7649737186327</v>
      </c>
      <c r="FL372" s="85">
        <f t="shared" si="1768"/>
        <v>1123.1602807415677</v>
      </c>
      <c r="FM372" s="85">
        <f t="shared" si="1768"/>
        <v>1074.8347645760782</v>
      </c>
    </row>
    <row r="373" spans="1:181" x14ac:dyDescent="0.3">
      <c r="A373" s="70" t="s">
        <v>363</v>
      </c>
      <c r="DZ373" s="75"/>
      <c r="EA373" s="75"/>
      <c r="EB373" s="75"/>
      <c r="EC373" s="75"/>
      <c r="ED373" s="84"/>
      <c r="EE373" s="75">
        <f t="shared" ref="EE373:EX373" si="1769">+EE372/DZ372-1</f>
        <v>-9.2678895856531662E-2</v>
      </c>
      <c r="EF373" s="75">
        <f t="shared" si="1769"/>
        <v>-6.04867749084258E-2</v>
      </c>
      <c r="EG373" s="75">
        <f t="shared" si="1769"/>
        <v>9.7253500991103525E-3</v>
      </c>
      <c r="EH373" s="75">
        <f t="shared" si="1769"/>
        <v>-7.9502279129816111E-3</v>
      </c>
      <c r="EI373" s="91">
        <f t="shared" si="1769"/>
        <v>-3.9157534396916049E-2</v>
      </c>
      <c r="EJ373" s="75">
        <f t="shared" si="1769"/>
        <v>-3.0819560589329109E-2</v>
      </c>
      <c r="EK373" s="75">
        <f t="shared" si="1769"/>
        <v>-5.9152808174761873E-2</v>
      </c>
      <c r="EL373" s="75">
        <f t="shared" si="1769"/>
        <v>-0.10411448645290111</v>
      </c>
      <c r="EM373" s="75">
        <f t="shared" si="1769"/>
        <v>-6.7970588600094972E-2</v>
      </c>
      <c r="EN373" s="91">
        <f t="shared" si="1769"/>
        <v>-6.5920041887938874E-2</v>
      </c>
      <c r="EO373" s="75">
        <f t="shared" si="1769"/>
        <v>-4.3423353990927449E-2</v>
      </c>
      <c r="EP373" s="75">
        <f t="shared" si="1769"/>
        <v>-6.2298961840540956E-2</v>
      </c>
      <c r="EQ373" s="75">
        <f t="shared" si="1769"/>
        <v>-7.2648752744375877E-2</v>
      </c>
      <c r="ER373" s="75">
        <f t="shared" si="1769"/>
        <v>-8.0880981771962457E-2</v>
      </c>
      <c r="ES373" s="91">
        <f t="shared" si="1769"/>
        <v>-6.4588746467893476E-2</v>
      </c>
      <c r="ET373" s="75">
        <f t="shared" si="1769"/>
        <v>-9.2196500420163696E-2</v>
      </c>
      <c r="EU373" s="75">
        <f t="shared" si="1769"/>
        <v>-9.4409715749496526E-2</v>
      </c>
      <c r="EV373" s="75">
        <f t="shared" si="1769"/>
        <v>-9.678378364265583E-2</v>
      </c>
      <c r="EW373" s="75">
        <f t="shared" si="1769"/>
        <v>-9.8094898049981505E-2</v>
      </c>
      <c r="EX373" s="91">
        <f t="shared" si="1769"/>
        <v>-9.5301261454426855E-2</v>
      </c>
      <c r="EY373" s="75">
        <f t="shared" ref="EY373" si="1770">+EY372/ET372-1</f>
        <v>-9.6060556817007869E-2</v>
      </c>
      <c r="EZ373" s="75">
        <f t="shared" ref="EZ373" si="1771">+EZ372/EU372-1</f>
        <v>-0.10060532550764745</v>
      </c>
      <c r="FA373" s="75">
        <f t="shared" ref="FA373" si="1772">+FA372/EV372-1</f>
        <v>-0.10509153867055743</v>
      </c>
      <c r="FB373" s="75">
        <f t="shared" ref="FB373:FC373" si="1773">+FB372/EW372-1</f>
        <v>-0.10979532785129809</v>
      </c>
      <c r="FC373" s="91">
        <f t="shared" si="1773"/>
        <v>-0.10271954592912513</v>
      </c>
      <c r="FD373" s="75">
        <f t="shared" ref="FD373" si="1774">+FD372/EY372-1</f>
        <v>-0.12055478178891699</v>
      </c>
      <c r="FE373" s="75">
        <f t="shared" ref="FE373" si="1775">+FE372/EZ372-1</f>
        <v>-0.12710225048487611</v>
      </c>
      <c r="FF373" s="75">
        <f t="shared" ref="FF373" si="1776">+FF372/FA372-1</f>
        <v>-0.12572610297945164</v>
      </c>
      <c r="FG373" s="75">
        <f t="shared" ref="FG373:FH373" si="1777">+FG372/FB372-1</f>
        <v>-0.10012664864152099</v>
      </c>
      <c r="FH373" s="91">
        <f t="shared" si="1777"/>
        <v>-0.11859745455350024</v>
      </c>
      <c r="FI373" s="1152">
        <f t="shared" ref="FI373:FM373" si="1778">FI372/FH372-1</f>
        <v>-5.5659039849401237E-2</v>
      </c>
      <c r="FJ373" s="1152">
        <f t="shared" si="1778"/>
        <v>-5.1675534923039557E-2</v>
      </c>
      <c r="FK373" s="1152">
        <f t="shared" si="1778"/>
        <v>-4.7279235798074359E-2</v>
      </c>
      <c r="FL373" s="1152">
        <f t="shared" si="1778"/>
        <v>-4.4740823338775271E-2</v>
      </c>
      <c r="FM373" s="1152">
        <f t="shared" si="1778"/>
        <v>-4.3026375659921401E-2</v>
      </c>
    </row>
    <row r="374" spans="1:181" x14ac:dyDescent="0.3">
      <c r="A374" s="61" t="s">
        <v>389</v>
      </c>
      <c r="DU374" s="111"/>
      <c r="DV374" s="111"/>
      <c r="DW374" s="111"/>
      <c r="DX374" s="111"/>
      <c r="DY374" s="112"/>
      <c r="DZ374" s="111">
        <f>DZ372/DZ107*1000/3</f>
        <v>16.683856733971581</v>
      </c>
      <c r="EA374" s="111">
        <f>EA372/EA107*1000/3</f>
        <v>16.315354563342495</v>
      </c>
      <c r="EB374" s="111">
        <f>EB372/EB107*1000/3</f>
        <v>15.684493684087004</v>
      </c>
      <c r="EC374" s="111">
        <f>EC372/EC107*1000/3</f>
        <v>15.288968527341076</v>
      </c>
      <c r="ED374" s="112">
        <f>ED372/ED107*1000/12</f>
        <v>15.993979352850468</v>
      </c>
      <c r="EE374" s="111">
        <f>EE372/EE107*1000/3</f>
        <v>15.308311456858549</v>
      </c>
      <c r="EF374" s="111">
        <f>EF372/EF107*1000/3</f>
        <v>15.596383120464841</v>
      </c>
      <c r="EG374" s="111">
        <f>EG372/EG107*1000/3</f>
        <v>16.269784974565795</v>
      </c>
      <c r="EH374" s="111">
        <f>EH372/EH107*1000/3</f>
        <v>15.792714378044822</v>
      </c>
      <c r="EI374" s="112">
        <f>EI372/EI107*1000/12</f>
        <v>15.739344953634626</v>
      </c>
      <c r="EJ374" s="111">
        <f>EJ372/EJ107*1000/3</f>
        <v>15.616760454571731</v>
      </c>
      <c r="EK374" s="111">
        <f>EK372/EK107*1000/3</f>
        <v>15.683500725862984</v>
      </c>
      <c r="EL374" s="111">
        <f>EL372/EL107*1000/3</f>
        <v>15.874467742735725</v>
      </c>
      <c r="EM374" s="111">
        <f>EM372/EM107*1000/3</f>
        <v>16.251600492061165</v>
      </c>
      <c r="EN374" s="112">
        <f>EN372/EN107*1000/12</f>
        <v>15.849324376866063</v>
      </c>
      <c r="EO374" s="111">
        <f>EO372/EO107*1000/3</f>
        <v>16.70284032230451</v>
      </c>
      <c r="EP374" s="111">
        <f>EP372/EP107*1000/3</f>
        <v>16.624829807968432</v>
      </c>
      <c r="EQ374" s="111">
        <f>EQ372/EQ107*1000/3</f>
        <v>16.720180944068058</v>
      </c>
      <c r="ER374" s="111">
        <f>ER372/ER107*1000/3</f>
        <v>17.06691969525901</v>
      </c>
      <c r="ES374" s="112">
        <f t="shared" ref="ES374:FM374" si="1779">ES372/ES107*1000/12</f>
        <v>16.773595243095659</v>
      </c>
      <c r="ET374" s="111">
        <f t="shared" ref="ET374:EW374" si="1780">ET372/ET107*1000/3</f>
        <v>17.423565731595634</v>
      </c>
      <c r="EU374" s="111">
        <f t="shared" si="1780"/>
        <v>17.340283583222128</v>
      </c>
      <c r="EV374" s="111">
        <f t="shared" si="1780"/>
        <v>17.441982725187597</v>
      </c>
      <c r="EW374" s="111">
        <f t="shared" si="1780"/>
        <v>17.808399144945614</v>
      </c>
      <c r="EX374" s="112">
        <f t="shared" ref="EX374" si="1781">EX372/EX107*1000/12</f>
        <v>17.497829583701044</v>
      </c>
      <c r="EY374" s="111">
        <f t="shared" ref="EY374:FB374" si="1782">EY372/EY107*1000/3</f>
        <v>18.284870904027319</v>
      </c>
      <c r="EZ374" s="111">
        <f t="shared" si="1782"/>
        <v>18.214000366756881</v>
      </c>
      <c r="FA374" s="111">
        <f t="shared" si="1782"/>
        <v>18.341097157041499</v>
      </c>
      <c r="FB374" s="111">
        <f t="shared" si="1782"/>
        <v>18.750428750888151</v>
      </c>
      <c r="FC374" s="112">
        <f t="shared" ref="FC374" si="1783">FC372/FC107*1000/12</f>
        <v>18.389484016816276</v>
      </c>
      <c r="FD374" s="111">
        <f t="shared" ref="FD374:FG374" si="1784">FD372/FD107*1000/3</f>
        <v>19.16307944352457</v>
      </c>
      <c r="FE374" s="111">
        <f t="shared" si="1784"/>
        <v>19.104326005121447</v>
      </c>
      <c r="FF374" s="111">
        <f t="shared" si="1784"/>
        <v>19.236438363635688</v>
      </c>
      <c r="FG374" s="111">
        <f t="shared" si="1784"/>
        <v>19.614083182393056</v>
      </c>
      <c r="FH374" s="112">
        <f t="shared" ref="FH374" si="1785">FH372/FH107*1000/12</f>
        <v>19.273991053576047</v>
      </c>
      <c r="FI374" s="112">
        <f t="shared" si="1779"/>
        <v>18.923799445520466</v>
      </c>
      <c r="FJ374" s="112">
        <f t="shared" si="1779"/>
        <v>17.91475054959967</v>
      </c>
      <c r="FK374" s="112">
        <f t="shared" si="1779"/>
        <v>17.038865720337775</v>
      </c>
      <c r="FL374" s="112">
        <f t="shared" si="1779"/>
        <v>16.24969636004338</v>
      </c>
      <c r="FM374" s="112">
        <f t="shared" si="1779"/>
        <v>15.525582323094476</v>
      </c>
    </row>
    <row r="375" spans="1:181" x14ac:dyDescent="0.3">
      <c r="A375" s="70" t="s">
        <v>387</v>
      </c>
      <c r="DZ375" s="75"/>
      <c r="EA375" s="75"/>
      <c r="EB375" s="75"/>
      <c r="EC375" s="75"/>
      <c r="ED375" s="84"/>
      <c r="EE375" s="75">
        <f t="shared" ref="EE375:EX375" si="1786">+EE374/DZ374-1</f>
        <v>-8.2447679756932568E-2</v>
      </c>
      <c r="EF375" s="75">
        <f t="shared" si="1786"/>
        <v>-4.4067166305600702E-2</v>
      </c>
      <c r="EG375" s="75">
        <f t="shared" si="1786"/>
        <v>3.7316556228564002E-2</v>
      </c>
      <c r="EH375" s="75">
        <f t="shared" si="1786"/>
        <v>3.2948321517105805E-2</v>
      </c>
      <c r="EI375" s="84">
        <f t="shared" si="1786"/>
        <v>-1.5920640736006741E-2</v>
      </c>
      <c r="EJ375" s="75">
        <f t="shared" si="1786"/>
        <v>2.0149119553939387E-2</v>
      </c>
      <c r="EK375" s="75">
        <f t="shared" si="1786"/>
        <v>5.5857569492399062E-3</v>
      </c>
      <c r="EL375" s="75">
        <f t="shared" si="1786"/>
        <v>-2.4297631004224107E-2</v>
      </c>
      <c r="EM375" s="75">
        <f t="shared" si="1786"/>
        <v>2.9056823484016725E-2</v>
      </c>
      <c r="EN375" s="84">
        <f t="shared" si="1786"/>
        <v>6.9875476746596998E-3</v>
      </c>
      <c r="EO375" s="75">
        <f t="shared" si="1786"/>
        <v>6.9545785176901687E-2</v>
      </c>
      <c r="EP375" s="75">
        <f t="shared" si="1786"/>
        <v>6.0020342304900165E-2</v>
      </c>
      <c r="EQ375" s="75">
        <f t="shared" si="1786"/>
        <v>5.3275058731927505E-2</v>
      </c>
      <c r="ER375" s="75">
        <f t="shared" si="1786"/>
        <v>5.0168548235979937E-2</v>
      </c>
      <c r="ES375" s="84">
        <f t="shared" si="1786"/>
        <v>5.8316105106579696E-2</v>
      </c>
      <c r="ET375" s="75">
        <f t="shared" si="1786"/>
        <v>4.3149871242478932E-2</v>
      </c>
      <c r="EU375" s="75">
        <f t="shared" si="1786"/>
        <v>4.3035254105926013E-2</v>
      </c>
      <c r="EV375" s="75">
        <f t="shared" si="1786"/>
        <v>4.3169495804745939E-2</v>
      </c>
      <c r="EW375" s="75">
        <f t="shared" si="1786"/>
        <v>4.3445417387917962E-2</v>
      </c>
      <c r="EX375" s="84">
        <f t="shared" si="1786"/>
        <v>4.3177048814474928E-2</v>
      </c>
      <c r="EY375" s="75">
        <f t="shared" ref="EY375" si="1787">+EY374/ET374-1</f>
        <v>4.943334709437841E-2</v>
      </c>
      <c r="EZ375" s="75">
        <f t="shared" ref="EZ375" si="1788">+EZ374/EU374-1</f>
        <v>5.0386533723135507E-2</v>
      </c>
      <c r="FA375" s="75">
        <f t="shared" ref="FA375" si="1789">+FA374/EV374-1</f>
        <v>5.154886609052256E-2</v>
      </c>
      <c r="FB375" s="75">
        <f t="shared" ref="FB375:FC375" si="1790">+FB374/EW374-1</f>
        <v>5.289805098567224E-2</v>
      </c>
      <c r="FC375" s="84">
        <f t="shared" si="1790"/>
        <v>5.0958001896749261E-2</v>
      </c>
      <c r="FD375" s="75">
        <f t="shared" ref="FD375" si="1791">+FD374/EY374-1</f>
        <v>4.8029244729522302E-2</v>
      </c>
      <c r="FE375" s="75">
        <f t="shared" ref="FE375" si="1792">+FE374/EZ374-1</f>
        <v>4.8881389065388081E-2</v>
      </c>
      <c r="FF375" s="75">
        <f t="shared" ref="FF375" si="1793">+FF374/FA374-1</f>
        <v>4.8816120373172511E-2</v>
      </c>
      <c r="FG375" s="75">
        <f t="shared" ref="FG375:FH375" si="1794">+FG374/FB374-1</f>
        <v>4.6060516427604226E-2</v>
      </c>
      <c r="FH375" s="84">
        <f t="shared" si="1794"/>
        <v>4.809852391458791E-2</v>
      </c>
      <c r="FI375" s="75">
        <f t="shared" ref="FI375:FM375" si="1795">+FI374/FH374-1</f>
        <v>-1.8169127871967561E-2</v>
      </c>
      <c r="FJ375" s="75">
        <f t="shared" si="1795"/>
        <v>-5.3321686209248598E-2</v>
      </c>
      <c r="FK375" s="75">
        <f t="shared" si="1795"/>
        <v>-4.8891823909960497E-2</v>
      </c>
      <c r="FL375" s="75">
        <f t="shared" si="1795"/>
        <v>-4.6315838932425746E-2</v>
      </c>
      <c r="FM375" s="75">
        <f t="shared" si="1795"/>
        <v>-4.4561696471414614E-2</v>
      </c>
    </row>
    <row r="376" spans="1:181" x14ac:dyDescent="0.3">
      <c r="A376" s="61" t="s">
        <v>391</v>
      </c>
      <c r="DU376" s="111"/>
      <c r="DV376" s="111"/>
      <c r="DW376" s="111"/>
      <c r="DX376" s="111"/>
      <c r="DY376" s="112"/>
      <c r="DZ376" s="111">
        <f>DZ372/SUM(DZ260,DZ283,DZ305)*1000/3</f>
        <v>85.006709091470313</v>
      </c>
      <c r="EA376" s="111">
        <f>EA372/SUM(EA260,EA283,EA305)*1000/3</f>
        <v>84.709194585793753</v>
      </c>
      <c r="EB376" s="111">
        <f>EB372/SUM(EB260,EB283,EB305)*1000/3</f>
        <v>83.123775665858531</v>
      </c>
      <c r="EC376" s="111">
        <f>EC372/SUM(EC260,EC283,EC305)*1000/3</f>
        <v>82.829359698436875</v>
      </c>
      <c r="ED376" s="112">
        <f>ED372/SUM(ED260,ED283,ED305)*1000/12</f>
        <v>86.883231057391114</v>
      </c>
      <c r="EE376" s="111">
        <f>EE372/SUM(EE260,EE283,EE305)*1000/3</f>
        <v>84.138857631266646</v>
      </c>
      <c r="EF376" s="111">
        <f>EF372/SUM(EF260,EF283,EF305)*1000/3</f>
        <v>87.328605200945631</v>
      </c>
      <c r="EG376" s="111">
        <f>EG372/SUM(EG260,EG283,EG305)*1000/3</f>
        <v>92.631909315806965</v>
      </c>
      <c r="EH376" s="111">
        <f>EH372/SUM(EH260,EH283,EH305)*1000/3</f>
        <v>91.088557639413182</v>
      </c>
      <c r="EI376" s="112">
        <f>EI372/SUM(EI260,EI283,EI305)*1000/12</f>
        <v>92.541005014543927</v>
      </c>
      <c r="EJ376" s="111">
        <f>EJ372/SUM(EJ260,EJ283,EJ305)*1000/3</f>
        <v>90.821878600204514</v>
      </c>
      <c r="EK376" s="111">
        <f>EK372/SUM(EK260,EK283,EK305)*1000/3</f>
        <v>92.317834796993921</v>
      </c>
      <c r="EL376" s="111">
        <f>EL372/SUM(EL260,EL283,EL305)*1000/3</f>
        <v>95.135516020753002</v>
      </c>
      <c r="EM376" s="111">
        <f>EM372/SUM(EM260,EM283,EM305)*1000/3</f>
        <v>99.481092858576289</v>
      </c>
      <c r="EN376" s="112">
        <f t="shared" ref="EN376:FM376" si="1796">EN372/SUM(EN260,EN283,EN305)*1000/12</f>
        <v>101.28972001413932</v>
      </c>
      <c r="EO376" s="111">
        <f>EO372/SUM(EO260,EO283,EO305)*1000/3</f>
        <v>104.29684805848679</v>
      </c>
      <c r="EP376" s="111">
        <f>EP372/SUM(EP260,EP283,EP305)*1000/3</f>
        <v>105.67788614705994</v>
      </c>
      <c r="EQ376" s="111">
        <f>EQ372/SUM(EQ260,EQ283,EQ305)*1000/3</f>
        <v>109.16270806508832</v>
      </c>
      <c r="ER376" s="111">
        <f>ER372/SUM(ER260,ER283,ER305)*1000/3</f>
        <v>113.47313530719644</v>
      </c>
      <c r="ES376" s="112">
        <f t="shared" ref="ES376" si="1797">ES372/SUM(ES260,ES283,ES305)*1000/12</f>
        <v>117.58413148891692</v>
      </c>
      <c r="ET376" s="111">
        <f t="shared" ref="ET376:EW376" si="1798">ET372/SUM(ET260,ET283,ET305)*1000/3</f>
        <v>118.02818008203211</v>
      </c>
      <c r="EU376" s="111">
        <f t="shared" si="1798"/>
        <v>119.95455737718966</v>
      </c>
      <c r="EV376" s="111">
        <f t="shared" si="1798"/>
        <v>124.31898162183545</v>
      </c>
      <c r="EW376" s="111">
        <f t="shared" si="1798"/>
        <v>129.75676097210797</v>
      </c>
      <c r="EX376" s="112">
        <f t="shared" ref="EX376" si="1799">EX372/SUM(EX260,EX283,EX305)*1000/12</f>
        <v>134.87417401576539</v>
      </c>
      <c r="EY376" s="111">
        <f t="shared" ref="EY376:FB376" si="1800">EY372/SUM(EY260,EY283,EY305)*1000/3</f>
        <v>135.32483606059478</v>
      </c>
      <c r="EZ376" s="111">
        <f t="shared" si="1800"/>
        <v>136.90468617814511</v>
      </c>
      <c r="FA376" s="111">
        <f t="shared" si="1800"/>
        <v>141.35096569853275</v>
      </c>
      <c r="FB376" s="111">
        <f t="shared" si="1800"/>
        <v>146.97652294717199</v>
      </c>
      <c r="FC376" s="112">
        <f t="shared" ref="FC376" si="1801">FC372/SUM(FC260,FC283,FC305)*1000/12</f>
        <v>153.98737265738791</v>
      </c>
      <c r="FD376" s="111">
        <f t="shared" ref="FD376:FG376" si="1802">FD372/SUM(FD260,FD283,FD305)*1000/3</f>
        <v>151.68488204922656</v>
      </c>
      <c r="FE376" s="111">
        <f t="shared" si="1802"/>
        <v>152.60638733708595</v>
      </c>
      <c r="FF376" s="111">
        <f t="shared" si="1802"/>
        <v>158.16721336888745</v>
      </c>
      <c r="FG376" s="111">
        <f t="shared" si="1802"/>
        <v>169.32860373225347</v>
      </c>
      <c r="FH376" s="112">
        <f t="shared" ref="FH376" si="1803">FH372/SUM(FH260,FH283,FH305)*1000/12</f>
        <v>173.76422864895559</v>
      </c>
      <c r="FI376" s="112">
        <f t="shared" si="1796"/>
        <v>210.60736889942186</v>
      </c>
      <c r="FJ376" s="112">
        <f t="shared" si="1796"/>
        <v>244.26655680214401</v>
      </c>
      <c r="FK376" s="112">
        <f t="shared" si="1796"/>
        <v>275.96871484946882</v>
      </c>
      <c r="FL376" s="112">
        <f t="shared" si="1796"/>
        <v>305.13403550091954</v>
      </c>
      <c r="FM376" s="112">
        <f t="shared" si="1796"/>
        <v>330.96125621057007</v>
      </c>
    </row>
    <row r="377" spans="1:181" x14ac:dyDescent="0.3">
      <c r="A377" s="70" t="s">
        <v>387</v>
      </c>
      <c r="DZ377" s="75"/>
      <c r="EA377" s="75"/>
      <c r="EB377" s="75"/>
      <c r="EC377" s="75"/>
      <c r="ED377" s="84"/>
      <c r="EE377" s="75">
        <f t="shared" ref="EE377:EX377" si="1804">+EE376/DZ376-1</f>
        <v>-1.0209211360833081E-2</v>
      </c>
      <c r="EF377" s="75">
        <f t="shared" si="1804"/>
        <v>3.0922388389597266E-2</v>
      </c>
      <c r="EG377" s="75">
        <f t="shared" si="1804"/>
        <v>0.11438524746721423</v>
      </c>
      <c r="EH377" s="75">
        <f t="shared" si="1804"/>
        <v>9.9713410450668727E-2</v>
      </c>
      <c r="EI377" s="84">
        <f t="shared" si="1804"/>
        <v>6.5119285831066076E-2</v>
      </c>
      <c r="EJ377" s="75">
        <f t="shared" si="1804"/>
        <v>7.9428472849319975E-2</v>
      </c>
      <c r="EK377" s="75">
        <f t="shared" si="1804"/>
        <v>5.7131676208132864E-2</v>
      </c>
      <c r="EL377" s="75">
        <f t="shared" si="1804"/>
        <v>2.7027475990056171E-2</v>
      </c>
      <c r="EM377" s="75">
        <f t="shared" si="1804"/>
        <v>9.2135998600242797E-2</v>
      </c>
      <c r="EN377" s="84">
        <f t="shared" si="1804"/>
        <v>9.4538793891642214E-2</v>
      </c>
      <c r="EO377" s="75">
        <f t="shared" si="1804"/>
        <v>0.14836699775390838</v>
      </c>
      <c r="EP377" s="75">
        <f t="shared" si="1804"/>
        <v>0.14471798845201089</v>
      </c>
      <c r="EQ377" s="75">
        <f t="shared" si="1804"/>
        <v>0.14744432606299629</v>
      </c>
      <c r="ER377" s="75">
        <f t="shared" si="1804"/>
        <v>0.14065026877530817</v>
      </c>
      <c r="ES377" s="84">
        <f t="shared" si="1804"/>
        <v>0.16086935053728069</v>
      </c>
      <c r="ET377" s="75">
        <f t="shared" si="1804"/>
        <v>0.13165625116345958</v>
      </c>
      <c r="EU377" s="75">
        <f t="shared" si="1804"/>
        <v>0.13509610904084979</v>
      </c>
      <c r="EV377" s="75">
        <f t="shared" si="1804"/>
        <v>0.13884112830647433</v>
      </c>
      <c r="EW377" s="75">
        <f t="shared" si="1804"/>
        <v>0.14350203350624113</v>
      </c>
      <c r="EX377" s="84">
        <f t="shared" si="1804"/>
        <v>0.14704401272443945</v>
      </c>
      <c r="EY377" s="75">
        <f t="shared" ref="EY377" si="1805">+EY376/ET376-1</f>
        <v>0.14654683285416348</v>
      </c>
      <c r="EZ377" s="75">
        <f t="shared" ref="EZ377" si="1806">+EZ376/EU376-1</f>
        <v>0.14130458376547406</v>
      </c>
      <c r="FA377" s="75">
        <f t="shared" ref="FA377" si="1807">+FA376/EV376-1</f>
        <v>0.13700228118427416</v>
      </c>
      <c r="FB377" s="75">
        <f t="shared" ref="FB377:FC377" si="1808">+FB376/EW376-1</f>
        <v>0.13270801340953264</v>
      </c>
      <c r="FC377" s="84">
        <f t="shared" si="1808"/>
        <v>0.14171133043890505</v>
      </c>
      <c r="FD377" s="75">
        <f t="shared" ref="FD377" si="1809">+FD376/EY376-1</f>
        <v>0.12089463002420486</v>
      </c>
      <c r="FE377" s="75">
        <f t="shared" ref="FE377" si="1810">+FE376/EZ376-1</f>
        <v>0.11469075016547814</v>
      </c>
      <c r="FF377" s="75">
        <f t="shared" ref="FF377" si="1811">+FF376/FA376-1</f>
        <v>0.11896804232819802</v>
      </c>
      <c r="FG377" s="75">
        <f t="shared" ref="FG377:FH377" si="1812">+FG376/FB376-1</f>
        <v>0.1520792595775009</v>
      </c>
      <c r="FH377" s="84">
        <f t="shared" si="1812"/>
        <v>0.12843167365138397</v>
      </c>
      <c r="FI377" s="75">
        <f t="shared" ref="FI377:FM377" si="1813">+FI376/FH376-1</f>
        <v>0.21202948694865165</v>
      </c>
      <c r="FJ377" s="75">
        <f t="shared" si="1813"/>
        <v>0.15981961162430425</v>
      </c>
      <c r="FK377" s="75">
        <f t="shared" si="1813"/>
        <v>0.1297850940479075</v>
      </c>
      <c r="FL377" s="75">
        <f t="shared" si="1813"/>
        <v>0.1056834310634065</v>
      </c>
      <c r="FM377" s="75">
        <f t="shared" si="1813"/>
        <v>8.4642215239121299E-2</v>
      </c>
    </row>
    <row r="378" spans="1:181" x14ac:dyDescent="0.3">
      <c r="A378" s="70" t="s">
        <v>394</v>
      </c>
      <c r="DU378" s="75"/>
      <c r="DV378" s="75"/>
      <c r="DW378" s="75"/>
      <c r="DX378" s="75"/>
      <c r="DY378" s="84"/>
      <c r="DZ378" s="75">
        <f t="shared" ref="DZ378:FM378" si="1814">+DZ372/DZ344</f>
        <v>0.6395330034604314</v>
      </c>
      <c r="EA378" s="75">
        <f t="shared" si="1814"/>
        <v>0.64279989680295146</v>
      </c>
      <c r="EB378" s="75">
        <f t="shared" si="1814"/>
        <v>0.63278728090023229</v>
      </c>
      <c r="EC378" s="75">
        <f t="shared" si="1814"/>
        <v>0.63065672600149814</v>
      </c>
      <c r="ED378" s="84">
        <f t="shared" si="1814"/>
        <v>0.6365594906752271</v>
      </c>
      <c r="EE378" s="75">
        <f t="shared" si="1814"/>
        <v>0.63442858577974914</v>
      </c>
      <c r="EF378" s="75">
        <f t="shared" si="1814"/>
        <v>0.65967651410786265</v>
      </c>
      <c r="EG378" s="75">
        <f t="shared" si="1814"/>
        <v>0.70212468223056657</v>
      </c>
      <c r="EH378" s="75">
        <f t="shared" si="1814"/>
        <v>0.69187801115141012</v>
      </c>
      <c r="EI378" s="84">
        <f t="shared" si="1814"/>
        <v>0.67123225927114383</v>
      </c>
      <c r="EJ378" s="75">
        <f t="shared" si="1814"/>
        <v>0.68434875277712548</v>
      </c>
      <c r="EK378" s="75">
        <f t="shared" si="1814"/>
        <v>0.68378612907099723</v>
      </c>
      <c r="EL378" s="75">
        <f t="shared" si="1814"/>
        <v>0.69235357169388811</v>
      </c>
      <c r="EM378" s="75">
        <f t="shared" si="1814"/>
        <v>0.72017509103601818</v>
      </c>
      <c r="EN378" s="84">
        <f t="shared" si="1814"/>
        <v>0.69467524576498774</v>
      </c>
      <c r="EO378" s="75">
        <f t="shared" si="1814"/>
        <v>0.73159167876149012</v>
      </c>
      <c r="EP378" s="75">
        <f t="shared" si="1814"/>
        <v>0.71169872591414418</v>
      </c>
      <c r="EQ378" s="75">
        <f t="shared" si="1814"/>
        <v>0.71393401961479097</v>
      </c>
      <c r="ER378" s="75">
        <f t="shared" si="1814"/>
        <v>0.71819550090103468</v>
      </c>
      <c r="ES378" s="84">
        <f t="shared" si="1814"/>
        <v>0.71893545120883129</v>
      </c>
      <c r="ET378" s="75">
        <f t="shared" si="1814"/>
        <v>0.73516231775335528</v>
      </c>
      <c r="EU378" s="75">
        <f t="shared" si="1814"/>
        <v>0.72190096150265437</v>
      </c>
      <c r="EV378" s="75">
        <f t="shared" si="1814"/>
        <v>0.72682303809301985</v>
      </c>
      <c r="EW378" s="75">
        <f t="shared" si="1814"/>
        <v>0.72954115276237841</v>
      </c>
      <c r="EX378" s="84">
        <f t="shared" si="1814"/>
        <v>0.72839277619281106</v>
      </c>
      <c r="EY378" s="75">
        <f t="shared" ref="EY378:FC378" si="1815">+EY372/EY344</f>
        <v>0.7452871205363496</v>
      </c>
      <c r="EZ378" s="75">
        <f t="shared" si="1815"/>
        <v>0.72805851626469953</v>
      </c>
      <c r="FA378" s="75">
        <f t="shared" si="1815"/>
        <v>0.73015613539469937</v>
      </c>
      <c r="FB378" s="75">
        <f t="shared" si="1815"/>
        <v>0.72687877784114485</v>
      </c>
      <c r="FC378" s="84">
        <f t="shared" si="1815"/>
        <v>0.732769762804793</v>
      </c>
      <c r="FD378" s="75">
        <f t="shared" si="1814"/>
        <v>0.72771269641403025</v>
      </c>
      <c r="FE378" s="75">
        <f t="shared" si="1814"/>
        <v>0.70573652006457688</v>
      </c>
      <c r="FF378" s="75">
        <f t="shared" si="1814"/>
        <v>0.70986080289521325</v>
      </c>
      <c r="FG378" s="75">
        <f t="shared" si="1814"/>
        <v>0.72504282998884684</v>
      </c>
      <c r="FH378" s="84">
        <f t="shared" ref="FH378" si="1816">+FH372/FH344</f>
        <v>0.71711332270518735</v>
      </c>
      <c r="FI378" s="75">
        <f t="shared" si="1814"/>
        <v>0.74458327966069759</v>
      </c>
      <c r="FJ378" s="75">
        <f t="shared" si="1814"/>
        <v>0.76815492683913644</v>
      </c>
      <c r="FK378" s="75">
        <f t="shared" si="1814"/>
        <v>0.78345397370738412</v>
      </c>
      <c r="FL378" s="75">
        <f t="shared" si="1814"/>
        <v>0.79164363280584171</v>
      </c>
      <c r="FM378" s="75">
        <f t="shared" si="1814"/>
        <v>0.79365522765826046</v>
      </c>
    </row>
    <row r="379" spans="1:181" x14ac:dyDescent="0.3">
      <c r="A379" s="90"/>
      <c r="EN379" s="916"/>
      <c r="EO379"/>
      <c r="EP379"/>
      <c r="EQ379"/>
      <c r="ER379"/>
      <c r="ES379" s="916"/>
      <c r="EX379" s="916"/>
      <c r="FC379" s="916"/>
      <c r="FH379" s="916"/>
      <c r="FI379" s="887"/>
      <c r="FJ379" s="887"/>
      <c r="FK379" s="887"/>
      <c r="FL379" s="887"/>
      <c r="FM379" s="887"/>
    </row>
    <row r="380" spans="1:181" x14ac:dyDescent="0.3">
      <c r="A380" s="55" t="s">
        <v>294</v>
      </c>
      <c r="DZ380" s="916">
        <f>DZ344-DZ388</f>
        <v>625</v>
      </c>
      <c r="EA380" s="916">
        <f>EA344-EA388</f>
        <v>609</v>
      </c>
      <c r="EB380" s="916">
        <f>EB344-EB388</f>
        <v>583</v>
      </c>
      <c r="EC380" s="916">
        <f>EC344-EC388</f>
        <v>564</v>
      </c>
      <c r="ED380" s="916">
        <f>SUM(DZ380:EC380)</f>
        <v>2381</v>
      </c>
      <c r="EE380" s="916">
        <f>EE344-EE388</f>
        <v>560</v>
      </c>
      <c r="EF380" s="916">
        <f>EF344-EF388</f>
        <v>566</v>
      </c>
      <c r="EG380" s="916">
        <f>EG344-EG388</f>
        <v>582</v>
      </c>
      <c r="EH380" s="916">
        <f>EH344-EH388</f>
        <v>556</v>
      </c>
      <c r="EI380" s="916">
        <f>SUM(EE380:EH380)</f>
        <v>2264</v>
      </c>
      <c r="EJ380" s="916">
        <f>EJ344-EJ388</f>
        <v>540</v>
      </c>
      <c r="EK380" s="916">
        <f>EK344-EK388</f>
        <v>530</v>
      </c>
      <c r="EL380" s="916">
        <f>EL344-EL388</f>
        <v>520</v>
      </c>
      <c r="EM380" s="916">
        <f>EM344-EM388</f>
        <v>515</v>
      </c>
      <c r="EN380" s="916">
        <f>SUM(EJ380:EM380)</f>
        <v>2105</v>
      </c>
      <c r="EO380" s="916">
        <f>EO344-EO388</f>
        <v>513</v>
      </c>
      <c r="EP380" s="916">
        <f>EP344-EP388</f>
        <v>493</v>
      </c>
      <c r="EQ380" s="916">
        <f>EQ344-EQ388</f>
        <v>478</v>
      </c>
      <c r="ER380" s="916">
        <f>ER344-ER388</f>
        <v>470</v>
      </c>
      <c r="ES380" s="916">
        <f>SUM(EO380:ER380)</f>
        <v>1954</v>
      </c>
      <c r="ET380" s="916">
        <f t="shared" ref="ET380:EW380" si="1817">ET355+ET372</f>
        <v>462.57245789764897</v>
      </c>
      <c r="EU380" s="916">
        <f t="shared" si="1817"/>
        <v>443.84535869429897</v>
      </c>
      <c r="EV380" s="916">
        <f t="shared" si="1817"/>
        <v>429.88704392799013</v>
      </c>
      <c r="EW380" s="916">
        <f t="shared" si="1817"/>
        <v>422.24211333797746</v>
      </c>
      <c r="EX380" s="916">
        <f>SUM(ET380:EW380)</f>
        <v>1758.5469738579154</v>
      </c>
      <c r="EY380" s="916">
        <f t="shared" ref="EY380:FB380" si="1818">EY355+EY372</f>
        <v>416.49325092609757</v>
      </c>
      <c r="EZ380" s="916">
        <f t="shared" si="1818"/>
        <v>397.79730396122875</v>
      </c>
      <c r="FA380" s="916">
        <f t="shared" si="1818"/>
        <v>383.54105286580324</v>
      </c>
      <c r="FB380" s="916">
        <f t="shared" si="1818"/>
        <v>374.88746233035533</v>
      </c>
      <c r="FC380" s="916">
        <f>SUM(EY380:FB380)</f>
        <v>1572.7190700834849</v>
      </c>
      <c r="FD380" s="916">
        <f t="shared" ref="FD380:FM380" si="1819">FD355+FD372</f>
        <v>365.40827976529977</v>
      </c>
      <c r="FE380" s="916">
        <f t="shared" si="1819"/>
        <v>346.49924276094254</v>
      </c>
      <c r="FF380" s="916">
        <f t="shared" si="1819"/>
        <v>334.69043602064505</v>
      </c>
      <c r="FG380" s="916">
        <f t="shared" si="1819"/>
        <v>336.76125079857673</v>
      </c>
      <c r="FH380" s="916">
        <f>SUM(FD380:FG380)</f>
        <v>1383.359209345464</v>
      </c>
      <c r="FI380" s="916">
        <f t="shared" si="1819"/>
        <v>1304.2643241189533</v>
      </c>
      <c r="FJ380" s="916">
        <f t="shared" si="1819"/>
        <v>1235.4409885837711</v>
      </c>
      <c r="FK380" s="916">
        <f t="shared" si="1819"/>
        <v>1176.3721400707043</v>
      </c>
      <c r="FL380" s="916">
        <f t="shared" si="1819"/>
        <v>1123.4376646383912</v>
      </c>
      <c r="FM380" s="916">
        <f t="shared" si="1819"/>
        <v>1074.9614045315261</v>
      </c>
    </row>
    <row r="381" spans="1:181" x14ac:dyDescent="0.3">
      <c r="A381" s="70" t="s">
        <v>363</v>
      </c>
      <c r="EE381" s="75">
        <f t="shared" ref="EE381:EX381" si="1820">+EE380/DZ380-1</f>
        <v>-0.10399999999999998</v>
      </c>
      <c r="EF381" s="75">
        <f t="shared" si="1820"/>
        <v>-7.0607553366174081E-2</v>
      </c>
      <c r="EG381" s="75">
        <f t="shared" si="1820"/>
        <v>-1.7152658662092923E-3</v>
      </c>
      <c r="EH381" s="75">
        <f t="shared" si="1820"/>
        <v>-1.4184397163120588E-2</v>
      </c>
      <c r="EI381" s="84">
        <f t="shared" si="1820"/>
        <v>-4.9139017219655634E-2</v>
      </c>
      <c r="EJ381" s="75">
        <f t="shared" si="1820"/>
        <v>-3.5714285714285698E-2</v>
      </c>
      <c r="EK381" s="75">
        <f t="shared" si="1820"/>
        <v>-6.360424028268552E-2</v>
      </c>
      <c r="EL381" s="75">
        <f t="shared" si="1820"/>
        <v>-0.10652920962199308</v>
      </c>
      <c r="EM381" s="75">
        <f t="shared" si="1820"/>
        <v>-7.374100719424459E-2</v>
      </c>
      <c r="EN381" s="84">
        <f t="shared" si="1820"/>
        <v>-7.0229681978798641E-2</v>
      </c>
      <c r="EO381" s="75">
        <f t="shared" si="1820"/>
        <v>-5.0000000000000044E-2</v>
      </c>
      <c r="EP381" s="75">
        <f t="shared" si="1820"/>
        <v>-6.9811320754716966E-2</v>
      </c>
      <c r="EQ381" s="75">
        <f t="shared" si="1820"/>
        <v>-8.0769230769230815E-2</v>
      </c>
      <c r="ER381" s="75">
        <f t="shared" si="1820"/>
        <v>-8.737864077669899E-2</v>
      </c>
      <c r="ES381" s="84">
        <f t="shared" si="1820"/>
        <v>-7.1733966745843203E-2</v>
      </c>
      <c r="ET381" s="75">
        <f t="shared" si="1820"/>
        <v>-9.8299302343764161E-2</v>
      </c>
      <c r="EU381" s="75">
        <f t="shared" si="1820"/>
        <v>-9.9705154778298222E-2</v>
      </c>
      <c r="EV381" s="75">
        <f t="shared" si="1820"/>
        <v>-0.10065471981592022</v>
      </c>
      <c r="EW381" s="75">
        <f t="shared" si="1820"/>
        <v>-0.10161252481281391</v>
      </c>
      <c r="EX381" s="84">
        <f t="shared" si="1820"/>
        <v>-0.10002713722726952</v>
      </c>
      <c r="EY381" s="75">
        <f t="shared" ref="EY381" si="1821">+EY380/ET380-1</f>
        <v>-9.9615111502698084E-2</v>
      </c>
      <c r="EZ381" s="75">
        <f t="shared" ref="EZ381" si="1822">+EZ380/EU380-1</f>
        <v>-0.10374796949219889</v>
      </c>
      <c r="FA381" s="75">
        <f t="shared" ref="FA381" si="1823">+FA380/EV380-1</f>
        <v>-0.10780969493453785</v>
      </c>
      <c r="FB381" s="75">
        <f t="shared" ref="FB381:FC381" si="1824">+FB380/EW380-1</f>
        <v>-0.11215046891762259</v>
      </c>
      <c r="FC381" s="84">
        <f t="shared" si="1824"/>
        <v>-0.10567127664878906</v>
      </c>
      <c r="FD381" s="75">
        <f t="shared" ref="FD381" si="1825">+FD380/EY380-1</f>
        <v>-0.12265497951577209</v>
      </c>
      <c r="FE381" s="75">
        <f t="shared" ref="FE381" si="1826">+FE380/EZ380-1</f>
        <v>-0.12895527619082603</v>
      </c>
      <c r="FF381" s="75">
        <f t="shared" ref="FF381" si="1827">+FF380/FA380-1</f>
        <v>-0.12736737431403589</v>
      </c>
      <c r="FG381" s="75">
        <f t="shared" ref="FG381:FH381" si="1828">+FG380/FB380-1</f>
        <v>-0.10170041775945371</v>
      </c>
      <c r="FH381" s="84">
        <f t="shared" si="1828"/>
        <v>-0.12040285155820551</v>
      </c>
      <c r="FI381" s="75">
        <f t="shared" ref="FI381:FM381" si="1829">+FI380/FH380-1</f>
        <v>-5.7175955957190938E-2</v>
      </c>
      <c r="FJ381" s="75">
        <f t="shared" si="1829"/>
        <v>-5.2767935350584105E-2</v>
      </c>
      <c r="FK381" s="75">
        <f t="shared" si="1829"/>
        <v>-4.7811954645263555E-2</v>
      </c>
      <c r="FL381" s="75">
        <f t="shared" si="1829"/>
        <v>-4.4998069598223833E-2</v>
      </c>
      <c r="FM381" s="75">
        <f t="shared" si="1829"/>
        <v>-4.3149933131775953E-2</v>
      </c>
    </row>
    <row r="382" spans="1:181" x14ac:dyDescent="0.3">
      <c r="A382" s="61" t="s">
        <v>389</v>
      </c>
      <c r="DU382" s="111"/>
      <c r="DV382" s="111"/>
      <c r="DW382" s="111"/>
      <c r="DX382" s="111"/>
      <c r="DY382" s="112"/>
      <c r="DZ382" s="111">
        <f>DZ380/DZ107*1000/3</f>
        <v>17.400988376139765</v>
      </c>
      <c r="EA382" s="111">
        <f>EA380/EA107*1000/3</f>
        <v>16.96756937479104</v>
      </c>
      <c r="EB382" s="111">
        <f>EB380/EB107*1000/3</f>
        <v>16.254722373245226</v>
      </c>
      <c r="EC382" s="111">
        <f>EC380/EC107*1000/3</f>
        <v>15.770489052931801</v>
      </c>
      <c r="ED382" s="112">
        <f>ED380/ED107*1000/12</f>
        <v>16.599390681753221</v>
      </c>
      <c r="EE382" s="111">
        <f>EE380/EE107*1000/3</f>
        <v>15.767097446293326</v>
      </c>
      <c r="EF382" s="111">
        <f>EF380/EF107*1000/3</f>
        <v>16.045130472991168</v>
      </c>
      <c r="EG382" s="111">
        <f>EG380/EG107*1000/3</f>
        <v>16.670247046186898</v>
      </c>
      <c r="EH382" s="111">
        <f>EH380/EH107*1000/3</f>
        <v>16.18773109733019</v>
      </c>
      <c r="EI382" s="112">
        <f>EI380/EI107*1000/12</f>
        <v>16.165424270985064</v>
      </c>
      <c r="EJ382" s="111">
        <f>EJ380/EJ107*1000/3</f>
        <v>16.003556345854633</v>
      </c>
      <c r="EK382" s="111">
        <f>EK380/EK107*1000/3</f>
        <v>16.058416276568348</v>
      </c>
      <c r="EL382" s="111">
        <f>EL380/EL107*1000/3</f>
        <v>16.221359162728309</v>
      </c>
      <c r="EM382" s="111">
        <f>EM380/EM107*1000/3</f>
        <v>16.5549608627867</v>
      </c>
      <c r="EN382" s="112">
        <f>EN380/EN107*1000/12</f>
        <v>16.203276063797031</v>
      </c>
      <c r="EO382" s="111">
        <f>EO380/EO107*1000/3</f>
        <v>16.998856802027934</v>
      </c>
      <c r="EP382" s="111">
        <f>EP380/EP107*1000/3</f>
        <v>16.885874777366762</v>
      </c>
      <c r="EQ382" s="111">
        <f>EQ380/EQ107*1000/3</f>
        <v>16.935941043083901</v>
      </c>
      <c r="ER382" s="111">
        <f>ER380/ER107*1000/3</f>
        <v>17.262593429195821</v>
      </c>
      <c r="ES382" s="112">
        <f t="shared" ref="ES382:FM382" si="1830">ES380/ES107*1000/12</f>
        <v>17.017200087089048</v>
      </c>
      <c r="ET382" s="111">
        <f t="shared" ref="ET382:EW382" si="1831">ET380/ET107*1000/3</f>
        <v>17.613147711312262</v>
      </c>
      <c r="EU382" s="111">
        <f t="shared" si="1831"/>
        <v>17.509573231966186</v>
      </c>
      <c r="EV382" s="111">
        <f t="shared" si="1831"/>
        <v>17.591340933540945</v>
      </c>
      <c r="EW382" s="111">
        <f t="shared" si="1831"/>
        <v>17.942321035569694</v>
      </c>
      <c r="EX382" s="112">
        <f t="shared" ref="EX382" si="1832">EX380/EX107*1000/12</f>
        <v>17.659221672237841</v>
      </c>
      <c r="EY382" s="111">
        <f t="shared" ref="EY382:FB382" si="1833">EY380/EY107*1000/3</f>
        <v>18.411140742846857</v>
      </c>
      <c r="EZ382" s="111">
        <f t="shared" si="1833"/>
        <v>18.327555664004411</v>
      </c>
      <c r="FA382" s="111">
        <f t="shared" si="1833"/>
        <v>18.441969116732277</v>
      </c>
      <c r="FB382" s="111">
        <f t="shared" si="1833"/>
        <v>18.841455337724422</v>
      </c>
      <c r="FC382" s="112">
        <f t="shared" ref="FC382" si="1834">FC380/FC107*1000/12</f>
        <v>18.49804754326761</v>
      </c>
      <c r="FD382" s="111">
        <f t="shared" ref="FD382:FG382" si="1835">FD380/FD107*1000/3</f>
        <v>19.249334667785909</v>
      </c>
      <c r="FE382" s="111">
        <f t="shared" si="1835"/>
        <v>19.182623696636078</v>
      </c>
      <c r="FF382" s="111">
        <f t="shared" si="1835"/>
        <v>19.305923391752398</v>
      </c>
      <c r="FG382" s="111">
        <f t="shared" si="1835"/>
        <v>19.674833326287729</v>
      </c>
      <c r="FH382" s="112">
        <f t="shared" ref="FH382" si="1836">FH380/FH107*1000/12</f>
        <v>19.348063899464737</v>
      </c>
      <c r="FI382" s="112">
        <f t="shared" si="1830"/>
        <v>18.966011905024271</v>
      </c>
      <c r="FJ382" s="112">
        <f t="shared" si="1830"/>
        <v>17.934029654291951</v>
      </c>
      <c r="FK382" s="112">
        <f t="shared" si="1830"/>
        <v>17.047664609719668</v>
      </c>
      <c r="FL382" s="112">
        <f t="shared" si="1830"/>
        <v>16.253709504183032</v>
      </c>
      <c r="FM382" s="112">
        <f t="shared" si="1830"/>
        <v>15.527411589432427</v>
      </c>
    </row>
    <row r="383" spans="1:181" x14ac:dyDescent="0.3">
      <c r="A383" s="70" t="s">
        <v>387</v>
      </c>
      <c r="DZ383" s="75"/>
      <c r="EA383" s="75"/>
      <c r="EB383" s="75"/>
      <c r="EC383" s="75"/>
      <c r="ED383" s="84"/>
      <c r="EE383" s="75">
        <f t="shared" ref="EE383:EX383" si="1837">+EE382/DZ382-1</f>
        <v>-9.3896443956415165E-2</v>
      </c>
      <c r="EF383" s="75">
        <f t="shared" si="1837"/>
        <v>-5.4364822764205289E-2</v>
      </c>
      <c r="EG383" s="75">
        <f t="shared" si="1837"/>
        <v>2.5563320209369689E-2</v>
      </c>
      <c r="EH383" s="75">
        <f t="shared" si="1837"/>
        <v>2.6457140485495634E-2</v>
      </c>
      <c r="EI383" s="84">
        <f t="shared" si="1837"/>
        <v>-2.6143514487263153E-2</v>
      </c>
      <c r="EJ383" s="75">
        <f t="shared" si="1837"/>
        <v>1.4996983456641022E-2</v>
      </c>
      <c r="EK383" s="75">
        <f t="shared" si="1837"/>
        <v>8.2802714502960839E-4</v>
      </c>
      <c r="EL383" s="75">
        <f t="shared" si="1837"/>
        <v>-2.6927488369841934E-2</v>
      </c>
      <c r="EM383" s="75">
        <f t="shared" si="1837"/>
        <v>2.2685684809594875E-2</v>
      </c>
      <c r="EN383" s="84">
        <f t="shared" si="1837"/>
        <v>2.3415279535785594E-3</v>
      </c>
      <c r="EO383" s="75">
        <f t="shared" si="1837"/>
        <v>6.2192454893384319E-2</v>
      </c>
      <c r="EP383" s="75">
        <f t="shared" si="1837"/>
        <v>5.1528026584153341E-2</v>
      </c>
      <c r="EQ383" s="75">
        <f t="shared" si="1837"/>
        <v>4.4051911630036633E-2</v>
      </c>
      <c r="ER383" s="75">
        <f t="shared" si="1837"/>
        <v>4.2744442120656645E-2</v>
      </c>
      <c r="ES383" s="84">
        <f t="shared" si="1837"/>
        <v>5.0232065422286309E-2</v>
      </c>
      <c r="ET383" s="75">
        <f t="shared" si="1837"/>
        <v>3.6137189485062615E-2</v>
      </c>
      <c r="EU383" s="75">
        <f t="shared" si="1837"/>
        <v>3.6936105639928662E-2</v>
      </c>
      <c r="EV383" s="75">
        <f t="shared" si="1837"/>
        <v>3.8698758385480314E-2</v>
      </c>
      <c r="EW383" s="75">
        <f t="shared" si="1837"/>
        <v>3.9375752499868577E-2</v>
      </c>
      <c r="EX383" s="84">
        <f t="shared" si="1837"/>
        <v>3.7727803743454524E-2</v>
      </c>
      <c r="EY383" s="75">
        <f t="shared" ref="EY383" si="1838">+EY382/ET382-1</f>
        <v>4.5306667758317598E-2</v>
      </c>
      <c r="EZ383" s="75">
        <f t="shared" ref="EZ383" si="1839">+EZ382/EU382-1</f>
        <v>4.6716297490614123E-2</v>
      </c>
      <c r="FA383" s="75">
        <f t="shared" ref="FA383" si="1840">+FA382/EV382-1</f>
        <v>4.8354937034360113E-2</v>
      </c>
      <c r="FB383" s="75">
        <f t="shared" ref="FB383:FC383" si="1841">+FB382/EW382-1</f>
        <v>5.0112485467863399E-2</v>
      </c>
      <c r="FC383" s="84">
        <f t="shared" si="1841"/>
        <v>4.7500727189380809E-2</v>
      </c>
      <c r="FD383" s="75">
        <f t="shared" ref="FD383" si="1842">+FD382/EY382-1</f>
        <v>4.552645252384524E-2</v>
      </c>
      <c r="FE383" s="75">
        <f t="shared" ref="FE383" si="1843">+FE382/EZ382-1</f>
        <v>4.6654777555036109E-2</v>
      </c>
      <c r="FF383" s="75">
        <f t="shared" ref="FF383" si="1844">+FF382/FA382-1</f>
        <v>4.6847181532055693E-2</v>
      </c>
      <c r="FG383" s="75">
        <f t="shared" ref="FG383:FH383" si="1845">+FG382/FB382-1</f>
        <v>4.4231083726038678E-2</v>
      </c>
      <c r="FH383" s="84">
        <f t="shared" si="1845"/>
        <v>4.5951679722354921E-2</v>
      </c>
      <c r="FI383" s="75">
        <f t="shared" ref="FI383:FM383" si="1846">FI382/FH382-1</f>
        <v>-1.9746264867930075E-2</v>
      </c>
      <c r="FJ383" s="75">
        <f t="shared" si="1846"/>
        <v>-5.4412190390903281E-2</v>
      </c>
      <c r="FK383" s="75">
        <f t="shared" si="1846"/>
        <v>-4.9423641069990087E-2</v>
      </c>
      <c r="FL383" s="75">
        <f t="shared" si="1846"/>
        <v>-4.657266104847968E-2</v>
      </c>
      <c r="FM383" s="75">
        <f t="shared" si="1846"/>
        <v>-4.4685055713816313E-2</v>
      </c>
    </row>
    <row r="384" spans="1:181" x14ac:dyDescent="0.3">
      <c r="A384" s="61" t="s">
        <v>391</v>
      </c>
      <c r="DU384" s="111"/>
      <c r="DV384" s="111"/>
      <c r="DW384" s="111"/>
      <c r="DX384" s="111"/>
      <c r="DY384" s="112"/>
      <c r="DZ384" s="111">
        <f>DZ380/SUM(DZ260,DZ283,DZ305)*1000/3</f>
        <v>88.660600506274349</v>
      </c>
      <c r="EA384" s="111">
        <f>EA380/SUM(EA260,EA283,EA305)*1000/3</f>
        <v>88.095488837643146</v>
      </c>
      <c r="EB384" s="111">
        <f>EB380/SUM(EB260,EB283,EB305)*1000/3</f>
        <v>86.145840808064236</v>
      </c>
      <c r="EC384" s="111">
        <f>EC380/SUM(EC260,EC283,EC305)*1000/3</f>
        <v>85.43804037856323</v>
      </c>
      <c r="ED384" s="112">
        <f>ED380/SUM(ED260,ED283,ED305)*1000/12</f>
        <v>90.171974353439282</v>
      </c>
      <c r="EE384" s="111">
        <f>EE380/SUM(EE260,EE283,EE305)*1000/3</f>
        <v>86.660476632621467</v>
      </c>
      <c r="EF384" s="111">
        <f>EF380/SUM(EF260,EF283,EF305)*1000/3</f>
        <v>89.841269841269835</v>
      </c>
      <c r="EG384" s="111">
        <f>EG380/SUM(EG260,EG283,EG305)*1000/3</f>
        <v>94.911937377690819</v>
      </c>
      <c r="EH384" s="111">
        <f>EH380/SUM(EH260,EH283,EH305)*1000/3</f>
        <v>93.366918555835426</v>
      </c>
      <c r="EI384" s="112">
        <f>EI380/SUM(EI260,EI283,EI305)*1000/12</f>
        <v>95.046179680940384</v>
      </c>
      <c r="EJ384" s="111">
        <f>EJ380/SUM(EJ260,EJ283,EJ305)*1000/3</f>
        <v>93.071354705274032</v>
      </c>
      <c r="EK384" s="111">
        <f>EK380/SUM(EK260,EK283,EK305)*1000/3</f>
        <v>94.524701266274306</v>
      </c>
      <c r="EL384" s="111">
        <f>EL380/SUM(EL260,EL283,EL305)*1000/3</f>
        <v>97.214432604225081</v>
      </c>
      <c r="EM384" s="111">
        <f>EM380/SUM(EM260,EM283,EM305)*1000/3</f>
        <v>101.33805588351044</v>
      </c>
      <c r="EN384" s="112">
        <f t="shared" ref="EN384:FM384" si="1847">EN380/SUM(EN260,EN283,EN305)*1000/12</f>
        <v>103.55175127902402</v>
      </c>
      <c r="EO384" s="111">
        <f>EO380/SUM(EO260,EO283,EO305)*1000/3</f>
        <v>106.14525139664805</v>
      </c>
      <c r="EP384" s="111">
        <f>EP380/SUM(EP260,EP283,EP305)*1000/3</f>
        <v>107.33725234051819</v>
      </c>
      <c r="EQ384" s="111">
        <f>EQ380/SUM(EQ260,EQ283,EQ305)*1000/3</f>
        <v>110.57136247975943</v>
      </c>
      <c r="ER384" s="111">
        <f>ER380/SUM(ER260,ER283,ER305)*1000/3</f>
        <v>114.77411477411476</v>
      </c>
      <c r="ES384" s="112">
        <f t="shared" ref="ES384" si="1848">ES380/SUM(ES260,ES283,ES305)*1000/12</f>
        <v>119.29181929181929</v>
      </c>
      <c r="ET384" s="111">
        <f t="shared" ref="ET384:EW384" si="1849">ET380/SUM(ET260,ET283,ET305)*1000/3</f>
        <v>119.31241870385026</v>
      </c>
      <c r="EU384" s="111">
        <f t="shared" si="1849"/>
        <v>121.12564923310845</v>
      </c>
      <c r="EV384" s="111">
        <f t="shared" si="1849"/>
        <v>125.38354295364643</v>
      </c>
      <c r="EW384" s="111">
        <f t="shared" si="1849"/>
        <v>130.73255169923647</v>
      </c>
      <c r="EX384" s="112">
        <f t="shared" ref="EX384" si="1850">EX380/SUM(EX260,EX283,EX305)*1000/12</f>
        <v>136.11819256846383</v>
      </c>
      <c r="EY384" s="111">
        <f t="shared" ref="EY384:FB384" si="1851">EY380/SUM(EY260,EY283,EY305)*1000/3</f>
        <v>136.25934882403396</v>
      </c>
      <c r="EZ384" s="111">
        <f t="shared" si="1851"/>
        <v>137.75821928567225</v>
      </c>
      <c r="FA384" s="111">
        <f t="shared" si="1851"/>
        <v>142.12836460723005</v>
      </c>
      <c r="FB384" s="111">
        <f t="shared" si="1851"/>
        <v>147.69004109690019</v>
      </c>
      <c r="FC384" s="112">
        <f t="shared" ref="FC384" si="1852">FC380/SUM(FC260,FC283,FC305)*1000/12</f>
        <v>154.89644722355709</v>
      </c>
      <c r="FD384" s="111">
        <f t="shared" ref="FD384:FG384" si="1853">FD380/SUM(FD260,FD283,FD305)*1000/3</f>
        <v>152.36763314655249</v>
      </c>
      <c r="FE384" s="111">
        <f t="shared" si="1853"/>
        <v>153.23183352323656</v>
      </c>
      <c r="FF384" s="111">
        <f t="shared" si="1853"/>
        <v>158.73853811520092</v>
      </c>
      <c r="FG384" s="111">
        <f t="shared" si="1853"/>
        <v>169.85306041710393</v>
      </c>
      <c r="FH384" s="112">
        <f t="shared" ref="FH384" si="1854">FH380/SUM(FH260,FH283,FH305)*1000/12</f>
        <v>174.43203070893904</v>
      </c>
      <c r="FI384" s="112">
        <f t="shared" si="1847"/>
        <v>211.07716118698352</v>
      </c>
      <c r="FJ384" s="112">
        <f t="shared" si="1847"/>
        <v>244.52942624642523</v>
      </c>
      <c r="FK384" s="112">
        <f t="shared" si="1847"/>
        <v>276.11122540355615</v>
      </c>
      <c r="FL384" s="112">
        <f t="shared" si="1847"/>
        <v>305.20939363926539</v>
      </c>
      <c r="FM384" s="112">
        <f t="shared" si="1847"/>
        <v>331.00025096597136</v>
      </c>
    </row>
    <row r="385" spans="1:181" x14ac:dyDescent="0.3">
      <c r="A385" s="70" t="s">
        <v>387</v>
      </c>
      <c r="DZ385" s="75"/>
      <c r="EA385" s="75"/>
      <c r="EB385" s="75"/>
      <c r="EC385" s="75"/>
      <c r="ED385" s="84"/>
      <c r="EE385" s="75">
        <f t="shared" ref="EE385:EX385" si="1855">+EE384/DZ384-1</f>
        <v>-2.2559331453110731E-2</v>
      </c>
      <c r="EF385" s="75">
        <f t="shared" si="1855"/>
        <v>1.981691715048095E-2</v>
      </c>
      <c r="EG385" s="75">
        <f t="shared" si="1855"/>
        <v>0.1017587905277717</v>
      </c>
      <c r="EH385" s="75">
        <f t="shared" si="1855"/>
        <v>9.2802668953320122E-2</v>
      </c>
      <c r="EI385" s="84">
        <f t="shared" si="1855"/>
        <v>5.4054548128181112E-2</v>
      </c>
      <c r="EJ385" s="75">
        <f t="shared" si="1855"/>
        <v>7.397695375978719E-2</v>
      </c>
      <c r="EK385" s="75">
        <f t="shared" si="1855"/>
        <v>5.2130067098106414E-2</v>
      </c>
      <c r="EL385" s="75">
        <f t="shared" si="1855"/>
        <v>2.4259279603278561E-2</v>
      </c>
      <c r="EM385" s="75">
        <f t="shared" si="1855"/>
        <v>8.5374321558101984E-2</v>
      </c>
      <c r="EN385" s="84">
        <f t="shared" si="1855"/>
        <v>8.9488831919766865E-2</v>
      </c>
      <c r="EO385" s="75">
        <f t="shared" si="1855"/>
        <v>0.14047175667287415</v>
      </c>
      <c r="EP385" s="75">
        <f t="shared" si="1855"/>
        <v>0.13554712051563289</v>
      </c>
      <c r="EQ385" s="75">
        <f t="shared" si="1855"/>
        <v>0.1373965728927562</v>
      </c>
      <c r="ER385" s="75">
        <f t="shared" si="1855"/>
        <v>0.13258650734378863</v>
      </c>
      <c r="ES385" s="84">
        <f t="shared" si="1855"/>
        <v>0.15200194896156871</v>
      </c>
      <c r="ET385" s="75">
        <f t="shared" si="1855"/>
        <v>0.12404857620995768</v>
      </c>
      <c r="EU385" s="75">
        <f t="shared" si="1855"/>
        <v>0.12845863474171804</v>
      </c>
      <c r="EV385" s="75">
        <f t="shared" si="1855"/>
        <v>0.13396036859542559</v>
      </c>
      <c r="EW385" s="75">
        <f t="shared" si="1855"/>
        <v>0.13904212597526255</v>
      </c>
      <c r="EX385" s="84">
        <f t="shared" si="1855"/>
        <v>0.14105219768241417</v>
      </c>
      <c r="EY385" s="75">
        <f t="shared" ref="EY385" si="1856">+EY384/ET384-1</f>
        <v>0.14203827484419973</v>
      </c>
      <c r="EZ385" s="75">
        <f t="shared" ref="EZ385" si="1857">+EZ384/EU384-1</f>
        <v>0.13731666379392626</v>
      </c>
      <c r="FA385" s="75">
        <f t="shared" ref="FA385" si="1858">+FA384/EV384-1</f>
        <v>0.13354879962017097</v>
      </c>
      <c r="FB385" s="75">
        <f t="shared" ref="FB385:FC385" si="1859">+FB384/EW384-1</f>
        <v>0.12971130125782415</v>
      </c>
      <c r="FC385" s="84">
        <f t="shared" si="1859"/>
        <v>0.13795550984596194</v>
      </c>
      <c r="FD385" s="75">
        <f t="shared" ref="FD385" si="1860">+FD384/EY384-1</f>
        <v>0.11821782843921302</v>
      </c>
      <c r="FE385" s="75">
        <f t="shared" ref="FE385" si="1861">+FE384/EZ384-1</f>
        <v>0.11232443565110506</v>
      </c>
      <c r="FF385" s="75">
        <f t="shared" ref="FF385" si="1862">+FF384/FA384-1</f>
        <v>0.11686740752891156</v>
      </c>
      <c r="FG385" s="75">
        <f t="shared" ref="FG385:FH385" si="1863">+FG384/FB384-1</f>
        <v>0.15006441298003614</v>
      </c>
      <c r="FH385" s="84">
        <f t="shared" si="1863"/>
        <v>0.1261202812301232</v>
      </c>
      <c r="FI385" s="75">
        <f t="shared" ref="FI385:FM385" si="1864">+FI384/FH384-1</f>
        <v>0.21008257674412634</v>
      </c>
      <c r="FJ385" s="75">
        <f t="shared" si="1864"/>
        <v>0.15848358425574949</v>
      </c>
      <c r="FK385" s="75">
        <f t="shared" si="1864"/>
        <v>0.12915336874550332</v>
      </c>
      <c r="FL385" s="75">
        <f t="shared" si="1864"/>
        <v>0.10538567634539375</v>
      </c>
      <c r="FM385" s="75">
        <f t="shared" si="1864"/>
        <v>8.4502174127670582E-2</v>
      </c>
    </row>
    <row r="386" spans="1:181" x14ac:dyDescent="0.3">
      <c r="A386" s="70" t="s">
        <v>394</v>
      </c>
      <c r="DU386" s="75"/>
      <c r="DV386" s="75"/>
      <c r="DW386" s="75"/>
      <c r="DX386" s="75"/>
      <c r="DY386" s="84"/>
      <c r="DZ386" s="75">
        <f t="shared" ref="DZ386:FM386" si="1865">DZ380/DZ344</f>
        <v>0.66702241195304157</v>
      </c>
      <c r="EA386" s="75">
        <f t="shared" si="1865"/>
        <v>0.66849615806805707</v>
      </c>
      <c r="EB386" s="75">
        <f t="shared" si="1865"/>
        <v>0.65579302587176602</v>
      </c>
      <c r="EC386" s="75">
        <f t="shared" si="1865"/>
        <v>0.65051903114186849</v>
      </c>
      <c r="ED386" s="84">
        <f t="shared" si="1865"/>
        <v>0.66065482796892339</v>
      </c>
      <c r="EE386" s="75">
        <f t="shared" si="1865"/>
        <v>0.6534422403733956</v>
      </c>
      <c r="EF386" s="75">
        <f t="shared" si="1865"/>
        <v>0.67865707434052758</v>
      </c>
      <c r="EG386" s="75">
        <f t="shared" si="1865"/>
        <v>0.71940667490729293</v>
      </c>
      <c r="EH386" s="75">
        <f t="shared" si="1865"/>
        <v>0.70918367346938771</v>
      </c>
      <c r="EI386" s="84">
        <f t="shared" si="1865"/>
        <v>0.68940316686967118</v>
      </c>
      <c r="EJ386" s="75">
        <f t="shared" si="1865"/>
        <v>0.70129870129870131</v>
      </c>
      <c r="EK386" s="75">
        <f t="shared" si="1865"/>
        <v>0.70013210039630114</v>
      </c>
      <c r="EL386" s="75">
        <f t="shared" si="1865"/>
        <v>0.70748299319727892</v>
      </c>
      <c r="EM386" s="75">
        <f t="shared" si="1865"/>
        <v>0.73361823361823364</v>
      </c>
      <c r="EN386" s="84">
        <f t="shared" si="1865"/>
        <v>0.71018893387314441</v>
      </c>
      <c r="EO386" s="75">
        <f t="shared" si="1865"/>
        <v>0.7445573294629898</v>
      </c>
      <c r="EP386" s="75">
        <f t="shared" si="1865"/>
        <v>0.72287390029325516</v>
      </c>
      <c r="EQ386" s="75">
        <f t="shared" si="1865"/>
        <v>0.72314674735249618</v>
      </c>
      <c r="ER386" s="75">
        <f t="shared" si="1865"/>
        <v>0.72642967542503867</v>
      </c>
      <c r="ES386" s="84">
        <f t="shared" si="1865"/>
        <v>0.72937663307204181</v>
      </c>
      <c r="ET386" s="75">
        <f t="shared" si="1865"/>
        <v>0.74316145695136737</v>
      </c>
      <c r="EU386" s="75">
        <f t="shared" si="1865"/>
        <v>0.72894873321955</v>
      </c>
      <c r="EV386" s="75">
        <f t="shared" si="1865"/>
        <v>0.7330469283737242</v>
      </c>
      <c r="EW386" s="75">
        <f t="shared" si="1865"/>
        <v>0.73502741402992955</v>
      </c>
      <c r="EX386" s="84">
        <f t="shared" si="1865"/>
        <v>0.73511114265435074</v>
      </c>
      <c r="EY386" s="75">
        <f t="shared" ref="EY386:FC386" si="1866">EY380/EY344</f>
        <v>0.75043385004176133</v>
      </c>
      <c r="EZ386" s="75">
        <f t="shared" si="1866"/>
        <v>0.73259760155970843</v>
      </c>
      <c r="FA386" s="75">
        <f t="shared" si="1866"/>
        <v>0.73417183192729385</v>
      </c>
      <c r="FB386" s="75">
        <f t="shared" si="1866"/>
        <v>0.73040751284073613</v>
      </c>
      <c r="FC386" s="84">
        <f t="shared" si="1866"/>
        <v>0.73709571721733946</v>
      </c>
      <c r="FD386" s="75">
        <f t="shared" si="1865"/>
        <v>0.73098821494496369</v>
      </c>
      <c r="FE386" s="75">
        <f t="shared" si="1865"/>
        <v>0.70862892989488513</v>
      </c>
      <c r="FF386" s="75">
        <f t="shared" si="1865"/>
        <v>0.71242493129131834</v>
      </c>
      <c r="FG386" s="75">
        <f t="shared" si="1865"/>
        <v>0.72728848459538809</v>
      </c>
      <c r="FH386" s="84">
        <f t="shared" ref="FH386" si="1867">FH380/FH344</f>
        <v>0.71986929703815317</v>
      </c>
      <c r="FI386" s="75">
        <f t="shared" si="1865"/>
        <v>0.7462441877479119</v>
      </c>
      <c r="FJ386" s="75">
        <f t="shared" si="1865"/>
        <v>0.7689815830191048</v>
      </c>
      <c r="FK386" s="75">
        <f t="shared" si="1865"/>
        <v>0.78385855021873174</v>
      </c>
      <c r="FL386" s="75">
        <f t="shared" si="1865"/>
        <v>0.79183914292094137</v>
      </c>
      <c r="FM386" s="75">
        <f t="shared" si="1865"/>
        <v>0.79374873827587733</v>
      </c>
    </row>
    <row r="387" spans="1:181" x14ac:dyDescent="0.3">
      <c r="EO387"/>
      <c r="EP387"/>
      <c r="EQ387"/>
      <c r="ER387"/>
      <c r="ES387" s="90"/>
      <c r="EX387" s="90"/>
      <c r="FC387" s="90"/>
      <c r="FH387" s="90"/>
    </row>
    <row r="388" spans="1:181" x14ac:dyDescent="0.3">
      <c r="A388" s="90" t="s">
        <v>446</v>
      </c>
      <c r="DZ388" s="471">
        <f>Inputs!DZ152</f>
        <v>312</v>
      </c>
      <c r="EA388" s="471">
        <f>Inputs!EA152</f>
        <v>302</v>
      </c>
      <c r="EB388" s="471">
        <f>Inputs!EB152</f>
        <v>306</v>
      </c>
      <c r="EC388" s="471">
        <f>Inputs!EC152</f>
        <v>303</v>
      </c>
      <c r="ED388" s="85">
        <f>SUM(DZ388:EC388)</f>
        <v>1223</v>
      </c>
      <c r="EE388" s="471">
        <f>Inputs!EE152</f>
        <v>297</v>
      </c>
      <c r="EF388" s="471">
        <f>Inputs!EF152</f>
        <v>268</v>
      </c>
      <c r="EG388" s="471">
        <f>Inputs!EG152</f>
        <v>227</v>
      </c>
      <c r="EH388" s="471">
        <f>Inputs!EH152</f>
        <v>228</v>
      </c>
      <c r="EI388" s="85">
        <f>SUM(EE388:EH388)</f>
        <v>1020</v>
      </c>
      <c r="EJ388" s="471">
        <f>Inputs!EJ152</f>
        <v>230</v>
      </c>
      <c r="EK388" s="471">
        <f>Inputs!EK152</f>
        <v>227</v>
      </c>
      <c r="EL388" s="471">
        <f>Inputs!EL152</f>
        <v>215</v>
      </c>
      <c r="EM388" s="471">
        <f>Inputs!EM152</f>
        <v>187</v>
      </c>
      <c r="EN388" s="85">
        <f>SUM(EJ388:EM388)</f>
        <v>859</v>
      </c>
      <c r="EO388" s="471">
        <f>Inputs!EO152</f>
        <v>176</v>
      </c>
      <c r="EP388" s="471">
        <f>Inputs!EP152</f>
        <v>189</v>
      </c>
      <c r="EQ388" s="471">
        <f>Inputs!EQ152</f>
        <v>183</v>
      </c>
      <c r="ER388" s="471">
        <f>Inputs!ER152</f>
        <v>177</v>
      </c>
      <c r="ES388" s="121">
        <f>SUM(EO388:ER388)</f>
        <v>725</v>
      </c>
      <c r="ET388" s="916">
        <f t="shared" ref="ET388:EW388" si="1868">ET344-ET380</f>
        <v>159.86625117539143</v>
      </c>
      <c r="EU388" s="916">
        <f t="shared" si="1868"/>
        <v>165.03883091662999</v>
      </c>
      <c r="EV388" s="916">
        <f t="shared" si="1868"/>
        <v>156.55159633983158</v>
      </c>
      <c r="EW388" s="916">
        <f t="shared" si="1868"/>
        <v>152.21552630698989</v>
      </c>
      <c r="EX388" s="121">
        <f>SUM(ET388:EW388)</f>
        <v>633.67220473884288</v>
      </c>
      <c r="EY388" s="916">
        <f t="shared" ref="EY388:FB388" si="1869">EY344-EY380</f>
        <v>138.51003271165399</v>
      </c>
      <c r="EZ388" s="916">
        <f t="shared" si="1869"/>
        <v>145.19833663916893</v>
      </c>
      <c r="FA388" s="916">
        <f t="shared" si="1869"/>
        <v>138.87214277391439</v>
      </c>
      <c r="FB388" s="916">
        <f t="shared" si="1869"/>
        <v>138.37048715639753</v>
      </c>
      <c r="FC388" s="121">
        <f>SUM(EY388:FB388)</f>
        <v>560.95099928113484</v>
      </c>
      <c r="FD388" s="916">
        <f t="shared" ref="FD388:FM388" si="1870">FD344-FD380</f>
        <v>134.47430697764992</v>
      </c>
      <c r="FE388" s="916">
        <f t="shared" si="1870"/>
        <v>142.4721047852841</v>
      </c>
      <c r="FF388" s="916">
        <f t="shared" si="1870"/>
        <v>135.10002374610679</v>
      </c>
      <c r="FG388" s="916">
        <f t="shared" si="1870"/>
        <v>126.27543674904325</v>
      </c>
      <c r="FH388" s="121">
        <f>SUM(FD388:FG388)</f>
        <v>538.32187225808411</v>
      </c>
      <c r="FI388" s="933">
        <f t="shared" si="1870"/>
        <v>443.50717686263374</v>
      </c>
      <c r="FJ388" s="933">
        <f t="shared" si="1870"/>
        <v>371.15273988147533</v>
      </c>
      <c r="FK388" s="933">
        <f t="shared" si="1870"/>
        <v>324.37329383754809</v>
      </c>
      <c r="FL388" s="933">
        <f t="shared" si="1870"/>
        <v>295.33239072190213</v>
      </c>
      <c r="FM388" s="933">
        <f t="shared" si="1870"/>
        <v>279.32283265224351</v>
      </c>
    </row>
    <row r="389" spans="1:181" x14ac:dyDescent="0.3">
      <c r="A389" s="46" t="s">
        <v>45</v>
      </c>
      <c r="DZ389" s="898">
        <f t="shared" ref="DZ389:FM389" si="1871">DZ388/DZ344</f>
        <v>0.33297758804695837</v>
      </c>
      <c r="EA389" s="898">
        <f t="shared" si="1871"/>
        <v>0.33150384193194293</v>
      </c>
      <c r="EB389" s="898">
        <f t="shared" si="1871"/>
        <v>0.34420697412823398</v>
      </c>
      <c r="EC389" s="898">
        <f t="shared" si="1871"/>
        <v>0.34948096885813151</v>
      </c>
      <c r="ED389" s="911">
        <f t="shared" si="1871"/>
        <v>0.33934517203107656</v>
      </c>
      <c r="EE389" s="898">
        <f t="shared" si="1871"/>
        <v>0.34655775962660446</v>
      </c>
      <c r="EF389" s="898">
        <f t="shared" si="1871"/>
        <v>0.32134292565947242</v>
      </c>
      <c r="EG389" s="898">
        <f t="shared" si="1871"/>
        <v>0.28059332509270707</v>
      </c>
      <c r="EH389" s="898">
        <f t="shared" si="1871"/>
        <v>0.29081632653061223</v>
      </c>
      <c r="EI389" s="911">
        <f t="shared" si="1871"/>
        <v>0.31059683313032888</v>
      </c>
      <c r="EJ389" s="898">
        <f t="shared" si="1871"/>
        <v>0.29870129870129869</v>
      </c>
      <c r="EK389" s="898">
        <f t="shared" si="1871"/>
        <v>0.29986789960369881</v>
      </c>
      <c r="EL389" s="898">
        <f t="shared" si="1871"/>
        <v>0.29251700680272108</v>
      </c>
      <c r="EM389" s="898">
        <f t="shared" si="1871"/>
        <v>0.26638176638176636</v>
      </c>
      <c r="EN389" s="911">
        <f t="shared" si="1871"/>
        <v>0.28981106612685559</v>
      </c>
      <c r="EO389" s="898">
        <f t="shared" si="1871"/>
        <v>0.25544267053701014</v>
      </c>
      <c r="EP389" s="898">
        <f t="shared" si="1871"/>
        <v>0.27712609970674484</v>
      </c>
      <c r="EQ389" s="898">
        <f t="shared" si="1871"/>
        <v>0.27685325264750377</v>
      </c>
      <c r="ER389" s="898">
        <f t="shared" si="1871"/>
        <v>0.27357032457496139</v>
      </c>
      <c r="ES389" s="1296">
        <f t="shared" si="1871"/>
        <v>0.27062336692795819</v>
      </c>
      <c r="ET389" s="898">
        <f t="shared" si="1871"/>
        <v>0.25683854304863268</v>
      </c>
      <c r="EU389" s="898">
        <f t="shared" si="1871"/>
        <v>0.27105126678045</v>
      </c>
      <c r="EV389" s="898">
        <f t="shared" si="1871"/>
        <v>0.26695307162627574</v>
      </c>
      <c r="EW389" s="898">
        <f t="shared" si="1871"/>
        <v>0.26497258597007051</v>
      </c>
      <c r="EX389" s="1296">
        <f t="shared" si="1871"/>
        <v>0.26488885734564921</v>
      </c>
      <c r="EY389" s="898">
        <f t="shared" ref="EY389:FC389" si="1872">EY388/EY344</f>
        <v>0.2495661499582387</v>
      </c>
      <c r="EZ389" s="898">
        <f t="shared" si="1872"/>
        <v>0.26740239844029162</v>
      </c>
      <c r="FA389" s="898">
        <f t="shared" si="1872"/>
        <v>0.26582816807270615</v>
      </c>
      <c r="FB389" s="898">
        <f t="shared" si="1872"/>
        <v>0.26959248715926387</v>
      </c>
      <c r="FC389" s="1296">
        <f t="shared" si="1872"/>
        <v>0.26290428278266048</v>
      </c>
      <c r="FD389" s="898">
        <f t="shared" si="1871"/>
        <v>0.26901178505503631</v>
      </c>
      <c r="FE389" s="898">
        <f t="shared" si="1871"/>
        <v>0.29137107010511487</v>
      </c>
      <c r="FF389" s="898">
        <f t="shared" si="1871"/>
        <v>0.2875750687086816</v>
      </c>
      <c r="FG389" s="898">
        <f t="shared" si="1871"/>
        <v>0.27271151540461191</v>
      </c>
      <c r="FH389" s="1296">
        <f t="shared" ref="FH389" si="1873">FH388/FH344</f>
        <v>0.28013070296184683</v>
      </c>
      <c r="FI389" s="932">
        <f t="shared" si="1871"/>
        <v>0.25375581225208804</v>
      </c>
      <c r="FJ389" s="932">
        <f t="shared" si="1871"/>
        <v>0.23101841698089515</v>
      </c>
      <c r="FK389" s="932">
        <f t="shared" si="1871"/>
        <v>0.2161414497812682</v>
      </c>
      <c r="FL389" s="932">
        <f t="shared" si="1871"/>
        <v>0.20816085707905863</v>
      </c>
      <c r="FM389" s="932">
        <f t="shared" si="1871"/>
        <v>0.20625126172412267</v>
      </c>
    </row>
    <row r="390" spans="1:181" x14ac:dyDescent="0.3">
      <c r="A390" s="46" t="s">
        <v>29</v>
      </c>
      <c r="EE390" s="898">
        <f t="shared" ref="EE390:EX390" si="1874">EE388/DZ388-1</f>
        <v>-4.8076923076923128E-2</v>
      </c>
      <c r="EF390" s="898">
        <f t="shared" si="1874"/>
        <v>-0.11258278145695366</v>
      </c>
      <c r="EG390" s="898">
        <f t="shared" si="1874"/>
        <v>-0.25816993464052285</v>
      </c>
      <c r="EH390" s="898">
        <f t="shared" si="1874"/>
        <v>-0.24752475247524752</v>
      </c>
      <c r="EI390" s="911">
        <f t="shared" si="1874"/>
        <v>-0.16598528209321339</v>
      </c>
      <c r="EJ390" s="898">
        <f t="shared" si="1874"/>
        <v>-0.22558922558922556</v>
      </c>
      <c r="EK390" s="898">
        <f t="shared" si="1874"/>
        <v>-0.15298507462686572</v>
      </c>
      <c r="EL390" s="898">
        <f t="shared" si="1874"/>
        <v>-5.2863436123347984E-2</v>
      </c>
      <c r="EM390" s="898">
        <f t="shared" si="1874"/>
        <v>-0.17982456140350878</v>
      </c>
      <c r="EN390" s="911">
        <f t="shared" si="1874"/>
        <v>-0.15784313725490196</v>
      </c>
      <c r="EO390" s="898">
        <f t="shared" si="1874"/>
        <v>-0.23478260869565215</v>
      </c>
      <c r="EP390" s="898">
        <f t="shared" si="1874"/>
        <v>-0.16740088105726869</v>
      </c>
      <c r="EQ390" s="898">
        <f t="shared" si="1874"/>
        <v>-0.14883720930232558</v>
      </c>
      <c r="ER390" s="898">
        <f t="shared" si="1874"/>
        <v>-5.3475935828876997E-2</v>
      </c>
      <c r="ES390" s="911">
        <f t="shared" si="1874"/>
        <v>-0.15599534342258436</v>
      </c>
      <c r="ET390" s="898">
        <f t="shared" si="1874"/>
        <v>-9.1669027412548676E-2</v>
      </c>
      <c r="EU390" s="898">
        <f t="shared" si="1874"/>
        <v>-0.12677867239878315</v>
      </c>
      <c r="EV390" s="898">
        <f t="shared" si="1874"/>
        <v>-0.14452679595720452</v>
      </c>
      <c r="EW390" s="898">
        <f t="shared" si="1874"/>
        <v>-0.140025275101752</v>
      </c>
      <c r="EX390" s="911">
        <f t="shared" si="1874"/>
        <v>-0.12596937277400977</v>
      </c>
      <c r="EY390" s="898">
        <f t="shared" ref="EY390" si="1875">EY388/ET388-1</f>
        <v>-0.13358803566555921</v>
      </c>
      <c r="EZ390" s="898">
        <f t="shared" ref="EZ390" si="1876">EZ388/EU388-1</f>
        <v>-0.12021712809807505</v>
      </c>
      <c r="FA390" s="898">
        <f t="shared" ref="FA390" si="1877">FA388/EV388-1</f>
        <v>-0.11293052245561153</v>
      </c>
      <c r="FB390" s="898">
        <f t="shared" ref="FB390:FC390" si="1878">FB388/EW388-1</f>
        <v>-9.0956812925046426E-2</v>
      </c>
      <c r="FC390" s="911">
        <f t="shared" si="1878"/>
        <v>-0.11476155165694668</v>
      </c>
      <c r="FD390" s="898">
        <f t="shared" ref="FD390" si="1879">FD388/EY388-1</f>
        <v>-2.9136703349175619E-2</v>
      </c>
      <c r="FE390" s="898">
        <f t="shared" ref="FE390" si="1880">FE388/EZ388-1</f>
        <v>-1.8775916563422923E-2</v>
      </c>
      <c r="FF390" s="898">
        <f t="shared" ref="FF390" si="1881">FF388/FA388-1</f>
        <v>-2.7162532041783649E-2</v>
      </c>
      <c r="FG390" s="898">
        <f t="shared" ref="FG390:FH390" si="1882">FG388/FB388-1</f>
        <v>-8.7410622423287898E-2</v>
      </c>
      <c r="FH390" s="911">
        <f t="shared" si="1882"/>
        <v>-4.0340648384707745E-2</v>
      </c>
      <c r="FI390" s="898">
        <f t="shared" ref="FI390:FM390" si="1883">FI388/FH388-1</f>
        <v>-0.17613011895231701</v>
      </c>
      <c r="FJ390" s="898">
        <f t="shared" si="1883"/>
        <v>-0.16314152454756903</v>
      </c>
      <c r="FK390" s="898">
        <f t="shared" si="1883"/>
        <v>-0.12603826138765906</v>
      </c>
      <c r="FL390" s="898">
        <f t="shared" si="1883"/>
        <v>-8.952926664237093E-2</v>
      </c>
      <c r="FM390" s="898">
        <f t="shared" si="1883"/>
        <v>-5.42086089186673E-2</v>
      </c>
    </row>
    <row r="391" spans="1:181" x14ac:dyDescent="0.3">
      <c r="EO391"/>
      <c r="EP391"/>
      <c r="EQ391"/>
      <c r="ER391"/>
    </row>
    <row r="392" spans="1:181" ht="12.75" customHeight="1" x14ac:dyDescent="0.3">
      <c r="A392" s="105" t="s">
        <v>447</v>
      </c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5"/>
      <c r="BM392" s="105"/>
      <c r="BN392" s="105"/>
      <c r="BO392" s="105"/>
      <c r="BP392" s="105"/>
      <c r="BQ392" s="105"/>
      <c r="BR392" s="106"/>
      <c r="BS392" s="106"/>
      <c r="BT392" s="106"/>
      <c r="BU392" s="106"/>
      <c r="BV392" s="105"/>
      <c r="BW392" s="106"/>
      <c r="BX392" s="106"/>
      <c r="BY392" s="106"/>
      <c r="BZ392" s="106"/>
      <c r="CA392" s="105"/>
      <c r="CB392" s="106"/>
      <c r="CC392" s="106"/>
      <c r="CD392" s="106"/>
      <c r="CE392" s="106"/>
      <c r="CF392" s="105"/>
      <c r="CG392" s="106"/>
      <c r="CH392" s="106"/>
      <c r="CI392" s="106"/>
      <c r="CJ392" s="106"/>
      <c r="CK392" s="105"/>
      <c r="CL392" s="106"/>
      <c r="CM392" s="106"/>
      <c r="CN392" s="106"/>
      <c r="CO392" s="106"/>
      <c r="CP392" s="105"/>
      <c r="CQ392" s="106"/>
      <c r="CR392" s="106"/>
      <c r="CS392" s="106"/>
      <c r="CT392" s="106"/>
      <c r="CU392" s="106"/>
      <c r="CV392" s="106"/>
      <c r="CW392" s="106"/>
      <c r="CX392" s="106"/>
      <c r="CY392" s="106"/>
      <c r="CZ392" s="106"/>
      <c r="DA392" s="106"/>
      <c r="DB392" s="106"/>
      <c r="DC392" s="106"/>
      <c r="DD392" s="106"/>
      <c r="DE392" s="106"/>
      <c r="DF392" s="106"/>
      <c r="DG392" s="106"/>
      <c r="DH392" s="106"/>
      <c r="DI392" s="106"/>
      <c r="DJ392" s="106"/>
      <c r="DK392" s="106"/>
      <c r="DL392" s="106"/>
      <c r="DM392" s="106"/>
      <c r="DN392" s="106"/>
      <c r="DO392" s="106"/>
      <c r="DP392" s="106"/>
      <c r="DQ392" s="106"/>
      <c r="DR392" s="106"/>
      <c r="DS392" s="106"/>
      <c r="DT392" s="106"/>
      <c r="DU392" s="107"/>
      <c r="DV392" s="107"/>
      <c r="DW392" s="107"/>
      <c r="DX392" s="107"/>
      <c r="DY392" s="1205"/>
      <c r="DZ392" s="107"/>
      <c r="EA392" s="107"/>
      <c r="EB392" s="107"/>
      <c r="EC392" s="107"/>
      <c r="ED392" s="1205"/>
      <c r="EE392" s="107"/>
      <c r="EF392" s="107"/>
      <c r="EG392" s="107"/>
      <c r="EH392" s="107"/>
      <c r="EI392" s="1205"/>
      <c r="EJ392" s="107"/>
      <c r="EK392" s="107"/>
      <c r="EL392" s="107"/>
      <c r="EM392" s="107"/>
      <c r="EN392" s="105"/>
      <c r="EO392" s="105"/>
      <c r="EP392" s="105"/>
      <c r="EQ392" s="105"/>
      <c r="ER392" s="105"/>
      <c r="ES392" s="106"/>
      <c r="ET392" s="105"/>
      <c r="EU392" s="105"/>
      <c r="EV392" s="105"/>
      <c r="EW392" s="105"/>
      <c r="EX392" s="106"/>
      <c r="EY392" s="105"/>
      <c r="EZ392" s="105"/>
      <c r="FA392" s="105"/>
      <c r="FB392" s="105"/>
      <c r="FC392" s="106"/>
      <c r="FD392" s="105"/>
      <c r="FE392" s="105"/>
      <c r="FF392" s="105"/>
      <c r="FG392" s="105"/>
      <c r="FH392" s="106"/>
      <c r="FI392" s="106"/>
      <c r="FJ392" s="106"/>
      <c r="FK392" s="106"/>
      <c r="FL392" s="106"/>
      <c r="FM392" s="106"/>
      <c r="FN392" s="106"/>
      <c r="FO392" s="106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</row>
    <row r="393" spans="1:181" x14ac:dyDescent="0.3">
      <c r="A393" s="55" t="s">
        <v>448</v>
      </c>
      <c r="EN393" s="85"/>
      <c r="EO393" s="85"/>
      <c r="EP393" s="85"/>
      <c r="EQ393" s="85"/>
      <c r="ER393" s="85"/>
      <c r="ET393" s="85"/>
      <c r="EU393" s="85"/>
      <c r="EV393" s="85"/>
      <c r="EW393" s="85"/>
      <c r="EY393" s="85"/>
      <c r="EZ393" s="85"/>
      <c r="FA393" s="85"/>
      <c r="FB393" s="85"/>
      <c r="FD393" s="85"/>
      <c r="FE393" s="85"/>
      <c r="FF393" s="85"/>
      <c r="FG393" s="85"/>
    </row>
    <row r="394" spans="1:181" x14ac:dyDescent="0.3">
      <c r="A394" s="63" t="s">
        <v>449</v>
      </c>
      <c r="DU394" s="76">
        <f>+DU397-DU399</f>
        <v>2802</v>
      </c>
      <c r="DV394" s="76">
        <f>+DU397</f>
        <v>2776</v>
      </c>
      <c r="DW394" s="76">
        <f t="shared" ref="DW394:EC394" si="1884">+DV397</f>
        <v>2724</v>
      </c>
      <c r="DX394" s="76">
        <f t="shared" si="1884"/>
        <v>2676</v>
      </c>
      <c r="DY394" s="85">
        <f>+DU394</f>
        <v>2802</v>
      </c>
      <c r="DZ394" s="76">
        <f t="shared" si="1884"/>
        <v>2647</v>
      </c>
      <c r="EA394" s="76">
        <f t="shared" si="1884"/>
        <v>2634</v>
      </c>
      <c r="EB394" s="76">
        <f t="shared" si="1884"/>
        <v>2624</v>
      </c>
      <c r="EC394" s="76">
        <f t="shared" si="1884"/>
        <v>2610</v>
      </c>
      <c r="ED394" s="85">
        <f>+DZ394</f>
        <v>2647</v>
      </c>
      <c r="EE394" s="76">
        <f>+ED397</f>
        <v>2587</v>
      </c>
      <c r="EF394" s="76">
        <f>+EE397</f>
        <v>2578</v>
      </c>
      <c r="EG394" s="76">
        <f>+EF397</f>
        <v>2560</v>
      </c>
      <c r="EH394" s="76">
        <f>+EG397</f>
        <v>2556</v>
      </c>
      <c r="EI394" s="85">
        <f>+EE394</f>
        <v>2587</v>
      </c>
      <c r="EJ394" s="76">
        <f>+EI397</f>
        <v>2570</v>
      </c>
      <c r="EK394" s="76">
        <f>+EJ397</f>
        <v>2592</v>
      </c>
      <c r="EL394" s="76">
        <f>+EK397</f>
        <v>2601</v>
      </c>
      <c r="EM394" s="76">
        <f>+EL397</f>
        <v>2607</v>
      </c>
      <c r="EN394" s="85">
        <f>+EJ394</f>
        <v>2570</v>
      </c>
      <c r="EO394" s="76">
        <f>+EN397</f>
        <v>2618</v>
      </c>
      <c r="EP394" s="76">
        <f>+EO397</f>
        <v>2646</v>
      </c>
      <c r="EQ394" s="76">
        <f>+EP397</f>
        <v>2650</v>
      </c>
      <c r="ER394" s="76">
        <f>+EQ397</f>
        <v>2667</v>
      </c>
      <c r="ES394" s="85">
        <f>+EO394</f>
        <v>2618</v>
      </c>
      <c r="ET394" s="76">
        <f t="shared" ref="ET394:EW394" si="1885">+ES397</f>
        <v>2700</v>
      </c>
      <c r="EU394" s="76">
        <f t="shared" si="1885"/>
        <v>2756.7581060762104</v>
      </c>
      <c r="EV394" s="76">
        <f t="shared" si="1885"/>
        <v>2782.0667107384197</v>
      </c>
      <c r="EW394" s="76">
        <f t="shared" si="1885"/>
        <v>2823.478759089815</v>
      </c>
      <c r="EX394" s="85">
        <f>+ET394</f>
        <v>2700</v>
      </c>
      <c r="EY394" s="76">
        <f t="shared" ref="EY394" si="1886">+EX397</f>
        <v>2878.666479998863</v>
      </c>
      <c r="EZ394" s="76">
        <f t="shared" ref="EZ394" si="1887">+EY397</f>
        <v>2964.906395206885</v>
      </c>
      <c r="FA394" s="76">
        <f t="shared" ref="FA394" si="1888">+EZ397</f>
        <v>3014.0599050936848</v>
      </c>
      <c r="FB394" s="76">
        <f t="shared" ref="FB394" si="1889">+FA397</f>
        <v>3080.3469882497307</v>
      </c>
      <c r="FC394" s="85">
        <f>+EY394</f>
        <v>2878.666479998863</v>
      </c>
      <c r="FD394" s="76">
        <f t="shared" ref="FD394" si="1890">+FC397</f>
        <v>3158.8061640003161</v>
      </c>
      <c r="FE394" s="76">
        <f t="shared" ref="FE394" si="1891">+FD397</f>
        <v>3264.9275968647485</v>
      </c>
      <c r="FF394" s="76">
        <f t="shared" ref="FF394" si="1892">+FE397</f>
        <v>3328.5160281656949</v>
      </c>
      <c r="FG394" s="76">
        <f t="shared" ref="FG394" si="1893">+FF397</f>
        <v>3408.415765255811</v>
      </c>
      <c r="FH394" s="85">
        <f>+FD394</f>
        <v>3158.8061640003161</v>
      </c>
      <c r="FI394" s="76">
        <f t="shared" ref="FI394:FM394" si="1894">+FH397</f>
        <v>3495.2830611681875</v>
      </c>
      <c r="FJ394" s="76">
        <f t="shared" si="1894"/>
        <v>3795.2514265423042</v>
      </c>
      <c r="FK394" s="76">
        <f t="shared" si="1894"/>
        <v>4042.4365558288791</v>
      </c>
      <c r="FL394" s="76">
        <f t="shared" si="1894"/>
        <v>4232.7169938947673</v>
      </c>
      <c r="FM394" s="76">
        <f t="shared" si="1894"/>
        <v>4367.6250248294591</v>
      </c>
      <c r="FN394" s="189">
        <f>+(FJ394/ES394)^0.2-1</f>
        <v>7.7095426932995537E-2</v>
      </c>
    </row>
    <row r="395" spans="1:181" x14ac:dyDescent="0.3">
      <c r="A395" s="63" t="s">
        <v>336</v>
      </c>
      <c r="DU395" s="76">
        <f t="shared" ref="DU395:DX397" si="1895">+DU258+DU113</f>
        <v>186.85180000000014</v>
      </c>
      <c r="DV395" s="76">
        <f t="shared" si="1895"/>
        <v>171.74929999999995</v>
      </c>
      <c r="DW395" s="76">
        <f t="shared" si="1895"/>
        <v>179.62020000000007</v>
      </c>
      <c r="DX395" s="76">
        <f t="shared" si="1895"/>
        <v>162.5788</v>
      </c>
      <c r="DY395" s="85">
        <f>+SUM(DU395:DX395)</f>
        <v>700.80010000000016</v>
      </c>
      <c r="DZ395" s="76">
        <f t="shared" ref="DZ395:EC397" si="1896">+DZ258+DZ113</f>
        <v>159.22460000000001</v>
      </c>
      <c r="EA395" s="76">
        <f t="shared" si="1896"/>
        <v>131.82109999999989</v>
      </c>
      <c r="EB395" s="76">
        <f t="shared" si="1896"/>
        <v>140.72529999999983</v>
      </c>
      <c r="EC395" s="76">
        <f t="shared" si="1896"/>
        <v>115.72000000000003</v>
      </c>
      <c r="ED395" s="85">
        <f>+SUM(DZ395:EC395)</f>
        <v>547.49099999999976</v>
      </c>
      <c r="EE395" s="76">
        <f t="shared" ref="EE395:EH397" si="1897">+EE258+EE113</f>
        <v>108.92880000000014</v>
      </c>
      <c r="EF395" s="76">
        <f t="shared" si="1897"/>
        <v>105.9036000000001</v>
      </c>
      <c r="EG395" s="76">
        <f t="shared" si="1897"/>
        <v>128.64830000000006</v>
      </c>
      <c r="EH395" s="76">
        <f t="shared" si="1897"/>
        <v>129.24800000000005</v>
      </c>
      <c r="EI395" s="85">
        <f>+SUM(EE395:EH395)</f>
        <v>472.72870000000034</v>
      </c>
      <c r="EJ395" s="76">
        <f t="shared" ref="EJ395:EM397" si="1898">+EJ258+EJ113</f>
        <v>126.33580000000006</v>
      </c>
      <c r="EK395" s="76">
        <f t="shared" si="1898"/>
        <v>131.03279999999995</v>
      </c>
      <c r="EL395" s="76">
        <f t="shared" si="1898"/>
        <v>145.5018</v>
      </c>
      <c r="EM395" s="76">
        <f t="shared" si="1898"/>
        <v>132.80120000000011</v>
      </c>
      <c r="EN395" s="85">
        <f>+SUM(EJ395:EM395)</f>
        <v>535.67160000000013</v>
      </c>
      <c r="EO395" s="76">
        <f>+EO258+EO113</f>
        <v>138.20590000000016</v>
      </c>
      <c r="EP395" s="76">
        <f>+EP258+EP113</f>
        <v>128.65809999999999</v>
      </c>
      <c r="EQ395" s="76">
        <f>+EQ258+EQ113</f>
        <v>153.63139999999999</v>
      </c>
      <c r="ER395" s="76">
        <f>+ER258+ER113</f>
        <v>146.23800000000006</v>
      </c>
      <c r="ES395" s="85">
        <f>+SUM(EO395:ER395)</f>
        <v>566.73340000000019</v>
      </c>
      <c r="ET395" s="76">
        <f t="shared" ref="ET395:EW395" si="1899">+ET258+ET113</f>
        <v>171.08960607621012</v>
      </c>
      <c r="EU395" s="76">
        <f t="shared" si="1899"/>
        <v>160.9066965010586</v>
      </c>
      <c r="EV395" s="76">
        <f t="shared" si="1899"/>
        <v>182.34946511615487</v>
      </c>
      <c r="EW395" s="76">
        <f t="shared" si="1899"/>
        <v>174.33869381927425</v>
      </c>
      <c r="EX395" s="85">
        <f>+SUM(ET395:EW395)</f>
        <v>688.68446151269779</v>
      </c>
      <c r="EY395" s="76">
        <f t="shared" ref="EY395:FB395" si="1900">+EY258+EY113</f>
        <v>204.99671215242023</v>
      </c>
      <c r="EZ395" s="76">
        <f t="shared" si="1900"/>
        <v>191.30120700211717</v>
      </c>
      <c r="FA395" s="76">
        <f t="shared" si="1900"/>
        <v>215.26813223230974</v>
      </c>
      <c r="FB395" s="76">
        <f t="shared" si="1900"/>
        <v>204.4423076385485</v>
      </c>
      <c r="FC395" s="85">
        <f>+SUM(EY395:FB395)</f>
        <v>816.00835902539563</v>
      </c>
      <c r="FD395" s="76">
        <f t="shared" ref="FD395:FM395" si="1901">+FD258+FD113</f>
        <v>232.93122277291457</v>
      </c>
      <c r="FE395" s="76">
        <f t="shared" si="1901"/>
        <v>216.15332456559636</v>
      </c>
      <c r="FF395" s="76">
        <f t="shared" si="1901"/>
        <v>240.54754881486147</v>
      </c>
      <c r="FG395" s="76">
        <f t="shared" si="1901"/>
        <v>222.35623843782116</v>
      </c>
      <c r="FH395" s="85">
        <f>+SUM(FD395:FG395)</f>
        <v>911.98833459119351</v>
      </c>
      <c r="FI395" s="76">
        <f t="shared" si="1901"/>
        <v>901.87509893462413</v>
      </c>
      <c r="FJ395" s="76">
        <f t="shared" si="1901"/>
        <v>888.12150367587094</v>
      </c>
      <c r="FK395" s="76">
        <f t="shared" si="1901"/>
        <v>865.6076235576877</v>
      </c>
      <c r="FL395" s="76">
        <f t="shared" si="1901"/>
        <v>834.92183330256751</v>
      </c>
      <c r="FM395" s="76">
        <f t="shared" si="1901"/>
        <v>801.10749905381351</v>
      </c>
      <c r="FN395" s="189">
        <f>+(FJ395/ES395)^0.2-1</f>
        <v>9.4003510202767426E-2</v>
      </c>
    </row>
    <row r="396" spans="1:181" x14ac:dyDescent="0.3">
      <c r="A396" s="63" t="s">
        <v>337</v>
      </c>
      <c r="DU396" s="76">
        <f t="shared" si="1895"/>
        <v>-212.85180000000003</v>
      </c>
      <c r="DV396" s="76">
        <f t="shared" si="1895"/>
        <v>-223.74930000000001</v>
      </c>
      <c r="DW396" s="76">
        <f t="shared" si="1895"/>
        <v>-227.62020000000001</v>
      </c>
      <c r="DX396" s="76">
        <f t="shared" si="1895"/>
        <v>-191.5788</v>
      </c>
      <c r="DY396" s="85">
        <f>+SUM(DU396:DX396)</f>
        <v>-855.80010000000004</v>
      </c>
      <c r="DZ396" s="76">
        <f t="shared" si="1896"/>
        <v>-172.22460000000001</v>
      </c>
      <c r="EA396" s="76">
        <f t="shared" si="1896"/>
        <v>-141.8211</v>
      </c>
      <c r="EB396" s="76">
        <f t="shared" si="1896"/>
        <v>-154.7253</v>
      </c>
      <c r="EC396" s="76">
        <f t="shared" si="1896"/>
        <v>-138.72</v>
      </c>
      <c r="ED396" s="85">
        <f>+SUM(DZ396:EC396)</f>
        <v>-607.49099999999999</v>
      </c>
      <c r="EE396" s="76">
        <f t="shared" si="1897"/>
        <v>-117.9288</v>
      </c>
      <c r="EF396" s="76">
        <f t="shared" si="1897"/>
        <v>-123.9036</v>
      </c>
      <c r="EG396" s="76">
        <f t="shared" si="1897"/>
        <v>-132.64830000000001</v>
      </c>
      <c r="EH396" s="76">
        <f t="shared" si="1897"/>
        <v>-115.248</v>
      </c>
      <c r="EI396" s="85">
        <f>+SUM(EE396:EH396)</f>
        <v>-489.7287</v>
      </c>
      <c r="EJ396" s="76">
        <f t="shared" si="1898"/>
        <v>-104.33579999999999</v>
      </c>
      <c r="EK396" s="76">
        <f t="shared" si="1898"/>
        <v>-122.03280000000001</v>
      </c>
      <c r="EL396" s="76">
        <f t="shared" si="1898"/>
        <v>-139.5018</v>
      </c>
      <c r="EM396" s="76">
        <f t="shared" si="1898"/>
        <v>-121.80119999999999</v>
      </c>
      <c r="EN396" s="85">
        <f>+SUM(EJ396:EM396)</f>
        <v>-487.67160000000001</v>
      </c>
      <c r="EO396" s="76">
        <f t="shared" ref="EO396:ER397" si="1902">+EO259+EO114</f>
        <v>-110.2059</v>
      </c>
      <c r="EP396" s="76">
        <f t="shared" si="1902"/>
        <v>-124.6581</v>
      </c>
      <c r="EQ396" s="76">
        <f t="shared" si="1902"/>
        <v>-136.63139999999999</v>
      </c>
      <c r="ER396" s="76">
        <f t="shared" si="1902"/>
        <v>-113.238</v>
      </c>
      <c r="ES396" s="85">
        <f>+SUM(EO396:ER396)</f>
        <v>-484.73340000000002</v>
      </c>
      <c r="ET396" s="76">
        <f t="shared" ref="ET396:EW396" si="1903">+ET397-SUM(ET394:ET395)</f>
        <v>-114.33149999999978</v>
      </c>
      <c r="EU396" s="76">
        <f t="shared" si="1903"/>
        <v>-135.59809183884954</v>
      </c>
      <c r="EV396" s="76">
        <f t="shared" si="1903"/>
        <v>-140.93741676475975</v>
      </c>
      <c r="EW396" s="76">
        <f t="shared" si="1903"/>
        <v>-119.1509729102263</v>
      </c>
      <c r="EX396" s="85">
        <f>+SUM(ET396:EW396)</f>
        <v>-510.01798151383537</v>
      </c>
      <c r="EY396" s="76">
        <f t="shared" ref="EY396:FB396" si="1904">+EY397-SUM(EY394:EY395)</f>
        <v>-118.75679694439805</v>
      </c>
      <c r="EZ396" s="76">
        <f t="shared" si="1904"/>
        <v>-142.14769711531744</v>
      </c>
      <c r="FA396" s="76">
        <f t="shared" si="1904"/>
        <v>-148.98104907626384</v>
      </c>
      <c r="FB396" s="76">
        <f t="shared" si="1904"/>
        <v>-125.98313188796283</v>
      </c>
      <c r="FC396" s="85">
        <f>+SUM(EY396:FB396)</f>
        <v>-535.86867502394216</v>
      </c>
      <c r="FD396" s="76">
        <f t="shared" ref="FD396:FG396" si="1905">+FD397-SUM(FD394:FD395)</f>
        <v>-126.80978990848234</v>
      </c>
      <c r="FE396" s="76">
        <f t="shared" si="1905"/>
        <v>-152.56489326464998</v>
      </c>
      <c r="FF396" s="76">
        <f t="shared" si="1905"/>
        <v>-160.64781172474522</v>
      </c>
      <c r="FG396" s="76">
        <f t="shared" si="1905"/>
        <v>-135.4889425254446</v>
      </c>
      <c r="FH396" s="85">
        <f>+SUM(FD396:FG396)</f>
        <v>-575.51143742332215</v>
      </c>
      <c r="FI396" s="76">
        <f t="shared" ref="FI396:FM396" si="1906">+FI397-SUM(FI394:FI395)</f>
        <v>-601.90673356050775</v>
      </c>
      <c r="FJ396" s="76">
        <f t="shared" si="1906"/>
        <v>-640.93637438929636</v>
      </c>
      <c r="FK396" s="76">
        <f t="shared" si="1906"/>
        <v>-675.32718549179936</v>
      </c>
      <c r="FL396" s="76">
        <f t="shared" si="1906"/>
        <v>-700.01380236787554</v>
      </c>
      <c r="FM396" s="76">
        <f t="shared" si="1906"/>
        <v>-717.43721237623413</v>
      </c>
      <c r="FN396" s="189">
        <f>+(FJ396/ES396)^0.2-1</f>
        <v>5.7456216874129051E-2</v>
      </c>
    </row>
    <row r="397" spans="1:181" x14ac:dyDescent="0.3">
      <c r="A397" s="64" t="s">
        <v>450</v>
      </c>
      <c r="DT397" s="79"/>
      <c r="DU397" s="803">
        <f t="shared" si="1895"/>
        <v>2776</v>
      </c>
      <c r="DV397" s="803">
        <f t="shared" si="1895"/>
        <v>2724</v>
      </c>
      <c r="DW397" s="803">
        <f t="shared" si="1895"/>
        <v>2676</v>
      </c>
      <c r="DX397" s="803">
        <f t="shared" si="1895"/>
        <v>2647</v>
      </c>
      <c r="DY397" s="803">
        <f>+DX397</f>
        <v>2647</v>
      </c>
      <c r="DZ397" s="803">
        <f t="shared" si="1896"/>
        <v>2634</v>
      </c>
      <c r="EA397" s="803">
        <f t="shared" si="1896"/>
        <v>2624</v>
      </c>
      <c r="EB397" s="803">
        <f t="shared" si="1896"/>
        <v>2610</v>
      </c>
      <c r="EC397" s="803">
        <f t="shared" si="1896"/>
        <v>2587</v>
      </c>
      <c r="ED397" s="803">
        <f>+EC397</f>
        <v>2587</v>
      </c>
      <c r="EE397" s="803">
        <f t="shared" si="1897"/>
        <v>2578</v>
      </c>
      <c r="EF397" s="803">
        <f t="shared" si="1897"/>
        <v>2560</v>
      </c>
      <c r="EG397" s="803">
        <f t="shared" si="1897"/>
        <v>2556</v>
      </c>
      <c r="EH397" s="803">
        <f t="shared" si="1897"/>
        <v>2570</v>
      </c>
      <c r="EI397" s="803">
        <f>+EH397</f>
        <v>2570</v>
      </c>
      <c r="EJ397" s="803">
        <f t="shared" si="1898"/>
        <v>2592</v>
      </c>
      <c r="EK397" s="803">
        <f t="shared" si="1898"/>
        <v>2601</v>
      </c>
      <c r="EL397" s="803">
        <f t="shared" si="1898"/>
        <v>2607</v>
      </c>
      <c r="EM397" s="803">
        <f t="shared" si="1898"/>
        <v>2618</v>
      </c>
      <c r="EN397" s="803">
        <f>+EM397</f>
        <v>2618</v>
      </c>
      <c r="EO397" s="803">
        <f t="shared" si="1902"/>
        <v>2646</v>
      </c>
      <c r="EP397" s="803">
        <f t="shared" si="1902"/>
        <v>2650</v>
      </c>
      <c r="EQ397" s="803">
        <f t="shared" si="1902"/>
        <v>2667</v>
      </c>
      <c r="ER397" s="803">
        <f t="shared" si="1902"/>
        <v>2700</v>
      </c>
      <c r="ES397" s="803">
        <f>+ER397</f>
        <v>2700</v>
      </c>
      <c r="ET397" s="803">
        <f t="shared" ref="ET397:EW397" si="1907">+ET260+ET115</f>
        <v>2756.7581060762104</v>
      </c>
      <c r="EU397" s="803">
        <f t="shared" si="1907"/>
        <v>2782.0667107384197</v>
      </c>
      <c r="EV397" s="803">
        <f t="shared" si="1907"/>
        <v>2823.478759089815</v>
      </c>
      <c r="EW397" s="803">
        <f t="shared" si="1907"/>
        <v>2878.666479998863</v>
      </c>
      <c r="EX397" s="803">
        <f>+EW397</f>
        <v>2878.666479998863</v>
      </c>
      <c r="EY397" s="803">
        <f t="shared" ref="EY397:FB397" si="1908">+EY260+EY115</f>
        <v>2964.906395206885</v>
      </c>
      <c r="EZ397" s="803">
        <f t="shared" si="1908"/>
        <v>3014.0599050936848</v>
      </c>
      <c r="FA397" s="803">
        <f t="shared" si="1908"/>
        <v>3080.3469882497307</v>
      </c>
      <c r="FB397" s="803">
        <f t="shared" si="1908"/>
        <v>3158.8061640003161</v>
      </c>
      <c r="FC397" s="803">
        <f>+FB397</f>
        <v>3158.8061640003161</v>
      </c>
      <c r="FD397" s="803">
        <f t="shared" ref="FD397:FM397" si="1909">+FD260+FD115</f>
        <v>3264.9275968647485</v>
      </c>
      <c r="FE397" s="803">
        <f t="shared" si="1909"/>
        <v>3328.5160281656949</v>
      </c>
      <c r="FF397" s="803">
        <f t="shared" si="1909"/>
        <v>3408.415765255811</v>
      </c>
      <c r="FG397" s="803">
        <f t="shared" si="1909"/>
        <v>3495.2830611681875</v>
      </c>
      <c r="FH397" s="803">
        <f>+FG397</f>
        <v>3495.2830611681875</v>
      </c>
      <c r="FI397" s="803">
        <f t="shared" si="1909"/>
        <v>3795.2514265423042</v>
      </c>
      <c r="FJ397" s="803">
        <f t="shared" si="1909"/>
        <v>4042.4365558288791</v>
      </c>
      <c r="FK397" s="803">
        <f t="shared" si="1909"/>
        <v>4232.7169938947673</v>
      </c>
      <c r="FL397" s="803">
        <f t="shared" si="1909"/>
        <v>4367.6250248294591</v>
      </c>
      <c r="FM397" s="803">
        <f t="shared" si="1909"/>
        <v>4451.2953115070386</v>
      </c>
      <c r="FN397" s="189">
        <f>+(FJ397/ES397)^0.2-1</f>
        <v>8.4066414369230458E-2</v>
      </c>
    </row>
    <row r="398" spans="1:181" x14ac:dyDescent="0.3">
      <c r="A398" s="61" t="s">
        <v>339</v>
      </c>
      <c r="DZ398" s="83">
        <f t="shared" ref="DZ398:ER398" si="1910">+DZ397/DU397-1</f>
        <v>-5.1152737752161337E-2</v>
      </c>
      <c r="EA398" s="83">
        <f t="shared" si="1910"/>
        <v>-3.6710719530102742E-2</v>
      </c>
      <c r="EB398" s="83">
        <f t="shared" si="1910"/>
        <v>-2.4663677130044803E-2</v>
      </c>
      <c r="EC398" s="83">
        <f t="shared" si="1910"/>
        <v>-2.2667170381564072E-2</v>
      </c>
      <c r="ED398" s="91">
        <f t="shared" si="1910"/>
        <v>-2.2667170381564072E-2</v>
      </c>
      <c r="EE398" s="83">
        <f>+EE397/DZ397-1</f>
        <v>-2.1260440394836766E-2</v>
      </c>
      <c r="EF398" s="83">
        <f>+EF397/EA397-1</f>
        <v>-2.4390243902439046E-2</v>
      </c>
      <c r="EG398" s="83">
        <f>+EG397/EB397-1</f>
        <v>-2.0689655172413834E-2</v>
      </c>
      <c r="EH398" s="83">
        <f>+EH397/EC397-1</f>
        <v>-6.571318129107051E-3</v>
      </c>
      <c r="EI398" s="91">
        <f t="shared" si="1910"/>
        <v>-6.571318129107051E-3</v>
      </c>
      <c r="EJ398" s="83">
        <f t="shared" si="1910"/>
        <v>5.430566330488773E-3</v>
      </c>
      <c r="EK398" s="83">
        <f t="shared" si="1910"/>
        <v>1.6015625000000089E-2</v>
      </c>
      <c r="EL398" s="83">
        <f t="shared" si="1910"/>
        <v>1.9953051643192499E-2</v>
      </c>
      <c r="EM398" s="83">
        <f t="shared" si="1910"/>
        <v>1.8677042801556354E-2</v>
      </c>
      <c r="EN398" s="91">
        <f t="shared" si="1910"/>
        <v>1.8677042801556354E-2</v>
      </c>
      <c r="EO398" s="83">
        <f t="shared" si="1910"/>
        <v>2.0833333333333259E-2</v>
      </c>
      <c r="EP398" s="83">
        <f t="shared" si="1910"/>
        <v>1.8838908112264408E-2</v>
      </c>
      <c r="EQ398" s="83">
        <f t="shared" si="1910"/>
        <v>2.3014959723820505E-2</v>
      </c>
      <c r="ER398" s="83">
        <f t="shared" si="1910"/>
        <v>3.1321619556913705E-2</v>
      </c>
      <c r="ES398" s="91">
        <f>+ES397/EN397-1</f>
        <v>3.1321619556913705E-2</v>
      </c>
      <c r="ET398" s="83">
        <f t="shared" ref="ET398:EW398" si="1911">+ET397/EO397-1</f>
        <v>4.1858694662211038E-2</v>
      </c>
      <c r="EU398" s="83">
        <f t="shared" si="1911"/>
        <v>4.9836494618271665E-2</v>
      </c>
      <c r="EV398" s="83">
        <f t="shared" si="1911"/>
        <v>5.8672200633601346E-2</v>
      </c>
      <c r="EW398" s="83">
        <f t="shared" si="1911"/>
        <v>6.6172770369949285E-2</v>
      </c>
      <c r="EX398" s="91">
        <f>+EX397/ES397-1</f>
        <v>6.6172770369949285E-2</v>
      </c>
      <c r="EY398" s="83">
        <f t="shared" ref="EY398" si="1912">+EY397/ET397-1</f>
        <v>7.5504734590928324E-2</v>
      </c>
      <c r="EZ398" s="83">
        <f t="shared" ref="EZ398" si="1913">+EZ397/EU397-1</f>
        <v>8.3388796343308869E-2</v>
      </c>
      <c r="FA398" s="83">
        <f t="shared" ref="FA398" si="1914">+FA397/EV397-1</f>
        <v>9.0975796553440569E-2</v>
      </c>
      <c r="FB398" s="83">
        <f t="shared" ref="FB398" si="1915">+FB397/EW397-1</f>
        <v>9.7315783522641253E-2</v>
      </c>
      <c r="FC398" s="91">
        <f>+FC397/EX397-1</f>
        <v>9.7315783522641253E-2</v>
      </c>
      <c r="FD398" s="83">
        <f t="shared" ref="FD398" si="1916">+FD397/EY397-1</f>
        <v>0.10119078367630174</v>
      </c>
      <c r="FE398" s="83">
        <f t="shared" ref="FE398" si="1917">+FE397/EZ397-1</f>
        <v>0.10432975221912044</v>
      </c>
      <c r="FF398" s="83">
        <f t="shared" ref="FF398" si="1918">+FF397/FA397-1</f>
        <v>0.10650383812522723</v>
      </c>
      <c r="FG398" s="83">
        <f t="shared" ref="FG398" si="1919">+FG397/FB397-1</f>
        <v>0.10652027370421391</v>
      </c>
      <c r="FH398" s="91">
        <f>+FH397/FC397-1</f>
        <v>0.10652027370421391</v>
      </c>
      <c r="FI398" s="83">
        <f t="shared" ref="FI398:FM398" si="1920">+FI397/FH397-1</f>
        <v>8.5820907813360936E-2</v>
      </c>
      <c r="FJ398" s="83">
        <f t="shared" si="1920"/>
        <v>6.5130106416105171E-2</v>
      </c>
      <c r="FK398" s="83">
        <f t="shared" si="1920"/>
        <v>4.7070729605271922E-2</v>
      </c>
      <c r="FL398" s="83">
        <f t="shared" si="1920"/>
        <v>3.1872679210370514E-2</v>
      </c>
      <c r="FM398" s="83">
        <f t="shared" si="1920"/>
        <v>1.9156929956652302E-2</v>
      </c>
    </row>
    <row r="399" spans="1:181" x14ac:dyDescent="0.3">
      <c r="A399" s="65" t="s">
        <v>340</v>
      </c>
      <c r="DU399" s="77">
        <f>+DU262+DU117</f>
        <v>-26</v>
      </c>
      <c r="DV399" s="77">
        <f>+DV397-DU397</f>
        <v>-52</v>
      </c>
      <c r="DW399" s="77">
        <f>+DW397-DV397</f>
        <v>-48</v>
      </c>
      <c r="DX399" s="77">
        <f>+DX397-DW397</f>
        <v>-29</v>
      </c>
      <c r="DY399" s="86">
        <f>+SUM(DU399:DX399)</f>
        <v>-155</v>
      </c>
      <c r="DZ399" s="77">
        <f>+DZ397-DY397</f>
        <v>-13</v>
      </c>
      <c r="EA399" s="77">
        <f>+EA397-DZ397</f>
        <v>-10</v>
      </c>
      <c r="EB399" s="77">
        <f>+EB397-EA397</f>
        <v>-14</v>
      </c>
      <c r="EC399" s="77">
        <f>+EC397-EB397</f>
        <v>-23</v>
      </c>
      <c r="ED399" s="86">
        <f>+SUM(DZ399:EC399)</f>
        <v>-60</v>
      </c>
      <c r="EE399" s="77">
        <f>+EE397-ED397</f>
        <v>-9</v>
      </c>
      <c r="EF399" s="77">
        <f>+EF397-EE397</f>
        <v>-18</v>
      </c>
      <c r="EG399" s="77">
        <f>+EG397-EF397</f>
        <v>-4</v>
      </c>
      <c r="EH399" s="77">
        <f>+EH397-EG397</f>
        <v>14</v>
      </c>
      <c r="EI399" s="86">
        <f>+SUM(EE399:EH399)</f>
        <v>-17</v>
      </c>
      <c r="EJ399" s="77">
        <f>+EJ397-EI397</f>
        <v>22</v>
      </c>
      <c r="EK399" s="77">
        <f>+EK397-EJ397</f>
        <v>9</v>
      </c>
      <c r="EL399" s="77">
        <f>+EL397-EK397</f>
        <v>6</v>
      </c>
      <c r="EM399" s="77">
        <f>+EM397-EL397</f>
        <v>11</v>
      </c>
      <c r="EN399" s="86">
        <f>+SUM(EJ399:EM399)</f>
        <v>48</v>
      </c>
      <c r="EO399" s="77">
        <f>+EO397-EN397</f>
        <v>28</v>
      </c>
      <c r="EP399" s="77">
        <f>+EP397-EO397</f>
        <v>4</v>
      </c>
      <c r="EQ399" s="77">
        <f>+EQ397-EP397</f>
        <v>17</v>
      </c>
      <c r="ER399" s="77">
        <f>+ER397-EQ397</f>
        <v>33</v>
      </c>
      <c r="ES399" s="86">
        <f>+SUM(EO399:ER399)</f>
        <v>82</v>
      </c>
      <c r="ET399" s="77">
        <f t="shared" ref="ET399:EW399" si="1921">+ET397-ES397</f>
        <v>56.758106076210424</v>
      </c>
      <c r="EU399" s="77">
        <f t="shared" si="1921"/>
        <v>25.308604662209291</v>
      </c>
      <c r="EV399" s="77">
        <f t="shared" si="1921"/>
        <v>41.412048351395242</v>
      </c>
      <c r="EW399" s="77">
        <f t="shared" si="1921"/>
        <v>55.187720909048039</v>
      </c>
      <c r="EX399" s="86">
        <f>+SUM(ET399:EW399)</f>
        <v>178.666479998863</v>
      </c>
      <c r="EY399" s="77">
        <f t="shared" ref="EY399" si="1922">+EY397-EX397</f>
        <v>86.239915208022012</v>
      </c>
      <c r="EZ399" s="77">
        <f t="shared" ref="EZ399" si="1923">+EZ397-EY397</f>
        <v>49.153509886799839</v>
      </c>
      <c r="FA399" s="77">
        <f t="shared" ref="FA399" si="1924">+FA397-EZ397</f>
        <v>66.28708315604581</v>
      </c>
      <c r="FB399" s="77">
        <f t="shared" ref="FB399" si="1925">+FB397-FA397</f>
        <v>78.459175750585473</v>
      </c>
      <c r="FC399" s="86">
        <f>+SUM(EY399:FB399)</f>
        <v>280.13968400145313</v>
      </c>
      <c r="FD399" s="77">
        <f t="shared" ref="FD399" si="1926">+FD397-FC397</f>
        <v>106.12143286443234</v>
      </c>
      <c r="FE399" s="77">
        <f t="shared" ref="FE399" si="1927">+FE397-FD397</f>
        <v>63.588431300946468</v>
      </c>
      <c r="FF399" s="77">
        <f t="shared" ref="FF399" si="1928">+FF397-FE397</f>
        <v>79.899737090116105</v>
      </c>
      <c r="FG399" s="77">
        <f t="shared" ref="FG399" si="1929">+FG397-FF397</f>
        <v>86.867295912376449</v>
      </c>
      <c r="FH399" s="86">
        <f>+SUM(FD399:FG399)</f>
        <v>336.47689716787136</v>
      </c>
      <c r="FI399" s="77">
        <f t="shared" ref="FI399:FM399" si="1930">+FI397-FH397</f>
        <v>299.96836537411673</v>
      </c>
      <c r="FJ399" s="77">
        <f t="shared" si="1930"/>
        <v>247.18512928657492</v>
      </c>
      <c r="FK399" s="77">
        <f t="shared" si="1930"/>
        <v>190.28043806588812</v>
      </c>
      <c r="FL399" s="77">
        <f t="shared" si="1930"/>
        <v>134.90803093469185</v>
      </c>
      <c r="FM399" s="77">
        <f t="shared" si="1930"/>
        <v>83.670286677579497</v>
      </c>
    </row>
    <row r="400" spans="1:181" x14ac:dyDescent="0.3">
      <c r="A400" s="65" t="s">
        <v>341</v>
      </c>
      <c r="DV400" s="83">
        <f>+DV395/AVERAGE(DU99:DV99)</f>
        <v>1.1299296052631575E-2</v>
      </c>
      <c r="DW400" s="83">
        <f>+DW395/AVERAGE(DV99:DW99)</f>
        <v>1.1817118421052637E-2</v>
      </c>
      <c r="DX400" s="83">
        <f>+DX395/AVERAGE(DW99:DX99)</f>
        <v>1.0695973684210526E-2</v>
      </c>
      <c r="DY400" s="91">
        <f>+DY395/AVERAGE(DU99:DX99)</f>
        <v>4.6105269736842112E-2</v>
      </c>
      <c r="DZ400" s="83">
        <f>+DZ395/AVERAGE(DY99:DZ99)</f>
        <v>1.0475302631578948E-2</v>
      </c>
      <c r="EA400" s="83">
        <f>+EA395/AVERAGE(DZ99:EA99)</f>
        <v>8.6724407894736774E-3</v>
      </c>
      <c r="EB400" s="83">
        <f>+EB395/AVERAGE(EA99:EB99)</f>
        <v>9.2582434210526209E-3</v>
      </c>
      <c r="EC400" s="83">
        <f>+EC395/AVERAGE(EB99:EC99)</f>
        <v>7.6131578947368442E-3</v>
      </c>
      <c r="ED400" s="91">
        <f>+ED395/AVERAGE(DZ99:EC99)</f>
        <v>3.601914473684209E-2</v>
      </c>
      <c r="EE400" s="83">
        <f>+EE395/AVERAGE(ED99:EE99)</f>
        <v>7.1663684210526409E-3</v>
      </c>
      <c r="EF400" s="83">
        <f>+EF395/AVERAGE(EE99:EF99)</f>
        <v>6.9444983606557443E-3</v>
      </c>
      <c r="EG400" s="83">
        <f>+EG395/AVERAGE(EF99:EG99)</f>
        <v>8.4083856209150373E-3</v>
      </c>
      <c r="EH400" s="83">
        <f>+EH395/AVERAGE(EG99:EH99)</f>
        <v>8.4475816993464081E-3</v>
      </c>
      <c r="EI400" s="91">
        <f>+EI395/AVERAGE(EE99:EH99)</f>
        <v>3.0947869067103131E-2</v>
      </c>
      <c r="EJ400" s="83">
        <f>+EJ395/AVERAGE(EI99:EJ99)</f>
        <v>8.2572418300653639E-3</v>
      </c>
      <c r="EK400" s="83">
        <f>+EK395/AVERAGE(EJ99:EK99)</f>
        <v>8.5642352941176433E-3</v>
      </c>
      <c r="EL400" s="83">
        <f>+EL395/AVERAGE(EK99:EL99)</f>
        <v>9.5099215686274517E-3</v>
      </c>
      <c r="EM400" s="83">
        <f>+EM395/AVERAGE(EL99:EM99)</f>
        <v>8.6515439739413749E-3</v>
      </c>
      <c r="EN400" s="91">
        <f>+EN395/AVERAGE(EJ99:EM99)</f>
        <v>3.4954101141924966E-2</v>
      </c>
      <c r="EO400" s="83">
        <f>+EO395/AVERAGE(EN99:EO99)</f>
        <v>8.9744090909091006E-3</v>
      </c>
      <c r="EP400" s="83">
        <f>+EP395/AVERAGE(EO99:EP99)</f>
        <v>8.354422077922077E-3</v>
      </c>
      <c r="EQ400" s="83">
        <f>+EQ395/AVERAGE(EP99:EQ99)</f>
        <v>9.9760649350649332E-3</v>
      </c>
      <c r="ER400" s="83">
        <f>+ER395/AVERAGE(EQ99:ER99)</f>
        <v>9.4959740259740293E-3</v>
      </c>
      <c r="ES400" s="91">
        <f>+ES395/AVERAGE(EO99:ER99)</f>
        <v>3.6800870129870142E-2</v>
      </c>
      <c r="ET400" s="83">
        <f t="shared" ref="ET400:EW400" si="1931">+ET395/AVERAGE(ES99:ET99)</f>
        <v>1.1099046415596794E-2</v>
      </c>
      <c r="EU400" s="83">
        <f t="shared" si="1931"/>
        <v>1.0423055182578484E-2</v>
      </c>
      <c r="EV400" s="83">
        <f t="shared" si="1931"/>
        <v>1.1796592897602499E-2</v>
      </c>
      <c r="EW400" s="83">
        <f t="shared" si="1931"/>
        <v>1.1255692778055704E-2</v>
      </c>
      <c r="EX400" s="91">
        <f>+EX395/AVERAGE(ET99:EW99)</f>
        <v>4.4536836563688058E-2</v>
      </c>
      <c r="EY400" s="83">
        <f t="shared" ref="EY400" si="1932">+EY395/AVERAGE(EX99:EY99)</f>
        <v>1.3207613281387184E-2</v>
      </c>
      <c r="EZ400" s="83">
        <f t="shared" ref="EZ400" si="1933">+EZ395/AVERAGE(EY99:EZ99)</f>
        <v>1.2307901949836634E-2</v>
      </c>
      <c r="FA400" s="83">
        <f t="shared" ref="FA400" si="1934">+FA395/AVERAGE(EZ99:FA99)</f>
        <v>1.3830806137162067E-2</v>
      </c>
      <c r="FB400" s="83">
        <f t="shared" ref="FB400" si="1935">+FB395/AVERAGE(FA99:FB99)</f>
        <v>1.3107951419405576E-2</v>
      </c>
      <c r="FC400" s="91">
        <f>+FC395/AVERAGE(EY99:FB99)</f>
        <v>5.2409394380172954E-2</v>
      </c>
      <c r="FD400" s="83">
        <f t="shared" ref="FD400" si="1936">+FD395/AVERAGE(FC99:FD99)</f>
        <v>1.4904607987647433E-2</v>
      </c>
      <c r="FE400" s="83">
        <f t="shared" ref="FE400" si="1937">+FE395/AVERAGE(FD99:FE99)</f>
        <v>1.3812542774518842E-2</v>
      </c>
      <c r="FF400" s="83">
        <f t="shared" ref="FF400" si="1938">+FF395/AVERAGE(FE99:FF99)</f>
        <v>1.5349150325648842E-2</v>
      </c>
      <c r="FG400" s="83">
        <f t="shared" ref="FG400" si="1939">+FG395/AVERAGE(FF99:FG99)</f>
        <v>1.4157904310418221E-2</v>
      </c>
      <c r="FH400" s="91">
        <f>+FH395/AVERAGE(FD99:FG99)</f>
        <v>5.8172705996981593E-2</v>
      </c>
      <c r="FI400" s="83">
        <f t="shared" ref="FI400:FM400" si="1940">+FI395/AVERAGE(FH99:FI99)</f>
        <v>5.7150480582257988E-2</v>
      </c>
      <c r="FJ400" s="83">
        <f t="shared" si="1940"/>
        <v>5.5887721701468274E-2</v>
      </c>
      <c r="FK400" s="83">
        <f t="shared" si="1940"/>
        <v>5.4092321704405227E-2</v>
      </c>
      <c r="FL400" s="83">
        <f t="shared" si="1940"/>
        <v>5.1812064448842163E-2</v>
      </c>
      <c r="FM400" s="83">
        <f t="shared" si="1940"/>
        <v>4.9368099144651498E-2</v>
      </c>
    </row>
    <row r="401" spans="1:171" x14ac:dyDescent="0.3">
      <c r="A401" s="65" t="s">
        <v>342</v>
      </c>
      <c r="DV401" s="83">
        <f>+DV396/AVERAGE(DU394:DV394)/-3</f>
        <v>2.6741878809609178E-2</v>
      </c>
      <c r="DW401" s="83">
        <f t="shared" ref="DW401:EC401" si="1941">+DW396/AVERAGE(DV394:DW394)/-3</f>
        <v>2.7590327272727273E-2</v>
      </c>
      <c r="DX401" s="83">
        <f t="shared" si="1941"/>
        <v>2.3651703703703703E-2</v>
      </c>
      <c r="DY401" s="91">
        <f>+DY396/AVERAGE(DU394:DX394)/-12</f>
        <v>2.5985306977591549E-2</v>
      </c>
      <c r="DZ401" s="83">
        <f t="shared" si="1941"/>
        <v>2.1071095613874106E-2</v>
      </c>
      <c r="EA401" s="83">
        <f t="shared" si="1941"/>
        <v>1.7903313766332134E-2</v>
      </c>
      <c r="EB401" s="83">
        <f t="shared" si="1941"/>
        <v>1.961776340813998E-2</v>
      </c>
      <c r="EC401" s="83">
        <f t="shared" si="1941"/>
        <v>1.7669086740542607E-2</v>
      </c>
      <c r="ED401" s="91">
        <f>+ED396/AVERAGE(DZ394:EC394)/-12</f>
        <v>1.9257917261055635E-2</v>
      </c>
      <c r="EE401" s="83">
        <f>+EE396/AVERAGE(ED394:EE394)/-3</f>
        <v>1.5020863584256782E-2</v>
      </c>
      <c r="EF401" s="83">
        <f>+EF396/AVERAGE(EE394:EF394)/-3</f>
        <v>1.5992720232333012E-2</v>
      </c>
      <c r="EG401" s="83">
        <f>+EG396/AVERAGE(EF394:EG394)/-3</f>
        <v>1.7211405216037371E-2</v>
      </c>
      <c r="EH401" s="83">
        <f>+EH396/AVERAGE(EG394:EH394)/-3</f>
        <v>1.5017982799061767E-2</v>
      </c>
      <c r="EI401" s="91">
        <f>+EI396/AVERAGE(EE394:EH394)/-12</f>
        <v>1.5878114969360958E-2</v>
      </c>
      <c r="EJ401" s="83">
        <f>+EJ396/AVERAGE(EI394:EJ394)/-3</f>
        <v>1.3487919332945511E-2</v>
      </c>
      <c r="EK401" s="83">
        <f>+EK396/AVERAGE(EJ394:EK394)/-3</f>
        <v>1.5760402944595121E-2</v>
      </c>
      <c r="EL401" s="83">
        <f>+EL396/AVERAGE(EK394:EL394)/-3</f>
        <v>1.790895436164067E-2</v>
      </c>
      <c r="EM401" s="83">
        <f>+EM396/AVERAGE(EL394:EM394)/-3</f>
        <v>1.5591551459293395E-2</v>
      </c>
      <c r="EN401" s="91">
        <f>+EN396/AVERAGE(EJ394:EM394)/-12</f>
        <v>1.5675718418514947E-2</v>
      </c>
      <c r="EO401" s="83">
        <f>+EO396/AVERAGE(EN394:EO394)/-3</f>
        <v>1.4161642251349268E-2</v>
      </c>
      <c r="EP401" s="83">
        <f>+EP396/AVERAGE(EO394:EP394)/-3</f>
        <v>1.5787499999999999E-2</v>
      </c>
      <c r="EQ401" s="83">
        <f>+EQ396/AVERAGE(EP394:EQ394)/-3</f>
        <v>1.7199320241691841E-2</v>
      </c>
      <c r="ER401" s="83">
        <f>+ER396/AVERAGE(EQ394:ER394)/-3</f>
        <v>1.4198232085762647E-2</v>
      </c>
      <c r="ES401" s="91">
        <f>+ES396/AVERAGE(EO394:ER394)/-12</f>
        <v>1.5270560438521879E-2</v>
      </c>
      <c r="ET401" s="83">
        <f t="shared" ref="ET401:EW401" si="1942">+ET396/AVERAGE(ES394:ET394)/-3</f>
        <v>1.4332643851071804E-2</v>
      </c>
      <c r="EU401" s="83">
        <f t="shared" si="1942"/>
        <v>1.6566379915559305E-2</v>
      </c>
      <c r="EV401" s="83">
        <f t="shared" si="1942"/>
        <v>1.6963576381389948E-2</v>
      </c>
      <c r="EW401" s="83">
        <f t="shared" si="1942"/>
        <v>1.4170607011878342E-2</v>
      </c>
      <c r="EX401" s="91">
        <f>+EX396/AVERAGE(ET394:EW394)/-12</f>
        <v>1.5368046327009747E-2</v>
      </c>
      <c r="EY401" s="83">
        <f t="shared" ref="EY401" si="1943">+EY396/AVERAGE(EX394:EY394)/-3</f>
        <v>1.419177831239486E-2</v>
      </c>
      <c r="EZ401" s="83">
        <f t="shared" ref="EZ401" si="1944">+EZ396/AVERAGE(EY394:EZ394)/-3</f>
        <v>1.6216984614378583E-2</v>
      </c>
      <c r="FA401" s="83">
        <f t="shared" ref="FA401" si="1945">+FA396/AVERAGE(EZ394:FA394)/-3</f>
        <v>1.661168409314883E-2</v>
      </c>
      <c r="FB401" s="83">
        <f t="shared" ref="FB401" si="1946">+FB396/AVERAGE(FA394:FB394)/-3</f>
        <v>1.3781284391055594E-2</v>
      </c>
      <c r="FC401" s="91">
        <f>+FC396/AVERAGE(EY394:FB394)/-12</f>
        <v>1.4962572825364709E-2</v>
      </c>
      <c r="FD401" s="83">
        <f t="shared" ref="FD401" si="1947">+FD396/AVERAGE(FC394:FD394)/-3</f>
        <v>1.4002524719182764E-2</v>
      </c>
      <c r="FE401" s="83">
        <f t="shared" ref="FE401" si="1948">+FE396/AVERAGE(FD394:FE394)/-3</f>
        <v>1.5833459578094813E-2</v>
      </c>
      <c r="FF401" s="83">
        <f t="shared" ref="FF401" si="1949">+FF396/AVERAGE(FE394:FF394)/-3</f>
        <v>1.6243187511796712E-2</v>
      </c>
      <c r="FG401" s="83">
        <f t="shared" ref="FG401" si="1950">+FG396/AVERAGE(FF394:FG394)/-3</f>
        <v>1.3407581441128948E-2</v>
      </c>
      <c r="FH401" s="91">
        <f>+FH396/AVERAGE(FD394:FG394)/-12</f>
        <v>1.4576553519764099E-2</v>
      </c>
      <c r="FI401" s="83">
        <f t="shared" ref="FI401:FM401" si="1951">+FI396/AVERAGE(FH394:FI394)/-12</f>
        <v>1.5076111174961125E-2</v>
      </c>
      <c r="FJ401" s="83">
        <f t="shared" si="1951"/>
        <v>1.4652249330272241E-2</v>
      </c>
      <c r="FK401" s="83">
        <f t="shared" si="1951"/>
        <v>1.4360680237394202E-2</v>
      </c>
      <c r="FL401" s="83">
        <f t="shared" si="1951"/>
        <v>1.4098707215554786E-2</v>
      </c>
      <c r="FM401" s="83">
        <f t="shared" si="1951"/>
        <v>1.3903269017562836E-2</v>
      </c>
    </row>
    <row r="402" spans="1:171" x14ac:dyDescent="0.3">
      <c r="A402" s="65" t="s">
        <v>210</v>
      </c>
      <c r="DU402" s="75">
        <f t="shared" ref="DU402:FM402" si="1952">+DU397/DU99</f>
        <v>0.18263157894736842</v>
      </c>
      <c r="DV402" s="75">
        <f t="shared" si="1952"/>
        <v>0.17921052631578949</v>
      </c>
      <c r="DW402" s="75">
        <f t="shared" si="1952"/>
        <v>0.17605263157894738</v>
      </c>
      <c r="DX402" s="75">
        <f t="shared" si="1952"/>
        <v>0.17414473684210527</v>
      </c>
      <c r="DY402" s="84">
        <f t="shared" si="1952"/>
        <v>0.17414473684210527</v>
      </c>
      <c r="DZ402" s="75">
        <f t="shared" si="1952"/>
        <v>0.17328947368421052</v>
      </c>
      <c r="EA402" s="75">
        <f t="shared" si="1952"/>
        <v>0.17263157894736841</v>
      </c>
      <c r="EB402" s="75">
        <f t="shared" si="1952"/>
        <v>0.17171052631578948</v>
      </c>
      <c r="EC402" s="75">
        <f t="shared" si="1952"/>
        <v>0.17019736842105262</v>
      </c>
      <c r="ED402" s="84">
        <f t="shared" si="1952"/>
        <v>0.17019736842105262</v>
      </c>
      <c r="EE402" s="75">
        <f t="shared" si="1952"/>
        <v>0.16960526315789473</v>
      </c>
      <c r="EF402" s="75">
        <f t="shared" si="1952"/>
        <v>0.16732026143790849</v>
      </c>
      <c r="EG402" s="75">
        <f t="shared" si="1952"/>
        <v>0.16705882352941176</v>
      </c>
      <c r="EH402" s="75">
        <f t="shared" si="1952"/>
        <v>0.16797385620915034</v>
      </c>
      <c r="EI402" s="84">
        <f t="shared" si="1952"/>
        <v>0.16797385620915034</v>
      </c>
      <c r="EJ402" s="75">
        <f t="shared" si="1952"/>
        <v>0.16941176470588235</v>
      </c>
      <c r="EK402" s="75">
        <f t="shared" si="1952"/>
        <v>0.17</v>
      </c>
      <c r="EL402" s="75">
        <f t="shared" si="1952"/>
        <v>0.17039215686274509</v>
      </c>
      <c r="EM402" s="75">
        <f t="shared" si="1952"/>
        <v>0.17</v>
      </c>
      <c r="EN402" s="84">
        <f t="shared" si="1952"/>
        <v>0.17</v>
      </c>
      <c r="EO402" s="75">
        <f t="shared" si="1952"/>
        <v>0.17181818181818181</v>
      </c>
      <c r="EP402" s="75">
        <f t="shared" si="1952"/>
        <v>0.17207792207792208</v>
      </c>
      <c r="EQ402" s="75">
        <f t="shared" si="1952"/>
        <v>0.17318181818181819</v>
      </c>
      <c r="ER402" s="75">
        <f t="shared" si="1952"/>
        <v>0.17532467532467533</v>
      </c>
      <c r="ES402" s="84">
        <f t="shared" si="1952"/>
        <v>0.17532467532467533</v>
      </c>
      <c r="ET402" s="75">
        <f t="shared" si="1952"/>
        <v>0.17866680203476379</v>
      </c>
      <c r="EU402" s="75">
        <f t="shared" si="1952"/>
        <v>0.18012097473270983</v>
      </c>
      <c r="EV402" s="75">
        <f t="shared" si="1952"/>
        <v>0.18251234539273672</v>
      </c>
      <c r="EW402" s="75">
        <f t="shared" si="1952"/>
        <v>0.18562700576476762</v>
      </c>
      <c r="EX402" s="84">
        <f t="shared" si="1952"/>
        <v>0.18562700576476762</v>
      </c>
      <c r="EY402" s="75">
        <f t="shared" ref="EY402:FC402" si="1953">+EY397/EY99</f>
        <v>0.19086064822979151</v>
      </c>
      <c r="EZ402" s="75">
        <f t="shared" si="1953"/>
        <v>0.19381136438422319</v>
      </c>
      <c r="FA402" s="75">
        <f t="shared" si="1953"/>
        <v>0.19774617043456605</v>
      </c>
      <c r="FB402" s="75">
        <f t="shared" si="1953"/>
        <v>0.20227551467103064</v>
      </c>
      <c r="FC402" s="84">
        <f t="shared" si="1953"/>
        <v>0.20227551467103064</v>
      </c>
      <c r="FD402" s="75">
        <f t="shared" si="1952"/>
        <v>0.20875609597892528</v>
      </c>
      <c r="FE402" s="75">
        <f t="shared" si="1952"/>
        <v>0.21257325467930061</v>
      </c>
      <c r="FF402" s="75">
        <f t="shared" si="1952"/>
        <v>0.21730100062607394</v>
      </c>
      <c r="FG402" s="75">
        <f t="shared" si="1952"/>
        <v>0.22226609519111179</v>
      </c>
      <c r="FH402" s="84">
        <f t="shared" ref="FH402" si="1954">+FH397/FH99</f>
        <v>0.22226609519111179</v>
      </c>
      <c r="FI402" s="75">
        <f t="shared" si="1952"/>
        <v>0.23966352855664735</v>
      </c>
      <c r="FJ402" s="75">
        <f t="shared" si="1952"/>
        <v>0.25349835121708153</v>
      </c>
      <c r="FK402" s="75">
        <f t="shared" si="1952"/>
        <v>0.26358560433227712</v>
      </c>
      <c r="FL402" s="75">
        <f t="shared" si="1952"/>
        <v>0.27009611096686337</v>
      </c>
      <c r="FM402" s="75">
        <f t="shared" si="1952"/>
        <v>0.27335682546794421</v>
      </c>
    </row>
    <row r="403" spans="1:171" x14ac:dyDescent="0.3">
      <c r="A403" s="66"/>
      <c r="EO403"/>
      <c r="EP403"/>
      <c r="EQ403"/>
      <c r="ER403"/>
      <c r="ES403" s="90"/>
    </row>
    <row r="404" spans="1:171" s="108" customFormat="1" x14ac:dyDescent="0.3">
      <c r="A404" s="78" t="s">
        <v>451</v>
      </c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  <c r="Z404" s="119"/>
      <c r="AA404" s="119"/>
      <c r="AB404" s="119"/>
      <c r="AC404" s="119"/>
      <c r="AD404" s="119"/>
      <c r="AE404" s="119"/>
      <c r="AF404" s="119"/>
      <c r="AG404" s="119"/>
      <c r="AH404" s="119"/>
      <c r="AI404" s="119"/>
      <c r="AJ404" s="119"/>
      <c r="AK404" s="119"/>
      <c r="AL404" s="119"/>
      <c r="AM404" s="119"/>
      <c r="AN404" s="119"/>
      <c r="AO404" s="119"/>
      <c r="AP404" s="119"/>
      <c r="AQ404" s="119"/>
      <c r="AR404" s="119"/>
      <c r="AS404" s="119"/>
      <c r="AT404" s="119"/>
      <c r="AU404" s="119"/>
      <c r="AV404" s="119"/>
      <c r="AW404" s="119"/>
      <c r="AX404" s="119"/>
      <c r="AY404" s="119"/>
      <c r="AZ404" s="119"/>
      <c r="BA404" s="119"/>
      <c r="BB404" s="119"/>
      <c r="BC404" s="119"/>
      <c r="BD404" s="119"/>
      <c r="BE404" s="119"/>
      <c r="BF404" s="119"/>
      <c r="BG404" s="119"/>
      <c r="BH404" s="119"/>
      <c r="BI404" s="119"/>
      <c r="BJ404" s="119"/>
      <c r="BK404" s="119"/>
      <c r="BL404" s="119"/>
      <c r="BM404" s="119"/>
      <c r="BN404" s="119"/>
      <c r="BO404" s="119"/>
      <c r="BP404" s="119"/>
      <c r="BQ404" s="119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19"/>
      <c r="CB404" s="119"/>
      <c r="CC404" s="119"/>
      <c r="CD404" s="119"/>
      <c r="CE404" s="119"/>
      <c r="CF404" s="119"/>
      <c r="CG404" s="119"/>
      <c r="CH404" s="119"/>
      <c r="CI404" s="119"/>
      <c r="CJ404" s="119"/>
      <c r="CK404" s="119"/>
      <c r="CL404" s="119"/>
      <c r="CM404" s="119"/>
      <c r="CN404" s="119"/>
      <c r="CO404" s="119"/>
      <c r="CP404" s="119"/>
      <c r="CQ404" s="119"/>
      <c r="CR404" s="119"/>
      <c r="CS404" s="119"/>
      <c r="CT404" s="119"/>
      <c r="CU404" s="119"/>
      <c r="CV404" s="119"/>
      <c r="CW404" s="119"/>
      <c r="CX404" s="119"/>
      <c r="CY404" s="119"/>
      <c r="CZ404" s="119"/>
      <c r="DA404" s="119"/>
      <c r="DB404" s="119"/>
      <c r="DC404" s="119"/>
      <c r="DD404" s="119"/>
      <c r="DE404" s="119"/>
      <c r="DF404" s="119"/>
      <c r="DG404" s="119"/>
      <c r="DH404" s="119"/>
      <c r="DI404" s="119"/>
      <c r="DJ404" s="119"/>
      <c r="DK404" s="119"/>
      <c r="DL404" s="119"/>
      <c r="DM404" s="119"/>
      <c r="DN404" s="119"/>
      <c r="DO404" s="119"/>
      <c r="DP404" s="119"/>
      <c r="DQ404" s="119"/>
      <c r="DR404" s="119"/>
      <c r="DS404" s="119"/>
      <c r="DT404" s="119"/>
      <c r="DU404" s="119"/>
      <c r="DV404" s="119"/>
      <c r="DW404" s="119"/>
      <c r="DX404" s="119"/>
      <c r="DY404" s="1202"/>
      <c r="DZ404" s="119"/>
      <c r="EA404" s="119"/>
      <c r="EB404" s="119"/>
      <c r="EC404" s="119"/>
      <c r="ED404" s="1202"/>
      <c r="EE404" s="119"/>
      <c r="EF404" s="119"/>
      <c r="EG404" s="119"/>
      <c r="EH404" s="119"/>
      <c r="EI404" s="1202"/>
      <c r="EJ404" s="119"/>
      <c r="EK404" s="119"/>
      <c r="EL404" s="119"/>
      <c r="EM404" s="119"/>
      <c r="EN404" s="1202"/>
      <c r="EO404" s="119"/>
      <c r="EP404" s="119"/>
      <c r="EQ404" s="119"/>
      <c r="ER404" s="119"/>
      <c r="ES404" s="1202"/>
      <c r="ET404" s="119"/>
      <c r="EU404" s="119"/>
      <c r="EV404" s="119"/>
      <c r="EW404" s="119"/>
      <c r="EX404" s="119"/>
      <c r="EY404" s="119"/>
      <c r="EZ404" s="119"/>
      <c r="FA404" s="119"/>
      <c r="FB404" s="119"/>
      <c r="FC404" s="119"/>
      <c r="FD404" s="119"/>
      <c r="FE404" s="119"/>
      <c r="FF404" s="119"/>
      <c r="FG404" s="119"/>
      <c r="FH404" s="119"/>
      <c r="FI404" s="119"/>
      <c r="FJ404" s="119"/>
      <c r="FK404" s="119"/>
      <c r="FL404" s="119"/>
      <c r="FM404" s="119"/>
    </row>
    <row r="405" spans="1:171" s="108" customFormat="1" x14ac:dyDescent="0.3">
      <c r="A405" s="63" t="s">
        <v>344</v>
      </c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  <c r="AA405" s="119"/>
      <c r="AB405" s="119"/>
      <c r="AC405" s="119"/>
      <c r="AD405" s="119"/>
      <c r="AE405" s="119"/>
      <c r="AF405" s="119"/>
      <c r="AG405" s="119"/>
      <c r="AH405" s="119"/>
      <c r="AI405" s="119"/>
      <c r="AJ405" s="119"/>
      <c r="AK405" s="119"/>
      <c r="AL405" s="119"/>
      <c r="AM405" s="119"/>
      <c r="AN405" s="119"/>
      <c r="AO405" s="119"/>
      <c r="AP405" s="119"/>
      <c r="AQ405" s="119"/>
      <c r="AR405" s="119"/>
      <c r="AS405" s="119"/>
      <c r="AT405" s="119"/>
      <c r="AU405" s="119"/>
      <c r="AV405" s="119"/>
      <c r="AW405" s="119"/>
      <c r="AX405" s="119"/>
      <c r="AY405" s="119"/>
      <c r="AZ405" s="119"/>
      <c r="BA405" s="119"/>
      <c r="BB405" s="119"/>
      <c r="BC405" s="119"/>
      <c r="BD405" s="119"/>
      <c r="BE405" s="119"/>
      <c r="BF405" s="119"/>
      <c r="BG405" s="119"/>
      <c r="BH405" s="119"/>
      <c r="BI405" s="119"/>
      <c r="BJ405" s="119"/>
      <c r="BK405" s="119"/>
      <c r="BL405" s="119"/>
      <c r="BM405" s="119"/>
      <c r="BN405" s="119"/>
      <c r="BO405" s="119"/>
      <c r="BP405" s="119"/>
      <c r="BQ405" s="119"/>
      <c r="BR405" s="119"/>
      <c r="BS405" s="119"/>
      <c r="BT405" s="119"/>
      <c r="BU405" s="119"/>
      <c r="BV405" s="119"/>
      <c r="BW405" s="119"/>
      <c r="BX405" s="119"/>
      <c r="BY405" s="119"/>
      <c r="BZ405" s="119"/>
      <c r="CA405" s="119"/>
      <c r="CB405" s="119"/>
      <c r="CC405" s="119"/>
      <c r="CD405" s="119"/>
      <c r="CE405" s="119"/>
      <c r="CF405" s="119"/>
      <c r="CG405" s="119"/>
      <c r="CH405" s="119"/>
      <c r="CI405" s="119"/>
      <c r="CJ405" s="119"/>
      <c r="CK405" s="119"/>
      <c r="CL405" s="119"/>
      <c r="CM405" s="119"/>
      <c r="CN405" s="119"/>
      <c r="CO405" s="119"/>
      <c r="CP405" s="119"/>
      <c r="CQ405" s="119"/>
      <c r="CR405" s="119"/>
      <c r="CS405" s="119"/>
      <c r="CT405" s="119"/>
      <c r="CU405" s="119"/>
      <c r="CV405" s="119"/>
      <c r="CW405" s="119"/>
      <c r="CX405" s="119"/>
      <c r="CY405" s="119"/>
      <c r="CZ405" s="119"/>
      <c r="DA405" s="119"/>
      <c r="DB405" s="119"/>
      <c r="DC405" s="119"/>
      <c r="DD405" s="119"/>
      <c r="DE405" s="119"/>
      <c r="DF405" s="119"/>
      <c r="DG405" s="119"/>
      <c r="DH405" s="119"/>
      <c r="DI405" s="119"/>
      <c r="DJ405" s="119"/>
      <c r="DK405" s="119"/>
      <c r="DL405" s="119"/>
      <c r="DM405" s="119"/>
      <c r="DN405" s="119"/>
      <c r="DO405" s="119"/>
      <c r="DP405" s="119"/>
      <c r="DQ405" s="119"/>
      <c r="DR405" s="119"/>
      <c r="DS405" s="119"/>
      <c r="DT405" s="119"/>
      <c r="DU405" s="56"/>
      <c r="DV405" s="56"/>
      <c r="DW405" s="56"/>
      <c r="DX405" s="56"/>
      <c r="DY405" s="60"/>
      <c r="DZ405" s="56">
        <f t="shared" ref="DZ405:EC407" si="1955">DZ123+DZ268</f>
        <v>612</v>
      </c>
      <c r="EA405" s="56">
        <f t="shared" si="1955"/>
        <v>576</v>
      </c>
      <c r="EB405" s="56">
        <f t="shared" si="1955"/>
        <v>543</v>
      </c>
      <c r="EC405" s="56">
        <f t="shared" si="1955"/>
        <v>501</v>
      </c>
      <c r="ED405" s="60">
        <f>+DZ405</f>
        <v>612</v>
      </c>
      <c r="EE405" s="56">
        <f t="shared" ref="EE405:EH407" si="1956">EE123+EE268</f>
        <v>469</v>
      </c>
      <c r="EF405" s="56">
        <f t="shared" si="1956"/>
        <v>437</v>
      </c>
      <c r="EG405" s="56">
        <f t="shared" si="1956"/>
        <v>409</v>
      </c>
      <c r="EH405" s="56">
        <f t="shared" si="1956"/>
        <v>386</v>
      </c>
      <c r="EI405" s="60">
        <f>+EE405</f>
        <v>469</v>
      </c>
      <c r="EJ405" s="56">
        <f t="shared" ref="EJ405:EM407" si="1957">EJ123+EJ268</f>
        <v>368</v>
      </c>
      <c r="EK405" s="56">
        <f t="shared" si="1957"/>
        <v>351</v>
      </c>
      <c r="EL405" s="56">
        <f t="shared" si="1957"/>
        <v>331</v>
      </c>
      <c r="EM405" s="56">
        <f t="shared" si="1957"/>
        <v>310</v>
      </c>
      <c r="EN405" s="60">
        <f>+EJ405</f>
        <v>368</v>
      </c>
      <c r="EO405" s="56">
        <f t="shared" ref="EO405:ER407" si="1958">EO123+EO268</f>
        <v>294</v>
      </c>
      <c r="EP405" s="56">
        <f t="shared" si="1958"/>
        <v>276</v>
      </c>
      <c r="EQ405" s="56">
        <f t="shared" si="1958"/>
        <v>255</v>
      </c>
      <c r="ER405" s="56">
        <f t="shared" si="1958"/>
        <v>236</v>
      </c>
      <c r="ES405" s="60">
        <f>+EO405</f>
        <v>294</v>
      </c>
      <c r="ET405" s="56">
        <f t="shared" ref="ET405:EW407" si="1959">ET123+ET268</f>
        <v>222</v>
      </c>
      <c r="EU405" s="56">
        <f t="shared" si="1959"/>
        <v>207.55297775651758</v>
      </c>
      <c r="EV405" s="56">
        <f t="shared" si="1959"/>
        <v>194.27066184361198</v>
      </c>
      <c r="EW405" s="56">
        <f t="shared" si="1959"/>
        <v>180.5315487578865</v>
      </c>
      <c r="EX405" s="60">
        <f>+ET405</f>
        <v>222</v>
      </c>
      <c r="EY405" s="56">
        <f t="shared" ref="EY405:FB405" si="1960">EY123+EY268</f>
        <v>169.42447464531324</v>
      </c>
      <c r="EZ405" s="56">
        <f t="shared" si="1960"/>
        <v>158.7489948840319</v>
      </c>
      <c r="FA405" s="56">
        <f t="shared" si="1960"/>
        <v>148.89466038536784</v>
      </c>
      <c r="FB405" s="56">
        <f t="shared" si="1960"/>
        <v>138.60355169495304</v>
      </c>
      <c r="FC405" s="60">
        <f>+EY405</f>
        <v>169.42447464531324</v>
      </c>
      <c r="FD405" s="56">
        <f t="shared" ref="FD405:FM407" si="1961">FD123+FD268</f>
        <v>130.30779808417682</v>
      </c>
      <c r="FE405" s="56">
        <f t="shared" si="1961"/>
        <v>122.29229762779646</v>
      </c>
      <c r="FF405" s="56">
        <f t="shared" si="1961"/>
        <v>114.87058972978477</v>
      </c>
      <c r="FG405" s="56">
        <f t="shared" si="1961"/>
        <v>107.06378994989691</v>
      </c>
      <c r="FH405" s="60">
        <f>+FD405</f>
        <v>130.30779808417682</v>
      </c>
      <c r="FI405" s="56">
        <f t="shared" si="1961"/>
        <v>100.78421562643494</v>
      </c>
      <c r="FJ405" s="56">
        <f t="shared" si="1961"/>
        <v>75.966304997712683</v>
      </c>
      <c r="FK405" s="56">
        <f t="shared" si="1961"/>
        <v>57.581133178962823</v>
      </c>
      <c r="FL405" s="56">
        <f t="shared" si="1961"/>
        <v>43.786694204544567</v>
      </c>
      <c r="FM405" s="56">
        <f t="shared" si="1961"/>
        <v>33.358614920977743</v>
      </c>
      <c r="FN405" s="1068">
        <f>+(FJ405/ES405)^0.2-1</f>
        <v>-0.23712262593986899</v>
      </c>
    </row>
    <row r="406" spans="1:171" s="108" customFormat="1" x14ac:dyDescent="0.3">
      <c r="A406" s="63" t="s">
        <v>336</v>
      </c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  <c r="AA406" s="119"/>
      <c r="AB406" s="119"/>
      <c r="AC406" s="119"/>
      <c r="AD406" s="119"/>
      <c r="AE406" s="119"/>
      <c r="AF406" s="119"/>
      <c r="AG406" s="119"/>
      <c r="AH406" s="119"/>
      <c r="AI406" s="119"/>
      <c r="AJ406" s="119"/>
      <c r="AK406" s="119"/>
      <c r="AL406" s="119"/>
      <c r="AM406" s="119"/>
      <c r="AN406" s="119"/>
      <c r="AO406" s="119"/>
      <c r="AP406" s="119"/>
      <c r="AQ406" s="119"/>
      <c r="AR406" s="119"/>
      <c r="AS406" s="119"/>
      <c r="AT406" s="119"/>
      <c r="AU406" s="119"/>
      <c r="AV406" s="119"/>
      <c r="AW406" s="119"/>
      <c r="AX406" s="119"/>
      <c r="AY406" s="119"/>
      <c r="AZ406" s="119"/>
      <c r="BA406" s="119"/>
      <c r="BB406" s="119"/>
      <c r="BC406" s="119"/>
      <c r="BD406" s="119"/>
      <c r="BE406" s="119"/>
      <c r="BF406" s="119"/>
      <c r="BG406" s="119"/>
      <c r="BH406" s="119"/>
      <c r="BI406" s="119"/>
      <c r="BJ406" s="119"/>
      <c r="BK406" s="119"/>
      <c r="BL406" s="119"/>
      <c r="BM406" s="119"/>
      <c r="BN406" s="119"/>
      <c r="BO406" s="119"/>
      <c r="BP406" s="119"/>
      <c r="BQ406" s="119"/>
      <c r="BR406" s="119"/>
      <c r="BS406" s="119"/>
      <c r="BT406" s="119"/>
      <c r="BU406" s="119"/>
      <c r="BV406" s="119"/>
      <c r="BW406" s="119"/>
      <c r="BX406" s="119"/>
      <c r="BY406" s="119"/>
      <c r="BZ406" s="119"/>
      <c r="CA406" s="119"/>
      <c r="CB406" s="119"/>
      <c r="CC406" s="119"/>
      <c r="CD406" s="119"/>
      <c r="CE406" s="119"/>
      <c r="CF406" s="119"/>
      <c r="CG406" s="119"/>
      <c r="CH406" s="119"/>
      <c r="CI406" s="119"/>
      <c r="CJ406" s="119"/>
      <c r="CK406" s="119"/>
      <c r="CL406" s="119"/>
      <c r="CM406" s="119"/>
      <c r="CN406" s="119"/>
      <c r="CO406" s="119"/>
      <c r="CP406" s="119"/>
      <c r="CQ406" s="119"/>
      <c r="CR406" s="119"/>
      <c r="CS406" s="119"/>
      <c r="CT406" s="119"/>
      <c r="CU406" s="119"/>
      <c r="CV406" s="119"/>
      <c r="CW406" s="119"/>
      <c r="CX406" s="119"/>
      <c r="CY406" s="119"/>
      <c r="CZ406" s="119"/>
      <c r="DA406" s="119"/>
      <c r="DB406" s="119"/>
      <c r="DC406" s="119"/>
      <c r="DD406" s="119"/>
      <c r="DE406" s="119"/>
      <c r="DF406" s="119"/>
      <c r="DG406" s="119"/>
      <c r="DH406" s="119"/>
      <c r="DI406" s="119"/>
      <c r="DJ406" s="119"/>
      <c r="DK406" s="119"/>
      <c r="DL406" s="119"/>
      <c r="DM406" s="119"/>
      <c r="DN406" s="119"/>
      <c r="DO406" s="119"/>
      <c r="DP406" s="119"/>
      <c r="DQ406" s="119"/>
      <c r="DR406" s="119"/>
      <c r="DS406" s="119"/>
      <c r="DT406" s="119"/>
      <c r="DU406" s="56"/>
      <c r="DV406" s="56"/>
      <c r="DW406" s="56"/>
      <c r="DX406" s="56"/>
      <c r="DY406" s="60"/>
      <c r="DZ406" s="56">
        <f t="shared" si="1955"/>
        <v>19.080000000000041</v>
      </c>
      <c r="EA406" s="56">
        <f t="shared" si="1955"/>
        <v>18.839999999999989</v>
      </c>
      <c r="EB406" s="56">
        <f t="shared" si="1955"/>
        <v>6.8700000000000045</v>
      </c>
      <c r="EC406" s="56">
        <f t="shared" si="1955"/>
        <v>13.089999999999975</v>
      </c>
      <c r="ED406" s="60">
        <f>+SUM(DZ406:EC406)</f>
        <v>57.88000000000001</v>
      </c>
      <c r="EE406" s="56">
        <f t="shared" si="1956"/>
        <v>10.210000000000008</v>
      </c>
      <c r="EF406" s="56">
        <f t="shared" si="1956"/>
        <v>11.329999999999998</v>
      </c>
      <c r="EG406" s="56">
        <f t="shared" si="1956"/>
        <v>0</v>
      </c>
      <c r="EH406" s="56">
        <f t="shared" si="1956"/>
        <v>0</v>
      </c>
      <c r="EI406" s="60">
        <f>+SUM(EE406:EH406)</f>
        <v>21.540000000000006</v>
      </c>
      <c r="EJ406" s="56">
        <f t="shared" si="1957"/>
        <v>0</v>
      </c>
      <c r="EK406" s="56">
        <f t="shared" si="1957"/>
        <v>0</v>
      </c>
      <c r="EL406" s="56">
        <f t="shared" si="1957"/>
        <v>0</v>
      </c>
      <c r="EM406" s="56">
        <f t="shared" si="1957"/>
        <v>0</v>
      </c>
      <c r="EN406" s="60">
        <f>+SUM(EJ406:EM406)</f>
        <v>0</v>
      </c>
      <c r="EO406" s="56">
        <f t="shared" si="1958"/>
        <v>0</v>
      </c>
      <c r="EP406" s="56">
        <f t="shared" si="1958"/>
        <v>0</v>
      </c>
      <c r="EQ406" s="56">
        <f t="shared" si="1958"/>
        <v>0</v>
      </c>
      <c r="ER406" s="56">
        <f t="shared" si="1958"/>
        <v>0</v>
      </c>
      <c r="ES406" s="60">
        <f>+SUM(EO406:ER406)</f>
        <v>0</v>
      </c>
      <c r="ET406" s="56">
        <f t="shared" si="1959"/>
        <v>0</v>
      </c>
      <c r="EU406" s="56">
        <f t="shared" si="1959"/>
        <v>0</v>
      </c>
      <c r="EV406" s="56">
        <f t="shared" si="1959"/>
        <v>0</v>
      </c>
      <c r="EW406" s="56">
        <f t="shared" si="1959"/>
        <v>0</v>
      </c>
      <c r="EX406" s="60">
        <f>+SUM(ET406:EW406)</f>
        <v>0</v>
      </c>
      <c r="EY406" s="56">
        <f t="shared" ref="EY406:FB406" si="1962">EY124+EY269</f>
        <v>0</v>
      </c>
      <c r="EZ406" s="56">
        <f t="shared" si="1962"/>
        <v>0</v>
      </c>
      <c r="FA406" s="56">
        <f t="shared" si="1962"/>
        <v>0</v>
      </c>
      <c r="FB406" s="56">
        <f t="shared" si="1962"/>
        <v>0</v>
      </c>
      <c r="FC406" s="60">
        <f>+SUM(EY406:FB406)</f>
        <v>0</v>
      </c>
      <c r="FD406" s="56">
        <f t="shared" si="1961"/>
        <v>0</v>
      </c>
      <c r="FE406" s="56">
        <f t="shared" si="1961"/>
        <v>0</v>
      </c>
      <c r="FF406" s="56">
        <f t="shared" si="1961"/>
        <v>0</v>
      </c>
      <c r="FG406" s="56">
        <f t="shared" si="1961"/>
        <v>0</v>
      </c>
      <c r="FH406" s="60">
        <f>+SUM(FD406:FG406)</f>
        <v>0</v>
      </c>
      <c r="FI406" s="56">
        <f t="shared" si="1961"/>
        <v>0</v>
      </c>
      <c r="FJ406" s="56">
        <f t="shared" si="1961"/>
        <v>0</v>
      </c>
      <c r="FK406" s="56">
        <f t="shared" si="1961"/>
        <v>0</v>
      </c>
      <c r="FL406" s="56">
        <f t="shared" si="1961"/>
        <v>0</v>
      </c>
      <c r="FM406" s="56">
        <f t="shared" si="1961"/>
        <v>0</v>
      </c>
      <c r="FN406" s="1068" t="e">
        <f>+(FJ406/ES406)^0.2-1</f>
        <v>#DIV/0!</v>
      </c>
    </row>
    <row r="407" spans="1:171" s="108" customFormat="1" x14ac:dyDescent="0.3">
      <c r="A407" s="63" t="s">
        <v>337</v>
      </c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  <c r="AA407" s="119"/>
      <c r="AB407" s="119"/>
      <c r="AC407" s="119"/>
      <c r="AD407" s="119"/>
      <c r="AE407" s="119"/>
      <c r="AF407" s="119"/>
      <c r="AG407" s="119"/>
      <c r="AH407" s="119"/>
      <c r="AI407" s="119"/>
      <c r="AJ407" s="119"/>
      <c r="AK407" s="119"/>
      <c r="AL407" s="119"/>
      <c r="AM407" s="119"/>
      <c r="AN407" s="119"/>
      <c r="AO407" s="119"/>
      <c r="AP407" s="119"/>
      <c r="AQ407" s="119"/>
      <c r="AR407" s="119"/>
      <c r="AS407" s="119"/>
      <c r="AT407" s="119"/>
      <c r="AU407" s="119"/>
      <c r="AV407" s="119"/>
      <c r="AW407" s="119"/>
      <c r="AX407" s="119"/>
      <c r="AY407" s="119"/>
      <c r="AZ407" s="119"/>
      <c r="BA407" s="119"/>
      <c r="BB407" s="119"/>
      <c r="BC407" s="119"/>
      <c r="BD407" s="119"/>
      <c r="BE407" s="119"/>
      <c r="BF407" s="119"/>
      <c r="BG407" s="119"/>
      <c r="BH407" s="119"/>
      <c r="BI407" s="119"/>
      <c r="BJ407" s="119"/>
      <c r="BK407" s="119"/>
      <c r="BL407" s="119"/>
      <c r="BM407" s="119"/>
      <c r="BN407" s="119"/>
      <c r="BO407" s="119"/>
      <c r="BP407" s="119"/>
      <c r="BQ407" s="119"/>
      <c r="BR407" s="119"/>
      <c r="BS407" s="119"/>
      <c r="BT407" s="119"/>
      <c r="BU407" s="119"/>
      <c r="BV407" s="119"/>
      <c r="BW407" s="119"/>
      <c r="BX407" s="119"/>
      <c r="BY407" s="119"/>
      <c r="BZ407" s="119"/>
      <c r="CA407" s="119"/>
      <c r="CB407" s="119"/>
      <c r="CC407" s="119"/>
      <c r="CD407" s="119"/>
      <c r="CE407" s="119"/>
      <c r="CF407" s="119"/>
      <c r="CG407" s="119"/>
      <c r="CH407" s="119"/>
      <c r="CI407" s="119"/>
      <c r="CJ407" s="119"/>
      <c r="CK407" s="119"/>
      <c r="CL407" s="119"/>
      <c r="CM407" s="119"/>
      <c r="CN407" s="119"/>
      <c r="CO407" s="119"/>
      <c r="CP407" s="119"/>
      <c r="CQ407" s="119"/>
      <c r="CR407" s="119"/>
      <c r="CS407" s="119"/>
      <c r="CT407" s="119"/>
      <c r="CU407" s="119"/>
      <c r="CV407" s="119"/>
      <c r="CW407" s="119"/>
      <c r="CX407" s="119"/>
      <c r="CY407" s="119"/>
      <c r="CZ407" s="119"/>
      <c r="DA407" s="119"/>
      <c r="DB407" s="119"/>
      <c r="DC407" s="119"/>
      <c r="DD407" s="119"/>
      <c r="DE407" s="119"/>
      <c r="DF407" s="119"/>
      <c r="DG407" s="119"/>
      <c r="DH407" s="119"/>
      <c r="DI407" s="119"/>
      <c r="DJ407" s="119"/>
      <c r="DK407" s="119"/>
      <c r="DL407" s="119"/>
      <c r="DM407" s="119"/>
      <c r="DN407" s="119"/>
      <c r="DO407" s="119"/>
      <c r="DP407" s="119"/>
      <c r="DQ407" s="119"/>
      <c r="DR407" s="119"/>
      <c r="DS407" s="119"/>
      <c r="DT407" s="119"/>
      <c r="DU407" s="56"/>
      <c r="DV407" s="56"/>
      <c r="DW407" s="56"/>
      <c r="DX407" s="56"/>
      <c r="DY407" s="60"/>
      <c r="DZ407" s="56">
        <f t="shared" si="1955"/>
        <v>-55.08</v>
      </c>
      <c r="EA407" s="56">
        <f t="shared" si="1955"/>
        <v>-51.839999999999996</v>
      </c>
      <c r="EB407" s="56">
        <f t="shared" si="1955"/>
        <v>-48.870000000000005</v>
      </c>
      <c r="EC407" s="56">
        <f t="shared" si="1955"/>
        <v>-45.089999999999996</v>
      </c>
      <c r="ED407" s="60">
        <f>+SUM(DZ407:EC407)</f>
        <v>-200.88</v>
      </c>
      <c r="EE407" s="56">
        <f t="shared" si="1956"/>
        <v>-42.210000000000008</v>
      </c>
      <c r="EF407" s="56">
        <f t="shared" si="1956"/>
        <v>-39.330000000000005</v>
      </c>
      <c r="EG407" s="56">
        <f t="shared" si="1956"/>
        <v>-23</v>
      </c>
      <c r="EH407" s="56">
        <f t="shared" si="1956"/>
        <v>-18</v>
      </c>
      <c r="EI407" s="60">
        <f>+SUM(EE407:EH407)</f>
        <v>-122.54000000000002</v>
      </c>
      <c r="EJ407" s="56">
        <f t="shared" si="1957"/>
        <v>-17</v>
      </c>
      <c r="EK407" s="56">
        <f t="shared" si="1957"/>
        <v>-20</v>
      </c>
      <c r="EL407" s="56">
        <f t="shared" si="1957"/>
        <v>-21</v>
      </c>
      <c r="EM407" s="56">
        <f t="shared" si="1957"/>
        <v>-16</v>
      </c>
      <c r="EN407" s="60">
        <f>+SUM(EJ407:EM407)</f>
        <v>-74</v>
      </c>
      <c r="EO407" s="56">
        <f t="shared" si="1958"/>
        <v>-18</v>
      </c>
      <c r="EP407" s="56">
        <f t="shared" si="1958"/>
        <v>-21</v>
      </c>
      <c r="EQ407" s="56">
        <f t="shared" si="1958"/>
        <v>-19</v>
      </c>
      <c r="ER407" s="56">
        <f t="shared" si="1958"/>
        <v>-14</v>
      </c>
      <c r="ES407" s="60">
        <f>+SUM(EO407:ER407)</f>
        <v>-72</v>
      </c>
      <c r="ET407" s="56">
        <f t="shared" si="1959"/>
        <v>-14.447022243482419</v>
      </c>
      <c r="EU407" s="56">
        <f t="shared" si="1959"/>
        <v>-13.282315912905624</v>
      </c>
      <c r="EV407" s="56">
        <f t="shared" si="1959"/>
        <v>-13.739113085725492</v>
      </c>
      <c r="EW407" s="56">
        <f t="shared" si="1959"/>
        <v>-11.107074112573258</v>
      </c>
      <c r="EX407" s="60">
        <f>+SUM(ET407:EW407)</f>
        <v>-52.575525354686789</v>
      </c>
      <c r="EY407" s="56">
        <f t="shared" ref="EY407:FB407" si="1963">EY125+EY270</f>
        <v>-10.675479761281348</v>
      </c>
      <c r="EZ407" s="56">
        <f t="shared" si="1963"/>
        <v>-9.8543344986640609</v>
      </c>
      <c r="FA407" s="56">
        <f t="shared" si="1963"/>
        <v>-10.29110869041479</v>
      </c>
      <c r="FB407" s="56">
        <f t="shared" si="1963"/>
        <v>-8.2957536107762344</v>
      </c>
      <c r="FC407" s="60">
        <f>+SUM(EY407:FB407)</f>
        <v>-39.11667656113643</v>
      </c>
      <c r="FD407" s="56">
        <f t="shared" si="1961"/>
        <v>-8.0155004563803658</v>
      </c>
      <c r="FE407" s="56">
        <f t="shared" si="1961"/>
        <v>-7.4217078980116771</v>
      </c>
      <c r="FF407" s="56">
        <f t="shared" si="1961"/>
        <v>-7.806799779887867</v>
      </c>
      <c r="FG407" s="56">
        <f t="shared" si="1961"/>
        <v>-6.279574323461965</v>
      </c>
      <c r="FH407" s="60">
        <f>+SUM(FD407:FG407)</f>
        <v>-29.523582457741874</v>
      </c>
      <c r="FI407" s="56">
        <f t="shared" si="1961"/>
        <v>-24.81791062872226</v>
      </c>
      <c r="FJ407" s="56">
        <f t="shared" si="1961"/>
        <v>-18.385171818749857</v>
      </c>
      <c r="FK407" s="56">
        <f t="shared" si="1961"/>
        <v>-13.794438974418254</v>
      </c>
      <c r="FL407" s="56">
        <f t="shared" si="1961"/>
        <v>-10.428079283566829</v>
      </c>
      <c r="FM407" s="56">
        <f t="shared" si="1961"/>
        <v>-7.917699527379054</v>
      </c>
      <c r="FN407" s="1068">
        <f>+(FJ407/ES407)^0.2-1</f>
        <v>-0.23892573085946245</v>
      </c>
    </row>
    <row r="408" spans="1:171" s="108" customFormat="1" x14ac:dyDescent="0.3">
      <c r="A408" s="64" t="s">
        <v>452</v>
      </c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  <c r="AA408" s="119"/>
      <c r="AB408" s="119"/>
      <c r="AC408" s="119"/>
      <c r="AD408" s="119"/>
      <c r="AE408" s="119"/>
      <c r="AF408" s="119"/>
      <c r="AG408" s="119"/>
      <c r="AH408" s="119"/>
      <c r="AI408" s="119"/>
      <c r="AJ408" s="119"/>
      <c r="AK408" s="119"/>
      <c r="AL408" s="119"/>
      <c r="AM408" s="119"/>
      <c r="AN408" s="119"/>
      <c r="AO408" s="119"/>
      <c r="AP408" s="119"/>
      <c r="AQ408" s="119"/>
      <c r="AR408" s="119"/>
      <c r="AS408" s="119"/>
      <c r="AT408" s="119"/>
      <c r="AU408" s="119"/>
      <c r="AV408" s="119"/>
      <c r="AW408" s="119"/>
      <c r="AX408" s="119"/>
      <c r="AY408" s="119"/>
      <c r="AZ408" s="119"/>
      <c r="BA408" s="119"/>
      <c r="BB408" s="119"/>
      <c r="BC408" s="119"/>
      <c r="BD408" s="119"/>
      <c r="BE408" s="119"/>
      <c r="BF408" s="119"/>
      <c r="BG408" s="119"/>
      <c r="BH408" s="119"/>
      <c r="BI408" s="119"/>
      <c r="BJ408" s="119"/>
      <c r="BK408" s="119"/>
      <c r="BL408" s="119"/>
      <c r="BM408" s="119"/>
      <c r="BN408" s="119"/>
      <c r="BO408" s="119"/>
      <c r="BP408" s="119"/>
      <c r="BQ408" s="119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19"/>
      <c r="CB408" s="119"/>
      <c r="CC408" s="119"/>
      <c r="CD408" s="119"/>
      <c r="CE408" s="119"/>
      <c r="CF408" s="119"/>
      <c r="CG408" s="119"/>
      <c r="CH408" s="119"/>
      <c r="CI408" s="119"/>
      <c r="CJ408" s="119"/>
      <c r="CK408" s="119"/>
      <c r="CL408" s="119"/>
      <c r="CM408" s="119"/>
      <c r="CN408" s="119"/>
      <c r="CO408" s="119"/>
      <c r="CP408" s="119"/>
      <c r="CQ408" s="119"/>
      <c r="CR408" s="119"/>
      <c r="CS408" s="119"/>
      <c r="CT408" s="119"/>
      <c r="CU408" s="119"/>
      <c r="CV408" s="119"/>
      <c r="CW408" s="119"/>
      <c r="CX408" s="119"/>
      <c r="CY408" s="119"/>
      <c r="CZ408" s="119"/>
      <c r="DA408" s="119"/>
      <c r="DB408" s="119"/>
      <c r="DC408" s="119"/>
      <c r="DD408" s="119"/>
      <c r="DE408" s="119"/>
      <c r="DF408" s="119"/>
      <c r="DG408" s="119"/>
      <c r="DH408" s="119"/>
      <c r="DI408" s="119"/>
      <c r="DJ408" s="119"/>
      <c r="DK408" s="119"/>
      <c r="DL408" s="119"/>
      <c r="DM408" s="119"/>
      <c r="DN408" s="119"/>
      <c r="DO408" s="119"/>
      <c r="DP408" s="119"/>
      <c r="DQ408" s="119"/>
      <c r="DR408" s="119"/>
      <c r="DS408" s="119"/>
      <c r="DT408" s="119"/>
      <c r="DU408" s="1798"/>
      <c r="DV408" s="1798"/>
      <c r="DW408" s="1798"/>
      <c r="DX408" s="1798"/>
      <c r="DY408" s="1797"/>
      <c r="DZ408" s="1796">
        <f>SUM(DZ405:DZ407)</f>
        <v>576</v>
      </c>
      <c r="EA408" s="1796">
        <f>SUM(EA405:EA407)</f>
        <v>543</v>
      </c>
      <c r="EB408" s="1796">
        <f>SUM(EB405:EB407)</f>
        <v>501</v>
      </c>
      <c r="EC408" s="1796">
        <f>SUM(EC405:EC407)</f>
        <v>468.99999999999994</v>
      </c>
      <c r="ED408" s="1797">
        <f>+EC408</f>
        <v>468.99999999999994</v>
      </c>
      <c r="EE408" s="1796">
        <f>SUM(EE405:EE407)</f>
        <v>437</v>
      </c>
      <c r="EF408" s="1796">
        <f>SUM(EF405:EF407)</f>
        <v>409</v>
      </c>
      <c r="EG408" s="1796">
        <f>SUM(EG405:EG407)</f>
        <v>386</v>
      </c>
      <c r="EH408" s="1796">
        <f>SUM(EH405:EH407)</f>
        <v>368</v>
      </c>
      <c r="EI408" s="1797">
        <f>+EH408</f>
        <v>368</v>
      </c>
      <c r="EJ408" s="1796">
        <f>SUM(EJ405:EJ407)</f>
        <v>351</v>
      </c>
      <c r="EK408" s="1796">
        <f>SUM(EK405:EK407)</f>
        <v>331</v>
      </c>
      <c r="EL408" s="1796">
        <f>SUM(EL405:EL407)</f>
        <v>310</v>
      </c>
      <c r="EM408" s="1796">
        <f>SUM(EM405:EM407)</f>
        <v>294</v>
      </c>
      <c r="EN408" s="1797">
        <f>+EM408</f>
        <v>294</v>
      </c>
      <c r="EO408" s="1796">
        <f>SUM(EO405:EO407)</f>
        <v>276</v>
      </c>
      <c r="EP408" s="1796">
        <f>SUM(EP405:EP407)</f>
        <v>255</v>
      </c>
      <c r="EQ408" s="1796">
        <f>SUM(EQ405:EQ407)</f>
        <v>236</v>
      </c>
      <c r="ER408" s="1796">
        <f>SUM(ER405:ER407)</f>
        <v>222</v>
      </c>
      <c r="ES408" s="1797">
        <f>+ER408</f>
        <v>222</v>
      </c>
      <c r="ET408" s="1796">
        <f t="shared" ref="ET408:EW408" si="1964">SUM(ET405:ET407)</f>
        <v>207.55297775651758</v>
      </c>
      <c r="EU408" s="1796">
        <f t="shared" si="1964"/>
        <v>194.27066184361195</v>
      </c>
      <c r="EV408" s="1796">
        <f t="shared" si="1964"/>
        <v>180.53154875788647</v>
      </c>
      <c r="EW408" s="1796">
        <f t="shared" si="1964"/>
        <v>169.42447464531324</v>
      </c>
      <c r="EX408" s="1797">
        <f>+EW408</f>
        <v>169.42447464531324</v>
      </c>
      <c r="EY408" s="1796">
        <f t="shared" ref="EY408:FB408" si="1965">SUM(EY405:EY407)</f>
        <v>158.7489948840319</v>
      </c>
      <c r="EZ408" s="1796">
        <f t="shared" si="1965"/>
        <v>148.89466038536784</v>
      </c>
      <c r="FA408" s="1796">
        <f t="shared" si="1965"/>
        <v>138.60355169495304</v>
      </c>
      <c r="FB408" s="1796">
        <f t="shared" si="1965"/>
        <v>130.3077980841768</v>
      </c>
      <c r="FC408" s="1797">
        <f>+FB408</f>
        <v>130.3077980841768</v>
      </c>
      <c r="FD408" s="1796">
        <f t="shared" ref="FD408:FM408" si="1966">SUM(FD405:FD407)</f>
        <v>122.29229762779646</v>
      </c>
      <c r="FE408" s="1796">
        <f t="shared" si="1966"/>
        <v>114.87058972978478</v>
      </c>
      <c r="FF408" s="1796">
        <f t="shared" si="1966"/>
        <v>107.0637899498969</v>
      </c>
      <c r="FG408" s="1796">
        <f t="shared" si="1966"/>
        <v>100.78421562643496</v>
      </c>
      <c r="FH408" s="1797">
        <f>+FG408</f>
        <v>100.78421562643496</v>
      </c>
      <c r="FI408" s="1796">
        <f t="shared" si="1966"/>
        <v>75.966304997712683</v>
      </c>
      <c r="FJ408" s="1796">
        <f t="shared" si="1966"/>
        <v>57.58113317896283</v>
      </c>
      <c r="FK408" s="1796">
        <f t="shared" si="1966"/>
        <v>43.786694204544567</v>
      </c>
      <c r="FL408" s="1796">
        <f t="shared" si="1966"/>
        <v>33.358614920977736</v>
      </c>
      <c r="FM408" s="1796">
        <f t="shared" si="1966"/>
        <v>25.44091539359869</v>
      </c>
      <c r="FN408" s="1068">
        <f>+(FJ408/ES408)^0.2-1</f>
        <v>-0.23654147909304191</v>
      </c>
    </row>
    <row r="409" spans="1:171" s="108" customFormat="1" x14ac:dyDescent="0.3">
      <c r="A409" s="61" t="s">
        <v>339</v>
      </c>
      <c r="DY409" s="538"/>
      <c r="DZ409" s="122"/>
      <c r="EA409" s="122"/>
      <c r="EB409" s="122"/>
      <c r="EC409" s="122"/>
      <c r="ED409" s="123"/>
      <c r="EE409" s="122">
        <f t="shared" ref="EE409:EX409" si="1967">+EE408/DZ408-1</f>
        <v>-0.24131944444444442</v>
      </c>
      <c r="EF409" s="122">
        <f t="shared" si="1967"/>
        <v>-0.24677716390423576</v>
      </c>
      <c r="EG409" s="122">
        <f t="shared" si="1967"/>
        <v>-0.22954091816367261</v>
      </c>
      <c r="EH409" s="122">
        <f t="shared" si="1967"/>
        <v>-0.21535181236673762</v>
      </c>
      <c r="EI409" s="123">
        <f t="shared" si="1967"/>
        <v>-0.21535181236673762</v>
      </c>
      <c r="EJ409" s="122">
        <f t="shared" si="1967"/>
        <v>-0.19679633867276891</v>
      </c>
      <c r="EK409" s="122">
        <f t="shared" si="1967"/>
        <v>-0.19070904645476772</v>
      </c>
      <c r="EL409" s="122">
        <f t="shared" si="1967"/>
        <v>-0.19689119170984459</v>
      </c>
      <c r="EM409" s="122">
        <f t="shared" si="1967"/>
        <v>-0.20108695652173914</v>
      </c>
      <c r="EN409" s="123">
        <f t="shared" si="1967"/>
        <v>-0.20108695652173914</v>
      </c>
      <c r="EO409" s="122">
        <f t="shared" si="1967"/>
        <v>-0.21367521367521369</v>
      </c>
      <c r="EP409" s="122">
        <f t="shared" si="1967"/>
        <v>-0.22960725075528698</v>
      </c>
      <c r="EQ409" s="122">
        <f t="shared" si="1967"/>
        <v>-0.23870967741935489</v>
      </c>
      <c r="ER409" s="122">
        <f t="shared" si="1967"/>
        <v>-0.24489795918367352</v>
      </c>
      <c r="ES409" s="123">
        <f t="shared" si="1967"/>
        <v>-0.24489795918367352</v>
      </c>
      <c r="ET409" s="122">
        <f t="shared" si="1967"/>
        <v>-0.24799645740392184</v>
      </c>
      <c r="EU409" s="122">
        <f t="shared" si="1967"/>
        <v>-0.23815426727995315</v>
      </c>
      <c r="EV409" s="122">
        <f t="shared" si="1967"/>
        <v>-0.23503581034793875</v>
      </c>
      <c r="EW409" s="122">
        <f t="shared" si="1967"/>
        <v>-0.23682669078687735</v>
      </c>
      <c r="EX409" s="123">
        <f t="shared" si="1967"/>
        <v>-0.23682669078687735</v>
      </c>
      <c r="EY409" s="122">
        <f t="shared" ref="EY409" si="1968">+EY408/ET408-1</f>
        <v>-0.23513988283867504</v>
      </c>
      <c r="EZ409" s="122">
        <f t="shared" ref="EZ409" si="1969">+EZ408/EU408-1</f>
        <v>-0.23357104478684398</v>
      </c>
      <c r="FA409" s="122">
        <f t="shared" ref="FA409" si="1970">+FA408/EV408-1</f>
        <v>-0.23224747891108877</v>
      </c>
      <c r="FB409" s="122">
        <f t="shared" ref="FB409:FC409" si="1971">+FB408/EW408-1</f>
        <v>-0.23087972763690978</v>
      </c>
      <c r="FC409" s="123">
        <f t="shared" si="1971"/>
        <v>-0.23087972763690978</v>
      </c>
      <c r="FD409" s="122">
        <f t="shared" ref="FD409" si="1972">+FD408/EY408-1</f>
        <v>-0.2296499406680812</v>
      </c>
      <c r="FE409" s="122">
        <f t="shared" ref="FE409" si="1973">+FE408/EZ408-1</f>
        <v>-0.22851101958607689</v>
      </c>
      <c r="FF409" s="122">
        <f t="shared" ref="FF409" si="1974">+FF408/FA408-1</f>
        <v>-0.22755377736979443</v>
      </c>
      <c r="FG409" s="122">
        <f t="shared" ref="FG409:FH409" si="1975">+FG408/FB408-1</f>
        <v>-0.22656804037675526</v>
      </c>
      <c r="FH409" s="123">
        <f t="shared" si="1975"/>
        <v>-0.22656804037675526</v>
      </c>
      <c r="FI409" s="122">
        <f t="shared" ref="FI409:FM409" si="1976">FI408/FH408-1</f>
        <v>-0.24624799106153605</v>
      </c>
      <c r="FJ409" s="122">
        <f t="shared" si="1976"/>
        <v>-0.24201745522970253</v>
      </c>
      <c r="FK409" s="122">
        <f t="shared" si="1976"/>
        <v>-0.23956525710504839</v>
      </c>
      <c r="FL409" s="122">
        <f t="shared" si="1976"/>
        <v>-0.2381563503025198</v>
      </c>
      <c r="FM409" s="122">
        <f t="shared" si="1976"/>
        <v>-0.23735096754271889</v>
      </c>
    </row>
    <row r="410" spans="1:171" s="108" customFormat="1" x14ac:dyDescent="0.3">
      <c r="A410" s="65" t="s">
        <v>340</v>
      </c>
      <c r="DU410" s="455"/>
      <c r="DV410" s="124"/>
      <c r="DW410" s="124"/>
      <c r="DX410" s="124"/>
      <c r="DY410" s="125"/>
      <c r="DZ410" s="124">
        <f>DZ128+DZ273</f>
        <v>-36</v>
      </c>
      <c r="EA410" s="124">
        <f>+EA408-DZ408</f>
        <v>-33</v>
      </c>
      <c r="EB410" s="124">
        <f>+EB408-EA408</f>
        <v>-42</v>
      </c>
      <c r="EC410" s="124">
        <f>+EC408-EB408</f>
        <v>-32.000000000000057</v>
      </c>
      <c r="ED410" s="125">
        <f>+SUM(DZ410:EC410)</f>
        <v>-143.00000000000006</v>
      </c>
      <c r="EE410" s="124">
        <f>+EE408-ED408</f>
        <v>-31.999999999999943</v>
      </c>
      <c r="EF410" s="124">
        <f>+EF408-EE408</f>
        <v>-28</v>
      </c>
      <c r="EG410" s="124">
        <f>+EG408-EF408</f>
        <v>-23</v>
      </c>
      <c r="EH410" s="124">
        <f>+EH408-EG408</f>
        <v>-18</v>
      </c>
      <c r="EI410" s="125">
        <f>+SUM(EE410:EH410)</f>
        <v>-100.99999999999994</v>
      </c>
      <c r="EJ410" s="124">
        <f>+EJ408-EI408</f>
        <v>-17</v>
      </c>
      <c r="EK410" s="124">
        <f>+EK408-EJ408</f>
        <v>-20</v>
      </c>
      <c r="EL410" s="124">
        <f>+EL408-EK408</f>
        <v>-21</v>
      </c>
      <c r="EM410" s="124">
        <f>+EM408-EL408</f>
        <v>-16</v>
      </c>
      <c r="EN410" s="125">
        <f>+SUM(EJ410:EM410)</f>
        <v>-74</v>
      </c>
      <c r="EO410" s="124">
        <f>+EO408-EN408</f>
        <v>-18</v>
      </c>
      <c r="EP410" s="124">
        <f>+EP408-EO408</f>
        <v>-21</v>
      </c>
      <c r="EQ410" s="124">
        <f>+EQ408-EP408</f>
        <v>-19</v>
      </c>
      <c r="ER410" s="124">
        <f>+ER408-EQ408</f>
        <v>-14</v>
      </c>
      <c r="ES410" s="125">
        <f>+SUM(EO410:ER410)</f>
        <v>-72</v>
      </c>
      <c r="ET410" s="124">
        <f t="shared" ref="ET410:EW410" si="1977">+ET408-ES408</f>
        <v>-14.447022243482422</v>
      </c>
      <c r="EU410" s="124">
        <f t="shared" si="1977"/>
        <v>-13.282315912905631</v>
      </c>
      <c r="EV410" s="124">
        <f t="shared" si="1977"/>
        <v>-13.739113085725478</v>
      </c>
      <c r="EW410" s="124">
        <f t="shared" si="1977"/>
        <v>-11.10707411257323</v>
      </c>
      <c r="EX410" s="125">
        <f>+SUM(ET410:EW410)</f>
        <v>-52.575525354686761</v>
      </c>
      <c r="EY410" s="124">
        <f t="shared" ref="EY410" si="1978">+EY408-EX408</f>
        <v>-10.675479761281338</v>
      </c>
      <c r="EZ410" s="124">
        <f t="shared" ref="EZ410" si="1979">+EZ408-EY408</f>
        <v>-9.8543344986640591</v>
      </c>
      <c r="FA410" s="124">
        <f t="shared" ref="FA410" si="1980">+FA408-EZ408</f>
        <v>-10.291108690414802</v>
      </c>
      <c r="FB410" s="124">
        <f t="shared" ref="FB410" si="1981">+FB408-FA408</f>
        <v>-8.2957536107762451</v>
      </c>
      <c r="FC410" s="125">
        <f>+SUM(EY410:FB410)</f>
        <v>-39.116676561136444</v>
      </c>
      <c r="FD410" s="124">
        <f t="shared" ref="FD410" si="1982">+FD408-FC408</f>
        <v>-8.0155004563803374</v>
      </c>
      <c r="FE410" s="124">
        <f t="shared" ref="FE410" si="1983">+FE408-FD408</f>
        <v>-7.4217078980116753</v>
      </c>
      <c r="FF410" s="124">
        <f t="shared" ref="FF410" si="1984">+FF408-FE408</f>
        <v>-7.8067997798878821</v>
      </c>
      <c r="FG410" s="124">
        <f t="shared" ref="FG410" si="1985">+FG408-FF408</f>
        <v>-6.2795743234619437</v>
      </c>
      <c r="FH410" s="125">
        <f>+SUM(FD410:FG410)</f>
        <v>-29.523582457741838</v>
      </c>
      <c r="FI410" s="124">
        <f t="shared" ref="FI410:FM410" si="1986">+FI408-FH408</f>
        <v>-24.817910628722274</v>
      </c>
      <c r="FJ410" s="124">
        <f t="shared" si="1986"/>
        <v>-18.385171818749853</v>
      </c>
      <c r="FK410" s="124">
        <f t="shared" si="1986"/>
        <v>-13.794438974418263</v>
      </c>
      <c r="FL410" s="124">
        <f t="shared" si="1986"/>
        <v>-10.428079283566831</v>
      </c>
      <c r="FM410" s="124">
        <f t="shared" si="1986"/>
        <v>-7.917699527379046</v>
      </c>
      <c r="FO410" s="1069" t="s">
        <v>346</v>
      </c>
    </row>
    <row r="411" spans="1:171" s="108" customFormat="1" x14ac:dyDescent="0.3">
      <c r="A411" s="65" t="s">
        <v>341</v>
      </c>
      <c r="DU411" s="122"/>
      <c r="DV411" s="122"/>
      <c r="DW411" s="122"/>
      <c r="DX411" s="122"/>
      <c r="DY411" s="123"/>
      <c r="DZ411" s="122">
        <f>+DZ406/AVERAGE(DY99:DZ99)</f>
        <v>1.2552631578947396E-3</v>
      </c>
      <c r="EA411" s="122">
        <f>+EA406/AVERAGE(DZ99:EA99)</f>
        <v>1.2394736842105255E-3</v>
      </c>
      <c r="EB411" s="122">
        <f>+EB406/AVERAGE(EA99:EB99)</f>
        <v>4.5197368421052661E-4</v>
      </c>
      <c r="EC411" s="122">
        <f>+EC406/AVERAGE(EB99:EC99)</f>
        <v>8.6118421052631413E-4</v>
      </c>
      <c r="ED411" s="123">
        <f>+ED406/AVERAGE(DZ99:EC99)</f>
        <v>3.807894736842106E-3</v>
      </c>
      <c r="EE411" s="122">
        <f>+EE406/AVERAGE(ED99:EE99)</f>
        <v>6.7171052631578995E-4</v>
      </c>
      <c r="EF411" s="122">
        <f>+EF406/AVERAGE(EE99:EF99)</f>
        <v>7.4295081967213098E-4</v>
      </c>
      <c r="EG411" s="122">
        <f>+EG406/AVERAGE(EF99:EG99)</f>
        <v>0</v>
      </c>
      <c r="EH411" s="122">
        <f>+EH406/AVERAGE(EG99:EH99)</f>
        <v>0</v>
      </c>
      <c r="EI411" s="123">
        <f>+EI406/AVERAGE(EE99:EH99)</f>
        <v>1.4101472995090021E-3</v>
      </c>
      <c r="EJ411" s="122">
        <f>+EJ406/AVERAGE(EI99:EJ99)</f>
        <v>0</v>
      </c>
      <c r="EK411" s="122">
        <f>+EK406/AVERAGE(EJ99:EK99)</f>
        <v>0</v>
      </c>
      <c r="EL411" s="122">
        <f>+EL406/AVERAGE(EK99:EL99)</f>
        <v>0</v>
      </c>
      <c r="EM411" s="122">
        <f>+EM406/AVERAGE(EL99:EM99)</f>
        <v>0</v>
      </c>
      <c r="EN411" s="123">
        <f>+EN406/AVERAGE(EJ99:EM99)</f>
        <v>0</v>
      </c>
      <c r="EO411" s="122">
        <f>+EO406/AVERAGE(EN99:EO99)</f>
        <v>0</v>
      </c>
      <c r="EP411" s="122">
        <f>+EP406/AVERAGE(EO99:EP99)</f>
        <v>0</v>
      </c>
      <c r="EQ411" s="122">
        <f>+EQ406/AVERAGE(EP99:EQ99)</f>
        <v>0</v>
      </c>
      <c r="ER411" s="122">
        <f>+ER406/AVERAGE(EQ99:ER99)</f>
        <v>0</v>
      </c>
      <c r="ES411" s="123">
        <f>+ES406/AVERAGE(EO99:ER99)</f>
        <v>0</v>
      </c>
      <c r="ET411" s="122">
        <f t="shared" ref="ET411:EW411" si="1987">+ET406/AVERAGE(ES99:ET99)</f>
        <v>0</v>
      </c>
      <c r="EU411" s="122">
        <f t="shared" si="1987"/>
        <v>0</v>
      </c>
      <c r="EV411" s="122">
        <f t="shared" si="1987"/>
        <v>0</v>
      </c>
      <c r="EW411" s="122">
        <f t="shared" si="1987"/>
        <v>0</v>
      </c>
      <c r="EX411" s="123">
        <f>+EX406/AVERAGE(ET99:EW99)</f>
        <v>0</v>
      </c>
      <c r="EY411" s="122">
        <f t="shared" ref="EY411" si="1988">+EY406/AVERAGE(EX99:EY99)</f>
        <v>0</v>
      </c>
      <c r="EZ411" s="122">
        <f t="shared" ref="EZ411" si="1989">+EZ406/AVERAGE(EY99:EZ99)</f>
        <v>0</v>
      </c>
      <c r="FA411" s="122">
        <f t="shared" ref="FA411" si="1990">+FA406/AVERAGE(EZ99:FA99)</f>
        <v>0</v>
      </c>
      <c r="FB411" s="122">
        <f t="shared" ref="FB411" si="1991">+FB406/AVERAGE(FA99:FB99)</f>
        <v>0</v>
      </c>
      <c r="FC411" s="123">
        <f>+FC406/AVERAGE(EY99:FB99)</f>
        <v>0</v>
      </c>
      <c r="FD411" s="122">
        <f t="shared" ref="FD411" si="1992">+FD406/AVERAGE(FC99:FD99)</f>
        <v>0</v>
      </c>
      <c r="FE411" s="122">
        <f t="shared" ref="FE411" si="1993">+FE406/AVERAGE(FD99:FE99)</f>
        <v>0</v>
      </c>
      <c r="FF411" s="122">
        <f t="shared" ref="FF411" si="1994">+FF406/AVERAGE(FE99:FF99)</f>
        <v>0</v>
      </c>
      <c r="FG411" s="122">
        <f t="shared" ref="FG411" si="1995">+FG406/AVERAGE(FF99:FG99)</f>
        <v>0</v>
      </c>
      <c r="FH411" s="123">
        <f>+FH406/AVERAGE(FD99:FG99)</f>
        <v>0</v>
      </c>
      <c r="FI411" s="122">
        <f t="shared" ref="FI411:FM411" si="1996">+FI406/AVERAGE(FH99:FI99)</f>
        <v>0</v>
      </c>
      <c r="FJ411" s="122">
        <f t="shared" si="1996"/>
        <v>0</v>
      </c>
      <c r="FK411" s="122">
        <f t="shared" si="1996"/>
        <v>0</v>
      </c>
      <c r="FL411" s="122">
        <f t="shared" si="1996"/>
        <v>0</v>
      </c>
      <c r="FM411" s="122">
        <f t="shared" si="1996"/>
        <v>0</v>
      </c>
    </row>
    <row r="412" spans="1:171" s="108" customFormat="1" x14ac:dyDescent="0.3">
      <c r="A412" s="65" t="s">
        <v>342</v>
      </c>
      <c r="DU412" s="694"/>
      <c r="DV412" s="694"/>
      <c r="DW412" s="694"/>
      <c r="DX412" s="694"/>
      <c r="DY412" s="123"/>
      <c r="DZ412" s="1107">
        <f>-DZ407/DZ405/3</f>
        <v>0.03</v>
      </c>
      <c r="EA412" s="1107">
        <f>-EA407/EA405/3</f>
        <v>0.03</v>
      </c>
      <c r="EB412" s="1107">
        <f>-EB407/EB405/3</f>
        <v>3.0000000000000002E-2</v>
      </c>
      <c r="EC412" s="1107">
        <f>-EC407/EC405/3</f>
        <v>0.03</v>
      </c>
      <c r="ED412" s="123">
        <f>+ED407/AVERAGE(DZ405:EC405)/-12</f>
        <v>0.03</v>
      </c>
      <c r="EE412" s="1107">
        <f>-EE407/EE405/3</f>
        <v>3.0000000000000002E-2</v>
      </c>
      <c r="EF412" s="1107">
        <f>-EF407/EF405/3</f>
        <v>3.0000000000000002E-2</v>
      </c>
      <c r="EG412" s="1107">
        <f>-EG407/EG405/3</f>
        <v>1.8744906275468622E-2</v>
      </c>
      <c r="EH412" s="1107">
        <f>-EH407/EH405/3</f>
        <v>1.5544041450777202E-2</v>
      </c>
      <c r="EI412" s="123">
        <f>+EI407/AVERAGE(EE405:EH405)/-12</f>
        <v>2.4013325494806979E-2</v>
      </c>
      <c r="EJ412" s="1107">
        <f>-EJ407/EJ405/3</f>
        <v>1.539855072463768E-2</v>
      </c>
      <c r="EK412" s="1107">
        <f>-EK407/EK405/3</f>
        <v>1.8993352326685659E-2</v>
      </c>
      <c r="EL412" s="1107">
        <f>-EL407/EL405/3</f>
        <v>2.1148036253776436E-2</v>
      </c>
      <c r="EM412" s="1107">
        <f>-EM407/EM405/3</f>
        <v>1.7204301075268817E-2</v>
      </c>
      <c r="EN412" s="123">
        <f>+EN407/AVERAGE(EJ405:EM405)/-12</f>
        <v>1.8137254901960786E-2</v>
      </c>
      <c r="EO412" s="1107">
        <f>-EO407/EO405/3</f>
        <v>2.0408163265306121E-2</v>
      </c>
      <c r="EP412" s="1107">
        <f>-EP407/EP405/3</f>
        <v>2.5362318840579712E-2</v>
      </c>
      <c r="EQ412" s="1107">
        <f>-EQ407/EQ405/3</f>
        <v>2.4836601307189541E-2</v>
      </c>
      <c r="ER412" s="1107">
        <f>-ER407/ER405/3</f>
        <v>1.977401129943503E-2</v>
      </c>
      <c r="ES412" s="123">
        <f>+ES407/AVERAGE(EO405:ER405)/-12</f>
        <v>2.2620169651272382E-2</v>
      </c>
      <c r="ET412" s="1107">
        <f t="shared" ref="ET412:EW412" si="1997">-ET407/ET405/3</f>
        <v>2.1692225590814445E-2</v>
      </c>
      <c r="EU412" s="1107">
        <f t="shared" si="1997"/>
        <v>2.1331607406900609E-2</v>
      </c>
      <c r="EV412" s="1107">
        <f t="shared" si="1997"/>
        <v>2.3573834146893281E-2</v>
      </c>
      <c r="EW412" s="1107">
        <f t="shared" si="1997"/>
        <v>2.0508094363549199E-2</v>
      </c>
      <c r="EX412" s="123">
        <f>+EX407/AVERAGE(ET405:EW405)/-12</f>
        <v>2.1787856126102994E-2</v>
      </c>
      <c r="EY412" s="1107">
        <f t="shared" ref="EY412:FB412" si="1998">-EY407/EY405/3</f>
        <v>2.1003419141243224E-2</v>
      </c>
      <c r="EZ412" s="1107">
        <f t="shared" si="1998"/>
        <v>2.0691647015597954E-2</v>
      </c>
      <c r="FA412" s="1107">
        <f t="shared" si="1998"/>
        <v>2.3038902500554046E-2</v>
      </c>
      <c r="FB412" s="1107">
        <f t="shared" si="1998"/>
        <v>1.9950796136003843E-2</v>
      </c>
      <c r="FC412" s="123">
        <f>+FC407/AVERAGE(EY405:FB405)/-12</f>
        <v>2.1178320485612481E-2</v>
      </c>
      <c r="FD412" s="1107">
        <f t="shared" ref="FD412:FG412" si="1999">-FD407/FD405/3</f>
        <v>2.050401836837239E-2</v>
      </c>
      <c r="FE412" s="1107">
        <f t="shared" si="1999"/>
        <v>2.0229423117063529E-2</v>
      </c>
      <c r="FF412" s="1107">
        <f t="shared" si="1999"/>
        <v>2.26538977419493E-2</v>
      </c>
      <c r="FG412" s="1107">
        <f t="shared" si="1999"/>
        <v>1.9550881228224293E-2</v>
      </c>
      <c r="FH412" s="123">
        <f>+FH407/AVERAGE(FD405:FG405)/-12</f>
        <v>2.073862840936528E-2</v>
      </c>
      <c r="FI412" s="1107">
        <f t="shared" ref="FI412:FM412" si="2000">-FI407/FI405/12</f>
        <v>2.0520665921794658E-2</v>
      </c>
      <c r="FJ412" s="1107">
        <f t="shared" si="2000"/>
        <v>2.0168121269141876E-2</v>
      </c>
      <c r="FK412" s="1107">
        <f t="shared" si="2000"/>
        <v>1.996377142542069E-2</v>
      </c>
      <c r="FL412" s="1107">
        <f t="shared" si="2000"/>
        <v>1.9846362525209982E-2</v>
      </c>
      <c r="FM412" s="1107">
        <f t="shared" si="2000"/>
        <v>1.9779247295226593E-2</v>
      </c>
    </row>
    <row r="413" spans="1:171" s="108" customFormat="1" x14ac:dyDescent="0.3">
      <c r="A413" s="65" t="s">
        <v>453</v>
      </c>
      <c r="DU413" s="126"/>
      <c r="DV413" s="126"/>
      <c r="DW413" s="126"/>
      <c r="DX413" s="126"/>
      <c r="DY413" s="127"/>
      <c r="DZ413" s="126">
        <f>+DZ408/DZ99</f>
        <v>3.7894736842105266E-2</v>
      </c>
      <c r="EA413" s="126">
        <f t="shared" ref="EA413:FM413" si="2001">+EA408/EA90</f>
        <v>0.1675925925925926</v>
      </c>
      <c r="EB413" s="126">
        <f t="shared" si="2001"/>
        <v>0.15420129270544783</v>
      </c>
      <c r="EC413" s="126">
        <f t="shared" si="2001"/>
        <v>0.14173466304019339</v>
      </c>
      <c r="ED413" s="127">
        <f t="shared" si="2001"/>
        <v>0.14173466304019339</v>
      </c>
      <c r="EE413" s="126">
        <f t="shared" si="2001"/>
        <v>0.12803984764137122</v>
      </c>
      <c r="EF413" s="126">
        <f t="shared" si="2001"/>
        <v>0.11456582633053221</v>
      </c>
      <c r="EG413" s="126">
        <f t="shared" si="2001"/>
        <v>0.10279627163781624</v>
      </c>
      <c r="EH413" s="126">
        <f t="shared" si="2001"/>
        <v>9.3235368634405874E-2</v>
      </c>
      <c r="EI413" s="127">
        <f t="shared" si="2001"/>
        <v>9.3235368634405874E-2</v>
      </c>
      <c r="EJ413" s="126">
        <f t="shared" si="2001"/>
        <v>8.4415584415584416E-2</v>
      </c>
      <c r="EK413" s="126">
        <f t="shared" si="2001"/>
        <v>7.456634377111962E-2</v>
      </c>
      <c r="EL413" s="126">
        <f t="shared" si="2001"/>
        <v>6.471816283924843E-2</v>
      </c>
      <c r="EM413" s="126">
        <f t="shared" si="2001"/>
        <v>5.685554051440727E-2</v>
      </c>
      <c r="EN413" s="127">
        <f t="shared" si="2001"/>
        <v>5.685554051440727E-2</v>
      </c>
      <c r="EO413" s="126">
        <f t="shared" si="2001"/>
        <v>5.0090744101633396E-2</v>
      </c>
      <c r="EP413" s="126">
        <f t="shared" si="2001"/>
        <v>4.3769309989701341E-2</v>
      </c>
      <c r="EQ413" s="126">
        <f t="shared" si="2001"/>
        <v>3.8324131211432286E-2</v>
      </c>
      <c r="ER413" s="126">
        <f t="shared" si="2001"/>
        <v>3.4201201663842246E-2</v>
      </c>
      <c r="ES413" s="127">
        <f t="shared" si="2001"/>
        <v>3.4201201663842246E-2</v>
      </c>
      <c r="ET413" s="126">
        <f t="shared" si="2001"/>
        <v>3.0388430125405208E-2</v>
      </c>
      <c r="EU413" s="126">
        <f t="shared" si="2001"/>
        <v>2.7185930848532318E-2</v>
      </c>
      <c r="EV413" s="126">
        <f t="shared" si="2001"/>
        <v>2.4141688788163477E-2</v>
      </c>
      <c r="EW413" s="126">
        <f t="shared" si="2001"/>
        <v>2.1690497330087471E-2</v>
      </c>
      <c r="EX413" s="127">
        <f t="shared" si="2001"/>
        <v>2.1690497330087471E-2</v>
      </c>
      <c r="EY413" s="126">
        <f t="shared" ref="EY413:FC413" si="2002">+EY408/EY90</f>
        <v>1.9478404280249315E-2</v>
      </c>
      <c r="EZ413" s="126">
        <f t="shared" si="2002"/>
        <v>1.7587368342235749E-2</v>
      </c>
      <c r="FA413" s="126">
        <f t="shared" si="2002"/>
        <v>1.5753984052620257E-2</v>
      </c>
      <c r="FB413" s="126">
        <f t="shared" si="2002"/>
        <v>1.4270923018746775E-2</v>
      </c>
      <c r="FC413" s="127">
        <f t="shared" si="2002"/>
        <v>1.4270923018746775E-2</v>
      </c>
      <c r="FD413" s="126">
        <f t="shared" si="2001"/>
        <v>1.2913653392586743E-2</v>
      </c>
      <c r="FE413" s="126">
        <f t="shared" si="2001"/>
        <v>1.1738257687490782E-2</v>
      </c>
      <c r="FF413" s="126">
        <f t="shared" si="2001"/>
        <v>1.070637899498969E-2</v>
      </c>
      <c r="FG413" s="126">
        <f t="shared" si="2001"/>
        <v>1.0078421562643495E-2</v>
      </c>
      <c r="FH413" s="127">
        <f t="shared" ref="FH413" si="2003">+FH408/FH90</f>
        <v>1.0078421562643495E-2</v>
      </c>
      <c r="FI413" s="126">
        <f t="shared" si="2001"/>
        <v>7.5214163364071968E-3</v>
      </c>
      <c r="FJ413" s="126">
        <f t="shared" si="2001"/>
        <v>5.6446557375711042E-3</v>
      </c>
      <c r="FK413" s="126">
        <f t="shared" si="2001"/>
        <v>4.2498934005251445E-3</v>
      </c>
      <c r="FL413" s="126">
        <f t="shared" si="2001"/>
        <v>3.2056973258230799E-3</v>
      </c>
      <c r="FM413" s="126">
        <f t="shared" si="2001"/>
        <v>2.4206158058315496E-3</v>
      </c>
    </row>
    <row r="414" spans="1:171" s="108" customFormat="1" x14ac:dyDescent="0.3">
      <c r="A414" s="65" t="s">
        <v>454</v>
      </c>
      <c r="DU414" s="126"/>
      <c r="DV414" s="126"/>
      <c r="DW414" s="126"/>
      <c r="DX414" s="126"/>
      <c r="DY414" s="127"/>
      <c r="DZ414" s="126">
        <f t="shared" ref="DZ414:FM414" si="2004">+DZ408/DZ397</f>
        <v>0.21867881548974943</v>
      </c>
      <c r="EA414" s="126">
        <f t="shared" si="2004"/>
        <v>0.2069359756097561</v>
      </c>
      <c r="EB414" s="126">
        <f t="shared" si="2004"/>
        <v>0.19195402298850575</v>
      </c>
      <c r="EC414" s="126">
        <f t="shared" si="2004"/>
        <v>0.18129107073830689</v>
      </c>
      <c r="ED414" s="127">
        <f t="shared" si="2004"/>
        <v>0.18129107073830689</v>
      </c>
      <c r="EE414" s="126">
        <f t="shared" si="2004"/>
        <v>0.16951124903025602</v>
      </c>
      <c r="EF414" s="126">
        <f t="shared" si="2004"/>
        <v>0.15976562499999999</v>
      </c>
      <c r="EG414" s="126">
        <f t="shared" si="2004"/>
        <v>0.15101721439749607</v>
      </c>
      <c r="EH414" s="126">
        <f t="shared" si="2004"/>
        <v>0.14319066147859921</v>
      </c>
      <c r="EI414" s="127">
        <f t="shared" si="2004"/>
        <v>0.14319066147859921</v>
      </c>
      <c r="EJ414" s="126">
        <f t="shared" si="2004"/>
        <v>0.13541666666666666</v>
      </c>
      <c r="EK414" s="126">
        <f t="shared" si="2004"/>
        <v>0.12725874663590928</v>
      </c>
      <c r="EL414" s="126">
        <f t="shared" si="2004"/>
        <v>0.11891062523973916</v>
      </c>
      <c r="EM414" s="126">
        <f t="shared" si="2004"/>
        <v>0.11229946524064172</v>
      </c>
      <c r="EN414" s="127">
        <f t="shared" si="2004"/>
        <v>0.11229946524064172</v>
      </c>
      <c r="EO414" s="126">
        <f t="shared" si="2004"/>
        <v>0.10430839002267574</v>
      </c>
      <c r="EP414" s="126">
        <f t="shared" si="2004"/>
        <v>9.6226415094339629E-2</v>
      </c>
      <c r="EQ414" s="126">
        <f t="shared" si="2004"/>
        <v>8.8488938882639673E-2</v>
      </c>
      <c r="ER414" s="126">
        <f t="shared" si="2004"/>
        <v>8.2222222222222224E-2</v>
      </c>
      <c r="ES414" s="127">
        <f t="shared" si="2004"/>
        <v>8.2222222222222224E-2</v>
      </c>
      <c r="ET414" s="126">
        <f t="shared" si="2004"/>
        <v>7.5288788413842719E-2</v>
      </c>
      <c r="EU414" s="126">
        <f t="shared" si="2004"/>
        <v>6.9829620222172303E-2</v>
      </c>
      <c r="EV414" s="126">
        <f t="shared" si="2004"/>
        <v>6.3939403891985769E-2</v>
      </c>
      <c r="EW414" s="126">
        <f t="shared" si="2004"/>
        <v>5.8855194174970961E-2</v>
      </c>
      <c r="EX414" s="127">
        <f t="shared" si="2004"/>
        <v>5.8855194174970961E-2</v>
      </c>
      <c r="EY414" s="126">
        <f t="shared" ref="EY414:FC414" si="2005">+EY408/EY397</f>
        <v>5.354266668946718E-2</v>
      </c>
      <c r="EZ414" s="126">
        <f t="shared" si="2005"/>
        <v>4.9400033534084585E-2</v>
      </c>
      <c r="FA414" s="126">
        <f t="shared" si="2005"/>
        <v>4.499608395536904E-2</v>
      </c>
      <c r="FB414" s="126">
        <f t="shared" si="2005"/>
        <v>4.1252229899144822E-2</v>
      </c>
      <c r="FC414" s="127">
        <f t="shared" si="2005"/>
        <v>4.1252229899144822E-2</v>
      </c>
      <c r="FD414" s="126">
        <f t="shared" si="2004"/>
        <v>3.7456358219162829E-2</v>
      </c>
      <c r="FE414" s="126">
        <f t="shared" si="2004"/>
        <v>3.4511051999677037E-2</v>
      </c>
      <c r="FF414" s="126">
        <f t="shared" si="2004"/>
        <v>3.1411599207252658E-2</v>
      </c>
      <c r="FG414" s="126">
        <f t="shared" si="2004"/>
        <v>2.8834350140658143E-2</v>
      </c>
      <c r="FH414" s="127">
        <f t="shared" ref="FH414" si="2006">+FH408/FH397</f>
        <v>2.8834350140658143E-2</v>
      </c>
      <c r="FI414" s="126">
        <f t="shared" si="2004"/>
        <v>2.0016145561908772E-2</v>
      </c>
      <c r="FJ414" s="126">
        <f t="shared" si="2004"/>
        <v>1.4244164969252347E-2</v>
      </c>
      <c r="FK414" s="126">
        <f t="shared" si="2004"/>
        <v>1.0344819714547914E-2</v>
      </c>
      <c r="FL414" s="126">
        <f t="shared" si="2004"/>
        <v>7.6377012063393139E-3</v>
      </c>
      <c r="FM414" s="126">
        <f t="shared" si="2004"/>
        <v>5.715395994471858E-3</v>
      </c>
    </row>
    <row r="415" spans="1:171" s="108" customFormat="1" x14ac:dyDescent="0.3">
      <c r="A415" s="66"/>
      <c r="DY415" s="538"/>
      <c r="ED415" s="538"/>
      <c r="EI415" s="538"/>
      <c r="EN415" s="538"/>
      <c r="ES415" s="538"/>
      <c r="EX415" s="538"/>
      <c r="FC415" s="538"/>
      <c r="FH415" s="538"/>
      <c r="FM415" s="120"/>
    </row>
    <row r="416" spans="1:171" s="108" customFormat="1" x14ac:dyDescent="0.3">
      <c r="A416" s="78" t="s">
        <v>405</v>
      </c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  <c r="AA416" s="119"/>
      <c r="AB416" s="119"/>
      <c r="AC416" s="119"/>
      <c r="AD416" s="119"/>
      <c r="AE416" s="119"/>
      <c r="AF416" s="119"/>
      <c r="AG416" s="119"/>
      <c r="AH416" s="119"/>
      <c r="AI416" s="119"/>
      <c r="AJ416" s="119"/>
      <c r="AK416" s="119"/>
      <c r="AL416" s="119"/>
      <c r="AM416" s="119"/>
      <c r="AN416" s="119"/>
      <c r="AO416" s="119"/>
      <c r="AP416" s="119"/>
      <c r="AQ416" s="119"/>
      <c r="AR416" s="119"/>
      <c r="AS416" s="119"/>
      <c r="AT416" s="119"/>
      <c r="AU416" s="119"/>
      <c r="AV416" s="119"/>
      <c r="AW416" s="119"/>
      <c r="AX416" s="119"/>
      <c r="AY416" s="119"/>
      <c r="AZ416" s="119"/>
      <c r="BA416" s="119"/>
      <c r="BB416" s="119"/>
      <c r="BC416" s="119"/>
      <c r="BD416" s="119"/>
      <c r="BE416" s="119"/>
      <c r="BF416" s="119"/>
      <c r="BG416" s="119"/>
      <c r="BH416" s="119"/>
      <c r="BI416" s="119"/>
      <c r="BJ416" s="119"/>
      <c r="BK416" s="119"/>
      <c r="BL416" s="119"/>
      <c r="BM416" s="119"/>
      <c r="BN416" s="119"/>
      <c r="BO416" s="119"/>
      <c r="BP416" s="119"/>
      <c r="BQ416" s="119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19"/>
      <c r="CB416" s="119"/>
      <c r="CC416" s="119"/>
      <c r="CD416" s="119"/>
      <c r="CE416" s="119"/>
      <c r="CF416" s="119"/>
      <c r="CG416" s="119"/>
      <c r="CH416" s="119"/>
      <c r="CI416" s="119"/>
      <c r="CJ416" s="119"/>
      <c r="CK416" s="119"/>
      <c r="CL416" s="119"/>
      <c r="CM416" s="119"/>
      <c r="CN416" s="119"/>
      <c r="CO416" s="119"/>
      <c r="CP416" s="119"/>
      <c r="CQ416" s="119"/>
      <c r="CR416" s="119"/>
      <c r="CS416" s="119"/>
      <c r="CT416" s="119"/>
      <c r="CU416" s="119"/>
      <c r="CV416" s="119"/>
      <c r="CW416" s="119"/>
      <c r="CX416" s="119"/>
      <c r="CY416" s="119"/>
      <c r="CZ416" s="119"/>
      <c r="DA416" s="119"/>
      <c r="DB416" s="119"/>
      <c r="DC416" s="119"/>
      <c r="DD416" s="119"/>
      <c r="DE416" s="119"/>
      <c r="DF416" s="119"/>
      <c r="DG416" s="119"/>
      <c r="DH416" s="119"/>
      <c r="DI416" s="119"/>
      <c r="DJ416" s="119"/>
      <c r="DK416" s="119"/>
      <c r="DL416" s="119"/>
      <c r="DM416" s="119"/>
      <c r="DN416" s="119"/>
      <c r="DO416" s="119"/>
      <c r="DP416" s="119"/>
      <c r="DQ416" s="119"/>
      <c r="DR416" s="119"/>
      <c r="DS416" s="119"/>
      <c r="DT416" s="119"/>
      <c r="DU416" s="119"/>
      <c r="DV416" s="119"/>
      <c r="DW416" s="119"/>
      <c r="DX416" s="119"/>
      <c r="DY416" s="1202"/>
      <c r="DZ416" s="119"/>
      <c r="EA416" s="119"/>
      <c r="EB416" s="119"/>
      <c r="EC416" s="119"/>
      <c r="ED416" s="1202"/>
      <c r="EE416" s="119"/>
      <c r="EF416" s="119"/>
      <c r="EG416" s="119"/>
      <c r="EH416" s="119"/>
      <c r="EI416" s="1202"/>
      <c r="EJ416" s="119"/>
      <c r="EK416" s="119"/>
      <c r="EL416" s="119"/>
      <c r="EM416" s="119"/>
      <c r="EN416" s="1202"/>
      <c r="EO416" s="119"/>
      <c r="EP416" s="119"/>
      <c r="EQ416" s="119"/>
      <c r="ER416" s="119"/>
      <c r="ES416" s="1202"/>
      <c r="ET416" s="119"/>
      <c r="EU416" s="119"/>
      <c r="EV416" s="119"/>
      <c r="EW416" s="119"/>
      <c r="EX416" s="1202"/>
      <c r="EY416" s="119"/>
      <c r="EZ416" s="119"/>
      <c r="FA416" s="119"/>
      <c r="FB416" s="119"/>
      <c r="FC416" s="1202"/>
      <c r="FD416" s="119"/>
      <c r="FE416" s="119"/>
      <c r="FF416" s="119"/>
      <c r="FG416" s="119"/>
      <c r="FH416" s="1202"/>
      <c r="FI416" s="119"/>
      <c r="FJ416" s="119"/>
      <c r="FK416" s="119"/>
      <c r="FL416" s="119"/>
      <c r="FM416" s="119"/>
    </row>
    <row r="417" spans="1:171" s="108" customFormat="1" x14ac:dyDescent="0.3">
      <c r="A417" s="63" t="s">
        <v>406</v>
      </c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  <c r="AA417" s="119"/>
      <c r="AB417" s="119"/>
      <c r="AC417" s="119"/>
      <c r="AD417" s="119"/>
      <c r="AE417" s="119"/>
      <c r="AF417" s="119"/>
      <c r="AG417" s="119"/>
      <c r="AH417" s="119"/>
      <c r="AI417" s="119"/>
      <c r="AJ417" s="119"/>
      <c r="AK417" s="119"/>
      <c r="AL417" s="119"/>
      <c r="AM417" s="119"/>
      <c r="AN417" s="119"/>
      <c r="AO417" s="119"/>
      <c r="AP417" s="119"/>
      <c r="AQ417" s="119"/>
      <c r="AR417" s="119"/>
      <c r="AS417" s="119"/>
      <c r="AT417" s="119"/>
      <c r="AU417" s="119"/>
      <c r="AV417" s="119"/>
      <c r="AW417" s="119"/>
      <c r="AX417" s="119"/>
      <c r="AY417" s="119"/>
      <c r="AZ417" s="119"/>
      <c r="BA417" s="119"/>
      <c r="BB417" s="119"/>
      <c r="BC417" s="119"/>
      <c r="BD417" s="119"/>
      <c r="BE417" s="119"/>
      <c r="BF417" s="119"/>
      <c r="BG417" s="119"/>
      <c r="BH417" s="119"/>
      <c r="BI417" s="119"/>
      <c r="BJ417" s="119"/>
      <c r="BK417" s="119"/>
      <c r="BL417" s="119"/>
      <c r="BM417" s="119"/>
      <c r="BN417" s="119"/>
      <c r="BO417" s="119"/>
      <c r="BP417" s="119"/>
      <c r="BQ417" s="119"/>
      <c r="BR417" s="119"/>
      <c r="BS417" s="119"/>
      <c r="BT417" s="119"/>
      <c r="BU417" s="119"/>
      <c r="BV417" s="119"/>
      <c r="BW417" s="119"/>
      <c r="BX417" s="119"/>
      <c r="BY417" s="119"/>
      <c r="BZ417" s="119"/>
      <c r="CA417" s="119"/>
      <c r="CB417" s="119"/>
      <c r="CC417" s="119"/>
      <c r="CD417" s="119"/>
      <c r="CE417" s="119"/>
      <c r="CF417" s="119"/>
      <c r="CG417" s="119"/>
      <c r="CH417" s="119"/>
      <c r="CI417" s="119"/>
      <c r="CJ417" s="119"/>
      <c r="CK417" s="119"/>
      <c r="CL417" s="119"/>
      <c r="CM417" s="119"/>
      <c r="CN417" s="119"/>
      <c r="CO417" s="119"/>
      <c r="CP417" s="119"/>
      <c r="CQ417" s="119"/>
      <c r="CR417" s="119"/>
      <c r="CS417" s="119"/>
      <c r="CT417" s="119"/>
      <c r="CU417" s="119"/>
      <c r="CV417" s="119"/>
      <c r="CW417" s="119"/>
      <c r="CX417" s="119"/>
      <c r="CY417" s="119"/>
      <c r="CZ417" s="119"/>
      <c r="DA417" s="119"/>
      <c r="DB417" s="119"/>
      <c r="DC417" s="119"/>
      <c r="DD417" s="119"/>
      <c r="DE417" s="119"/>
      <c r="DF417" s="119"/>
      <c r="DG417" s="119"/>
      <c r="DH417" s="119"/>
      <c r="DI417" s="119"/>
      <c r="DJ417" s="119"/>
      <c r="DK417" s="119"/>
      <c r="DL417" s="119"/>
      <c r="DM417" s="119"/>
      <c r="DN417" s="119"/>
      <c r="DO417" s="119"/>
      <c r="DP417" s="119"/>
      <c r="DQ417" s="119"/>
      <c r="DR417" s="119"/>
      <c r="DS417" s="119"/>
      <c r="DT417" s="119"/>
      <c r="DU417" s="56"/>
      <c r="DV417" s="56"/>
      <c r="DW417" s="56"/>
      <c r="DX417" s="56"/>
      <c r="DY417" s="60"/>
      <c r="DZ417" s="56">
        <f>DZ280</f>
        <v>740</v>
      </c>
      <c r="EA417" s="56">
        <f t="shared" ref="EA417:EC417" si="2007">EA280</f>
        <v>740</v>
      </c>
      <c r="EB417" s="56">
        <f t="shared" si="2007"/>
        <v>718</v>
      </c>
      <c r="EC417" s="56">
        <f t="shared" si="2007"/>
        <v>696</v>
      </c>
      <c r="ED417" s="60">
        <f>DY420</f>
        <v>766</v>
      </c>
      <c r="EE417" s="56">
        <f>ED420</f>
        <v>677</v>
      </c>
      <c r="EF417" s="56">
        <f t="shared" ref="EF417:ER417" si="2008">EE420</f>
        <v>657</v>
      </c>
      <c r="EG417" s="56">
        <f t="shared" si="2008"/>
        <v>636</v>
      </c>
      <c r="EH417" s="56">
        <f t="shared" si="2008"/>
        <v>617</v>
      </c>
      <c r="EI417" s="60">
        <f>+EE417</f>
        <v>677</v>
      </c>
      <c r="EJ417" s="56">
        <f t="shared" si="2008"/>
        <v>595</v>
      </c>
      <c r="EK417" s="56">
        <f t="shared" si="2008"/>
        <v>577</v>
      </c>
      <c r="EL417" s="56">
        <f t="shared" si="2008"/>
        <v>558</v>
      </c>
      <c r="EM417" s="56">
        <f t="shared" si="2008"/>
        <v>535</v>
      </c>
      <c r="EN417" s="60">
        <f>+EJ417</f>
        <v>595</v>
      </c>
      <c r="EO417" s="56">
        <f t="shared" si="2008"/>
        <v>515</v>
      </c>
      <c r="EP417" s="56">
        <f t="shared" si="2008"/>
        <v>494</v>
      </c>
      <c r="EQ417" s="56">
        <f t="shared" si="2008"/>
        <v>477</v>
      </c>
      <c r="ER417" s="56">
        <f t="shared" si="2008"/>
        <v>450.99999999999994</v>
      </c>
      <c r="ES417" s="60">
        <f>+EO417</f>
        <v>515</v>
      </c>
      <c r="ET417" s="56">
        <f t="shared" ref="ET417:EW417" si="2009">ES420</f>
        <v>429.00000000000006</v>
      </c>
      <c r="EU417" s="56">
        <f t="shared" si="2009"/>
        <v>409.14339408514684</v>
      </c>
      <c r="EV417" s="56">
        <f t="shared" si="2009"/>
        <v>392.84212147160872</v>
      </c>
      <c r="EW417" s="56">
        <f t="shared" si="2009"/>
        <v>368.94485638181339</v>
      </c>
      <c r="EX417" s="60">
        <f>+ET417</f>
        <v>429.00000000000006</v>
      </c>
      <c r="EY417" s="56">
        <f t="shared" ref="EY417" si="2010">EX420</f>
        <v>349.05485071131284</v>
      </c>
      <c r="EZ417" s="56">
        <f t="shared" ref="EZ417" si="2011">EY420</f>
        <v>334.1624187807592</v>
      </c>
      <c r="FA417" s="56">
        <f t="shared" ref="FA417" si="2012">EZ420</f>
        <v>321.85481867174167</v>
      </c>
      <c r="FB417" s="56">
        <f t="shared" ref="FB417" si="2013">FA420</f>
        <v>302.88347953214424</v>
      </c>
      <c r="FC417" s="60">
        <f>+EY417</f>
        <v>349.05485071131284</v>
      </c>
      <c r="FD417" s="56">
        <f t="shared" ref="FD417" si="2014">FC420</f>
        <v>286.73019210233804</v>
      </c>
      <c r="FE417" s="56">
        <f t="shared" ref="FE417" si="2015">FD420</f>
        <v>274.36368706453686</v>
      </c>
      <c r="FF417" s="56">
        <f t="shared" ref="FF417" si="2016">FE420</f>
        <v>263.81149403509653</v>
      </c>
      <c r="FG417" s="56">
        <f t="shared" ref="FG417" si="2017">FF420</f>
        <v>247.9281279674957</v>
      </c>
      <c r="FH417" s="60">
        <f>+FD417</f>
        <v>286.73019210233804</v>
      </c>
      <c r="FI417" s="56">
        <f t="shared" ref="FI417:FM417" si="2018">FH420</f>
        <v>235.5640835124787</v>
      </c>
      <c r="FJ417" s="56">
        <f t="shared" si="2018"/>
        <v>201.50110185717676</v>
      </c>
      <c r="FK417" s="56">
        <f t="shared" si="2018"/>
        <v>189.19906598923811</v>
      </c>
      <c r="FL417" s="56">
        <f t="shared" si="2018"/>
        <v>182.75938798290824</v>
      </c>
      <c r="FM417" s="56">
        <f t="shared" si="2018"/>
        <v>177.94846980067518</v>
      </c>
      <c r="FN417" s="1068">
        <f>+(FJ417/ES417)^0.2-1</f>
        <v>-0.17111546034855984</v>
      </c>
    </row>
    <row r="418" spans="1:171" s="108" customFormat="1" x14ac:dyDescent="0.3">
      <c r="A418" s="63" t="s">
        <v>336</v>
      </c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  <c r="AA418" s="119"/>
      <c r="AB418" s="119"/>
      <c r="AC418" s="119"/>
      <c r="AD418" s="119"/>
      <c r="AE418" s="119"/>
      <c r="AF418" s="119"/>
      <c r="AG418" s="119"/>
      <c r="AH418" s="119"/>
      <c r="AI418" s="119"/>
      <c r="AJ418" s="119"/>
      <c r="AK418" s="119"/>
      <c r="AL418" s="119"/>
      <c r="AM418" s="119"/>
      <c r="AN418" s="119"/>
      <c r="AO418" s="119"/>
      <c r="AP418" s="119"/>
      <c r="AQ418" s="119"/>
      <c r="AR418" s="119"/>
      <c r="AS418" s="119"/>
      <c r="AT418" s="119"/>
      <c r="AU418" s="119"/>
      <c r="AV418" s="119"/>
      <c r="AW418" s="119"/>
      <c r="AX418" s="119"/>
      <c r="AY418" s="119"/>
      <c r="AZ418" s="119"/>
      <c r="BA418" s="119"/>
      <c r="BB418" s="119"/>
      <c r="BC418" s="119"/>
      <c r="BD418" s="119"/>
      <c r="BE418" s="119"/>
      <c r="BF418" s="119"/>
      <c r="BG418" s="119"/>
      <c r="BH418" s="119"/>
      <c r="BI418" s="119"/>
      <c r="BJ418" s="119"/>
      <c r="BK418" s="119"/>
      <c r="BL418" s="119"/>
      <c r="BM418" s="119"/>
      <c r="BN418" s="119"/>
      <c r="BO418" s="119"/>
      <c r="BP418" s="119"/>
      <c r="BQ418" s="119"/>
      <c r="BR418" s="119"/>
      <c r="BS418" s="119"/>
      <c r="BT418" s="119"/>
      <c r="BU418" s="119"/>
      <c r="BV418" s="119"/>
      <c r="BW418" s="119"/>
      <c r="BX418" s="119"/>
      <c r="BY418" s="119"/>
      <c r="BZ418" s="119"/>
      <c r="CA418" s="119"/>
      <c r="CB418" s="119"/>
      <c r="CC418" s="119"/>
      <c r="CD418" s="119"/>
      <c r="CE418" s="119"/>
      <c r="CF418" s="119"/>
      <c r="CG418" s="119"/>
      <c r="CH418" s="119"/>
      <c r="CI418" s="119"/>
      <c r="CJ418" s="119"/>
      <c r="CK418" s="119"/>
      <c r="CL418" s="119"/>
      <c r="CM418" s="119"/>
      <c r="CN418" s="119"/>
      <c r="CO418" s="119"/>
      <c r="CP418" s="119"/>
      <c r="CQ418" s="119"/>
      <c r="CR418" s="119"/>
      <c r="CS418" s="119"/>
      <c r="CT418" s="119"/>
      <c r="CU418" s="119"/>
      <c r="CV418" s="119"/>
      <c r="CW418" s="119"/>
      <c r="CX418" s="119"/>
      <c r="CY418" s="119"/>
      <c r="CZ418" s="119"/>
      <c r="DA418" s="119"/>
      <c r="DB418" s="119"/>
      <c r="DC418" s="119"/>
      <c r="DD418" s="119"/>
      <c r="DE418" s="119"/>
      <c r="DF418" s="119"/>
      <c r="DG418" s="119"/>
      <c r="DH418" s="119"/>
      <c r="DI418" s="119"/>
      <c r="DJ418" s="119"/>
      <c r="DK418" s="119"/>
      <c r="DL418" s="119"/>
      <c r="DM418" s="119"/>
      <c r="DN418" s="119"/>
      <c r="DO418" s="119"/>
      <c r="DP418" s="119"/>
      <c r="DQ418" s="119"/>
      <c r="DR418" s="119"/>
      <c r="DS418" s="119"/>
      <c r="DT418" s="119"/>
      <c r="DU418" s="56"/>
      <c r="DV418" s="56"/>
      <c r="DW418" s="56"/>
      <c r="DX418" s="56"/>
      <c r="DY418" s="60"/>
      <c r="DZ418" s="56">
        <f t="shared" ref="DZ418:EC420" si="2019">DZ281</f>
        <v>77.933999999999969</v>
      </c>
      <c r="EA418" s="56">
        <f t="shared" si="2019"/>
        <v>48.741499999999974</v>
      </c>
      <c r="EB418" s="56">
        <f t="shared" si="2019"/>
        <v>63.407299999999964</v>
      </c>
      <c r="EC418" s="56">
        <f t="shared" si="2019"/>
        <v>58.677800000000047</v>
      </c>
      <c r="ED418" s="60">
        <f>+SUM(DZ418:EC418)</f>
        <v>248.76059999999995</v>
      </c>
      <c r="EE418" s="56">
        <f t="shared" ref="EE418:EM419" si="2020">EE281</f>
        <v>50.212600000000066</v>
      </c>
      <c r="EF418" s="56">
        <f t="shared" si="2020"/>
        <v>56.168099999999981</v>
      </c>
      <c r="EG418" s="56">
        <f t="shared" si="2020"/>
        <v>61.703300000000013</v>
      </c>
      <c r="EH418" s="56">
        <f t="shared" si="2020"/>
        <v>47.940699999999993</v>
      </c>
      <c r="EI418" s="60">
        <f>+SUM(EE418:EH418)</f>
        <v>216.02470000000005</v>
      </c>
      <c r="EJ418" s="56">
        <f t="shared" si="2020"/>
        <v>49.541900000000055</v>
      </c>
      <c r="EK418" s="56">
        <f t="shared" si="2020"/>
        <v>62.969500000000039</v>
      </c>
      <c r="EL418" s="56">
        <f t="shared" si="2020"/>
        <v>65.317400000000021</v>
      </c>
      <c r="EM418" s="56">
        <f t="shared" si="2020"/>
        <v>56.895800000000008</v>
      </c>
      <c r="EN418" s="60">
        <f>+SUM(EJ418:EM418)</f>
        <v>234.72460000000012</v>
      </c>
      <c r="EO418" s="56">
        <f t="shared" ref="EO418:ER419" si="2021">EO281</f>
        <v>56.899800000000027</v>
      </c>
      <c r="EP418" s="56">
        <f t="shared" si="2021"/>
        <v>65.643599999999992</v>
      </c>
      <c r="EQ418" s="56">
        <f t="shared" si="2021"/>
        <v>68.785799999999995</v>
      </c>
      <c r="ER418" s="56">
        <f t="shared" si="2021"/>
        <v>61.216200000000072</v>
      </c>
      <c r="ES418" s="60">
        <f>+SUM(EO418:ER418)</f>
        <v>252.54540000000009</v>
      </c>
      <c r="ET418" s="56">
        <f t="shared" ref="ET418:EW419" si="2022">ET281</f>
        <v>48.279248279321571</v>
      </c>
      <c r="EU418" s="56">
        <f t="shared" si="2022"/>
        <v>55.568640652830254</v>
      </c>
      <c r="EV418" s="56">
        <f t="shared" si="2022"/>
        <v>58.068452929602593</v>
      </c>
      <c r="EW418" s="56">
        <f t="shared" si="2022"/>
        <v>51.58959168099009</v>
      </c>
      <c r="EX418" s="60">
        <f>+SUM(ET418:EW418)</f>
        <v>213.50593354274449</v>
      </c>
      <c r="EY418" s="56">
        <f t="shared" ref="EY418:FB418" si="2023">EY281</f>
        <v>40.546147122675826</v>
      </c>
      <c r="EZ418" s="56">
        <f t="shared" si="2023"/>
        <v>46.391194499053306</v>
      </c>
      <c r="FA418" s="56">
        <f t="shared" si="2023"/>
        <v>48.183021018135804</v>
      </c>
      <c r="FB418" s="56">
        <f t="shared" si="2023"/>
        <v>42.527539221889953</v>
      </c>
      <c r="FC418" s="60">
        <f>+SUM(EY418:FB418)</f>
        <v>177.64790186175489</v>
      </c>
      <c r="FD418" s="56">
        <f t="shared" ref="FD418:FM419" si="2024">FD281</f>
        <v>33.173370398451965</v>
      </c>
      <c r="FE418" s="56">
        <f t="shared" si="2024"/>
        <v>37.642387838375612</v>
      </c>
      <c r="FF418" s="56">
        <f t="shared" si="2024"/>
        <v>39.160371221450426</v>
      </c>
      <c r="FG418" s="56">
        <f t="shared" si="2024"/>
        <v>35.669699484444529</v>
      </c>
      <c r="FH418" s="60">
        <f>+SUM(FD418:FG418)</f>
        <v>145.64582894272252</v>
      </c>
      <c r="FI418" s="56">
        <f t="shared" si="2024"/>
        <v>138.7944976782203</v>
      </c>
      <c r="FJ418" s="56">
        <f t="shared" si="2024"/>
        <v>135.55994729433647</v>
      </c>
      <c r="FK418" s="56">
        <f t="shared" si="2024"/>
        <v>132.39504225960559</v>
      </c>
      <c r="FL418" s="56">
        <f t="shared" si="2024"/>
        <v>129.298351194519</v>
      </c>
      <c r="FM418" s="56">
        <f t="shared" si="2024"/>
        <v>126.2684712599136</v>
      </c>
      <c r="FN418" s="1068">
        <f>+(FJ418/ES418)^0.2-1</f>
        <v>-0.11700471250598143</v>
      </c>
    </row>
    <row r="419" spans="1:171" s="108" customFormat="1" x14ac:dyDescent="0.3">
      <c r="A419" s="63" t="s">
        <v>337</v>
      </c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  <c r="AA419" s="119"/>
      <c r="AB419" s="119"/>
      <c r="AC419" s="119"/>
      <c r="AD419" s="119"/>
      <c r="AE419" s="119"/>
      <c r="AF419" s="119"/>
      <c r="AG419" s="119"/>
      <c r="AH419" s="119"/>
      <c r="AI419" s="119"/>
      <c r="AJ419" s="119"/>
      <c r="AK419" s="119"/>
      <c r="AL419" s="119"/>
      <c r="AM419" s="119"/>
      <c r="AN419" s="119"/>
      <c r="AO419" s="119"/>
      <c r="AP419" s="119"/>
      <c r="AQ419" s="119"/>
      <c r="AR419" s="119"/>
      <c r="AS419" s="119"/>
      <c r="AT419" s="119"/>
      <c r="AU419" s="119"/>
      <c r="AV419" s="119"/>
      <c r="AW419" s="119"/>
      <c r="AX419" s="119"/>
      <c r="AY419" s="119"/>
      <c r="AZ419" s="119"/>
      <c r="BA419" s="119"/>
      <c r="BB419" s="119"/>
      <c r="BC419" s="119"/>
      <c r="BD419" s="119"/>
      <c r="BE419" s="119"/>
      <c r="BF419" s="119"/>
      <c r="BG419" s="119"/>
      <c r="BH419" s="119"/>
      <c r="BI419" s="119"/>
      <c r="BJ419" s="119"/>
      <c r="BK419" s="119"/>
      <c r="BL419" s="119"/>
      <c r="BM419" s="119"/>
      <c r="BN419" s="119"/>
      <c r="BO419" s="119"/>
      <c r="BP419" s="119"/>
      <c r="BQ419" s="119"/>
      <c r="BR419" s="119"/>
      <c r="BS419" s="119"/>
      <c r="BT419" s="119"/>
      <c r="BU419" s="119"/>
      <c r="BV419" s="119"/>
      <c r="BW419" s="119"/>
      <c r="BX419" s="119"/>
      <c r="BY419" s="119"/>
      <c r="BZ419" s="119"/>
      <c r="CA419" s="119"/>
      <c r="CB419" s="119"/>
      <c r="CC419" s="119"/>
      <c r="CD419" s="119"/>
      <c r="CE419" s="119"/>
      <c r="CF419" s="119"/>
      <c r="CG419" s="119"/>
      <c r="CH419" s="119"/>
      <c r="CI419" s="119"/>
      <c r="CJ419" s="119"/>
      <c r="CK419" s="119"/>
      <c r="CL419" s="119"/>
      <c r="CM419" s="119"/>
      <c r="CN419" s="119"/>
      <c r="CO419" s="119"/>
      <c r="CP419" s="119"/>
      <c r="CQ419" s="119"/>
      <c r="CR419" s="119"/>
      <c r="CS419" s="119"/>
      <c r="CT419" s="119"/>
      <c r="CU419" s="119"/>
      <c r="CV419" s="119"/>
      <c r="CW419" s="119"/>
      <c r="CX419" s="119"/>
      <c r="CY419" s="119"/>
      <c r="CZ419" s="119"/>
      <c r="DA419" s="119"/>
      <c r="DB419" s="119"/>
      <c r="DC419" s="119"/>
      <c r="DD419" s="119"/>
      <c r="DE419" s="119"/>
      <c r="DF419" s="119"/>
      <c r="DG419" s="119"/>
      <c r="DH419" s="119"/>
      <c r="DI419" s="119"/>
      <c r="DJ419" s="119"/>
      <c r="DK419" s="119"/>
      <c r="DL419" s="119"/>
      <c r="DM419" s="119"/>
      <c r="DN419" s="119"/>
      <c r="DO419" s="119"/>
      <c r="DP419" s="119"/>
      <c r="DQ419" s="119"/>
      <c r="DR419" s="119"/>
      <c r="DS419" s="119"/>
      <c r="DT419" s="119"/>
      <c r="DU419" s="56"/>
      <c r="DV419" s="56"/>
      <c r="DW419" s="56"/>
      <c r="DX419" s="56"/>
      <c r="DY419" s="1215"/>
      <c r="DZ419" s="56">
        <f t="shared" si="2019"/>
        <v>-77.934000000000012</v>
      </c>
      <c r="EA419" s="56">
        <f t="shared" si="2019"/>
        <v>-70.741500000000002</v>
      </c>
      <c r="EB419" s="56">
        <f t="shared" si="2019"/>
        <v>-85.407299999999992</v>
      </c>
      <c r="EC419" s="56">
        <f t="shared" si="2019"/>
        <v>-77.677800000000019</v>
      </c>
      <c r="ED419" s="60">
        <f>+SUM(DZ419:EC419)</f>
        <v>-311.76060000000001</v>
      </c>
      <c r="EE419" s="56">
        <f t="shared" si="2020"/>
        <v>-70.212600000000009</v>
      </c>
      <c r="EF419" s="56">
        <f t="shared" si="2020"/>
        <v>-77.168099999999995</v>
      </c>
      <c r="EG419" s="56">
        <f t="shared" si="2020"/>
        <v>-80.703300000000027</v>
      </c>
      <c r="EH419" s="56">
        <f t="shared" si="2020"/>
        <v>-69.940700000000021</v>
      </c>
      <c r="EI419" s="60">
        <f>+SUM(EE419:EH419)</f>
        <v>-298.02470000000005</v>
      </c>
      <c r="EJ419" s="56">
        <f t="shared" si="2020"/>
        <v>-67.541900000000012</v>
      </c>
      <c r="EK419" s="56">
        <f t="shared" si="2020"/>
        <v>-81.969499999999996</v>
      </c>
      <c r="EL419" s="56">
        <f t="shared" si="2020"/>
        <v>-88.317400000000021</v>
      </c>
      <c r="EM419" s="56">
        <f t="shared" si="2020"/>
        <v>-76.895800000000008</v>
      </c>
      <c r="EN419" s="60">
        <f>+SUM(EJ419:EM419)</f>
        <v>-314.72460000000001</v>
      </c>
      <c r="EO419" s="56">
        <f t="shared" si="2021"/>
        <v>-77.899800000000027</v>
      </c>
      <c r="EP419" s="56">
        <f t="shared" si="2021"/>
        <v>-82.643599999999978</v>
      </c>
      <c r="EQ419" s="56">
        <f t="shared" si="2021"/>
        <v>-94.785800000000037</v>
      </c>
      <c r="ER419" s="56">
        <f t="shared" si="2021"/>
        <v>-83.216200000000015</v>
      </c>
      <c r="ES419" s="60">
        <f>+SUM(EO419:ER419)</f>
        <v>-338.54540000000009</v>
      </c>
      <c r="ET419" s="56">
        <f t="shared" si="2022"/>
        <v>-68.135854194174783</v>
      </c>
      <c r="EU419" s="56">
        <f t="shared" si="2022"/>
        <v>-71.8699132663684</v>
      </c>
      <c r="EV419" s="56">
        <f t="shared" si="2022"/>
        <v>-81.965718019397897</v>
      </c>
      <c r="EW419" s="56">
        <f t="shared" si="2022"/>
        <v>-71.479597351490639</v>
      </c>
      <c r="EX419" s="60">
        <f>+SUM(ET419:EW419)</f>
        <v>-293.45108283143168</v>
      </c>
      <c r="EY419" s="56">
        <f t="shared" ref="EY419:FB419" si="2025">EY282</f>
        <v>-55.438579053229482</v>
      </c>
      <c r="EZ419" s="56">
        <f t="shared" si="2025"/>
        <v>-58.69879460807087</v>
      </c>
      <c r="FA419" s="56">
        <f t="shared" si="2025"/>
        <v>-67.154360157733265</v>
      </c>
      <c r="FB419" s="56">
        <f t="shared" si="2025"/>
        <v>-58.680826651696151</v>
      </c>
      <c r="FC419" s="60">
        <f>+SUM(EY419:FB419)</f>
        <v>-239.97256047072977</v>
      </c>
      <c r="FD419" s="56">
        <f t="shared" si="2024"/>
        <v>-45.539875436253197</v>
      </c>
      <c r="FE419" s="56">
        <f t="shared" si="2024"/>
        <v>-48.194580867815951</v>
      </c>
      <c r="FF419" s="56">
        <f t="shared" si="2024"/>
        <v>-55.043737289051251</v>
      </c>
      <c r="FG419" s="56">
        <f t="shared" si="2024"/>
        <v>-48.03374393946153</v>
      </c>
      <c r="FH419" s="60">
        <f>+SUM(FD419:FG419)</f>
        <v>-196.81193753258191</v>
      </c>
      <c r="FI419" s="56">
        <f t="shared" si="2024"/>
        <v>-172.85747933352224</v>
      </c>
      <c r="FJ419" s="56">
        <f t="shared" si="2024"/>
        <v>-147.8619831622751</v>
      </c>
      <c r="FK419" s="56">
        <f t="shared" si="2024"/>
        <v>-138.83472026593543</v>
      </c>
      <c r="FL419" s="56">
        <f t="shared" si="2024"/>
        <v>-134.10926937675208</v>
      </c>
      <c r="FM419" s="56">
        <f t="shared" si="2024"/>
        <v>-130.57900628290244</v>
      </c>
      <c r="FN419" s="1068">
        <f>+(FJ419/ES419)^0.2-1</f>
        <v>-0.15267909399083524</v>
      </c>
    </row>
    <row r="420" spans="1:171" s="108" customFormat="1" x14ac:dyDescent="0.3">
      <c r="A420" s="64" t="s">
        <v>407</v>
      </c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  <c r="AA420" s="119"/>
      <c r="AB420" s="119"/>
      <c r="AC420" s="119"/>
      <c r="AD420" s="119"/>
      <c r="AE420" s="119"/>
      <c r="AF420" s="119"/>
      <c r="AG420" s="119"/>
      <c r="AH420" s="119"/>
      <c r="AI420" s="119"/>
      <c r="AJ420" s="119"/>
      <c r="AK420" s="119"/>
      <c r="AL420" s="119"/>
      <c r="AM420" s="119"/>
      <c r="AN420" s="119"/>
      <c r="AO420" s="119"/>
      <c r="AP420" s="119"/>
      <c r="AQ420" s="119"/>
      <c r="AR420" s="119"/>
      <c r="AS420" s="119"/>
      <c r="AT420" s="119"/>
      <c r="AU420" s="119"/>
      <c r="AV420" s="119"/>
      <c r="AW420" s="119"/>
      <c r="AX420" s="119"/>
      <c r="AY420" s="119"/>
      <c r="AZ420" s="119"/>
      <c r="BA420" s="119"/>
      <c r="BB420" s="119"/>
      <c r="BC420" s="119"/>
      <c r="BD420" s="119"/>
      <c r="BE420" s="119"/>
      <c r="BF420" s="119"/>
      <c r="BG420" s="119"/>
      <c r="BH420" s="119"/>
      <c r="BI420" s="119"/>
      <c r="BJ420" s="119"/>
      <c r="BK420" s="119"/>
      <c r="BL420" s="119"/>
      <c r="BM420" s="119"/>
      <c r="BN420" s="119"/>
      <c r="BO420" s="119"/>
      <c r="BP420" s="119"/>
      <c r="BQ420" s="119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19"/>
      <c r="CB420" s="119"/>
      <c r="CC420" s="119"/>
      <c r="CD420" s="119"/>
      <c r="CE420" s="119"/>
      <c r="CF420" s="119"/>
      <c r="CG420" s="119"/>
      <c r="CH420" s="119"/>
      <c r="CI420" s="119"/>
      <c r="CJ420" s="119"/>
      <c r="CK420" s="119"/>
      <c r="CL420" s="119"/>
      <c r="CM420" s="119"/>
      <c r="CN420" s="119"/>
      <c r="CO420" s="119"/>
      <c r="CP420" s="119"/>
      <c r="CQ420" s="119"/>
      <c r="CR420" s="119"/>
      <c r="CS420" s="119"/>
      <c r="CT420" s="119"/>
      <c r="CU420" s="119"/>
      <c r="CV420" s="119"/>
      <c r="CW420" s="119"/>
      <c r="CX420" s="119"/>
      <c r="CY420" s="119"/>
      <c r="CZ420" s="119"/>
      <c r="DA420" s="119"/>
      <c r="DB420" s="119"/>
      <c r="DC420" s="119"/>
      <c r="DD420" s="119"/>
      <c r="DE420" s="119"/>
      <c r="DF420" s="119"/>
      <c r="DG420" s="119"/>
      <c r="DH420" s="119"/>
      <c r="DI420" s="119"/>
      <c r="DJ420" s="119"/>
      <c r="DK420" s="119"/>
      <c r="DL420" s="119"/>
      <c r="DM420" s="119"/>
      <c r="DN420" s="119"/>
      <c r="DO420" s="119"/>
      <c r="DP420" s="119"/>
      <c r="DQ420" s="119"/>
      <c r="DR420" s="119"/>
      <c r="DS420" s="119"/>
      <c r="DT420" s="119"/>
      <c r="DU420" s="1796">
        <f>+DU431-DU397</f>
        <v>866</v>
      </c>
      <c r="DV420" s="1796">
        <f>+DV431-DV397</f>
        <v>831</v>
      </c>
      <c r="DW420" s="1796">
        <f>+DW431-DW397</f>
        <v>795</v>
      </c>
      <c r="DX420" s="1796">
        <f>+DX431-DX397</f>
        <v>766</v>
      </c>
      <c r="DY420" s="121">
        <f>+DX420</f>
        <v>766</v>
      </c>
      <c r="DZ420" s="1796">
        <f>DZ283</f>
        <v>740</v>
      </c>
      <c r="EA420" s="1796">
        <f t="shared" si="2019"/>
        <v>718</v>
      </c>
      <c r="EB420" s="1796">
        <f t="shared" si="2019"/>
        <v>696</v>
      </c>
      <c r="EC420" s="1796">
        <f t="shared" si="2019"/>
        <v>677</v>
      </c>
      <c r="ED420" s="1797">
        <f>+EC420</f>
        <v>677</v>
      </c>
      <c r="EE420" s="1796">
        <f>SUM(EE417:EE419)</f>
        <v>657</v>
      </c>
      <c r="EF420" s="1796">
        <f t="shared" ref="EF420:EM420" si="2026">SUM(EF417:EF419)</f>
        <v>636</v>
      </c>
      <c r="EG420" s="1796">
        <f t="shared" si="2026"/>
        <v>617</v>
      </c>
      <c r="EH420" s="1796">
        <f t="shared" si="2026"/>
        <v>595</v>
      </c>
      <c r="EI420" s="1797">
        <f>+EH420</f>
        <v>595</v>
      </c>
      <c r="EJ420" s="1796">
        <f t="shared" si="2026"/>
        <v>577</v>
      </c>
      <c r="EK420" s="1796">
        <f t="shared" si="2026"/>
        <v>558</v>
      </c>
      <c r="EL420" s="1796">
        <f t="shared" si="2026"/>
        <v>535</v>
      </c>
      <c r="EM420" s="1796">
        <f t="shared" si="2026"/>
        <v>515</v>
      </c>
      <c r="EN420" s="1797">
        <f>+EM420</f>
        <v>515</v>
      </c>
      <c r="EO420" s="1796">
        <f t="shared" ref="EO420:ER420" si="2027">SUM(EO417:EO419)</f>
        <v>494</v>
      </c>
      <c r="EP420" s="1796">
        <f t="shared" si="2027"/>
        <v>477</v>
      </c>
      <c r="EQ420" s="1796">
        <f t="shared" si="2027"/>
        <v>450.99999999999994</v>
      </c>
      <c r="ER420" s="1796">
        <f t="shared" si="2027"/>
        <v>429.00000000000006</v>
      </c>
      <c r="ES420" s="1797">
        <f>+ER420</f>
        <v>429.00000000000006</v>
      </c>
      <c r="ET420" s="1796">
        <f t="shared" ref="ET420:EW420" si="2028">SUM(ET417:ET419)</f>
        <v>409.14339408514684</v>
      </c>
      <c r="EU420" s="1796">
        <f t="shared" si="2028"/>
        <v>392.84212147160872</v>
      </c>
      <c r="EV420" s="1796">
        <f t="shared" si="2028"/>
        <v>368.94485638181339</v>
      </c>
      <c r="EW420" s="1796">
        <f t="shared" si="2028"/>
        <v>349.05485071131284</v>
      </c>
      <c r="EX420" s="1797">
        <f>+EW420</f>
        <v>349.05485071131284</v>
      </c>
      <c r="EY420" s="1796">
        <f t="shared" ref="EY420:FB420" si="2029">SUM(EY417:EY419)</f>
        <v>334.1624187807592</v>
      </c>
      <c r="EZ420" s="1796">
        <f t="shared" si="2029"/>
        <v>321.85481867174167</v>
      </c>
      <c r="FA420" s="1796">
        <f t="shared" si="2029"/>
        <v>302.88347953214424</v>
      </c>
      <c r="FB420" s="1796">
        <f t="shared" si="2029"/>
        <v>286.73019210233804</v>
      </c>
      <c r="FC420" s="1797">
        <f>+FB420</f>
        <v>286.73019210233804</v>
      </c>
      <c r="FD420" s="1796">
        <f t="shared" ref="FD420:FM420" si="2030">SUM(FD417:FD419)</f>
        <v>274.36368706453686</v>
      </c>
      <c r="FE420" s="1796">
        <f t="shared" si="2030"/>
        <v>263.81149403509653</v>
      </c>
      <c r="FF420" s="1796">
        <f t="shared" si="2030"/>
        <v>247.9281279674957</v>
      </c>
      <c r="FG420" s="1796">
        <f t="shared" si="2030"/>
        <v>235.5640835124787</v>
      </c>
      <c r="FH420" s="1797">
        <f>+FG420</f>
        <v>235.5640835124787</v>
      </c>
      <c r="FI420" s="1796">
        <f t="shared" si="2030"/>
        <v>201.50110185717676</v>
      </c>
      <c r="FJ420" s="1796">
        <f t="shared" si="2030"/>
        <v>189.19906598923811</v>
      </c>
      <c r="FK420" s="1796">
        <f t="shared" si="2030"/>
        <v>182.75938798290824</v>
      </c>
      <c r="FL420" s="1796">
        <f t="shared" si="2030"/>
        <v>177.94846980067518</v>
      </c>
      <c r="FM420" s="1796">
        <f t="shared" si="2030"/>
        <v>173.63793477768635</v>
      </c>
      <c r="FN420" s="1068">
        <f>+(FJ420/ES420)^0.2-1</f>
        <v>-0.15103000917457754</v>
      </c>
    </row>
    <row r="421" spans="1:171" s="108" customFormat="1" x14ac:dyDescent="0.3">
      <c r="A421" s="61" t="s">
        <v>339</v>
      </c>
      <c r="DY421" s="538"/>
      <c r="DZ421" s="122">
        <f t="shared" ref="DZ421:EX421" si="2031">+DZ420/DU420-1</f>
        <v>-0.14549653579676669</v>
      </c>
      <c r="EA421" s="122">
        <f t="shared" si="2031"/>
        <v>-0.13598074608904931</v>
      </c>
      <c r="EB421" s="122">
        <f t="shared" si="2031"/>
        <v>-0.12452830188679243</v>
      </c>
      <c r="EC421" s="122">
        <f t="shared" si="2031"/>
        <v>-0.11618798955613574</v>
      </c>
      <c r="ED421" s="123">
        <f t="shared" si="2031"/>
        <v>-0.11618798955613574</v>
      </c>
      <c r="EE421" s="122">
        <f t="shared" si="2031"/>
        <v>-0.11216216216216213</v>
      </c>
      <c r="EF421" s="122">
        <f t="shared" si="2031"/>
        <v>-0.11420612813370479</v>
      </c>
      <c r="EG421" s="122">
        <f t="shared" si="2031"/>
        <v>-0.1135057471264368</v>
      </c>
      <c r="EH421" s="122">
        <f t="shared" si="2031"/>
        <v>-0.12112259970457906</v>
      </c>
      <c r="EI421" s="123">
        <f t="shared" si="2031"/>
        <v>-0.12112259970457906</v>
      </c>
      <c r="EJ421" s="122">
        <f t="shared" si="2031"/>
        <v>-0.12176560121765601</v>
      </c>
      <c r="EK421" s="122">
        <f t="shared" si="2031"/>
        <v>-0.12264150943396224</v>
      </c>
      <c r="EL421" s="122">
        <f t="shared" si="2031"/>
        <v>-0.13290113452188002</v>
      </c>
      <c r="EM421" s="122">
        <f t="shared" si="2031"/>
        <v>-0.13445378151260501</v>
      </c>
      <c r="EN421" s="123">
        <f t="shared" si="2031"/>
        <v>-0.13445378151260501</v>
      </c>
      <c r="EO421" s="122">
        <f t="shared" si="2031"/>
        <v>-0.14384748700173311</v>
      </c>
      <c r="EP421" s="122">
        <f t="shared" si="2031"/>
        <v>-0.14516129032258063</v>
      </c>
      <c r="EQ421" s="122">
        <f t="shared" si="2031"/>
        <v>-0.15700934579439263</v>
      </c>
      <c r="ER421" s="122">
        <f t="shared" si="2031"/>
        <v>-0.16699029126213583</v>
      </c>
      <c r="ES421" s="123">
        <f t="shared" si="2031"/>
        <v>-0.16699029126213583</v>
      </c>
      <c r="ET421" s="122">
        <f t="shared" si="2031"/>
        <v>-0.17177450590051246</v>
      </c>
      <c r="EU421" s="122">
        <f t="shared" si="2031"/>
        <v>-0.17643161117063166</v>
      </c>
      <c r="EV421" s="122">
        <f t="shared" si="2031"/>
        <v>-0.18194045148156668</v>
      </c>
      <c r="EW421" s="122">
        <f t="shared" si="2031"/>
        <v>-0.18635232934425927</v>
      </c>
      <c r="EX421" s="123">
        <f t="shared" si="2031"/>
        <v>-0.18635232934425927</v>
      </c>
      <c r="EY421" s="122">
        <f t="shared" ref="EY421" si="2032">+EY420/ET420-1</f>
        <v>-0.18326331645179472</v>
      </c>
      <c r="EZ421" s="122">
        <f t="shared" ref="EZ421" si="2033">+EZ420/EU420-1</f>
        <v>-0.18070186194378701</v>
      </c>
      <c r="FA421" s="122">
        <f t="shared" ref="FA421" si="2034">+FA420/EV420-1</f>
        <v>-0.17905487963031419</v>
      </c>
      <c r="FB421" s="122">
        <f t="shared" ref="FB421:FC421" si="2035">+FB420/EW420-1</f>
        <v>-0.17855262140597106</v>
      </c>
      <c r="FC421" s="123">
        <f t="shared" si="2035"/>
        <v>-0.17855262140597106</v>
      </c>
      <c r="FD421" s="122">
        <f t="shared" ref="FD421" si="2036">+FD420/EY420-1</f>
        <v>-0.17895109789546892</v>
      </c>
      <c r="FE421" s="122">
        <f t="shared" ref="FE421" si="2037">+FE420/EZ420-1</f>
        <v>-0.180340082762108</v>
      </c>
      <c r="FF421" s="122">
        <f t="shared" ref="FF421" si="2038">+FF420/FA420-1</f>
        <v>-0.18144057130331626</v>
      </c>
      <c r="FG421" s="122">
        <f t="shared" ref="FG421:FH421" si="2039">+FG420/FB420-1</f>
        <v>-0.17844688142083565</v>
      </c>
      <c r="FH421" s="123">
        <f t="shared" si="2039"/>
        <v>-0.17844688142083565</v>
      </c>
      <c r="FI421" s="122">
        <f t="shared" ref="FI421:FM421" si="2040">+FI420/FH420-1</f>
        <v>-0.1446017624902376</v>
      </c>
      <c r="FJ421" s="122">
        <f t="shared" si="2040"/>
        <v>-6.1051953337001086E-2</v>
      </c>
      <c r="FK421" s="122">
        <f t="shared" si="2040"/>
        <v>-3.4036521124772179E-2</v>
      </c>
      <c r="FL421" s="122">
        <f t="shared" si="2040"/>
        <v>-2.6323781422834314E-2</v>
      </c>
      <c r="FM421" s="122">
        <f t="shared" si="2040"/>
        <v>-2.4223501487914856E-2</v>
      </c>
    </row>
    <row r="422" spans="1:171" s="108" customFormat="1" x14ac:dyDescent="0.3">
      <c r="A422" s="65" t="s">
        <v>340</v>
      </c>
      <c r="DU422" s="455"/>
      <c r="DV422" s="124">
        <f t="shared" ref="DV422:EC422" si="2041">+DV420-DU420</f>
        <v>-35</v>
      </c>
      <c r="DW422" s="124">
        <f t="shared" si="2041"/>
        <v>-36</v>
      </c>
      <c r="DX422" s="124">
        <f t="shared" si="2041"/>
        <v>-29</v>
      </c>
      <c r="DY422" s="125"/>
      <c r="DZ422" s="124">
        <f t="shared" si="2041"/>
        <v>-26</v>
      </c>
      <c r="EA422" s="124">
        <f t="shared" si="2041"/>
        <v>-22</v>
      </c>
      <c r="EB422" s="124">
        <f t="shared" si="2041"/>
        <v>-22</v>
      </c>
      <c r="EC422" s="124">
        <f t="shared" si="2041"/>
        <v>-19</v>
      </c>
      <c r="ED422" s="125">
        <f>+SUM(DZ422:EC422)</f>
        <v>-89</v>
      </c>
      <c r="EE422" s="124">
        <f t="shared" ref="EE422:ER422" si="2042">+EE420-ED420</f>
        <v>-20</v>
      </c>
      <c r="EF422" s="124">
        <f t="shared" si="2042"/>
        <v>-21</v>
      </c>
      <c r="EG422" s="124">
        <f t="shared" si="2042"/>
        <v>-19</v>
      </c>
      <c r="EH422" s="124">
        <f t="shared" si="2042"/>
        <v>-22</v>
      </c>
      <c r="EI422" s="125">
        <f>+SUM(EE422:EH422)</f>
        <v>-82</v>
      </c>
      <c r="EJ422" s="124">
        <f t="shared" si="2042"/>
        <v>-18</v>
      </c>
      <c r="EK422" s="124">
        <f t="shared" si="2042"/>
        <v>-19</v>
      </c>
      <c r="EL422" s="124">
        <f t="shared" si="2042"/>
        <v>-23</v>
      </c>
      <c r="EM422" s="124">
        <f t="shared" si="2042"/>
        <v>-20</v>
      </c>
      <c r="EN422" s="125">
        <f>+SUM(EJ422:EM422)</f>
        <v>-80</v>
      </c>
      <c r="EO422" s="124">
        <f t="shared" si="2042"/>
        <v>-21</v>
      </c>
      <c r="EP422" s="124">
        <f t="shared" si="2042"/>
        <v>-17</v>
      </c>
      <c r="EQ422" s="124">
        <f t="shared" si="2042"/>
        <v>-26.000000000000057</v>
      </c>
      <c r="ER422" s="124">
        <f t="shared" si="2042"/>
        <v>-21.999999999999886</v>
      </c>
      <c r="ES422" s="125">
        <f>+SUM(EO422:ER422)</f>
        <v>-85.999999999999943</v>
      </c>
      <c r="ET422" s="124">
        <f t="shared" ref="ET422:EW422" si="2043">+ET420-ES420</f>
        <v>-19.856605914853219</v>
      </c>
      <c r="EU422" s="124">
        <f t="shared" si="2043"/>
        <v>-16.301272613538117</v>
      </c>
      <c r="EV422" s="124">
        <f t="shared" si="2043"/>
        <v>-23.897265089795326</v>
      </c>
      <c r="EW422" s="124">
        <f t="shared" si="2043"/>
        <v>-19.890005670500557</v>
      </c>
      <c r="EX422" s="125">
        <f>+SUM(ET422:EW422)</f>
        <v>-79.945149288687219</v>
      </c>
      <c r="EY422" s="124">
        <f t="shared" ref="EY422" si="2044">+EY420-EX420</f>
        <v>-14.892431930553641</v>
      </c>
      <c r="EZ422" s="124">
        <f t="shared" ref="EZ422" si="2045">+EZ420-EY420</f>
        <v>-12.307600109017528</v>
      </c>
      <c r="FA422" s="124">
        <f t="shared" ref="FA422" si="2046">+FA420-EZ420</f>
        <v>-18.971339139597433</v>
      </c>
      <c r="FB422" s="124">
        <f t="shared" ref="FB422" si="2047">+FB420-FA420</f>
        <v>-16.153287429806198</v>
      </c>
      <c r="FC422" s="125">
        <f>+SUM(EY422:FB422)</f>
        <v>-62.324658608974801</v>
      </c>
      <c r="FD422" s="124">
        <f t="shared" ref="FD422" si="2048">+FD420-FC420</f>
        <v>-12.366505037801176</v>
      </c>
      <c r="FE422" s="124">
        <f t="shared" ref="FE422" si="2049">+FE420-FD420</f>
        <v>-10.552193029440332</v>
      </c>
      <c r="FF422" s="124">
        <f t="shared" ref="FF422" si="2050">+FF420-FE420</f>
        <v>-15.883366067600832</v>
      </c>
      <c r="FG422" s="124">
        <f t="shared" ref="FG422" si="2051">+FG420-FF420</f>
        <v>-12.364044455016995</v>
      </c>
      <c r="FH422" s="125">
        <f>+SUM(FD422:FG422)</f>
        <v>-51.166108589859334</v>
      </c>
      <c r="FI422" s="124">
        <f t="shared" ref="FI422:FM422" si="2052">+FI420-FH420</f>
        <v>-34.06298165530194</v>
      </c>
      <c r="FJ422" s="124">
        <f t="shared" si="2052"/>
        <v>-12.302035867938656</v>
      </c>
      <c r="FK422" s="124">
        <f t="shared" si="2052"/>
        <v>-6.4396780063298706</v>
      </c>
      <c r="FL422" s="124">
        <f t="shared" si="2052"/>
        <v>-4.8109181822330527</v>
      </c>
      <c r="FM422" s="124">
        <f t="shared" si="2052"/>
        <v>-4.3105350229888302</v>
      </c>
      <c r="FO422" s="1069" t="s">
        <v>346</v>
      </c>
    </row>
    <row r="423" spans="1:171" s="108" customFormat="1" x14ac:dyDescent="0.3">
      <c r="A423" s="65" t="s">
        <v>341</v>
      </c>
      <c r="DU423" s="122"/>
      <c r="DV423" s="122"/>
      <c r="DW423" s="122"/>
      <c r="DX423" s="122"/>
      <c r="DY423" s="123"/>
      <c r="DZ423" s="122">
        <f>DZ297</f>
        <v>1.3115690123198988E-2</v>
      </c>
      <c r="EA423" s="122">
        <f t="shared" ref="EA423:FM425" si="2053">EA297</f>
        <v>9.7925944500167061E-3</v>
      </c>
      <c r="EB423" s="122">
        <f t="shared" si="2053"/>
        <v>1.1048521600936797E-2</v>
      </c>
      <c r="EC423" s="122">
        <f t="shared" si="2053"/>
        <v>9.0496267091686993E-3</v>
      </c>
      <c r="ED423" s="123">
        <f t="shared" si="2053"/>
        <v>4.3014025474243385E-2</v>
      </c>
      <c r="EE423" s="122">
        <f t="shared" si="2053"/>
        <v>7.9207703353323857E-3</v>
      </c>
      <c r="EF423" s="122">
        <f t="shared" si="2053"/>
        <v>7.8794744227580048E-3</v>
      </c>
      <c r="EG423" s="122">
        <f t="shared" si="2053"/>
        <v>8.785667024704619E-3</v>
      </c>
      <c r="EH423" s="122">
        <f t="shared" si="2053"/>
        <v>7.1644248405974388E-3</v>
      </c>
      <c r="EI423" s="123">
        <f t="shared" si="2053"/>
        <v>3.1761931282666453E-2</v>
      </c>
      <c r="EJ423" s="122">
        <f t="shared" si="2053"/>
        <v>6.7732829517670595E-3</v>
      </c>
      <c r="EK423" s="122">
        <f t="shared" si="2053"/>
        <v>7.6768713357269437E-3</v>
      </c>
      <c r="EL423" s="122">
        <f t="shared" si="2053"/>
        <v>7.2804454634785585E-3</v>
      </c>
      <c r="EM423" s="122">
        <f t="shared" si="2053"/>
        <v>5.5178938232316047E-3</v>
      </c>
      <c r="EN423" s="123">
        <f t="shared" si="2053"/>
        <v>2.7309495658599688E-2</v>
      </c>
      <c r="EO423" s="122">
        <f t="shared" si="2053"/>
        <v>5.408390079029787E-3</v>
      </c>
      <c r="EP423" s="122">
        <f t="shared" si="2053"/>
        <v>6.2809288943690891E-3</v>
      </c>
      <c r="EQ423" s="122">
        <f t="shared" si="2053"/>
        <v>7.5974702380952356E-3</v>
      </c>
      <c r="ER423" s="122">
        <f t="shared" si="2053"/>
        <v>6.805377114208597E-3</v>
      </c>
      <c r="ES423" s="123">
        <f t="shared" si="2053"/>
        <v>2.5998265186152864E-2</v>
      </c>
      <c r="ET423" s="122">
        <f t="shared" si="2053"/>
        <v>5.5149167453650803E-3</v>
      </c>
      <c r="EU423" s="122">
        <f t="shared" si="2053"/>
        <v>6.5765012330456221E-3</v>
      </c>
      <c r="EV423" s="122">
        <f t="shared" si="2053"/>
        <v>7.1286304209183665E-3</v>
      </c>
      <c r="EW423" s="122">
        <f t="shared" si="2053"/>
        <v>6.576584761170191E-3</v>
      </c>
      <c r="EX423" s="123">
        <f t="shared" si="2053"/>
        <v>2.5728163067475978E-2</v>
      </c>
      <c r="EY423" s="122">
        <f t="shared" ref="EY423:FC423" si="2054">EY297</f>
        <v>5.3770438267309534E-3</v>
      </c>
      <c r="EZ423" s="122">
        <f t="shared" si="2054"/>
        <v>6.4120887022194812E-3</v>
      </c>
      <c r="FA423" s="122">
        <f t="shared" si="2054"/>
        <v>6.950414660395407E-3</v>
      </c>
      <c r="FB423" s="122">
        <f t="shared" si="2054"/>
        <v>6.4121701421409362E-3</v>
      </c>
      <c r="FC423" s="123">
        <f t="shared" si="2054"/>
        <v>2.5073563845774759E-2</v>
      </c>
      <c r="FD423" s="122">
        <f t="shared" si="2053"/>
        <v>5.2426177310626798E-3</v>
      </c>
      <c r="FE423" s="122">
        <f t="shared" si="2053"/>
        <v>6.2517864846639943E-3</v>
      </c>
      <c r="FF423" s="122">
        <f t="shared" si="2053"/>
        <v>6.7766542938855218E-3</v>
      </c>
      <c r="FG423" s="122">
        <f t="shared" si="2053"/>
        <v>6.2518658885874125E-3</v>
      </c>
      <c r="FH423" s="123">
        <f t="shared" ref="FH423" si="2055">FH297</f>
        <v>2.4444538650876878E-2</v>
      </c>
      <c r="FI423" s="122">
        <f t="shared" si="2053"/>
        <v>2.4219428960569268E-2</v>
      </c>
      <c r="FJ423" s="122">
        <f t="shared" si="2053"/>
        <v>2.3613943236555034E-2</v>
      </c>
      <c r="FK423" s="122">
        <f t="shared" si="2053"/>
        <v>2.3023594655641154E-2</v>
      </c>
      <c r="FL423" s="122">
        <f t="shared" si="2053"/>
        <v>2.2448004789250131E-2</v>
      </c>
      <c r="FM423" s="122">
        <f t="shared" si="2053"/>
        <v>2.1886804669518874E-2</v>
      </c>
    </row>
    <row r="424" spans="1:171" s="108" customFormat="1" x14ac:dyDescent="0.3">
      <c r="A424" s="65" t="s">
        <v>342</v>
      </c>
      <c r="DU424" s="694"/>
      <c r="DV424" s="694"/>
      <c r="DW424" s="694"/>
      <c r="DX424" s="694"/>
      <c r="DY424" s="123"/>
      <c r="DZ424" s="122">
        <f>DZ298</f>
        <v>2.7501924839596698E-2</v>
      </c>
      <c r="EA424" s="122">
        <f t="shared" si="2053"/>
        <v>2.4264103751736914E-2</v>
      </c>
      <c r="EB424" s="122">
        <f t="shared" si="2053"/>
        <v>2.7385653610193489E-2</v>
      </c>
      <c r="EC424" s="122">
        <f t="shared" si="2053"/>
        <v>2.5498411169956672E-2</v>
      </c>
      <c r="ED424" s="123">
        <f t="shared" si="2053"/>
        <v>2.6166779899262037E-2</v>
      </c>
      <c r="EE424" s="122">
        <f t="shared" si="2053"/>
        <v>2.2338598223099703E-2</v>
      </c>
      <c r="EF424" s="122">
        <f t="shared" si="2053"/>
        <v>2.4134879032258066E-2</v>
      </c>
      <c r="EG424" s="122">
        <f t="shared" si="2053"/>
        <v>2.6598241076047597E-2</v>
      </c>
      <c r="EH424" s="122">
        <f t="shared" si="2053"/>
        <v>2.3750753145489991E-2</v>
      </c>
      <c r="EI424" s="123">
        <f t="shared" si="2053"/>
        <v>2.4185987559645541E-2</v>
      </c>
      <c r="EJ424" s="122">
        <f t="shared" si="2053"/>
        <v>2.2632130490249685E-2</v>
      </c>
      <c r="EK424" s="122">
        <f t="shared" si="2053"/>
        <v>2.7036702227213175E-2</v>
      </c>
      <c r="EL424" s="122">
        <f t="shared" si="2053"/>
        <v>3.0756381948479572E-2</v>
      </c>
      <c r="EM424" s="122">
        <f t="shared" si="2053"/>
        <v>2.8296300813008133E-2</v>
      </c>
      <c r="EN424" s="123">
        <f t="shared" si="2053"/>
        <v>2.7095710801893561E-2</v>
      </c>
      <c r="EO424" s="122">
        <f t="shared" si="2053"/>
        <v>2.8114184852374848E-2</v>
      </c>
      <c r="EP424" s="122">
        <f t="shared" si="2053"/>
        <v>3.0863380598694572E-2</v>
      </c>
      <c r="EQ424" s="122">
        <f t="shared" si="2053"/>
        <v>3.6886595492289447E-2</v>
      </c>
      <c r="ER424" s="122">
        <f t="shared" si="2053"/>
        <v>3.324809487761797E-2</v>
      </c>
      <c r="ES424" s="123">
        <f t="shared" si="2053"/>
        <v>3.213477305579647E-2</v>
      </c>
      <c r="ET424" s="122">
        <f t="shared" si="2053"/>
        <v>3.051460543409933E-2</v>
      </c>
      <c r="EU424" s="122">
        <f t="shared" si="2053"/>
        <v>3.4675612305883584E-2</v>
      </c>
      <c r="EV424" s="122">
        <f t="shared" si="2053"/>
        <v>3.9298628383970587E-2</v>
      </c>
      <c r="EW424" s="122">
        <f t="shared" si="2053"/>
        <v>3.6060107301361902E-2</v>
      </c>
      <c r="EX424" s="123">
        <f t="shared" si="2053"/>
        <v>3.4980969487592987E-2</v>
      </c>
      <c r="EY424" s="122">
        <f t="shared" ref="EY424:FC424" si="2056">EY298</f>
        <v>3.1546480155925011E-2</v>
      </c>
      <c r="EZ424" s="122">
        <f t="shared" si="2056"/>
        <v>3.5896019012096138E-2</v>
      </c>
      <c r="FA424" s="122">
        <f t="shared" si="2056"/>
        <v>4.0756887069073829E-2</v>
      </c>
      <c r="FB424" s="122">
        <f t="shared" si="2056"/>
        <v>3.7458459368656369E-2</v>
      </c>
      <c r="FC424" s="123">
        <f t="shared" si="2056"/>
        <v>3.624634861406377E-2</v>
      </c>
      <c r="FD424" s="122">
        <f t="shared" si="2053"/>
        <v>3.276427133221782E-2</v>
      </c>
      <c r="FE424" s="122">
        <f t="shared" si="2053"/>
        <v>3.7280384739057038E-2</v>
      </c>
      <c r="FF424" s="122">
        <f t="shared" si="2053"/>
        <v>4.2377321872429409E-2</v>
      </c>
      <c r="FG424" s="122">
        <f t="shared" si="2053"/>
        <v>3.8978500854572169E-2</v>
      </c>
      <c r="FH424" s="123">
        <f t="shared" ref="FH424" si="2057">FH298</f>
        <v>3.7666912871565296E-2</v>
      </c>
      <c r="FI424" s="122">
        <f t="shared" si="2053"/>
        <v>3.8178201452312939E-2</v>
      </c>
      <c r="FJ424" s="122">
        <f t="shared" si="2053"/>
        <v>3.9741042245699541E-2</v>
      </c>
      <c r="FK424" s="122">
        <f t="shared" si="2053"/>
        <v>4.2222390718064301E-2</v>
      </c>
      <c r="FL424" s="122">
        <f t="shared" si="2053"/>
        <v>4.4965516039058545E-2</v>
      </c>
      <c r="FM424" s="122">
        <f t="shared" si="2053"/>
        <v>4.7663103622111881E-2</v>
      </c>
    </row>
    <row r="425" spans="1:171" s="108" customFormat="1" x14ac:dyDescent="0.3">
      <c r="A425" s="65" t="s">
        <v>403</v>
      </c>
      <c r="DU425" s="126"/>
      <c r="DV425" s="126"/>
      <c r="DW425" s="126"/>
      <c r="DX425" s="126"/>
      <c r="DY425" s="127"/>
      <c r="DZ425" s="126">
        <f>DZ299</f>
        <v>0.1803299227396116</v>
      </c>
      <c r="EA425" s="126">
        <f t="shared" si="2053"/>
        <v>0.17711467736542963</v>
      </c>
      <c r="EB425" s="126">
        <f t="shared" si="2053"/>
        <v>0.17372757308351805</v>
      </c>
      <c r="EC425" s="126">
        <f t="shared" si="2053"/>
        <v>0.16995218521936079</v>
      </c>
      <c r="ED425" s="127">
        <f t="shared" si="2053"/>
        <v>0.1694936523539623</v>
      </c>
      <c r="EE425" s="126">
        <f t="shared" si="2053"/>
        <v>0.16758172142917477</v>
      </c>
      <c r="EF425" s="126">
        <f t="shared" si="2053"/>
        <v>0.1643917166305226</v>
      </c>
      <c r="EG425" s="126">
        <f t="shared" si="2053"/>
        <v>0.16163265306122448</v>
      </c>
      <c r="EH425" s="126">
        <f t="shared" si="2053"/>
        <v>0.15975194340117041</v>
      </c>
      <c r="EI425" s="127">
        <f t="shared" si="2053"/>
        <v>0.15671322080370148</v>
      </c>
      <c r="EJ425" s="126">
        <f t="shared" si="2053"/>
        <v>0.15834629917759502</v>
      </c>
      <c r="EK425" s="126">
        <f t="shared" si="2053"/>
        <v>0.15643321365268373</v>
      </c>
      <c r="EL425" s="126">
        <f t="shared" si="2053"/>
        <v>0.15347901361658323</v>
      </c>
      <c r="EM425" s="126">
        <f t="shared" si="2053"/>
        <v>0.15024832441294181</v>
      </c>
      <c r="EN425" s="127">
        <f t="shared" si="2053"/>
        <v>0.14391280251246999</v>
      </c>
      <c r="EO425" s="126">
        <f t="shared" si="2053"/>
        <v>0.14722401709826533</v>
      </c>
      <c r="EP425" s="126">
        <f t="shared" si="2053"/>
        <v>0.14436909165639128</v>
      </c>
      <c r="EQ425" s="126">
        <f t="shared" si="2053"/>
        <v>0.14041241496598639</v>
      </c>
      <c r="ER425" s="126">
        <f t="shared" si="2053"/>
        <v>0.13784364497823812</v>
      </c>
      <c r="ES425" s="127">
        <f t="shared" si="2053"/>
        <v>0.13073807968647944</v>
      </c>
      <c r="ET425" s="126">
        <f t="shared" si="2053"/>
        <v>0.1353343641990552</v>
      </c>
      <c r="EU425" s="126">
        <f t="shared" si="2053"/>
        <v>0.1322054599650638</v>
      </c>
      <c r="EV425" s="126">
        <f t="shared" si="2053"/>
        <v>0.12809647726697246</v>
      </c>
      <c r="EW425" s="126">
        <f t="shared" si="2053"/>
        <v>0.12520445261442623</v>
      </c>
      <c r="EX425" s="127">
        <f t="shared" si="2053"/>
        <v>0.11835327317311896</v>
      </c>
      <c r="EY425" s="126">
        <f t="shared" ref="EY425:FC425" si="2058">EY299</f>
        <v>0.12329963084233232</v>
      </c>
      <c r="EZ425" s="126">
        <f t="shared" si="2058"/>
        <v>0.12108173269670447</v>
      </c>
      <c r="FA425" s="126">
        <f t="shared" si="2058"/>
        <v>0.11786584405971534</v>
      </c>
      <c r="FB425" s="126">
        <f t="shared" si="2058"/>
        <v>0.11576635458105672</v>
      </c>
      <c r="FC425" s="127">
        <f t="shared" si="2058"/>
        <v>0.10836862389712848</v>
      </c>
      <c r="FD425" s="126">
        <f t="shared" si="2053"/>
        <v>0.11465631629250464</v>
      </c>
      <c r="FE425" s="126">
        <f t="shared" si="2053"/>
        <v>0.11326983030550729</v>
      </c>
      <c r="FF425" s="126">
        <f t="shared" si="2053"/>
        <v>0.10979258673852342</v>
      </c>
      <c r="FG425" s="126">
        <f t="shared" si="2053"/>
        <v>0.10445087690542637</v>
      </c>
      <c r="FH425" s="127">
        <f t="shared" ref="FH425" si="2059">FH299</f>
        <v>0.10001973074336347</v>
      </c>
      <c r="FI425" s="126">
        <f t="shared" si="2053"/>
        <v>8.0567869136373454E-2</v>
      </c>
      <c r="FJ425" s="126">
        <f t="shared" si="2053"/>
        <v>6.5686440643353217E-2</v>
      </c>
      <c r="FK425" s="126">
        <f t="shared" si="2053"/>
        <v>5.5373923113855382E-2</v>
      </c>
      <c r="FL425" s="126">
        <f t="shared" si="2053"/>
        <v>4.7900887965963444E-2</v>
      </c>
      <c r="FM425" s="126">
        <f t="shared" si="2053"/>
        <v>4.2357537795346296E-2</v>
      </c>
    </row>
    <row r="426" spans="1:171" s="108" customFormat="1" x14ac:dyDescent="0.3">
      <c r="A426" s="65"/>
      <c r="DU426" s="126"/>
      <c r="DV426" s="126"/>
      <c r="DW426" s="126"/>
      <c r="DX426" s="126"/>
      <c r="DY426" s="127"/>
      <c r="DZ426" s="126"/>
      <c r="EA426" s="126"/>
      <c r="EB426" s="126"/>
      <c r="EC426" s="126"/>
      <c r="ED426" s="127"/>
      <c r="EE426" s="126"/>
      <c r="EF426" s="126"/>
      <c r="EG426" s="126"/>
      <c r="EH426" s="126"/>
      <c r="EI426" s="127"/>
      <c r="EJ426" s="126"/>
      <c r="EK426" s="126"/>
      <c r="EL426" s="126"/>
      <c r="EM426" s="126"/>
      <c r="EN426" s="127"/>
      <c r="EO426" s="126"/>
      <c r="EP426" s="126"/>
      <c r="EQ426" s="126"/>
      <c r="ER426" s="126"/>
      <c r="ES426" s="126"/>
      <c r="ET426" s="126"/>
      <c r="EU426" s="126"/>
      <c r="EV426" s="126"/>
      <c r="EW426" s="126"/>
      <c r="EX426" s="126"/>
      <c r="EY426" s="126"/>
      <c r="EZ426" s="126"/>
      <c r="FA426" s="126"/>
      <c r="FB426" s="126"/>
      <c r="FC426" s="126"/>
      <c r="FD426" s="126"/>
      <c r="FE426" s="126"/>
      <c r="FF426" s="126"/>
      <c r="FG426" s="126"/>
      <c r="FH426" s="126"/>
      <c r="FI426" s="126"/>
      <c r="FJ426" s="126"/>
      <c r="FK426" s="126"/>
      <c r="FL426" s="126"/>
      <c r="FM426" s="126"/>
    </row>
    <row r="427" spans="1:171" x14ac:dyDescent="0.3">
      <c r="A427" s="68" t="s">
        <v>455</v>
      </c>
      <c r="ED427" s="85"/>
      <c r="EO427"/>
      <c r="EP427"/>
      <c r="EQ427"/>
      <c r="ER427"/>
    </row>
    <row r="428" spans="1:171" x14ac:dyDescent="0.3">
      <c r="A428" s="67" t="s">
        <v>456</v>
      </c>
      <c r="DU428" s="76">
        <f>+DU431-DU433</f>
        <v>3685.5</v>
      </c>
      <c r="DV428" s="76">
        <f>+DU431</f>
        <v>3642</v>
      </c>
      <c r="DW428" s="76">
        <f>+DV431</f>
        <v>3555</v>
      </c>
      <c r="DX428" s="76">
        <f>+DW431</f>
        <v>3471</v>
      </c>
      <c r="DY428" s="85">
        <f>+DU428</f>
        <v>3685.5</v>
      </c>
      <c r="DZ428" s="76">
        <f>+DY431</f>
        <v>3413</v>
      </c>
      <c r="EA428" s="76">
        <f>+DZ431</f>
        <v>3374</v>
      </c>
      <c r="EB428" s="76">
        <f>+EA431</f>
        <v>3342</v>
      </c>
      <c r="EC428" s="76">
        <f>+EB431</f>
        <v>3306</v>
      </c>
      <c r="ED428" s="85">
        <f>+DZ428</f>
        <v>3413</v>
      </c>
      <c r="EE428" s="76">
        <f>+ED431</f>
        <v>3264</v>
      </c>
      <c r="EF428" s="76">
        <f>+EE431</f>
        <v>3234</v>
      </c>
      <c r="EG428" s="76">
        <f>+EF431</f>
        <v>3196</v>
      </c>
      <c r="EH428" s="76">
        <f>+EG431</f>
        <v>3173</v>
      </c>
      <c r="EI428" s="85">
        <f>+EE428</f>
        <v>3264</v>
      </c>
      <c r="EJ428" s="76">
        <f>+EI431</f>
        <v>3165</v>
      </c>
      <c r="EK428" s="76">
        <f>+EJ431</f>
        <v>3169</v>
      </c>
      <c r="EL428" s="76">
        <f>+EK431</f>
        <v>3159</v>
      </c>
      <c r="EM428" s="76">
        <f>+EL431</f>
        <v>3142</v>
      </c>
      <c r="EN428" s="85">
        <f>+EJ428</f>
        <v>3165</v>
      </c>
      <c r="EO428" s="76">
        <f>+EN431</f>
        <v>3133</v>
      </c>
      <c r="EP428" s="76">
        <f>+EO431</f>
        <v>3140</v>
      </c>
      <c r="EQ428" s="76">
        <f>+EP431</f>
        <v>3127</v>
      </c>
      <c r="ER428" s="76">
        <f>+EQ431</f>
        <v>3118</v>
      </c>
      <c r="ES428" s="85">
        <f>+EO428</f>
        <v>3133</v>
      </c>
      <c r="ET428" s="76">
        <f t="shared" ref="ET428:EW428" si="2060">+ES431</f>
        <v>3129</v>
      </c>
      <c r="EU428" s="76">
        <f t="shared" si="2060"/>
        <v>3165.901500161357</v>
      </c>
      <c r="EV428" s="76">
        <f t="shared" si="2060"/>
        <v>3174.9088322100283</v>
      </c>
      <c r="EW428" s="76">
        <f t="shared" si="2060"/>
        <v>3192.4236154716282</v>
      </c>
      <c r="EX428" s="85">
        <f>+ET428</f>
        <v>3129</v>
      </c>
      <c r="EY428" s="76">
        <f t="shared" ref="EY428" si="2061">+EX431</f>
        <v>3227.7213307101756</v>
      </c>
      <c r="EZ428" s="76">
        <f t="shared" ref="EZ428" si="2062">+EY431</f>
        <v>3299.0688139876443</v>
      </c>
      <c r="FA428" s="76">
        <f t="shared" ref="FA428" si="2063">+EZ431</f>
        <v>3335.9147237654265</v>
      </c>
      <c r="FB428" s="76">
        <f t="shared" ref="FB428" si="2064">+FA431</f>
        <v>3383.2304677818747</v>
      </c>
      <c r="FC428" s="85">
        <f>+EY428</f>
        <v>3227.7213307101756</v>
      </c>
      <c r="FD428" s="76">
        <f t="shared" ref="FD428" si="2065">+FC431</f>
        <v>3445.5363561026543</v>
      </c>
      <c r="FE428" s="76">
        <f t="shared" ref="FE428" si="2066">+FD431</f>
        <v>3539.2912839292853</v>
      </c>
      <c r="FF428" s="76">
        <f t="shared" ref="FF428" si="2067">+FE431</f>
        <v>3592.3275222007915</v>
      </c>
      <c r="FG428" s="76">
        <f t="shared" ref="FG428" si="2068">+FF431</f>
        <v>3656.3438932233066</v>
      </c>
      <c r="FH428" s="85">
        <f>+FD428</f>
        <v>3445.5363561026543</v>
      </c>
      <c r="FI428" s="76">
        <f t="shared" ref="FI428:FM428" si="2069">+FH431</f>
        <v>3730.8471446806661</v>
      </c>
      <c r="FJ428" s="76">
        <f t="shared" si="2069"/>
        <v>3996.752528399481</v>
      </c>
      <c r="FK428" s="76">
        <f t="shared" si="2069"/>
        <v>4231.6356218181172</v>
      </c>
      <c r="FL428" s="76">
        <f t="shared" si="2069"/>
        <v>4415.4763818776755</v>
      </c>
      <c r="FM428" s="76">
        <f t="shared" si="2069"/>
        <v>4545.5734946301345</v>
      </c>
      <c r="FN428" s="189">
        <f>+(FJ428/ES428)^0.2-1</f>
        <v>4.9903473875534843E-2</v>
      </c>
    </row>
    <row r="429" spans="1:171" x14ac:dyDescent="0.3">
      <c r="A429" s="67" t="s">
        <v>351</v>
      </c>
      <c r="DU429" s="76">
        <f>+DU431-DU430-DU428</f>
        <v>180.94695000000002</v>
      </c>
      <c r="DV429" s="76">
        <f t="shared" ref="DV429:EA429" si="2070">+DV431-DV430-DV428</f>
        <v>151.18679999999995</v>
      </c>
      <c r="DW429" s="76">
        <f t="shared" si="2070"/>
        <v>158.0954999999999</v>
      </c>
      <c r="DX429" s="76">
        <f t="shared" si="2070"/>
        <v>145.05349999999999</v>
      </c>
      <c r="DY429" s="85">
        <f>+SUM(DU429:DX429)</f>
        <v>635.28274999999985</v>
      </c>
      <c r="DZ429" s="76">
        <f t="shared" si="2070"/>
        <v>149.39760000000024</v>
      </c>
      <c r="EA429" s="76">
        <f t="shared" si="2070"/>
        <v>132.98860000000013</v>
      </c>
      <c r="EB429" s="76">
        <f>+EB431-EB430-EB428</f>
        <v>145.4706000000001</v>
      </c>
      <c r="EC429" s="76">
        <f>+EC431-EC430-EC428</f>
        <v>123.63059999999996</v>
      </c>
      <c r="ED429" s="85">
        <f>+SUM(DZ429:EC429)</f>
        <v>551.48740000000043</v>
      </c>
      <c r="EE429" s="76">
        <f>+EE431-EE430-EE428</f>
        <v>111.98399999999992</v>
      </c>
      <c r="EF429" s="76">
        <f>+EF431-EF430-EF428</f>
        <v>111.41080000000011</v>
      </c>
      <c r="EG429" s="76">
        <f>+EG431-EG430-EG428</f>
        <v>134.24319999999989</v>
      </c>
      <c r="EH429" s="76">
        <f>+EH431-EH430-EH428</f>
        <v>130.02550000000019</v>
      </c>
      <c r="EI429" s="85">
        <f>+SUM(EE429:EH429)</f>
        <v>487.66350000000011</v>
      </c>
      <c r="EJ429" s="76">
        <f>+EJ431-EJ430-EJ428</f>
        <v>132.18249999999989</v>
      </c>
      <c r="EK429" s="76">
        <f>+EK431-EK430-EK428</f>
        <v>135.45710000000008</v>
      </c>
      <c r="EL429" s="76">
        <f>+EL431-EL430-EL428</f>
        <v>149.79520000000002</v>
      </c>
      <c r="EM429" s="76">
        <f>+EM431-EM430-EM428</f>
        <v>135.2177999999999</v>
      </c>
      <c r="EN429" s="85">
        <f>+SUM(EJ429:EM429)</f>
        <v>552.65259999999989</v>
      </c>
      <c r="EO429" s="76">
        <f>+EO431-EO430-EO428</f>
        <v>141.40570000000025</v>
      </c>
      <c r="EP429" s="76">
        <f>+EP431-EP430-EP428</f>
        <v>131.1260000000002</v>
      </c>
      <c r="EQ429" s="76">
        <f>+EQ431-EQ430-EQ428</f>
        <v>150.47699999999986</v>
      </c>
      <c r="ER429" s="76">
        <f>+ER431-ER430-ER428</f>
        <v>144.76220000000012</v>
      </c>
      <c r="ES429" s="85">
        <f>+SUM(EO429:ER429)</f>
        <v>567.77090000000044</v>
      </c>
      <c r="ET429" s="76">
        <f t="shared" ref="ET429:EW429" si="2071">+ET431-ET430-ET428</f>
        <v>179.82138721200408</v>
      </c>
      <c r="EU429" s="76">
        <f t="shared" si="2071"/>
        <v>153.61272828278288</v>
      </c>
      <c r="EV429" s="76">
        <f t="shared" si="2071"/>
        <v>162.53159748197686</v>
      </c>
      <c r="EW429" s="76">
        <f t="shared" si="2071"/>
        <v>181.1145329250362</v>
      </c>
      <c r="EX429" s="85">
        <f>+SUM(ET429:EW429)</f>
        <v>677.08024590180003</v>
      </c>
      <c r="EY429" s="76">
        <f t="shared" ref="EY429:FB429" si="2072">+EY431-EY430-EY428</f>
        <v>218.77655582974194</v>
      </c>
      <c r="EZ429" s="76">
        <f t="shared" si="2072"/>
        <v>187.53384274915516</v>
      </c>
      <c r="FA429" s="76">
        <f t="shared" si="2072"/>
        <v>199.68664703055674</v>
      </c>
      <c r="FB429" s="76">
        <f t="shared" si="2072"/>
        <v>216.83798046577567</v>
      </c>
      <c r="FC429" s="85">
        <f>+SUM(EY429:FB429)</f>
        <v>822.83502607522951</v>
      </c>
      <c r="FD429" s="76">
        <f t="shared" ref="FD429:FL429" si="2073">+FD431-FD430-FD428</f>
        <v>251.13289741534618</v>
      </c>
      <c r="FE429" s="76">
        <f t="shared" si="2073"/>
        <v>214.69654844680599</v>
      </c>
      <c r="FF429" s="76">
        <f t="shared" si="2073"/>
        <v>228.09915904484433</v>
      </c>
      <c r="FG429" s="76">
        <f t="shared" si="2073"/>
        <v>241.51004475802984</v>
      </c>
      <c r="FH429" s="85">
        <f>+SUM(FD429:FG429)</f>
        <v>935.43864966502633</v>
      </c>
      <c r="FI429" s="76">
        <f t="shared" si="2073"/>
        <v>947.54456878879228</v>
      </c>
      <c r="FJ429" s="76">
        <f t="shared" si="2073"/>
        <v>965.10414797695103</v>
      </c>
      <c r="FK429" s="76">
        <f t="shared" si="2073"/>
        <v>956.97580014871164</v>
      </c>
      <c r="FL429" s="76">
        <f t="shared" si="2073"/>
        <v>936.82052057956935</v>
      </c>
      <c r="FM429" s="76">
        <f>+FM431-FM430-FM428</f>
        <v>909.85236965772765</v>
      </c>
      <c r="FN429" s="189">
        <f>+(FJ429/ES429)^0.2-1</f>
        <v>0.11193707357887028</v>
      </c>
    </row>
    <row r="430" spans="1:171" x14ac:dyDescent="0.3">
      <c r="A430" s="67" t="s">
        <v>337</v>
      </c>
      <c r="DU430" s="76">
        <f>+DU435*DU428*-3</f>
        <v>-224.44694999999996</v>
      </c>
      <c r="DV430" s="76">
        <f>+DV435*DV428*-3</f>
        <v>-238.18680000000001</v>
      </c>
      <c r="DW430" s="76">
        <f>+DW435*DW428*-3</f>
        <v>-242.09550000000002</v>
      </c>
      <c r="DX430" s="76">
        <f>+DX435*DX428*-3</f>
        <v>-203.05349999999999</v>
      </c>
      <c r="DY430" s="85">
        <f>+SUM(DU430:DX430)</f>
        <v>-907.78274999999996</v>
      </c>
      <c r="DZ430" s="76">
        <f>+DZ435*DZ428*-3</f>
        <v>-188.39760000000001</v>
      </c>
      <c r="EA430" s="76">
        <f>+EA435*EA428*-3</f>
        <v>-164.98859999999999</v>
      </c>
      <c r="EB430" s="76">
        <f>+EB435*EB428*-3</f>
        <v>-181.47059999999999</v>
      </c>
      <c r="EC430" s="76">
        <f>+EC435*EC428*-3</f>
        <v>-165.63060000000002</v>
      </c>
      <c r="ED430" s="85">
        <f>+SUM(DZ430:EC430)</f>
        <v>-700.48739999999998</v>
      </c>
      <c r="EE430" s="76">
        <f>+EE435*EE428*-3</f>
        <v>-141.98400000000001</v>
      </c>
      <c r="EF430" s="76">
        <f>+EF435*EF428*-3</f>
        <v>-149.41079999999999</v>
      </c>
      <c r="EG430" s="76">
        <f>+EG435*EG428*-3</f>
        <v>-157.24320000000003</v>
      </c>
      <c r="EH430" s="76">
        <f>+EH435*EH428*-3</f>
        <v>-138.02550000000002</v>
      </c>
      <c r="EI430" s="85">
        <f>+SUM(EE430:EH430)</f>
        <v>-586.66350000000011</v>
      </c>
      <c r="EJ430" s="76">
        <f>+EJ435*EJ428*-3</f>
        <v>-128.1825</v>
      </c>
      <c r="EK430" s="76">
        <f>+EK435*EK428*-3</f>
        <v>-145.4571</v>
      </c>
      <c r="EL430" s="76">
        <f>+EL435*EL428*-3</f>
        <v>-166.79520000000002</v>
      </c>
      <c r="EM430" s="76">
        <f>+EM435*EM428*-3</f>
        <v>-144.21780000000001</v>
      </c>
      <c r="EN430" s="85">
        <f>+SUM(EJ430:EM430)</f>
        <v>-584.65260000000001</v>
      </c>
      <c r="EO430" s="76">
        <f>+EO435*EO428*-3</f>
        <v>-134.40570000000002</v>
      </c>
      <c r="EP430" s="76">
        <f>+EP435*EP428*-3</f>
        <v>-144.12599999999998</v>
      </c>
      <c r="EQ430" s="76">
        <f>+EQ435*EQ428*-3</f>
        <v>-159.47700000000003</v>
      </c>
      <c r="ER430" s="76">
        <f>+ER435*ER428*-3</f>
        <v>-133.76220000000001</v>
      </c>
      <c r="ES430" s="85">
        <f>+SUM(EO430:ER430)</f>
        <v>-571.77089999999998</v>
      </c>
      <c r="ET430" s="76">
        <f t="shared" ref="ET430:EW430" si="2074">+ET435*ET428*-3</f>
        <v>-142.91988705064705</v>
      </c>
      <c r="EU430" s="76">
        <f t="shared" si="2074"/>
        <v>-144.60539623411162</v>
      </c>
      <c r="EV430" s="76">
        <f t="shared" si="2074"/>
        <v>-145.0168142203768</v>
      </c>
      <c r="EW430" s="76">
        <f t="shared" si="2074"/>
        <v>-145.81681768648878</v>
      </c>
      <c r="EX430" s="85">
        <f>+SUM(ET430:EW430)</f>
        <v>-578.35891519162419</v>
      </c>
      <c r="EY430" s="76">
        <f t="shared" ref="EY430:FB430" si="2075">+EY435*EY428*-3</f>
        <v>-147.42907255227311</v>
      </c>
      <c r="EZ430" s="76">
        <f t="shared" si="2075"/>
        <v>-150.68793297137304</v>
      </c>
      <c r="FA430" s="76">
        <f t="shared" si="2075"/>
        <v>-152.37090301410842</v>
      </c>
      <c r="FB430" s="76">
        <f t="shared" si="2075"/>
        <v>-154.53209214499628</v>
      </c>
      <c r="FC430" s="85">
        <f>+SUM(EY430:FB430)</f>
        <v>-605.02000068275083</v>
      </c>
      <c r="FD430" s="76">
        <f t="shared" ref="FD430:FG430" si="2076">+FD435*FD428*-3</f>
        <v>-157.37796958871505</v>
      </c>
      <c r="FE430" s="76">
        <f t="shared" si="2076"/>
        <v>-161.6603101752998</v>
      </c>
      <c r="FF430" s="76">
        <f t="shared" si="2076"/>
        <v>-164.08278802232914</v>
      </c>
      <c r="FG430" s="76">
        <f t="shared" si="2076"/>
        <v>-167.00679330067052</v>
      </c>
      <c r="FH430" s="85">
        <f>+SUM(FD430:FG430)</f>
        <v>-650.12786108701459</v>
      </c>
      <c r="FI430" s="76">
        <f t="shared" ref="FI430:FM430" si="2077">+FI435*FI428*-12</f>
        <v>-681.63918506997743</v>
      </c>
      <c r="FJ430" s="76">
        <f t="shared" si="2077"/>
        <v>-730.2210545583149</v>
      </c>
      <c r="FK430" s="76">
        <f t="shared" si="2077"/>
        <v>-773.13504008915311</v>
      </c>
      <c r="FL430" s="76">
        <f t="shared" si="2077"/>
        <v>-806.72340782711046</v>
      </c>
      <c r="FM430" s="76">
        <f t="shared" si="2077"/>
        <v>-830.49261800313684</v>
      </c>
      <c r="FN430" s="189">
        <f>+(FJ430/ES430)^0.2-1</f>
        <v>5.0138209097093878E-2</v>
      </c>
    </row>
    <row r="431" spans="1:171" x14ac:dyDescent="0.3">
      <c r="A431" s="64" t="s">
        <v>457</v>
      </c>
      <c r="DU431" s="1082">
        <f>DV431-DV433</f>
        <v>3642</v>
      </c>
      <c r="DV431" s="1082">
        <f>DW431-DW433</f>
        <v>3555</v>
      </c>
      <c r="DW431" s="1082">
        <f>DX431-DX433</f>
        <v>3471</v>
      </c>
      <c r="DX431" s="1082">
        <f>DZ431-DZ433</f>
        <v>3413</v>
      </c>
      <c r="DY431" s="803">
        <f>+DX431</f>
        <v>3413</v>
      </c>
      <c r="DZ431" s="1082">
        <f>EA431-EA433</f>
        <v>3374</v>
      </c>
      <c r="EA431" s="1080">
        <f>Inputs!EA322</f>
        <v>3342</v>
      </c>
      <c r="EB431" s="1080">
        <f>Inputs!EB322</f>
        <v>3306</v>
      </c>
      <c r="EC431" s="1082">
        <f>EE431-EE433</f>
        <v>3264</v>
      </c>
      <c r="ED431" s="803">
        <f>+EC431</f>
        <v>3264</v>
      </c>
      <c r="EE431" s="1080">
        <f>Inputs!EE322</f>
        <v>3234</v>
      </c>
      <c r="EF431" s="1080">
        <f>Inputs!EF322</f>
        <v>3196</v>
      </c>
      <c r="EG431" s="1080">
        <f>Inputs!EG322</f>
        <v>3173</v>
      </c>
      <c r="EH431" s="1080">
        <f>Inputs!EH322</f>
        <v>3165</v>
      </c>
      <c r="EI431" s="803">
        <f>+EH431</f>
        <v>3165</v>
      </c>
      <c r="EJ431" s="1080">
        <f>Inputs!EJ322</f>
        <v>3169</v>
      </c>
      <c r="EK431" s="1080">
        <f>Inputs!EK322</f>
        <v>3159</v>
      </c>
      <c r="EL431" s="1080">
        <f>Inputs!EL322</f>
        <v>3142</v>
      </c>
      <c r="EM431" s="1080">
        <f>Inputs!EM322</f>
        <v>3133</v>
      </c>
      <c r="EN431" s="803">
        <f>+EM431</f>
        <v>3133</v>
      </c>
      <c r="EO431" s="1080">
        <f>Inputs!EO322</f>
        <v>3140</v>
      </c>
      <c r="EP431" s="1080">
        <f>Inputs!EP322</f>
        <v>3127</v>
      </c>
      <c r="EQ431" s="1080">
        <f>Inputs!EQ322</f>
        <v>3118</v>
      </c>
      <c r="ER431" s="1080">
        <f>Inputs!ER322</f>
        <v>3129</v>
      </c>
      <c r="ES431" s="803">
        <f>+ER431</f>
        <v>3129</v>
      </c>
      <c r="ET431" s="1799">
        <f t="shared" ref="ET431:EW431" si="2078">+ET397+ET420</f>
        <v>3165.901500161357</v>
      </c>
      <c r="EU431" s="1799">
        <f t="shared" si="2078"/>
        <v>3174.9088322100283</v>
      </c>
      <c r="EV431" s="1799">
        <f t="shared" si="2078"/>
        <v>3192.4236154716282</v>
      </c>
      <c r="EW431" s="1799">
        <f t="shared" si="2078"/>
        <v>3227.7213307101756</v>
      </c>
      <c r="EX431" s="803">
        <f>+EW431</f>
        <v>3227.7213307101756</v>
      </c>
      <c r="EY431" s="1799">
        <f t="shared" ref="EY431:FB431" si="2079">+EY397+EY420</f>
        <v>3299.0688139876443</v>
      </c>
      <c r="EZ431" s="1799">
        <f t="shared" si="2079"/>
        <v>3335.9147237654265</v>
      </c>
      <c r="FA431" s="1799">
        <f t="shared" si="2079"/>
        <v>3383.2304677818747</v>
      </c>
      <c r="FB431" s="1799">
        <f t="shared" si="2079"/>
        <v>3445.5363561026543</v>
      </c>
      <c r="FC431" s="803">
        <f>+FB431</f>
        <v>3445.5363561026543</v>
      </c>
      <c r="FD431" s="1799">
        <f t="shared" ref="FD431:FM431" si="2080">+FD397+FD420</f>
        <v>3539.2912839292853</v>
      </c>
      <c r="FE431" s="1799">
        <f t="shared" si="2080"/>
        <v>3592.3275222007915</v>
      </c>
      <c r="FF431" s="1799">
        <f t="shared" si="2080"/>
        <v>3656.3438932233066</v>
      </c>
      <c r="FG431" s="1799">
        <f t="shared" si="2080"/>
        <v>3730.8471446806661</v>
      </c>
      <c r="FH431" s="803">
        <f>+FG431</f>
        <v>3730.8471446806661</v>
      </c>
      <c r="FI431" s="1799">
        <f t="shared" si="2080"/>
        <v>3996.752528399481</v>
      </c>
      <c r="FJ431" s="1799">
        <f t="shared" si="2080"/>
        <v>4231.6356218181172</v>
      </c>
      <c r="FK431" s="1799">
        <f t="shared" si="2080"/>
        <v>4415.4763818776755</v>
      </c>
      <c r="FL431" s="1799">
        <f t="shared" si="2080"/>
        <v>4545.5734946301345</v>
      </c>
      <c r="FM431" s="1799">
        <f t="shared" si="2080"/>
        <v>4624.9332462847251</v>
      </c>
      <c r="FN431" s="189">
        <f>+(FJ431/ES431)^0.2-1</f>
        <v>6.223483657315243E-2</v>
      </c>
    </row>
    <row r="432" spans="1:171" x14ac:dyDescent="0.3">
      <c r="A432" s="69" t="s">
        <v>339</v>
      </c>
      <c r="DZ432" s="83">
        <f t="shared" ref="DZ432:ER432" si="2081">+DZ431/DU431-1</f>
        <v>-7.3585941790225151E-2</v>
      </c>
      <c r="EA432" s="83">
        <f t="shared" si="2081"/>
        <v>-5.9915611814346015E-2</v>
      </c>
      <c r="EB432" s="83">
        <f t="shared" si="2081"/>
        <v>-4.7536732929991388E-2</v>
      </c>
      <c r="EC432" s="83">
        <f t="shared" si="2081"/>
        <v>-4.3656607090536204E-2</v>
      </c>
      <c r="ED432" s="91">
        <f t="shared" si="2081"/>
        <v>-4.3656607090536204E-2</v>
      </c>
      <c r="EE432" s="83">
        <f t="shared" si="2081"/>
        <v>-4.1493775933609922E-2</v>
      </c>
      <c r="EF432" s="83">
        <f t="shared" si="2081"/>
        <v>-4.3686415320167593E-2</v>
      </c>
      <c r="EG432" s="83">
        <f t="shared" si="2081"/>
        <v>-4.0229885057471271E-2</v>
      </c>
      <c r="EH432" s="83">
        <f t="shared" si="2081"/>
        <v>-3.0330882352941124E-2</v>
      </c>
      <c r="EI432" s="91">
        <f t="shared" si="2081"/>
        <v>-3.0330882352941124E-2</v>
      </c>
      <c r="EJ432" s="83">
        <f t="shared" si="2081"/>
        <v>-2.0098948670377204E-2</v>
      </c>
      <c r="EK432" s="83">
        <f t="shared" si="2081"/>
        <v>-1.1576971214017573E-2</v>
      </c>
      <c r="EL432" s="83">
        <f t="shared" si="2081"/>
        <v>-9.7699338165774252E-3</v>
      </c>
      <c r="EM432" s="83">
        <f t="shared" si="2081"/>
        <v>-1.0110584518167487E-2</v>
      </c>
      <c r="EN432" s="91">
        <f>+EN431/EI431-1</f>
        <v>-1.0110584518167487E-2</v>
      </c>
      <c r="EO432" s="83">
        <f t="shared" si="2081"/>
        <v>-9.151151782896827E-3</v>
      </c>
      <c r="EP432" s="83">
        <f t="shared" si="2081"/>
        <v>-1.012978790756569E-2</v>
      </c>
      <c r="EQ432" s="83">
        <f t="shared" si="2081"/>
        <v>-7.6384468491407231E-3</v>
      </c>
      <c r="ER432" s="83">
        <f t="shared" si="2081"/>
        <v>-1.2767315671879942E-3</v>
      </c>
      <c r="ES432" s="91">
        <f>+ES431/EN431-1</f>
        <v>-1.2767315671879942E-3</v>
      </c>
      <c r="ET432" s="83">
        <f t="shared" ref="ET432:EW432" si="2082">+ET431/EO431-1</f>
        <v>8.2488854017059854E-3</v>
      </c>
      <c r="EU432" s="83">
        <f t="shared" si="2082"/>
        <v>1.5321020853862555E-2</v>
      </c>
      <c r="EV432" s="83">
        <f t="shared" si="2082"/>
        <v>2.3869023563703795E-2</v>
      </c>
      <c r="EW432" s="83">
        <f t="shared" si="2082"/>
        <v>3.1550441262440332E-2</v>
      </c>
      <c r="EX432" s="91">
        <f>+EX431/ES431-1</f>
        <v>3.1550441262440332E-2</v>
      </c>
      <c r="EY432" s="83">
        <f t="shared" ref="EY432" si="2083">+EY431/ET431-1</f>
        <v>4.2062999692030978E-2</v>
      </c>
      <c r="EZ432" s="83">
        <f t="shared" ref="EZ432" si="2084">+EZ431/EU431-1</f>
        <v>5.0711973182336445E-2</v>
      </c>
      <c r="FA432" s="83">
        <f t="shared" ref="FA432" si="2085">+FA431/EV431-1</f>
        <v>5.9768650809851165E-2</v>
      </c>
      <c r="FB432" s="83">
        <f t="shared" ref="FB432" si="2086">+FB431/EW431-1</f>
        <v>6.7482599355798145E-2</v>
      </c>
      <c r="FC432" s="91">
        <f>+FC431/EX431-1</f>
        <v>6.7482599355798145E-2</v>
      </c>
      <c r="FD432" s="83">
        <f t="shared" ref="FD432" si="2087">+FD431/EY431-1</f>
        <v>7.2815234687778396E-2</v>
      </c>
      <c r="FE432" s="83">
        <f t="shared" ref="FE432" si="2088">+FE431/EZ431-1</f>
        <v>7.6864314488812147E-2</v>
      </c>
      <c r="FF432" s="83">
        <f t="shared" ref="FF432" si="2089">+FF431/FA431-1</f>
        <v>8.0725634284232406E-2</v>
      </c>
      <c r="FG432" s="83">
        <f t="shared" ref="FG432" si="2090">+FG431/FB431-1</f>
        <v>8.280591440362417E-2</v>
      </c>
      <c r="FH432" s="91">
        <f>+FH431/FC431-1</f>
        <v>8.280591440362417E-2</v>
      </c>
      <c r="FI432" s="83">
        <f t="shared" ref="FI432:FM432" si="2091">+FI431/FH431-1</f>
        <v>7.1272119550096047E-2</v>
      </c>
      <c r="FJ432" s="83">
        <f t="shared" si="2091"/>
        <v>5.8768485601658371E-2</v>
      </c>
      <c r="FK432" s="83">
        <f t="shared" si="2091"/>
        <v>4.344437387559652E-2</v>
      </c>
      <c r="FL432" s="83">
        <f t="shared" si="2091"/>
        <v>2.9463890529776826E-2</v>
      </c>
      <c r="FM432" s="83">
        <f t="shared" si="2091"/>
        <v>1.7458688490757268E-2</v>
      </c>
    </row>
    <row r="433" spans="1:169" x14ac:dyDescent="0.3">
      <c r="A433" s="65" t="s">
        <v>340</v>
      </c>
      <c r="DU433" s="96">
        <f>+DV433/DV399*DU399</f>
        <v>-43.5</v>
      </c>
      <c r="DV433" s="80">
        <f>Inputs!DV562</f>
        <v>-87</v>
      </c>
      <c r="DW433" s="80">
        <f>Inputs!DW562</f>
        <v>-84</v>
      </c>
      <c r="DX433" s="80">
        <f>Inputs!DX562</f>
        <v>-58</v>
      </c>
      <c r="DY433" s="86">
        <f>+SUM(DU433:DX433)</f>
        <v>-272.5</v>
      </c>
      <c r="DZ433" s="80">
        <f>Inputs!DZ562</f>
        <v>-39</v>
      </c>
      <c r="EA433" s="80">
        <f>Inputs!EA323</f>
        <v>-32</v>
      </c>
      <c r="EB433" s="80">
        <f>Inputs!EB323</f>
        <v>-36</v>
      </c>
      <c r="EC433" s="80">
        <f>Inputs!EC562</f>
        <v>-41</v>
      </c>
      <c r="ED433" s="86">
        <f>+SUM(DZ433:EC433)</f>
        <v>-148</v>
      </c>
      <c r="EE433" s="80">
        <f>Inputs!EE323</f>
        <v>-30</v>
      </c>
      <c r="EF433" s="80">
        <f>Inputs!EF323</f>
        <v>-38</v>
      </c>
      <c r="EG433" s="80">
        <f>Inputs!EG323</f>
        <v>-23</v>
      </c>
      <c r="EH433" s="80">
        <f>Inputs!EH323</f>
        <v>-8</v>
      </c>
      <c r="EI433" s="86">
        <f>+SUM(EE433:EH433)</f>
        <v>-99</v>
      </c>
      <c r="EJ433" s="80">
        <f>Inputs!EJ323</f>
        <v>4</v>
      </c>
      <c r="EK433" s="80">
        <f>Inputs!EK323</f>
        <v>-10</v>
      </c>
      <c r="EL433" s="80">
        <f>Inputs!EL323</f>
        <v>-17</v>
      </c>
      <c r="EM433" s="80">
        <f>Inputs!EM323</f>
        <v>-9</v>
      </c>
      <c r="EN433" s="86">
        <f>+SUM(EJ433:EM433)</f>
        <v>-32</v>
      </c>
      <c r="EO433" s="80">
        <f>Inputs!EO323</f>
        <v>7</v>
      </c>
      <c r="EP433" s="80">
        <f>Inputs!EP323</f>
        <v>-13</v>
      </c>
      <c r="EQ433" s="80">
        <f>Inputs!EQ323</f>
        <v>-9</v>
      </c>
      <c r="ER433" s="80">
        <f>Inputs!ER323</f>
        <v>11</v>
      </c>
      <c r="ES433" s="86">
        <f>+SUM(EO433:ER433)</f>
        <v>-4</v>
      </c>
      <c r="ET433" s="77">
        <f t="shared" ref="ET433:EW433" si="2092">+ET431-ES431</f>
        <v>36.901500161357035</v>
      </c>
      <c r="EU433" s="77">
        <f t="shared" si="2092"/>
        <v>9.0073320486712873</v>
      </c>
      <c r="EV433" s="77">
        <f t="shared" si="2092"/>
        <v>17.51478326159986</v>
      </c>
      <c r="EW433" s="77">
        <f t="shared" si="2092"/>
        <v>35.297715238547426</v>
      </c>
      <c r="EX433" s="86">
        <f>+SUM(ET433:EW433)</f>
        <v>98.721330710175607</v>
      </c>
      <c r="EY433" s="77">
        <f t="shared" ref="EY433" si="2093">+EY431-EX431</f>
        <v>71.347483277468655</v>
      </c>
      <c r="EZ433" s="77">
        <f t="shared" ref="EZ433" si="2094">+EZ431-EY431</f>
        <v>36.845909777782254</v>
      </c>
      <c r="FA433" s="77">
        <f t="shared" ref="FA433" si="2095">+FA431-EZ431</f>
        <v>47.315744016448207</v>
      </c>
      <c r="FB433" s="77">
        <f t="shared" ref="FB433" si="2096">+FB431-FA431</f>
        <v>62.305888320779559</v>
      </c>
      <c r="FC433" s="86">
        <f>+SUM(EY433:FB433)</f>
        <v>217.81502539247867</v>
      </c>
      <c r="FD433" s="77">
        <f t="shared" ref="FD433" si="2097">+FD431-FC431</f>
        <v>93.754927826631047</v>
      </c>
      <c r="FE433" s="77">
        <f t="shared" ref="FE433" si="2098">+FE431-FD431</f>
        <v>53.036238271506136</v>
      </c>
      <c r="FF433" s="77">
        <f t="shared" ref="FF433" si="2099">+FF431-FE431</f>
        <v>64.016371022515159</v>
      </c>
      <c r="FG433" s="77">
        <f t="shared" ref="FG433" si="2100">+FG431-FF431</f>
        <v>74.503251457359511</v>
      </c>
      <c r="FH433" s="86">
        <f>+SUM(FD433:FG433)</f>
        <v>285.31078857801185</v>
      </c>
      <c r="FI433" s="77">
        <f t="shared" ref="FI433:FM433" si="2101">+FI431-FH431</f>
        <v>265.90538371881485</v>
      </c>
      <c r="FJ433" s="77">
        <f t="shared" si="2101"/>
        <v>234.88309341863624</v>
      </c>
      <c r="FK433" s="77">
        <f t="shared" si="2101"/>
        <v>183.84076005955831</v>
      </c>
      <c r="FL433" s="77">
        <f t="shared" si="2101"/>
        <v>130.097112752459</v>
      </c>
      <c r="FM433" s="77">
        <f t="shared" si="2101"/>
        <v>79.359751654590582</v>
      </c>
    </row>
    <row r="434" spans="1:169" x14ac:dyDescent="0.3">
      <c r="A434" s="65" t="s">
        <v>341</v>
      </c>
      <c r="DU434" s="83">
        <f>+DU429/AVERAGE(DT99:DU99)</f>
        <v>1.1904404605263159E-2</v>
      </c>
      <c r="DV434" s="83">
        <f>+DV429/AVERAGE(DU99:DV99)</f>
        <v>9.946499999999997E-3</v>
      </c>
      <c r="DW434" s="83">
        <f>+DW429/AVERAGE(DV99:DW99)</f>
        <v>1.0401019736842099E-2</v>
      </c>
      <c r="DX434" s="83">
        <f>+DX429/AVERAGE(DW99:DX99)</f>
        <v>9.5429934210526299E-3</v>
      </c>
      <c r="DY434" s="91">
        <f>+DY429/AVERAGE(DU99:DX99)</f>
        <v>4.1794917763157885E-2</v>
      </c>
      <c r="DZ434" s="83">
        <f>+DZ429/AVERAGE(DY99:DZ99)</f>
        <v>9.8287894736842265E-3</v>
      </c>
      <c r="EA434" s="83">
        <f>+EA429/AVERAGE(DZ99:EA99)</f>
        <v>8.7492500000000088E-3</v>
      </c>
      <c r="EB434" s="83">
        <f>+EB429/AVERAGE(EA99:EB99)</f>
        <v>9.570434210526323E-3</v>
      </c>
      <c r="EC434" s="83">
        <f>+EC429/AVERAGE(EB99:EC99)</f>
        <v>8.1335921052631543E-3</v>
      </c>
      <c r="ED434" s="91">
        <f>+ED429/AVERAGE(DZ99:EC99)</f>
        <v>3.6282065789473711E-2</v>
      </c>
      <c r="EE434" s="83">
        <f>+EE429/AVERAGE(ED99:EE99)</f>
        <v>7.3673684210526268E-3</v>
      </c>
      <c r="EF434" s="83">
        <f>+EF429/AVERAGE(EE99:EF99)</f>
        <v>7.3056262295082041E-3</v>
      </c>
      <c r="EG434" s="83">
        <f>+EG429/AVERAGE(EF99:EG99)</f>
        <v>8.7740653594771175E-3</v>
      </c>
      <c r="EH434" s="83">
        <f>+EH429/AVERAGE(EG99:EH99)</f>
        <v>8.4983986928104695E-3</v>
      </c>
      <c r="EI434" s="91">
        <f>+EI429/AVERAGE(EE99:EH99)</f>
        <v>3.1925597381342069E-2</v>
      </c>
      <c r="EJ434" s="83">
        <f>+EJ429/AVERAGE(EI99:EJ99)</f>
        <v>8.6393790849673135E-3</v>
      </c>
      <c r="EK434" s="83">
        <f>+EK429/AVERAGE(EJ99:EK99)</f>
        <v>8.8534052287581756E-3</v>
      </c>
      <c r="EL434" s="83">
        <f>+EL429/AVERAGE(EK99:EL99)</f>
        <v>9.7905359477124202E-3</v>
      </c>
      <c r="EM434" s="83">
        <f>+EM429/AVERAGE(EL99:EM99)</f>
        <v>8.8089771986970614E-3</v>
      </c>
      <c r="EN434" s="91">
        <f>+EN429/AVERAGE(EJ99:EM99)</f>
        <v>3.6062159869494285E-2</v>
      </c>
      <c r="EO434" s="83">
        <f>+EO429/AVERAGE(EN99:EO99)</f>
        <v>9.1821883116883288E-3</v>
      </c>
      <c r="EP434" s="83">
        <f>+EP429/AVERAGE(EO99:EP99)</f>
        <v>8.514675324675338E-3</v>
      </c>
      <c r="EQ434" s="83">
        <f>+EQ429/AVERAGE(EP99:EQ99)</f>
        <v>9.7712337662337577E-3</v>
      </c>
      <c r="ER434" s="83">
        <f>+ER429/AVERAGE(EQ99:ER99)</f>
        <v>9.4001428571428656E-3</v>
      </c>
      <c r="ES434" s="91">
        <f>+ES429/AVERAGE(EO99:ER99)</f>
        <v>3.6868240259740288E-2</v>
      </c>
      <c r="ET434" s="83">
        <f t="shared" ref="ET434:EW434" si="2102">+ET429/AVERAGE(ES99:ET99)</f>
        <v>1.1665500721849858E-2</v>
      </c>
      <c r="EU434" s="83">
        <f t="shared" si="2102"/>
        <v>9.9505737079584305E-3</v>
      </c>
      <c r="EV434" s="83">
        <f t="shared" si="2102"/>
        <v>1.0514530916065822E-2</v>
      </c>
      <c r="EW434" s="83">
        <f t="shared" si="2102"/>
        <v>1.1693155980384461E-2</v>
      </c>
      <c r="EX434" s="91">
        <f>+EX429/AVERAGE(ET99:EW99)</f>
        <v>4.3786398470490533E-2</v>
      </c>
      <c r="EY434" s="83">
        <f t="shared" ref="EY434" si="2103">+EY429/AVERAGE(EX99:EY99)</f>
        <v>1.4095426770965071E-2</v>
      </c>
      <c r="EZ434" s="83">
        <f t="shared" ref="EZ434" si="2104">+EZ429/AVERAGE(EY99:EZ99)</f>
        <v>1.2065517959890021E-2</v>
      </c>
      <c r="FA434" s="83">
        <f t="shared" ref="FA434" si="2105">+FA429/AVERAGE(EZ99:FA99)</f>
        <v>1.2829708116197495E-2</v>
      </c>
      <c r="FB434" s="83">
        <f t="shared" ref="FB434" si="2106">+FB429/AVERAGE(FA99:FB99)</f>
        <v>1.3902708038556078E-2</v>
      </c>
      <c r="FC434" s="91">
        <f>+FC429/AVERAGE(EY99:FB99)</f>
        <v>5.2847847591784895E-2</v>
      </c>
      <c r="FD434" s="83">
        <f t="shared" ref="FD434" si="2107">+FD429/AVERAGE(FC99:FD99)</f>
        <v>1.6069281499573426E-2</v>
      </c>
      <c r="FE434" s="83">
        <f t="shared" ref="FE434" si="2108">+FE429/AVERAGE(FD99:FE99)</f>
        <v>1.3719452453127171E-2</v>
      </c>
      <c r="FF434" s="83">
        <f t="shared" ref="FF434" si="2109">+FF429/AVERAGE(FE99:FF99)</f>
        <v>1.4554828343015289E-2</v>
      </c>
      <c r="FG434" s="83">
        <f t="shared" ref="FG434" si="2110">+FG429/AVERAGE(FF99:FG99)</f>
        <v>1.5377468730858932E-2</v>
      </c>
      <c r="FH434" s="91">
        <f>+FH429/AVERAGE(FD99:FG99)</f>
        <v>5.9668523687388959E-2</v>
      </c>
      <c r="FI434" s="83">
        <f t="shared" ref="FI434:FM434" si="2111">+FI429/AVERAGE(FH99:FI99)</f>
        <v>6.0044486806829285E-2</v>
      </c>
      <c r="FJ434" s="83">
        <f t="shared" si="2111"/>
        <v>6.0732086557779744E-2</v>
      </c>
      <c r="FK434" s="83">
        <f t="shared" si="2111"/>
        <v>5.9801971974574319E-2</v>
      </c>
      <c r="FL434" s="83">
        <f t="shared" si="2111"/>
        <v>5.8135508323300243E-2</v>
      </c>
      <c r="FM434" s="83">
        <f t="shared" si="2111"/>
        <v>5.6069481368369402E-2</v>
      </c>
    </row>
    <row r="435" spans="1:169" x14ac:dyDescent="0.3">
      <c r="A435" s="65" t="s">
        <v>342</v>
      </c>
      <c r="DU435" s="1235">
        <f>+Inputs!DU564</f>
        <v>2.0299999999999999E-2</v>
      </c>
      <c r="DV435" s="1235">
        <f>+Inputs!DV564</f>
        <v>2.18E-2</v>
      </c>
      <c r="DW435" s="1235">
        <f>+Inputs!DW564</f>
        <v>2.2700000000000001E-2</v>
      </c>
      <c r="DX435" s="1235">
        <f>+Inputs!DX564</f>
        <v>1.95E-2</v>
      </c>
      <c r="DY435" s="1236">
        <f>+DY430/AVERAGE(DU428:DX428)/-12</f>
        <v>2.1081565471836136E-2</v>
      </c>
      <c r="DZ435" s="1235">
        <f>+Inputs!DZ564</f>
        <v>1.84E-2</v>
      </c>
      <c r="EA435" s="1235">
        <f>Inputs!EA325</f>
        <v>1.6299999999999999E-2</v>
      </c>
      <c r="EB435" s="1235">
        <f>Inputs!EB325</f>
        <v>1.8100000000000002E-2</v>
      </c>
      <c r="EC435" s="1235">
        <f>+Inputs!EC564</f>
        <v>1.67E-2</v>
      </c>
      <c r="ED435" s="1236">
        <f>+ED430/AVERAGE(DZ428:EC428)/-12</f>
        <v>1.7379665053963527E-2</v>
      </c>
      <c r="EE435" s="1235">
        <f>Inputs!EE325</f>
        <v>1.4500000000000001E-2</v>
      </c>
      <c r="EF435" s="1235">
        <f>Inputs!EF325</f>
        <v>1.54E-2</v>
      </c>
      <c r="EG435" s="1235">
        <f>Inputs!EG325</f>
        <v>1.6400000000000001E-2</v>
      </c>
      <c r="EH435" s="1235">
        <f>Inputs!EH325</f>
        <v>1.4500000000000001E-2</v>
      </c>
      <c r="EI435" s="1236">
        <f>+EI430/AVERAGE(EE428:EH428)/-12</f>
        <v>1.5198142535167485E-2</v>
      </c>
      <c r="EJ435" s="1235">
        <f>Inputs!EJ325</f>
        <v>1.35E-2</v>
      </c>
      <c r="EK435" s="1235">
        <f>Inputs!EK325</f>
        <v>1.5299999999999999E-2</v>
      </c>
      <c r="EL435" s="1235">
        <f>Inputs!EL325</f>
        <v>1.7600000000000001E-2</v>
      </c>
      <c r="EM435" s="1235">
        <f>Inputs!EM325</f>
        <v>1.5299999999999999E-2</v>
      </c>
      <c r="EN435" s="1236">
        <f>+EN430/AVERAGE(EJ428:EM428)/-12</f>
        <v>1.5424155124653741E-2</v>
      </c>
      <c r="EO435" s="1235">
        <f>Inputs!EO325</f>
        <v>1.43E-2</v>
      </c>
      <c r="EP435" s="1235">
        <f>Inputs!EP325</f>
        <v>1.5299999999999999E-2</v>
      </c>
      <c r="EQ435" s="1235">
        <f>Inputs!EQ325</f>
        <v>1.7000000000000001E-2</v>
      </c>
      <c r="ER435" s="1235">
        <f>Inputs!ER325</f>
        <v>1.43E-2</v>
      </c>
      <c r="ES435" s="1236">
        <f>+ES430/AVERAGE(EO428:ER428)/-12</f>
        <v>1.5225299568621184E-2</v>
      </c>
      <c r="ET435" s="1186">
        <f t="shared" ref="ET435:EW435" si="2112">+ES435</f>
        <v>1.5225299568621184E-2</v>
      </c>
      <c r="EU435" s="1186">
        <f t="shared" si="2112"/>
        <v>1.5225299568621184E-2</v>
      </c>
      <c r="EV435" s="1186">
        <f t="shared" si="2112"/>
        <v>1.5225299568621184E-2</v>
      </c>
      <c r="EW435" s="1186">
        <f t="shared" si="2112"/>
        <v>1.5225299568621184E-2</v>
      </c>
      <c r="EX435" s="1236">
        <f>+EX430/AVERAGE(ET428:EW428)/-12</f>
        <v>1.5225299568621181E-2</v>
      </c>
      <c r="EY435" s="1186">
        <f t="shared" ref="EY435:FB435" si="2113">+ET435</f>
        <v>1.5225299568621184E-2</v>
      </c>
      <c r="EZ435" s="1186">
        <f t="shared" si="2113"/>
        <v>1.5225299568621184E-2</v>
      </c>
      <c r="FA435" s="1186">
        <f t="shared" si="2113"/>
        <v>1.5225299568621184E-2</v>
      </c>
      <c r="FB435" s="1186">
        <f t="shared" si="2113"/>
        <v>1.5225299568621184E-2</v>
      </c>
      <c r="FC435" s="1236">
        <f>+FC430/AVERAGE(EY428:FB428)/-12</f>
        <v>1.5225299568621183E-2</v>
      </c>
      <c r="FD435" s="1186">
        <f t="shared" ref="FD435:FG435" si="2114">+EY435</f>
        <v>1.5225299568621184E-2</v>
      </c>
      <c r="FE435" s="1186">
        <f t="shared" si="2114"/>
        <v>1.5225299568621184E-2</v>
      </c>
      <c r="FF435" s="1186">
        <f t="shared" si="2114"/>
        <v>1.5225299568621184E-2</v>
      </c>
      <c r="FG435" s="1186">
        <f t="shared" si="2114"/>
        <v>1.5225299568621184E-2</v>
      </c>
      <c r="FH435" s="1236">
        <f>+FH430/AVERAGE(FD428:FG428)/-12</f>
        <v>1.5225299568621184E-2</v>
      </c>
      <c r="FI435" s="1186">
        <f t="shared" ref="FI435:FM435" si="2115">+FH435</f>
        <v>1.5225299568621184E-2</v>
      </c>
      <c r="FJ435" s="1186">
        <f t="shared" si="2115"/>
        <v>1.5225299568621184E-2</v>
      </c>
      <c r="FK435" s="1186">
        <f t="shared" si="2115"/>
        <v>1.5225299568621184E-2</v>
      </c>
      <c r="FL435" s="1186">
        <f t="shared" si="2115"/>
        <v>1.5225299568621184E-2</v>
      </c>
      <c r="FM435" s="1186">
        <f t="shared" si="2115"/>
        <v>1.5225299568621184E-2</v>
      </c>
    </row>
    <row r="436" spans="1:169" x14ac:dyDescent="0.3">
      <c r="A436" s="65" t="s">
        <v>210</v>
      </c>
      <c r="DU436" s="75">
        <f t="shared" ref="DU436:FM436" si="2116">+DU431/DU99</f>
        <v>0.23960526315789474</v>
      </c>
      <c r="DV436" s="75">
        <f t="shared" si="2116"/>
        <v>0.23388157894736841</v>
      </c>
      <c r="DW436" s="75">
        <f t="shared" si="2116"/>
        <v>0.22835526315789473</v>
      </c>
      <c r="DX436" s="75">
        <f t="shared" si="2116"/>
        <v>0.22453947368421054</v>
      </c>
      <c r="DY436" s="84">
        <f t="shared" si="2116"/>
        <v>0.22453947368421054</v>
      </c>
      <c r="DZ436" s="75">
        <f t="shared" si="2116"/>
        <v>0.22197368421052632</v>
      </c>
      <c r="EA436" s="75">
        <f t="shared" si="2116"/>
        <v>0.21986842105263157</v>
      </c>
      <c r="EB436" s="75">
        <f t="shared" si="2116"/>
        <v>0.2175</v>
      </c>
      <c r="EC436" s="75">
        <f t="shared" si="2116"/>
        <v>0.21473684210526317</v>
      </c>
      <c r="ED436" s="84">
        <f t="shared" si="2116"/>
        <v>0.21473684210526317</v>
      </c>
      <c r="EE436" s="75">
        <f t="shared" si="2116"/>
        <v>0.21276315789473685</v>
      </c>
      <c r="EF436" s="75">
        <f t="shared" si="2116"/>
        <v>0.2088888888888889</v>
      </c>
      <c r="EG436" s="75">
        <f t="shared" si="2116"/>
        <v>0.20738562091503268</v>
      </c>
      <c r="EH436" s="75">
        <f t="shared" si="2116"/>
        <v>0.2068627450980392</v>
      </c>
      <c r="EI436" s="84">
        <f t="shared" si="2116"/>
        <v>0.2068627450980392</v>
      </c>
      <c r="EJ436" s="75">
        <f t="shared" si="2116"/>
        <v>0.20712418300653596</v>
      </c>
      <c r="EK436" s="75">
        <f t="shared" si="2116"/>
        <v>0.20647058823529413</v>
      </c>
      <c r="EL436" s="75">
        <f t="shared" si="2116"/>
        <v>0.20535947712418301</v>
      </c>
      <c r="EM436" s="75">
        <f t="shared" si="2116"/>
        <v>0.20344155844155845</v>
      </c>
      <c r="EN436" s="84">
        <f t="shared" si="2116"/>
        <v>0.20344155844155845</v>
      </c>
      <c r="EO436" s="75">
        <f t="shared" si="2116"/>
        <v>0.20389610389610391</v>
      </c>
      <c r="EP436" s="75">
        <f t="shared" si="2116"/>
        <v>0.20305194805194804</v>
      </c>
      <c r="EQ436" s="75">
        <f t="shared" si="2116"/>
        <v>0.20246753246753246</v>
      </c>
      <c r="ER436" s="75">
        <f t="shared" si="2116"/>
        <v>0.20318181818181819</v>
      </c>
      <c r="ES436" s="84">
        <f t="shared" si="2116"/>
        <v>0.20318181818181819</v>
      </c>
      <c r="ET436" s="75">
        <f t="shared" si="2116"/>
        <v>0.20518357970695805</v>
      </c>
      <c r="EU436" s="75">
        <f t="shared" si="2116"/>
        <v>0.20555498232225133</v>
      </c>
      <c r="EV436" s="75">
        <f t="shared" si="2116"/>
        <v>0.20636129089730221</v>
      </c>
      <c r="EW436" s="75">
        <f t="shared" si="2116"/>
        <v>0.20813534677453771</v>
      </c>
      <c r="EX436" s="84">
        <f t="shared" si="2116"/>
        <v>0.20813534677453771</v>
      </c>
      <c r="EY436" s="75">
        <f t="shared" ref="EY436:FC436" si="2117">+EY431/EY99</f>
        <v>0.21237176775978278</v>
      </c>
      <c r="EZ436" s="75">
        <f t="shared" si="2117"/>
        <v>0.21450741008490351</v>
      </c>
      <c r="FA436" s="75">
        <f t="shared" si="2117"/>
        <v>0.21719009944446305</v>
      </c>
      <c r="FB436" s="75">
        <f t="shared" si="2117"/>
        <v>0.22063640614965641</v>
      </c>
      <c r="FC436" s="84">
        <f t="shared" si="2117"/>
        <v>0.22063640614965641</v>
      </c>
      <c r="FD436" s="75">
        <f t="shared" si="2116"/>
        <v>0.2262986265529498</v>
      </c>
      <c r="FE436" s="75">
        <f t="shared" si="2116"/>
        <v>0.22942138382583621</v>
      </c>
      <c r="FF436" s="75">
        <f t="shared" si="2116"/>
        <v>0.23310747319314429</v>
      </c>
      <c r="FG436" s="75">
        <f t="shared" si="2116"/>
        <v>0.23724568571162677</v>
      </c>
      <c r="FH436" s="84">
        <f t="shared" ref="FH436" si="2118">+FH431/FH99</f>
        <v>0.23724568571162677</v>
      </c>
      <c r="FI436" s="75">
        <f t="shared" si="2116"/>
        <v>0.25238797277697156</v>
      </c>
      <c r="FJ436" s="75">
        <f t="shared" si="2116"/>
        <v>0.26536289148078129</v>
      </c>
      <c r="FK436" s="75">
        <f t="shared" si="2116"/>
        <v>0.27496664960375544</v>
      </c>
      <c r="FL436" s="75">
        <f t="shared" si="2116"/>
        <v>0.28110053313507449</v>
      </c>
      <c r="FM436" s="75">
        <f t="shared" si="2116"/>
        <v>0.28402003950115745</v>
      </c>
    </row>
    <row r="437" spans="1:169" x14ac:dyDescent="0.3">
      <c r="A437" s="65"/>
      <c r="EO437"/>
      <c r="EP437"/>
      <c r="EQ437"/>
      <c r="ER437"/>
    </row>
    <row r="438" spans="1:169" x14ac:dyDescent="0.3">
      <c r="A438" s="68" t="s">
        <v>458</v>
      </c>
      <c r="EO438"/>
      <c r="EP438"/>
      <c r="EQ438"/>
      <c r="ER438"/>
    </row>
    <row r="439" spans="1:169" x14ac:dyDescent="0.3">
      <c r="A439" s="67" t="s">
        <v>350</v>
      </c>
      <c r="DU439" s="76">
        <f t="shared" ref="DU439:DX441" si="2119">DU135+DU302</f>
        <v>321.04959869888103</v>
      </c>
      <c r="DV439" s="76">
        <f t="shared" si="2119"/>
        <v>314.04959869888103</v>
      </c>
      <c r="DW439" s="76">
        <f t="shared" si="2119"/>
        <v>307.61497302449339</v>
      </c>
      <c r="DX439" s="76">
        <f t="shared" si="2119"/>
        <v>301.19484412768554</v>
      </c>
      <c r="DY439" s="85">
        <f>+DU439</f>
        <v>321.04959869888103</v>
      </c>
      <c r="DZ439" s="76">
        <f t="shared" ref="DZ439:EC441" si="2120">DZ135+DZ302</f>
        <v>295.78958372070309</v>
      </c>
      <c r="EA439" s="76">
        <f t="shared" si="2120"/>
        <v>288.39957304687499</v>
      </c>
      <c r="EB439" s="76">
        <f t="shared" si="2120"/>
        <v>282.02520312499996</v>
      </c>
      <c r="EC439" s="76">
        <f t="shared" si="2120"/>
        <v>276.666875</v>
      </c>
      <c r="ED439" s="85">
        <f>+DZ439</f>
        <v>295.78958372070309</v>
      </c>
      <c r="EE439" s="76">
        <f t="shared" ref="EE439:EH441" si="2121">EE135+EE302</f>
        <v>273.32500000000005</v>
      </c>
      <c r="EF439" s="76">
        <f t="shared" si="2121"/>
        <v>269</v>
      </c>
      <c r="EG439" s="76">
        <f t="shared" si="2121"/>
        <v>267</v>
      </c>
      <c r="EH439" s="76">
        <f t="shared" si="2121"/>
        <v>263</v>
      </c>
      <c r="EI439" s="85">
        <f>+EE439</f>
        <v>273.32500000000005</v>
      </c>
      <c r="EJ439" s="76">
        <f t="shared" ref="EJ439:EM441" si="2122">EJ135+EJ302</f>
        <v>257</v>
      </c>
      <c r="EK439" s="76">
        <f t="shared" si="2122"/>
        <v>257</v>
      </c>
      <c r="EL439" s="76">
        <f t="shared" si="2122"/>
        <v>256</v>
      </c>
      <c r="EM439" s="76">
        <f t="shared" si="2122"/>
        <v>253</v>
      </c>
      <c r="EN439" s="85">
        <f>+EJ439</f>
        <v>257</v>
      </c>
      <c r="EO439" s="76">
        <f t="shared" ref="EO439:ER441" si="2123">EO135+EO302</f>
        <v>250</v>
      </c>
      <c r="EP439" s="76">
        <f t="shared" si="2123"/>
        <v>248</v>
      </c>
      <c r="EQ439" s="76">
        <f t="shared" si="2123"/>
        <v>248</v>
      </c>
      <c r="ER439" s="76">
        <f t="shared" si="2123"/>
        <v>246</v>
      </c>
      <c r="ES439" s="85">
        <f>+EO439</f>
        <v>250</v>
      </c>
      <c r="ET439" s="76">
        <f t="shared" ref="ET439:EW441" si="2124">ET135+ET302</f>
        <v>245.95749822317086</v>
      </c>
      <c r="EU439" s="76">
        <f t="shared" si="2124"/>
        <v>244.95499219821249</v>
      </c>
      <c r="EV439" s="76">
        <f t="shared" si="2124"/>
        <v>246.99560712123892</v>
      </c>
      <c r="EW439" s="76">
        <f t="shared" si="2124"/>
        <v>247.1524830208389</v>
      </c>
      <c r="EX439" s="85">
        <f>+ET439</f>
        <v>245.95749822317086</v>
      </c>
      <c r="EY439" s="76">
        <f t="shared" ref="EY439:FB439" si="2125">EY135+EY302</f>
        <v>249.57189466933096</v>
      </c>
      <c r="EZ439" s="76">
        <f t="shared" si="2125"/>
        <v>251.20790288664881</v>
      </c>
      <c r="FA439" s="76">
        <f t="shared" si="2125"/>
        <v>255.2135183995517</v>
      </c>
      <c r="FB439" s="76">
        <f t="shared" si="2125"/>
        <v>257.44341952530931</v>
      </c>
      <c r="FC439" s="85">
        <f>+EY439</f>
        <v>249.57189466933096</v>
      </c>
      <c r="FD439" s="76">
        <f t="shared" ref="FD439:FM441" si="2126">FD135+FD302</f>
        <v>262.30679717411999</v>
      </c>
      <c r="FE439" s="76">
        <f t="shared" si="2126"/>
        <v>266.26343459741003</v>
      </c>
      <c r="FF439" s="76">
        <f t="shared" si="2126"/>
        <v>271.96370608269319</v>
      </c>
      <c r="FG439" s="76">
        <f t="shared" si="2126"/>
        <v>275.92560147293176</v>
      </c>
      <c r="FH439" s="85">
        <f>+FD439</f>
        <v>262.30679717411999</v>
      </c>
      <c r="FI439" s="76">
        <f t="shared" si="2126"/>
        <v>282.48701286962847</v>
      </c>
      <c r="FJ439" s="76">
        <f t="shared" si="2126"/>
        <v>306.53058993498746</v>
      </c>
      <c r="FK439" s="76">
        <f t="shared" si="2126"/>
        <v>333.39658883711741</v>
      </c>
      <c r="FL439" s="76">
        <f t="shared" si="2126"/>
        <v>363.02762383127526</v>
      </c>
      <c r="FM439" s="76">
        <f t="shared" si="2126"/>
        <v>395.44626881048879</v>
      </c>
    </row>
    <row r="440" spans="1:169" x14ac:dyDescent="0.3">
      <c r="A440" s="67" t="s">
        <v>351</v>
      </c>
      <c r="DU440" s="76">
        <f t="shared" si="2119"/>
        <v>14.909087769489631</v>
      </c>
      <c r="DV440" s="76">
        <f t="shared" si="2119"/>
        <v>14.828687518697606</v>
      </c>
      <c r="DW440" s="76">
        <f t="shared" si="2119"/>
        <v>15.067811906750492</v>
      </c>
      <c r="DX440" s="76">
        <f t="shared" si="2119"/>
        <v>14.204289753084495</v>
      </c>
      <c r="DY440" s="85">
        <f>+SUM(DU440:DX440)</f>
        <v>59.009876948022224</v>
      </c>
      <c r="DZ440" s="76">
        <f t="shared" si="2120"/>
        <v>12.043170184761721</v>
      </c>
      <c r="EA440" s="76">
        <f t="shared" si="2120"/>
        <v>10.327965571015611</v>
      </c>
      <c r="EB440" s="76">
        <f t="shared" si="2120"/>
        <v>10.627505264062492</v>
      </c>
      <c r="EC440" s="76">
        <f t="shared" si="2120"/>
        <v>10.40520987500004</v>
      </c>
      <c r="ED440" s="85">
        <f>+SUM(DZ440:EC440)</f>
        <v>43.403850894839863</v>
      </c>
      <c r="EE440" s="76">
        <f t="shared" si="2121"/>
        <v>8.4801024999999868</v>
      </c>
      <c r="EF440" s="76">
        <f t="shared" si="2121"/>
        <v>10.00869999999999</v>
      </c>
      <c r="EG440" s="76">
        <f t="shared" si="2121"/>
        <v>7.7759000000000071</v>
      </c>
      <c r="EH440" s="76">
        <f t="shared" si="2121"/>
        <v>5.7128999999999905</v>
      </c>
      <c r="EI440" s="85">
        <f>+SUM(EE440:EH440)</f>
        <v>31.977602499999975</v>
      </c>
      <c r="EJ440" s="76">
        <f t="shared" si="2122"/>
        <v>10.917600000000007</v>
      </c>
      <c r="EK440" s="76">
        <f t="shared" si="2122"/>
        <v>10.076899999999995</v>
      </c>
      <c r="EL440" s="76">
        <f t="shared" si="2122"/>
        <v>9.0671999999999855</v>
      </c>
      <c r="EM440" s="76">
        <f t="shared" si="2122"/>
        <v>9.087900000000019</v>
      </c>
      <c r="EN440" s="85">
        <f>+SUM(EJ440:EM440)</f>
        <v>39.149600000000007</v>
      </c>
      <c r="EO440" s="76">
        <f t="shared" si="2123"/>
        <v>10.561000000000007</v>
      </c>
      <c r="EP440" s="76">
        <f t="shared" si="2123"/>
        <v>11.157600000000002</v>
      </c>
      <c r="EQ440" s="76">
        <f t="shared" si="2123"/>
        <v>8.8888000000000034</v>
      </c>
      <c r="ER440" s="76">
        <f t="shared" si="2123"/>
        <v>11.186816223170856</v>
      </c>
      <c r="ES440" s="85">
        <f>+SUM(EO440:ER440)</f>
        <v>41.794216223170871</v>
      </c>
      <c r="ET440" s="76">
        <f t="shared" si="2124"/>
        <v>11.088070648815663</v>
      </c>
      <c r="EU440" s="76">
        <f t="shared" si="2124"/>
        <v>12.811217921097279</v>
      </c>
      <c r="EV440" s="76">
        <f t="shared" si="2124"/>
        <v>10.722745719698887</v>
      </c>
      <c r="EW440" s="76">
        <f t="shared" si="2124"/>
        <v>13.443126798888802</v>
      </c>
      <c r="EX440" s="85">
        <f>+SUM(ET440:EW440)</f>
        <v>48.065161088500631</v>
      </c>
      <c r="EY440" s="76">
        <f t="shared" ref="EY440:FB440" si="2127">EY136+EY303</f>
        <v>13.617679830072099</v>
      </c>
      <c r="EZ440" s="76">
        <f t="shared" si="2127"/>
        <v>14.796805999902199</v>
      </c>
      <c r="FA440" s="76">
        <f t="shared" si="2127"/>
        <v>12.86601603027561</v>
      </c>
      <c r="FB440" s="76">
        <f t="shared" si="2127"/>
        <v>16.088245660368688</v>
      </c>
      <c r="FC440" s="85">
        <f>+SUM(EY440:FB440)</f>
        <v>57.368747520618598</v>
      </c>
      <c r="FD440" s="76">
        <f t="shared" si="2126"/>
        <v>16.266839426235848</v>
      </c>
      <c r="FE440" s="76">
        <f t="shared" si="2126"/>
        <v>16.891432666763382</v>
      </c>
      <c r="FF440" s="76">
        <f t="shared" si="2126"/>
        <v>15.026093025617147</v>
      </c>
      <c r="FG440" s="76">
        <f t="shared" si="2126"/>
        <v>18.348104826773838</v>
      </c>
      <c r="FH440" s="85">
        <f>+SUM(FD440:FG440)</f>
        <v>66.532469945390204</v>
      </c>
      <c r="FI440" s="76">
        <f t="shared" si="2126"/>
        <v>72.093582001464029</v>
      </c>
      <c r="FJ440" s="76">
        <f t="shared" si="2126"/>
        <v>78.117104477334067</v>
      </c>
      <c r="FK440" s="76">
        <f t="shared" si="2126"/>
        <v>84.656786390137995</v>
      </c>
      <c r="FL440" s="76">
        <f t="shared" si="2126"/>
        <v>91.756893427284254</v>
      </c>
      <c r="FM440" s="76">
        <f t="shared" si="2126"/>
        <v>99.465487169176342</v>
      </c>
    </row>
    <row r="441" spans="1:169" x14ac:dyDescent="0.3">
      <c r="A441" s="67" t="s">
        <v>337</v>
      </c>
      <c r="DU441" s="76">
        <f t="shared" si="2119"/>
        <v>-21.909087769489631</v>
      </c>
      <c r="DV441" s="76">
        <f t="shared" si="2119"/>
        <v>-21.263313193085253</v>
      </c>
      <c r="DW441" s="76">
        <f t="shared" si="2119"/>
        <v>-21.487940803558345</v>
      </c>
      <c r="DX441" s="76">
        <f t="shared" si="2119"/>
        <v>-19.609550160066945</v>
      </c>
      <c r="DY441" s="85">
        <f>+SUM(DU441:DX441)</f>
        <v>-84.269891926200174</v>
      </c>
      <c r="DZ441" s="76">
        <f t="shared" si="2120"/>
        <v>-19.433180858589843</v>
      </c>
      <c r="EA441" s="76">
        <f t="shared" si="2120"/>
        <v>-16.702335492890626</v>
      </c>
      <c r="EB441" s="76">
        <f t="shared" si="2120"/>
        <v>-15.985833389062499</v>
      </c>
      <c r="EC441" s="76">
        <f t="shared" si="2120"/>
        <v>-13.747084874999999</v>
      </c>
      <c r="ED441" s="85">
        <f>+SUM(DZ441:EC441)</f>
        <v>-65.868434615542967</v>
      </c>
      <c r="EE441" s="76">
        <f t="shared" si="2121"/>
        <v>-12.8051025</v>
      </c>
      <c r="EF441" s="76">
        <f t="shared" si="2121"/>
        <v>-12.008700000000001</v>
      </c>
      <c r="EG441" s="76">
        <f t="shared" si="2121"/>
        <v>-11.7759</v>
      </c>
      <c r="EH441" s="76">
        <f t="shared" si="2121"/>
        <v>-11.712899999999999</v>
      </c>
      <c r="EI441" s="85">
        <f>+SUM(EE441:EH441)</f>
        <v>-48.302602499999999</v>
      </c>
      <c r="EJ441" s="76">
        <f t="shared" si="2122"/>
        <v>-10.9176</v>
      </c>
      <c r="EK441" s="76">
        <f t="shared" si="2122"/>
        <v>-11.0769</v>
      </c>
      <c r="EL441" s="76">
        <f t="shared" si="2122"/>
        <v>-12.0672</v>
      </c>
      <c r="EM441" s="76">
        <f t="shared" si="2122"/>
        <v>-12.087900000000001</v>
      </c>
      <c r="EN441" s="85">
        <f>+SUM(EJ441:EM441)</f>
        <v>-46.149600000000007</v>
      </c>
      <c r="EO441" s="76">
        <f t="shared" si="2123"/>
        <v>-12.561</v>
      </c>
      <c r="EP441" s="76">
        <f t="shared" si="2123"/>
        <v>-11.157599999999999</v>
      </c>
      <c r="EQ441" s="76">
        <f t="shared" si="2123"/>
        <v>-10.8888</v>
      </c>
      <c r="ER441" s="76">
        <f t="shared" si="2123"/>
        <v>-11.229317999999999</v>
      </c>
      <c r="ES441" s="85">
        <f>+SUM(EO441:ER441)</f>
        <v>-45.836717999999998</v>
      </c>
      <c r="ET441" s="76">
        <f t="shared" si="2124"/>
        <v>-12.090576673774031</v>
      </c>
      <c r="EU441" s="76">
        <f t="shared" si="2124"/>
        <v>-10.770602998070824</v>
      </c>
      <c r="EV441" s="76">
        <f t="shared" si="2124"/>
        <v>-10.565869820098895</v>
      </c>
      <c r="EW441" s="76">
        <f t="shared" si="2124"/>
        <v>-11.023715150396736</v>
      </c>
      <c r="EX441" s="85">
        <f>+SUM(ET441:EW441)</f>
        <v>-44.450764642340488</v>
      </c>
      <c r="EY441" s="76">
        <f t="shared" ref="EY441:FB441" si="2128">EY137+EY304</f>
        <v>-11.981671612754251</v>
      </c>
      <c r="EZ441" s="76">
        <f t="shared" si="2128"/>
        <v>-10.791190486999298</v>
      </c>
      <c r="FA441" s="76">
        <f t="shared" si="2128"/>
        <v>-10.636114904517983</v>
      </c>
      <c r="FB441" s="76">
        <f t="shared" si="2128"/>
        <v>-11.224868011558055</v>
      </c>
      <c r="FC441" s="85">
        <f>+SUM(EY441:FB441)</f>
        <v>-44.633845015829593</v>
      </c>
      <c r="FD441" s="76">
        <f t="shared" si="2126"/>
        <v>-12.310202002945822</v>
      </c>
      <c r="FE441" s="76">
        <f t="shared" si="2126"/>
        <v>-11.191161181480251</v>
      </c>
      <c r="FF441" s="76">
        <f t="shared" si="2126"/>
        <v>-11.064197635378527</v>
      </c>
      <c r="FG441" s="76">
        <f t="shared" si="2126"/>
        <v>-11.786693430077143</v>
      </c>
      <c r="FH441" s="85">
        <f>+SUM(FD441:FG441)</f>
        <v>-46.352254249881746</v>
      </c>
      <c r="FI441" s="76">
        <f t="shared" si="2126"/>
        <v>-48.05000493610504</v>
      </c>
      <c r="FJ441" s="76">
        <f t="shared" si="2126"/>
        <v>-51.251105575204157</v>
      </c>
      <c r="FK441" s="76">
        <f t="shared" si="2126"/>
        <v>-55.025751395980066</v>
      </c>
      <c r="FL441" s="76">
        <f t="shared" si="2126"/>
        <v>-59.3382484480708</v>
      </c>
      <c r="FM441" s="76">
        <f t="shared" si="2126"/>
        <v>-64.171138730713935</v>
      </c>
    </row>
    <row r="442" spans="1:169" x14ac:dyDescent="0.3">
      <c r="A442" s="64" t="s">
        <v>459</v>
      </c>
      <c r="DU442" s="1082">
        <f>DU305+DU138</f>
        <v>314.04959869888103</v>
      </c>
      <c r="DV442" s="1082">
        <f>DV305+DV138</f>
        <v>307.61497302449339</v>
      </c>
      <c r="DW442" s="1082">
        <f>DW305+DW138</f>
        <v>301.19484412768554</v>
      </c>
      <c r="DX442" s="1082">
        <f>DX305+DX138</f>
        <v>295.78958372070309</v>
      </c>
      <c r="DY442" s="803">
        <f>+DX442</f>
        <v>295.78958372070309</v>
      </c>
      <c r="DZ442" s="1082">
        <f>DZ305+DZ138</f>
        <v>288.39957304687499</v>
      </c>
      <c r="EA442" s="1082">
        <f>EA305+EA138</f>
        <v>282.02520312499996</v>
      </c>
      <c r="EB442" s="1082">
        <f>EB305+EB138</f>
        <v>276.666875</v>
      </c>
      <c r="EC442" s="1082">
        <f>EC305+EC138</f>
        <v>273.32500000000005</v>
      </c>
      <c r="ED442" s="803">
        <f>+EC442</f>
        <v>273.32500000000005</v>
      </c>
      <c r="EE442" s="1082">
        <f>EE305+EE138</f>
        <v>269</v>
      </c>
      <c r="EF442" s="1082">
        <f>EF305+EF138</f>
        <v>267</v>
      </c>
      <c r="EG442" s="1082">
        <f>EG305+EG138</f>
        <v>263</v>
      </c>
      <c r="EH442" s="1082">
        <f>EH305+EH138</f>
        <v>257</v>
      </c>
      <c r="EI442" s="803">
        <f>+EH442</f>
        <v>257</v>
      </c>
      <c r="EJ442" s="1082">
        <f>EJ305+EJ138</f>
        <v>257</v>
      </c>
      <c r="EK442" s="1082">
        <f>EK305+EK138</f>
        <v>256</v>
      </c>
      <c r="EL442" s="1082">
        <f>EL305+EL138</f>
        <v>253</v>
      </c>
      <c r="EM442" s="1082">
        <f>EM305+EM138</f>
        <v>250</v>
      </c>
      <c r="EN442" s="803">
        <f>+EM442</f>
        <v>250</v>
      </c>
      <c r="EO442" s="1082">
        <f>EO305+EO138</f>
        <v>248</v>
      </c>
      <c r="EP442" s="1082">
        <f>EP305+EP138</f>
        <v>248</v>
      </c>
      <c r="EQ442" s="1082">
        <f>EQ305+EQ138</f>
        <v>246</v>
      </c>
      <c r="ER442" s="1082">
        <f>ER305+ER138</f>
        <v>245.95749822317086</v>
      </c>
      <c r="ES442" s="803">
        <f>+ER442</f>
        <v>245.95749822317086</v>
      </c>
      <c r="ET442" s="1082">
        <f t="shared" ref="ET442:EW442" si="2129">ET305+ET138</f>
        <v>244.95499219821249</v>
      </c>
      <c r="EU442" s="1082">
        <f t="shared" si="2129"/>
        <v>246.99560712123892</v>
      </c>
      <c r="EV442" s="1082">
        <f t="shared" si="2129"/>
        <v>247.1524830208389</v>
      </c>
      <c r="EW442" s="1082">
        <f t="shared" si="2129"/>
        <v>249.57189466933096</v>
      </c>
      <c r="EX442" s="803">
        <f>+EW442</f>
        <v>249.57189466933096</v>
      </c>
      <c r="EY442" s="1082">
        <f t="shared" ref="EY442:FB442" si="2130">EY305+EY138</f>
        <v>251.20790288664881</v>
      </c>
      <c r="EZ442" s="1082">
        <f t="shared" si="2130"/>
        <v>255.2135183995517</v>
      </c>
      <c r="FA442" s="1082">
        <f t="shared" si="2130"/>
        <v>257.44341952530931</v>
      </c>
      <c r="FB442" s="1082">
        <f t="shared" si="2130"/>
        <v>262.30679717411999</v>
      </c>
      <c r="FC442" s="803">
        <f>+FB442</f>
        <v>262.30679717411999</v>
      </c>
      <c r="FD442" s="1082">
        <f t="shared" ref="FD442:FM442" si="2131">FD305+FD138</f>
        <v>266.26343459741003</v>
      </c>
      <c r="FE442" s="1082">
        <f t="shared" si="2131"/>
        <v>271.96370608269319</v>
      </c>
      <c r="FF442" s="1082">
        <f t="shared" si="2131"/>
        <v>275.92560147293176</v>
      </c>
      <c r="FG442" s="1082">
        <f t="shared" si="2131"/>
        <v>282.48701286962847</v>
      </c>
      <c r="FH442" s="803">
        <f>+FG442</f>
        <v>282.48701286962847</v>
      </c>
      <c r="FI442" s="1082">
        <f t="shared" si="2131"/>
        <v>306.53058993498746</v>
      </c>
      <c r="FJ442" s="1082">
        <f t="shared" si="2131"/>
        <v>333.39658883711741</v>
      </c>
      <c r="FK442" s="1082">
        <f t="shared" si="2131"/>
        <v>363.02762383127526</v>
      </c>
      <c r="FL442" s="1082">
        <f t="shared" si="2131"/>
        <v>395.44626881048879</v>
      </c>
      <c r="FM442" s="1082">
        <f t="shared" si="2131"/>
        <v>430.7406172489512</v>
      </c>
    </row>
    <row r="443" spans="1:169" x14ac:dyDescent="0.3">
      <c r="A443" s="69" t="s">
        <v>339</v>
      </c>
      <c r="DU443" s="79"/>
      <c r="DZ443" s="83">
        <f t="shared" ref="DZ443:ER443" si="2132">+DZ442/DU442-1</f>
        <v>-8.1675078580819793E-2</v>
      </c>
      <c r="EA443" s="83">
        <f t="shared" si="2132"/>
        <v>-8.3187660366115801E-2</v>
      </c>
      <c r="EB443" s="83">
        <f t="shared" si="2132"/>
        <v>-8.1435554445571379E-2</v>
      </c>
      <c r="EC443" s="83">
        <f t="shared" si="2132"/>
        <v>-7.5947852652969217E-2</v>
      </c>
      <c r="ED443" s="91">
        <f t="shared" si="2132"/>
        <v>-7.5947852652969217E-2</v>
      </c>
      <c r="EE443" s="83">
        <f t="shared" si="2132"/>
        <v>-6.7266302934927968E-2</v>
      </c>
      <c r="EF443" s="83">
        <f t="shared" si="2132"/>
        <v>-5.3276100711965313E-2</v>
      </c>
      <c r="EG443" s="83">
        <f t="shared" si="2132"/>
        <v>-4.9398306175974294E-2</v>
      </c>
      <c r="EH443" s="83">
        <f t="shared" si="2132"/>
        <v>-5.972743071435116E-2</v>
      </c>
      <c r="EI443" s="91">
        <f t="shared" si="2132"/>
        <v>-5.972743071435116E-2</v>
      </c>
      <c r="EJ443" s="83">
        <f t="shared" si="2132"/>
        <v>-4.4609665427509326E-2</v>
      </c>
      <c r="EK443" s="83">
        <f t="shared" si="2132"/>
        <v>-4.1198501872659166E-2</v>
      </c>
      <c r="EL443" s="83">
        <f t="shared" si="2132"/>
        <v>-3.802281368821292E-2</v>
      </c>
      <c r="EM443" s="83">
        <f t="shared" si="2132"/>
        <v>-2.7237354085603127E-2</v>
      </c>
      <c r="EN443" s="91">
        <f>+EN442/EI442-1</f>
        <v>-2.7237354085603127E-2</v>
      </c>
      <c r="EO443" s="83">
        <f t="shared" si="2132"/>
        <v>-3.5019455252918275E-2</v>
      </c>
      <c r="EP443" s="83">
        <f t="shared" si="2132"/>
        <v>-3.125E-2</v>
      </c>
      <c r="EQ443" s="83">
        <f t="shared" si="2132"/>
        <v>-2.7667984189723271E-2</v>
      </c>
      <c r="ER443" s="83">
        <f t="shared" si="2132"/>
        <v>-1.6170007107316531E-2</v>
      </c>
      <c r="ES443" s="91">
        <f>+ES442/EN442-1</f>
        <v>-1.6170007107316531E-2</v>
      </c>
      <c r="ET443" s="83">
        <f t="shared" ref="ET443:EW443" si="2133">+ET442/EO442-1</f>
        <v>-1.2278257265272208E-2</v>
      </c>
      <c r="EU443" s="83">
        <f t="shared" si="2133"/>
        <v>-4.0499712853269143E-3</v>
      </c>
      <c r="EV443" s="83">
        <f t="shared" si="2133"/>
        <v>4.6848903286134114E-3</v>
      </c>
      <c r="EW443" s="83">
        <f t="shared" si="2133"/>
        <v>1.4695207392622534E-2</v>
      </c>
      <c r="EX443" s="91">
        <f>+EX442/ES442-1</f>
        <v>1.4695207392622534E-2</v>
      </c>
      <c r="EY443" s="83">
        <f t="shared" ref="EY443" si="2134">+EY442/ET442-1</f>
        <v>2.5526773846587192E-2</v>
      </c>
      <c r="EZ443" s="83">
        <f t="shared" ref="EZ443" si="2135">+EZ442/EU442-1</f>
        <v>3.3271487594833893E-2</v>
      </c>
      <c r="FA443" s="83">
        <f t="shared" ref="FA443" si="2136">+FA442/EV442-1</f>
        <v>4.1638005731072125E-2</v>
      </c>
      <c r="FB443" s="83">
        <f t="shared" ref="FB443" si="2137">+FB442/EW442-1</f>
        <v>5.1026989724392235E-2</v>
      </c>
      <c r="FC443" s="91">
        <f>+FC442/EX442-1</f>
        <v>5.1026989724392235E-2</v>
      </c>
      <c r="FD443" s="83">
        <f t="shared" ref="FD443" si="2138">+FD442/EY442-1</f>
        <v>5.9932556013393645E-2</v>
      </c>
      <c r="FE443" s="83">
        <f t="shared" ref="FE443" si="2139">+FE442/EZ442-1</f>
        <v>6.5632055026638936E-2</v>
      </c>
      <c r="FF443" s="83">
        <f t="shared" ref="FF443" si="2140">+FF442/FA442-1</f>
        <v>7.179123856302505E-2</v>
      </c>
      <c r="FG443" s="83">
        <f t="shared" ref="FG443" si="2141">+FG442/FB442-1</f>
        <v>7.6933636157788143E-2</v>
      </c>
      <c r="FH443" s="91">
        <f>+FH442/FC442-1</f>
        <v>7.6933636157788143E-2</v>
      </c>
      <c r="FI443" s="83">
        <f t="shared" ref="FI443:FM443" si="2142">+FI442/FH442-1</f>
        <v>8.5113920180307279E-2</v>
      </c>
      <c r="FJ443" s="83">
        <f t="shared" si="2142"/>
        <v>8.7645408922574441E-2</v>
      </c>
      <c r="FK443" s="83">
        <f t="shared" si="2142"/>
        <v>8.8876239248609323E-2</v>
      </c>
      <c r="FL443" s="83">
        <f t="shared" si="2142"/>
        <v>8.9300766253206154E-2</v>
      </c>
      <c r="FM443" s="83">
        <f t="shared" si="2142"/>
        <v>8.9251944504694869E-2</v>
      </c>
    </row>
    <row r="444" spans="1:169" x14ac:dyDescent="0.3">
      <c r="A444" s="65" t="s">
        <v>340</v>
      </c>
      <c r="DU444" s="80">
        <f>Inputs!DU392</f>
        <v>-7</v>
      </c>
      <c r="DV444" s="77">
        <f>+DV442-DU442</f>
        <v>-6.4346256743876324</v>
      </c>
      <c r="DW444" s="77">
        <f>+DW442-DV442</f>
        <v>-6.4201288968078529</v>
      </c>
      <c r="DX444" s="77">
        <f>+DX442-DW442</f>
        <v>-5.4052604069824497</v>
      </c>
      <c r="DY444" s="86">
        <f>+SUM(DU444:DX444)</f>
        <v>-25.260014978177935</v>
      </c>
      <c r="DZ444" s="77">
        <f>+DZ442-DY442</f>
        <v>-7.3900106738281011</v>
      </c>
      <c r="EA444" s="77">
        <f>+EA442-DZ442</f>
        <v>-6.3743699218750294</v>
      </c>
      <c r="EB444" s="77">
        <f>+EB442-EA442</f>
        <v>-5.3583281249999573</v>
      </c>
      <c r="EC444" s="77">
        <f>+EC442-EB442</f>
        <v>-3.3418749999999591</v>
      </c>
      <c r="ED444" s="86">
        <f>+SUM(DZ444:EC444)</f>
        <v>-22.464583720703047</v>
      </c>
      <c r="EE444" s="77">
        <f>+EE442-ED442</f>
        <v>-4.3250000000000455</v>
      </c>
      <c r="EF444" s="77">
        <f>+EF442-EE442</f>
        <v>-2</v>
      </c>
      <c r="EG444" s="77">
        <f>+EG442-EF442</f>
        <v>-4</v>
      </c>
      <c r="EH444" s="77">
        <f>+EH442-EG442</f>
        <v>-6</v>
      </c>
      <c r="EI444" s="86">
        <f>+SUM(EE444:EH444)</f>
        <v>-16.325000000000045</v>
      </c>
      <c r="EJ444" s="77">
        <f>+EJ442-EI442</f>
        <v>0</v>
      </c>
      <c r="EK444" s="77">
        <f>+EK442-EJ442</f>
        <v>-1</v>
      </c>
      <c r="EL444" s="77">
        <f>+EL442-EK442</f>
        <v>-3</v>
      </c>
      <c r="EM444" s="77">
        <f>+EM442-EL442</f>
        <v>-3</v>
      </c>
      <c r="EN444" s="86">
        <f>+SUM(EJ444:EM444)</f>
        <v>-7</v>
      </c>
      <c r="EO444" s="77">
        <f>+EO442-EN442</f>
        <v>-2</v>
      </c>
      <c r="EP444" s="77">
        <f>+EP442-EO442</f>
        <v>0</v>
      </c>
      <c r="EQ444" s="77">
        <f>+EQ442-EP442</f>
        <v>-2</v>
      </c>
      <c r="ER444" s="77">
        <f>+ER442-EQ442</f>
        <v>-4.2501776829141136E-2</v>
      </c>
      <c r="ES444" s="86">
        <f>+SUM(EO444:ER444)</f>
        <v>-4.0425017768291411</v>
      </c>
      <c r="ET444" s="77">
        <f t="shared" ref="ET444:EW444" si="2143">+ET442-ES442</f>
        <v>-1.0025060249583646</v>
      </c>
      <c r="EU444" s="77">
        <f t="shared" si="2143"/>
        <v>2.0406149230264248</v>
      </c>
      <c r="EV444" s="77">
        <f t="shared" si="2143"/>
        <v>0.15687589959998149</v>
      </c>
      <c r="EW444" s="77">
        <f t="shared" si="2143"/>
        <v>2.4194116484920585</v>
      </c>
      <c r="EX444" s="86">
        <f>+SUM(ET444:EW444)</f>
        <v>3.6143964461601001</v>
      </c>
      <c r="EY444" s="77">
        <f t="shared" ref="EY444" si="2144">+EY442-EX442</f>
        <v>1.6360082173178512</v>
      </c>
      <c r="EZ444" s="77">
        <f t="shared" ref="EZ444" si="2145">+EZ442-EY442</f>
        <v>4.0056155129028923</v>
      </c>
      <c r="FA444" s="77">
        <f t="shared" ref="FA444" si="2146">+FA442-EZ442</f>
        <v>2.2299011257576069</v>
      </c>
      <c r="FB444" s="77">
        <f t="shared" ref="FB444" si="2147">+FB442-FA442</f>
        <v>4.8633776488106832</v>
      </c>
      <c r="FC444" s="86">
        <f>+SUM(EY444:FB444)</f>
        <v>12.734902504789034</v>
      </c>
      <c r="FD444" s="77">
        <f t="shared" ref="FD444" si="2148">+FD442-FC442</f>
        <v>3.956637423290033</v>
      </c>
      <c r="FE444" s="77">
        <f t="shared" ref="FE444" si="2149">+FE442-FD442</f>
        <v>5.7002714852831673</v>
      </c>
      <c r="FF444" s="77">
        <f t="shared" ref="FF444" si="2150">+FF442-FE442</f>
        <v>3.961895390238567</v>
      </c>
      <c r="FG444" s="77">
        <f t="shared" ref="FG444" si="2151">+FG442-FF442</f>
        <v>6.5614113966967125</v>
      </c>
      <c r="FH444" s="86">
        <f>+SUM(FD444:FG444)</f>
        <v>20.18021569550848</v>
      </c>
      <c r="FI444" s="77">
        <f>+FI442-FH442</f>
        <v>24.043577065358988</v>
      </c>
      <c r="FJ444" s="77">
        <f t="shared" ref="FJ444:FM444" si="2152">+FJ442-FI442</f>
        <v>26.865998902129945</v>
      </c>
      <c r="FK444" s="77">
        <f t="shared" si="2152"/>
        <v>29.631034994157858</v>
      </c>
      <c r="FL444" s="77">
        <f t="shared" si="2152"/>
        <v>32.418644979213525</v>
      </c>
      <c r="FM444" s="77">
        <f t="shared" si="2152"/>
        <v>35.294348438462407</v>
      </c>
    </row>
    <row r="445" spans="1:169" x14ac:dyDescent="0.3">
      <c r="A445" s="65" t="s">
        <v>341</v>
      </c>
      <c r="DU445" s="96"/>
      <c r="DV445" s="83">
        <f>+DV440/AVERAGE(DU99:DV99)</f>
        <v>9.755715472827372E-4</v>
      </c>
      <c r="DW445" s="83">
        <f>+DW440/AVERAGE(DV99:DW99)</f>
        <v>9.9130341491779545E-4</v>
      </c>
      <c r="DX445" s="83">
        <f>+DX440/AVERAGE(DW99:DX99)</f>
        <v>9.344927469134536E-4</v>
      </c>
      <c r="DY445" s="91">
        <f>+DY440/AVERAGE(DU99:DX99)</f>
        <v>3.8822287465804096E-3</v>
      </c>
      <c r="DZ445" s="83">
        <f t="shared" ref="DZ445:FM445" si="2153">+DZ440/AVERAGE(DY99:DZ99)</f>
        <v>7.9231382794485005E-4</v>
      </c>
      <c r="EA445" s="83">
        <f t="shared" si="2153"/>
        <v>6.7947141914576385E-4</v>
      </c>
      <c r="EB445" s="83">
        <f t="shared" si="2153"/>
        <v>6.9917797789884821E-4</v>
      </c>
      <c r="EC445" s="83">
        <f t="shared" si="2153"/>
        <v>6.8455328125000263E-4</v>
      </c>
      <c r="ED445" s="91">
        <f t="shared" si="2153"/>
        <v>2.8555165062394646E-3</v>
      </c>
      <c r="EE445" s="83">
        <f t="shared" si="2153"/>
        <v>5.5790148026315701E-4</v>
      </c>
      <c r="EF445" s="83">
        <f t="shared" si="2153"/>
        <v>6.5630819672131088E-4</v>
      </c>
      <c r="EG445" s="83">
        <f t="shared" si="2153"/>
        <v>5.0822875816993515E-4</v>
      </c>
      <c r="EH445" s="83">
        <f t="shared" si="2153"/>
        <v>3.7339215686274448E-4</v>
      </c>
      <c r="EI445" s="91">
        <f t="shared" si="2153"/>
        <v>2.0900393790849658E-3</v>
      </c>
      <c r="EJ445" s="83">
        <f t="shared" si="2153"/>
        <v>7.1356862745098086E-4</v>
      </c>
      <c r="EK445" s="83">
        <f t="shared" si="2153"/>
        <v>6.5862091503267935E-4</v>
      </c>
      <c r="EL445" s="83">
        <f t="shared" si="2153"/>
        <v>5.9262745098039124E-4</v>
      </c>
      <c r="EM445" s="83">
        <f t="shared" si="2153"/>
        <v>5.9204560260586443E-4</v>
      </c>
      <c r="EN445" s="91">
        <f t="shared" si="2153"/>
        <v>2.5421818181818184E-3</v>
      </c>
      <c r="EO445" s="83">
        <f t="shared" si="2153"/>
        <v>6.8577922077922126E-4</v>
      </c>
      <c r="EP445" s="83">
        <f t="shared" si="2153"/>
        <v>7.2451948051948062E-4</v>
      </c>
      <c r="EQ445" s="83">
        <f t="shared" si="2153"/>
        <v>5.7719480519480542E-4</v>
      </c>
      <c r="ER445" s="83">
        <f t="shared" si="2153"/>
        <v>7.2641663786823742E-4</v>
      </c>
      <c r="ES445" s="91">
        <f t="shared" si="2153"/>
        <v>2.7139101443617447E-3</v>
      </c>
      <c r="ET445" s="83">
        <f t="shared" si="2153"/>
        <v>7.1931319273598978E-4</v>
      </c>
      <c r="EU445" s="83">
        <f t="shared" si="2153"/>
        <v>8.2987243073974145E-4</v>
      </c>
      <c r="EV445" s="83">
        <f t="shared" si="2153"/>
        <v>6.9367829469213623E-4</v>
      </c>
      <c r="EW445" s="83">
        <f t="shared" si="2153"/>
        <v>8.6791808467714536E-4</v>
      </c>
      <c r="EX445" s="91">
        <f t="shared" si="2153"/>
        <v>3.0994184274043147E-3</v>
      </c>
      <c r="EY445" s="83">
        <f t="shared" ref="EY445" si="2154">+EY440/AVERAGE(EX99:EY99)</f>
        <v>8.7736552989986678E-4</v>
      </c>
      <c r="EZ445" s="83">
        <f t="shared" ref="EZ445" si="2155">+EZ440/AVERAGE(EY99:EZ99)</f>
        <v>9.5199418901489288E-4</v>
      </c>
      <c r="FA445" s="83">
        <f t="shared" ref="FA445" si="2156">+FA440/AVERAGE(EZ99:FA99)</f>
        <v>8.2663128827785318E-4</v>
      </c>
      <c r="FB445" s="83">
        <f t="shared" ref="FB445" si="2157">+FB440/AVERAGE(FA99:FB99)</f>
        <v>1.0315083261162145E-3</v>
      </c>
      <c r="FC445" s="91">
        <f t="shared" si="2153"/>
        <v>3.6736324827446355E-3</v>
      </c>
      <c r="FD445" s="83">
        <f t="shared" ref="FD445" si="2158">+FD440/AVERAGE(FC99:FD99)</f>
        <v>1.0408688966631974E-3</v>
      </c>
      <c r="FE445" s="83">
        <f t="shared" ref="FE445" si="2159">+FE440/AVERAGE(FD99:FE99)</f>
        <v>1.0793895338018272E-3</v>
      </c>
      <c r="FF445" s="83">
        <f t="shared" ref="FF445" si="2160">+FF440/AVERAGE(FE99:FF99)</f>
        <v>9.588032045792852E-4</v>
      </c>
      <c r="FG445" s="83">
        <f t="shared" ref="FG445" si="2161">+FG440/AVERAGE(FF99:FG99)</f>
        <v>1.16826365763346E-3</v>
      </c>
      <c r="FH445" s="91">
        <f t="shared" si="2153"/>
        <v>4.2308196616383607E-3</v>
      </c>
      <c r="FI445" s="83">
        <f t="shared" si="2153"/>
        <v>4.5684628205693049E-3</v>
      </c>
      <c r="FJ445" s="83">
        <f t="shared" si="2153"/>
        <v>4.915754181251202E-3</v>
      </c>
      <c r="FK445" s="83">
        <f t="shared" si="2153"/>
        <v>5.2902516096789854E-3</v>
      </c>
      <c r="FL445" s="83">
        <f t="shared" si="2153"/>
        <v>5.6940828305745705E-3</v>
      </c>
      <c r="FM445" s="83">
        <f t="shared" si="2153"/>
        <v>6.129541962643776E-3</v>
      </c>
    </row>
    <row r="446" spans="1:169" x14ac:dyDescent="0.3">
      <c r="A446" s="65" t="s">
        <v>342</v>
      </c>
      <c r="DU446" s="1235">
        <f>Inputs!DU422</f>
        <v>2.2800000000000001E-2</v>
      </c>
      <c r="DV446" s="1235">
        <f>Inputs!DV422</f>
        <v>2.2599999999999999E-2</v>
      </c>
      <c r="DW446" s="1235">
        <f>Inputs!DW422</f>
        <v>2.3300000000000001E-2</v>
      </c>
      <c r="DX446" s="1235">
        <f>Inputs!DX422</f>
        <v>2.1700000000000001E-2</v>
      </c>
      <c r="DY446" s="1236">
        <f>+DY441/AVERAGE(DU439:DX439)/-12</f>
        <v>2.2582008528624822E-2</v>
      </c>
      <c r="DZ446" s="1235">
        <f>Inputs!DZ422</f>
        <v>2.1899999999999999E-2</v>
      </c>
      <c r="EA446" s="1235">
        <f>Inputs!EA422</f>
        <v>1.9300000000000001E-2</v>
      </c>
      <c r="EB446" s="1235">
        <f>Inputs!EB422</f>
        <v>1.8800000000000001E-2</v>
      </c>
      <c r="EC446" s="1235">
        <f>Inputs!EC422</f>
        <v>1.6500000000000001E-2</v>
      </c>
      <c r="ED446" s="1236">
        <f>+ED441/AVERAGE(DZ439:EC439)/-12</f>
        <v>1.9211221780110303E-2</v>
      </c>
      <c r="EE446" s="1235">
        <f>Inputs!EE422</f>
        <v>1.5699999999999999E-2</v>
      </c>
      <c r="EF446" s="1235">
        <f>Inputs!EF422</f>
        <v>1.4999999999999999E-2</v>
      </c>
      <c r="EG446" s="1235">
        <f>Inputs!EG422</f>
        <v>1.4800000000000001E-2</v>
      </c>
      <c r="EH446" s="1235">
        <f>Inputs!EH422</f>
        <v>1.47E-2</v>
      </c>
      <c r="EI446" s="1236">
        <f>+EI441/AVERAGE(EE439:EH439)/-12</f>
        <v>1.501491385540764E-2</v>
      </c>
      <c r="EJ446" s="1235">
        <f>Inputs!EJ422</f>
        <v>1.44E-2</v>
      </c>
      <c r="EK446" s="1235">
        <f>Inputs!EK422</f>
        <v>1.4800000000000001E-2</v>
      </c>
      <c r="EL446" s="1235">
        <f>Inputs!EL422</f>
        <v>1.61E-2</v>
      </c>
      <c r="EM446" s="1235">
        <f>Inputs!EM422</f>
        <v>1.61E-2</v>
      </c>
      <c r="EN446" s="1236">
        <f>+EN441/AVERAGE(EJ439:EM439)/-12</f>
        <v>1.5037341153470189E-2</v>
      </c>
      <c r="EO446" s="1235">
        <f>Inputs!EO422</f>
        <v>1.72E-2</v>
      </c>
      <c r="EP446" s="1235">
        <f>Inputs!EP422</f>
        <v>1.5599999999999999E-2</v>
      </c>
      <c r="EQ446" s="1235">
        <f>Inputs!EQ422</f>
        <v>1.5299999999999999E-2</v>
      </c>
      <c r="ER446" s="1235">
        <f>Inputs!ER426</f>
        <v>1.44E-2</v>
      </c>
      <c r="ES446" s="1236">
        <f>+ES441/AVERAGE(EO439:ER439)/-12</f>
        <v>1.5402122983870968E-2</v>
      </c>
      <c r="ET446" s="1247">
        <f t="shared" ref="ET446:EW446" si="2162">-ET441/ET439/3</f>
        <v>1.6385726207600825E-2</v>
      </c>
      <c r="EU446" s="1247">
        <f t="shared" si="2162"/>
        <v>1.4656574120570793E-2</v>
      </c>
      <c r="EV446" s="1247">
        <f t="shared" si="2162"/>
        <v>1.4259187229070285E-2</v>
      </c>
      <c r="EW446" s="1247">
        <f t="shared" si="2162"/>
        <v>1.4867630184759612E-2</v>
      </c>
      <c r="EX446" s="1236">
        <f>+EX441/AVERAGE(ET439:EW439)/-12</f>
        <v>1.5041634839322728E-2</v>
      </c>
      <c r="EY446" s="1247">
        <f t="shared" ref="EY446:FB446" si="2163">-EY441/EY439/3</f>
        <v>1.6002965970492933E-2</v>
      </c>
      <c r="EZ446" s="1247">
        <f t="shared" si="2163"/>
        <v>1.431906979968507E-2</v>
      </c>
      <c r="FA446" s="1247">
        <f t="shared" si="2163"/>
        <v>1.3891786207378095E-2</v>
      </c>
      <c r="FB446" s="1247">
        <f t="shared" si="2163"/>
        <v>1.4533766982346629E-2</v>
      </c>
      <c r="FC446" s="1236">
        <f>+FC441/AVERAGE(EY439:FB439)/-12</f>
        <v>1.4680687819699757E-2</v>
      </c>
      <c r="FD446" s="1247">
        <f t="shared" ref="FD446:FG446" si="2164">-FD441/FD439/3</f>
        <v>1.5643516339855876E-2</v>
      </c>
      <c r="FE446" s="1247">
        <f t="shared" si="2164"/>
        <v>1.4010136488075267E-2</v>
      </c>
      <c r="FF446" s="1247">
        <f t="shared" si="2164"/>
        <v>1.3560875204936783E-2</v>
      </c>
      <c r="FG446" s="1247">
        <f t="shared" si="2164"/>
        <v>1.4238975249316032E-2</v>
      </c>
      <c r="FH446" s="1236">
        <f>+FH441/AVERAGE(FD439:FG439)/-12</f>
        <v>1.4353304376200519E-2</v>
      </c>
      <c r="FI446" s="1247">
        <f t="shared" ref="FI446:FM446" si="2165">-FI441/FI439/12</f>
        <v>1.4174694395089697E-2</v>
      </c>
      <c r="FJ446" s="1247">
        <f t="shared" si="2165"/>
        <v>1.3933113381950473E-2</v>
      </c>
      <c r="FK446" s="1247">
        <f t="shared" si="2165"/>
        <v>1.3753827833069396E-2</v>
      </c>
      <c r="FL446" s="1247">
        <f t="shared" si="2165"/>
        <v>1.3621150878693073E-2</v>
      </c>
      <c r="FM446" s="1247">
        <f t="shared" si="2165"/>
        <v>1.352293678307257E-2</v>
      </c>
    </row>
    <row r="447" spans="1:169" x14ac:dyDescent="0.3">
      <c r="A447" s="65" t="s">
        <v>210</v>
      </c>
      <c r="DU447" s="75">
        <f t="shared" ref="DU447:FM447" si="2166">+DU442/DU99</f>
        <v>2.066115780913691E-2</v>
      </c>
      <c r="DV447" s="75">
        <f t="shared" si="2166"/>
        <v>2.0237827172664039E-2</v>
      </c>
      <c r="DW447" s="75">
        <f t="shared" si="2166"/>
        <v>1.981545027155826E-2</v>
      </c>
      <c r="DX447" s="75">
        <f t="shared" si="2166"/>
        <v>1.9459841034256783E-2</v>
      </c>
      <c r="DY447" s="84">
        <f t="shared" si="2166"/>
        <v>1.9459841034256783E-2</v>
      </c>
      <c r="DZ447" s="75">
        <f t="shared" si="2166"/>
        <v>1.8973656121504933E-2</v>
      </c>
      <c r="EA447" s="75">
        <f t="shared" si="2166"/>
        <v>1.8554289679276314E-2</v>
      </c>
      <c r="EB447" s="75">
        <f t="shared" si="2166"/>
        <v>1.8201768092105265E-2</v>
      </c>
      <c r="EC447" s="75">
        <f t="shared" si="2166"/>
        <v>1.7981907894736845E-2</v>
      </c>
      <c r="ED447" s="84">
        <f t="shared" si="2166"/>
        <v>1.7981907894736845E-2</v>
      </c>
      <c r="EE447" s="75">
        <f t="shared" si="2166"/>
        <v>1.7697368421052632E-2</v>
      </c>
      <c r="EF447" s="75">
        <f t="shared" si="2166"/>
        <v>1.7450980392156864E-2</v>
      </c>
      <c r="EG447" s="75">
        <f t="shared" si="2166"/>
        <v>1.7189542483660131E-2</v>
      </c>
      <c r="EH447" s="75">
        <f t="shared" si="2166"/>
        <v>1.6797385620915033E-2</v>
      </c>
      <c r="EI447" s="84">
        <f t="shared" si="2166"/>
        <v>1.6797385620915033E-2</v>
      </c>
      <c r="EJ447" s="75">
        <f t="shared" si="2166"/>
        <v>1.6797385620915033E-2</v>
      </c>
      <c r="EK447" s="75">
        <f t="shared" si="2166"/>
        <v>1.6732026143790851E-2</v>
      </c>
      <c r="EL447" s="75">
        <f t="shared" si="2166"/>
        <v>1.65359477124183E-2</v>
      </c>
      <c r="EM447" s="75">
        <f t="shared" si="2166"/>
        <v>1.6233766233766232E-2</v>
      </c>
      <c r="EN447" s="84">
        <f t="shared" si="2166"/>
        <v>1.6233766233766232E-2</v>
      </c>
      <c r="EO447" s="75">
        <f t="shared" si="2166"/>
        <v>1.6103896103896103E-2</v>
      </c>
      <c r="EP447" s="75">
        <f t="shared" si="2166"/>
        <v>1.6103896103896103E-2</v>
      </c>
      <c r="EQ447" s="75">
        <f t="shared" si="2166"/>
        <v>1.5974025974025974E-2</v>
      </c>
      <c r="ER447" s="75">
        <f t="shared" si="2166"/>
        <v>1.5971266118387718E-2</v>
      </c>
      <c r="ES447" s="84">
        <f t="shared" si="2166"/>
        <v>1.5971266118387718E-2</v>
      </c>
      <c r="ET447" s="75">
        <f t="shared" si="2166"/>
        <v>1.587564937309565E-2</v>
      </c>
      <c r="EU447" s="75">
        <f t="shared" si="2166"/>
        <v>1.599138127696681E-2</v>
      </c>
      <c r="EV447" s="75">
        <f t="shared" si="2166"/>
        <v>1.5976170955971036E-2</v>
      </c>
      <c r="EW447" s="75">
        <f t="shared" si="2166"/>
        <v>1.6093313988401383E-2</v>
      </c>
      <c r="EX447" s="84">
        <f t="shared" si="2166"/>
        <v>1.6093313988401383E-2</v>
      </c>
      <c r="EY447" s="75">
        <f t="shared" ref="EY447:FC447" si="2167">+EY442/EY99</f>
        <v>1.6171068085961197E-2</v>
      </c>
      <c r="EZ447" s="75">
        <f t="shared" si="2167"/>
        <v>1.6410848413040323E-2</v>
      </c>
      <c r="FA447" s="75">
        <f t="shared" si="2167"/>
        <v>1.6526855743493937E-2</v>
      </c>
      <c r="FB447" s="75">
        <f t="shared" si="2167"/>
        <v>1.6796928853941372E-2</v>
      </c>
      <c r="FC447" s="84">
        <f t="shared" si="2167"/>
        <v>1.6796928853941372E-2</v>
      </c>
      <c r="FD447" s="75">
        <f t="shared" si="2166"/>
        <v>1.7024608803537223E-2</v>
      </c>
      <c r="FE447" s="75">
        <f t="shared" si="2166"/>
        <v>1.7368764238309048E-2</v>
      </c>
      <c r="FF447" s="75">
        <f t="shared" si="2166"/>
        <v>1.7591430573000912E-2</v>
      </c>
      <c r="FG447" s="75">
        <f t="shared" si="2166"/>
        <v>1.7963433631537986E-2</v>
      </c>
      <c r="FH447" s="84">
        <f t="shared" ref="FH447" si="2168">+FH442/FH99</f>
        <v>1.7963433631537986E-2</v>
      </c>
      <c r="FI447" s="75">
        <f t="shared" si="2166"/>
        <v>1.9356873771417038E-2</v>
      </c>
      <c r="FJ447" s="75">
        <f t="shared" si="2166"/>
        <v>2.0907065430561613E-2</v>
      </c>
      <c r="FK447" s="75">
        <f t="shared" si="2166"/>
        <v>2.2606958073241843E-2</v>
      </c>
      <c r="FL447" s="75">
        <f t="shared" si="2166"/>
        <v>2.4454594589708483E-2</v>
      </c>
      <c r="FM447" s="75">
        <f t="shared" si="2166"/>
        <v>2.6452050356419027E-2</v>
      </c>
    </row>
    <row r="448" spans="1:169" x14ac:dyDescent="0.3">
      <c r="A448" s="65"/>
      <c r="ET448" s="90"/>
      <c r="EU448" s="90"/>
      <c r="EV448" s="90"/>
      <c r="EW448" s="90"/>
      <c r="EY448" s="90"/>
      <c r="EZ448" s="90"/>
      <c r="FA448" s="90"/>
      <c r="FB448" s="90"/>
      <c r="FD448" s="90"/>
      <c r="FE448" s="90"/>
      <c r="FF448" s="90"/>
      <c r="FG448" s="90"/>
    </row>
    <row r="449" spans="1:181" ht="12.75" customHeight="1" x14ac:dyDescent="0.3">
      <c r="A449" s="105" t="s">
        <v>19</v>
      </c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  <c r="AE449" s="106"/>
      <c r="AF449" s="106"/>
      <c r="AG449" s="106"/>
      <c r="AH449" s="106"/>
      <c r="AI449" s="106"/>
      <c r="AJ449" s="106"/>
      <c r="AK449" s="106"/>
      <c r="AL449" s="106"/>
      <c r="AM449" s="106"/>
      <c r="AN449" s="106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5"/>
      <c r="BM449" s="105"/>
      <c r="BN449" s="105"/>
      <c r="BO449" s="105"/>
      <c r="BP449" s="105"/>
      <c r="BQ449" s="105"/>
      <c r="BR449" s="106"/>
      <c r="BS449" s="106"/>
      <c r="BT449" s="106"/>
      <c r="BU449" s="106"/>
      <c r="BV449" s="105"/>
      <c r="BW449" s="106"/>
      <c r="BX449" s="106"/>
      <c r="BY449" s="106"/>
      <c r="BZ449" s="106"/>
      <c r="CA449" s="105"/>
      <c r="CB449" s="106"/>
      <c r="CC449" s="106"/>
      <c r="CD449" s="106"/>
      <c r="CE449" s="106"/>
      <c r="CF449" s="105"/>
      <c r="CG449" s="106"/>
      <c r="CH449" s="106"/>
      <c r="CI449" s="106"/>
      <c r="CJ449" s="106"/>
      <c r="CK449" s="105"/>
      <c r="CL449" s="106"/>
      <c r="CM449" s="106"/>
      <c r="CN449" s="106"/>
      <c r="CO449" s="106"/>
      <c r="CP449" s="105"/>
      <c r="CQ449" s="106"/>
      <c r="CR449" s="106"/>
      <c r="CS449" s="106"/>
      <c r="CT449" s="106"/>
      <c r="CU449" s="106"/>
      <c r="CV449" s="106"/>
      <c r="CW449" s="106"/>
      <c r="CX449" s="106"/>
      <c r="CY449" s="106"/>
      <c r="CZ449" s="106"/>
      <c r="DA449" s="106"/>
      <c r="DB449" s="106"/>
      <c r="DC449" s="106"/>
      <c r="DD449" s="106"/>
      <c r="DE449" s="106"/>
      <c r="DF449" s="106"/>
      <c r="DG449" s="106"/>
      <c r="DH449" s="106"/>
      <c r="DI449" s="106"/>
      <c r="DJ449" s="106"/>
      <c r="DK449" s="106"/>
      <c r="DL449" s="106"/>
      <c r="DM449" s="106"/>
      <c r="DN449" s="106"/>
      <c r="DO449" s="106"/>
      <c r="DP449" s="106"/>
      <c r="DQ449" s="106"/>
      <c r="DR449" s="106"/>
      <c r="DS449" s="106"/>
      <c r="DT449" s="106"/>
      <c r="DU449" s="107"/>
      <c r="DV449" s="107"/>
      <c r="DW449" s="107"/>
      <c r="DX449" s="107"/>
      <c r="DY449" s="1205"/>
      <c r="DZ449" s="107"/>
      <c r="EA449" s="107"/>
      <c r="EB449" s="107"/>
      <c r="EC449" s="107"/>
      <c r="ED449" s="1205"/>
      <c r="EE449" s="107"/>
      <c r="EF449" s="107"/>
      <c r="EG449" s="107"/>
      <c r="EH449" s="107"/>
      <c r="EI449" s="1205"/>
      <c r="EJ449" s="107"/>
      <c r="EK449" s="107"/>
      <c r="EL449" s="107"/>
      <c r="EM449" s="107"/>
      <c r="EN449" s="105"/>
      <c r="EO449" s="105"/>
      <c r="EP449" s="105"/>
      <c r="EQ449" s="105"/>
      <c r="ER449" s="105"/>
      <c r="ES449" s="106"/>
      <c r="ET449" s="105"/>
      <c r="EU449" s="105"/>
      <c r="EV449" s="105"/>
      <c r="EW449" s="105"/>
      <c r="EX449" s="106"/>
      <c r="EY449" s="105"/>
      <c r="EZ449" s="105"/>
      <c r="FA449" s="105"/>
      <c r="FB449" s="105"/>
      <c r="FC449" s="106"/>
      <c r="FD449" s="105"/>
      <c r="FE449" s="105"/>
      <c r="FF449" s="105"/>
      <c r="FG449" s="105"/>
      <c r="FH449" s="106"/>
      <c r="FI449" s="106"/>
      <c r="FJ449" s="106"/>
      <c r="FK449" s="106"/>
      <c r="FL449" s="106"/>
      <c r="FM449" s="106"/>
      <c r="FN449" s="106"/>
      <c r="FO449" s="106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</row>
    <row r="450" spans="1:181" x14ac:dyDescent="0.3">
      <c r="A450" s="55" t="s">
        <v>357</v>
      </c>
      <c r="ET450" s="90"/>
      <c r="EU450" s="90"/>
      <c r="EV450" s="90"/>
      <c r="EW450" s="90"/>
      <c r="EY450" s="90"/>
      <c r="EZ450" s="90"/>
      <c r="FA450" s="90"/>
      <c r="FB450" s="90"/>
      <c r="FD450" s="90"/>
      <c r="FE450" s="90"/>
      <c r="FF450" s="90"/>
      <c r="FG450" s="90"/>
    </row>
    <row r="451" spans="1:181" x14ac:dyDescent="0.3">
      <c r="A451" s="56" t="s">
        <v>460</v>
      </c>
      <c r="DU451" s="76">
        <f>AVERAGE(DU394,DU397)</f>
        <v>2789</v>
      </c>
      <c r="DV451" s="76">
        <f>AVERAGE(DV394,DV397)</f>
        <v>2750</v>
      </c>
      <c r="DW451" s="76">
        <f>AVERAGE(DW394,DW397)</f>
        <v>2700</v>
      </c>
      <c r="DX451" s="76">
        <f>AVERAGE(DX394,DX397)</f>
        <v>2661.5</v>
      </c>
      <c r="DY451" s="85">
        <f>AVERAGE(DU451:DX451)</f>
        <v>2725.125</v>
      </c>
      <c r="DZ451" s="76">
        <f>AVERAGE(DZ394,DZ397)</f>
        <v>2640.5</v>
      </c>
      <c r="EA451" s="76">
        <f>AVERAGE(EA394,EA397)</f>
        <v>2629</v>
      </c>
      <c r="EB451" s="76">
        <f>AVERAGE(EB394,EB397)</f>
        <v>2617</v>
      </c>
      <c r="EC451" s="76">
        <f>AVERAGE(EC394,EC397)</f>
        <v>2598.5</v>
      </c>
      <c r="ED451" s="85">
        <f>AVERAGE(DZ451:EC451)</f>
        <v>2621.25</v>
      </c>
      <c r="EE451" s="76">
        <f>AVERAGE(EE394,EE397)</f>
        <v>2582.5</v>
      </c>
      <c r="EF451" s="76">
        <f>AVERAGE(EF394,EF397)</f>
        <v>2569</v>
      </c>
      <c r="EG451" s="76">
        <f>AVERAGE(EG394,EG397)</f>
        <v>2558</v>
      </c>
      <c r="EH451" s="76">
        <f>AVERAGE(EH394,EH397)</f>
        <v>2563</v>
      </c>
      <c r="EI451" s="85">
        <f>AVERAGE(EE451:EH451)</f>
        <v>2568.125</v>
      </c>
      <c r="EJ451" s="76">
        <f>AVERAGE(EJ394,EJ397)</f>
        <v>2581</v>
      </c>
      <c r="EK451" s="76">
        <f>AVERAGE(EK394,EK397)</f>
        <v>2596.5</v>
      </c>
      <c r="EL451" s="76">
        <f>AVERAGE(EL394,EL397)</f>
        <v>2604</v>
      </c>
      <c r="EM451" s="76">
        <f>AVERAGE(EM394,EM397)</f>
        <v>2612.5</v>
      </c>
      <c r="EN451" s="85">
        <f>AVERAGE(EJ451:EM451)</f>
        <v>2598.5</v>
      </c>
      <c r="EO451" s="76">
        <f>AVERAGE(EO394,EO397)</f>
        <v>2632</v>
      </c>
      <c r="EP451" s="76">
        <f>AVERAGE(EP394,EP397)</f>
        <v>2648</v>
      </c>
      <c r="EQ451" s="76">
        <f>AVERAGE(EQ394,EQ397)</f>
        <v>2658.5</v>
      </c>
      <c r="ER451" s="76">
        <f>AVERAGE(ER394,ER397)</f>
        <v>2683.5</v>
      </c>
      <c r="ES451" s="85">
        <f>AVERAGE(EO451:ER451)</f>
        <v>2655.5</v>
      </c>
      <c r="ET451" s="76">
        <f t="shared" ref="ET451:EW451" si="2169">AVERAGE(ET394,ET397)</f>
        <v>2728.3790530381052</v>
      </c>
      <c r="EU451" s="76">
        <f t="shared" si="2169"/>
        <v>2769.4124084073151</v>
      </c>
      <c r="EV451" s="76">
        <f t="shared" si="2169"/>
        <v>2802.7727349141173</v>
      </c>
      <c r="EW451" s="76">
        <f t="shared" si="2169"/>
        <v>2851.072619544339</v>
      </c>
      <c r="EX451" s="85">
        <f>AVERAGE(ET451:EW451)</f>
        <v>2787.9092039759689</v>
      </c>
      <c r="EY451" s="76">
        <f t="shared" ref="EY451:FB451" si="2170">AVERAGE(EY394,EY397)</f>
        <v>2921.7864376028738</v>
      </c>
      <c r="EZ451" s="76">
        <f t="shared" si="2170"/>
        <v>2989.4831501502849</v>
      </c>
      <c r="FA451" s="76">
        <f t="shared" si="2170"/>
        <v>3047.2034466717078</v>
      </c>
      <c r="FB451" s="76">
        <f t="shared" si="2170"/>
        <v>3119.5765761250232</v>
      </c>
      <c r="FC451" s="85">
        <f>AVERAGE(EY451:FB451)</f>
        <v>3019.5124026374724</v>
      </c>
      <c r="FD451" s="76">
        <f t="shared" ref="FD451:FM451" si="2171">AVERAGE(FD394,FD397)</f>
        <v>3211.8668804325325</v>
      </c>
      <c r="FE451" s="76">
        <f t="shared" si="2171"/>
        <v>3296.7218125152217</v>
      </c>
      <c r="FF451" s="76">
        <f t="shared" si="2171"/>
        <v>3368.465896710753</v>
      </c>
      <c r="FG451" s="76">
        <f t="shared" si="2171"/>
        <v>3451.8494132119995</v>
      </c>
      <c r="FH451" s="85">
        <f>AVERAGE(FD451:FG451)</f>
        <v>3332.2260007176269</v>
      </c>
      <c r="FI451" s="76">
        <f t="shared" si="2171"/>
        <v>3645.2672438552459</v>
      </c>
      <c r="FJ451" s="76">
        <f t="shared" si="2171"/>
        <v>3918.8439911855917</v>
      </c>
      <c r="FK451" s="76">
        <f t="shared" si="2171"/>
        <v>4137.5767748618237</v>
      </c>
      <c r="FL451" s="76">
        <f t="shared" si="2171"/>
        <v>4300.1710093621132</v>
      </c>
      <c r="FM451" s="76">
        <f t="shared" si="2171"/>
        <v>4409.4601681682489</v>
      </c>
    </row>
    <row r="452" spans="1:181" x14ac:dyDescent="0.3">
      <c r="A452" s="56" t="s">
        <v>461</v>
      </c>
      <c r="DZ452" s="76">
        <f>AVERAGE(DZ405,DZ408)</f>
        <v>594</v>
      </c>
      <c r="EA452" s="76">
        <f>AVERAGE(EA405,EA408)</f>
        <v>559.5</v>
      </c>
      <c r="EB452" s="76">
        <f>AVERAGE(EB405,EB408)</f>
        <v>522</v>
      </c>
      <c r="EC452" s="76">
        <f>AVERAGE(EC405,EC408)</f>
        <v>485</v>
      </c>
      <c r="ED452" s="85">
        <f>AVERAGE(DZ452:EC452)</f>
        <v>540.125</v>
      </c>
      <c r="EE452" s="76">
        <f>AVERAGE(EE405,EE408)</f>
        <v>453</v>
      </c>
      <c r="EF452" s="76">
        <f>AVERAGE(EF405,EF408)</f>
        <v>423</v>
      </c>
      <c r="EG452" s="76">
        <f>AVERAGE(EG405,EG408)</f>
        <v>397.5</v>
      </c>
      <c r="EH452" s="76">
        <f>AVERAGE(EH405,EH408)</f>
        <v>377</v>
      </c>
      <c r="EI452" s="85">
        <f>AVERAGE(EE452:EH452)</f>
        <v>412.625</v>
      </c>
      <c r="EJ452" s="76">
        <f>AVERAGE(EJ405,EJ408)</f>
        <v>359.5</v>
      </c>
      <c r="EK452" s="76">
        <f>AVERAGE(EK405,EK408)</f>
        <v>341</v>
      </c>
      <c r="EL452" s="76">
        <f>AVERAGE(EL405,EL408)</f>
        <v>320.5</v>
      </c>
      <c r="EM452" s="76">
        <f>AVERAGE(EM405,EM408)</f>
        <v>302</v>
      </c>
      <c r="EN452" s="85">
        <f>AVERAGE(EJ452:EM452)</f>
        <v>330.75</v>
      </c>
      <c r="EO452" s="76">
        <f>AVERAGE(EO405,EO408)</f>
        <v>285</v>
      </c>
      <c r="EP452" s="76">
        <f>AVERAGE(EP405,EP408)</f>
        <v>265.5</v>
      </c>
      <c r="EQ452" s="76">
        <f>AVERAGE(EQ405,EQ408)</f>
        <v>245.5</v>
      </c>
      <c r="ER452" s="76">
        <f>AVERAGE(ER405,ER408)</f>
        <v>229</v>
      </c>
      <c r="ES452" s="85">
        <f>AVERAGE(EO452:ER452)</f>
        <v>256.25</v>
      </c>
      <c r="ET452" s="76">
        <f t="shared" ref="ET452:EW452" si="2172">AVERAGE(ET405,ET408)</f>
        <v>214.77648887825879</v>
      </c>
      <c r="EU452" s="76">
        <f t="shared" si="2172"/>
        <v>200.91181980006476</v>
      </c>
      <c r="EV452" s="76">
        <f t="shared" si="2172"/>
        <v>187.40110530074924</v>
      </c>
      <c r="EW452" s="76">
        <f t="shared" si="2172"/>
        <v>174.97801170159988</v>
      </c>
      <c r="EX452" s="85">
        <f>AVERAGE(ET452:EW452)</f>
        <v>194.51685642016815</v>
      </c>
      <c r="EY452" s="76">
        <f t="shared" ref="EY452:FB452" si="2173">AVERAGE(EY405,EY408)</f>
        <v>164.08673476467257</v>
      </c>
      <c r="EZ452" s="76">
        <f t="shared" si="2173"/>
        <v>153.82182763469987</v>
      </c>
      <c r="FA452" s="76">
        <f t="shared" si="2173"/>
        <v>143.74910604016043</v>
      </c>
      <c r="FB452" s="76">
        <f t="shared" si="2173"/>
        <v>134.45567488956493</v>
      </c>
      <c r="FC452" s="85">
        <f>AVERAGE(EY452:FB452)</f>
        <v>149.02833583227445</v>
      </c>
      <c r="FD452" s="76">
        <f t="shared" ref="FD452:FM452" si="2174">AVERAGE(FD405,FD408)</f>
        <v>126.30004785598663</v>
      </c>
      <c r="FE452" s="76">
        <f t="shared" si="2174"/>
        <v>118.58144367879062</v>
      </c>
      <c r="FF452" s="76">
        <f t="shared" si="2174"/>
        <v>110.96718983984084</v>
      </c>
      <c r="FG452" s="76">
        <f t="shared" si="2174"/>
        <v>103.92400278816594</v>
      </c>
      <c r="FH452" s="85">
        <f>AVERAGE(FD452:FG452)</f>
        <v>114.943171040696</v>
      </c>
      <c r="FI452" s="76">
        <f t="shared" si="2174"/>
        <v>88.375260312073806</v>
      </c>
      <c r="FJ452" s="76">
        <f t="shared" si="2174"/>
        <v>66.773719088337756</v>
      </c>
      <c r="FK452" s="76">
        <f t="shared" si="2174"/>
        <v>50.683913691753695</v>
      </c>
      <c r="FL452" s="76">
        <f t="shared" si="2174"/>
        <v>38.572654562761151</v>
      </c>
      <c r="FM452" s="76">
        <f t="shared" si="2174"/>
        <v>29.399765157288215</v>
      </c>
    </row>
    <row r="453" spans="1:181" x14ac:dyDescent="0.3">
      <c r="A453" s="56" t="s">
        <v>462</v>
      </c>
      <c r="DZ453" s="76">
        <f>DZ316</f>
        <v>740</v>
      </c>
      <c r="EA453" s="76">
        <f>EA316</f>
        <v>729</v>
      </c>
      <c r="EB453" s="76">
        <f>EB316</f>
        <v>707</v>
      </c>
      <c r="EC453" s="76">
        <f>EC316</f>
        <v>686.5</v>
      </c>
      <c r="ED453" s="85">
        <f>AVERAGE(DZ453:EC453)</f>
        <v>715.625</v>
      </c>
      <c r="EE453" s="76">
        <f>EE316</f>
        <v>667</v>
      </c>
      <c r="EF453" s="76">
        <f>EF316</f>
        <v>646.5</v>
      </c>
      <c r="EG453" s="76">
        <f>EG316</f>
        <v>626.5</v>
      </c>
      <c r="EH453" s="76">
        <f>EH316</f>
        <v>606</v>
      </c>
      <c r="EI453" s="85">
        <f>AVERAGE(EE453:EH453)</f>
        <v>636.5</v>
      </c>
      <c r="EJ453" s="76">
        <f>EJ316</f>
        <v>586</v>
      </c>
      <c r="EK453" s="76">
        <f>EK316</f>
        <v>567.5</v>
      </c>
      <c r="EL453" s="76">
        <f>EL316</f>
        <v>546.5</v>
      </c>
      <c r="EM453" s="76">
        <f>EM316</f>
        <v>525</v>
      </c>
      <c r="EN453" s="85">
        <f>AVERAGE(EJ453:EM453)</f>
        <v>556.25</v>
      </c>
      <c r="EO453" s="76">
        <f>EO316</f>
        <v>504.5</v>
      </c>
      <c r="EP453" s="76">
        <f>EP316</f>
        <v>485.5</v>
      </c>
      <c r="EQ453" s="76">
        <f>EQ316</f>
        <v>464</v>
      </c>
      <c r="ER453" s="76">
        <f>ER316</f>
        <v>440</v>
      </c>
      <c r="ES453" s="85">
        <f>AVERAGE(EO453:ER453)</f>
        <v>473.5</v>
      </c>
      <c r="ET453" s="76">
        <f t="shared" ref="ET453:EW453" si="2175">ET316</f>
        <v>419.07169704257342</v>
      </c>
      <c r="EU453" s="76">
        <f t="shared" si="2175"/>
        <v>400.99275777837772</v>
      </c>
      <c r="EV453" s="76">
        <f t="shared" si="2175"/>
        <v>380.89348892671092</v>
      </c>
      <c r="EW453" s="76">
        <f t="shared" si="2175"/>
        <v>358.99985354656303</v>
      </c>
      <c r="EX453" s="85">
        <f>AVERAGE(ET453:EW453)</f>
        <v>389.9894493235563</v>
      </c>
      <c r="EY453" s="76">
        <f t="shared" ref="EY453:FB453" si="2176">EY316</f>
        <v>341.60863474603593</v>
      </c>
      <c r="EZ453" s="76">
        <f t="shared" si="2176"/>
        <v>328.00861872625035</v>
      </c>
      <c r="FA453" s="76">
        <f t="shared" si="2176"/>
        <v>312.36914910194287</v>
      </c>
      <c r="FB453" s="76">
        <f t="shared" si="2176"/>
        <v>294.80683581724099</v>
      </c>
      <c r="FC453" s="85">
        <f>AVERAGE(EY453:FB453)</f>
        <v>319.19830959786754</v>
      </c>
      <c r="FD453" s="76">
        <f t="shared" ref="FD453:FM453" si="2177">FD316</f>
        <v>280.54693958343734</v>
      </c>
      <c r="FE453" s="76">
        <f t="shared" si="2177"/>
        <v>269.08759054981658</v>
      </c>
      <c r="FF453" s="76">
        <f t="shared" si="2177"/>
        <v>255.869811001296</v>
      </c>
      <c r="FG453" s="76">
        <f t="shared" si="2177"/>
        <v>241.74610573998709</v>
      </c>
      <c r="FH453" s="85">
        <f>AVERAGE(FD453:FG453)</f>
        <v>261.81261171863429</v>
      </c>
      <c r="FI453" s="76">
        <f t="shared" si="2177"/>
        <v>218.53259268482762</v>
      </c>
      <c r="FJ453" s="76">
        <f t="shared" si="2177"/>
        <v>195.35008392320731</v>
      </c>
      <c r="FK453" s="76">
        <f t="shared" si="2177"/>
        <v>185.97922698607306</v>
      </c>
      <c r="FL453" s="76">
        <f t="shared" si="2177"/>
        <v>180.35392889179161</v>
      </c>
      <c r="FM453" s="76">
        <f t="shared" si="2177"/>
        <v>175.79320228918067</v>
      </c>
    </row>
    <row r="454" spans="1:181" x14ac:dyDescent="0.3">
      <c r="A454" s="56" t="s">
        <v>24</v>
      </c>
      <c r="DZ454" s="76">
        <f>AVERAGE(DZ439,DZ442)</f>
        <v>292.09457838378904</v>
      </c>
      <c r="EA454" s="76">
        <f>AVERAGE(EA439,EA442)</f>
        <v>285.2123880859375</v>
      </c>
      <c r="EB454" s="76">
        <f>AVERAGE(EB439,EB442)</f>
        <v>279.34603906249998</v>
      </c>
      <c r="EC454" s="76">
        <f>AVERAGE(EC439,EC442)</f>
        <v>274.99593750000003</v>
      </c>
      <c r="ED454" s="85">
        <f>AVERAGE(DZ454:EC454)</f>
        <v>282.91223575805668</v>
      </c>
      <c r="EE454" s="76">
        <f>AVERAGE(EE439,EE442)</f>
        <v>271.16250000000002</v>
      </c>
      <c r="EF454" s="76">
        <f>AVERAGE(EF439,EF442)</f>
        <v>268</v>
      </c>
      <c r="EG454" s="76">
        <f>AVERAGE(EG439,EG442)</f>
        <v>265</v>
      </c>
      <c r="EH454" s="76">
        <f>AVERAGE(EH439,EH442)</f>
        <v>260</v>
      </c>
      <c r="EI454" s="85">
        <f>AVERAGE(EE454:EH454)</f>
        <v>266.04062499999998</v>
      </c>
      <c r="EJ454" s="76">
        <f>AVERAGE(EJ439,EJ442)</f>
        <v>257</v>
      </c>
      <c r="EK454" s="76">
        <f>AVERAGE(EK439,EK442)</f>
        <v>256.5</v>
      </c>
      <c r="EL454" s="76">
        <f>AVERAGE(EL439,EL442)</f>
        <v>254.5</v>
      </c>
      <c r="EM454" s="76">
        <f>AVERAGE(EM439,EM442)</f>
        <v>251.5</v>
      </c>
      <c r="EN454" s="85">
        <f>AVERAGE(EJ454:EM454)</f>
        <v>254.875</v>
      </c>
      <c r="EO454" s="76">
        <f>AVERAGE(EO439,EO442)</f>
        <v>249</v>
      </c>
      <c r="EP454" s="76">
        <f>AVERAGE(EP439,EP442)</f>
        <v>248</v>
      </c>
      <c r="EQ454" s="76">
        <f>AVERAGE(EQ439,EQ442)</f>
        <v>247</v>
      </c>
      <c r="ER454" s="76">
        <f>AVERAGE(ER439,ER442)</f>
        <v>245.97874911158544</v>
      </c>
      <c r="ES454" s="85">
        <f>AVERAGE(EO454:ER454)</f>
        <v>247.49468727789636</v>
      </c>
      <c r="ET454" s="76">
        <f t="shared" ref="ET454:EW454" si="2178">AVERAGE(ET439,ET442)</f>
        <v>245.45624521069169</v>
      </c>
      <c r="EU454" s="76">
        <f t="shared" si="2178"/>
        <v>245.97529965972569</v>
      </c>
      <c r="EV454" s="76">
        <f t="shared" si="2178"/>
        <v>247.07404507103891</v>
      </c>
      <c r="EW454" s="76">
        <f t="shared" si="2178"/>
        <v>248.36218884508492</v>
      </c>
      <c r="EX454" s="85">
        <f>AVERAGE(ET454:EW454)</f>
        <v>246.7169446966353</v>
      </c>
      <c r="EY454" s="76">
        <f t="shared" ref="EY454:FB454" si="2179">AVERAGE(EY439,EY442)</f>
        <v>250.38989877798988</v>
      </c>
      <c r="EZ454" s="76">
        <f t="shared" si="2179"/>
        <v>253.21071064310024</v>
      </c>
      <c r="FA454" s="76">
        <f t="shared" si="2179"/>
        <v>256.32846896243052</v>
      </c>
      <c r="FB454" s="76">
        <f t="shared" si="2179"/>
        <v>259.87510834971465</v>
      </c>
      <c r="FC454" s="85">
        <f>AVERAGE(EY454:FB454)</f>
        <v>254.95104668330882</v>
      </c>
      <c r="FD454" s="76">
        <f t="shared" ref="FD454:FM454" si="2180">AVERAGE(FD439,FD442)</f>
        <v>264.28511588576498</v>
      </c>
      <c r="FE454" s="76">
        <f t="shared" si="2180"/>
        <v>269.11357034005164</v>
      </c>
      <c r="FF454" s="76">
        <f t="shared" si="2180"/>
        <v>273.9446537778125</v>
      </c>
      <c r="FG454" s="76">
        <f t="shared" si="2180"/>
        <v>279.20630717128012</v>
      </c>
      <c r="FH454" s="85">
        <f>AVERAGE(FD454:FG454)</f>
        <v>271.63741179372732</v>
      </c>
      <c r="FI454" s="76">
        <f t="shared" si="2180"/>
        <v>294.50880140230799</v>
      </c>
      <c r="FJ454" s="76">
        <f t="shared" si="2180"/>
        <v>319.96358938605243</v>
      </c>
      <c r="FK454" s="76">
        <f t="shared" si="2180"/>
        <v>348.21210633419633</v>
      </c>
      <c r="FL454" s="76">
        <f t="shared" si="2180"/>
        <v>379.236946320882</v>
      </c>
      <c r="FM454" s="76">
        <f t="shared" si="2180"/>
        <v>413.09344302971999</v>
      </c>
    </row>
    <row r="455" spans="1:181" x14ac:dyDescent="0.3">
      <c r="A455" s="56" t="s">
        <v>463</v>
      </c>
      <c r="DZ455" s="76">
        <f>DZ451+DZ453+DZ454</f>
        <v>3672.5945783837892</v>
      </c>
      <c r="EA455" s="76">
        <f>EA451+EA453+EA454</f>
        <v>3643.2123880859376</v>
      </c>
      <c r="EB455" s="76">
        <f>EB451+EB453+EB454</f>
        <v>3603.3460390625</v>
      </c>
      <c r="EC455" s="76">
        <f>EC451+EC453+EC454</f>
        <v>3559.9959374999999</v>
      </c>
      <c r="ED455" s="85">
        <f>AVERAGE(DZ455:EC455)</f>
        <v>3619.7872357580568</v>
      </c>
      <c r="EE455" s="76">
        <f>EE451+EE453+EE454</f>
        <v>3520.6624999999999</v>
      </c>
      <c r="EF455" s="76">
        <f>EF451+EF453+EF454</f>
        <v>3483.5</v>
      </c>
      <c r="EG455" s="76">
        <f>EG451+EG453+EG454</f>
        <v>3449.5</v>
      </c>
      <c r="EH455" s="76">
        <f>EH451+EH453+EH454</f>
        <v>3429</v>
      </c>
      <c r="EI455" s="85">
        <f>AVERAGE(EE455:EH455)</f>
        <v>3470.6656250000001</v>
      </c>
      <c r="EJ455" s="76">
        <f>EJ451+EJ453+EJ454</f>
        <v>3424</v>
      </c>
      <c r="EK455" s="76">
        <f>EK451+EK453+EK454</f>
        <v>3420.5</v>
      </c>
      <c r="EL455" s="76">
        <f>EL451+EL453+EL454</f>
        <v>3405</v>
      </c>
      <c r="EM455" s="76">
        <f>EM451+EM453+EM454</f>
        <v>3389</v>
      </c>
      <c r="EN455" s="85">
        <f>AVERAGE(EJ455:EM455)</f>
        <v>3409.625</v>
      </c>
      <c r="EO455" s="76">
        <f>EO451+EO453+EO454</f>
        <v>3385.5</v>
      </c>
      <c r="EP455" s="76">
        <f>EP451+EP453+EP454</f>
        <v>3381.5</v>
      </c>
      <c r="EQ455" s="76">
        <f>EQ451+EQ453+EQ454</f>
        <v>3369.5</v>
      </c>
      <c r="ER455" s="76">
        <f>ER451+ER453+ER454</f>
        <v>3369.4787491115853</v>
      </c>
      <c r="ES455" s="85">
        <f>AVERAGE(EO455:ER455)</f>
        <v>3376.4946872778964</v>
      </c>
      <c r="ET455" s="76">
        <f t="shared" ref="ET455:EW455" si="2181">ET451+ET453+ET454</f>
        <v>3392.9069952913701</v>
      </c>
      <c r="EU455" s="76">
        <f t="shared" si="2181"/>
        <v>3416.3804658454187</v>
      </c>
      <c r="EV455" s="76">
        <f t="shared" si="2181"/>
        <v>3430.7402689118671</v>
      </c>
      <c r="EW455" s="76">
        <f t="shared" si="2181"/>
        <v>3458.4346619359867</v>
      </c>
      <c r="EX455" s="85">
        <f>AVERAGE(ET455:EW455)</f>
        <v>3424.6155979961604</v>
      </c>
      <c r="EY455" s="76">
        <f t="shared" ref="EY455:FB455" si="2182">EY451+EY453+EY454</f>
        <v>3513.7849711268996</v>
      </c>
      <c r="EZ455" s="76">
        <f t="shared" si="2182"/>
        <v>3570.7024795196357</v>
      </c>
      <c r="FA455" s="76">
        <f t="shared" si="2182"/>
        <v>3615.901064736081</v>
      </c>
      <c r="FB455" s="76">
        <f t="shared" si="2182"/>
        <v>3674.2585202919786</v>
      </c>
      <c r="FC455" s="85">
        <f>AVERAGE(EY455:FB455)</f>
        <v>3593.6617589186485</v>
      </c>
      <c r="FD455" s="76">
        <f t="shared" ref="FD455:FM455" si="2183">FD451+FD453+FD454</f>
        <v>3756.6989359017352</v>
      </c>
      <c r="FE455" s="76">
        <f t="shared" si="2183"/>
        <v>3834.9229734050896</v>
      </c>
      <c r="FF455" s="76">
        <f t="shared" si="2183"/>
        <v>3898.2803614898617</v>
      </c>
      <c r="FG455" s="76">
        <f t="shared" si="2183"/>
        <v>3972.8018261232664</v>
      </c>
      <c r="FH455" s="85">
        <f>AVERAGE(FD455:FG455)</f>
        <v>3865.6760242299883</v>
      </c>
      <c r="FI455" s="76">
        <f t="shared" si="2183"/>
        <v>4158.3086379423812</v>
      </c>
      <c r="FJ455" s="76">
        <f t="shared" si="2183"/>
        <v>4434.1576644948509</v>
      </c>
      <c r="FK455" s="76">
        <f t="shared" si="2183"/>
        <v>4671.7681081820929</v>
      </c>
      <c r="FL455" s="76">
        <f t="shared" si="2183"/>
        <v>4859.7618845747875</v>
      </c>
      <c r="FM455" s="76">
        <f t="shared" si="2183"/>
        <v>4998.34681348715</v>
      </c>
    </row>
    <row r="456" spans="1:181" x14ac:dyDescent="0.3">
      <c r="A456" s="55"/>
      <c r="EO456"/>
      <c r="EP456"/>
      <c r="EQ456"/>
      <c r="ER456"/>
      <c r="ES456" s="90"/>
      <c r="EX456" s="90"/>
      <c r="FC456" s="90"/>
      <c r="FH456" s="90"/>
    </row>
    <row r="457" spans="1:181" hidden="1" x14ac:dyDescent="0.3">
      <c r="A457" s="60" t="s">
        <v>464</v>
      </c>
      <c r="DU457" s="102">
        <f>+DU620/DU600/3*1000</f>
        <v>47.424903191107923</v>
      </c>
      <c r="DV457" s="102">
        <f>+DV620/DV600/3*1000</f>
        <v>47.389687272727272</v>
      </c>
      <c r="DW457" s="102">
        <f>+DW620/DW600/3*1000</f>
        <v>47.698007407407403</v>
      </c>
      <c r="DX457" s="102">
        <f>+DX620/DX600/3*1000</f>
        <v>48.075451812887465</v>
      </c>
      <c r="DY457" s="102">
        <f>+DY620/DY600/12*1000</f>
        <v>47.642505389661018</v>
      </c>
      <c r="DZ457" s="102">
        <f>+DZ620/DZ600/3*1000</f>
        <v>48.321558416966482</v>
      </c>
      <c r="EA457" s="102">
        <f>+EA620/EA600/3*1000</f>
        <v>48.880479269684301</v>
      </c>
      <c r="EB457" s="102">
        <f>+EB620/EB600/3*1000</f>
        <v>49.3838899503248</v>
      </c>
      <c r="EC457" s="102">
        <f>+EC620/EC600/3*1000</f>
        <v>50.732064652684244</v>
      </c>
      <c r="ED457" s="102">
        <f>+ED620/ED600/12*1000</f>
        <v>49.324250357653789</v>
      </c>
      <c r="EE457" s="102">
        <f>+EE620/EE600/3*1000</f>
        <v>51.663204259438523</v>
      </c>
      <c r="EF457" s="102">
        <f>+EF620/EF600/3*1000</f>
        <v>53.754106656286488</v>
      </c>
      <c r="EG457" s="102">
        <f>+EG620/EG600/3*1000</f>
        <v>54.384497654417515</v>
      </c>
      <c r="EH457" s="102">
        <f>+EH620/EH600/3*1000</f>
        <v>53.984046039797121</v>
      </c>
      <c r="EI457" s="102">
        <f>+EI620/EI600/12*1000</f>
        <v>53.442801654903867</v>
      </c>
      <c r="EJ457" s="102">
        <f>+EJ620/EJ600/3*1000</f>
        <v>54.363765982177455</v>
      </c>
      <c r="EK457" s="102">
        <f>+EK620/EK600/3*1000</f>
        <v>56.567608318890812</v>
      </c>
      <c r="EL457" s="102">
        <f>+EL620/EL600/3*1000</f>
        <v>57.169354838709673</v>
      </c>
      <c r="EM457" s="102">
        <f>+EM620/EM600/3*1000</f>
        <v>56.061244019138762</v>
      </c>
      <c r="EN457" s="102">
        <f t="shared" ref="EN457:FM457" si="2184">+EN620/EN600/12*1000</f>
        <v>56.043840196267077</v>
      </c>
      <c r="EO457" s="102" t="e">
        <f>+EO620/EO600/3*1000</f>
        <v>#DIV/0!</v>
      </c>
      <c r="EP457" s="102" t="e">
        <f>+EP620/EP600/3*1000</f>
        <v>#DIV/0!</v>
      </c>
      <c r="EQ457" s="102" t="e">
        <f>+EQ620/EQ600/3*1000</f>
        <v>#DIV/0!</v>
      </c>
      <c r="ER457" s="102" t="e">
        <f>+ER620/ER600/3*1000</f>
        <v>#DIV/0!</v>
      </c>
      <c r="ES457" s="102">
        <f t="shared" ref="ES457" si="2185">+ES620/ES600/12*1000</f>
        <v>59.45385575356233</v>
      </c>
      <c r="ET457" s="102" t="e">
        <f t="shared" ref="ET457:EW457" si="2186">+ET620/ET600/3*1000</f>
        <v>#DIV/0!</v>
      </c>
      <c r="EU457" s="102" t="e">
        <f t="shared" si="2186"/>
        <v>#DIV/0!</v>
      </c>
      <c r="EV457" s="102" t="e">
        <f t="shared" si="2186"/>
        <v>#DIV/0!</v>
      </c>
      <c r="EW457" s="102" t="e">
        <f t="shared" si="2186"/>
        <v>#DIV/0!</v>
      </c>
      <c r="EX457" s="102">
        <f t="shared" ref="EX457" si="2187">+EX620/EX600/12*1000</f>
        <v>63.468826573997646</v>
      </c>
      <c r="EY457" s="102" t="e">
        <f t="shared" ref="EY457:FB457" si="2188">+EY620/EY600/3*1000</f>
        <v>#DIV/0!</v>
      </c>
      <c r="EZ457" s="102" t="e">
        <f t="shared" si="2188"/>
        <v>#DIV/0!</v>
      </c>
      <c r="FA457" s="102" t="e">
        <f t="shared" si="2188"/>
        <v>#DIV/0!</v>
      </c>
      <c r="FB457" s="102" t="e">
        <f t="shared" si="2188"/>
        <v>#DIV/0!</v>
      </c>
      <c r="FC457" s="102">
        <f t="shared" ref="FC457" si="2189">+FC620/FC600/12*1000</f>
        <v>66.919890317736431</v>
      </c>
      <c r="FD457" s="102" t="e">
        <f t="shared" ref="FD457:FG457" si="2190">+FD620/FD600/3*1000</f>
        <v>#DIV/0!</v>
      </c>
      <c r="FE457" s="102" t="e">
        <f t="shared" si="2190"/>
        <v>#DIV/0!</v>
      </c>
      <c r="FF457" s="102" t="e">
        <f t="shared" si="2190"/>
        <v>#DIV/0!</v>
      </c>
      <c r="FG457" s="102" t="e">
        <f t="shared" si="2190"/>
        <v>#DIV/0!</v>
      </c>
      <c r="FH457" s="102">
        <f t="shared" ref="FH457" si="2191">+FH620/FH600/12*1000</f>
        <v>70.076218522245682</v>
      </c>
      <c r="FI457" s="102">
        <f t="shared" si="2184"/>
        <v>72.790260244970781</v>
      </c>
      <c r="FJ457" s="102">
        <f t="shared" si="2184"/>
        <v>75.544867680351516</v>
      </c>
      <c r="FK457" s="102">
        <f t="shared" si="2184"/>
        <v>78.281111500848127</v>
      </c>
      <c r="FL457" s="102">
        <f t="shared" si="2184"/>
        <v>81.052980095948101</v>
      </c>
      <c r="FM457" s="102">
        <f t="shared" si="2184"/>
        <v>83.890933220552228</v>
      </c>
      <c r="FN457" s="189">
        <f>+(FJ457/ES457)^0.2-1</f>
        <v>4.9071256472844382E-2</v>
      </c>
    </row>
    <row r="458" spans="1:181" hidden="1" x14ac:dyDescent="0.3">
      <c r="A458" s="70" t="s">
        <v>363</v>
      </c>
      <c r="DZ458" s="75">
        <f t="shared" ref="DZ458:ER458" si="2192">+DZ457/DU457-1</f>
        <v>1.8906843567931153E-2</v>
      </c>
      <c r="EA458" s="75">
        <f t="shared" si="2192"/>
        <v>3.1458152242650028E-2</v>
      </c>
      <c r="EB458" s="75">
        <f t="shared" si="2192"/>
        <v>3.5344926015831613E-2</v>
      </c>
      <c r="EC458" s="75">
        <f t="shared" si="2192"/>
        <v>5.5259238127110644E-2</v>
      </c>
      <c r="ED458" s="84">
        <f t="shared" si="2192"/>
        <v>3.529925544926793E-2</v>
      </c>
      <c r="EE458" s="75">
        <f t="shared" si="2192"/>
        <v>6.9154347499246427E-2</v>
      </c>
      <c r="EF458" s="75">
        <f t="shared" si="2192"/>
        <v>9.9704983654381074E-2</v>
      </c>
      <c r="EG458" s="75">
        <f t="shared" si="2192"/>
        <v>0.10125989890879028</v>
      </c>
      <c r="EH458" s="75">
        <f t="shared" si="2192"/>
        <v>6.4101104683521148E-2</v>
      </c>
      <c r="EI458" s="84">
        <f t="shared" si="2192"/>
        <v>8.34995213791625E-2</v>
      </c>
      <c r="EJ458" s="75">
        <f t="shared" si="2192"/>
        <v>5.2272439571836138E-2</v>
      </c>
      <c r="EK458" s="75">
        <f t="shared" si="2192"/>
        <v>5.2340218033839925E-2</v>
      </c>
      <c r="EL458" s="75">
        <f t="shared" si="2192"/>
        <v>5.1206820038834255E-2</v>
      </c>
      <c r="EM458" s="75">
        <f t="shared" si="2192"/>
        <v>3.8477997329253943E-2</v>
      </c>
      <c r="EN458" s="84">
        <f>+EN457/EI457-1</f>
        <v>4.8669576833918482E-2</v>
      </c>
      <c r="EO458" s="75" t="e">
        <f t="shared" si="2192"/>
        <v>#DIV/0!</v>
      </c>
      <c r="EP458" s="75" t="e">
        <f t="shared" si="2192"/>
        <v>#DIV/0!</v>
      </c>
      <c r="EQ458" s="75" t="e">
        <f t="shared" si="2192"/>
        <v>#DIV/0!</v>
      </c>
      <c r="ER458" s="75" t="e">
        <f t="shared" si="2192"/>
        <v>#DIV/0!</v>
      </c>
      <c r="ES458" s="84">
        <f>+ES457/EN457-1</f>
        <v>6.0845501403067326E-2</v>
      </c>
      <c r="ET458" s="75" t="e">
        <f t="shared" ref="ET458:EW458" si="2193">+ET457/EO457-1</f>
        <v>#DIV/0!</v>
      </c>
      <c r="EU458" s="75" t="e">
        <f t="shared" si="2193"/>
        <v>#DIV/0!</v>
      </c>
      <c r="EV458" s="75" t="e">
        <f t="shared" si="2193"/>
        <v>#DIV/0!</v>
      </c>
      <c r="EW458" s="75" t="e">
        <f t="shared" si="2193"/>
        <v>#DIV/0!</v>
      </c>
      <c r="EX458" s="84">
        <f>+EX457/ES457-1</f>
        <v>6.7530873642198452E-2</v>
      </c>
      <c r="EY458" s="75" t="e">
        <f t="shared" ref="EY458" si="2194">+EY457/ET457-1</f>
        <v>#DIV/0!</v>
      </c>
      <c r="EZ458" s="75" t="e">
        <f t="shared" ref="EZ458" si="2195">+EZ457/EU457-1</f>
        <v>#DIV/0!</v>
      </c>
      <c r="FA458" s="75" t="e">
        <f t="shared" ref="FA458" si="2196">+FA457/EV457-1</f>
        <v>#DIV/0!</v>
      </c>
      <c r="FB458" s="75" t="e">
        <f t="shared" ref="FB458" si="2197">+FB457/EW457-1</f>
        <v>#DIV/0!</v>
      </c>
      <c r="FC458" s="84">
        <f>+FC457/EX457-1</f>
        <v>5.4374153896089794E-2</v>
      </c>
      <c r="FD458" s="75" t="e">
        <f t="shared" ref="FD458" si="2198">+FD457/EY457-1</f>
        <v>#DIV/0!</v>
      </c>
      <c r="FE458" s="75" t="e">
        <f t="shared" ref="FE458" si="2199">+FE457/EZ457-1</f>
        <v>#DIV/0!</v>
      </c>
      <c r="FF458" s="75" t="e">
        <f t="shared" ref="FF458" si="2200">+FF457/FA457-1</f>
        <v>#DIV/0!</v>
      </c>
      <c r="FG458" s="75" t="e">
        <f t="shared" ref="FG458" si="2201">+FG457/FB457-1</f>
        <v>#DIV/0!</v>
      </c>
      <c r="FH458" s="84">
        <f>+FH457/FC457-1</f>
        <v>4.7165770737563451E-2</v>
      </c>
      <c r="FI458" s="75">
        <f t="shared" ref="FI458:FM458" si="2202">+FI457/FH457-1</f>
        <v>3.872985414964325E-2</v>
      </c>
      <c r="FJ458" s="75">
        <f t="shared" si="2202"/>
        <v>3.7843077165959915E-2</v>
      </c>
      <c r="FK458" s="75">
        <f t="shared" si="2202"/>
        <v>3.6220115336945469E-2</v>
      </c>
      <c r="FL458" s="75">
        <f t="shared" si="2202"/>
        <v>3.5409162465327881E-2</v>
      </c>
      <c r="FM458" s="75">
        <f t="shared" si="2202"/>
        <v>3.5013556827209191E-2</v>
      </c>
    </row>
    <row r="459" spans="1:181" hidden="1" x14ac:dyDescent="0.3">
      <c r="EO459"/>
      <c r="EP459"/>
      <c r="EQ459"/>
      <c r="ER459"/>
      <c r="ES459" s="90"/>
      <c r="EX459" s="90"/>
      <c r="FC459" s="90"/>
      <c r="FH459" s="90"/>
    </row>
    <row r="460" spans="1:181" x14ac:dyDescent="0.3">
      <c r="A460" s="90" t="s">
        <v>284</v>
      </c>
      <c r="EG460" s="816"/>
      <c r="EH460" s="816"/>
      <c r="EJ460" s="816"/>
      <c r="EK460" s="816"/>
      <c r="EL460" s="816"/>
      <c r="EM460" s="816"/>
      <c r="EO460" s="816"/>
      <c r="EP460" s="816"/>
      <c r="EQ460" s="816"/>
      <c r="ER460" s="816"/>
      <c r="ES460" s="90"/>
      <c r="EX460" s="90"/>
      <c r="FC460" s="90"/>
      <c r="FH460" s="90"/>
    </row>
    <row r="461" spans="1:181" x14ac:dyDescent="0.3">
      <c r="A461" t="s">
        <v>20</v>
      </c>
      <c r="DZ461" s="885">
        <f t="shared" ref="DZ461:EC463" si="2203">DZ199+DZ337</f>
        <v>382.779225</v>
      </c>
      <c r="EA461" s="885">
        <f t="shared" si="2203"/>
        <v>385.52034000000003</v>
      </c>
      <c r="EB461" s="885">
        <f t="shared" si="2203"/>
        <v>387.71291999999994</v>
      </c>
      <c r="EC461" s="885">
        <f t="shared" si="2203"/>
        <v>395.48181</v>
      </c>
      <c r="ED461" s="1079">
        <f>+SUM(DZ461:EC461)</f>
        <v>1551.494295</v>
      </c>
      <c r="EE461" s="885">
        <f t="shared" ref="EE461:EM463" si="2204">EE199+EE337</f>
        <v>400.26067499999999</v>
      </c>
      <c r="EF461" s="885">
        <f t="shared" si="2204"/>
        <v>414.28289999999993</v>
      </c>
      <c r="EG461" s="885">
        <f t="shared" si="2204"/>
        <v>417.34663499999999</v>
      </c>
      <c r="EH461" s="885">
        <f t="shared" si="2204"/>
        <v>415.08333000000005</v>
      </c>
      <c r="EI461" s="1079">
        <f>+SUM(EE461:EH461)</f>
        <v>1646.97354</v>
      </c>
      <c r="EJ461" s="885">
        <f t="shared" si="2204"/>
        <v>420.93863999999996</v>
      </c>
      <c r="EK461" s="885">
        <f t="shared" si="2204"/>
        <v>440.63338499999998</v>
      </c>
      <c r="EL461" s="885">
        <f t="shared" si="2204"/>
        <v>446.60699999999997</v>
      </c>
      <c r="EM461" s="885">
        <f t="shared" si="2204"/>
        <v>439.38000000000005</v>
      </c>
      <c r="EN461" s="1079">
        <f>+SUM(EJ461:EM461)</f>
        <v>1747.559025</v>
      </c>
      <c r="EO461" s="885">
        <f t="shared" ref="EO461:ER463" si="2205">EO199+EO337</f>
        <v>446.88504</v>
      </c>
      <c r="EP461" s="885">
        <f t="shared" si="2205"/>
        <v>469.19583</v>
      </c>
      <c r="EQ461" s="885">
        <f t="shared" si="2205"/>
        <v>487.72060499999998</v>
      </c>
      <c r="ER461" s="885">
        <f t="shared" si="2205"/>
        <v>491.29236000000003</v>
      </c>
      <c r="ES461" s="1079">
        <f>+SUM(EO461:ER461)</f>
        <v>1895.0938350000001</v>
      </c>
      <c r="ET461" s="885">
        <f t="shared" ref="ET461:EW463" si="2206">ET199+ET337</f>
        <v>496.68248081179195</v>
      </c>
      <c r="EU461" s="885">
        <f t="shared" si="2206"/>
        <v>524.09936925270347</v>
      </c>
      <c r="EV461" s="885">
        <f t="shared" si="2206"/>
        <v>547.27290885070909</v>
      </c>
      <c r="EW461" s="885">
        <f t="shared" si="2206"/>
        <v>554.96579769996129</v>
      </c>
      <c r="EX461" s="1079">
        <f>+SUM(ET461:EW461)</f>
        <v>2123.0205566151658</v>
      </c>
      <c r="EY461" s="885">
        <f t="shared" ref="EY461:FB461" si="2207">EY199+EY337</f>
        <v>562.9583506405703</v>
      </c>
      <c r="EZ461" s="885">
        <f t="shared" si="2207"/>
        <v>596.64335328419793</v>
      </c>
      <c r="FA461" s="885">
        <f t="shared" si="2207"/>
        <v>625.51257032111914</v>
      </c>
      <c r="FB461" s="885">
        <f t="shared" si="2207"/>
        <v>637.71389047006801</v>
      </c>
      <c r="FC461" s="1079">
        <f>+SUM(EY461:FB461)</f>
        <v>2422.8281647159556</v>
      </c>
      <c r="FD461" s="885">
        <f t="shared" ref="FD461:FM463" si="2208">FD199+FD337</f>
        <v>649.55288974269524</v>
      </c>
      <c r="FE461" s="885">
        <f t="shared" si="2208"/>
        <v>688.66065549607833</v>
      </c>
      <c r="FF461" s="885">
        <f t="shared" si="2208"/>
        <v>722.00173769142305</v>
      </c>
      <c r="FG461" s="885">
        <f t="shared" si="2208"/>
        <v>736.30695771342641</v>
      </c>
      <c r="FH461" s="1079">
        <f>+SUM(FD461:FG461)</f>
        <v>2796.5222406436233</v>
      </c>
      <c r="FI461" s="885">
        <f t="shared" si="2208"/>
        <v>3184.0794161122881</v>
      </c>
      <c r="FJ461" s="885">
        <f t="shared" si="2208"/>
        <v>3552.5826092886737</v>
      </c>
      <c r="FK461" s="885">
        <f t="shared" si="2208"/>
        <v>3886.7293062753361</v>
      </c>
      <c r="FL461" s="885">
        <f t="shared" si="2208"/>
        <v>4182.5001027720054</v>
      </c>
      <c r="FM461" s="885">
        <f t="shared" si="2208"/>
        <v>4438.9647420778501</v>
      </c>
    </row>
    <row r="462" spans="1:181" x14ac:dyDescent="0.3">
      <c r="A462" t="s">
        <v>21</v>
      </c>
      <c r="DZ462" s="885">
        <f t="shared" si="2203"/>
        <v>189.15551999999997</v>
      </c>
      <c r="EA462" s="885">
        <f t="shared" si="2203"/>
        <v>176.92068</v>
      </c>
      <c r="EB462" s="885">
        <f t="shared" si="2203"/>
        <v>166.32964499999997</v>
      </c>
      <c r="EC462" s="885">
        <f t="shared" si="2203"/>
        <v>157.26242999999999</v>
      </c>
      <c r="ED462" s="1079">
        <f>+SUM(DZ462:EC462)</f>
        <v>689.66827499999999</v>
      </c>
      <c r="EE462" s="885">
        <f t="shared" si="2204"/>
        <v>150.88261499999999</v>
      </c>
      <c r="EF462" s="885">
        <f t="shared" si="2204"/>
        <v>145.75359</v>
      </c>
      <c r="EG462" s="885">
        <f t="shared" si="2204"/>
        <v>138.31398000000002</v>
      </c>
      <c r="EH462" s="885">
        <f t="shared" si="2204"/>
        <v>132.15633</v>
      </c>
      <c r="EI462" s="1079">
        <f>+SUM(EE462:EH462)</f>
        <v>567.10651500000006</v>
      </c>
      <c r="EJ462" s="885">
        <f t="shared" si="2204"/>
        <v>127.35054</v>
      </c>
      <c r="EK462" s="885">
        <f t="shared" si="2204"/>
        <v>124.74431999999999</v>
      </c>
      <c r="EL462" s="885">
        <f t="shared" si="2204"/>
        <v>117.460725</v>
      </c>
      <c r="EM462" s="885">
        <f t="shared" si="2204"/>
        <v>111.01582500000001</v>
      </c>
      <c r="EN462" s="1079">
        <f>+SUM(EJ462:EM462)</f>
        <v>480.57140999999996</v>
      </c>
      <c r="EO462" s="885">
        <f t="shared" si="2205"/>
        <v>109.645965</v>
      </c>
      <c r="EP462" s="885">
        <f t="shared" si="2205"/>
        <v>104.77818000000001</v>
      </c>
      <c r="EQ462" s="885">
        <f t="shared" si="2205"/>
        <v>97.200809999999976</v>
      </c>
      <c r="ER462" s="885">
        <f t="shared" si="2205"/>
        <v>90.525750000000002</v>
      </c>
      <c r="ES462" s="1079">
        <f>+SUM(EO462:ER462)</f>
        <v>402.15070500000002</v>
      </c>
      <c r="ET462" s="885">
        <f t="shared" si="2206"/>
        <v>85.869907484142544</v>
      </c>
      <c r="EU462" s="885">
        <f t="shared" si="2206"/>
        <v>82.386128606087809</v>
      </c>
      <c r="EV462" s="885">
        <f t="shared" si="2206"/>
        <v>77.117666075481992</v>
      </c>
      <c r="EW462" s="885">
        <f t="shared" si="2206"/>
        <v>71.978399158650916</v>
      </c>
      <c r="EX462" s="1079">
        <f>+SUM(ET462:EW462)</f>
        <v>317.35210132436328</v>
      </c>
      <c r="EY462" s="885">
        <f t="shared" ref="EY462:FB462" si="2209">EY200+EY338</f>
        <v>68.193186980761681</v>
      </c>
      <c r="EZ462" s="885">
        <f t="shared" si="2209"/>
        <v>65.558786575899731</v>
      </c>
      <c r="FA462" s="885">
        <f t="shared" si="2209"/>
        <v>61.488577648930416</v>
      </c>
      <c r="FB462" s="885">
        <f t="shared" si="2209"/>
        <v>57.547852845782366</v>
      </c>
      <c r="FC462" s="1079">
        <f>+SUM(EY462:FB462)</f>
        <v>252.78840405137419</v>
      </c>
      <c r="FD462" s="885">
        <f t="shared" si="2208"/>
        <v>54.568878562099805</v>
      </c>
      <c r="FE462" s="885">
        <f t="shared" si="2208"/>
        <v>52.537444455126973</v>
      </c>
      <c r="FF462" s="885">
        <f t="shared" si="2208"/>
        <v>49.346333064370782</v>
      </c>
      <c r="FG462" s="885">
        <f t="shared" si="2208"/>
        <v>46.274418441460519</v>
      </c>
      <c r="FH462" s="1079">
        <f>+SUM(FD462:FG462)</f>
        <v>202.72707452305806</v>
      </c>
      <c r="FI462" s="885">
        <f t="shared" si="2208"/>
        <v>162.07674749076958</v>
      </c>
      <c r="FJ462" s="885">
        <f t="shared" si="2208"/>
        <v>127.3401130163108</v>
      </c>
      <c r="FK462" s="885">
        <f t="shared" si="2208"/>
        <v>100.51395710717985</v>
      </c>
      <c r="FL462" s="885">
        <f t="shared" si="2208"/>
        <v>79.551433631083313</v>
      </c>
      <c r="FM462" s="885">
        <f t="shared" si="2208"/>
        <v>63.057049399189431</v>
      </c>
    </row>
    <row r="463" spans="1:181" x14ac:dyDescent="0.3">
      <c r="A463" t="s">
        <v>22</v>
      </c>
      <c r="DZ463" s="901">
        <f t="shared" si="2203"/>
        <v>308.06525500000009</v>
      </c>
      <c r="EA463" s="901">
        <f t="shared" si="2203"/>
        <v>296.55897999999991</v>
      </c>
      <c r="EB463" s="901">
        <f t="shared" si="2203"/>
        <v>284.95743500000003</v>
      </c>
      <c r="EC463" s="901">
        <f t="shared" si="2203"/>
        <v>285.25576000000001</v>
      </c>
      <c r="ED463" s="1111">
        <f>+SUM(DZ463:EC463)</f>
        <v>1174.83743</v>
      </c>
      <c r="EE463" s="901">
        <f t="shared" si="2204"/>
        <v>268.85670999999996</v>
      </c>
      <c r="EF463" s="901">
        <f t="shared" si="2204"/>
        <v>255.96351000000004</v>
      </c>
      <c r="EG463" s="901">
        <f t="shared" si="2204"/>
        <v>244.33938499999999</v>
      </c>
      <c r="EH463" s="901">
        <f t="shared" si="2204"/>
        <v>234.76033999999999</v>
      </c>
      <c r="EI463" s="1111">
        <f>+SUM(EE463:EH463)</f>
        <v>1003.9199450000001</v>
      </c>
      <c r="EJ463" s="901">
        <f t="shared" si="2204"/>
        <v>227.71082000000001</v>
      </c>
      <c r="EK463" s="901">
        <f t="shared" si="2204"/>
        <v>225.62229500000001</v>
      </c>
      <c r="EL463" s="901">
        <f t="shared" si="2204"/>
        <v>220.93227500000006</v>
      </c>
      <c r="EM463" s="901">
        <f t="shared" si="2204"/>
        <v>213.60417499999994</v>
      </c>
      <c r="EN463" s="1111">
        <f>+SUM(EJ463:EM463)</f>
        <v>887.86956499999997</v>
      </c>
      <c r="EO463" s="901">
        <f t="shared" si="2205"/>
        <v>204.46899500000001</v>
      </c>
      <c r="EP463" s="901">
        <f t="shared" si="2205"/>
        <v>201.02598999999998</v>
      </c>
      <c r="EQ463" s="901">
        <f t="shared" si="2205"/>
        <v>202.07858500000003</v>
      </c>
      <c r="ER463" s="901">
        <f t="shared" si="2205"/>
        <v>192.18188999999995</v>
      </c>
      <c r="ES463" s="1111">
        <f>+SUM(EO463:ER463)</f>
        <v>799.75545999999997</v>
      </c>
      <c r="ET463" s="901">
        <f t="shared" si="2206"/>
        <v>176.0159777772279</v>
      </c>
      <c r="EU463" s="901">
        <f t="shared" si="2206"/>
        <v>168.72072587225327</v>
      </c>
      <c r="EV463" s="901">
        <f t="shared" si="2206"/>
        <v>164.08670611006801</v>
      </c>
      <c r="EW463" s="901">
        <f t="shared" si="2206"/>
        <v>156.69839308274504</v>
      </c>
      <c r="EX463" s="1111">
        <f>+SUM(ET463:EW463)</f>
        <v>665.52180284229416</v>
      </c>
      <c r="EY463" s="901">
        <f t="shared" ref="EY463:FB463" si="2210">EY201+EY339</f>
        <v>142.72032432014936</v>
      </c>
      <c r="EZ463" s="901">
        <f t="shared" si="2210"/>
        <v>138.78184498432205</v>
      </c>
      <c r="FA463" s="901">
        <f t="shared" si="2210"/>
        <v>132.97017901457596</v>
      </c>
      <c r="FB463" s="901">
        <f t="shared" si="2210"/>
        <v>128.06149501013465</v>
      </c>
      <c r="FC463" s="1111">
        <f>+SUM(EY463:FB463)</f>
        <v>542.53384332918199</v>
      </c>
      <c r="FD463" s="901">
        <f t="shared" si="2208"/>
        <v>116.13750554993771</v>
      </c>
      <c r="FE463" s="901">
        <f t="shared" si="2208"/>
        <v>114.64104932143997</v>
      </c>
      <c r="FF463" s="901">
        <f t="shared" si="2208"/>
        <v>107.95345596752787</v>
      </c>
      <c r="FG463" s="901">
        <f t="shared" si="2208"/>
        <v>104.97087555106194</v>
      </c>
      <c r="FH463" s="1111">
        <f>+SUM(FD463:FG463)</f>
        <v>443.70288638996749</v>
      </c>
      <c r="FI463" s="901">
        <f t="shared" si="2208"/>
        <v>365.52490894790787</v>
      </c>
      <c r="FJ463" s="901">
        <f t="shared" si="2208"/>
        <v>308.02413095959128</v>
      </c>
      <c r="FK463" s="901">
        <f t="shared" si="2208"/>
        <v>268.63021514531897</v>
      </c>
      <c r="FL463" s="901">
        <f t="shared" si="2208"/>
        <v>239.71730411881958</v>
      </c>
      <c r="FM463" s="901">
        <f t="shared" si="2208"/>
        <v>217.76894631665533</v>
      </c>
    </row>
    <row r="464" spans="1:181" s="90" customFormat="1" x14ac:dyDescent="0.3">
      <c r="A464" s="90" t="s">
        <v>23</v>
      </c>
      <c r="DZ464" s="1151">
        <f>SUM(DZ461:DZ463)</f>
        <v>880.00000000000011</v>
      </c>
      <c r="EA464" s="1151">
        <f>SUM(EA461:EA463)</f>
        <v>858.99999999999989</v>
      </c>
      <c r="EB464" s="1151">
        <f>SUM(EB461:EB463)</f>
        <v>839</v>
      </c>
      <c r="EC464" s="1151">
        <f>SUM(EC461:EC463)</f>
        <v>838</v>
      </c>
      <c r="ED464" s="1079">
        <f>SUM(DZ464:EC464)</f>
        <v>3416</v>
      </c>
      <c r="EE464" s="1151">
        <f>SUM(EE461:EE463)</f>
        <v>820</v>
      </c>
      <c r="EF464" s="1151">
        <f>SUM(EF461:EF463)</f>
        <v>816</v>
      </c>
      <c r="EG464" s="1151">
        <f>SUM(EG461:EG463)</f>
        <v>800</v>
      </c>
      <c r="EH464" s="1151">
        <f>SUM(EH461:EH463)</f>
        <v>782</v>
      </c>
      <c r="EI464" s="1079">
        <f>SUM(EE464:EH464)</f>
        <v>3218</v>
      </c>
      <c r="EJ464" s="1151">
        <f>SUM(EJ461:EJ463)</f>
        <v>776</v>
      </c>
      <c r="EK464" s="1151">
        <f>SUM(EK461:EK463)</f>
        <v>791</v>
      </c>
      <c r="EL464" s="1151">
        <f>SUM(EL461:EL463)</f>
        <v>785</v>
      </c>
      <c r="EM464" s="1151">
        <f>SUM(EM461:EM463)</f>
        <v>764</v>
      </c>
      <c r="EN464" s="1079">
        <f>SUM(EJ464:EM464)</f>
        <v>3116</v>
      </c>
      <c r="EO464" s="1151">
        <f>SUM(EO461:EO463)</f>
        <v>761</v>
      </c>
      <c r="EP464" s="1151">
        <f>SUM(EP461:EP463)</f>
        <v>775</v>
      </c>
      <c r="EQ464" s="1151">
        <f>SUM(EQ461:EQ463)</f>
        <v>787</v>
      </c>
      <c r="ER464" s="1151">
        <f>SUM(ER461:ER463)</f>
        <v>774</v>
      </c>
      <c r="ES464" s="1079">
        <f>SUM(EO464:ER464)</f>
        <v>3097</v>
      </c>
      <c r="ET464" s="1151">
        <f t="shared" ref="ET464:EW464" si="2211">SUM(ET461:ET463)</f>
        <v>758.56836607316245</v>
      </c>
      <c r="EU464" s="1151">
        <f t="shared" si="2211"/>
        <v>775.20622373104459</v>
      </c>
      <c r="EV464" s="1151">
        <f t="shared" si="2211"/>
        <v>788.47728103625911</v>
      </c>
      <c r="EW464" s="1151">
        <f t="shared" si="2211"/>
        <v>783.6425899413573</v>
      </c>
      <c r="EX464" s="1079">
        <f>SUM(ET464:EW464)</f>
        <v>3105.8944607818239</v>
      </c>
      <c r="EY464" s="1151">
        <f t="shared" ref="EY464:FB464" si="2212">SUM(EY461:EY463)</f>
        <v>773.87186194148126</v>
      </c>
      <c r="EZ464" s="1151">
        <f t="shared" si="2212"/>
        <v>800.98398484441964</v>
      </c>
      <c r="FA464" s="1151">
        <f t="shared" si="2212"/>
        <v>819.97132698462553</v>
      </c>
      <c r="FB464" s="1151">
        <f t="shared" si="2212"/>
        <v>823.32323832598502</v>
      </c>
      <c r="FC464" s="1079">
        <f>SUM(EY464:FB464)</f>
        <v>3218.1504120965114</v>
      </c>
      <c r="FD464" s="1151">
        <f t="shared" ref="FD464:FM464" si="2213">SUM(FD461:FD463)</f>
        <v>820.25927385473278</v>
      </c>
      <c r="FE464" s="1151">
        <f t="shared" si="2213"/>
        <v>855.83914927264527</v>
      </c>
      <c r="FF464" s="1151">
        <f t="shared" si="2213"/>
        <v>879.30152672332179</v>
      </c>
      <c r="FG464" s="1151">
        <f t="shared" si="2213"/>
        <v>887.55225170594883</v>
      </c>
      <c r="FH464" s="1079">
        <f>SUM(FD464:FG464)</f>
        <v>3442.952201556649</v>
      </c>
      <c r="FI464" s="1151">
        <f t="shared" si="2213"/>
        <v>3711.6810725509658</v>
      </c>
      <c r="FJ464" s="1151">
        <f t="shared" si="2213"/>
        <v>3987.9468532645756</v>
      </c>
      <c r="FK464" s="1151">
        <f t="shared" si="2213"/>
        <v>4255.8734785278348</v>
      </c>
      <c r="FL464" s="1151">
        <f t="shared" si="2213"/>
        <v>4501.7688405219087</v>
      </c>
      <c r="FM464" s="1151">
        <f t="shared" si="2213"/>
        <v>4719.7907377936945</v>
      </c>
    </row>
    <row r="465" spans="1:171" x14ac:dyDescent="0.3">
      <c r="A465" t="s">
        <v>24</v>
      </c>
      <c r="DZ465" s="919">
        <f t="shared" ref="DZ465:EC466" si="2214">DZ203+DZ341</f>
        <v>67.46624570499273</v>
      </c>
      <c r="EA465" s="919">
        <f t="shared" si="2214"/>
        <v>65.75035108013671</v>
      </c>
      <c r="EB465" s="919">
        <f t="shared" si="2214"/>
        <v>64.888547649374999</v>
      </c>
      <c r="EC465" s="919">
        <f t="shared" si="2214"/>
        <v>65.004899062500002</v>
      </c>
      <c r="ED465" s="1151">
        <f>SUM(DZ465:EC465)</f>
        <v>263.11004349700443</v>
      </c>
      <c r="EE465" s="919">
        <f t="shared" ref="EE465:EM466" si="2215">EE203+EE341</f>
        <v>61.672804499999998</v>
      </c>
      <c r="EF465" s="919">
        <f t="shared" si="2215"/>
        <v>61.207440000000005</v>
      </c>
      <c r="EG465" s="919">
        <f t="shared" si="2215"/>
        <v>60.125250000000001</v>
      </c>
      <c r="EH465" s="919">
        <f t="shared" si="2215"/>
        <v>59.386109999999988</v>
      </c>
      <c r="EI465" s="1151">
        <f>SUM(EE465:EH465)</f>
        <v>242.39160449999997</v>
      </c>
      <c r="EJ465" s="919">
        <f t="shared" si="2215"/>
        <v>59.439525000000003</v>
      </c>
      <c r="EK465" s="919">
        <f t="shared" si="2215"/>
        <v>59.293064999999999</v>
      </c>
      <c r="EL465" s="919">
        <f t="shared" si="2215"/>
        <v>60.266295</v>
      </c>
      <c r="EM465" s="919">
        <f t="shared" si="2215"/>
        <v>60.579569999999997</v>
      </c>
      <c r="EN465" s="1151">
        <f>SUM(EJ465:EM465)</f>
        <v>239.57845499999999</v>
      </c>
      <c r="EO465" s="919">
        <f t="shared" ref="EO465:ER466" si="2216">EO203+EO341</f>
        <v>59.643569999999997</v>
      </c>
      <c r="EP465" s="919">
        <f t="shared" si="2216"/>
        <v>59.631839999999997</v>
      </c>
      <c r="EQ465" s="919">
        <f t="shared" si="2216"/>
        <v>58.748910000000009</v>
      </c>
      <c r="ER465" s="919">
        <f t="shared" si="2216"/>
        <v>59.266887411514013</v>
      </c>
      <c r="ES465" s="1151">
        <f>SUM(EO465:ER465)</f>
        <v>237.29120741151399</v>
      </c>
      <c r="ET465" s="919">
        <f t="shared" ref="ET465:EW466" si="2217">ET203+ET341</f>
        <v>62.339359221333495</v>
      </c>
      <c r="EU465" s="919">
        <f t="shared" si="2217"/>
        <v>62.640273816232423</v>
      </c>
      <c r="EV465" s="919">
        <f t="shared" si="2217"/>
        <v>62.261422717882049</v>
      </c>
      <c r="EW465" s="919">
        <f t="shared" si="2217"/>
        <v>63.393886864867213</v>
      </c>
      <c r="EX465" s="1151">
        <f>SUM(ET465:EW465)</f>
        <v>250.6349426203152</v>
      </c>
      <c r="EY465" s="919">
        <f t="shared" ref="EY465:FB465" si="2218">EY203+EY341</f>
        <v>67.456645292779911</v>
      </c>
      <c r="EZ465" s="919">
        <f t="shared" si="2218"/>
        <v>68.223738700666331</v>
      </c>
      <c r="FA465" s="919">
        <f t="shared" si="2218"/>
        <v>68.317754974662023</v>
      </c>
      <c r="FB465" s="919">
        <f t="shared" si="2218"/>
        <v>70.099283503624193</v>
      </c>
      <c r="FC465" s="1151">
        <f>SUM(EY465:FB465)</f>
        <v>274.09742247173244</v>
      </c>
      <c r="FD465" s="919">
        <f t="shared" ref="FD465:FM466" si="2219">FD203+FD341</f>
        <v>75.271526868172131</v>
      </c>
      <c r="FE465" s="919">
        <f t="shared" si="2219"/>
        <v>76.428073315854249</v>
      </c>
      <c r="FF465" s="919">
        <f t="shared" si="2219"/>
        <v>76.889999349367514</v>
      </c>
      <c r="FG465" s="919">
        <f t="shared" si="2219"/>
        <v>79.196797838997696</v>
      </c>
      <c r="FH465" s="1151">
        <f>SUM(FD465:FG465)</f>
        <v>307.7863973723916</v>
      </c>
      <c r="FI465" s="919">
        <f t="shared" si="2219"/>
        <v>349.67148636528702</v>
      </c>
      <c r="FJ465" s="919">
        <f t="shared" si="2219"/>
        <v>395.70904953763556</v>
      </c>
      <c r="FK465" s="919">
        <f t="shared" si="2219"/>
        <v>446.11988305569611</v>
      </c>
      <c r="FL465" s="919">
        <f t="shared" si="2219"/>
        <v>501.31317492592257</v>
      </c>
      <c r="FM465" s="919">
        <f t="shared" si="2219"/>
        <v>561.77735406506645</v>
      </c>
    </row>
    <row r="466" spans="1:171" x14ac:dyDescent="0.3">
      <c r="A466" t="s">
        <v>308</v>
      </c>
      <c r="DZ466" s="919">
        <f t="shared" si="2214"/>
        <v>713.53375429500727</v>
      </c>
      <c r="EA466" s="919">
        <f t="shared" si="2214"/>
        <v>696.24964891986338</v>
      </c>
      <c r="EB466" s="919">
        <f t="shared" si="2214"/>
        <v>674.11145235062497</v>
      </c>
      <c r="EC466" s="919">
        <f t="shared" si="2214"/>
        <v>653.99510093749996</v>
      </c>
      <c r="ED466" s="1151">
        <f>SUM(DZ466:EC466)</f>
        <v>2737.8899565029956</v>
      </c>
      <c r="EE466" s="919">
        <f t="shared" si="2215"/>
        <v>653.32719550000002</v>
      </c>
      <c r="EF466" s="919">
        <f t="shared" si="2215"/>
        <v>636.79255999999998</v>
      </c>
      <c r="EG466" s="919">
        <f t="shared" si="2215"/>
        <v>632.87474999999995</v>
      </c>
      <c r="EH466" s="919">
        <f t="shared" si="2215"/>
        <v>617.61389000000008</v>
      </c>
      <c r="EI466" s="1151">
        <f>SUM(EE466:EH466)</f>
        <v>2540.6083954999999</v>
      </c>
      <c r="EJ466" s="919">
        <f t="shared" si="2215"/>
        <v>606.560475</v>
      </c>
      <c r="EK466" s="919">
        <f t="shared" si="2215"/>
        <v>591.70693499999993</v>
      </c>
      <c r="EL466" s="919">
        <f t="shared" si="2215"/>
        <v>580.73370499999999</v>
      </c>
      <c r="EM466" s="919">
        <f t="shared" si="2215"/>
        <v>598.42043000000001</v>
      </c>
      <c r="EN466" s="1151">
        <f>SUM(EJ466:EM466)</f>
        <v>2377.4215450000002</v>
      </c>
      <c r="EO466" s="919">
        <f t="shared" si="2216"/>
        <v>597.35643000000005</v>
      </c>
      <c r="EP466" s="919">
        <f t="shared" si="2216"/>
        <v>593.36815999999999</v>
      </c>
      <c r="EQ466" s="919">
        <f t="shared" si="2216"/>
        <v>575.25108999999998</v>
      </c>
      <c r="ER466" s="919">
        <f t="shared" si="2216"/>
        <v>575.73311258848594</v>
      </c>
      <c r="ES466" s="1151">
        <f>SUM(EO466:ER466)</f>
        <v>2341.7087925884862</v>
      </c>
      <c r="ET466" s="919">
        <f t="shared" si="2217"/>
        <v>591.50605341044115</v>
      </c>
      <c r="EU466" s="919">
        <f t="shared" si="2217"/>
        <v>587.82780194809345</v>
      </c>
      <c r="EV466" s="919">
        <f t="shared" si="2217"/>
        <v>570.15223686507989</v>
      </c>
      <c r="EW466" s="919">
        <f t="shared" si="2217"/>
        <v>570.30476739847211</v>
      </c>
      <c r="EX466" s="1151">
        <f>SUM(ET466:EW466)</f>
        <v>2319.7908596220864</v>
      </c>
      <c r="EY466" s="919">
        <f t="shared" ref="EY466:FB466" si="2220">EY204+EY342</f>
        <v>587.27040792456228</v>
      </c>
      <c r="EZ466" s="919">
        <f t="shared" si="2220"/>
        <v>583.86866357101462</v>
      </c>
      <c r="FA466" s="919">
        <f t="shared" si="2220"/>
        <v>566.56347784536683</v>
      </c>
      <c r="FB466" s="919">
        <f t="shared" si="2220"/>
        <v>566.41506426855165</v>
      </c>
      <c r="FC466" s="1151">
        <f>SUM(EY466:FB466)</f>
        <v>2304.1176136094955</v>
      </c>
      <c r="FD466" s="919">
        <f t="shared" si="2219"/>
        <v>585.10240313245413</v>
      </c>
      <c r="FE466" s="919">
        <f t="shared" si="2219"/>
        <v>581.92499945908139</v>
      </c>
      <c r="FF466" s="919">
        <f t="shared" si="2219"/>
        <v>564.89009757336157</v>
      </c>
      <c r="FG466" s="919">
        <f t="shared" si="2219"/>
        <v>564.48838880806557</v>
      </c>
      <c r="FH466" s="1151">
        <f>SUM(FD466:FG466)</f>
        <v>2296.4058889729627</v>
      </c>
      <c r="FI466" s="919">
        <f t="shared" si="2219"/>
        <v>2294.2657710518788</v>
      </c>
      <c r="FJ466" s="919">
        <f t="shared" si="2219"/>
        <v>2293.3749553436196</v>
      </c>
      <c r="FK466" s="919">
        <f t="shared" si="2219"/>
        <v>2293.4122699408545</v>
      </c>
      <c r="FL466" s="919">
        <f t="shared" si="2219"/>
        <v>2294.1261280189351</v>
      </c>
      <c r="FM466" s="919">
        <f t="shared" si="2219"/>
        <v>2295.3202957491103</v>
      </c>
    </row>
    <row r="467" spans="1:171" x14ac:dyDescent="0.3">
      <c r="A467" t="s">
        <v>26</v>
      </c>
      <c r="DZ467" s="1153">
        <f>SUM(DZ465:DZ466)</f>
        <v>781</v>
      </c>
      <c r="EA467" s="1153">
        <f>SUM(EA465:EA466)</f>
        <v>762.00000000000011</v>
      </c>
      <c r="EB467" s="1153">
        <f>SUM(EB465:EB466)</f>
        <v>739</v>
      </c>
      <c r="EC467" s="1153">
        <f>SUM(EC465:EC466)</f>
        <v>719</v>
      </c>
      <c r="ED467" s="1153">
        <f>SUM(DZ467:EC467)</f>
        <v>3001</v>
      </c>
      <c r="EE467" s="1153">
        <f>SUM(EE465:EE466)</f>
        <v>715</v>
      </c>
      <c r="EF467" s="1153">
        <f>SUM(EF465:EF466)</f>
        <v>698</v>
      </c>
      <c r="EG467" s="1153">
        <f>SUM(EG465:EG466)</f>
        <v>693</v>
      </c>
      <c r="EH467" s="1153">
        <f>SUM(EH465:EH466)</f>
        <v>677.00000000000011</v>
      </c>
      <c r="EI467" s="1153">
        <f>SUM(EE467:EH467)</f>
        <v>2783</v>
      </c>
      <c r="EJ467" s="1153">
        <f>SUM(EJ465:EJ466)</f>
        <v>666</v>
      </c>
      <c r="EK467" s="1153">
        <f>SUM(EK465:EK466)</f>
        <v>650.99999999999989</v>
      </c>
      <c r="EL467" s="1153">
        <f>SUM(EL465:EL466)</f>
        <v>641</v>
      </c>
      <c r="EM467" s="1153">
        <f>SUM(EM465:EM466)</f>
        <v>659</v>
      </c>
      <c r="EN467" s="1153">
        <f>SUM(EJ467:EM467)</f>
        <v>2617</v>
      </c>
      <c r="EO467" s="1153">
        <f>SUM(EO465:EO466)</f>
        <v>657</v>
      </c>
      <c r="EP467" s="1153">
        <f>SUM(EP465:EP466)</f>
        <v>653</v>
      </c>
      <c r="EQ467" s="1153">
        <f>SUM(EQ465:EQ466)</f>
        <v>634</v>
      </c>
      <c r="ER467" s="1153">
        <f>SUM(ER465:ER466)</f>
        <v>635</v>
      </c>
      <c r="ES467" s="1153">
        <f>SUM(EO467:ER467)</f>
        <v>2579</v>
      </c>
      <c r="ET467" s="1153">
        <f t="shared" ref="ET467:EW467" si="2221">SUM(ET465:ET466)</f>
        <v>653.84541263177471</v>
      </c>
      <c r="EU467" s="1153">
        <f t="shared" si="2221"/>
        <v>650.46807576432593</v>
      </c>
      <c r="EV467" s="1153">
        <f t="shared" si="2221"/>
        <v>632.41365958296194</v>
      </c>
      <c r="EW467" s="1153">
        <f t="shared" si="2221"/>
        <v>633.69865426333934</v>
      </c>
      <c r="EX467" s="1153">
        <f>SUM(ET467:EW467)</f>
        <v>2570.4258022424019</v>
      </c>
      <c r="EY467" s="1153">
        <f t="shared" ref="EY467:FB467" si="2222">SUM(EY465:EY466)</f>
        <v>654.72705321734225</v>
      </c>
      <c r="EZ467" s="1153">
        <f t="shared" si="2222"/>
        <v>652.09240227168095</v>
      </c>
      <c r="FA467" s="1153">
        <f t="shared" si="2222"/>
        <v>634.8812328200288</v>
      </c>
      <c r="FB467" s="1153">
        <f t="shared" si="2222"/>
        <v>636.51434777217582</v>
      </c>
      <c r="FC467" s="1153">
        <f>SUM(EY467:FB467)</f>
        <v>2578.2150360812279</v>
      </c>
      <c r="FD467" s="1153">
        <f t="shared" ref="FD467:FM467" si="2223">SUM(FD465:FD466)</f>
        <v>660.37393000062627</v>
      </c>
      <c r="FE467" s="1153">
        <f t="shared" si="2223"/>
        <v>658.35307277493564</v>
      </c>
      <c r="FF467" s="1153">
        <f t="shared" si="2223"/>
        <v>641.78009692272906</v>
      </c>
      <c r="FG467" s="1153">
        <f t="shared" si="2223"/>
        <v>643.68518664706323</v>
      </c>
      <c r="FH467" s="1153">
        <f>SUM(FD467:FG467)</f>
        <v>2604.1922863453542</v>
      </c>
      <c r="FI467" s="1153">
        <f t="shared" si="2223"/>
        <v>2643.9372574171657</v>
      </c>
      <c r="FJ467" s="1153">
        <f t="shared" si="2223"/>
        <v>2689.0840048812552</v>
      </c>
      <c r="FK467" s="1153">
        <f t="shared" si="2223"/>
        <v>2739.5321529965504</v>
      </c>
      <c r="FL467" s="1153">
        <f t="shared" si="2223"/>
        <v>2795.4393029448574</v>
      </c>
      <c r="FM467" s="1153">
        <f t="shared" si="2223"/>
        <v>2857.0976498141767</v>
      </c>
    </row>
    <row r="468" spans="1:171" s="90" customFormat="1" x14ac:dyDescent="0.3">
      <c r="A468" s="90" t="s">
        <v>27</v>
      </c>
      <c r="DZ468" s="1151">
        <f>DZ464+DZ467</f>
        <v>1661</v>
      </c>
      <c r="EA468" s="1151">
        <f>EA464+EA467</f>
        <v>1621</v>
      </c>
      <c r="EB468" s="1151">
        <f>EB464+EB467</f>
        <v>1578</v>
      </c>
      <c r="EC468" s="1151">
        <f>EC464+EC467</f>
        <v>1557</v>
      </c>
      <c r="ED468" s="900">
        <f>SUM(DZ468:EC468)</f>
        <v>6417</v>
      </c>
      <c r="EE468" s="1151">
        <f>EE464+EE467</f>
        <v>1535</v>
      </c>
      <c r="EF468" s="1151">
        <f>EF464+EF467</f>
        <v>1514</v>
      </c>
      <c r="EG468" s="1151">
        <f>EG464+EG467</f>
        <v>1493</v>
      </c>
      <c r="EH468" s="1151">
        <f>EH464+EH467</f>
        <v>1459</v>
      </c>
      <c r="EI468" s="900">
        <f>SUM(EE468:EH468)</f>
        <v>6001</v>
      </c>
      <c r="EJ468" s="1151">
        <f>EJ464+EJ467</f>
        <v>1442</v>
      </c>
      <c r="EK468" s="1151">
        <f>EK464+EK467</f>
        <v>1442</v>
      </c>
      <c r="EL468" s="1151">
        <f>EL464+EL467</f>
        <v>1426</v>
      </c>
      <c r="EM468" s="1151">
        <f>EM464+EM467</f>
        <v>1423</v>
      </c>
      <c r="EN468" s="900">
        <f>SUM(EJ468:EM468)</f>
        <v>5733</v>
      </c>
      <c r="EO468" s="1151">
        <f>EO464+EO467</f>
        <v>1418</v>
      </c>
      <c r="EP468" s="1151">
        <f>EP464+EP467</f>
        <v>1428</v>
      </c>
      <c r="EQ468" s="1151">
        <f>EQ464+EQ467</f>
        <v>1421</v>
      </c>
      <c r="ER468" s="1151">
        <f>ER464+ER467</f>
        <v>1409</v>
      </c>
      <c r="ES468" s="900">
        <f>SUM(EO468:ER468)</f>
        <v>5676</v>
      </c>
      <c r="ET468" s="1151">
        <f t="shared" ref="ET468:EW468" si="2224">ET464+ET467</f>
        <v>1412.4137787049372</v>
      </c>
      <c r="EU468" s="1151">
        <f t="shared" si="2224"/>
        <v>1425.6742994953706</v>
      </c>
      <c r="EV468" s="1151">
        <f t="shared" si="2224"/>
        <v>1420.8909406192211</v>
      </c>
      <c r="EW468" s="1151">
        <f t="shared" si="2224"/>
        <v>1417.3412442046965</v>
      </c>
      <c r="EX468" s="900">
        <f>SUM(ET468:EW468)</f>
        <v>5676.3202630242258</v>
      </c>
      <c r="EY468" s="1151">
        <f t="shared" ref="EY468:FB468" si="2225">EY464+EY467</f>
        <v>1428.5989151588235</v>
      </c>
      <c r="EZ468" s="1151">
        <f t="shared" si="2225"/>
        <v>1453.0763871161007</v>
      </c>
      <c r="FA468" s="1151">
        <f t="shared" si="2225"/>
        <v>1454.8525598046544</v>
      </c>
      <c r="FB468" s="1151">
        <f t="shared" si="2225"/>
        <v>1459.837586098161</v>
      </c>
      <c r="FC468" s="900">
        <f>SUM(EY468:FB468)</f>
        <v>5796.3654481777394</v>
      </c>
      <c r="FD468" s="1151">
        <f t="shared" ref="FD468:FM468" si="2226">FD464+FD467</f>
        <v>1480.6332038553592</v>
      </c>
      <c r="FE468" s="1151">
        <f t="shared" si="2226"/>
        <v>1514.1922220475808</v>
      </c>
      <c r="FF468" s="1151">
        <f t="shared" si="2226"/>
        <v>1521.081623646051</v>
      </c>
      <c r="FG468" s="1151">
        <f t="shared" si="2226"/>
        <v>1531.2374383530121</v>
      </c>
      <c r="FH468" s="900">
        <f>SUM(FD468:FG468)</f>
        <v>6047.1444879020028</v>
      </c>
      <c r="FI468" s="1151">
        <f t="shared" si="2226"/>
        <v>6355.6183299681315</v>
      </c>
      <c r="FJ468" s="1151">
        <f t="shared" si="2226"/>
        <v>6677.0308581458303</v>
      </c>
      <c r="FK468" s="1151">
        <f t="shared" si="2226"/>
        <v>6995.4056315243852</v>
      </c>
      <c r="FL468" s="1151">
        <f t="shared" si="2226"/>
        <v>7297.2081434667662</v>
      </c>
      <c r="FM468" s="1151">
        <f t="shared" si="2226"/>
        <v>7576.8883876078708</v>
      </c>
    </row>
    <row r="469" spans="1:171" ht="12" customHeight="1" x14ac:dyDescent="0.3">
      <c r="A469" s="1" t="s">
        <v>465</v>
      </c>
      <c r="DU469" s="79">
        <f>+Inputs!DU744</f>
        <v>0</v>
      </c>
      <c r="DV469" s="79">
        <f>+Inputs!DV744</f>
        <v>0</v>
      </c>
      <c r="DW469" s="79">
        <f>+Inputs!DW744</f>
        <v>0</v>
      </c>
      <c r="DX469" s="79">
        <f>+Inputs!DX744</f>
        <v>0</v>
      </c>
      <c r="DY469" s="100">
        <f>+SUM(DU469:DX469)</f>
        <v>0</v>
      </c>
      <c r="DZ469" s="79">
        <f>Inputs!DZ172</f>
        <v>128</v>
      </c>
      <c r="EA469" s="79">
        <f>Inputs!EA172</f>
        <v>133</v>
      </c>
      <c r="EB469" s="79">
        <f>Inputs!EB172</f>
        <v>149</v>
      </c>
      <c r="EC469" s="79">
        <f>Inputs!EC172</f>
        <v>139</v>
      </c>
      <c r="ED469" s="85">
        <f>+SUM(DZ469:EC469)</f>
        <v>549</v>
      </c>
      <c r="EE469" s="79">
        <f>Inputs!EE172</f>
        <v>140</v>
      </c>
      <c r="EF469" s="79">
        <f>Inputs!EF172</f>
        <v>103</v>
      </c>
      <c r="EG469" s="79">
        <f>Inputs!EG172</f>
        <v>83</v>
      </c>
      <c r="EH469" s="79">
        <f>Inputs!EH172</f>
        <v>84</v>
      </c>
      <c r="EI469" s="85">
        <f>+SUM(EE469:EH469)</f>
        <v>410</v>
      </c>
      <c r="EJ469" s="79">
        <f>Inputs!EJ172</f>
        <v>5</v>
      </c>
      <c r="EK469" s="79">
        <f>Inputs!EK172</f>
        <v>17</v>
      </c>
      <c r="EL469" s="79">
        <f>Inputs!EL172</f>
        <v>18</v>
      </c>
      <c r="EM469" s="79">
        <f>Inputs!EM172</f>
        <v>14</v>
      </c>
      <c r="EN469" s="132">
        <f>+SUM(EJ469:EM469)</f>
        <v>54</v>
      </c>
      <c r="EO469" s="79">
        <f>Inputs!EO172</f>
        <v>22</v>
      </c>
      <c r="EP469" s="79">
        <f>Inputs!EP172</f>
        <v>21</v>
      </c>
      <c r="EQ469" s="79">
        <f>Inputs!EQ172</f>
        <v>15</v>
      </c>
      <c r="ER469" s="79">
        <f>Inputs!ER172</f>
        <v>17</v>
      </c>
      <c r="ES469" s="132">
        <f>+SUM(EO469:ER469)</f>
        <v>75</v>
      </c>
      <c r="ET469" s="134">
        <f t="shared" ref="ET469:EW469" si="2227">ET11</f>
        <v>20</v>
      </c>
      <c r="EU469" s="134">
        <f t="shared" si="2227"/>
        <v>20</v>
      </c>
      <c r="EV469" s="134">
        <f t="shared" si="2227"/>
        <v>20</v>
      </c>
      <c r="EW469" s="134">
        <f t="shared" si="2227"/>
        <v>20</v>
      </c>
      <c r="EX469" s="132">
        <f>+SUM(ET469:EW469)</f>
        <v>80</v>
      </c>
      <c r="EY469" s="134">
        <f t="shared" ref="EY469:FB469" si="2228">EY11</f>
        <v>20</v>
      </c>
      <c r="EZ469" s="134">
        <f t="shared" si="2228"/>
        <v>20</v>
      </c>
      <c r="FA469" s="134">
        <f t="shared" si="2228"/>
        <v>20</v>
      </c>
      <c r="FB469" s="134">
        <f t="shared" si="2228"/>
        <v>20</v>
      </c>
      <c r="FC469" s="132">
        <f>+SUM(EY469:FB469)</f>
        <v>80</v>
      </c>
      <c r="FD469" s="134">
        <f t="shared" ref="FD469:FM469" si="2229">FD11</f>
        <v>20</v>
      </c>
      <c r="FE469" s="134">
        <f t="shared" si="2229"/>
        <v>20</v>
      </c>
      <c r="FF469" s="134">
        <f t="shared" si="2229"/>
        <v>20</v>
      </c>
      <c r="FG469" s="134">
        <f t="shared" si="2229"/>
        <v>20</v>
      </c>
      <c r="FH469" s="132">
        <f>+SUM(FD469:FG469)</f>
        <v>80</v>
      </c>
      <c r="FI469" s="134">
        <f t="shared" si="2229"/>
        <v>80</v>
      </c>
      <c r="FJ469" s="134">
        <f t="shared" si="2229"/>
        <v>80</v>
      </c>
      <c r="FK469" s="134">
        <f t="shared" si="2229"/>
        <v>80</v>
      </c>
      <c r="FL469" s="134">
        <f t="shared" si="2229"/>
        <v>80</v>
      </c>
      <c r="FM469" s="134">
        <f t="shared" si="2229"/>
        <v>80</v>
      </c>
      <c r="FN469" s="189">
        <f>+(FJ469/ES469)^0.2-1</f>
        <v>1.299136822423641E-2</v>
      </c>
      <c r="FO469" s="98"/>
    </row>
    <row r="470" spans="1:171" x14ac:dyDescent="0.3">
      <c r="A470" s="4" t="s">
        <v>19</v>
      </c>
      <c r="DU470" s="803">
        <f>+DU468+DU469</f>
        <v>0</v>
      </c>
      <c r="DV470" s="803">
        <f>+DV468+DV469</f>
        <v>0</v>
      </c>
      <c r="DW470" s="803">
        <f>+DW468+DW469</f>
        <v>0</v>
      </c>
      <c r="DX470" s="803">
        <f>+DX468+DX469</f>
        <v>0</v>
      </c>
      <c r="DY470" s="85">
        <f>+SUM(DU470:DX470)</f>
        <v>0</v>
      </c>
      <c r="DZ470" s="803">
        <f>+DZ468+DZ469</f>
        <v>1789</v>
      </c>
      <c r="EA470" s="803">
        <f>+EA468+EA469</f>
        <v>1754</v>
      </c>
      <c r="EB470" s="803">
        <f>+EB468+EB469</f>
        <v>1727</v>
      </c>
      <c r="EC470" s="803">
        <f>+EC468+EC469</f>
        <v>1696</v>
      </c>
      <c r="ED470" s="803">
        <f>+SUM(DZ470:EC470)</f>
        <v>6966</v>
      </c>
      <c r="EE470" s="803">
        <f>+EE468+EE469</f>
        <v>1675</v>
      </c>
      <c r="EF470" s="803">
        <f>+EF468+EF469</f>
        <v>1617</v>
      </c>
      <c r="EG470" s="803">
        <f>+EG468+EG469</f>
        <v>1576</v>
      </c>
      <c r="EH470" s="803">
        <f>+EH468+EH469</f>
        <v>1543</v>
      </c>
      <c r="EI470" s="803">
        <f>+SUM(EE470:EH470)</f>
        <v>6411</v>
      </c>
      <c r="EJ470" s="803">
        <f>+EJ468+EJ469</f>
        <v>1447</v>
      </c>
      <c r="EK470" s="803">
        <f>+EK468+EK469</f>
        <v>1459</v>
      </c>
      <c r="EL470" s="803">
        <f>+EL468+EL469</f>
        <v>1444</v>
      </c>
      <c r="EM470" s="803">
        <f>+EM468+EM469</f>
        <v>1437</v>
      </c>
      <c r="EN470" s="803">
        <f>+SUM(EJ470:EM470)</f>
        <v>5787</v>
      </c>
      <c r="EO470" s="803">
        <f>+EO468+EO469</f>
        <v>1440</v>
      </c>
      <c r="EP470" s="803">
        <f>+EP468+EP469</f>
        <v>1449</v>
      </c>
      <c r="EQ470" s="803">
        <f>+EQ468+EQ469</f>
        <v>1436</v>
      </c>
      <c r="ER470" s="803">
        <f>+ER468+ER469</f>
        <v>1426</v>
      </c>
      <c r="ES470" s="803">
        <f>+SUM(EO470:ER470)</f>
        <v>5751</v>
      </c>
      <c r="ET470" s="803">
        <f t="shared" ref="ET470:EW470" si="2230">+ET468+ET469</f>
        <v>1432.4137787049372</v>
      </c>
      <c r="EU470" s="803">
        <f t="shared" si="2230"/>
        <v>1445.6742994953706</v>
      </c>
      <c r="EV470" s="803">
        <f t="shared" si="2230"/>
        <v>1440.8909406192211</v>
      </c>
      <c r="EW470" s="803">
        <f t="shared" si="2230"/>
        <v>1437.3412442046965</v>
      </c>
      <c r="EX470" s="803">
        <f>+SUM(ET470:EW470)</f>
        <v>5756.3202630242258</v>
      </c>
      <c r="EY470" s="803">
        <f t="shared" ref="EY470:FB470" si="2231">+EY468+EY469</f>
        <v>1448.5989151588235</v>
      </c>
      <c r="EZ470" s="803">
        <f t="shared" si="2231"/>
        <v>1473.0763871161007</v>
      </c>
      <c r="FA470" s="803">
        <f t="shared" si="2231"/>
        <v>1474.8525598046544</v>
      </c>
      <c r="FB470" s="803">
        <f t="shared" si="2231"/>
        <v>1479.837586098161</v>
      </c>
      <c r="FC470" s="803">
        <f>+SUM(EY470:FB470)</f>
        <v>5876.3654481777394</v>
      </c>
      <c r="FD470" s="803">
        <f t="shared" ref="FD470:FM470" si="2232">+FD468+FD469</f>
        <v>1500.6332038553592</v>
      </c>
      <c r="FE470" s="803">
        <f t="shared" si="2232"/>
        <v>1534.1922220475808</v>
      </c>
      <c r="FF470" s="803">
        <f t="shared" si="2232"/>
        <v>1541.081623646051</v>
      </c>
      <c r="FG470" s="803">
        <f t="shared" si="2232"/>
        <v>1551.2374383530121</v>
      </c>
      <c r="FH470" s="803">
        <f>+SUM(FD470:FG470)</f>
        <v>6127.1444879020028</v>
      </c>
      <c r="FI470" s="803">
        <f t="shared" si="2232"/>
        <v>6435.6183299681315</v>
      </c>
      <c r="FJ470" s="803">
        <f t="shared" si="2232"/>
        <v>6757.0308581458303</v>
      </c>
      <c r="FK470" s="803">
        <f t="shared" si="2232"/>
        <v>7075.4056315243852</v>
      </c>
      <c r="FL470" s="803">
        <f t="shared" si="2232"/>
        <v>7377.2081434667662</v>
      </c>
      <c r="FM470" s="803">
        <f t="shared" si="2232"/>
        <v>7656.8883876078708</v>
      </c>
      <c r="FN470" s="189">
        <f>+(FJ470/ES470)^0.2-1</f>
        <v>3.2767367323505159E-2</v>
      </c>
    </row>
    <row r="471" spans="1:171" s="94" customFormat="1" x14ac:dyDescent="0.3">
      <c r="A471" s="73" t="s">
        <v>466</v>
      </c>
      <c r="DY471" s="141"/>
      <c r="ED471" s="141"/>
      <c r="EE471" s="1168">
        <f t="shared" ref="EE471:EX480" si="2233">EE461/DZ461-1</f>
        <v>4.5669798302141462E-2</v>
      </c>
      <c r="EF471" s="1168">
        <f t="shared" si="2233"/>
        <v>7.4607114114912498E-2</v>
      </c>
      <c r="EG471" s="1168">
        <f t="shared" si="2233"/>
        <v>7.6432106002554789E-2</v>
      </c>
      <c r="EH471" s="1168">
        <f t="shared" si="2233"/>
        <v>4.9563644912012705E-2</v>
      </c>
      <c r="EI471" s="1169">
        <f t="shared" si="2233"/>
        <v>6.1540184393652497E-2</v>
      </c>
      <c r="EJ471" s="1168">
        <f t="shared" si="2233"/>
        <v>5.1661245512065301E-2</v>
      </c>
      <c r="EK471" s="1168">
        <f t="shared" si="2233"/>
        <v>6.3605051041208949E-2</v>
      </c>
      <c r="EL471" s="1168">
        <f t="shared" si="2233"/>
        <v>7.0110461055951756E-2</v>
      </c>
      <c r="EM471" s="1168">
        <f t="shared" si="2233"/>
        <v>5.8534439337758926E-2</v>
      </c>
      <c r="EN471" s="1169">
        <f t="shared" si="2233"/>
        <v>6.1072921062229168E-2</v>
      </c>
      <c r="EO471" s="1168">
        <f t="shared" si="2233"/>
        <v>6.1639387631413634E-2</v>
      </c>
      <c r="EP471" s="1168">
        <f t="shared" si="2233"/>
        <v>6.4821336676520902E-2</v>
      </c>
      <c r="EQ471" s="1168">
        <f t="shared" si="2233"/>
        <v>9.2057681585823836E-2</v>
      </c>
      <c r="ER471" s="1168">
        <f t="shared" si="2233"/>
        <v>0.11814911921343696</v>
      </c>
      <c r="ES471" s="1169">
        <f t="shared" si="2233"/>
        <v>8.4423363039197064E-2</v>
      </c>
      <c r="ET471" s="1168">
        <f t="shared" si="2233"/>
        <v>0.11143232902088629</v>
      </c>
      <c r="EU471" s="1168">
        <f t="shared" si="2233"/>
        <v>0.11701625577683306</v>
      </c>
      <c r="EV471" s="1168">
        <f t="shared" si="2233"/>
        <v>0.12210331743254743</v>
      </c>
      <c r="EW471" s="1168">
        <f t="shared" si="2233"/>
        <v>0.12960396473489078</v>
      </c>
      <c r="EX471" s="1169">
        <f t="shared" si="2233"/>
        <v>0.12027199783232145</v>
      </c>
      <c r="EY471" s="1168">
        <f t="shared" ref="EY471:EY480" si="2234">EY461/ET461-1</f>
        <v>0.1334370999364729</v>
      </c>
      <c r="EZ471" s="1168">
        <f t="shared" ref="EZ471:EZ480" si="2235">EZ461/EU461-1</f>
        <v>0.13841646887484838</v>
      </c>
      <c r="FA471" s="1168">
        <f t="shared" ref="FA471:FA480" si="2236">FA461/EV461-1</f>
        <v>0.14296278914064264</v>
      </c>
      <c r="FB471" s="1168">
        <f t="shared" ref="FB471:FC480" si="2237">FB461/EW461-1</f>
        <v>0.14910485134949525</v>
      </c>
      <c r="FC471" s="1169">
        <f t="shared" si="2237"/>
        <v>0.14121747769545268</v>
      </c>
      <c r="FD471" s="1168">
        <f t="shared" ref="FD471:FD480" si="2238">FD461/EY461-1</f>
        <v>0.15382050733165631</v>
      </c>
      <c r="FE471" s="1168">
        <f t="shared" ref="FE471:FE480" si="2239">FE461/EZ461-1</f>
        <v>0.15422496824170606</v>
      </c>
      <c r="FF471" s="1168">
        <f t="shared" ref="FF471:FF480" si="2240">FF461/FA461-1</f>
        <v>0.15425616038502521</v>
      </c>
      <c r="FG471" s="1168">
        <f t="shared" ref="FG471:FH480" si="2241">FG461/FB461-1</f>
        <v>0.15460391990314659</v>
      </c>
      <c r="FH471" s="1169">
        <f t="shared" si="2241"/>
        <v>0.15423878646031763</v>
      </c>
      <c r="FI471" s="1168">
        <f t="shared" ref="FI471:FM480" si="2242">FI461/FH461-1</f>
        <v>0.13858540791703766</v>
      </c>
      <c r="FJ471" s="1168">
        <f t="shared" si="2242"/>
        <v>0.11573304086313341</v>
      </c>
      <c r="FK471" s="1168">
        <f t="shared" si="2242"/>
        <v>9.405740379210159E-2</v>
      </c>
      <c r="FL471" s="1168">
        <f t="shared" si="2242"/>
        <v>7.609760628792217E-2</v>
      </c>
      <c r="FM471" s="1168">
        <f t="shared" si="2242"/>
        <v>6.1318501614828325E-2</v>
      </c>
    </row>
    <row r="472" spans="1:171" s="94" customFormat="1" x14ac:dyDescent="0.3">
      <c r="A472" s="73" t="s">
        <v>467</v>
      </c>
      <c r="DY472" s="141"/>
      <c r="ED472" s="141"/>
      <c r="EE472" s="1168">
        <f t="shared" si="2233"/>
        <v>-0.20233564952267846</v>
      </c>
      <c r="EF472" s="1168">
        <f t="shared" si="2233"/>
        <v>-0.1761641996854183</v>
      </c>
      <c r="EG472" s="1168">
        <f t="shared" si="2233"/>
        <v>-0.16843458663066324</v>
      </c>
      <c r="EH472" s="1168">
        <f t="shared" si="2233"/>
        <v>-0.15964461441934985</v>
      </c>
      <c r="EI472" s="1169">
        <f t="shared" si="2233"/>
        <v>-0.17771117570980044</v>
      </c>
      <c r="EJ472" s="1168">
        <f t="shared" si="2233"/>
        <v>-0.15596279929268186</v>
      </c>
      <c r="EK472" s="1168">
        <f t="shared" si="2233"/>
        <v>-0.14414238441742677</v>
      </c>
      <c r="EL472" s="1168">
        <f t="shared" si="2233"/>
        <v>-0.15076751460698345</v>
      </c>
      <c r="EM472" s="1168">
        <f t="shared" si="2233"/>
        <v>-0.15996589039662334</v>
      </c>
      <c r="EN472" s="1169">
        <f t="shared" si="2233"/>
        <v>-0.15259056757618117</v>
      </c>
      <c r="EO472" s="1168">
        <f t="shared" si="2233"/>
        <v>-0.13902237870369449</v>
      </c>
      <c r="EP472" s="1168">
        <f t="shared" si="2233"/>
        <v>-0.16005650597959076</v>
      </c>
      <c r="EQ472" s="1168">
        <f t="shared" si="2233"/>
        <v>-0.17248246169091852</v>
      </c>
      <c r="ER472" s="1168">
        <f t="shared" si="2233"/>
        <v>-0.18456895672306184</v>
      </c>
      <c r="ES472" s="1169">
        <f t="shared" si="2233"/>
        <v>-0.16318221052725534</v>
      </c>
      <c r="ET472" s="1168">
        <f t="shared" si="2233"/>
        <v>-0.21684388947516176</v>
      </c>
      <c r="EU472" s="1168">
        <f t="shared" si="2233"/>
        <v>-0.2137091080787259</v>
      </c>
      <c r="EV472" s="1168">
        <f t="shared" si="2233"/>
        <v>-0.20661498525082234</v>
      </c>
      <c r="EW472" s="1168">
        <f t="shared" si="2233"/>
        <v>-0.20488480726587832</v>
      </c>
      <c r="EX472" s="1169">
        <f t="shared" si="2233"/>
        <v>-0.21086275026084245</v>
      </c>
      <c r="EY472" s="1168">
        <f t="shared" si="2234"/>
        <v>-0.20585465876558906</v>
      </c>
      <c r="EZ472" s="1168">
        <f t="shared" si="2235"/>
        <v>-0.20424969973579565</v>
      </c>
      <c r="FA472" s="1168">
        <f t="shared" si="2236"/>
        <v>-0.20266547500612875</v>
      </c>
      <c r="FB472" s="1168">
        <f t="shared" si="2237"/>
        <v>-0.2004844020087404</v>
      </c>
      <c r="FC472" s="1169">
        <f t="shared" si="2237"/>
        <v>-0.20344499690896645</v>
      </c>
      <c r="FD472" s="1168">
        <f t="shared" si="2238"/>
        <v>-0.19978987669993331</v>
      </c>
      <c r="FE472" s="1168">
        <f t="shared" si="2239"/>
        <v>-0.19862085314372757</v>
      </c>
      <c r="FF472" s="1168">
        <f t="shared" si="2240"/>
        <v>-0.1974715475431208</v>
      </c>
      <c r="FG472" s="1168">
        <f t="shared" si="2241"/>
        <v>-0.19589669895300132</v>
      </c>
      <c r="FH472" s="1169">
        <f t="shared" si="2241"/>
        <v>-0.19803649505276422</v>
      </c>
      <c r="FI472" s="1168">
        <f t="shared" si="2242"/>
        <v>-0.20051750427476789</v>
      </c>
      <c r="FJ472" s="1168">
        <f t="shared" si="2242"/>
        <v>-0.21432213449641857</v>
      </c>
      <c r="FK472" s="1168">
        <f t="shared" si="2242"/>
        <v>-0.21066540050655391</v>
      </c>
      <c r="FL472" s="1168">
        <f t="shared" si="2242"/>
        <v>-0.20855335994526425</v>
      </c>
      <c r="FM472" s="1168">
        <f t="shared" si="2242"/>
        <v>-0.20734238817600636</v>
      </c>
    </row>
    <row r="473" spans="1:171" s="94" customFormat="1" x14ac:dyDescent="0.3">
      <c r="A473" s="73" t="s">
        <v>468</v>
      </c>
      <c r="DY473" s="141"/>
      <c r="ED473" s="141"/>
      <c r="EE473" s="1168">
        <f t="shared" si="2233"/>
        <v>-0.12727350573825702</v>
      </c>
      <c r="EF473" s="1168">
        <f t="shared" si="2233"/>
        <v>-0.13688835185499992</v>
      </c>
      <c r="EG473" s="1168">
        <f t="shared" si="2233"/>
        <v>-0.14254076227209178</v>
      </c>
      <c r="EH473" s="1168">
        <f t="shared" si="2233"/>
        <v>-0.1770180556564398</v>
      </c>
      <c r="EI473" s="1169">
        <f t="shared" si="2233"/>
        <v>-0.14548181785457748</v>
      </c>
      <c r="EJ473" s="1168">
        <f t="shared" si="2233"/>
        <v>-0.15304021982564597</v>
      </c>
      <c r="EK473" s="1168">
        <f t="shared" si="2233"/>
        <v>-0.11853726728470015</v>
      </c>
      <c r="EL473" s="1168">
        <f t="shared" si="2233"/>
        <v>-9.5797531781460221E-2</v>
      </c>
      <c r="EM473" s="1168">
        <f t="shared" si="2233"/>
        <v>-9.0118139205284997E-2</v>
      </c>
      <c r="EN473" s="1169">
        <f t="shared" si="2233"/>
        <v>-0.11559724515683378</v>
      </c>
      <c r="EO473" s="1168">
        <f t="shared" si="2233"/>
        <v>-0.10206728428627154</v>
      </c>
      <c r="EP473" s="1168">
        <f t="shared" si="2233"/>
        <v>-0.10901540115971264</v>
      </c>
      <c r="EQ473" s="1168">
        <f t="shared" si="2233"/>
        <v>-8.5336965819050259E-2</v>
      </c>
      <c r="ER473" s="1168">
        <f t="shared" si="2233"/>
        <v>-0.10028963619273823</v>
      </c>
      <c r="ES473" s="1169">
        <f t="shared" si="2233"/>
        <v>-9.9242173032476955E-2</v>
      </c>
      <c r="ET473" s="1168">
        <f t="shared" si="2233"/>
        <v>-0.13915565644939032</v>
      </c>
      <c r="EU473" s="1168">
        <f t="shared" si="2233"/>
        <v>-0.16070192778429648</v>
      </c>
      <c r="EV473" s="1168">
        <f t="shared" si="2233"/>
        <v>-0.1880054677240145</v>
      </c>
      <c r="EW473" s="1168">
        <f t="shared" si="2233"/>
        <v>-0.18463496699535487</v>
      </c>
      <c r="EX473" s="1169">
        <f t="shared" si="2233"/>
        <v>-0.16784337697138796</v>
      </c>
      <c r="EY473" s="1168">
        <f t="shared" si="2234"/>
        <v>-0.18916267646576213</v>
      </c>
      <c r="EZ473" s="1168">
        <f t="shared" si="2235"/>
        <v>-0.17744637318950018</v>
      </c>
      <c r="FA473" s="1168">
        <f t="shared" si="2236"/>
        <v>-0.18963466226581049</v>
      </c>
      <c r="FB473" s="1168">
        <f t="shared" si="2237"/>
        <v>-0.18275170223021109</v>
      </c>
      <c r="FC473" s="1169">
        <f t="shared" si="2237"/>
        <v>-0.18479929430990572</v>
      </c>
      <c r="FD473" s="1168">
        <f t="shared" si="2238"/>
        <v>-0.1862581163323398</v>
      </c>
      <c r="FE473" s="1168">
        <f t="shared" si="2239"/>
        <v>-0.17394779313972397</v>
      </c>
      <c r="FF473" s="1168">
        <f t="shared" si="2240"/>
        <v>-0.18813784588727822</v>
      </c>
      <c r="FG473" s="1168">
        <f t="shared" si="2241"/>
        <v>-0.18030883879065562</v>
      </c>
      <c r="FH473" s="1169">
        <f t="shared" si="2241"/>
        <v>-0.18216551493405897</v>
      </c>
      <c r="FI473" s="1168">
        <f t="shared" si="2242"/>
        <v>-0.1761944306428278</v>
      </c>
      <c r="FJ473" s="1168">
        <f t="shared" si="2242"/>
        <v>-0.15731014926950226</v>
      </c>
      <c r="FK473" s="1168">
        <f t="shared" si="2242"/>
        <v>-0.12789230405925656</v>
      </c>
      <c r="FL473" s="1168">
        <f t="shared" si="2242"/>
        <v>-0.10763089703389683</v>
      </c>
      <c r="FM473" s="1168">
        <f t="shared" si="2242"/>
        <v>-9.1559338541890245E-2</v>
      </c>
    </row>
    <row r="474" spans="1:171" s="141" customFormat="1" x14ac:dyDescent="0.3">
      <c r="A474" s="1108" t="s">
        <v>469</v>
      </c>
      <c r="EE474" s="1169">
        <f t="shared" si="2233"/>
        <v>-6.8181818181818343E-2</v>
      </c>
      <c r="EF474" s="1169">
        <f t="shared" si="2233"/>
        <v>-5.0058207217694828E-2</v>
      </c>
      <c r="EG474" s="1169">
        <f t="shared" si="2233"/>
        <v>-4.6483909415971358E-2</v>
      </c>
      <c r="EH474" s="1169">
        <f t="shared" si="2233"/>
        <v>-6.6825775656324637E-2</v>
      </c>
      <c r="EI474" s="1169">
        <f t="shared" si="2233"/>
        <v>-5.7962529274004693E-2</v>
      </c>
      <c r="EJ474" s="1169">
        <f t="shared" si="2233"/>
        <v>-5.3658536585365901E-2</v>
      </c>
      <c r="EK474" s="1169">
        <f t="shared" si="2233"/>
        <v>-3.0637254901960786E-2</v>
      </c>
      <c r="EL474" s="1169">
        <f t="shared" si="2233"/>
        <v>-1.8750000000000044E-2</v>
      </c>
      <c r="EM474" s="1169">
        <f t="shared" si="2233"/>
        <v>-2.3017902813299185E-2</v>
      </c>
      <c r="EN474" s="1169">
        <f t="shared" si="2233"/>
        <v>-3.1696706028589205E-2</v>
      </c>
      <c r="EO474" s="1169">
        <f t="shared" si="2233"/>
        <v>-1.9329896907216537E-2</v>
      </c>
      <c r="EP474" s="1169">
        <f t="shared" si="2233"/>
        <v>-2.0227560050568916E-2</v>
      </c>
      <c r="EQ474" s="1169">
        <f t="shared" si="2233"/>
        <v>2.5477707006369421E-3</v>
      </c>
      <c r="ER474" s="1169">
        <f t="shared" si="2233"/>
        <v>1.308900523560208E-2</v>
      </c>
      <c r="ES474" s="1169">
        <f t="shared" si="2233"/>
        <v>-6.0975609756097615E-3</v>
      </c>
      <c r="ET474" s="1169">
        <f t="shared" si="2233"/>
        <v>-3.195313964306945E-3</v>
      </c>
      <c r="EU474" s="1169">
        <f t="shared" si="2233"/>
        <v>2.6609513683162334E-4</v>
      </c>
      <c r="EV474" s="1169">
        <f t="shared" si="2233"/>
        <v>1.8771042392111692E-3</v>
      </c>
      <c r="EW474" s="1169">
        <f t="shared" si="2233"/>
        <v>1.2458126539221404E-2</v>
      </c>
      <c r="EX474" s="1169">
        <f t="shared" si="2233"/>
        <v>2.871960213698399E-3</v>
      </c>
      <c r="EY474" s="1169">
        <f t="shared" si="2234"/>
        <v>2.0174181461770635E-2</v>
      </c>
      <c r="EZ474" s="1169">
        <f t="shared" si="2235"/>
        <v>3.3252778840328956E-2</v>
      </c>
      <c r="FA474" s="1169">
        <f t="shared" si="2236"/>
        <v>3.9942870525039531E-2</v>
      </c>
      <c r="FB474" s="1169">
        <f t="shared" si="2237"/>
        <v>5.0636155938891925E-2</v>
      </c>
      <c r="FC474" s="1169">
        <f t="shared" si="2237"/>
        <v>3.6142873729981817E-2</v>
      </c>
      <c r="FD474" s="1169">
        <f t="shared" si="2238"/>
        <v>5.994198031296194E-2</v>
      </c>
      <c r="FE474" s="1169">
        <f t="shared" si="2239"/>
        <v>6.8484720626318829E-2</v>
      </c>
      <c r="FF474" s="1169">
        <f t="shared" si="2240"/>
        <v>7.2356432214377486E-2</v>
      </c>
      <c r="FG474" s="1169">
        <f t="shared" si="2241"/>
        <v>7.8011903940130356E-2</v>
      </c>
      <c r="FH474" s="1169">
        <f t="shared" si="2241"/>
        <v>6.9854345096843184E-2</v>
      </c>
      <c r="FI474" s="1169">
        <f t="shared" si="2242"/>
        <v>7.8051873875221833E-2</v>
      </c>
      <c r="FJ474" s="1169">
        <f t="shared" si="2242"/>
        <v>7.4431443681053588E-2</v>
      </c>
      <c r="FK474" s="1169">
        <f t="shared" si="2242"/>
        <v>6.7184101273549235E-2</v>
      </c>
      <c r="FL474" s="1169">
        <f t="shared" si="2242"/>
        <v>5.7777883490825133E-2</v>
      </c>
      <c r="FM474" s="1169">
        <f t="shared" si="2242"/>
        <v>4.8430273742467334E-2</v>
      </c>
    </row>
    <row r="475" spans="1:171" s="94" customFormat="1" x14ac:dyDescent="0.3">
      <c r="A475" s="73" t="s">
        <v>470</v>
      </c>
      <c r="DY475" s="141"/>
      <c r="ED475" s="141"/>
      <c r="EE475" s="1168">
        <f t="shared" si="2233"/>
        <v>-8.5871699906431842E-2</v>
      </c>
      <c r="EF475" s="1168">
        <f t="shared" si="2233"/>
        <v>-6.9093335708577341E-2</v>
      </c>
      <c r="EG475" s="1168">
        <f t="shared" si="2233"/>
        <v>-7.3407370359303781E-2</v>
      </c>
      <c r="EH475" s="1168">
        <f t="shared" si="2233"/>
        <v>-8.6436393926213717E-2</v>
      </c>
      <c r="EI475" s="1169">
        <f t="shared" si="2233"/>
        <v>-7.8744386651436793E-2</v>
      </c>
      <c r="EJ475" s="1168">
        <f t="shared" si="2233"/>
        <v>-3.6211739000777787E-2</v>
      </c>
      <c r="EK475" s="1168">
        <f t="shared" si="2233"/>
        <v>-3.1276834973003376E-2</v>
      </c>
      <c r="EL475" s="1168">
        <f t="shared" si="2233"/>
        <v>2.3458530317961301E-3</v>
      </c>
      <c r="EM475" s="1168">
        <f t="shared" si="2233"/>
        <v>2.0096618552722267E-2</v>
      </c>
      <c r="EN475" s="1169">
        <f t="shared" si="2233"/>
        <v>-1.1605804193601799E-2</v>
      </c>
      <c r="EO475" s="1168">
        <f t="shared" si="2233"/>
        <v>3.4328167999322368E-3</v>
      </c>
      <c r="EP475" s="1168">
        <f t="shared" si="2233"/>
        <v>5.7135686947538122E-3</v>
      </c>
      <c r="EQ475" s="1168">
        <f t="shared" si="2233"/>
        <v>-2.5178003724967479E-2</v>
      </c>
      <c r="ER475" s="1168">
        <f t="shared" si="2233"/>
        <v>-2.1668734005308776E-2</v>
      </c>
      <c r="ES475" s="1169">
        <f t="shared" si="2233"/>
        <v>-9.5469669360961351E-3</v>
      </c>
      <c r="ET475" s="1168">
        <f t="shared" si="2233"/>
        <v>4.5198320981348017E-2</v>
      </c>
      <c r="EU475" s="1168">
        <f t="shared" si="2233"/>
        <v>5.0450125574398319E-2</v>
      </c>
      <c r="EV475" s="1168">
        <f t="shared" si="2233"/>
        <v>5.9788559785739714E-2</v>
      </c>
      <c r="EW475" s="1168">
        <f t="shared" si="2233"/>
        <v>6.9634152114278702E-2</v>
      </c>
      <c r="EX475" s="1169">
        <f t="shared" si="2233"/>
        <v>5.6233584692669591E-2</v>
      </c>
      <c r="EY475" s="1168">
        <f t="shared" si="2234"/>
        <v>8.208756290352115E-2</v>
      </c>
      <c r="EZ475" s="1168">
        <f t="shared" si="2235"/>
        <v>8.9135384382483807E-2</v>
      </c>
      <c r="FA475" s="1168">
        <f t="shared" si="2236"/>
        <v>9.7272628738702682E-2</v>
      </c>
      <c r="FB475" s="1168">
        <f t="shared" si="2237"/>
        <v>0.1057735527883068</v>
      </c>
      <c r="FC475" s="1169">
        <f t="shared" si="2237"/>
        <v>9.3612165989801266E-2</v>
      </c>
      <c r="FD475" s="1168">
        <f t="shared" si="2238"/>
        <v>0.1158504331407757</v>
      </c>
      <c r="FE475" s="1168">
        <f t="shared" si="2239"/>
        <v>0.12025630332551374</v>
      </c>
      <c r="FF475" s="1168">
        <f t="shared" si="2240"/>
        <v>0.12547608418755574</v>
      </c>
      <c r="FG475" s="1168">
        <f t="shared" si="2241"/>
        <v>0.1297804182963318</v>
      </c>
      <c r="FH475" s="1169">
        <f t="shared" si="2241"/>
        <v>0.12290876213596458</v>
      </c>
      <c r="FI475" s="1168">
        <f t="shared" si="2242"/>
        <v>0.13608492561878394</v>
      </c>
      <c r="FJ475" s="1168">
        <f t="shared" si="2242"/>
        <v>0.13165947172556991</v>
      </c>
      <c r="FK475" s="1168">
        <f t="shared" si="2242"/>
        <v>0.1273936837607399</v>
      </c>
      <c r="FL475" s="1168">
        <f t="shared" si="2242"/>
        <v>0.12371852043934983</v>
      </c>
      <c r="FM475" s="1168">
        <f t="shared" si="2242"/>
        <v>0.12061159004663802</v>
      </c>
    </row>
    <row r="476" spans="1:171" s="94" customFormat="1" x14ac:dyDescent="0.3">
      <c r="A476" s="73" t="s">
        <v>471</v>
      </c>
      <c r="DY476" s="141"/>
      <c r="ED476" s="141"/>
      <c r="EE476" s="1168">
        <f t="shared" si="2233"/>
        <v>-8.4378010756468225E-2</v>
      </c>
      <c r="EF476" s="1168">
        <f t="shared" si="2233"/>
        <v>-8.5396221042413401E-2</v>
      </c>
      <c r="EG476" s="1168">
        <f t="shared" si="2233"/>
        <v>-6.1171935600311755E-2</v>
      </c>
      <c r="EH476" s="1168">
        <f t="shared" si="2233"/>
        <v>-5.562917961517988E-2</v>
      </c>
      <c r="EI476" s="1169">
        <f t="shared" si="2233"/>
        <v>-7.2056059278210016E-2</v>
      </c>
      <c r="EJ476" s="1168">
        <f t="shared" si="2233"/>
        <v>-7.1582387541986203E-2</v>
      </c>
      <c r="EK476" s="1168">
        <f t="shared" si="2233"/>
        <v>-7.0801117714063833E-2</v>
      </c>
      <c r="EL476" s="1168">
        <f t="shared" si="2233"/>
        <v>-8.2387620931313799E-2</v>
      </c>
      <c r="EM476" s="1168">
        <f t="shared" si="2233"/>
        <v>-3.1076794597349577E-2</v>
      </c>
      <c r="EN476" s="1169">
        <f t="shared" si="2233"/>
        <v>-6.423140645722536E-2</v>
      </c>
      <c r="EO476" s="1168">
        <f t="shared" si="2233"/>
        <v>-1.517415885036022E-2</v>
      </c>
      <c r="EP476" s="1168">
        <f t="shared" si="2233"/>
        <v>2.8075131483797922E-3</v>
      </c>
      <c r="EQ476" s="1168">
        <f t="shared" si="2233"/>
        <v>-9.4408417365753339E-3</v>
      </c>
      <c r="ER476" s="1168">
        <f t="shared" si="2233"/>
        <v>-3.7912003458027144E-2</v>
      </c>
      <c r="ES476" s="1169">
        <f t="shared" si="2233"/>
        <v>-1.5021632359066506E-2</v>
      </c>
      <c r="ET476" s="1168">
        <f t="shared" si="2233"/>
        <v>-9.7937785478577899E-3</v>
      </c>
      <c r="EU476" s="1168">
        <f t="shared" si="2233"/>
        <v>-9.3371340516594792E-3</v>
      </c>
      <c r="EV476" s="1168">
        <f t="shared" si="2233"/>
        <v>-8.863700084288606E-3</v>
      </c>
      <c r="EW476" s="1168">
        <f t="shared" si="2233"/>
        <v>-9.4285790956301074E-3</v>
      </c>
      <c r="EX476" s="1169">
        <f t="shared" si="2233"/>
        <v>-9.3598029933398275E-3</v>
      </c>
      <c r="EY476" s="1168">
        <f t="shared" si="2234"/>
        <v>-7.1607812996290487E-3</v>
      </c>
      <c r="EZ476" s="1168">
        <f t="shared" si="2235"/>
        <v>-6.7352009618429909E-3</v>
      </c>
      <c r="FA476" s="1168">
        <f t="shared" si="2236"/>
        <v>-6.2943873366970715E-3</v>
      </c>
      <c r="FB476" s="1168">
        <f t="shared" si="2237"/>
        <v>-6.8203938530339014E-3</v>
      </c>
      <c r="FC476" s="1169">
        <f t="shared" si="2237"/>
        <v>-6.7563185481057664E-3</v>
      </c>
      <c r="FD476" s="1168">
        <f t="shared" si="2238"/>
        <v>-3.6916636064976416E-3</v>
      </c>
      <c r="FE476" s="1168">
        <f t="shared" si="2239"/>
        <v>-3.3289406217582584E-3</v>
      </c>
      <c r="FF476" s="1168">
        <f t="shared" si="2240"/>
        <v>-2.953561846889774E-3</v>
      </c>
      <c r="FG476" s="1168">
        <f t="shared" si="2241"/>
        <v>-3.4015258103597956E-3</v>
      </c>
      <c r="FH476" s="1169">
        <f t="shared" si="2241"/>
        <v>-3.3469318540784165E-3</v>
      </c>
      <c r="FI476" s="1168">
        <f t="shared" si="2242"/>
        <v>-9.3194235886628896E-4</v>
      </c>
      <c r="FJ476" s="1168">
        <f t="shared" si="2242"/>
        <v>-3.8827921311435087E-4</v>
      </c>
      <c r="FK476" s="1168">
        <f t="shared" si="2242"/>
        <v>1.627060465980712E-5</v>
      </c>
      <c r="FL476" s="1168">
        <f t="shared" si="2242"/>
        <v>3.1126461100638991E-4</v>
      </c>
      <c r="FM476" s="1168">
        <f t="shared" si="2242"/>
        <v>5.2053272729457589E-4</v>
      </c>
    </row>
    <row r="477" spans="1:171" s="94" customFormat="1" x14ac:dyDescent="0.3">
      <c r="A477" s="73" t="s">
        <v>472</v>
      </c>
      <c r="DY477" s="141"/>
      <c r="ED477" s="141"/>
      <c r="EE477" s="1169">
        <f t="shared" si="2233"/>
        <v>-8.4507042253521125E-2</v>
      </c>
      <c r="EF477" s="1169">
        <f t="shared" si="2233"/>
        <v>-8.3989501312336068E-2</v>
      </c>
      <c r="EG477" s="1169">
        <f t="shared" si="2233"/>
        <v>-6.224627875507438E-2</v>
      </c>
      <c r="EH477" s="1169">
        <f t="shared" si="2233"/>
        <v>-5.841446453407495E-2</v>
      </c>
      <c r="EI477" s="1169">
        <f t="shared" si="2233"/>
        <v>-7.2642452515828015E-2</v>
      </c>
      <c r="EJ477" s="1169">
        <f t="shared" si="2233"/>
        <v>-6.853146853146852E-2</v>
      </c>
      <c r="EK477" s="1169">
        <f t="shared" si="2233"/>
        <v>-6.7335243553008794E-2</v>
      </c>
      <c r="EL477" s="1169">
        <f t="shared" si="2233"/>
        <v>-7.5036075036075012E-2</v>
      </c>
      <c r="EM477" s="1169">
        <f t="shared" si="2233"/>
        <v>-2.6587887740029736E-2</v>
      </c>
      <c r="EN477" s="1169">
        <f t="shared" si="2233"/>
        <v>-5.964786201940353E-2</v>
      </c>
      <c r="EO477" s="1169">
        <f t="shared" si="2233"/>
        <v>-1.3513513513513487E-2</v>
      </c>
      <c r="EP477" s="1169">
        <f t="shared" si="2233"/>
        <v>3.0721966205840001E-3</v>
      </c>
      <c r="EQ477" s="1169">
        <f t="shared" si="2233"/>
        <v>-1.0920436817472678E-2</v>
      </c>
      <c r="ER477" s="1169">
        <f t="shared" si="2233"/>
        <v>-3.6418816388467334E-2</v>
      </c>
      <c r="ES477" s="1169">
        <f t="shared" si="2233"/>
        <v>-1.4520443255636173E-2</v>
      </c>
      <c r="ET477" s="1169">
        <f t="shared" si="2233"/>
        <v>-4.8015028435697271E-3</v>
      </c>
      <c r="EU477" s="1169">
        <f t="shared" si="2233"/>
        <v>-3.877372489546782E-3</v>
      </c>
      <c r="EV477" s="1169">
        <f t="shared" si="2233"/>
        <v>-2.5021142224574966E-3</v>
      </c>
      <c r="EW477" s="1169">
        <f t="shared" si="2233"/>
        <v>-2.0493633648199783E-3</v>
      </c>
      <c r="EX477" s="1169">
        <f t="shared" si="2233"/>
        <v>-3.3246210770058182E-3</v>
      </c>
      <c r="EY477" s="1169">
        <f t="shared" si="2234"/>
        <v>1.3483930123772137E-3</v>
      </c>
      <c r="EZ477" s="1169">
        <f t="shared" si="2235"/>
        <v>2.4971656071612891E-3</v>
      </c>
      <c r="FA477" s="1169">
        <f t="shared" si="2236"/>
        <v>3.9018341866525752E-3</v>
      </c>
      <c r="FB477" s="1169">
        <f t="shared" si="2237"/>
        <v>4.4432688785014385E-3</v>
      </c>
      <c r="FC477" s="1169">
        <f t="shared" si="2237"/>
        <v>3.0303282172279289E-3</v>
      </c>
      <c r="FD477" s="1169">
        <f t="shared" si="2238"/>
        <v>8.624779983559705E-3</v>
      </c>
      <c r="FE477" s="1169">
        <f t="shared" si="2239"/>
        <v>9.600894722043174E-3</v>
      </c>
      <c r="FF477" s="1169">
        <f t="shared" si="2240"/>
        <v>1.0866385311244287E-2</v>
      </c>
      <c r="FG477" s="1169">
        <f t="shared" si="2241"/>
        <v>1.1265792986419942E-2</v>
      </c>
      <c r="FH477" s="1169">
        <f t="shared" si="2241"/>
        <v>1.0075672471296482E-2</v>
      </c>
      <c r="FI477" s="1169">
        <f t="shared" si="2242"/>
        <v>1.5261918745481218E-2</v>
      </c>
      <c r="FJ477" s="1169">
        <f t="shared" si="2242"/>
        <v>1.7075574443923491E-2</v>
      </c>
      <c r="FK477" s="1169">
        <f t="shared" si="2242"/>
        <v>1.8760346654742355E-2</v>
      </c>
      <c r="FL477" s="1169">
        <f t="shared" si="2242"/>
        <v>2.0407553854461913E-2</v>
      </c>
      <c r="FM477" s="1169">
        <f t="shared" si="2242"/>
        <v>2.2056764675364438E-2</v>
      </c>
    </row>
    <row r="478" spans="1:171" s="141" customFormat="1" x14ac:dyDescent="0.3">
      <c r="A478" s="1108" t="s">
        <v>473</v>
      </c>
      <c r="EE478" s="1169">
        <f t="shared" si="2233"/>
        <v>-7.585791691751953E-2</v>
      </c>
      <c r="EF478" s="1169">
        <f t="shared" si="2233"/>
        <v>-6.6008636644046881E-2</v>
      </c>
      <c r="EG478" s="1169">
        <f t="shared" si="2233"/>
        <v>-5.3865652724968349E-2</v>
      </c>
      <c r="EH478" s="1169">
        <f t="shared" si="2233"/>
        <v>-6.2941554271034095E-2</v>
      </c>
      <c r="EI478" s="1169">
        <f t="shared" si="2233"/>
        <v>-6.482780115318687E-2</v>
      </c>
      <c r="EJ478" s="1169">
        <f t="shared" si="2233"/>
        <v>-6.0586319218241091E-2</v>
      </c>
      <c r="EK478" s="1169">
        <f t="shared" si="2233"/>
        <v>-4.7556142668428003E-2</v>
      </c>
      <c r="EL478" s="1169">
        <f t="shared" si="2233"/>
        <v>-4.4876088412592052E-2</v>
      </c>
      <c r="EM478" s="1169">
        <f t="shared" si="2233"/>
        <v>-2.4674434544208368E-2</v>
      </c>
      <c r="EN478" s="1169">
        <f t="shared" si="2233"/>
        <v>-4.4659223462756192E-2</v>
      </c>
      <c r="EO478" s="1169">
        <f t="shared" si="2233"/>
        <v>-1.6643550624133141E-2</v>
      </c>
      <c r="EP478" s="1169">
        <f t="shared" si="2233"/>
        <v>-9.7087378640776656E-3</v>
      </c>
      <c r="EQ478" s="1169">
        <f t="shared" si="2233"/>
        <v>-3.5063113604487661E-3</v>
      </c>
      <c r="ER478" s="1169">
        <f t="shared" si="2233"/>
        <v>-9.8383696416022293E-3</v>
      </c>
      <c r="ES478" s="1169">
        <f t="shared" si="2233"/>
        <v>-9.9424385138671134E-3</v>
      </c>
      <c r="ET478" s="1169">
        <f t="shared" si="2233"/>
        <v>-3.9395072602700365E-3</v>
      </c>
      <c r="EU478" s="1169">
        <f t="shared" si="2233"/>
        <v>-1.6286418099645816E-3</v>
      </c>
      <c r="EV478" s="1169">
        <f t="shared" si="2233"/>
        <v>-7.6748332708653777E-5</v>
      </c>
      <c r="EW478" s="1169">
        <f t="shared" si="2233"/>
        <v>5.9199745952422944E-3</v>
      </c>
      <c r="EX478" s="1169">
        <f t="shared" si="2233"/>
        <v>5.6424070511873481E-5</v>
      </c>
      <c r="EY478" s="1169">
        <f t="shared" si="2234"/>
        <v>1.1459203172548227E-2</v>
      </c>
      <c r="EZ478" s="1169">
        <f t="shared" si="2235"/>
        <v>1.9220440201825451E-2</v>
      </c>
      <c r="FA478" s="1169">
        <f t="shared" si="2236"/>
        <v>2.3901636793203229E-2</v>
      </c>
      <c r="FB478" s="1169">
        <f t="shared" si="2237"/>
        <v>2.9983140663708108E-2</v>
      </c>
      <c r="FC478" s="1169">
        <f t="shared" si="2237"/>
        <v>2.1148416507696499E-2</v>
      </c>
      <c r="FD478" s="1169">
        <f t="shared" si="2238"/>
        <v>3.6423301280997356E-2</v>
      </c>
      <c r="FE478" s="1169">
        <f t="shared" si="2239"/>
        <v>4.205961604866193E-2</v>
      </c>
      <c r="FF478" s="1169">
        <f t="shared" si="2240"/>
        <v>4.5522869925932019E-2</v>
      </c>
      <c r="FG478" s="1169">
        <f t="shared" si="2241"/>
        <v>4.890944919817275E-2</v>
      </c>
      <c r="FH478" s="1169">
        <f t="shared" si="2241"/>
        <v>4.3264877269445279E-2</v>
      </c>
      <c r="FI478" s="1169">
        <f t="shared" si="2242"/>
        <v>5.1011488593213805E-2</v>
      </c>
      <c r="FJ478" s="1169">
        <f t="shared" si="2242"/>
        <v>5.0571401788267911E-2</v>
      </c>
      <c r="FK478" s="1169">
        <f t="shared" si="2242"/>
        <v>4.768208806316121E-2</v>
      </c>
      <c r="FL478" s="1169">
        <f t="shared" si="2242"/>
        <v>4.3142960943154618E-2</v>
      </c>
      <c r="FM478" s="1169">
        <f t="shared" si="2242"/>
        <v>3.8327020230539022E-2</v>
      </c>
    </row>
    <row r="479" spans="1:171" s="94" customFormat="1" x14ac:dyDescent="0.3">
      <c r="A479" s="73" t="s">
        <v>474</v>
      </c>
      <c r="DY479" s="141"/>
      <c r="ED479" s="141"/>
      <c r="EE479" s="1169">
        <f t="shared" si="2233"/>
        <v>9.375E-2</v>
      </c>
      <c r="EF479" s="1169">
        <f t="shared" si="2233"/>
        <v>-0.22556390977443608</v>
      </c>
      <c r="EG479" s="1169">
        <f t="shared" si="2233"/>
        <v>-0.44295302013422821</v>
      </c>
      <c r="EH479" s="1169">
        <f t="shared" si="2233"/>
        <v>-0.39568345323741005</v>
      </c>
      <c r="EI479" s="1169">
        <f t="shared" si="2233"/>
        <v>-0.25318761384335153</v>
      </c>
      <c r="EJ479" s="1169">
        <f t="shared" si="2233"/>
        <v>-0.9642857142857143</v>
      </c>
      <c r="EK479" s="1169">
        <f t="shared" si="2233"/>
        <v>-0.83495145631067957</v>
      </c>
      <c r="EL479" s="1169">
        <f t="shared" si="2233"/>
        <v>-0.7831325301204819</v>
      </c>
      <c r="EM479" s="1169">
        <f t="shared" si="2233"/>
        <v>-0.83333333333333337</v>
      </c>
      <c r="EN479" s="1169">
        <f t="shared" si="2233"/>
        <v>-0.86829268292682926</v>
      </c>
      <c r="EO479" s="1169">
        <f t="shared" si="2233"/>
        <v>3.4000000000000004</v>
      </c>
      <c r="EP479" s="1169">
        <f t="shared" si="2233"/>
        <v>0.23529411764705888</v>
      </c>
      <c r="EQ479" s="1169">
        <f t="shared" si="2233"/>
        <v>-0.16666666666666663</v>
      </c>
      <c r="ER479" s="1169">
        <f t="shared" si="2233"/>
        <v>0.21428571428571419</v>
      </c>
      <c r="ES479" s="1169">
        <f t="shared" si="2233"/>
        <v>0.38888888888888884</v>
      </c>
      <c r="ET479" s="1169">
        <f t="shared" si="2233"/>
        <v>-9.0909090909090939E-2</v>
      </c>
      <c r="EU479" s="1169">
        <f t="shared" si="2233"/>
        <v>-4.7619047619047672E-2</v>
      </c>
      <c r="EV479" s="1169">
        <f t="shared" si="2233"/>
        <v>0.33333333333333326</v>
      </c>
      <c r="EW479" s="1169">
        <f t="shared" si="2233"/>
        <v>0.17647058823529416</v>
      </c>
      <c r="EX479" s="1169">
        <f t="shared" si="2233"/>
        <v>6.6666666666666652E-2</v>
      </c>
      <c r="EY479" s="1169">
        <f t="shared" si="2234"/>
        <v>0</v>
      </c>
      <c r="EZ479" s="1169">
        <f t="shared" si="2235"/>
        <v>0</v>
      </c>
      <c r="FA479" s="1169">
        <f t="shared" si="2236"/>
        <v>0</v>
      </c>
      <c r="FB479" s="1169">
        <f t="shared" si="2237"/>
        <v>0</v>
      </c>
      <c r="FC479" s="1169">
        <f t="shared" si="2237"/>
        <v>0</v>
      </c>
      <c r="FD479" s="1169">
        <f t="shared" si="2238"/>
        <v>0</v>
      </c>
      <c r="FE479" s="1169">
        <f t="shared" si="2239"/>
        <v>0</v>
      </c>
      <c r="FF479" s="1169">
        <f t="shared" si="2240"/>
        <v>0</v>
      </c>
      <c r="FG479" s="1169">
        <f t="shared" si="2241"/>
        <v>0</v>
      </c>
      <c r="FH479" s="1169">
        <f t="shared" si="2241"/>
        <v>0</v>
      </c>
      <c r="FI479" s="1169">
        <f t="shared" si="2242"/>
        <v>0</v>
      </c>
      <c r="FJ479" s="1169">
        <f t="shared" si="2242"/>
        <v>0</v>
      </c>
      <c r="FK479" s="1169">
        <f t="shared" si="2242"/>
        <v>0</v>
      </c>
      <c r="FL479" s="1169">
        <f t="shared" si="2242"/>
        <v>0</v>
      </c>
      <c r="FM479" s="1169">
        <f t="shared" si="2242"/>
        <v>0</v>
      </c>
    </row>
    <row r="480" spans="1:171" s="141" customFormat="1" x14ac:dyDescent="0.3">
      <c r="A480" s="1108" t="s">
        <v>475</v>
      </c>
      <c r="EE480" s="1169">
        <f t="shared" si="2233"/>
        <v>-6.3722750139742823E-2</v>
      </c>
      <c r="EF480" s="1169">
        <f t="shared" si="2233"/>
        <v>-7.8107183580387707E-2</v>
      </c>
      <c r="EG480" s="1169">
        <f t="shared" si="2233"/>
        <v>-8.7434858135495119E-2</v>
      </c>
      <c r="EH480" s="1169">
        <f t="shared" si="2233"/>
        <v>-9.0212264150943411E-2</v>
      </c>
      <c r="EI480" s="1169">
        <f t="shared" si="2233"/>
        <v>-7.9672695951765737E-2</v>
      </c>
      <c r="EJ480" s="1169">
        <f t="shared" si="2233"/>
        <v>-0.13611940298507463</v>
      </c>
      <c r="EK480" s="1169">
        <f t="shared" si="2233"/>
        <v>-9.7711811997526321E-2</v>
      </c>
      <c r="EL480" s="1169">
        <f t="shared" si="2233"/>
        <v>-8.3756345177664948E-2</v>
      </c>
      <c r="EM480" s="1169">
        <f t="shared" si="2233"/>
        <v>-6.8697342838626052E-2</v>
      </c>
      <c r="EN480" s="1169">
        <f t="shared" si="2233"/>
        <v>-9.7332709405708928E-2</v>
      </c>
      <c r="EO480" s="1169">
        <f t="shared" si="2233"/>
        <v>-4.8375950241880128E-3</v>
      </c>
      <c r="EP480" s="1169">
        <f t="shared" si="2233"/>
        <v>-6.8540095956134417E-3</v>
      </c>
      <c r="EQ480" s="1169">
        <f t="shared" si="2233"/>
        <v>-5.5401662049860967E-3</v>
      </c>
      <c r="ER480" s="1169">
        <f t="shared" si="2233"/>
        <v>-7.6548364648573175E-3</v>
      </c>
      <c r="ES480" s="1169">
        <f t="shared" si="2233"/>
        <v>-6.2208398133748455E-3</v>
      </c>
      <c r="ET480" s="1169">
        <f t="shared" si="2233"/>
        <v>-5.2682092326825636E-3</v>
      </c>
      <c r="EU480" s="1169">
        <f t="shared" si="2233"/>
        <v>-2.2951694303859904E-3</v>
      </c>
      <c r="EV480" s="1169">
        <f t="shared" si="2233"/>
        <v>3.4059475064214251E-3</v>
      </c>
      <c r="EW480" s="1169">
        <f t="shared" si="2233"/>
        <v>7.9531866793103312E-3</v>
      </c>
      <c r="EX480" s="1169">
        <f t="shared" si="2233"/>
        <v>9.2510224730069091E-4</v>
      </c>
      <c r="EY480" s="1169">
        <f t="shared" si="2234"/>
        <v>1.1299204667327034E-2</v>
      </c>
      <c r="EZ480" s="1169">
        <f t="shared" si="2235"/>
        <v>1.8954537429554552E-2</v>
      </c>
      <c r="FA480" s="1169">
        <f t="shared" si="2236"/>
        <v>2.3569874879523001E-2</v>
      </c>
      <c r="FB480" s="1169">
        <f t="shared" si="2237"/>
        <v>2.9565937848655022E-2</v>
      </c>
      <c r="FC480" s="1169">
        <f t="shared" si="2237"/>
        <v>2.0854500734544645E-2</v>
      </c>
      <c r="FD480" s="1169">
        <f t="shared" si="2238"/>
        <v>3.5920425006552348E-2</v>
      </c>
      <c r="FE480" s="1169">
        <f t="shared" si="2239"/>
        <v>4.1488571445455591E-2</v>
      </c>
      <c r="FF480" s="1169">
        <f t="shared" si="2240"/>
        <v>4.4905548965632702E-2</v>
      </c>
      <c r="FG480" s="1169">
        <f t="shared" si="2241"/>
        <v>4.824843815672275E-2</v>
      </c>
      <c r="FH480" s="1169">
        <f t="shared" si="2241"/>
        <v>4.2675875409013297E-2</v>
      </c>
      <c r="FI480" s="1169">
        <f t="shared" si="2242"/>
        <v>5.0345449283137889E-2</v>
      </c>
      <c r="FJ480" s="1169">
        <f t="shared" si="2242"/>
        <v>4.9942757898026269E-2</v>
      </c>
      <c r="FK480" s="1169">
        <f t="shared" si="2242"/>
        <v>4.7117555041907622E-2</v>
      </c>
      <c r="FL480" s="1169">
        <f t="shared" si="2242"/>
        <v>4.2655153309896887E-2</v>
      </c>
      <c r="FM480" s="1169">
        <f t="shared" si="2242"/>
        <v>3.7911393944982885E-2</v>
      </c>
    </row>
    <row r="481" spans="1:181" x14ac:dyDescent="0.3">
      <c r="ET481" s="90"/>
      <c r="EU481" s="90"/>
      <c r="EV481" s="90"/>
      <c r="EW481" s="90"/>
      <c r="EY481" s="90"/>
      <c r="EZ481" s="90"/>
      <c r="FA481" s="90"/>
      <c r="FB481" s="90"/>
      <c r="FD481" s="90"/>
      <c r="FE481" s="90"/>
      <c r="FF481" s="90"/>
      <c r="FG481" s="90"/>
    </row>
    <row r="482" spans="1:181" ht="12.75" customHeight="1" x14ac:dyDescent="0.3">
      <c r="A482" s="105" t="s">
        <v>476</v>
      </c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  <c r="AE482" s="106"/>
      <c r="AF482" s="106"/>
      <c r="AG482" s="106"/>
      <c r="AH482" s="106"/>
      <c r="AI482" s="106"/>
      <c r="AJ482" s="106"/>
      <c r="AK482" s="106"/>
      <c r="AL482" s="106"/>
      <c r="AM482" s="106"/>
      <c r="AN482" s="106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5"/>
      <c r="BM482" s="105"/>
      <c r="BN482" s="105"/>
      <c r="BO482" s="105"/>
      <c r="BP482" s="105"/>
      <c r="BQ482" s="105"/>
      <c r="BR482" s="106"/>
      <c r="BS482" s="106"/>
      <c r="BT482" s="106"/>
      <c r="BU482" s="106"/>
      <c r="BV482" s="105"/>
      <c r="BW482" s="106"/>
      <c r="BX482" s="106"/>
      <c r="BY482" s="106"/>
      <c r="BZ482" s="106"/>
      <c r="CA482" s="105"/>
      <c r="CB482" s="106"/>
      <c r="CC482" s="106"/>
      <c r="CD482" s="106"/>
      <c r="CE482" s="106"/>
      <c r="CF482" s="105"/>
      <c r="CG482" s="106"/>
      <c r="CH482" s="106"/>
      <c r="CI482" s="106"/>
      <c r="CJ482" s="106"/>
      <c r="CK482" s="105"/>
      <c r="CL482" s="106"/>
      <c r="CM482" s="106"/>
      <c r="CN482" s="106"/>
      <c r="CO482" s="106"/>
      <c r="CP482" s="105"/>
      <c r="CQ482" s="106"/>
      <c r="CR482" s="106"/>
      <c r="CS482" s="106"/>
      <c r="CT482" s="106"/>
      <c r="CU482" s="106"/>
      <c r="CV482" s="106"/>
      <c r="CW482" s="106"/>
      <c r="CX482" s="106"/>
      <c r="CY482" s="106"/>
      <c r="CZ482" s="106"/>
      <c r="DA482" s="106"/>
      <c r="DB482" s="106"/>
      <c r="DC482" s="106"/>
      <c r="DD482" s="106"/>
      <c r="DE482" s="106"/>
      <c r="DF482" s="106"/>
      <c r="DG482" s="106"/>
      <c r="DH482" s="106"/>
      <c r="DI482" s="106"/>
      <c r="DJ482" s="106"/>
      <c r="DK482" s="106"/>
      <c r="DL482" s="106"/>
      <c r="DM482" s="106"/>
      <c r="DN482" s="106"/>
      <c r="DO482" s="106"/>
      <c r="DP482" s="106"/>
      <c r="DQ482" s="106"/>
      <c r="DR482" s="106"/>
      <c r="DS482" s="106"/>
      <c r="DT482" s="106"/>
      <c r="DU482" s="107"/>
      <c r="DV482" s="107"/>
      <c r="DW482" s="107"/>
      <c r="DX482" s="107"/>
      <c r="DY482" s="1205"/>
      <c r="DZ482" s="107"/>
      <c r="EA482" s="107"/>
      <c r="EB482" s="107"/>
      <c r="EC482" s="107"/>
      <c r="ED482" s="1205"/>
      <c r="EE482" s="107"/>
      <c r="EF482" s="107"/>
      <c r="EG482" s="107"/>
      <c r="EH482" s="107"/>
      <c r="EI482" s="1205"/>
      <c r="EJ482" s="107"/>
      <c r="EK482" s="107"/>
      <c r="EL482" s="107"/>
      <c r="EM482" s="107"/>
      <c r="EN482" s="105"/>
      <c r="EO482" s="105"/>
      <c r="EP482" s="105"/>
      <c r="EQ482" s="105"/>
      <c r="ER482" s="105"/>
      <c r="ES482" s="106"/>
      <c r="ET482" s="105"/>
      <c r="EU482" s="105"/>
      <c r="EV482" s="105"/>
      <c r="EW482" s="105"/>
      <c r="EX482" s="106"/>
      <c r="EY482" s="105"/>
      <c r="EZ482" s="105"/>
      <c r="FA482" s="105"/>
      <c r="FB482" s="105"/>
      <c r="FC482" s="106"/>
      <c r="FD482" s="105"/>
      <c r="FE482" s="105"/>
      <c r="FF482" s="105"/>
      <c r="FG482" s="105"/>
      <c r="FH482" s="106"/>
      <c r="FI482" s="106"/>
      <c r="FJ482" s="106"/>
      <c r="FK482" s="106"/>
      <c r="FL482" s="106"/>
      <c r="FM482" s="106"/>
      <c r="FN482" s="106"/>
      <c r="FO482" s="106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</row>
    <row r="483" spans="1:181" ht="12.75" customHeight="1" x14ac:dyDescent="0.3">
      <c r="A483" s="110" t="s">
        <v>477</v>
      </c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3"/>
      <c r="AK483" s="193"/>
      <c r="AL483" s="193"/>
      <c r="AM483" s="193"/>
      <c r="AN483" s="193"/>
      <c r="AO483" s="193"/>
      <c r="AP483" s="193"/>
      <c r="AQ483" s="193"/>
      <c r="AR483" s="193"/>
      <c r="AS483" s="193"/>
      <c r="AT483" s="193"/>
      <c r="AU483" s="193"/>
      <c r="AV483" s="193"/>
      <c r="AW483" s="193"/>
      <c r="AX483" s="193"/>
      <c r="AY483" s="193"/>
      <c r="AZ483" s="193"/>
      <c r="BA483" s="193"/>
      <c r="BB483" s="193"/>
      <c r="BC483" s="193"/>
      <c r="BD483" s="193"/>
      <c r="BE483" s="193"/>
      <c r="BF483" s="193"/>
      <c r="BG483" s="193"/>
      <c r="BH483" s="193"/>
      <c r="BI483" s="193"/>
      <c r="BJ483" s="193"/>
      <c r="BK483" s="193"/>
      <c r="BL483" s="192"/>
      <c r="BM483" s="192"/>
      <c r="BN483" s="192"/>
      <c r="BO483" s="192"/>
      <c r="BP483" s="192"/>
      <c r="BQ483" s="192"/>
      <c r="BR483" s="193"/>
      <c r="BS483" s="193"/>
      <c r="BT483" s="193"/>
      <c r="BU483" s="193"/>
      <c r="BV483" s="192"/>
      <c r="BW483" s="193"/>
      <c r="BX483" s="193"/>
      <c r="BY483" s="193"/>
      <c r="BZ483" s="193"/>
      <c r="CA483" s="192"/>
      <c r="CB483" s="193"/>
      <c r="CC483" s="193"/>
      <c r="CD483" s="193"/>
      <c r="CE483" s="193"/>
      <c r="CF483" s="192"/>
      <c r="CG483" s="193"/>
      <c r="CH483" s="193"/>
      <c r="CI483" s="193"/>
      <c r="CJ483" s="193"/>
      <c r="CK483" s="192"/>
      <c r="CL483" s="193"/>
      <c r="CM483" s="193"/>
      <c r="CN483" s="193"/>
      <c r="CO483" s="193"/>
      <c r="CP483" s="192"/>
      <c r="CQ483" s="193"/>
      <c r="CR483" s="193"/>
      <c r="CS483" s="193"/>
      <c r="CT483" s="193"/>
      <c r="CU483" s="193"/>
      <c r="CV483" s="193"/>
      <c r="CW483" s="193"/>
      <c r="CX483" s="193"/>
      <c r="CY483" s="193"/>
      <c r="CZ483" s="193"/>
      <c r="DA483" s="193"/>
      <c r="DB483" s="193"/>
      <c r="DC483" s="193"/>
      <c r="DD483" s="193"/>
      <c r="DE483" s="193"/>
      <c r="DF483" s="193"/>
      <c r="DG483" s="193"/>
      <c r="DH483" s="193"/>
      <c r="DI483" s="193"/>
      <c r="DJ483" s="193"/>
      <c r="DK483" s="193"/>
      <c r="DL483" s="193"/>
      <c r="DM483" s="193"/>
      <c r="DN483" s="193"/>
      <c r="DO483" s="193"/>
      <c r="DP483" s="193"/>
      <c r="DQ483" s="193"/>
      <c r="DR483" s="193"/>
      <c r="DS483" s="193"/>
      <c r="DT483" s="193"/>
      <c r="DU483" s="76"/>
      <c r="DV483" s="76"/>
      <c r="DW483" s="76"/>
      <c r="DX483" s="76"/>
      <c r="DY483" s="475"/>
      <c r="DZ483" s="79">
        <f>Inputs!DZ140</f>
        <v>170</v>
      </c>
      <c r="EA483" s="79">
        <f>Inputs!EA140</f>
        <v>155</v>
      </c>
      <c r="EB483" s="79">
        <f>Inputs!EB140</f>
        <v>136</v>
      </c>
      <c r="EC483" s="79">
        <f>Inputs!EC140</f>
        <v>116</v>
      </c>
      <c r="ED483" s="85">
        <f>+SUM(DZ483:EC483)</f>
        <v>577</v>
      </c>
      <c r="EE483" s="79">
        <f>Inputs!EE140</f>
        <v>111</v>
      </c>
      <c r="EF483" s="79">
        <f>Inputs!EF140</f>
        <v>108</v>
      </c>
      <c r="EG483" s="79">
        <f>Inputs!EG140</f>
        <v>95</v>
      </c>
      <c r="EH483" s="79">
        <f>Inputs!EH140</f>
        <v>93</v>
      </c>
      <c r="EI483" s="85">
        <f>+SUM(EE483:EH483)</f>
        <v>407</v>
      </c>
      <c r="EJ483" s="79">
        <f>Inputs!EJ140</f>
        <v>92</v>
      </c>
      <c r="EK483" s="79">
        <f>Inputs!EK140</f>
        <v>87</v>
      </c>
      <c r="EL483" s="79">
        <f>Inputs!EL140</f>
        <v>81</v>
      </c>
      <c r="EM483" s="79">
        <f>Inputs!EM140</f>
        <v>76</v>
      </c>
      <c r="EN483" s="85">
        <f>+SUM(EJ483:EM483)</f>
        <v>336</v>
      </c>
      <c r="EO483" s="79">
        <f>Inputs!EO140</f>
        <v>76</v>
      </c>
      <c r="EP483" s="79">
        <f>Inputs!EP140</f>
        <v>71</v>
      </c>
      <c r="EQ483" s="79">
        <f>Inputs!EQ140</f>
        <v>65</v>
      </c>
      <c r="ER483" s="79">
        <f>Inputs!ER140</f>
        <v>61</v>
      </c>
      <c r="ES483" s="85">
        <f>+SUM(EO483:ER483)</f>
        <v>273</v>
      </c>
      <c r="ET483" s="76">
        <f t="shared" ref="ET483:EW483" si="2243">ET217+ET355</f>
        <v>60.570635382412505</v>
      </c>
      <c r="EU483" s="76">
        <f t="shared" si="2243"/>
        <v>56.889781503646581</v>
      </c>
      <c r="EV483" s="76">
        <f t="shared" si="2243"/>
        <v>52.578188131660681</v>
      </c>
      <c r="EW483" s="76">
        <f t="shared" si="2243"/>
        <v>49.382564952452341</v>
      </c>
      <c r="EX483" s="85">
        <f>+SUM(ET483:EW483)</f>
        <v>219.42116997017212</v>
      </c>
      <c r="EY483" s="76">
        <f t="shared" ref="EY483:FB483" si="2244">EY217+EY355</f>
        <v>48.894808511109211</v>
      </c>
      <c r="EZ483" s="76">
        <f t="shared" si="2244"/>
        <v>46.073557115968029</v>
      </c>
      <c r="FA483" s="76">
        <f t="shared" si="2244"/>
        <v>42.692931363762625</v>
      </c>
      <c r="FB483" s="76">
        <f t="shared" si="2244"/>
        <v>40.162096425115593</v>
      </c>
      <c r="FC483" s="85">
        <f>+SUM(EY483:FB483)</f>
        <v>177.82339341595548</v>
      </c>
      <c r="FD483" s="76">
        <f t="shared" ref="FD483:FM483" si="2245">FD217+FD355</f>
        <v>39.732034285982451</v>
      </c>
      <c r="FE483" s="76">
        <f t="shared" si="2245"/>
        <v>37.536683630979226</v>
      </c>
      <c r="FF483" s="76">
        <f t="shared" si="2245"/>
        <v>34.853081753638534</v>
      </c>
      <c r="FG483" s="76">
        <f t="shared" si="2245"/>
        <v>32.823400631696138</v>
      </c>
      <c r="FH483" s="85">
        <f>+SUM(FD483:FG483)</f>
        <v>144.94520030229634</v>
      </c>
      <c r="FI483" s="76">
        <f t="shared" si="2245"/>
        <v>117.67421058688591</v>
      </c>
      <c r="FJ483" s="76">
        <f t="shared" si="2245"/>
        <v>93.807864083453993</v>
      </c>
      <c r="FK483" s="76">
        <f t="shared" si="2245"/>
        <v>75.06939221523686</v>
      </c>
      <c r="FL483" s="76">
        <f t="shared" si="2245"/>
        <v>60.190534179855376</v>
      </c>
      <c r="FM483" s="76">
        <f t="shared" si="2245"/>
        <v>48.301920464746715</v>
      </c>
      <c r="FN483" s="189">
        <f>+(FJ483/ES483)^0.2-1</f>
        <v>-0.19236464914115281</v>
      </c>
      <c r="FO483" s="193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</row>
    <row r="484" spans="1:181" ht="12.75" customHeight="1" x14ac:dyDescent="0.3">
      <c r="A484" s="70" t="s">
        <v>363</v>
      </c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3"/>
      <c r="AK484" s="193"/>
      <c r="AL484" s="193"/>
      <c r="AM484" s="193"/>
      <c r="AN484" s="193"/>
      <c r="AO484" s="193"/>
      <c r="AP484" s="193"/>
      <c r="AQ484" s="193"/>
      <c r="AR484" s="193"/>
      <c r="AS484" s="193"/>
      <c r="AT484" s="193"/>
      <c r="AU484" s="193"/>
      <c r="AV484" s="193"/>
      <c r="AW484" s="193"/>
      <c r="AX484" s="193"/>
      <c r="AY484" s="193"/>
      <c r="AZ484" s="193"/>
      <c r="BA484" s="193"/>
      <c r="BB484" s="193"/>
      <c r="BC484" s="193"/>
      <c r="BD484" s="193"/>
      <c r="BE484" s="193"/>
      <c r="BF484" s="193"/>
      <c r="BG484" s="193"/>
      <c r="BH484" s="193"/>
      <c r="BI484" s="193"/>
      <c r="BJ484" s="193"/>
      <c r="BK484" s="193"/>
      <c r="BL484" s="192"/>
      <c r="BM484" s="192"/>
      <c r="BN484" s="192"/>
      <c r="BO484" s="192"/>
      <c r="BP484" s="192"/>
      <c r="BQ484" s="192"/>
      <c r="BR484" s="193"/>
      <c r="BS484" s="193"/>
      <c r="BT484" s="193"/>
      <c r="BU484" s="193"/>
      <c r="BV484" s="192"/>
      <c r="BW484" s="193"/>
      <c r="BX484" s="193"/>
      <c r="BY484" s="193"/>
      <c r="BZ484" s="193"/>
      <c r="CA484" s="192"/>
      <c r="CB484" s="193"/>
      <c r="CC484" s="193"/>
      <c r="CD484" s="193"/>
      <c r="CE484" s="193"/>
      <c r="CF484" s="192"/>
      <c r="CG484" s="193"/>
      <c r="CH484" s="193"/>
      <c r="CI484" s="193"/>
      <c r="CJ484" s="193"/>
      <c r="CK484" s="192"/>
      <c r="CL484" s="193"/>
      <c r="CM484" s="193"/>
      <c r="CN484" s="193"/>
      <c r="CO484" s="193"/>
      <c r="CP484" s="192"/>
      <c r="CQ484" s="193"/>
      <c r="CR484" s="193"/>
      <c r="CS484" s="193"/>
      <c r="CT484" s="193"/>
      <c r="CU484" s="193"/>
      <c r="CV484" s="193"/>
      <c r="CW484" s="193"/>
      <c r="CX484" s="193"/>
      <c r="CY484" s="193"/>
      <c r="CZ484" s="193"/>
      <c r="DA484" s="193"/>
      <c r="DB484" s="193"/>
      <c r="DC484" s="193"/>
      <c r="DD484" s="193"/>
      <c r="DE484" s="193"/>
      <c r="DF484" s="193"/>
      <c r="DG484" s="193"/>
      <c r="DH484" s="193"/>
      <c r="DI484" s="193"/>
      <c r="DJ484" s="193"/>
      <c r="DK484" s="193"/>
      <c r="DL484" s="193"/>
      <c r="DM484" s="193"/>
      <c r="DN484" s="193"/>
      <c r="DO484" s="193"/>
      <c r="DP484" s="193"/>
      <c r="DQ484" s="193"/>
      <c r="DR484" s="193"/>
      <c r="DS484" s="193"/>
      <c r="DT484" s="193"/>
      <c r="DU484" s="194"/>
      <c r="DV484" s="194"/>
      <c r="DW484" s="194"/>
      <c r="DX484" s="194"/>
      <c r="DY484" s="1208"/>
      <c r="DZ484" s="75"/>
      <c r="EA484" s="75"/>
      <c r="EB484" s="75"/>
      <c r="EC484" s="75"/>
      <c r="ED484" s="84"/>
      <c r="EE484" s="75">
        <f t="shared" ref="EE484:EX484" si="2246">+EE483/DZ483-1</f>
        <v>-0.34705882352941175</v>
      </c>
      <c r="EF484" s="75">
        <f t="shared" si="2246"/>
        <v>-0.3032258064516129</v>
      </c>
      <c r="EG484" s="75">
        <f t="shared" si="2246"/>
        <v>-0.30147058823529416</v>
      </c>
      <c r="EH484" s="75">
        <f t="shared" si="2246"/>
        <v>-0.19827586206896552</v>
      </c>
      <c r="EI484" s="84">
        <f t="shared" si="2246"/>
        <v>-0.29462738301559788</v>
      </c>
      <c r="EJ484" s="75">
        <f t="shared" si="2246"/>
        <v>-0.1711711711711712</v>
      </c>
      <c r="EK484" s="75">
        <f t="shared" si="2246"/>
        <v>-0.19444444444444442</v>
      </c>
      <c r="EL484" s="75">
        <f t="shared" si="2246"/>
        <v>-0.14736842105263159</v>
      </c>
      <c r="EM484" s="75">
        <f t="shared" si="2246"/>
        <v>-0.18279569892473113</v>
      </c>
      <c r="EN484" s="84">
        <f t="shared" si="2246"/>
        <v>-0.1744471744471745</v>
      </c>
      <c r="EO484" s="75">
        <f t="shared" si="2246"/>
        <v>-0.17391304347826086</v>
      </c>
      <c r="EP484" s="75">
        <f t="shared" si="2246"/>
        <v>-0.18390804597701149</v>
      </c>
      <c r="EQ484" s="75">
        <f t="shared" si="2246"/>
        <v>-0.19753086419753085</v>
      </c>
      <c r="ER484" s="75">
        <f t="shared" si="2246"/>
        <v>-0.19736842105263153</v>
      </c>
      <c r="ES484" s="84">
        <f t="shared" si="2246"/>
        <v>-0.1875</v>
      </c>
      <c r="ET484" s="75">
        <f t="shared" si="2246"/>
        <v>-0.20301795549457236</v>
      </c>
      <c r="EU484" s="75">
        <f t="shared" si="2246"/>
        <v>-0.19873547177962558</v>
      </c>
      <c r="EV484" s="75">
        <f t="shared" si="2246"/>
        <v>-0.19110479797445101</v>
      </c>
      <c r="EW484" s="75">
        <f t="shared" si="2246"/>
        <v>-0.19044975487783045</v>
      </c>
      <c r="EX484" s="84">
        <f t="shared" si="2246"/>
        <v>-0.1962594506587102</v>
      </c>
      <c r="EY484" s="75">
        <f t="shared" ref="EY484" si="2247">+EY483/ET483-1</f>
        <v>-0.19276381694839417</v>
      </c>
      <c r="EZ484" s="75">
        <f t="shared" ref="EZ484" si="2248">+EZ483/EU483-1</f>
        <v>-0.19012596114444991</v>
      </c>
      <c r="FA484" s="75">
        <f t="shared" ref="FA484" si="2249">+FA483/EV483-1</f>
        <v>-0.18801060133803871</v>
      </c>
      <c r="FB484" s="75">
        <f t="shared" ref="FB484:FC484" si="2250">+FB483/EW483-1</f>
        <v>-0.18671505897303253</v>
      </c>
      <c r="FC484" s="84">
        <f t="shared" si="2250"/>
        <v>-0.18957959507677125</v>
      </c>
      <c r="FD484" s="75">
        <f t="shared" ref="FD484" si="2251">+FD483/EY483-1</f>
        <v>-0.18739769116888805</v>
      </c>
      <c r="FE484" s="75">
        <f t="shared" ref="FE484" si="2252">+FE483/EZ483-1</f>
        <v>-0.18528791826299251</v>
      </c>
      <c r="FF484" s="75">
        <f t="shared" ref="FF484" si="2253">+FF483/FA483-1</f>
        <v>-0.18363343438109492</v>
      </c>
      <c r="FG484" s="75">
        <f t="shared" ref="FG484:FH484" si="2254">+FG483/FB483-1</f>
        <v>-0.18272691036193422</v>
      </c>
      <c r="FH484" s="84">
        <f t="shared" si="2254"/>
        <v>-0.18489239510097599</v>
      </c>
      <c r="FI484" s="75">
        <f t="shared" ref="FI484:FM484" si="2255">+FI483/FH483-1</f>
        <v>-0.18814689730004386</v>
      </c>
      <c r="FJ484" s="75">
        <f t="shared" si="2255"/>
        <v>-0.20281713711442284</v>
      </c>
      <c r="FK484" s="75">
        <f t="shared" si="2255"/>
        <v>-0.19975374187762007</v>
      </c>
      <c r="FL484" s="75">
        <f t="shared" si="2255"/>
        <v>-0.19820139202301301</v>
      </c>
      <c r="FM484" s="75">
        <f t="shared" si="2255"/>
        <v>-0.19751633503673993</v>
      </c>
      <c r="FN484" s="193"/>
      <c r="FO484" s="193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</row>
    <row r="485" spans="1:181" ht="12.75" customHeight="1" x14ac:dyDescent="0.3">
      <c r="A485" s="61" t="s">
        <v>386</v>
      </c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3"/>
      <c r="AK485" s="193"/>
      <c r="AL485" s="193"/>
      <c r="AM485" s="193"/>
      <c r="AN485" s="193"/>
      <c r="AO485" s="193"/>
      <c r="AP485" s="193"/>
      <c r="AQ485" s="193"/>
      <c r="AR485" s="193"/>
      <c r="AS485" s="193"/>
      <c r="AT485" s="193"/>
      <c r="AU485" s="193"/>
      <c r="AV485" s="193"/>
      <c r="AW485" s="193"/>
      <c r="AX485" s="193"/>
      <c r="AY485" s="193"/>
      <c r="AZ485" s="193"/>
      <c r="BA485" s="193"/>
      <c r="BB485" s="193"/>
      <c r="BC485" s="193"/>
      <c r="BD485" s="193"/>
      <c r="BE485" s="193"/>
      <c r="BF485" s="193"/>
      <c r="BG485" s="193"/>
      <c r="BH485" s="193"/>
      <c r="BI485" s="193"/>
      <c r="BJ485" s="193"/>
      <c r="BK485" s="193"/>
      <c r="BL485" s="192"/>
      <c r="BM485" s="192"/>
      <c r="BN485" s="192"/>
      <c r="BO485" s="192"/>
      <c r="BP485" s="192"/>
      <c r="BQ485" s="192"/>
      <c r="BR485" s="193"/>
      <c r="BS485" s="193"/>
      <c r="BT485" s="193"/>
      <c r="BU485" s="193"/>
      <c r="BV485" s="192"/>
      <c r="BW485" s="193"/>
      <c r="BX485" s="193"/>
      <c r="BY485" s="193"/>
      <c r="BZ485" s="193"/>
      <c r="CA485" s="192"/>
      <c r="CB485" s="193"/>
      <c r="CC485" s="193"/>
      <c r="CD485" s="193"/>
      <c r="CE485" s="193"/>
      <c r="CF485" s="192"/>
      <c r="CG485" s="193"/>
      <c r="CH485" s="193"/>
      <c r="CI485" s="193"/>
      <c r="CJ485" s="193"/>
      <c r="CK485" s="192"/>
      <c r="CL485" s="193"/>
      <c r="CM485" s="193"/>
      <c r="CN485" s="193"/>
      <c r="CO485" s="193"/>
      <c r="CP485" s="192"/>
      <c r="CQ485" s="193"/>
      <c r="CR485" s="193"/>
      <c r="CS485" s="193"/>
      <c r="CT485" s="193"/>
      <c r="CU485" s="193"/>
      <c r="CV485" s="193"/>
      <c r="CW485" s="193"/>
      <c r="CX485" s="193"/>
      <c r="CY485" s="193"/>
      <c r="CZ485" s="193"/>
      <c r="DA485" s="193"/>
      <c r="DB485" s="193"/>
      <c r="DC485" s="193"/>
      <c r="DD485" s="193"/>
      <c r="DE485" s="193"/>
      <c r="DF485" s="193"/>
      <c r="DG485" s="193"/>
      <c r="DH485" s="193"/>
      <c r="DI485" s="193"/>
      <c r="DJ485" s="193"/>
      <c r="DK485" s="193"/>
      <c r="DL485" s="193"/>
      <c r="DM485" s="193"/>
      <c r="DN485" s="193"/>
      <c r="DO485" s="193"/>
      <c r="DP485" s="193"/>
      <c r="DQ485" s="193"/>
      <c r="DR485" s="193"/>
      <c r="DS485" s="193"/>
      <c r="DT485" s="193"/>
      <c r="DU485" s="111"/>
      <c r="DV485" s="111"/>
      <c r="DW485" s="111"/>
      <c r="DX485" s="111"/>
      <c r="DY485" s="112"/>
      <c r="DZ485" s="111">
        <f>DZ483/DZ452*1000/3</f>
        <v>95.398428731762053</v>
      </c>
      <c r="EA485" s="111">
        <f t="shared" ref="EA485:EC485" si="2256">EA483/EA452*1000/3</f>
        <v>92.344355078939529</v>
      </c>
      <c r="EB485" s="111">
        <f t="shared" si="2256"/>
        <v>86.845466155810982</v>
      </c>
      <c r="EC485" s="111">
        <f t="shared" si="2256"/>
        <v>79.725085910652922</v>
      </c>
      <c r="ED485" s="112">
        <f>ED483/ED452*1000/12</f>
        <v>89.022602792563461</v>
      </c>
      <c r="EE485" s="111">
        <f>EE483/EE452*1000/3</f>
        <v>81.677704194260485</v>
      </c>
      <c r="EF485" s="111">
        <f t="shared" ref="EF485:EH485" si="2257">EF483/EF452*1000/3</f>
        <v>85.106382978723403</v>
      </c>
      <c r="EG485" s="111">
        <f t="shared" si="2257"/>
        <v>79.664570230607964</v>
      </c>
      <c r="EH485" s="111">
        <f t="shared" si="2257"/>
        <v>82.228116710875327</v>
      </c>
      <c r="EI485" s="112">
        <f>EI483/EI452*1000/12</f>
        <v>82.197313945269102</v>
      </c>
      <c r="EJ485" s="111">
        <f>EJ483/EJ452*1000/3</f>
        <v>85.303662494204914</v>
      </c>
      <c r="EK485" s="111">
        <f t="shared" ref="EK485:EM485" si="2258">EK483/EK452*1000/3</f>
        <v>85.043988269794724</v>
      </c>
      <c r="EL485" s="111">
        <f t="shared" si="2258"/>
        <v>84.243369734789397</v>
      </c>
      <c r="EM485" s="111">
        <f t="shared" si="2258"/>
        <v>83.885209713024281</v>
      </c>
      <c r="EN485" s="112">
        <f>EN483/EN452*1000/12</f>
        <v>84.656084656084644</v>
      </c>
      <c r="EO485" s="111">
        <f>EO483/EO452*1000/3</f>
        <v>88.8888888888889</v>
      </c>
      <c r="EP485" s="111">
        <f>EP483/EP452*1000/3</f>
        <v>89.139987445072208</v>
      </c>
      <c r="EQ485" s="111">
        <f>EQ483/EQ452*1000/3</f>
        <v>88.255261371350983</v>
      </c>
      <c r="ER485" s="111">
        <f>ER483/ER452*1000/3</f>
        <v>88.791848617176129</v>
      </c>
      <c r="ES485" s="112">
        <f>ES483/ES452*1000/12</f>
        <v>88.780487804878064</v>
      </c>
      <c r="ET485" s="111">
        <f t="shared" ref="ET485:EW485" si="2259">ET483/ET452*1000/3</f>
        <v>94.005688888888912</v>
      </c>
      <c r="EU485" s="111">
        <f t="shared" si="2259"/>
        <v>94.385987445072217</v>
      </c>
      <c r="EV485" s="111">
        <f t="shared" si="2259"/>
        <v>93.521661371351001</v>
      </c>
      <c r="EW485" s="111">
        <f t="shared" si="2259"/>
        <v>94.073848617176125</v>
      </c>
      <c r="EX485" s="112">
        <f>EX483/EX452*1000/12</f>
        <v>94.002637272820337</v>
      </c>
      <c r="EY485" s="111">
        <f t="shared" ref="EY485:FB485" si="2260">EY483/EY452*1000/3</f>
        <v>99.327160888888898</v>
      </c>
      <c r="EZ485" s="111">
        <f t="shared" si="2260"/>
        <v>99.841827445072184</v>
      </c>
      <c r="FA485" s="111">
        <f t="shared" si="2260"/>
        <v>98.998717371351006</v>
      </c>
      <c r="FB485" s="111">
        <f t="shared" si="2260"/>
        <v>99.567128617176138</v>
      </c>
      <c r="FC485" s="112">
        <f>FC483/FC452*1000/12</f>
        <v>99.434889581495838</v>
      </c>
      <c r="FD485" s="111">
        <f t="shared" ref="FD485:FG485" si="2261">FD483/FD452*1000/3</f>
        <v>104.86149176888891</v>
      </c>
      <c r="FE485" s="111">
        <f t="shared" si="2261"/>
        <v>105.51590104507221</v>
      </c>
      <c r="FF485" s="111">
        <f t="shared" si="2261"/>
        <v>104.69485561135099</v>
      </c>
      <c r="FG485" s="111">
        <f t="shared" si="2261"/>
        <v>105.28013981717613</v>
      </c>
      <c r="FH485" s="112">
        <f>FH483/FH452*1000/12</f>
        <v>105.08468300027586</v>
      </c>
      <c r="FI485" s="111">
        <f t="shared" ref="FI485:FM485" si="2262">FI483/FI452*1000/12</f>
        <v>110.96073924926371</v>
      </c>
      <c r="FJ485" s="111">
        <f t="shared" si="2262"/>
        <v>117.07183774821102</v>
      </c>
      <c r="FK485" s="111">
        <f t="shared" si="2262"/>
        <v>123.42738018711628</v>
      </c>
      <c r="FL485" s="111">
        <f t="shared" si="2262"/>
        <v>130.03714432357773</v>
      </c>
      <c r="FM485" s="111">
        <f t="shared" si="2262"/>
        <v>136.91129902549764</v>
      </c>
      <c r="FN485" s="189">
        <f>+(FJ485/ES485)^0.2-1</f>
        <v>5.6883169029811054E-2</v>
      </c>
      <c r="FO485" s="193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</row>
    <row r="486" spans="1:181" ht="12.75" customHeight="1" x14ac:dyDescent="0.3">
      <c r="A486" s="70" t="s">
        <v>387</v>
      </c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3"/>
      <c r="AS486" s="193"/>
      <c r="AT486" s="193"/>
      <c r="AU486" s="193"/>
      <c r="AV486" s="193"/>
      <c r="AW486" s="193"/>
      <c r="AX486" s="193"/>
      <c r="AY486" s="193"/>
      <c r="AZ486" s="193"/>
      <c r="BA486" s="193"/>
      <c r="BB486" s="193"/>
      <c r="BC486" s="193"/>
      <c r="BD486" s="193"/>
      <c r="BE486" s="193"/>
      <c r="BF486" s="193"/>
      <c r="BG486" s="193"/>
      <c r="BH486" s="193"/>
      <c r="BI486" s="193"/>
      <c r="BJ486" s="193"/>
      <c r="BK486" s="193"/>
      <c r="BL486" s="192"/>
      <c r="BM486" s="192"/>
      <c r="BN486" s="192"/>
      <c r="BO486" s="192"/>
      <c r="BP486" s="192"/>
      <c r="BQ486" s="192"/>
      <c r="BR486" s="193"/>
      <c r="BS486" s="193"/>
      <c r="BT486" s="193"/>
      <c r="BU486" s="193"/>
      <c r="BV486" s="192"/>
      <c r="BW486" s="193"/>
      <c r="BX486" s="193"/>
      <c r="BY486" s="193"/>
      <c r="BZ486" s="193"/>
      <c r="CA486" s="192"/>
      <c r="CB486" s="193"/>
      <c r="CC486" s="193"/>
      <c r="CD486" s="193"/>
      <c r="CE486" s="193"/>
      <c r="CF486" s="192"/>
      <c r="CG486" s="193"/>
      <c r="CH486" s="193"/>
      <c r="CI486" s="193"/>
      <c r="CJ486" s="193"/>
      <c r="CK486" s="192"/>
      <c r="CL486" s="193"/>
      <c r="CM486" s="193"/>
      <c r="CN486" s="193"/>
      <c r="CO486" s="193"/>
      <c r="CP486" s="192"/>
      <c r="CQ486" s="193"/>
      <c r="CR486" s="193"/>
      <c r="CS486" s="193"/>
      <c r="CT486" s="193"/>
      <c r="CU486" s="193"/>
      <c r="CV486" s="193"/>
      <c r="CW486" s="193"/>
      <c r="CX486" s="193"/>
      <c r="CY486" s="193"/>
      <c r="CZ486" s="193"/>
      <c r="DA486" s="193"/>
      <c r="DB486" s="193"/>
      <c r="DC486" s="193"/>
      <c r="DD486" s="193"/>
      <c r="DE486" s="193"/>
      <c r="DF486" s="193"/>
      <c r="DG486" s="193"/>
      <c r="DH486" s="193"/>
      <c r="DI486" s="193"/>
      <c r="DJ486" s="193"/>
      <c r="DK486" s="193"/>
      <c r="DL486" s="193"/>
      <c r="DM486" s="193"/>
      <c r="DN486" s="193"/>
      <c r="DO486" s="193"/>
      <c r="DP486" s="193"/>
      <c r="DQ486" s="193"/>
      <c r="DR486" s="193"/>
      <c r="DS486" s="193"/>
      <c r="DT486" s="193"/>
      <c r="DU486" s="194"/>
      <c r="DV486" s="194"/>
      <c r="DW486" s="194"/>
      <c r="DX486" s="194"/>
      <c r="DY486" s="1208"/>
      <c r="DZ486" s="195"/>
      <c r="EA486" s="195"/>
      <c r="EB486" s="195"/>
      <c r="EC486" s="195"/>
      <c r="ED486" s="199"/>
      <c r="EE486" s="195">
        <f t="shared" ref="EE486:EX486" si="2263">+EE485/DZ485-1</f>
        <v>-0.14382547721075178</v>
      </c>
      <c r="EF486" s="195">
        <f t="shared" si="2263"/>
        <v>-7.838023335621136E-2</v>
      </c>
      <c r="EG486" s="195">
        <f t="shared" si="2263"/>
        <v>-8.2685904550499512E-2</v>
      </c>
      <c r="EH486" s="195">
        <f t="shared" si="2263"/>
        <v>3.1395774261410381E-2</v>
      </c>
      <c r="EI486" s="199">
        <f t="shared" si="2263"/>
        <v>-7.666916752814279E-2</v>
      </c>
      <c r="EJ486" s="195">
        <f t="shared" si="2263"/>
        <v>4.4393489456076463E-2</v>
      </c>
      <c r="EK486" s="195">
        <f t="shared" si="2263"/>
        <v>-7.3313782991202281E-4</v>
      </c>
      <c r="EL486" s="195">
        <f t="shared" si="2263"/>
        <v>5.7475983249856366E-2</v>
      </c>
      <c r="EM486" s="195">
        <f t="shared" si="2263"/>
        <v>2.0152389090650091E-2</v>
      </c>
      <c r="EN486" s="199">
        <f t="shared" si="2263"/>
        <v>2.9913029913029909E-2</v>
      </c>
      <c r="EO486" s="195">
        <f t="shared" si="2263"/>
        <v>4.202898550724643E-2</v>
      </c>
      <c r="EP486" s="195">
        <f t="shared" si="2263"/>
        <v>4.8163300647228402E-2</v>
      </c>
      <c r="EQ486" s="195">
        <f t="shared" si="2263"/>
        <v>4.7622639611777373E-2</v>
      </c>
      <c r="ER486" s="195">
        <f t="shared" si="2263"/>
        <v>5.8492300620547111E-2</v>
      </c>
      <c r="ES486" s="199">
        <f t="shared" si="2263"/>
        <v>4.8719512195122272E-2</v>
      </c>
      <c r="ET486" s="195">
        <f t="shared" si="2263"/>
        <v>5.7564000000000171E-2</v>
      </c>
      <c r="EU486" s="195">
        <f t="shared" si="2263"/>
        <v>5.8851253521126745E-2</v>
      </c>
      <c r="EV486" s="195">
        <f t="shared" si="2263"/>
        <v>5.9672363076923363E-2</v>
      </c>
      <c r="EW486" s="195">
        <f t="shared" si="2263"/>
        <v>5.9487442622950804E-2</v>
      </c>
      <c r="EX486" s="199">
        <f t="shared" si="2263"/>
        <v>5.8820914336712438E-2</v>
      </c>
      <c r="EY486" s="195">
        <f t="shared" ref="EY486" si="2264">+EY485/ET485-1</f>
        <v>5.6607978335117215E-2</v>
      </c>
      <c r="EZ486" s="195">
        <f t="shared" ref="EZ486" si="2265">+EZ485/EU485-1</f>
        <v>5.7803495494233026E-2</v>
      </c>
      <c r="FA486" s="195">
        <f t="shared" ref="FA486" si="2266">+FA485/EV485-1</f>
        <v>5.8564571241436658E-2</v>
      </c>
      <c r="FB486" s="195">
        <f t="shared" ref="FB486:FC486" si="2267">+FB485/EW485-1</f>
        <v>5.8393273802949786E-2</v>
      </c>
      <c r="FC486" s="199">
        <f t="shared" si="2267"/>
        <v>5.7788296863519717E-2</v>
      </c>
      <c r="FD486" s="195">
        <f t="shared" ref="FD486" si="2268">+FD485/EY485-1</f>
        <v>5.5718202659501337E-2</v>
      </c>
      <c r="FE486" s="195">
        <f t="shared" ref="FE486" si="2269">+FE485/EZ485-1</f>
        <v>5.6830626453843847E-2</v>
      </c>
      <c r="FF486" s="195">
        <f t="shared" ref="FF486" si="2270">+FF485/FA485-1</f>
        <v>5.7537495345857614E-2</v>
      </c>
      <c r="FG486" s="195">
        <f t="shared" ref="FG486:FH486" si="2271">+FG485/FB485-1</f>
        <v>5.7378487050338212E-2</v>
      </c>
      <c r="FH486" s="199">
        <f t="shared" si="2271"/>
        <v>5.6819024414458852E-2</v>
      </c>
      <c r="FI486" s="195">
        <f t="shared" ref="FI486:FM486" si="2272">FI485/FH485-1</f>
        <v>5.5917342863111896E-2</v>
      </c>
      <c r="FJ486" s="195">
        <f t="shared" si="2272"/>
        <v>5.5074421279938113E-2</v>
      </c>
      <c r="FK486" s="195">
        <f t="shared" si="2272"/>
        <v>5.4287543111557479E-2</v>
      </c>
      <c r="FL486" s="195">
        <f t="shared" si="2272"/>
        <v>5.3551846652185597E-2</v>
      </c>
      <c r="FM486" s="195">
        <f t="shared" si="2272"/>
        <v>5.2863008778588849E-2</v>
      </c>
      <c r="FN486" s="193"/>
      <c r="FO486" s="193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</row>
    <row r="487" spans="1:181" ht="12.75" customHeight="1" x14ac:dyDescent="0.3">
      <c r="A487" s="192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3"/>
      <c r="AK487" s="193"/>
      <c r="AL487" s="193"/>
      <c r="AM487" s="193"/>
      <c r="AN487" s="193"/>
      <c r="AO487" s="193"/>
      <c r="AP487" s="193"/>
      <c r="AQ487" s="193"/>
      <c r="AR487" s="193"/>
      <c r="AS487" s="193"/>
      <c r="AT487" s="193"/>
      <c r="AU487" s="193"/>
      <c r="AV487" s="193"/>
      <c r="AW487" s="193"/>
      <c r="AX487" s="193"/>
      <c r="AY487" s="193"/>
      <c r="AZ487" s="193"/>
      <c r="BA487" s="193"/>
      <c r="BB487" s="193"/>
      <c r="BC487" s="193"/>
      <c r="BD487" s="193"/>
      <c r="BE487" s="193"/>
      <c r="BF487" s="193"/>
      <c r="BG487" s="193"/>
      <c r="BH487" s="193"/>
      <c r="BI487" s="193"/>
      <c r="BJ487" s="193"/>
      <c r="BK487" s="193"/>
      <c r="BL487" s="192"/>
      <c r="BM487" s="192"/>
      <c r="BN487" s="192"/>
      <c r="BO487" s="192"/>
      <c r="BP487" s="192"/>
      <c r="BQ487" s="192"/>
      <c r="BR487" s="193"/>
      <c r="BS487" s="193"/>
      <c r="BT487" s="193"/>
      <c r="BU487" s="193"/>
      <c r="BV487" s="192"/>
      <c r="BW487" s="193"/>
      <c r="BX487" s="193"/>
      <c r="BY487" s="193"/>
      <c r="BZ487" s="193"/>
      <c r="CA487" s="192"/>
      <c r="CB487" s="193"/>
      <c r="CC487" s="193"/>
      <c r="CD487" s="193"/>
      <c r="CE487" s="193"/>
      <c r="CF487" s="192"/>
      <c r="CG487" s="193"/>
      <c r="CH487" s="193"/>
      <c r="CI487" s="193"/>
      <c r="CJ487" s="193"/>
      <c r="CK487" s="192"/>
      <c r="CL487" s="193"/>
      <c r="CM487" s="193"/>
      <c r="CN487" s="193"/>
      <c r="CO487" s="193"/>
      <c r="CP487" s="192"/>
      <c r="CQ487" s="193"/>
      <c r="CR487" s="193"/>
      <c r="CS487" s="193"/>
      <c r="CT487" s="193"/>
      <c r="CU487" s="193"/>
      <c r="CV487" s="193"/>
      <c r="CW487" s="193"/>
      <c r="CX487" s="193"/>
      <c r="CY487" s="193"/>
      <c r="CZ487" s="193"/>
      <c r="DA487" s="193"/>
      <c r="DB487" s="193"/>
      <c r="DC487" s="193"/>
      <c r="DD487" s="193"/>
      <c r="DE487" s="193"/>
      <c r="DF487" s="193"/>
      <c r="DG487" s="193"/>
      <c r="DH487" s="193"/>
      <c r="DI487" s="193"/>
      <c r="DJ487" s="193"/>
      <c r="DK487" s="193"/>
      <c r="DL487" s="193"/>
      <c r="DM487" s="193"/>
      <c r="DN487" s="193"/>
      <c r="DO487" s="193"/>
      <c r="DP487" s="193"/>
      <c r="DQ487" s="193"/>
      <c r="DR487" s="193"/>
      <c r="DS487" s="193"/>
      <c r="DT487" s="193"/>
      <c r="DU487" s="196"/>
      <c r="DV487" s="196"/>
      <c r="DW487" s="196"/>
      <c r="DX487" s="665"/>
      <c r="DY487" s="1191"/>
      <c r="DZ487" s="197"/>
      <c r="EB487" s="665"/>
      <c r="EC487" s="665"/>
      <c r="ED487" s="1204"/>
      <c r="EE487" s="197"/>
      <c r="EF487" s="197"/>
      <c r="EG487" s="197"/>
      <c r="EH487" s="197"/>
      <c r="EI487" s="1191"/>
      <c r="EJ487" s="197"/>
      <c r="EK487" s="197"/>
      <c r="EL487" s="197"/>
      <c r="EM487" s="197"/>
      <c r="EN487" s="1192"/>
      <c r="EO487" s="197"/>
      <c r="EP487" s="197"/>
      <c r="EQ487" s="197"/>
      <c r="ER487" s="197"/>
      <c r="ES487" s="1192"/>
      <c r="ET487" s="197"/>
      <c r="EU487" s="197"/>
      <c r="EV487" s="197"/>
      <c r="EW487" s="197"/>
      <c r="EX487" s="1192"/>
      <c r="EY487" s="197"/>
      <c r="EZ487" s="197"/>
      <c r="FA487" s="197"/>
      <c r="FB487" s="197"/>
      <c r="FC487" s="1192"/>
      <c r="FD487" s="197"/>
      <c r="FE487" s="197"/>
      <c r="FF487" s="197"/>
      <c r="FG487" s="197"/>
      <c r="FH487" s="1192"/>
      <c r="FI487" s="198"/>
      <c r="FJ487" s="198"/>
      <c r="FK487" s="198"/>
      <c r="FL487" s="198"/>
      <c r="FM487" s="198"/>
      <c r="FN487" s="193"/>
      <c r="FO487" s="193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</row>
    <row r="488" spans="1:181" ht="12.75" hidden="1" customHeight="1" x14ac:dyDescent="0.3">
      <c r="A488" s="4" t="s">
        <v>478</v>
      </c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3"/>
      <c r="AK488" s="193"/>
      <c r="AL488" s="193"/>
      <c r="AM488" s="193"/>
      <c r="AN488" s="193"/>
      <c r="AO488" s="193"/>
      <c r="AP488" s="193"/>
      <c r="AQ488" s="193"/>
      <c r="AR488" s="193"/>
      <c r="AS488" s="193"/>
      <c r="AT488" s="193"/>
      <c r="AU488" s="193"/>
      <c r="AV488" s="193"/>
      <c r="AW488" s="193"/>
      <c r="AX488" s="193"/>
      <c r="AY488" s="193"/>
      <c r="AZ488" s="193"/>
      <c r="BA488" s="193"/>
      <c r="BB488" s="193"/>
      <c r="BC488" s="193"/>
      <c r="BD488" s="193"/>
      <c r="BE488" s="193"/>
      <c r="BF488" s="193"/>
      <c r="BG488" s="193"/>
      <c r="BH488" s="193"/>
      <c r="BI488" s="193"/>
      <c r="BJ488" s="193"/>
      <c r="BK488" s="193"/>
      <c r="BL488" s="192"/>
      <c r="BM488" s="192"/>
      <c r="BN488" s="192"/>
      <c r="BO488" s="192"/>
      <c r="BP488" s="192"/>
      <c r="BQ488" s="192"/>
      <c r="BR488" s="193"/>
      <c r="BS488" s="193"/>
      <c r="BT488" s="193"/>
      <c r="BU488" s="193"/>
      <c r="BV488" s="192"/>
      <c r="BW488" s="193"/>
      <c r="BX488" s="193"/>
      <c r="BY488" s="193"/>
      <c r="BZ488" s="193"/>
      <c r="CA488" s="192"/>
      <c r="CB488" s="193"/>
      <c r="CC488" s="193"/>
      <c r="CD488" s="193"/>
      <c r="CE488" s="193"/>
      <c r="CF488" s="192"/>
      <c r="CG488" s="193"/>
      <c r="CH488" s="193"/>
      <c r="CI488" s="193"/>
      <c r="CJ488" s="193"/>
      <c r="CK488" s="192"/>
      <c r="CL488" s="193"/>
      <c r="CM488" s="193"/>
      <c r="CN488" s="193"/>
      <c r="CO488" s="193"/>
      <c r="CP488" s="192"/>
      <c r="CQ488" s="193"/>
      <c r="CR488" s="193"/>
      <c r="CS488" s="193"/>
      <c r="CT488" s="193"/>
      <c r="CU488" s="193"/>
      <c r="CV488" s="193"/>
      <c r="CW488" s="193"/>
      <c r="CX488" s="193"/>
      <c r="CY488" s="193"/>
      <c r="CZ488" s="193"/>
      <c r="DA488" s="193"/>
      <c r="DB488" s="193"/>
      <c r="DC488" s="193"/>
      <c r="DD488" s="193"/>
      <c r="DE488" s="193"/>
      <c r="DF488" s="193"/>
      <c r="DG488" s="193"/>
      <c r="DH488" s="193"/>
      <c r="DI488" s="193"/>
      <c r="DJ488" s="193"/>
      <c r="DK488" s="193"/>
      <c r="DL488" s="193"/>
      <c r="DM488" s="193"/>
      <c r="DN488" s="193"/>
      <c r="DO488" s="193"/>
      <c r="DP488" s="193"/>
      <c r="DQ488" s="193"/>
      <c r="DR488" s="193"/>
      <c r="DS488" s="193"/>
      <c r="DT488" s="193"/>
      <c r="DU488" s="196"/>
      <c r="DV488" s="196"/>
      <c r="DW488" s="196"/>
      <c r="DX488" s="665"/>
      <c r="DY488" s="1191"/>
      <c r="DZ488" s="134" t="e">
        <f>DZ490*DZ180*3/1000</f>
        <v>#REF!</v>
      </c>
      <c r="EA488" s="134" t="e">
        <f>EA490*EA180*3/1000</f>
        <v>#REF!</v>
      </c>
      <c r="EB488" s="134" t="e">
        <f>EB490*EB180*3/1000</f>
        <v>#REF!</v>
      </c>
      <c r="EC488" s="134" t="e">
        <f>EC490*EC180*3/1000</f>
        <v>#REF!</v>
      </c>
      <c r="ED488" s="85" t="e">
        <f>SUM(DZ488:EC488)</f>
        <v>#REF!</v>
      </c>
      <c r="EE488" s="134" t="e">
        <f>EE490*EE180*3/1000</f>
        <v>#REF!</v>
      </c>
      <c r="EF488" s="134" t="e">
        <f>EF490*EF180*3/1000</f>
        <v>#REF!</v>
      </c>
      <c r="EG488" s="134" t="e">
        <f>EG490*EG180*3/1000</f>
        <v>#REF!</v>
      </c>
      <c r="EH488" s="134" t="e">
        <f>EH490*EH180*3/1000</f>
        <v>#REF!</v>
      </c>
      <c r="EI488" s="731" t="e">
        <f>SUM(EE488:EH488)</f>
        <v>#REF!</v>
      </c>
      <c r="EJ488" s="134" t="e">
        <f>EJ490*EJ180*3/1000</f>
        <v>#REF!</v>
      </c>
      <c r="EK488" s="134" t="e">
        <f>EK490*EK180*3/1000</f>
        <v>#REF!</v>
      </c>
      <c r="EL488" s="1129" t="e">
        <f>EL490*EL180*3/1000</f>
        <v>#REF!</v>
      </c>
      <c r="EM488" s="1129" t="e">
        <f>EM490*EM180*3/1000</f>
        <v>#REF!</v>
      </c>
      <c r="EN488" s="731" t="e">
        <f>SUM(EJ488:EM488)</f>
        <v>#REF!</v>
      </c>
      <c r="EO488" s="134" t="e">
        <f>EO490*EO180*3/1000</f>
        <v>#REF!</v>
      </c>
      <c r="EP488" s="1129" t="e">
        <f t="shared" ref="EP488:ER488" si="2273">EP490*EP180*3/1000</f>
        <v>#REF!</v>
      </c>
      <c r="EQ488" s="1129" t="e">
        <f t="shared" si="2273"/>
        <v>#REF!</v>
      </c>
      <c r="ER488" s="1129" t="e">
        <f t="shared" si="2273"/>
        <v>#REF!</v>
      </c>
      <c r="ES488" s="731" t="e">
        <f>SUM(EO488:ER488)</f>
        <v>#REF!</v>
      </c>
      <c r="ET488" s="1129" t="e">
        <f t="shared" ref="ET488:EW488" si="2274">ET490*ET180*3/1000</f>
        <v>#REF!</v>
      </c>
      <c r="EU488" s="1129" t="e">
        <f t="shared" si="2274"/>
        <v>#REF!</v>
      </c>
      <c r="EV488" s="1129" t="e">
        <f t="shared" si="2274"/>
        <v>#REF!</v>
      </c>
      <c r="EW488" s="1129" t="e">
        <f t="shared" si="2274"/>
        <v>#REF!</v>
      </c>
      <c r="EX488" s="731" t="e">
        <f>SUM(ET488:EW488)</f>
        <v>#REF!</v>
      </c>
      <c r="EY488" s="1129" t="e">
        <f t="shared" ref="EY488:FB488" si="2275">EY490*EY180*3/1000</f>
        <v>#REF!</v>
      </c>
      <c r="EZ488" s="1129" t="e">
        <f t="shared" si="2275"/>
        <v>#REF!</v>
      </c>
      <c r="FA488" s="1129" t="e">
        <f t="shared" si="2275"/>
        <v>#REF!</v>
      </c>
      <c r="FB488" s="1129" t="e">
        <f t="shared" si="2275"/>
        <v>#REF!</v>
      </c>
      <c r="FC488" s="731" t="e">
        <f>SUM(EY488:FB488)</f>
        <v>#REF!</v>
      </c>
      <c r="FD488" s="1129" t="e">
        <f t="shared" ref="FD488:FG488" si="2276">FD490*FD180*3/1000</f>
        <v>#REF!</v>
      </c>
      <c r="FE488" s="1129" t="e">
        <f t="shared" si="2276"/>
        <v>#REF!</v>
      </c>
      <c r="FF488" s="1129" t="e">
        <f t="shared" si="2276"/>
        <v>#REF!</v>
      </c>
      <c r="FG488" s="1129" t="e">
        <f t="shared" si="2276"/>
        <v>#REF!</v>
      </c>
      <c r="FH488" s="731" t="e">
        <f>SUM(FD488:FG488)</f>
        <v>#REF!</v>
      </c>
      <c r="FI488" s="1129" t="e">
        <f t="shared" ref="FI488:FM488" si="2277">FI490*FI180*12/1000</f>
        <v>#REF!</v>
      </c>
      <c r="FJ488" s="1129" t="e">
        <f t="shared" si="2277"/>
        <v>#REF!</v>
      </c>
      <c r="FK488" s="1129" t="e">
        <f t="shared" si="2277"/>
        <v>#REF!</v>
      </c>
      <c r="FL488" s="1129" t="e">
        <f t="shared" si="2277"/>
        <v>#REF!</v>
      </c>
      <c r="FM488" s="1129" t="e">
        <f t="shared" si="2277"/>
        <v>#REF!</v>
      </c>
      <c r="FN488" s="189"/>
      <c r="FO488" s="193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</row>
    <row r="489" spans="1:181" ht="12.75" hidden="1" customHeight="1" x14ac:dyDescent="0.3">
      <c r="A489" s="70" t="s">
        <v>363</v>
      </c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3"/>
      <c r="AQ489" s="193"/>
      <c r="AR489" s="193"/>
      <c r="AS489" s="193"/>
      <c r="AT489" s="193"/>
      <c r="AU489" s="193"/>
      <c r="AV489" s="193"/>
      <c r="AW489" s="193"/>
      <c r="AX489" s="193"/>
      <c r="AY489" s="193"/>
      <c r="AZ489" s="193"/>
      <c r="BA489" s="193"/>
      <c r="BB489" s="193"/>
      <c r="BC489" s="193"/>
      <c r="BD489" s="193"/>
      <c r="BE489" s="193"/>
      <c r="BF489" s="193"/>
      <c r="BG489" s="193"/>
      <c r="BH489" s="193"/>
      <c r="BI489" s="193"/>
      <c r="BJ489" s="193"/>
      <c r="BK489" s="193"/>
      <c r="BL489" s="192"/>
      <c r="BM489" s="192"/>
      <c r="BN489" s="192"/>
      <c r="BO489" s="192"/>
      <c r="BP489" s="192"/>
      <c r="BQ489" s="192"/>
      <c r="BR489" s="193"/>
      <c r="BS489" s="193"/>
      <c r="BT489" s="193"/>
      <c r="BU489" s="193"/>
      <c r="BV489" s="192"/>
      <c r="BW489" s="193"/>
      <c r="BX489" s="193"/>
      <c r="BY489" s="193"/>
      <c r="BZ489" s="193"/>
      <c r="CA489" s="192"/>
      <c r="CB489" s="193"/>
      <c r="CC489" s="193"/>
      <c r="CD489" s="193"/>
      <c r="CE489" s="193"/>
      <c r="CF489" s="192"/>
      <c r="CG489" s="193"/>
      <c r="CH489" s="193"/>
      <c r="CI489" s="193"/>
      <c r="CJ489" s="193"/>
      <c r="CK489" s="192"/>
      <c r="CL489" s="193"/>
      <c r="CM489" s="193"/>
      <c r="CN489" s="193"/>
      <c r="CO489" s="193"/>
      <c r="CP489" s="192"/>
      <c r="CQ489" s="193"/>
      <c r="CR489" s="193"/>
      <c r="CS489" s="193"/>
      <c r="CT489" s="193"/>
      <c r="CU489" s="193"/>
      <c r="CV489" s="193"/>
      <c r="CW489" s="193"/>
      <c r="CX489" s="193"/>
      <c r="CY489" s="193"/>
      <c r="CZ489" s="193"/>
      <c r="DA489" s="193"/>
      <c r="DB489" s="193"/>
      <c r="DC489" s="193"/>
      <c r="DD489" s="193"/>
      <c r="DE489" s="193"/>
      <c r="DF489" s="193"/>
      <c r="DG489" s="193"/>
      <c r="DH489" s="193"/>
      <c r="DI489" s="193"/>
      <c r="DJ489" s="193"/>
      <c r="DK489" s="193"/>
      <c r="DL489" s="193"/>
      <c r="DM489" s="193"/>
      <c r="DN489" s="193"/>
      <c r="DO489" s="193"/>
      <c r="DP489" s="193"/>
      <c r="DQ489" s="193"/>
      <c r="DR489" s="193"/>
      <c r="DS489" s="193"/>
      <c r="DT489" s="193"/>
      <c r="DU489" s="196"/>
      <c r="DV489" s="196"/>
      <c r="DW489" s="196"/>
      <c r="DX489" s="665"/>
      <c r="DY489" s="1191"/>
      <c r="DZ489" s="197"/>
      <c r="EB489" s="665"/>
      <c r="EC489" s="665"/>
      <c r="ED489" s="1204"/>
      <c r="EE489" s="75" t="e">
        <f t="shared" ref="EE489:EX489" si="2278">+EE488/DZ488-1</f>
        <v>#REF!</v>
      </c>
      <c r="EF489" s="75" t="e">
        <f t="shared" si="2278"/>
        <v>#REF!</v>
      </c>
      <c r="EG489" s="75" t="e">
        <f t="shared" si="2278"/>
        <v>#REF!</v>
      </c>
      <c r="EH489" s="75" t="e">
        <f t="shared" si="2278"/>
        <v>#REF!</v>
      </c>
      <c r="EI489" s="1119" t="e">
        <f t="shared" si="2278"/>
        <v>#REF!</v>
      </c>
      <c r="EJ489" s="75" t="e">
        <f t="shared" si="2278"/>
        <v>#REF!</v>
      </c>
      <c r="EK489" s="75" t="e">
        <f t="shared" si="2278"/>
        <v>#REF!</v>
      </c>
      <c r="EL489" s="735" t="e">
        <f t="shared" si="2278"/>
        <v>#REF!</v>
      </c>
      <c r="EM489" s="735" t="e">
        <f t="shared" si="2278"/>
        <v>#REF!</v>
      </c>
      <c r="EN489" s="1119" t="e">
        <f t="shared" si="2278"/>
        <v>#REF!</v>
      </c>
      <c r="EO489" s="75" t="e">
        <f t="shared" si="2278"/>
        <v>#REF!</v>
      </c>
      <c r="EP489" s="735" t="e">
        <f t="shared" si="2278"/>
        <v>#REF!</v>
      </c>
      <c r="EQ489" s="735" t="e">
        <f t="shared" si="2278"/>
        <v>#REF!</v>
      </c>
      <c r="ER489" s="735" t="e">
        <f t="shared" si="2278"/>
        <v>#REF!</v>
      </c>
      <c r="ES489" s="1119" t="e">
        <f t="shared" si="2278"/>
        <v>#REF!</v>
      </c>
      <c r="ET489" s="735" t="e">
        <f t="shared" si="2278"/>
        <v>#REF!</v>
      </c>
      <c r="EU489" s="735" t="e">
        <f t="shared" si="2278"/>
        <v>#REF!</v>
      </c>
      <c r="EV489" s="735" t="e">
        <f t="shared" si="2278"/>
        <v>#REF!</v>
      </c>
      <c r="EW489" s="735" t="e">
        <f t="shared" si="2278"/>
        <v>#REF!</v>
      </c>
      <c r="EX489" s="1119" t="e">
        <f t="shared" si="2278"/>
        <v>#REF!</v>
      </c>
      <c r="EY489" s="735" t="e">
        <f t="shared" ref="EY489" si="2279">+EY488/ET488-1</f>
        <v>#REF!</v>
      </c>
      <c r="EZ489" s="735" t="e">
        <f t="shared" ref="EZ489" si="2280">+EZ488/EU488-1</f>
        <v>#REF!</v>
      </c>
      <c r="FA489" s="735" t="e">
        <f t="shared" ref="FA489" si="2281">+FA488/EV488-1</f>
        <v>#REF!</v>
      </c>
      <c r="FB489" s="735" t="e">
        <f t="shared" ref="FB489:FC489" si="2282">+FB488/EW488-1</f>
        <v>#REF!</v>
      </c>
      <c r="FC489" s="1119" t="e">
        <f t="shared" si="2282"/>
        <v>#REF!</v>
      </c>
      <c r="FD489" s="735" t="e">
        <f t="shared" ref="FD489" si="2283">+FD488/EY488-1</f>
        <v>#REF!</v>
      </c>
      <c r="FE489" s="735" t="e">
        <f t="shared" ref="FE489" si="2284">+FE488/EZ488-1</f>
        <v>#REF!</v>
      </c>
      <c r="FF489" s="735" t="e">
        <f t="shared" ref="FF489" si="2285">+FF488/FA488-1</f>
        <v>#REF!</v>
      </c>
      <c r="FG489" s="735" t="e">
        <f t="shared" ref="FG489:FH489" si="2286">+FG488/FB488-1</f>
        <v>#REF!</v>
      </c>
      <c r="FH489" s="1119" t="e">
        <f t="shared" si="2286"/>
        <v>#REF!</v>
      </c>
      <c r="FI489" s="735" t="e">
        <f t="shared" ref="FI489:FM489" si="2287">FI488/FH488-1</f>
        <v>#REF!</v>
      </c>
      <c r="FJ489" s="735" t="e">
        <f t="shared" si="2287"/>
        <v>#REF!</v>
      </c>
      <c r="FK489" s="735" t="e">
        <f t="shared" si="2287"/>
        <v>#REF!</v>
      </c>
      <c r="FL489" s="735" t="e">
        <f t="shared" si="2287"/>
        <v>#REF!</v>
      </c>
      <c r="FM489" s="735" t="e">
        <f t="shared" si="2287"/>
        <v>#REF!</v>
      </c>
      <c r="FN489" s="193"/>
      <c r="FO489" s="193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</row>
    <row r="490" spans="1:181" ht="12.75" hidden="1" customHeight="1" x14ac:dyDescent="0.3">
      <c r="A490" s="61" t="s">
        <v>391</v>
      </c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3"/>
      <c r="AK490" s="193"/>
      <c r="AL490" s="193"/>
      <c r="AM490" s="193"/>
      <c r="AN490" s="193"/>
      <c r="AO490" s="193"/>
      <c r="AP490" s="193"/>
      <c r="AQ490" s="193"/>
      <c r="AR490" s="193"/>
      <c r="AS490" s="193"/>
      <c r="AT490" s="193"/>
      <c r="AU490" s="193"/>
      <c r="AV490" s="193"/>
      <c r="AW490" s="193"/>
      <c r="AX490" s="193"/>
      <c r="AY490" s="193"/>
      <c r="AZ490" s="193"/>
      <c r="BA490" s="193"/>
      <c r="BB490" s="193"/>
      <c r="BC490" s="193"/>
      <c r="BD490" s="193"/>
      <c r="BE490" s="193"/>
      <c r="BF490" s="193"/>
      <c r="BG490" s="193"/>
      <c r="BH490" s="193"/>
      <c r="BI490" s="193"/>
      <c r="BJ490" s="193"/>
      <c r="BK490" s="193"/>
      <c r="BL490" s="192"/>
      <c r="BM490" s="192"/>
      <c r="BN490" s="192"/>
      <c r="BO490" s="192"/>
      <c r="BP490" s="192"/>
      <c r="BQ490" s="192"/>
      <c r="BR490" s="193"/>
      <c r="BS490" s="193"/>
      <c r="BT490" s="193"/>
      <c r="BU490" s="193"/>
      <c r="BV490" s="192"/>
      <c r="BW490" s="193"/>
      <c r="BX490" s="193"/>
      <c r="BY490" s="193"/>
      <c r="BZ490" s="193"/>
      <c r="CA490" s="192"/>
      <c r="CB490" s="193"/>
      <c r="CC490" s="193"/>
      <c r="CD490" s="193"/>
      <c r="CE490" s="193"/>
      <c r="CF490" s="192"/>
      <c r="CG490" s="193"/>
      <c r="CH490" s="193"/>
      <c r="CI490" s="193"/>
      <c r="CJ490" s="193"/>
      <c r="CK490" s="192"/>
      <c r="CL490" s="193"/>
      <c r="CM490" s="193"/>
      <c r="CN490" s="193"/>
      <c r="CO490" s="193"/>
      <c r="CP490" s="192"/>
      <c r="CQ490" s="193"/>
      <c r="CR490" s="193"/>
      <c r="CS490" s="193"/>
      <c r="CT490" s="193"/>
      <c r="CU490" s="193"/>
      <c r="CV490" s="193"/>
      <c r="CW490" s="193"/>
      <c r="CX490" s="193"/>
      <c r="CY490" s="193"/>
      <c r="CZ490" s="193"/>
      <c r="DA490" s="193"/>
      <c r="DB490" s="193"/>
      <c r="DC490" s="193"/>
      <c r="DD490" s="193"/>
      <c r="DE490" s="193"/>
      <c r="DF490" s="193"/>
      <c r="DG490" s="193"/>
      <c r="DH490" s="193"/>
      <c r="DI490" s="193"/>
      <c r="DJ490" s="193"/>
      <c r="DK490" s="193"/>
      <c r="DL490" s="193"/>
      <c r="DM490" s="193"/>
      <c r="DN490" s="193"/>
      <c r="DO490" s="193"/>
      <c r="DP490" s="193"/>
      <c r="DQ490" s="193"/>
      <c r="DR490" s="193"/>
      <c r="DS490" s="193"/>
      <c r="DT490" s="193"/>
      <c r="DU490" s="196"/>
      <c r="DV490" s="196"/>
      <c r="DW490" s="196"/>
      <c r="DX490" s="665"/>
      <c r="DY490" s="1191"/>
      <c r="DZ490" s="111" t="e">
        <f>#REF!</f>
        <v>#REF!</v>
      </c>
      <c r="EA490" s="111" t="e">
        <f>#REF!</f>
        <v>#REF!</v>
      </c>
      <c r="EB490" s="111" t="e">
        <f>#REF!</f>
        <v>#REF!</v>
      </c>
      <c r="EC490" s="111" t="e">
        <f>#REF!</f>
        <v>#REF!</v>
      </c>
      <c r="ED490" s="112" t="e">
        <f>ED488/ED180*1000/12</f>
        <v>#REF!</v>
      </c>
      <c r="EE490" s="111" t="e">
        <f>#REF!</f>
        <v>#REF!</v>
      </c>
      <c r="EF490" s="111" t="e">
        <f>#REF!</f>
        <v>#REF!</v>
      </c>
      <c r="EG490" s="111" t="e">
        <f>#REF!</f>
        <v>#REF!</v>
      </c>
      <c r="EH490" s="111" t="e">
        <f>#REF!</f>
        <v>#REF!</v>
      </c>
      <c r="EI490" s="1123" t="e">
        <f>EI488/EI180*1000/12</f>
        <v>#REF!</v>
      </c>
      <c r="EJ490" s="111" t="e">
        <f>#REF!</f>
        <v>#REF!</v>
      </c>
      <c r="EK490" s="111" t="e">
        <f>#REF!</f>
        <v>#REF!</v>
      </c>
      <c r="EL490" s="1122" t="e">
        <f>#REF!</f>
        <v>#REF!</v>
      </c>
      <c r="EM490" s="1122" t="e">
        <f>#REF!</f>
        <v>#REF!</v>
      </c>
      <c r="EN490" s="1123" t="e">
        <f>EN488/EN180*1000/12</f>
        <v>#REF!</v>
      </c>
      <c r="EO490" s="111" t="e">
        <f>#REF!</f>
        <v>#REF!</v>
      </c>
      <c r="EP490" s="1122" t="e">
        <f>#REF!</f>
        <v>#REF!</v>
      </c>
      <c r="EQ490" s="1122" t="e">
        <f>#REF!</f>
        <v>#REF!</v>
      </c>
      <c r="ER490" s="1122" t="e">
        <f>#REF!</f>
        <v>#REF!</v>
      </c>
      <c r="ES490" s="1123" t="e">
        <f>ES488/ES180*1000/12</f>
        <v>#REF!</v>
      </c>
      <c r="ET490" s="1122" t="e">
        <f>#REF!</f>
        <v>#REF!</v>
      </c>
      <c r="EU490" s="1122" t="e">
        <f>#REF!</f>
        <v>#REF!</v>
      </c>
      <c r="EV490" s="1122" t="e">
        <f>#REF!</f>
        <v>#REF!</v>
      </c>
      <c r="EW490" s="1122" t="e">
        <f>#REF!</f>
        <v>#REF!</v>
      </c>
      <c r="EX490" s="1123" t="e">
        <f>EX488/EX180*1000/12</f>
        <v>#REF!</v>
      </c>
      <c r="EY490" s="1122" t="e">
        <f>#REF!</f>
        <v>#REF!</v>
      </c>
      <c r="EZ490" s="1122" t="e">
        <f>#REF!</f>
        <v>#REF!</v>
      </c>
      <c r="FA490" s="1122" t="e">
        <f>#REF!</f>
        <v>#REF!</v>
      </c>
      <c r="FB490" s="1122" t="e">
        <f>#REF!</f>
        <v>#REF!</v>
      </c>
      <c r="FC490" s="1123" t="e">
        <f>FC488/FC180*1000/12</f>
        <v>#REF!</v>
      </c>
      <c r="FD490" s="1122" t="e">
        <f>#REF!</f>
        <v>#REF!</v>
      </c>
      <c r="FE490" s="1122" t="e">
        <f>#REF!</f>
        <v>#REF!</v>
      </c>
      <c r="FF490" s="1122" t="e">
        <f>#REF!</f>
        <v>#REF!</v>
      </c>
      <c r="FG490" s="1122" t="e">
        <f>#REF!</f>
        <v>#REF!</v>
      </c>
      <c r="FH490" s="1123" t="e">
        <f>FH488/FH180*1000/12</f>
        <v>#REF!</v>
      </c>
      <c r="FI490" s="1122" t="e">
        <f>#REF!</f>
        <v>#REF!</v>
      </c>
      <c r="FJ490" s="1122" t="e">
        <f>#REF!</f>
        <v>#REF!</v>
      </c>
      <c r="FK490" s="1122" t="e">
        <f>#REF!</f>
        <v>#REF!</v>
      </c>
      <c r="FL490" s="1122" t="e">
        <f>#REF!</f>
        <v>#REF!</v>
      </c>
      <c r="FM490" s="1122" t="e">
        <f>#REF!</f>
        <v>#REF!</v>
      </c>
      <c r="FN490" s="189"/>
      <c r="FO490" s="193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</row>
    <row r="491" spans="1:181" ht="12.75" hidden="1" customHeight="1" x14ac:dyDescent="0.3">
      <c r="A491" s="70" t="s">
        <v>387</v>
      </c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/>
      <c r="AG491" s="193"/>
      <c r="AH491" s="193"/>
      <c r="AI491" s="193"/>
      <c r="AJ491" s="193"/>
      <c r="AK491" s="193"/>
      <c r="AL491" s="193"/>
      <c r="AM491" s="193"/>
      <c r="AN491" s="193"/>
      <c r="AO491" s="193"/>
      <c r="AP491" s="193"/>
      <c r="AQ491" s="193"/>
      <c r="AR491" s="193"/>
      <c r="AS491" s="193"/>
      <c r="AT491" s="193"/>
      <c r="AU491" s="193"/>
      <c r="AV491" s="193"/>
      <c r="AW491" s="193"/>
      <c r="AX491" s="193"/>
      <c r="AY491" s="193"/>
      <c r="AZ491" s="193"/>
      <c r="BA491" s="193"/>
      <c r="BB491" s="193"/>
      <c r="BC491" s="193"/>
      <c r="BD491" s="193"/>
      <c r="BE491" s="193"/>
      <c r="BF491" s="193"/>
      <c r="BG491" s="193"/>
      <c r="BH491" s="193"/>
      <c r="BI491" s="193"/>
      <c r="BJ491" s="193"/>
      <c r="BK491" s="193"/>
      <c r="BL491" s="192"/>
      <c r="BM491" s="192"/>
      <c r="BN491" s="192"/>
      <c r="BO491" s="192"/>
      <c r="BP491" s="192"/>
      <c r="BQ491" s="192"/>
      <c r="BR491" s="193"/>
      <c r="BS491" s="193"/>
      <c r="BT491" s="193"/>
      <c r="BU491" s="193"/>
      <c r="BV491" s="192"/>
      <c r="BW491" s="193"/>
      <c r="BX491" s="193"/>
      <c r="BY491" s="193"/>
      <c r="BZ491" s="193"/>
      <c r="CA491" s="192"/>
      <c r="CB491" s="193"/>
      <c r="CC491" s="193"/>
      <c r="CD491" s="193"/>
      <c r="CE491" s="193"/>
      <c r="CF491" s="192"/>
      <c r="CG491" s="193"/>
      <c r="CH491" s="193"/>
      <c r="CI491" s="193"/>
      <c r="CJ491" s="193"/>
      <c r="CK491" s="192"/>
      <c r="CL491" s="193"/>
      <c r="CM491" s="193"/>
      <c r="CN491" s="193"/>
      <c r="CO491" s="193"/>
      <c r="CP491" s="192"/>
      <c r="CQ491" s="193"/>
      <c r="CR491" s="193"/>
      <c r="CS491" s="193"/>
      <c r="CT491" s="193"/>
      <c r="CU491" s="193"/>
      <c r="CV491" s="193"/>
      <c r="CW491" s="193"/>
      <c r="CX491" s="193"/>
      <c r="CY491" s="193"/>
      <c r="CZ491" s="193"/>
      <c r="DA491" s="193"/>
      <c r="DB491" s="193"/>
      <c r="DC491" s="193"/>
      <c r="DD491" s="193"/>
      <c r="DE491" s="193"/>
      <c r="DF491" s="193"/>
      <c r="DG491" s="193"/>
      <c r="DH491" s="193"/>
      <c r="DI491" s="193"/>
      <c r="DJ491" s="193"/>
      <c r="DK491" s="193"/>
      <c r="DL491" s="193"/>
      <c r="DM491" s="193"/>
      <c r="DN491" s="193"/>
      <c r="DO491" s="193"/>
      <c r="DP491" s="193"/>
      <c r="DQ491" s="193"/>
      <c r="DR491" s="193"/>
      <c r="DS491" s="193"/>
      <c r="DT491" s="193"/>
      <c r="DU491" s="196"/>
      <c r="DV491" s="196"/>
      <c r="DW491" s="196"/>
      <c r="DX491" s="665"/>
      <c r="DY491" s="1191"/>
      <c r="DZ491" s="197"/>
      <c r="EB491" s="665"/>
      <c r="EC491" s="665"/>
      <c r="ED491" s="1204"/>
      <c r="EE491" s="75" t="e">
        <f t="shared" ref="EE491:EK491" si="2288">+EE490/DZ490-1</f>
        <v>#REF!</v>
      </c>
      <c r="EF491" s="75" t="e">
        <f t="shared" si="2288"/>
        <v>#REF!</v>
      </c>
      <c r="EG491" s="75" t="e">
        <f t="shared" si="2288"/>
        <v>#REF!</v>
      </c>
      <c r="EH491" s="75" t="e">
        <f t="shared" si="2288"/>
        <v>#REF!</v>
      </c>
      <c r="EI491" s="1119" t="e">
        <f t="shared" si="2288"/>
        <v>#REF!</v>
      </c>
      <c r="EJ491" s="75" t="e">
        <f t="shared" si="2288"/>
        <v>#REF!</v>
      </c>
      <c r="EK491" s="75" t="e">
        <f t="shared" si="2288"/>
        <v>#REF!</v>
      </c>
      <c r="EL491" s="1120" t="e">
        <f>EK491*0.9</f>
        <v>#REF!</v>
      </c>
      <c r="EM491" s="1120" t="e">
        <f>EL491*0.9</f>
        <v>#REF!</v>
      </c>
      <c r="EN491" s="1119" t="e">
        <f>+EN490/EI490-1</f>
        <v>#REF!</v>
      </c>
      <c r="EO491" s="75" t="e">
        <f t="shared" ref="EO491" si="2289">+EO490/EJ490-1</f>
        <v>#REF!</v>
      </c>
      <c r="EP491" s="1120" t="e">
        <f t="shared" ref="EP491:ER491" si="2290">EO491*0.9</f>
        <v>#REF!</v>
      </c>
      <c r="EQ491" s="1120" t="e">
        <f t="shared" si="2290"/>
        <v>#REF!</v>
      </c>
      <c r="ER491" s="1120" t="e">
        <f t="shared" si="2290"/>
        <v>#REF!</v>
      </c>
      <c r="ES491" s="1119" t="e">
        <f>+ES490/EN490-1</f>
        <v>#REF!</v>
      </c>
      <c r="ET491" s="1120" t="e">
        <f t="shared" ref="ET491:EW491" si="2291">ES491*0.9</f>
        <v>#REF!</v>
      </c>
      <c r="EU491" s="1120" t="e">
        <f t="shared" si="2291"/>
        <v>#REF!</v>
      </c>
      <c r="EV491" s="1120" t="e">
        <f t="shared" si="2291"/>
        <v>#REF!</v>
      </c>
      <c r="EW491" s="1120" t="e">
        <f t="shared" si="2291"/>
        <v>#REF!</v>
      </c>
      <c r="EX491" s="1119" t="e">
        <f>+EX490/ES490-1</f>
        <v>#REF!</v>
      </c>
      <c r="EY491" s="1120" t="e">
        <f t="shared" ref="EY491" si="2292">EX491*0.9</f>
        <v>#REF!</v>
      </c>
      <c r="EZ491" s="1120" t="e">
        <f t="shared" ref="EZ491" si="2293">EY491*0.9</f>
        <v>#REF!</v>
      </c>
      <c r="FA491" s="1120" t="e">
        <f t="shared" ref="FA491" si="2294">EZ491*0.9</f>
        <v>#REF!</v>
      </c>
      <c r="FB491" s="1120" t="e">
        <f t="shared" ref="FB491" si="2295">FA491*0.9</f>
        <v>#REF!</v>
      </c>
      <c r="FC491" s="1119" t="e">
        <f>+FC490/EX490-1</f>
        <v>#REF!</v>
      </c>
      <c r="FD491" s="1120" t="e">
        <f t="shared" ref="FD491" si="2296">FC491*0.9</f>
        <v>#REF!</v>
      </c>
      <c r="FE491" s="1120" t="e">
        <f t="shared" ref="FE491" si="2297">FD491*0.9</f>
        <v>#REF!</v>
      </c>
      <c r="FF491" s="1120" t="e">
        <f t="shared" ref="FF491" si="2298">FE491*0.9</f>
        <v>#REF!</v>
      </c>
      <c r="FG491" s="1120" t="e">
        <f t="shared" ref="FG491" si="2299">FF491*0.9</f>
        <v>#REF!</v>
      </c>
      <c r="FH491" s="1119" t="e">
        <f>+FH490/FC490-1</f>
        <v>#REF!</v>
      </c>
      <c r="FI491" s="1120" t="e">
        <f t="shared" ref="FI491:FM491" si="2300">FH491*0.8</f>
        <v>#REF!</v>
      </c>
      <c r="FJ491" s="1120" t="e">
        <f t="shared" si="2300"/>
        <v>#REF!</v>
      </c>
      <c r="FK491" s="1120" t="e">
        <f t="shared" si="2300"/>
        <v>#REF!</v>
      </c>
      <c r="FL491" s="1120" t="e">
        <f t="shared" si="2300"/>
        <v>#REF!</v>
      </c>
      <c r="FM491" s="1120" t="e">
        <f t="shared" si="2300"/>
        <v>#REF!</v>
      </c>
      <c r="FN491" s="193"/>
      <c r="FO491" s="193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</row>
    <row r="492" spans="1:181" ht="12.75" hidden="1" customHeight="1" x14ac:dyDescent="0.3">
      <c r="A492" s="192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/>
      <c r="AG492" s="193"/>
      <c r="AH492" s="193"/>
      <c r="AI492" s="193"/>
      <c r="AJ492" s="193"/>
      <c r="AK492" s="193"/>
      <c r="AL492" s="193"/>
      <c r="AM492" s="193"/>
      <c r="AN492" s="193"/>
      <c r="AO492" s="193"/>
      <c r="AP492" s="193"/>
      <c r="AQ492" s="193"/>
      <c r="AR492" s="193"/>
      <c r="AS492" s="193"/>
      <c r="AT492" s="193"/>
      <c r="AU492" s="193"/>
      <c r="AV492" s="193"/>
      <c r="AW492" s="193"/>
      <c r="AX492" s="193"/>
      <c r="AY492" s="193"/>
      <c r="AZ492" s="193"/>
      <c r="BA492" s="193"/>
      <c r="BB492" s="193"/>
      <c r="BC492" s="193"/>
      <c r="BD492" s="193"/>
      <c r="BE492" s="193"/>
      <c r="BF492" s="193"/>
      <c r="BG492" s="193"/>
      <c r="BH492" s="193"/>
      <c r="BI492" s="193"/>
      <c r="BJ492" s="193"/>
      <c r="BK492" s="193"/>
      <c r="BL492" s="192"/>
      <c r="BM492" s="192"/>
      <c r="BN492" s="192"/>
      <c r="BO492" s="192"/>
      <c r="BP492" s="192"/>
      <c r="BQ492" s="192"/>
      <c r="BR492" s="193"/>
      <c r="BS492" s="193"/>
      <c r="BT492" s="193"/>
      <c r="BU492" s="193"/>
      <c r="BV492" s="192"/>
      <c r="BW492" s="193"/>
      <c r="BX492" s="193"/>
      <c r="BY492" s="193"/>
      <c r="BZ492" s="193"/>
      <c r="CA492" s="192"/>
      <c r="CB492" s="193"/>
      <c r="CC492" s="193"/>
      <c r="CD492" s="193"/>
      <c r="CE492" s="193"/>
      <c r="CF492" s="192"/>
      <c r="CG492" s="193"/>
      <c r="CH492" s="193"/>
      <c r="CI492" s="193"/>
      <c r="CJ492" s="193"/>
      <c r="CK492" s="192"/>
      <c r="CL492" s="193"/>
      <c r="CM492" s="193"/>
      <c r="CN492" s="193"/>
      <c r="CO492" s="193"/>
      <c r="CP492" s="192"/>
      <c r="CQ492" s="193"/>
      <c r="CR492" s="193"/>
      <c r="CS492" s="193"/>
      <c r="CT492" s="193"/>
      <c r="CU492" s="193"/>
      <c r="CV492" s="193"/>
      <c r="CW492" s="193"/>
      <c r="CX492" s="193"/>
      <c r="CY492" s="193"/>
      <c r="CZ492" s="193"/>
      <c r="DA492" s="193"/>
      <c r="DB492" s="193"/>
      <c r="DC492" s="193"/>
      <c r="DD492" s="193"/>
      <c r="DE492" s="193"/>
      <c r="DF492" s="193"/>
      <c r="DG492" s="193"/>
      <c r="DH492" s="193"/>
      <c r="DI492" s="193"/>
      <c r="DJ492" s="193"/>
      <c r="DK492" s="193"/>
      <c r="DL492" s="193"/>
      <c r="DM492" s="193"/>
      <c r="DN492" s="193"/>
      <c r="DO492" s="193"/>
      <c r="DP492" s="193"/>
      <c r="DQ492" s="193"/>
      <c r="DR492" s="193"/>
      <c r="DS492" s="193"/>
      <c r="DT492" s="193"/>
      <c r="DU492" s="196"/>
      <c r="DV492" s="196"/>
      <c r="DW492" s="196"/>
      <c r="DX492" s="665"/>
      <c r="DY492" s="1191"/>
      <c r="DZ492" s="197"/>
      <c r="EB492" s="665"/>
      <c r="EC492" s="665"/>
      <c r="ED492" s="1204"/>
      <c r="EE492" s="75"/>
      <c r="EF492" s="75"/>
      <c r="EG492" s="75"/>
      <c r="EH492" s="75"/>
      <c r="EI492" s="1119"/>
      <c r="EJ492" s="75"/>
      <c r="EK492" s="75"/>
      <c r="EL492" s="1120"/>
      <c r="EM492" s="1120"/>
      <c r="EN492" s="1119"/>
      <c r="EO492" s="75"/>
      <c r="EP492" s="1120"/>
      <c r="EQ492" s="1120"/>
      <c r="ER492" s="1120"/>
      <c r="ES492" s="1119"/>
      <c r="ET492" s="1120"/>
      <c r="EU492" s="1120"/>
      <c r="EV492" s="1120"/>
      <c r="EW492" s="1120"/>
      <c r="EX492" s="1119"/>
      <c r="EY492" s="1120"/>
      <c r="EZ492" s="1120"/>
      <c r="FA492" s="1120"/>
      <c r="FB492" s="1120"/>
      <c r="FC492" s="1119"/>
      <c r="FD492" s="1120"/>
      <c r="FE492" s="1120"/>
      <c r="FF492" s="1120"/>
      <c r="FG492" s="1120"/>
      <c r="FH492" s="1119"/>
      <c r="FI492" s="1120"/>
      <c r="FJ492" s="1120"/>
      <c r="FK492" s="1120"/>
      <c r="FL492" s="1120"/>
      <c r="FM492" s="1120"/>
      <c r="FN492" s="193"/>
      <c r="FO492" s="193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</row>
    <row r="493" spans="1:181" ht="12.75" hidden="1" customHeight="1" x14ac:dyDescent="0.3">
      <c r="A493" s="4" t="s">
        <v>479</v>
      </c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  <c r="AE493" s="193"/>
      <c r="AF493" s="193"/>
      <c r="AG493" s="193"/>
      <c r="AH493" s="193"/>
      <c r="AI493" s="193"/>
      <c r="AJ493" s="193"/>
      <c r="AK493" s="193"/>
      <c r="AL493" s="193"/>
      <c r="AM493" s="193"/>
      <c r="AN493" s="193"/>
      <c r="AO493" s="193"/>
      <c r="AP493" s="193"/>
      <c r="AQ493" s="193"/>
      <c r="AR493" s="193"/>
      <c r="AS493" s="193"/>
      <c r="AT493" s="193"/>
      <c r="AU493" s="193"/>
      <c r="AV493" s="193"/>
      <c r="AW493" s="193"/>
      <c r="AX493" s="193"/>
      <c r="AY493" s="193"/>
      <c r="AZ493" s="193"/>
      <c r="BA493" s="193"/>
      <c r="BB493" s="193"/>
      <c r="BC493" s="193"/>
      <c r="BD493" s="193"/>
      <c r="BE493" s="193"/>
      <c r="BF493" s="193"/>
      <c r="BG493" s="193"/>
      <c r="BH493" s="193"/>
      <c r="BI493" s="193"/>
      <c r="BJ493" s="193"/>
      <c r="BK493" s="193"/>
      <c r="BL493" s="192"/>
      <c r="BM493" s="192"/>
      <c r="BN493" s="192"/>
      <c r="BO493" s="192"/>
      <c r="BP493" s="192"/>
      <c r="BQ493" s="192"/>
      <c r="BR493" s="193"/>
      <c r="BS493" s="193"/>
      <c r="BT493" s="193"/>
      <c r="BU493" s="193"/>
      <c r="BV493" s="192"/>
      <c r="BW493" s="193"/>
      <c r="BX493" s="193"/>
      <c r="BY493" s="193"/>
      <c r="BZ493" s="193"/>
      <c r="CA493" s="192"/>
      <c r="CB493" s="193"/>
      <c r="CC493" s="193"/>
      <c r="CD493" s="193"/>
      <c r="CE493" s="193"/>
      <c r="CF493" s="192"/>
      <c r="CG493" s="193"/>
      <c r="CH493" s="193"/>
      <c r="CI493" s="193"/>
      <c r="CJ493" s="193"/>
      <c r="CK493" s="192"/>
      <c r="CL493" s="193"/>
      <c r="CM493" s="193"/>
      <c r="CN493" s="193"/>
      <c r="CO493" s="193"/>
      <c r="CP493" s="192"/>
      <c r="CQ493" s="193"/>
      <c r="CR493" s="193"/>
      <c r="CS493" s="193"/>
      <c r="CT493" s="193"/>
      <c r="CU493" s="193"/>
      <c r="CV493" s="193"/>
      <c r="CW493" s="193"/>
      <c r="CX493" s="193"/>
      <c r="CY493" s="193"/>
      <c r="CZ493" s="193"/>
      <c r="DA493" s="193"/>
      <c r="DB493" s="193"/>
      <c r="DC493" s="193"/>
      <c r="DD493" s="193"/>
      <c r="DE493" s="193"/>
      <c r="DF493" s="193"/>
      <c r="DG493" s="193"/>
      <c r="DH493" s="193"/>
      <c r="DI493" s="193"/>
      <c r="DJ493" s="193"/>
      <c r="DK493" s="193"/>
      <c r="DL493" s="193"/>
      <c r="DM493" s="193"/>
      <c r="DN493" s="193"/>
      <c r="DO493" s="193"/>
      <c r="DP493" s="193"/>
      <c r="DQ493" s="193"/>
      <c r="DR493" s="193"/>
      <c r="DS493" s="193"/>
      <c r="DT493" s="193"/>
      <c r="DU493" s="196"/>
      <c r="DV493" s="196"/>
      <c r="DW493" s="196"/>
      <c r="DX493" s="665"/>
      <c r="DY493" s="1191"/>
      <c r="DZ493" s="134" t="e">
        <f>DZ495*DZ599*3/1000</f>
        <v>#REF!</v>
      </c>
      <c r="EA493" s="134" t="e">
        <f>EA495*EA599*3/1000</f>
        <v>#REF!</v>
      </c>
      <c r="EB493" s="134" t="e">
        <f>EB495*EB599*3/1000</f>
        <v>#REF!</v>
      </c>
      <c r="EC493" s="134" t="e">
        <f>EC495*EC599*3/1000</f>
        <v>#REF!</v>
      </c>
      <c r="ED493" s="85" t="e">
        <f>SUM(DZ493:EC493)</f>
        <v>#REF!</v>
      </c>
      <c r="EE493" s="134" t="e">
        <f>EE495*EE599*3/1000</f>
        <v>#REF!</v>
      </c>
      <c r="EF493" s="134" t="e">
        <f>EF495*EF599*3/1000</f>
        <v>#REF!</v>
      </c>
      <c r="EG493" s="134" t="e">
        <f>EG495*EG599*3/1000</f>
        <v>#REF!</v>
      </c>
      <c r="EH493" s="134" t="e">
        <f>EH495*EH599*3/1000</f>
        <v>#REF!</v>
      </c>
      <c r="EI493" s="731" t="e">
        <f>SUM(EE493:EH493)</f>
        <v>#REF!</v>
      </c>
      <c r="EJ493" s="134" t="e">
        <f>EJ495*EJ599*3/1000</f>
        <v>#REF!</v>
      </c>
      <c r="EK493" s="134" t="e">
        <f>EK495*EK599*3/1000</f>
        <v>#REF!</v>
      </c>
      <c r="EL493" s="609" t="e">
        <f>EL495*EL599*3/1000</f>
        <v>#REF!</v>
      </c>
      <c r="EM493" s="609" t="e">
        <f>EM495*EM599*3/1000</f>
        <v>#REF!</v>
      </c>
      <c r="EN493" s="731" t="e">
        <f>SUM(EJ493:EM493)</f>
        <v>#REF!</v>
      </c>
      <c r="EO493" s="134" t="e">
        <f>EO495*EO599*3/1000</f>
        <v>#REF!</v>
      </c>
      <c r="EP493" s="609" t="e">
        <f>EP495*EP599*3/1000</f>
        <v>#REF!</v>
      </c>
      <c r="EQ493" s="609" t="e">
        <f>EQ495*EQ599*3/1000</f>
        <v>#REF!</v>
      </c>
      <c r="ER493" s="609" t="e">
        <f>ER495*ER599*3/1000</f>
        <v>#REF!</v>
      </c>
      <c r="ES493" s="731" t="e">
        <f>SUM(EO493:ER493)</f>
        <v>#REF!</v>
      </c>
      <c r="ET493" s="609" t="e">
        <f>ET495*ET599*3/1000</f>
        <v>#REF!</v>
      </c>
      <c r="EU493" s="609" t="e">
        <f>EU495*EU599*3/1000</f>
        <v>#REF!</v>
      </c>
      <c r="EV493" s="609" t="e">
        <f>EV495*EV599*3/1000</f>
        <v>#REF!</v>
      </c>
      <c r="EW493" s="609" t="e">
        <f>EW495*EW599*3/1000</f>
        <v>#REF!</v>
      </c>
      <c r="EX493" s="731" t="e">
        <f>SUM(ET493:EW493)</f>
        <v>#REF!</v>
      </c>
      <c r="EY493" s="609" t="e">
        <f>EY495*EY599*3/1000</f>
        <v>#REF!</v>
      </c>
      <c r="EZ493" s="609" t="e">
        <f>EZ495*EZ599*3/1000</f>
        <v>#REF!</v>
      </c>
      <c r="FA493" s="609" t="e">
        <f>FA495*FA599*3/1000</f>
        <v>#REF!</v>
      </c>
      <c r="FB493" s="609" t="e">
        <f>FB495*FB599*3/1000</f>
        <v>#REF!</v>
      </c>
      <c r="FC493" s="731" t="e">
        <f>SUM(EY493:FB493)</f>
        <v>#REF!</v>
      </c>
      <c r="FD493" s="609" t="e">
        <f>FD495*FD599*3/1000</f>
        <v>#REF!</v>
      </c>
      <c r="FE493" s="609" t="e">
        <f>FE495*FE599*3/1000</f>
        <v>#REF!</v>
      </c>
      <c r="FF493" s="609" t="e">
        <f>FF495*FF599*3/1000</f>
        <v>#REF!</v>
      </c>
      <c r="FG493" s="609" t="e">
        <f>FG495*FG599*3/1000</f>
        <v>#REF!</v>
      </c>
      <c r="FH493" s="731" t="e">
        <f>SUM(FD493:FG493)</f>
        <v>#REF!</v>
      </c>
      <c r="FI493" s="609" t="e">
        <f>FI495*FI599*12/1000</f>
        <v>#REF!</v>
      </c>
      <c r="FJ493" s="609" t="e">
        <f>FJ495*FJ599*12/1000</f>
        <v>#REF!</v>
      </c>
      <c r="FK493" s="609" t="e">
        <f>FK495*FK599*12/1000</f>
        <v>#REF!</v>
      </c>
      <c r="FL493" s="609" t="e">
        <f>FL495*FL599*12/1000</f>
        <v>#REF!</v>
      </c>
      <c r="FM493" s="609" t="e">
        <f>FM495*FM599*12/1000</f>
        <v>#REF!</v>
      </c>
      <c r="FN493" s="189"/>
      <c r="FO493" s="193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</row>
    <row r="494" spans="1:181" ht="12.75" hidden="1" customHeight="1" x14ac:dyDescent="0.3">
      <c r="A494" s="70" t="s">
        <v>363</v>
      </c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  <c r="AE494" s="193"/>
      <c r="AF494" s="193"/>
      <c r="AG494" s="193"/>
      <c r="AH494" s="193"/>
      <c r="AI494" s="193"/>
      <c r="AJ494" s="193"/>
      <c r="AK494" s="193"/>
      <c r="AL494" s="193"/>
      <c r="AM494" s="193"/>
      <c r="AN494" s="193"/>
      <c r="AO494" s="193"/>
      <c r="AP494" s="193"/>
      <c r="AQ494" s="193"/>
      <c r="AR494" s="193"/>
      <c r="AS494" s="193"/>
      <c r="AT494" s="193"/>
      <c r="AU494" s="193"/>
      <c r="AV494" s="193"/>
      <c r="AW494" s="193"/>
      <c r="AX494" s="193"/>
      <c r="AY494" s="193"/>
      <c r="AZ494" s="193"/>
      <c r="BA494" s="193"/>
      <c r="BB494" s="193"/>
      <c r="BC494" s="193"/>
      <c r="BD494" s="193"/>
      <c r="BE494" s="193"/>
      <c r="BF494" s="193"/>
      <c r="BG494" s="193"/>
      <c r="BH494" s="193"/>
      <c r="BI494" s="193"/>
      <c r="BJ494" s="193"/>
      <c r="BK494" s="193"/>
      <c r="BL494" s="192"/>
      <c r="BM494" s="192"/>
      <c r="BN494" s="192"/>
      <c r="BO494" s="192"/>
      <c r="BP494" s="192"/>
      <c r="BQ494" s="192"/>
      <c r="BR494" s="193"/>
      <c r="BS494" s="193"/>
      <c r="BT494" s="193"/>
      <c r="BU494" s="193"/>
      <c r="BV494" s="192"/>
      <c r="BW494" s="193"/>
      <c r="BX494" s="193"/>
      <c r="BY494" s="193"/>
      <c r="BZ494" s="193"/>
      <c r="CA494" s="192"/>
      <c r="CB494" s="193"/>
      <c r="CC494" s="193"/>
      <c r="CD494" s="193"/>
      <c r="CE494" s="193"/>
      <c r="CF494" s="192"/>
      <c r="CG494" s="193"/>
      <c r="CH494" s="193"/>
      <c r="CI494" s="193"/>
      <c r="CJ494" s="193"/>
      <c r="CK494" s="192"/>
      <c r="CL494" s="193"/>
      <c r="CM494" s="193"/>
      <c r="CN494" s="193"/>
      <c r="CO494" s="193"/>
      <c r="CP494" s="192"/>
      <c r="CQ494" s="193"/>
      <c r="CR494" s="193"/>
      <c r="CS494" s="193"/>
      <c r="CT494" s="193"/>
      <c r="CU494" s="193"/>
      <c r="CV494" s="193"/>
      <c r="CW494" s="193"/>
      <c r="CX494" s="193"/>
      <c r="CY494" s="193"/>
      <c r="CZ494" s="193"/>
      <c r="DA494" s="193"/>
      <c r="DB494" s="193"/>
      <c r="DC494" s="193"/>
      <c r="DD494" s="193"/>
      <c r="DE494" s="193"/>
      <c r="DF494" s="193"/>
      <c r="DG494" s="193"/>
      <c r="DH494" s="193"/>
      <c r="DI494" s="193"/>
      <c r="DJ494" s="193"/>
      <c r="DK494" s="193"/>
      <c r="DL494" s="193"/>
      <c r="DM494" s="193"/>
      <c r="DN494" s="193"/>
      <c r="DO494" s="193"/>
      <c r="DP494" s="193"/>
      <c r="DQ494" s="193"/>
      <c r="DR494" s="193"/>
      <c r="DS494" s="193"/>
      <c r="DT494" s="193"/>
      <c r="DU494" s="196"/>
      <c r="DV494" s="196"/>
      <c r="DW494" s="196"/>
      <c r="DX494" s="665"/>
      <c r="DY494" s="1191"/>
      <c r="DZ494" s="197"/>
      <c r="EB494" s="665"/>
      <c r="EC494" s="665"/>
      <c r="ED494" s="1204"/>
      <c r="EE494" s="75" t="e">
        <f t="shared" ref="EE494:EX494" si="2301">+EE493/DZ493-1</f>
        <v>#REF!</v>
      </c>
      <c r="EF494" s="75" t="e">
        <f t="shared" si="2301"/>
        <v>#REF!</v>
      </c>
      <c r="EG494" s="75" t="e">
        <f t="shared" si="2301"/>
        <v>#REF!</v>
      </c>
      <c r="EH494" s="75" t="e">
        <f t="shared" si="2301"/>
        <v>#REF!</v>
      </c>
      <c r="EI494" s="1119" t="e">
        <f t="shared" si="2301"/>
        <v>#REF!</v>
      </c>
      <c r="EJ494" s="75" t="e">
        <f t="shared" si="2301"/>
        <v>#REF!</v>
      </c>
      <c r="EK494" s="75" t="e">
        <f t="shared" si="2301"/>
        <v>#REF!</v>
      </c>
      <c r="EL494" s="735" t="e">
        <f t="shared" si="2301"/>
        <v>#REF!</v>
      </c>
      <c r="EM494" s="735" t="e">
        <f t="shared" si="2301"/>
        <v>#REF!</v>
      </c>
      <c r="EN494" s="1119" t="e">
        <f t="shared" si="2301"/>
        <v>#REF!</v>
      </c>
      <c r="EO494" s="75" t="e">
        <f t="shared" si="2301"/>
        <v>#REF!</v>
      </c>
      <c r="EP494" s="735" t="e">
        <f t="shared" si="2301"/>
        <v>#REF!</v>
      </c>
      <c r="EQ494" s="735" t="e">
        <f t="shared" si="2301"/>
        <v>#REF!</v>
      </c>
      <c r="ER494" s="735" t="e">
        <f t="shared" si="2301"/>
        <v>#REF!</v>
      </c>
      <c r="ES494" s="1119" t="e">
        <f t="shared" si="2301"/>
        <v>#REF!</v>
      </c>
      <c r="ET494" s="735" t="e">
        <f t="shared" si="2301"/>
        <v>#REF!</v>
      </c>
      <c r="EU494" s="735" t="e">
        <f t="shared" si="2301"/>
        <v>#REF!</v>
      </c>
      <c r="EV494" s="735" t="e">
        <f t="shared" si="2301"/>
        <v>#REF!</v>
      </c>
      <c r="EW494" s="735" t="e">
        <f t="shared" si="2301"/>
        <v>#REF!</v>
      </c>
      <c r="EX494" s="1119" t="e">
        <f t="shared" si="2301"/>
        <v>#REF!</v>
      </c>
      <c r="EY494" s="735" t="e">
        <f t="shared" ref="EY494" si="2302">+EY493/ET493-1</f>
        <v>#REF!</v>
      </c>
      <c r="EZ494" s="735" t="e">
        <f t="shared" ref="EZ494" si="2303">+EZ493/EU493-1</f>
        <v>#REF!</v>
      </c>
      <c r="FA494" s="735" t="e">
        <f t="shared" ref="FA494" si="2304">+FA493/EV493-1</f>
        <v>#REF!</v>
      </c>
      <c r="FB494" s="735" t="e">
        <f t="shared" ref="FB494:FC494" si="2305">+FB493/EW493-1</f>
        <v>#REF!</v>
      </c>
      <c r="FC494" s="1119" t="e">
        <f t="shared" si="2305"/>
        <v>#REF!</v>
      </c>
      <c r="FD494" s="735" t="e">
        <f t="shared" ref="FD494" si="2306">+FD493/EY493-1</f>
        <v>#REF!</v>
      </c>
      <c r="FE494" s="735" t="e">
        <f t="shared" ref="FE494" si="2307">+FE493/EZ493-1</f>
        <v>#REF!</v>
      </c>
      <c r="FF494" s="735" t="e">
        <f t="shared" ref="FF494" si="2308">+FF493/FA493-1</f>
        <v>#REF!</v>
      </c>
      <c r="FG494" s="735" t="e">
        <f t="shared" ref="FG494:FH494" si="2309">+FG493/FB493-1</f>
        <v>#REF!</v>
      </c>
      <c r="FH494" s="1119" t="e">
        <f t="shared" si="2309"/>
        <v>#REF!</v>
      </c>
      <c r="FI494" s="735" t="e">
        <f t="shared" ref="FI494:FM494" si="2310">FI493/FH493-1</f>
        <v>#REF!</v>
      </c>
      <c r="FJ494" s="735" t="e">
        <f t="shared" si="2310"/>
        <v>#REF!</v>
      </c>
      <c r="FK494" s="735" t="e">
        <f t="shared" si="2310"/>
        <v>#REF!</v>
      </c>
      <c r="FL494" s="735" t="e">
        <f t="shared" si="2310"/>
        <v>#REF!</v>
      </c>
      <c r="FM494" s="735" t="e">
        <f t="shared" si="2310"/>
        <v>#REF!</v>
      </c>
      <c r="FN494" s="193"/>
      <c r="FO494" s="193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</row>
    <row r="495" spans="1:181" ht="12.75" hidden="1" customHeight="1" x14ac:dyDescent="0.3">
      <c r="A495" s="61" t="s">
        <v>391</v>
      </c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  <c r="AH495" s="193"/>
      <c r="AI495" s="193"/>
      <c r="AJ495" s="193"/>
      <c r="AK495" s="193"/>
      <c r="AL495" s="193"/>
      <c r="AM495" s="193"/>
      <c r="AN495" s="193"/>
      <c r="AO495" s="193"/>
      <c r="AP495" s="193"/>
      <c r="AQ495" s="193"/>
      <c r="AR495" s="193"/>
      <c r="AS495" s="193"/>
      <c r="AT495" s="193"/>
      <c r="AU495" s="193"/>
      <c r="AV495" s="193"/>
      <c r="AW495" s="193"/>
      <c r="AX495" s="193"/>
      <c r="AY495" s="193"/>
      <c r="AZ495" s="193"/>
      <c r="BA495" s="193"/>
      <c r="BB495" s="193"/>
      <c r="BC495" s="193"/>
      <c r="BD495" s="193"/>
      <c r="BE495" s="193"/>
      <c r="BF495" s="193"/>
      <c r="BG495" s="193"/>
      <c r="BH495" s="193"/>
      <c r="BI495" s="193"/>
      <c r="BJ495" s="193"/>
      <c r="BK495" s="193"/>
      <c r="BL495" s="192"/>
      <c r="BM495" s="192"/>
      <c r="BN495" s="192"/>
      <c r="BO495" s="192"/>
      <c r="BP495" s="192"/>
      <c r="BQ495" s="192"/>
      <c r="BR495" s="193"/>
      <c r="BS495" s="193"/>
      <c r="BT495" s="193"/>
      <c r="BU495" s="193"/>
      <c r="BV495" s="192"/>
      <c r="BW495" s="193"/>
      <c r="BX495" s="193"/>
      <c r="BY495" s="193"/>
      <c r="BZ495" s="193"/>
      <c r="CA495" s="192"/>
      <c r="CB495" s="193"/>
      <c r="CC495" s="193"/>
      <c r="CD495" s="193"/>
      <c r="CE495" s="193"/>
      <c r="CF495" s="192"/>
      <c r="CG495" s="193"/>
      <c r="CH495" s="193"/>
      <c r="CI495" s="193"/>
      <c r="CJ495" s="193"/>
      <c r="CK495" s="192"/>
      <c r="CL495" s="193"/>
      <c r="CM495" s="193"/>
      <c r="CN495" s="193"/>
      <c r="CO495" s="193"/>
      <c r="CP495" s="192"/>
      <c r="CQ495" s="193"/>
      <c r="CR495" s="193"/>
      <c r="CS495" s="193"/>
      <c r="CT495" s="193"/>
      <c r="CU495" s="193"/>
      <c r="CV495" s="193"/>
      <c r="CW495" s="193"/>
      <c r="CX495" s="193"/>
      <c r="CY495" s="193"/>
      <c r="CZ495" s="193"/>
      <c r="DA495" s="193"/>
      <c r="DB495" s="193"/>
      <c r="DC495" s="193"/>
      <c r="DD495" s="193"/>
      <c r="DE495" s="193"/>
      <c r="DF495" s="193"/>
      <c r="DG495" s="193"/>
      <c r="DH495" s="193"/>
      <c r="DI495" s="193"/>
      <c r="DJ495" s="193"/>
      <c r="DK495" s="193"/>
      <c r="DL495" s="193"/>
      <c r="DM495" s="193"/>
      <c r="DN495" s="193"/>
      <c r="DO495" s="193"/>
      <c r="DP495" s="193"/>
      <c r="DQ495" s="193"/>
      <c r="DR495" s="193"/>
      <c r="DS495" s="193"/>
      <c r="DT495" s="193"/>
      <c r="DU495" s="196"/>
      <c r="DV495" s="196"/>
      <c r="DW495" s="196"/>
      <c r="DX495" s="665"/>
      <c r="DY495" s="1191"/>
      <c r="DZ495" s="111" t="e">
        <f>#REF!</f>
        <v>#REF!</v>
      </c>
      <c r="EA495" s="111" t="e">
        <f>#REF!</f>
        <v>#REF!</v>
      </c>
      <c r="EB495" s="111" t="e">
        <f>#REF!</f>
        <v>#REF!</v>
      </c>
      <c r="EC495" s="111" t="e">
        <f>#REF!</f>
        <v>#REF!</v>
      </c>
      <c r="ED495" s="112" t="e">
        <f>ED493/ED599*1000/12</f>
        <v>#REF!</v>
      </c>
      <c r="EE495" s="111" t="e">
        <f>#REF!</f>
        <v>#REF!</v>
      </c>
      <c r="EF495" s="111" t="e">
        <f>#REF!</f>
        <v>#REF!</v>
      </c>
      <c r="EG495" s="111" t="e">
        <f>#REF!</f>
        <v>#REF!</v>
      </c>
      <c r="EH495" s="111" t="e">
        <f>#REF!</f>
        <v>#REF!</v>
      </c>
      <c r="EI495" s="1123" t="e">
        <f>EI493/EI599*1000/12</f>
        <v>#REF!</v>
      </c>
      <c r="EJ495" s="111" t="e">
        <f>#REF!</f>
        <v>#REF!</v>
      </c>
      <c r="EK495" s="111" t="e">
        <f>#REF!</f>
        <v>#REF!</v>
      </c>
      <c r="EL495" s="1122" t="e">
        <f>#REF!</f>
        <v>#REF!</v>
      </c>
      <c r="EM495" s="1122" t="e">
        <f>#REF!</f>
        <v>#REF!</v>
      </c>
      <c r="EN495" s="1123" t="e">
        <f>EN493/EN599*1000/12</f>
        <v>#REF!</v>
      </c>
      <c r="EO495" s="111" t="e">
        <f>#REF!</f>
        <v>#REF!</v>
      </c>
      <c r="EP495" s="1122" t="e">
        <f>#REF!</f>
        <v>#REF!</v>
      </c>
      <c r="EQ495" s="1122" t="e">
        <f>#REF!</f>
        <v>#REF!</v>
      </c>
      <c r="ER495" s="1122" t="e">
        <f>#REF!</f>
        <v>#REF!</v>
      </c>
      <c r="ES495" s="1123" t="e">
        <f>ES493/ES599*1000/12</f>
        <v>#REF!</v>
      </c>
      <c r="ET495" s="1122" t="e">
        <f>#REF!</f>
        <v>#REF!</v>
      </c>
      <c r="EU495" s="1122" t="e">
        <f>#REF!</f>
        <v>#REF!</v>
      </c>
      <c r="EV495" s="1122" t="e">
        <f>#REF!</f>
        <v>#REF!</v>
      </c>
      <c r="EW495" s="1122" t="e">
        <f>#REF!</f>
        <v>#REF!</v>
      </c>
      <c r="EX495" s="1123" t="e">
        <f>EX493/EX599*1000/12</f>
        <v>#REF!</v>
      </c>
      <c r="EY495" s="1122" t="e">
        <f>#REF!</f>
        <v>#REF!</v>
      </c>
      <c r="EZ495" s="1122" t="e">
        <f>#REF!</f>
        <v>#REF!</v>
      </c>
      <c r="FA495" s="1122" t="e">
        <f>#REF!</f>
        <v>#REF!</v>
      </c>
      <c r="FB495" s="1122" t="e">
        <f>#REF!</f>
        <v>#REF!</v>
      </c>
      <c r="FC495" s="1123" t="e">
        <f>FC493/FC599*1000/12</f>
        <v>#REF!</v>
      </c>
      <c r="FD495" s="1122" t="e">
        <f>#REF!</f>
        <v>#REF!</v>
      </c>
      <c r="FE495" s="1122" t="e">
        <f>#REF!</f>
        <v>#REF!</v>
      </c>
      <c r="FF495" s="1122" t="e">
        <f>#REF!</f>
        <v>#REF!</v>
      </c>
      <c r="FG495" s="1122" t="e">
        <f>#REF!</f>
        <v>#REF!</v>
      </c>
      <c r="FH495" s="1123" t="e">
        <f>FH493/FH599*1000/12</f>
        <v>#REF!</v>
      </c>
      <c r="FI495" s="1122" t="e">
        <f>#REF!</f>
        <v>#REF!</v>
      </c>
      <c r="FJ495" s="1122" t="e">
        <f>#REF!</f>
        <v>#REF!</v>
      </c>
      <c r="FK495" s="1122" t="e">
        <f>#REF!</f>
        <v>#REF!</v>
      </c>
      <c r="FL495" s="1122" t="e">
        <f>#REF!</f>
        <v>#REF!</v>
      </c>
      <c r="FM495" s="1122" t="e">
        <f>#REF!</f>
        <v>#REF!</v>
      </c>
      <c r="FN495" s="189"/>
      <c r="FO495" s="193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</row>
    <row r="496" spans="1:181" ht="12.75" hidden="1" customHeight="1" x14ac:dyDescent="0.3">
      <c r="A496" s="70" t="s">
        <v>387</v>
      </c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  <c r="AH496" s="193"/>
      <c r="AI496" s="193"/>
      <c r="AJ496" s="193"/>
      <c r="AK496" s="193"/>
      <c r="AL496" s="193"/>
      <c r="AM496" s="193"/>
      <c r="AN496" s="193"/>
      <c r="AO496" s="193"/>
      <c r="AP496" s="193"/>
      <c r="AQ496" s="193"/>
      <c r="AR496" s="193"/>
      <c r="AS496" s="193"/>
      <c r="AT496" s="193"/>
      <c r="AU496" s="193"/>
      <c r="AV496" s="193"/>
      <c r="AW496" s="193"/>
      <c r="AX496" s="193"/>
      <c r="AY496" s="193"/>
      <c r="AZ496" s="193"/>
      <c r="BA496" s="193"/>
      <c r="BB496" s="193"/>
      <c r="BC496" s="193"/>
      <c r="BD496" s="193"/>
      <c r="BE496" s="193"/>
      <c r="BF496" s="193"/>
      <c r="BG496" s="193"/>
      <c r="BH496" s="193"/>
      <c r="BI496" s="193"/>
      <c r="BJ496" s="193"/>
      <c r="BK496" s="193"/>
      <c r="BL496" s="192"/>
      <c r="BM496" s="192"/>
      <c r="BN496" s="192"/>
      <c r="BO496" s="192"/>
      <c r="BP496" s="192"/>
      <c r="BQ496" s="192"/>
      <c r="BR496" s="193"/>
      <c r="BS496" s="193"/>
      <c r="BT496" s="193"/>
      <c r="BU496" s="193"/>
      <c r="BV496" s="192"/>
      <c r="BW496" s="193"/>
      <c r="BX496" s="193"/>
      <c r="BY496" s="193"/>
      <c r="BZ496" s="193"/>
      <c r="CA496" s="192"/>
      <c r="CB496" s="193"/>
      <c r="CC496" s="193"/>
      <c r="CD496" s="193"/>
      <c r="CE496" s="193"/>
      <c r="CF496" s="192"/>
      <c r="CG496" s="193"/>
      <c r="CH496" s="193"/>
      <c r="CI496" s="193"/>
      <c r="CJ496" s="193"/>
      <c r="CK496" s="192"/>
      <c r="CL496" s="193"/>
      <c r="CM496" s="193"/>
      <c r="CN496" s="193"/>
      <c r="CO496" s="193"/>
      <c r="CP496" s="192"/>
      <c r="CQ496" s="193"/>
      <c r="CR496" s="193"/>
      <c r="CS496" s="193"/>
      <c r="CT496" s="193"/>
      <c r="CU496" s="193"/>
      <c r="CV496" s="193"/>
      <c r="CW496" s="193"/>
      <c r="CX496" s="193"/>
      <c r="CY496" s="193"/>
      <c r="CZ496" s="193"/>
      <c r="DA496" s="193"/>
      <c r="DB496" s="193"/>
      <c r="DC496" s="193"/>
      <c r="DD496" s="193"/>
      <c r="DE496" s="193"/>
      <c r="DF496" s="193"/>
      <c r="DG496" s="193"/>
      <c r="DH496" s="193"/>
      <c r="DI496" s="193"/>
      <c r="DJ496" s="193"/>
      <c r="DK496" s="193"/>
      <c r="DL496" s="193"/>
      <c r="DM496" s="193"/>
      <c r="DN496" s="193"/>
      <c r="DO496" s="193"/>
      <c r="DP496" s="193"/>
      <c r="DQ496" s="193"/>
      <c r="DR496" s="193"/>
      <c r="DS496" s="193"/>
      <c r="DT496" s="193"/>
      <c r="DU496" s="196"/>
      <c r="DV496" s="196"/>
      <c r="DW496" s="196"/>
      <c r="DX496" s="665"/>
      <c r="DY496" s="1191"/>
      <c r="DZ496" s="197"/>
      <c r="EB496" s="665"/>
      <c r="EC496" s="665"/>
      <c r="ED496" s="1204"/>
      <c r="EE496" s="75" t="e">
        <f t="shared" ref="EE496:EK496" si="2311">+EE495/DZ495-1</f>
        <v>#REF!</v>
      </c>
      <c r="EF496" s="75" t="e">
        <f t="shared" si="2311"/>
        <v>#REF!</v>
      </c>
      <c r="EG496" s="75" t="e">
        <f t="shared" si="2311"/>
        <v>#REF!</v>
      </c>
      <c r="EH496" s="75" t="e">
        <f t="shared" si="2311"/>
        <v>#REF!</v>
      </c>
      <c r="EI496" s="1119" t="e">
        <f t="shared" si="2311"/>
        <v>#REF!</v>
      </c>
      <c r="EJ496" s="75" t="e">
        <f t="shared" si="2311"/>
        <v>#REF!</v>
      </c>
      <c r="EK496" s="75" t="e">
        <f t="shared" si="2311"/>
        <v>#REF!</v>
      </c>
      <c r="EL496" s="1120" t="e">
        <f>EK496*0.9</f>
        <v>#REF!</v>
      </c>
      <c r="EM496" s="1120" t="e">
        <f>EL496*0.9</f>
        <v>#REF!</v>
      </c>
      <c r="EN496" s="1119" t="e">
        <f>+EN495/EI495-1</f>
        <v>#REF!</v>
      </c>
      <c r="EO496" s="75" t="e">
        <f t="shared" ref="EO496" si="2312">+EO495/EJ495-1</f>
        <v>#REF!</v>
      </c>
      <c r="EP496" s="1120" t="e">
        <f t="shared" ref="EP496:ER496" si="2313">EO496*0.9</f>
        <v>#REF!</v>
      </c>
      <c r="EQ496" s="1120" t="e">
        <f t="shared" si="2313"/>
        <v>#REF!</v>
      </c>
      <c r="ER496" s="1120" t="e">
        <f t="shared" si="2313"/>
        <v>#REF!</v>
      </c>
      <c r="ES496" s="1119" t="e">
        <f>+ES495/EN495-1</f>
        <v>#REF!</v>
      </c>
      <c r="ET496" s="1120" t="e">
        <f t="shared" ref="ET496:EW496" si="2314">ES496*0.9</f>
        <v>#REF!</v>
      </c>
      <c r="EU496" s="1120" t="e">
        <f t="shared" si="2314"/>
        <v>#REF!</v>
      </c>
      <c r="EV496" s="1120" t="e">
        <f t="shared" si="2314"/>
        <v>#REF!</v>
      </c>
      <c r="EW496" s="1120" t="e">
        <f t="shared" si="2314"/>
        <v>#REF!</v>
      </c>
      <c r="EX496" s="1119" t="e">
        <f>+EX495/ES495-1</f>
        <v>#REF!</v>
      </c>
      <c r="EY496" s="1120" t="e">
        <f t="shared" ref="EY496" si="2315">EX496*0.9</f>
        <v>#REF!</v>
      </c>
      <c r="EZ496" s="1120" t="e">
        <f t="shared" ref="EZ496" si="2316">EY496*0.9</f>
        <v>#REF!</v>
      </c>
      <c r="FA496" s="1120" t="e">
        <f t="shared" ref="FA496" si="2317">EZ496*0.9</f>
        <v>#REF!</v>
      </c>
      <c r="FB496" s="1120" t="e">
        <f t="shared" ref="FB496" si="2318">FA496*0.9</f>
        <v>#REF!</v>
      </c>
      <c r="FC496" s="1119" t="e">
        <f>+FC495/EX495-1</f>
        <v>#REF!</v>
      </c>
      <c r="FD496" s="1120" t="e">
        <f t="shared" ref="FD496" si="2319">FC496*0.9</f>
        <v>#REF!</v>
      </c>
      <c r="FE496" s="1120" t="e">
        <f t="shared" ref="FE496" si="2320">FD496*0.9</f>
        <v>#REF!</v>
      </c>
      <c r="FF496" s="1120" t="e">
        <f t="shared" ref="FF496" si="2321">FE496*0.9</f>
        <v>#REF!</v>
      </c>
      <c r="FG496" s="1120" t="e">
        <f t="shared" ref="FG496" si="2322">FF496*0.9</f>
        <v>#REF!</v>
      </c>
      <c r="FH496" s="1119" t="e">
        <f>+FH495/FC495-1</f>
        <v>#REF!</v>
      </c>
      <c r="FI496" s="1120" t="e">
        <f t="shared" ref="FI496:FM496" si="2323">FH496*0.8</f>
        <v>#REF!</v>
      </c>
      <c r="FJ496" s="1120" t="e">
        <f t="shared" si="2323"/>
        <v>#REF!</v>
      </c>
      <c r="FK496" s="1120" t="e">
        <f t="shared" si="2323"/>
        <v>#REF!</v>
      </c>
      <c r="FL496" s="1120" t="e">
        <f t="shared" si="2323"/>
        <v>#REF!</v>
      </c>
      <c r="FM496" s="1120" t="e">
        <f t="shared" si="2323"/>
        <v>#REF!</v>
      </c>
      <c r="FN496" s="193"/>
      <c r="FO496" s="193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</row>
    <row r="497" spans="1:181" ht="12.75" hidden="1" customHeight="1" x14ac:dyDescent="0.3">
      <c r="A497" s="192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  <c r="AH497" s="193"/>
      <c r="AI497" s="193"/>
      <c r="AJ497" s="193"/>
      <c r="AK497" s="193"/>
      <c r="AL497" s="193"/>
      <c r="AM497" s="193"/>
      <c r="AN497" s="193"/>
      <c r="AO497" s="193"/>
      <c r="AP497" s="193"/>
      <c r="AQ497" s="193"/>
      <c r="AR497" s="193"/>
      <c r="AS497" s="193"/>
      <c r="AT497" s="193"/>
      <c r="AU497" s="193"/>
      <c r="AV497" s="193"/>
      <c r="AW497" s="193"/>
      <c r="AX497" s="193"/>
      <c r="AY497" s="193"/>
      <c r="AZ497" s="193"/>
      <c r="BA497" s="193"/>
      <c r="BB497" s="193"/>
      <c r="BC497" s="193"/>
      <c r="BD497" s="193"/>
      <c r="BE497" s="193"/>
      <c r="BF497" s="193"/>
      <c r="BG497" s="193"/>
      <c r="BH497" s="193"/>
      <c r="BI497" s="193"/>
      <c r="BJ497" s="193"/>
      <c r="BK497" s="193"/>
      <c r="BL497" s="192"/>
      <c r="BM497" s="192"/>
      <c r="BN497" s="192"/>
      <c r="BO497" s="192"/>
      <c r="BP497" s="192"/>
      <c r="BQ497" s="192"/>
      <c r="BR497" s="193"/>
      <c r="BS497" s="193"/>
      <c r="BT497" s="193"/>
      <c r="BU497" s="193"/>
      <c r="BV497" s="192"/>
      <c r="BW497" s="193"/>
      <c r="BX497" s="193"/>
      <c r="BY497" s="193"/>
      <c r="BZ497" s="193"/>
      <c r="CA497" s="192"/>
      <c r="CB497" s="193"/>
      <c r="CC497" s="193"/>
      <c r="CD497" s="193"/>
      <c r="CE497" s="193"/>
      <c r="CF497" s="192"/>
      <c r="CG497" s="193"/>
      <c r="CH497" s="193"/>
      <c r="CI497" s="193"/>
      <c r="CJ497" s="193"/>
      <c r="CK497" s="192"/>
      <c r="CL497" s="193"/>
      <c r="CM497" s="193"/>
      <c r="CN497" s="193"/>
      <c r="CO497" s="193"/>
      <c r="CP497" s="192"/>
      <c r="CQ497" s="193"/>
      <c r="CR497" s="193"/>
      <c r="CS497" s="193"/>
      <c r="CT497" s="193"/>
      <c r="CU497" s="193"/>
      <c r="CV497" s="193"/>
      <c r="CW497" s="193"/>
      <c r="CX497" s="193"/>
      <c r="CY497" s="193"/>
      <c r="CZ497" s="193"/>
      <c r="DA497" s="193"/>
      <c r="DB497" s="193"/>
      <c r="DC497" s="193"/>
      <c r="DD497" s="193"/>
      <c r="DE497" s="193"/>
      <c r="DF497" s="193"/>
      <c r="DG497" s="193"/>
      <c r="DH497" s="193"/>
      <c r="DI497" s="193"/>
      <c r="DJ497" s="193"/>
      <c r="DK497" s="193"/>
      <c r="DL497" s="193"/>
      <c r="DM497" s="193"/>
      <c r="DN497" s="193"/>
      <c r="DO497" s="193"/>
      <c r="DP497" s="193"/>
      <c r="DQ497" s="193"/>
      <c r="DR497" s="193"/>
      <c r="DS497" s="193"/>
      <c r="DT497" s="193"/>
      <c r="DU497" s="196"/>
      <c r="DV497" s="196"/>
      <c r="DW497" s="196"/>
      <c r="DX497" s="665"/>
      <c r="DY497" s="1191"/>
      <c r="DZ497" s="197"/>
      <c r="EB497" s="665"/>
      <c r="EC497" s="665"/>
      <c r="ED497" s="1204"/>
      <c r="EE497" s="75"/>
      <c r="EF497" s="75"/>
      <c r="EG497" s="75"/>
      <c r="EH497" s="75"/>
      <c r="EI497" s="1119"/>
      <c r="EJ497" s="75"/>
      <c r="EK497" s="75"/>
      <c r="EL497" s="1120"/>
      <c r="EM497" s="1120"/>
      <c r="EN497" s="1119"/>
      <c r="EO497" s="75"/>
      <c r="EP497" s="1120"/>
      <c r="EQ497" s="1120"/>
      <c r="ER497" s="1120"/>
      <c r="ES497" s="1119"/>
      <c r="ET497" s="1120"/>
      <c r="EU497" s="1120"/>
      <c r="EV497" s="1120"/>
      <c r="EW497" s="1120"/>
      <c r="EX497" s="1119"/>
      <c r="EY497" s="1120"/>
      <c r="EZ497" s="1120"/>
      <c r="FA497" s="1120"/>
      <c r="FB497" s="1120"/>
      <c r="FC497" s="1119"/>
      <c r="FD497" s="1120"/>
      <c r="FE497" s="1120"/>
      <c r="FF497" s="1120"/>
      <c r="FG497" s="1120"/>
      <c r="FH497" s="1119"/>
      <c r="FI497" s="1120"/>
      <c r="FJ497" s="1120"/>
      <c r="FK497" s="1120"/>
      <c r="FL497" s="1120"/>
      <c r="FM497" s="1120"/>
      <c r="FN497" s="193"/>
      <c r="FO497" s="193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</row>
    <row r="498" spans="1:181" ht="12.75" customHeight="1" x14ac:dyDescent="0.3">
      <c r="A498" s="60" t="s">
        <v>388</v>
      </c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  <c r="AH498" s="193"/>
      <c r="AI498" s="193"/>
      <c r="AJ498" s="193"/>
      <c r="AK498" s="193"/>
      <c r="AL498" s="193"/>
      <c r="AM498" s="193"/>
      <c r="AN498" s="193"/>
      <c r="AO498" s="193"/>
      <c r="AP498" s="193"/>
      <c r="AQ498" s="193"/>
      <c r="AR498" s="193"/>
      <c r="AS498" s="193"/>
      <c r="AT498" s="193"/>
      <c r="AU498" s="193"/>
      <c r="AV498" s="193"/>
      <c r="AW498" s="193"/>
      <c r="AX498" s="193"/>
      <c r="AY498" s="193"/>
      <c r="AZ498" s="193"/>
      <c r="BA498" s="193"/>
      <c r="BB498" s="193"/>
      <c r="BC498" s="193"/>
      <c r="BD498" s="193"/>
      <c r="BE498" s="193"/>
      <c r="BF498" s="193"/>
      <c r="BG498" s="193"/>
      <c r="BH498" s="193"/>
      <c r="BI498" s="193"/>
      <c r="BJ498" s="193"/>
      <c r="BK498" s="193"/>
      <c r="BL498" s="192"/>
      <c r="BM498" s="192"/>
      <c r="BN498" s="192"/>
      <c r="BO498" s="192"/>
      <c r="BP498" s="192"/>
      <c r="BQ498" s="192"/>
      <c r="BR498" s="193"/>
      <c r="BS498" s="193"/>
      <c r="BT498" s="193"/>
      <c r="BU498" s="193"/>
      <c r="BV498" s="192"/>
      <c r="BW498" s="193"/>
      <c r="BX498" s="193"/>
      <c r="BY498" s="193"/>
      <c r="BZ498" s="193"/>
      <c r="CA498" s="192"/>
      <c r="CB498" s="193"/>
      <c r="CC498" s="193"/>
      <c r="CD498" s="193"/>
      <c r="CE498" s="193"/>
      <c r="CF498" s="192"/>
      <c r="CG498" s="193"/>
      <c r="CH498" s="193"/>
      <c r="CI498" s="193"/>
      <c r="CJ498" s="193"/>
      <c r="CK498" s="192"/>
      <c r="CL498" s="193"/>
      <c r="CM498" s="193"/>
      <c r="CN498" s="193"/>
      <c r="CO498" s="193"/>
      <c r="CP498" s="192"/>
      <c r="CQ498" s="193"/>
      <c r="CR498" s="193"/>
      <c r="CS498" s="193"/>
      <c r="CT498" s="193"/>
      <c r="CU498" s="193"/>
      <c r="CV498" s="193"/>
      <c r="CW498" s="193"/>
      <c r="CX498" s="193"/>
      <c r="CY498" s="193"/>
      <c r="CZ498" s="193"/>
      <c r="DA498" s="193"/>
      <c r="DB498" s="193"/>
      <c r="DC498" s="193"/>
      <c r="DD498" s="193"/>
      <c r="DE498" s="193"/>
      <c r="DF498" s="193"/>
      <c r="DG498" s="193"/>
      <c r="DH498" s="193"/>
      <c r="DI498" s="193"/>
      <c r="DJ498" s="193"/>
      <c r="DK498" s="193"/>
      <c r="DL498" s="193"/>
      <c r="DM498" s="193"/>
      <c r="DN498" s="193"/>
      <c r="DO498" s="193"/>
      <c r="DP498" s="193"/>
      <c r="DQ498" s="193"/>
      <c r="DR498" s="193"/>
      <c r="DS498" s="193"/>
      <c r="DT498" s="193"/>
      <c r="DU498" s="196"/>
      <c r="DV498" s="196"/>
      <c r="DW498" s="196"/>
      <c r="DX498" s="665"/>
      <c r="DY498" s="1191"/>
      <c r="DZ498" s="85">
        <f>DZ222+DZ360</f>
        <v>752.7332439727295</v>
      </c>
      <c r="EA498" s="85">
        <f>EA222+EA360</f>
        <v>720.05544253613277</v>
      </c>
      <c r="EB498" s="85">
        <f>EB222+EB360</f>
        <v>713.84942824218751</v>
      </c>
      <c r="EC498" s="85">
        <f>EC222+EC360</f>
        <v>702.8001828125</v>
      </c>
      <c r="ED498" s="85">
        <f>SUM(DZ498:EC498)</f>
        <v>2889.4382975635499</v>
      </c>
      <c r="EE498" s="85">
        <f>EE222+EE360</f>
        <v>699.57018749999997</v>
      </c>
      <c r="EF498" s="85">
        <f>EF222+EF360</f>
        <v>705.24249999999995</v>
      </c>
      <c r="EG498" s="85">
        <f>EG222+EG360</f>
        <v>737.77250000000004</v>
      </c>
      <c r="EH498" s="85">
        <f>EH222+EH360</f>
        <v>710.69499999999994</v>
      </c>
      <c r="EI498" s="85">
        <f>SUM(EE498:EH498)</f>
        <v>2853.2801874999996</v>
      </c>
      <c r="EJ498" s="85">
        <f>EJ222+EJ360</f>
        <v>691.91999999999985</v>
      </c>
      <c r="EK498" s="85">
        <f>EK222+EK360</f>
        <v>682.07749999999999</v>
      </c>
      <c r="EL498" s="85">
        <f>EL222+EL360</f>
        <v>700.77499999999998</v>
      </c>
      <c r="EM498" s="85">
        <f>EM222+EM360</f>
        <v>681.495</v>
      </c>
      <c r="EN498" s="85">
        <f>SUM(EJ498:EM498)</f>
        <v>2756.2674999999999</v>
      </c>
      <c r="EO498" s="85">
        <f>EO222+EO360</f>
        <v>691.65249999999992</v>
      </c>
      <c r="EP498" s="85">
        <f>EP222+EP360</f>
        <v>692.83249999999998</v>
      </c>
      <c r="EQ498" s="85">
        <f>EQ222+EQ360</f>
        <v>693.37249999999995</v>
      </c>
      <c r="ER498" s="85">
        <f>ER222+ER360</f>
        <v>663.37345628997866</v>
      </c>
      <c r="ES498" s="85">
        <f>SUM(EO498:ER498)</f>
        <v>2741.2309562899786</v>
      </c>
      <c r="ET498" s="85">
        <f t="shared" ref="ET498:EW498" si="2324">ET222+ET360</f>
        <v>674.57159397429791</v>
      </c>
      <c r="EU498" s="85">
        <f t="shared" si="2324"/>
        <v>674.09381172260873</v>
      </c>
      <c r="EV498" s="85">
        <f t="shared" si="2324"/>
        <v>677.02287381247493</v>
      </c>
      <c r="EW498" s="85">
        <f t="shared" si="2324"/>
        <v>646.81776641145598</v>
      </c>
      <c r="EX498" s="85">
        <f>SUM(ET498:EW498)</f>
        <v>2672.5060459208376</v>
      </c>
      <c r="EY498" s="85">
        <f t="shared" ref="EY498:FB498" si="2325">EY222+EY360</f>
        <v>662.75038811622301</v>
      </c>
      <c r="EZ498" s="85">
        <f t="shared" si="2325"/>
        <v>660.33022825981197</v>
      </c>
      <c r="FA498" s="85">
        <f t="shared" si="2325"/>
        <v>664.33777740817573</v>
      </c>
      <c r="FB498" s="85">
        <f t="shared" si="2325"/>
        <v>631.55937878891291</v>
      </c>
      <c r="FC498" s="85">
        <f>SUM(EY498:FB498)</f>
        <v>2618.9777725731237</v>
      </c>
      <c r="FD498" s="85">
        <f t="shared" ref="FD498:FM498" si="2326">FD222+FD360</f>
        <v>662.84170748838119</v>
      </c>
      <c r="FE498" s="85">
        <f t="shared" si="2326"/>
        <v>659.47285377741196</v>
      </c>
      <c r="FF498" s="85">
        <f t="shared" si="2326"/>
        <v>664.13666456791373</v>
      </c>
      <c r="FG498" s="85">
        <f t="shared" si="2326"/>
        <v>630.08680569455555</v>
      </c>
      <c r="FH498" s="85">
        <f>SUM(FD498:FG498)</f>
        <v>2616.5380315282623</v>
      </c>
      <c r="FI498" s="85">
        <f t="shared" si="2326"/>
        <v>2618.1773965035213</v>
      </c>
      <c r="FJ498" s="85">
        <f>FJ222+FJ360</f>
        <v>2630.021806046133</v>
      </c>
      <c r="FK498" s="85">
        <f t="shared" si="2326"/>
        <v>2645.2115149313095</v>
      </c>
      <c r="FL498" s="85">
        <f t="shared" si="2326"/>
        <v>2663.7072656752489</v>
      </c>
      <c r="FM498" s="85">
        <f t="shared" si="2326"/>
        <v>2685.4717743453984</v>
      </c>
      <c r="FN498" s="193"/>
      <c r="FO498" s="193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</row>
    <row r="499" spans="1:181" ht="12.75" customHeight="1" x14ac:dyDescent="0.3">
      <c r="A499" s="70" t="s">
        <v>363</v>
      </c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  <c r="AH499" s="193"/>
      <c r="AI499" s="193"/>
      <c r="AJ499" s="193"/>
      <c r="AK499" s="193"/>
      <c r="AL499" s="193"/>
      <c r="AM499" s="193"/>
      <c r="AN499" s="193"/>
      <c r="AO499" s="193"/>
      <c r="AP499" s="193"/>
      <c r="AQ499" s="193"/>
      <c r="AR499" s="193"/>
      <c r="AS499" s="193"/>
      <c r="AT499" s="193"/>
      <c r="AU499" s="193"/>
      <c r="AV499" s="193"/>
      <c r="AW499" s="193"/>
      <c r="AX499" s="193"/>
      <c r="AY499" s="193"/>
      <c r="AZ499" s="193"/>
      <c r="BA499" s="193"/>
      <c r="BB499" s="193"/>
      <c r="BC499" s="193"/>
      <c r="BD499" s="193"/>
      <c r="BE499" s="193"/>
      <c r="BF499" s="193"/>
      <c r="BG499" s="193"/>
      <c r="BH499" s="193"/>
      <c r="BI499" s="193"/>
      <c r="BJ499" s="193"/>
      <c r="BK499" s="193"/>
      <c r="BL499" s="192"/>
      <c r="BM499" s="192"/>
      <c r="BN499" s="192"/>
      <c r="BO499" s="192"/>
      <c r="BP499" s="192"/>
      <c r="BQ499" s="192"/>
      <c r="BR499" s="193"/>
      <c r="BS499" s="193"/>
      <c r="BT499" s="193"/>
      <c r="BU499" s="193"/>
      <c r="BV499" s="192"/>
      <c r="BW499" s="193"/>
      <c r="BX499" s="193"/>
      <c r="BY499" s="193"/>
      <c r="BZ499" s="193"/>
      <c r="CA499" s="192"/>
      <c r="CB499" s="193"/>
      <c r="CC499" s="193"/>
      <c r="CD499" s="193"/>
      <c r="CE499" s="193"/>
      <c r="CF499" s="192"/>
      <c r="CG499" s="193"/>
      <c r="CH499" s="193"/>
      <c r="CI499" s="193"/>
      <c r="CJ499" s="193"/>
      <c r="CK499" s="192"/>
      <c r="CL499" s="193"/>
      <c r="CM499" s="193"/>
      <c r="CN499" s="193"/>
      <c r="CO499" s="193"/>
      <c r="CP499" s="192"/>
      <c r="CQ499" s="193"/>
      <c r="CR499" s="193"/>
      <c r="CS499" s="193"/>
      <c r="CT499" s="193"/>
      <c r="CU499" s="193"/>
      <c r="CV499" s="193"/>
      <c r="CW499" s="193"/>
      <c r="CX499" s="193"/>
      <c r="CY499" s="193"/>
      <c r="CZ499" s="193"/>
      <c r="DA499" s="193"/>
      <c r="DB499" s="193"/>
      <c r="DC499" s="193"/>
      <c r="DD499" s="193"/>
      <c r="DE499" s="193"/>
      <c r="DF499" s="193"/>
      <c r="DG499" s="193"/>
      <c r="DH499" s="193"/>
      <c r="DI499" s="193"/>
      <c r="DJ499" s="193"/>
      <c r="DK499" s="193"/>
      <c r="DL499" s="193"/>
      <c r="DM499" s="193"/>
      <c r="DN499" s="193"/>
      <c r="DO499" s="193"/>
      <c r="DP499" s="193"/>
      <c r="DQ499" s="193"/>
      <c r="DR499" s="193"/>
      <c r="DS499" s="193"/>
      <c r="DT499" s="193"/>
      <c r="DU499" s="196"/>
      <c r="DV499" s="196"/>
      <c r="DW499" s="196"/>
      <c r="DX499" s="665"/>
      <c r="DY499" s="1191"/>
      <c r="DZ499" s="197"/>
      <c r="EB499" s="665"/>
      <c r="EC499" s="665"/>
      <c r="ED499" s="1204"/>
      <c r="EE499" s="75">
        <f t="shared" ref="EE499:EX499" si="2327">+EE498/DZ498-1</f>
        <v>-7.0626688668815496E-2</v>
      </c>
      <c r="EF499" s="75">
        <f t="shared" si="2327"/>
        <v>-2.0571947187788209E-2</v>
      </c>
      <c r="EG499" s="75">
        <f t="shared" si="2327"/>
        <v>3.3512770076347564E-2</v>
      </c>
      <c r="EH499" s="75">
        <f t="shared" si="2327"/>
        <v>1.1233373838785976E-2</v>
      </c>
      <c r="EI499" s="84">
        <f t="shared" si="2327"/>
        <v>-1.2513888977674248E-2</v>
      </c>
      <c r="EJ499" s="75">
        <f t="shared" si="2327"/>
        <v>-1.0935553911093576E-2</v>
      </c>
      <c r="EK499" s="75">
        <f t="shared" si="2327"/>
        <v>-3.2846857641165905E-2</v>
      </c>
      <c r="EL499" s="75">
        <f t="shared" si="2327"/>
        <v>-5.014757259182212E-2</v>
      </c>
      <c r="EM499" s="75">
        <f t="shared" si="2327"/>
        <v>-4.1086542046869567E-2</v>
      </c>
      <c r="EN499" s="84">
        <f t="shared" si="2327"/>
        <v>-3.4000406943911377E-2</v>
      </c>
      <c r="EO499" s="75">
        <f t="shared" si="2327"/>
        <v>-3.8660538790602494E-4</v>
      </c>
      <c r="EP499" s="75">
        <f t="shared" si="2327"/>
        <v>1.5768002902895928E-2</v>
      </c>
      <c r="EQ499" s="75">
        <f t="shared" si="2327"/>
        <v>-1.0563304912418414E-2</v>
      </c>
      <c r="ER499" s="75">
        <f t="shared" si="2327"/>
        <v>-2.6590868179548366E-2</v>
      </c>
      <c r="ES499" s="84">
        <f t="shared" si="2327"/>
        <v>-5.4554007221799816E-3</v>
      </c>
      <c r="ET499" s="75">
        <f t="shared" si="2327"/>
        <v>-2.4695791637711184E-2</v>
      </c>
      <c r="EU499" s="75">
        <f t="shared" si="2327"/>
        <v>-2.7046491435363196E-2</v>
      </c>
      <c r="EV499" s="75">
        <f t="shared" si="2327"/>
        <v>-2.3579859581285723E-2</v>
      </c>
      <c r="EW499" s="75">
        <f t="shared" si="2327"/>
        <v>-2.4956816890312483E-2</v>
      </c>
      <c r="EX499" s="84">
        <f t="shared" si="2327"/>
        <v>-2.5070820906733959E-2</v>
      </c>
      <c r="EY499" s="75">
        <f t="shared" ref="EY499" si="2328">+EY498/ET498-1</f>
        <v>-1.7524019635083099E-2</v>
      </c>
      <c r="EZ499" s="75">
        <f t="shared" ref="EZ499" si="2329">+EZ498/EU498-1</f>
        <v>-2.0417905080043264E-2</v>
      </c>
      <c r="FA499" s="75">
        <f t="shared" ref="FA499" si="2330">+FA498/EV498-1</f>
        <v>-1.8736584678249457E-2</v>
      </c>
      <c r="FB499" s="75">
        <f t="shared" ref="FB499:FC499" si="2331">+FB498/EW498-1</f>
        <v>-2.3589932767611788E-2</v>
      </c>
      <c r="FC499" s="84">
        <f t="shared" si="2331"/>
        <v>-2.0029243125349039E-2</v>
      </c>
      <c r="FD499" s="75">
        <f t="shared" ref="FD499" si="2332">+FD498/EY498-1</f>
        <v>1.3778848537193689E-4</v>
      </c>
      <c r="FE499" s="75">
        <f t="shared" ref="FE499" si="2333">+FE498/EZ498-1</f>
        <v>-1.2984025957125667E-3</v>
      </c>
      <c r="FF499" s="75">
        <f t="shared" ref="FF499" si="2334">+FF498/FA498-1</f>
        <v>-3.027267861337446E-4</v>
      </c>
      <c r="FG499" s="75">
        <f t="shared" ref="FG499:FH499" si="2335">+FG498/FB498-1</f>
        <v>-2.3316463088256523E-3</v>
      </c>
      <c r="FH499" s="84">
        <f t="shared" si="2335"/>
        <v>-9.315623333696621E-4</v>
      </c>
      <c r="FI499" s="75">
        <f t="shared" ref="FI499:FM499" si="2336">FI498/FH498-1</f>
        <v>6.265397083877744E-4</v>
      </c>
      <c r="FJ499" s="75">
        <f t="shared" si="2336"/>
        <v>4.5239140626718299E-3</v>
      </c>
      <c r="FK499" s="75">
        <f t="shared" si="2336"/>
        <v>5.7755068228928508E-3</v>
      </c>
      <c r="FL499" s="75">
        <f t="shared" si="2336"/>
        <v>6.9921632502871756E-3</v>
      </c>
      <c r="FM499" s="75">
        <f t="shared" si="2336"/>
        <v>8.1707584578112336E-3</v>
      </c>
      <c r="FN499" s="193"/>
      <c r="FO499" s="193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</row>
    <row r="500" spans="1:181" ht="12.75" customHeight="1" x14ac:dyDescent="0.3">
      <c r="A500" s="61" t="s">
        <v>389</v>
      </c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  <c r="AH500" s="193"/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193"/>
      <c r="AS500" s="193"/>
      <c r="AT500" s="193"/>
      <c r="AU500" s="193"/>
      <c r="AV500" s="193"/>
      <c r="AW500" s="193"/>
      <c r="AX500" s="193"/>
      <c r="AY500" s="193"/>
      <c r="AZ500" s="193"/>
      <c r="BA500" s="193"/>
      <c r="BB500" s="193"/>
      <c r="BC500" s="193"/>
      <c r="BD500" s="193"/>
      <c r="BE500" s="193"/>
      <c r="BF500" s="193"/>
      <c r="BG500" s="193"/>
      <c r="BH500" s="193"/>
      <c r="BI500" s="193"/>
      <c r="BJ500" s="193"/>
      <c r="BK500" s="193"/>
      <c r="BL500" s="192"/>
      <c r="BM500" s="192"/>
      <c r="BN500" s="192"/>
      <c r="BO500" s="192"/>
      <c r="BP500" s="192"/>
      <c r="BQ500" s="192"/>
      <c r="BR500" s="193"/>
      <c r="BS500" s="193"/>
      <c r="BT500" s="193"/>
      <c r="BU500" s="193"/>
      <c r="BV500" s="192"/>
      <c r="BW500" s="193"/>
      <c r="BX500" s="193"/>
      <c r="BY500" s="193"/>
      <c r="BZ500" s="193"/>
      <c r="CA500" s="192"/>
      <c r="CB500" s="193"/>
      <c r="CC500" s="193"/>
      <c r="CD500" s="193"/>
      <c r="CE500" s="193"/>
      <c r="CF500" s="192"/>
      <c r="CG500" s="193"/>
      <c r="CH500" s="193"/>
      <c r="CI500" s="193"/>
      <c r="CJ500" s="193"/>
      <c r="CK500" s="192"/>
      <c r="CL500" s="193"/>
      <c r="CM500" s="193"/>
      <c r="CN500" s="193"/>
      <c r="CO500" s="193"/>
      <c r="CP500" s="192"/>
      <c r="CQ500" s="193"/>
      <c r="CR500" s="193"/>
      <c r="CS500" s="193"/>
      <c r="CT500" s="193"/>
      <c r="CU500" s="193"/>
      <c r="CV500" s="193"/>
      <c r="CW500" s="193"/>
      <c r="CX500" s="193"/>
      <c r="CY500" s="193"/>
      <c r="CZ500" s="193"/>
      <c r="DA500" s="193"/>
      <c r="DB500" s="193"/>
      <c r="DC500" s="193"/>
      <c r="DD500" s="193"/>
      <c r="DE500" s="193"/>
      <c r="DF500" s="193"/>
      <c r="DG500" s="193"/>
      <c r="DH500" s="193"/>
      <c r="DI500" s="193"/>
      <c r="DJ500" s="193"/>
      <c r="DK500" s="193"/>
      <c r="DL500" s="193"/>
      <c r="DM500" s="193"/>
      <c r="DN500" s="193"/>
      <c r="DO500" s="193"/>
      <c r="DP500" s="193"/>
      <c r="DQ500" s="193"/>
      <c r="DR500" s="193"/>
      <c r="DS500" s="193"/>
      <c r="DT500" s="193"/>
      <c r="DU500" s="196"/>
      <c r="DV500" s="196"/>
      <c r="DW500" s="196"/>
      <c r="DX500" s="665"/>
      <c r="DY500" s="1191"/>
      <c r="DZ500" s="111">
        <f>DZ498/DZ108*1000/3</f>
        <v>16.507307981858101</v>
      </c>
      <c r="EA500" s="111">
        <f>EA498/EA108*1000/3</f>
        <v>15.790689529301156</v>
      </c>
      <c r="EB500" s="111">
        <f>EB498/EB108*1000/3</f>
        <v>15.654592724609374</v>
      </c>
      <c r="EC500" s="111">
        <f>EC498/EC108*1000/3</f>
        <v>15.412284710800437</v>
      </c>
      <c r="ED500" s="112">
        <f>ED498/ED108*1000/12</f>
        <v>15.84121873664227</v>
      </c>
      <c r="EE500" s="111">
        <f>EE498/EE108*1000/3</f>
        <v>15.341451480263158</v>
      </c>
      <c r="EF500" s="111">
        <f>EF498/EF108*1000/3</f>
        <v>15.415136612021856</v>
      </c>
      <c r="EG500" s="111">
        <f>EG498/EG108*1000/3</f>
        <v>16.073474945533771</v>
      </c>
      <c r="EH500" s="111">
        <f>EH498/EH108*1000/3</f>
        <v>15.48355119825708</v>
      </c>
      <c r="EI500" s="112">
        <f>EI498/EI108*1000/12</f>
        <v>15.5789254026754</v>
      </c>
      <c r="EJ500" s="111">
        <f>EJ498/EJ108*1000/3</f>
        <v>15.074509803921565</v>
      </c>
      <c r="EK500" s="111">
        <f>EK498/EK108*1000/3</f>
        <v>14.860076252723312</v>
      </c>
      <c r="EL500" s="111">
        <f>EL498/EL108*1000/3</f>
        <v>15.267429193899781</v>
      </c>
      <c r="EM500" s="111">
        <f>EM498/EM108*1000/3</f>
        <v>14.799022801302931</v>
      </c>
      <c r="EN500" s="112">
        <f>EN498/EN108*1000/12</f>
        <v>15.000095238095239</v>
      </c>
      <c r="EO500" s="111">
        <f>EO498/EO108*1000/3</f>
        <v>14.970833333333331</v>
      </c>
      <c r="EP500" s="111">
        <f>EP498/EP108*1000/3</f>
        <v>14.996374458874458</v>
      </c>
      <c r="EQ500" s="111">
        <f>EQ498/EQ108*1000/3</f>
        <v>15.008062770562768</v>
      </c>
      <c r="ER500" s="111">
        <f>ER498/ER108*1000/3</f>
        <v>14.35873282012941</v>
      </c>
      <c r="ES500" s="112">
        <f t="shared" ref="ES500:FM500" si="2337">ES498/ES108*1000/12</f>
        <v>14.833500845724991</v>
      </c>
      <c r="ET500" s="111">
        <f t="shared" ref="ET500:EW500" si="2338">ET498/ET108*1000/3</f>
        <v>14.587095818528359</v>
      </c>
      <c r="EU500" s="111">
        <f t="shared" si="2338"/>
        <v>14.555261217843302</v>
      </c>
      <c r="EV500" s="111">
        <f t="shared" si="2338"/>
        <v>14.59937236383503</v>
      </c>
      <c r="EW500" s="111">
        <f t="shared" si="2338"/>
        <v>13.919996574144831</v>
      </c>
      <c r="EX500" s="112">
        <f t="shared" ref="EX500" si="2339">EX498/EX108*1000/12</f>
        <v>14.41501671155112</v>
      </c>
      <c r="EY500" s="111">
        <f t="shared" ref="EY500:FB500" si="2340">EY498/EY108*1000/3</f>
        <v>14.233319055738482</v>
      </c>
      <c r="EZ500" s="111">
        <f t="shared" si="2340"/>
        <v>14.161401682191274</v>
      </c>
      <c r="FA500" s="111">
        <f t="shared" si="2340"/>
        <v>14.227724456384601</v>
      </c>
      <c r="FB500" s="111">
        <f t="shared" si="2340"/>
        <v>13.497613338545094</v>
      </c>
      <c r="FC500" s="112">
        <f t="shared" ref="FC500" si="2341">FC498/FC108*1000/12</f>
        <v>14.029550526433296</v>
      </c>
      <c r="FD500" s="111">
        <f t="shared" ref="FD500:FG500" si="2342">FD498/FD108*1000/3</f>
        <v>14.137786668483178</v>
      </c>
      <c r="FE500" s="111">
        <f t="shared" si="2342"/>
        <v>14.04712298510155</v>
      </c>
      <c r="FF500" s="111">
        <f t="shared" si="2342"/>
        <v>14.126013133303269</v>
      </c>
      <c r="FG500" s="111">
        <f t="shared" si="2342"/>
        <v>13.372998159700309</v>
      </c>
      <c r="FH500" s="112">
        <f t="shared" ref="FH500" si="2343">FH498/FH108*1000/12</f>
        <v>13.920488794626388</v>
      </c>
      <c r="FI500" s="111">
        <f t="shared" si="2337"/>
        <v>13.825833222040925</v>
      </c>
      <c r="FJ500" s="111">
        <f t="shared" si="2337"/>
        <v>13.791837242683487</v>
      </c>
      <c r="FK500" s="111">
        <f t="shared" si="2337"/>
        <v>13.775066626394079</v>
      </c>
      <c r="FL500" s="111">
        <f t="shared" si="2337"/>
        <v>13.774959425054034</v>
      </c>
      <c r="FM500" s="111">
        <f t="shared" si="2337"/>
        <v>13.790974469992355</v>
      </c>
      <c r="FN500" s="193"/>
      <c r="FO500" s="193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</row>
    <row r="501" spans="1:181" ht="12.75" customHeight="1" x14ac:dyDescent="0.3">
      <c r="A501" s="70" t="s">
        <v>387</v>
      </c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3"/>
      <c r="AF501" s="193"/>
      <c r="AG501" s="193"/>
      <c r="AH501" s="193"/>
      <c r="AI501" s="193"/>
      <c r="AJ501" s="193"/>
      <c r="AK501" s="193"/>
      <c r="AL501" s="193"/>
      <c r="AM501" s="193"/>
      <c r="AN501" s="193"/>
      <c r="AO501" s="193"/>
      <c r="AP501" s="193"/>
      <c r="AQ501" s="193"/>
      <c r="AR501" s="193"/>
      <c r="AS501" s="193"/>
      <c r="AT501" s="193"/>
      <c r="AU501" s="193"/>
      <c r="AV501" s="193"/>
      <c r="AW501" s="193"/>
      <c r="AX501" s="193"/>
      <c r="AY501" s="193"/>
      <c r="AZ501" s="193"/>
      <c r="BA501" s="193"/>
      <c r="BB501" s="193"/>
      <c r="BC501" s="193"/>
      <c r="BD501" s="193"/>
      <c r="BE501" s="193"/>
      <c r="BF501" s="193"/>
      <c r="BG501" s="193"/>
      <c r="BH501" s="193"/>
      <c r="BI501" s="193"/>
      <c r="BJ501" s="193"/>
      <c r="BK501" s="193"/>
      <c r="BL501" s="192"/>
      <c r="BM501" s="192"/>
      <c r="BN501" s="192"/>
      <c r="BO501" s="192"/>
      <c r="BP501" s="192"/>
      <c r="BQ501" s="192"/>
      <c r="BR501" s="193"/>
      <c r="BS501" s="193"/>
      <c r="BT501" s="193"/>
      <c r="BU501" s="193"/>
      <c r="BV501" s="192"/>
      <c r="BW501" s="193"/>
      <c r="BX501" s="193"/>
      <c r="BY501" s="193"/>
      <c r="BZ501" s="193"/>
      <c r="CA501" s="192"/>
      <c r="CB501" s="193"/>
      <c r="CC501" s="193"/>
      <c r="CD501" s="193"/>
      <c r="CE501" s="193"/>
      <c r="CF501" s="192"/>
      <c r="CG501" s="193"/>
      <c r="CH501" s="193"/>
      <c r="CI501" s="193"/>
      <c r="CJ501" s="193"/>
      <c r="CK501" s="192"/>
      <c r="CL501" s="193"/>
      <c r="CM501" s="193"/>
      <c r="CN501" s="193"/>
      <c r="CO501" s="193"/>
      <c r="CP501" s="192"/>
      <c r="CQ501" s="193"/>
      <c r="CR501" s="193"/>
      <c r="CS501" s="193"/>
      <c r="CT501" s="193"/>
      <c r="CU501" s="193"/>
      <c r="CV501" s="193"/>
      <c r="CW501" s="193"/>
      <c r="CX501" s="193"/>
      <c r="CY501" s="193"/>
      <c r="CZ501" s="193"/>
      <c r="DA501" s="193"/>
      <c r="DB501" s="193"/>
      <c r="DC501" s="193"/>
      <c r="DD501" s="193"/>
      <c r="DE501" s="193"/>
      <c r="DF501" s="193"/>
      <c r="DG501" s="193"/>
      <c r="DH501" s="193"/>
      <c r="DI501" s="193"/>
      <c r="DJ501" s="193"/>
      <c r="DK501" s="193"/>
      <c r="DL501" s="193"/>
      <c r="DM501" s="193"/>
      <c r="DN501" s="193"/>
      <c r="DO501" s="193"/>
      <c r="DP501" s="193"/>
      <c r="DQ501" s="193"/>
      <c r="DR501" s="193"/>
      <c r="DS501" s="193"/>
      <c r="DT501" s="193"/>
      <c r="DU501" s="196"/>
      <c r="DV501" s="196"/>
      <c r="DW501" s="196"/>
      <c r="DX501" s="665"/>
      <c r="DY501" s="1191"/>
      <c r="DZ501" s="197"/>
      <c r="EB501" s="665"/>
      <c r="EC501" s="665"/>
      <c r="ED501" s="1204"/>
      <c r="EE501" s="75">
        <f t="shared" ref="EE501:EX501" si="2344">+EE500/DZ500-1</f>
        <v>-7.0626688668815385E-2</v>
      </c>
      <c r="EF501" s="75">
        <f t="shared" si="2344"/>
        <v>-2.3783186705205295E-2</v>
      </c>
      <c r="EG501" s="75">
        <f t="shared" si="2344"/>
        <v>2.6757784651012084E-2</v>
      </c>
      <c r="EH501" s="75">
        <f t="shared" si="2344"/>
        <v>4.6240053823234373E-3</v>
      </c>
      <c r="EI501" s="84">
        <f t="shared" si="2344"/>
        <v>-1.6557648646070344E-2</v>
      </c>
      <c r="EJ501" s="75">
        <f t="shared" si="2344"/>
        <v>-1.7400027414942731E-2</v>
      </c>
      <c r="EK501" s="75">
        <f t="shared" si="2344"/>
        <v>-3.6007488825344991E-2</v>
      </c>
      <c r="EL501" s="75">
        <f t="shared" si="2344"/>
        <v>-5.0147572591822231E-2</v>
      </c>
      <c r="EM501" s="75">
        <f t="shared" si="2344"/>
        <v>-4.4210038652580219E-2</v>
      </c>
      <c r="EN501" s="84">
        <f t="shared" si="2344"/>
        <v>-3.7154691329400524E-2</v>
      </c>
      <c r="EO501" s="75">
        <f t="shared" si="2344"/>
        <v>-6.8776014568157073E-3</v>
      </c>
      <c r="EP501" s="75">
        <f t="shared" si="2344"/>
        <v>9.1721067801497913E-3</v>
      </c>
      <c r="EQ501" s="75">
        <f t="shared" si="2344"/>
        <v>-1.6988218516883369E-2</v>
      </c>
      <c r="ER501" s="75">
        <f t="shared" si="2344"/>
        <v>-2.9751287438705587E-2</v>
      </c>
      <c r="ES501" s="84">
        <f t="shared" si="2344"/>
        <v>-1.1106222308986058E-2</v>
      </c>
      <c r="ET501" s="75">
        <f t="shared" si="2344"/>
        <v>-2.5632341651320112E-2</v>
      </c>
      <c r="EU501" s="75">
        <f t="shared" si="2344"/>
        <v>-2.9414659005804977E-2</v>
      </c>
      <c r="EV501" s="75">
        <f t="shared" si="2344"/>
        <v>-2.723138975200412E-2</v>
      </c>
      <c r="EW501" s="75">
        <f t="shared" si="2344"/>
        <v>-3.0555359688113848E-2</v>
      </c>
      <c r="EX501" s="84">
        <f t="shared" si="2344"/>
        <v>-2.8212094941463373E-2</v>
      </c>
      <c r="EY501" s="75">
        <f t="shared" ref="EY501" si="2345">+EY500/ET500-1</f>
        <v>-2.425272084252128E-2</v>
      </c>
      <c r="EZ501" s="75">
        <f t="shared" ref="EZ501" si="2346">+EZ500/EU500-1</f>
        <v>-2.7059599258115408E-2</v>
      </c>
      <c r="FA501" s="75">
        <f t="shared" ref="FA501" si="2347">+FA500/EV500-1</f>
        <v>-2.5456430467590496E-2</v>
      </c>
      <c r="FB501" s="75">
        <f t="shared" ref="FB501:FC501" si="2348">+FB500/EW500-1</f>
        <v>-3.0343630714987135E-2</v>
      </c>
      <c r="FC501" s="84">
        <f t="shared" si="2348"/>
        <v>-2.6740599253620045E-2</v>
      </c>
      <c r="FD501" s="75">
        <f t="shared" ref="FD501" si="2349">+FD500/EY500-1</f>
        <v>-6.711884057484685E-3</v>
      </c>
      <c r="FE501" s="75">
        <f t="shared" ref="FE501" si="2350">+FE500/EZ500-1</f>
        <v>-8.069730642089934E-3</v>
      </c>
      <c r="FF501" s="75">
        <f t="shared" ref="FF501" si="2351">+FF500/FA500-1</f>
        <v>-7.1488117016274E-3</v>
      </c>
      <c r="FG501" s="75">
        <f t="shared" ref="FG501:FH501" si="2352">+FG500/FB500-1</f>
        <v>-9.2323861796308471E-3</v>
      </c>
      <c r="FH501" s="84">
        <f t="shared" si="2352"/>
        <v>-7.7737153162121819E-3</v>
      </c>
      <c r="FI501" s="75">
        <f t="shared" ref="FI501:FM501" si="2353">FI500/FH500-1</f>
        <v>-6.7997305254110518E-3</v>
      </c>
      <c r="FJ501" s="75">
        <f t="shared" si="2353"/>
        <v>-2.4588738205840732E-3</v>
      </c>
      <c r="FK501" s="75">
        <f t="shared" si="2353"/>
        <v>-1.2159813079511972E-3</v>
      </c>
      <c r="FL501" s="75">
        <f t="shared" si="2353"/>
        <v>-7.7822737960531185E-6</v>
      </c>
      <c r="FM501" s="75">
        <f t="shared" si="2353"/>
        <v>1.1626201169923078E-3</v>
      </c>
      <c r="FN501" s="193"/>
      <c r="FO501" s="193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</row>
    <row r="502" spans="1:181" ht="12.75" customHeight="1" x14ac:dyDescent="0.3">
      <c r="A502" s="61" t="s">
        <v>391</v>
      </c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  <c r="AE502" s="193"/>
      <c r="AF502" s="193"/>
      <c r="AG502" s="193"/>
      <c r="AH502" s="193"/>
      <c r="AI502" s="193"/>
      <c r="AJ502" s="193"/>
      <c r="AK502" s="193"/>
      <c r="AL502" s="193"/>
      <c r="AM502" s="193"/>
      <c r="AN502" s="193"/>
      <c r="AO502" s="193"/>
      <c r="AP502" s="193"/>
      <c r="AQ502" s="193"/>
      <c r="AR502" s="193"/>
      <c r="AS502" s="193"/>
      <c r="AT502" s="193"/>
      <c r="AU502" s="193"/>
      <c r="AV502" s="193"/>
      <c r="AW502" s="193"/>
      <c r="AX502" s="193"/>
      <c r="AY502" s="193"/>
      <c r="AZ502" s="193"/>
      <c r="BA502" s="193"/>
      <c r="BB502" s="193"/>
      <c r="BC502" s="193"/>
      <c r="BD502" s="193"/>
      <c r="BE502" s="193"/>
      <c r="BF502" s="193"/>
      <c r="BG502" s="193"/>
      <c r="BH502" s="193"/>
      <c r="BI502" s="193"/>
      <c r="BJ502" s="193"/>
      <c r="BK502" s="193"/>
      <c r="BL502" s="192"/>
      <c r="BM502" s="192"/>
      <c r="BN502" s="192"/>
      <c r="BO502" s="192"/>
      <c r="BP502" s="192"/>
      <c r="BQ502" s="192"/>
      <c r="BR502" s="193"/>
      <c r="BS502" s="193"/>
      <c r="BT502" s="193"/>
      <c r="BU502" s="193"/>
      <c r="BV502" s="192"/>
      <c r="BW502" s="193"/>
      <c r="BX502" s="193"/>
      <c r="BY502" s="193"/>
      <c r="BZ502" s="193"/>
      <c r="CA502" s="192"/>
      <c r="CB502" s="193"/>
      <c r="CC502" s="193"/>
      <c r="CD502" s="193"/>
      <c r="CE502" s="193"/>
      <c r="CF502" s="192"/>
      <c r="CG502" s="193"/>
      <c r="CH502" s="193"/>
      <c r="CI502" s="193"/>
      <c r="CJ502" s="193"/>
      <c r="CK502" s="192"/>
      <c r="CL502" s="193"/>
      <c r="CM502" s="193"/>
      <c r="CN502" s="193"/>
      <c r="CO502" s="193"/>
      <c r="CP502" s="192"/>
      <c r="CQ502" s="193"/>
      <c r="CR502" s="193"/>
      <c r="CS502" s="193"/>
      <c r="CT502" s="193"/>
      <c r="CU502" s="193"/>
      <c r="CV502" s="193"/>
      <c r="CW502" s="193"/>
      <c r="CX502" s="193"/>
      <c r="CY502" s="193"/>
      <c r="CZ502" s="193"/>
      <c r="DA502" s="193"/>
      <c r="DB502" s="193"/>
      <c r="DC502" s="193"/>
      <c r="DD502" s="193"/>
      <c r="DE502" s="193"/>
      <c r="DF502" s="193"/>
      <c r="DG502" s="193"/>
      <c r="DH502" s="193"/>
      <c r="DI502" s="193"/>
      <c r="DJ502" s="193"/>
      <c r="DK502" s="193"/>
      <c r="DL502" s="193"/>
      <c r="DM502" s="193"/>
      <c r="DN502" s="193"/>
      <c r="DO502" s="193"/>
      <c r="DP502" s="193"/>
      <c r="DQ502" s="193"/>
      <c r="DR502" s="193"/>
      <c r="DS502" s="193"/>
      <c r="DT502" s="193"/>
      <c r="DU502" s="196"/>
      <c r="DV502" s="196"/>
      <c r="DW502" s="196"/>
      <c r="DX502" s="665"/>
      <c r="DY502" s="1191"/>
      <c r="DZ502" s="111">
        <f>DZ498/DZ455*1000/3</f>
        <v>68.319841999729363</v>
      </c>
      <c r="EA502" s="111">
        <f t="shared" ref="EA502:EM502" si="2354">EA498/EA455*1000/3</f>
        <v>65.881001511272842</v>
      </c>
      <c r="EB502" s="111">
        <f t="shared" si="2354"/>
        <v>66.035791965173303</v>
      </c>
      <c r="EC502" s="111">
        <f t="shared" si="2354"/>
        <v>65.805335656837869</v>
      </c>
      <c r="ED502" s="112">
        <f>ED498/ED455*1000/12</f>
        <v>66.519524246716372</v>
      </c>
      <c r="EE502" s="111">
        <f>EE498/EE455*1000/3</f>
        <v>66.234710796618529</v>
      </c>
      <c r="EF502" s="111">
        <f t="shared" si="2354"/>
        <v>67.484091670255012</v>
      </c>
      <c r="EG502" s="111">
        <f t="shared" si="2354"/>
        <v>71.292699425037441</v>
      </c>
      <c r="EH502" s="111">
        <f t="shared" si="2354"/>
        <v>69.086711383299303</v>
      </c>
      <c r="EI502" s="112">
        <f>EI498/EI455*1000/12</f>
        <v>68.509437280732939</v>
      </c>
      <c r="EJ502" s="111">
        <f t="shared" si="2354"/>
        <v>67.359813084112133</v>
      </c>
      <c r="EK502" s="111">
        <f t="shared" si="2354"/>
        <v>66.469570725527461</v>
      </c>
      <c r="EL502" s="111">
        <f t="shared" si="2354"/>
        <v>68.602545276554082</v>
      </c>
      <c r="EM502" s="111">
        <f t="shared" si="2354"/>
        <v>67.030097373856592</v>
      </c>
      <c r="EN502" s="112">
        <f>EN498/EN455*1000/12</f>
        <v>67.364873947525993</v>
      </c>
      <c r="EO502" s="111">
        <f t="shared" ref="EO502:ER502" si="2355">EO498/EO455*1000/3</f>
        <v>68.099492935558501</v>
      </c>
      <c r="EP502" s="111">
        <f t="shared" si="2355"/>
        <v>68.296367489772777</v>
      </c>
      <c r="EQ502" s="111">
        <f t="shared" si="2355"/>
        <v>68.593015778800009</v>
      </c>
      <c r="ER502" s="111">
        <f t="shared" si="2355"/>
        <v>65.625724895370169</v>
      </c>
      <c r="ES502" s="112">
        <f>ES498/ES455*1000/12</f>
        <v>67.65475268919441</v>
      </c>
      <c r="ET502" s="111">
        <f t="shared" ref="ET502:EW502" si="2356">ET498/ET455*1000/3</f>
        <v>66.272726692327964</v>
      </c>
      <c r="EU502" s="111">
        <f t="shared" si="2356"/>
        <v>65.770759283763127</v>
      </c>
      <c r="EV502" s="111">
        <f t="shared" si="2356"/>
        <v>65.780057241815754</v>
      </c>
      <c r="EW502" s="111">
        <f t="shared" si="2356"/>
        <v>62.342054487870136</v>
      </c>
      <c r="EX502" s="112">
        <f>EX498/EX455*1000/12</f>
        <v>65.031776789892277</v>
      </c>
      <c r="EY502" s="111">
        <f t="shared" ref="EY502:FB502" si="2357">EY498/EY455*1000/3</f>
        <v>62.871461359768745</v>
      </c>
      <c r="EZ502" s="111">
        <f t="shared" si="2357"/>
        <v>61.643353751560738</v>
      </c>
      <c r="FA502" s="111">
        <f t="shared" si="2357"/>
        <v>61.242252439472715</v>
      </c>
      <c r="FB502" s="111">
        <f t="shared" si="2357"/>
        <v>57.295857590583608</v>
      </c>
      <c r="FC502" s="112">
        <f>FC498/FC455*1000/12</f>
        <v>60.731410565500454</v>
      </c>
      <c r="FD502" s="111">
        <f t="shared" ref="FD502:FG502" si="2358">FD498/FD455*1000/3</f>
        <v>58.814198209478171</v>
      </c>
      <c r="FE502" s="111">
        <f t="shared" si="2358"/>
        <v>57.321694885904094</v>
      </c>
      <c r="FF502" s="111">
        <f t="shared" si="2358"/>
        <v>56.788857563004278</v>
      </c>
      <c r="FG502" s="111">
        <f t="shared" si="2358"/>
        <v>52.866703254732606</v>
      </c>
      <c r="FH502" s="112">
        <f>FH498/FH455*1000/12</f>
        <v>56.405356939895476</v>
      </c>
      <c r="FI502" s="111">
        <f t="shared" ref="FI502:FM502" si="2359">FI498/FI455*1000/12</f>
        <v>52.468796500056705</v>
      </c>
      <c r="FJ502" s="111">
        <f t="shared" si="2359"/>
        <v>49.427309631342553</v>
      </c>
      <c r="FK502" s="111">
        <f t="shared" si="2359"/>
        <v>47.184339591872259</v>
      </c>
      <c r="FL502" s="111">
        <f t="shared" si="2359"/>
        <v>45.676230800011616</v>
      </c>
      <c r="FM502" s="111">
        <f t="shared" si="2359"/>
        <v>44.77266641941042</v>
      </c>
      <c r="FN502" s="193"/>
      <c r="FO502" s="193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</row>
    <row r="503" spans="1:181" ht="12.75" customHeight="1" x14ac:dyDescent="0.3">
      <c r="A503" s="70" t="s">
        <v>387</v>
      </c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  <c r="AE503" s="193"/>
      <c r="AF503" s="193"/>
      <c r="AG503" s="193"/>
      <c r="AH503" s="193"/>
      <c r="AI503" s="193"/>
      <c r="AJ503" s="193"/>
      <c r="AK503" s="193"/>
      <c r="AL503" s="193"/>
      <c r="AM503" s="193"/>
      <c r="AN503" s="193"/>
      <c r="AO503" s="193"/>
      <c r="AP503" s="193"/>
      <c r="AQ503" s="193"/>
      <c r="AR503" s="193"/>
      <c r="AS503" s="193"/>
      <c r="AT503" s="193"/>
      <c r="AU503" s="193"/>
      <c r="AV503" s="193"/>
      <c r="AW503" s="193"/>
      <c r="AX503" s="193"/>
      <c r="AY503" s="193"/>
      <c r="AZ503" s="193"/>
      <c r="BA503" s="193"/>
      <c r="BB503" s="193"/>
      <c r="BC503" s="193"/>
      <c r="BD503" s="193"/>
      <c r="BE503" s="193"/>
      <c r="BF503" s="193"/>
      <c r="BG503" s="193"/>
      <c r="BH503" s="193"/>
      <c r="BI503" s="193"/>
      <c r="BJ503" s="193"/>
      <c r="BK503" s="193"/>
      <c r="BL503" s="192"/>
      <c r="BM503" s="192"/>
      <c r="BN503" s="192"/>
      <c r="BO503" s="192"/>
      <c r="BP503" s="192"/>
      <c r="BQ503" s="192"/>
      <c r="BR503" s="193"/>
      <c r="BS503" s="193"/>
      <c r="BT503" s="193"/>
      <c r="BU503" s="193"/>
      <c r="BV503" s="192"/>
      <c r="BW503" s="193"/>
      <c r="BX503" s="193"/>
      <c r="BY503" s="193"/>
      <c r="BZ503" s="193"/>
      <c r="CA503" s="192"/>
      <c r="CB503" s="193"/>
      <c r="CC503" s="193"/>
      <c r="CD503" s="193"/>
      <c r="CE503" s="193"/>
      <c r="CF503" s="192"/>
      <c r="CG503" s="193"/>
      <c r="CH503" s="193"/>
      <c r="CI503" s="193"/>
      <c r="CJ503" s="193"/>
      <c r="CK503" s="192"/>
      <c r="CL503" s="193"/>
      <c r="CM503" s="193"/>
      <c r="CN503" s="193"/>
      <c r="CO503" s="193"/>
      <c r="CP503" s="192"/>
      <c r="CQ503" s="193"/>
      <c r="CR503" s="193"/>
      <c r="CS503" s="193"/>
      <c r="CT503" s="193"/>
      <c r="CU503" s="193"/>
      <c r="CV503" s="193"/>
      <c r="CW503" s="193"/>
      <c r="CX503" s="193"/>
      <c r="CY503" s="193"/>
      <c r="CZ503" s="193"/>
      <c r="DA503" s="193"/>
      <c r="DB503" s="193"/>
      <c r="DC503" s="193"/>
      <c r="DD503" s="193"/>
      <c r="DE503" s="193"/>
      <c r="DF503" s="193"/>
      <c r="DG503" s="193"/>
      <c r="DH503" s="193"/>
      <c r="DI503" s="193"/>
      <c r="DJ503" s="193"/>
      <c r="DK503" s="193"/>
      <c r="DL503" s="193"/>
      <c r="DM503" s="193"/>
      <c r="DN503" s="193"/>
      <c r="DO503" s="193"/>
      <c r="DP503" s="193"/>
      <c r="DQ503" s="193"/>
      <c r="DR503" s="193"/>
      <c r="DS503" s="193"/>
      <c r="DT503" s="193"/>
      <c r="DU503" s="196"/>
      <c r="DV503" s="196"/>
      <c r="DW503" s="196"/>
      <c r="DX503" s="665"/>
      <c r="DY503" s="1191"/>
      <c r="DZ503" s="197"/>
      <c r="EB503" s="665"/>
      <c r="EC503" s="665"/>
      <c r="ED503" s="1204"/>
      <c r="EE503" s="75">
        <f t="shared" ref="EE503:ER503" si="2360">+EE502/DZ502-1</f>
        <v>-3.0520140885558433E-2</v>
      </c>
      <c r="EF503" s="75">
        <f t="shared" si="2360"/>
        <v>2.4333117624325551E-2</v>
      </c>
      <c r="EG503" s="75">
        <f t="shared" si="2360"/>
        <v>7.9606941984379898E-2</v>
      </c>
      <c r="EH503" s="75">
        <f t="shared" si="2360"/>
        <v>4.986488851866322E-2</v>
      </c>
      <c r="EI503" s="84">
        <f t="shared" si="2360"/>
        <v>2.9914721377683362E-2</v>
      </c>
      <c r="EJ503" s="75">
        <f t="shared" si="2360"/>
        <v>1.6986596211590044E-2</v>
      </c>
      <c r="EK503" s="75">
        <f t="shared" si="2360"/>
        <v>-1.5033482997515391E-2</v>
      </c>
      <c r="EL503" s="75">
        <f t="shared" si="2360"/>
        <v>-3.7733935875327473E-2</v>
      </c>
      <c r="EM503" s="75">
        <f t="shared" si="2360"/>
        <v>-2.9768590344855683E-2</v>
      </c>
      <c r="EN503" s="84">
        <f>+EN502/EI502-1</f>
        <v>-1.6706652085271667E-2</v>
      </c>
      <c r="EO503" s="75">
        <f t="shared" si="2360"/>
        <v>1.0981025890358875E-2</v>
      </c>
      <c r="EP503" s="75">
        <f t="shared" si="2360"/>
        <v>2.7483203882701535E-2</v>
      </c>
      <c r="EQ503" s="75">
        <f t="shared" si="2360"/>
        <v>-1.389088074743583E-4</v>
      </c>
      <c r="ER503" s="75">
        <f t="shared" si="2360"/>
        <v>-2.0951371600336666E-2</v>
      </c>
      <c r="ES503" s="84">
        <f>+ES502/EN502-1</f>
        <v>4.3031141406755236E-3</v>
      </c>
      <c r="ET503" s="75">
        <f t="shared" ref="ET503:EW503" si="2361">+ET502/EO502-1</f>
        <v>-2.6824961016364335E-2</v>
      </c>
      <c r="EU503" s="75">
        <f t="shared" si="2361"/>
        <v>-3.6980124988167939E-2</v>
      </c>
      <c r="EV503" s="75">
        <f t="shared" si="2361"/>
        <v>-4.1009401686835534E-2</v>
      </c>
      <c r="EW503" s="75">
        <f t="shared" si="2361"/>
        <v>-5.0036329697467297E-2</v>
      </c>
      <c r="EX503" s="84">
        <f>+EX502/ES502-1</f>
        <v>-3.8770016813926889E-2</v>
      </c>
      <c r="EY503" s="75">
        <f t="shared" ref="EY503" si="2362">+EY502/ET502-1</f>
        <v>-5.1322248265861181E-2</v>
      </c>
      <c r="EZ503" s="75">
        <f t="shared" ref="EZ503" si="2363">+EZ502/EU502-1</f>
        <v>-6.2754415140549025E-2</v>
      </c>
      <c r="FA503" s="75">
        <f t="shared" ref="FA503" si="2364">+FA502/EV502-1</f>
        <v>-6.8984506742849061E-2</v>
      </c>
      <c r="FB503" s="75">
        <f t="shared" ref="FB503" si="2365">+FB502/EW502-1</f>
        <v>-8.0943705476828054E-2</v>
      </c>
      <c r="FC503" s="84">
        <f>+FC502/EX502-1</f>
        <v>-6.6127152550139456E-2</v>
      </c>
      <c r="FD503" s="75">
        <f t="shared" ref="FD503" si="2366">+FD502/EY502-1</f>
        <v>-6.4532668122246117E-2</v>
      </c>
      <c r="FE503" s="75">
        <f t="shared" ref="FE503" si="2367">+FE502/EZ502-1</f>
        <v>-7.0107458511652232E-2</v>
      </c>
      <c r="FF503" s="75">
        <f t="shared" ref="FF503" si="2368">+FF502/FA502-1</f>
        <v>-7.271768589618488E-2</v>
      </c>
      <c r="FG503" s="75">
        <f t="shared" ref="FG503" si="2369">+FG502/FB502-1</f>
        <v>-7.7303220897751657E-2</v>
      </c>
      <c r="FH503" s="84">
        <f>+FH502/FC502-1</f>
        <v>-7.1232556354659526E-2</v>
      </c>
      <c r="FI503" s="75">
        <f t="shared" ref="FI503:FM503" si="2370">FI502/FH502-1</f>
        <v>-6.9790542129420374E-2</v>
      </c>
      <c r="FJ503" s="75">
        <f t="shared" si="2370"/>
        <v>-5.796753635679186E-2</v>
      </c>
      <c r="FK503" s="75">
        <f t="shared" si="2370"/>
        <v>-4.5379165004117317E-2</v>
      </c>
      <c r="FL503" s="75">
        <f t="shared" si="2370"/>
        <v>-3.1962062093170096E-2</v>
      </c>
      <c r="FM503" s="75">
        <f t="shared" si="2370"/>
        <v>-1.9781938324932136E-2</v>
      </c>
      <c r="FN503" s="193"/>
      <c r="FO503" s="193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</row>
    <row r="504" spans="1:181" ht="12.75" customHeight="1" x14ac:dyDescent="0.3">
      <c r="A504" s="192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  <c r="AW504" s="193"/>
      <c r="AX504" s="193"/>
      <c r="AY504" s="193"/>
      <c r="AZ504" s="193"/>
      <c r="BA504" s="193"/>
      <c r="BB504" s="193"/>
      <c r="BC504" s="193"/>
      <c r="BD504" s="193"/>
      <c r="BE504" s="193"/>
      <c r="BF504" s="193"/>
      <c r="BG504" s="193"/>
      <c r="BH504" s="193"/>
      <c r="BI504" s="193"/>
      <c r="BJ504" s="193"/>
      <c r="BK504" s="193"/>
      <c r="BL504" s="192"/>
      <c r="BM504" s="192"/>
      <c r="BN504" s="192"/>
      <c r="BO504" s="192"/>
      <c r="BP504" s="192"/>
      <c r="BQ504" s="192"/>
      <c r="BR504" s="193"/>
      <c r="BS504" s="193"/>
      <c r="BT504" s="193"/>
      <c r="BU504" s="193"/>
      <c r="BV504" s="192"/>
      <c r="BW504" s="193"/>
      <c r="BX504" s="193"/>
      <c r="BY504" s="193"/>
      <c r="BZ504" s="193"/>
      <c r="CA504" s="192"/>
      <c r="CB504" s="193"/>
      <c r="CC504" s="193"/>
      <c r="CD504" s="193"/>
      <c r="CE504" s="193"/>
      <c r="CF504" s="192"/>
      <c r="CG504" s="193"/>
      <c r="CH504" s="193"/>
      <c r="CI504" s="193"/>
      <c r="CJ504" s="193"/>
      <c r="CK504" s="192"/>
      <c r="CL504" s="193"/>
      <c r="CM504" s="193"/>
      <c r="CN504" s="193"/>
      <c r="CO504" s="193"/>
      <c r="CP504" s="192"/>
      <c r="CQ504" s="193"/>
      <c r="CR504" s="193"/>
      <c r="CS504" s="193"/>
      <c r="CT504" s="193"/>
      <c r="CU504" s="193"/>
      <c r="CV504" s="193"/>
      <c r="CW504" s="193"/>
      <c r="CX504" s="193"/>
      <c r="CY504" s="193"/>
      <c r="CZ504" s="193"/>
      <c r="DA504" s="193"/>
      <c r="DB504" s="193"/>
      <c r="DC504" s="193"/>
      <c r="DD504" s="193"/>
      <c r="DE504" s="193"/>
      <c r="DF504" s="193"/>
      <c r="DG504" s="193"/>
      <c r="DH504" s="193"/>
      <c r="DI504" s="193"/>
      <c r="DJ504" s="193"/>
      <c r="DK504" s="193"/>
      <c r="DL504" s="193"/>
      <c r="DM504" s="193"/>
      <c r="DN504" s="193"/>
      <c r="DO504" s="193"/>
      <c r="DP504" s="193"/>
      <c r="DQ504" s="193"/>
      <c r="DR504" s="193"/>
      <c r="DS504" s="193"/>
      <c r="DT504" s="193"/>
      <c r="DU504" s="196"/>
      <c r="DV504" s="196"/>
      <c r="DW504" s="196"/>
      <c r="DX504" s="665"/>
      <c r="DY504" s="1191"/>
      <c r="DZ504" s="197"/>
      <c r="EB504" s="665"/>
      <c r="EC504" s="665"/>
      <c r="ED504" s="1204"/>
      <c r="EE504" s="197"/>
      <c r="EF504" s="197"/>
      <c r="EG504" s="197"/>
      <c r="EH504" s="197"/>
      <c r="EI504" s="1191"/>
      <c r="EJ504" s="197"/>
      <c r="EK504" s="197"/>
      <c r="EL504" s="197"/>
      <c r="EM504" s="197"/>
      <c r="EN504" s="1192"/>
      <c r="EO504" s="197"/>
      <c r="EP504" s="197"/>
      <c r="EQ504" s="197"/>
      <c r="ER504" s="197"/>
      <c r="ES504" s="1192"/>
      <c r="ET504" s="197"/>
      <c r="EU504" s="197"/>
      <c r="EV504" s="197"/>
      <c r="EW504" s="197"/>
      <c r="EX504" s="1192"/>
      <c r="EY504" s="197"/>
      <c r="EZ504" s="197"/>
      <c r="FA504" s="197"/>
      <c r="FB504" s="197"/>
      <c r="FC504" s="1192"/>
      <c r="FD504" s="197"/>
      <c r="FE504" s="197"/>
      <c r="FF504" s="197"/>
      <c r="FG504" s="197"/>
      <c r="FH504" s="1192"/>
      <c r="FI504" s="198"/>
      <c r="FJ504" s="198"/>
      <c r="FK504" s="198"/>
      <c r="FL504" s="198"/>
      <c r="FM504" s="198"/>
      <c r="FN504" s="193"/>
      <c r="FO504" s="193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</row>
    <row r="505" spans="1:181" ht="12.75" customHeight="1" x14ac:dyDescent="0.3">
      <c r="A505" s="60" t="s">
        <v>392</v>
      </c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  <c r="AW505" s="193"/>
      <c r="AX505" s="193"/>
      <c r="AY505" s="193"/>
      <c r="AZ505" s="193"/>
      <c r="BA505" s="193"/>
      <c r="BB505" s="193"/>
      <c r="BC505" s="193"/>
      <c r="BD505" s="193"/>
      <c r="BE505" s="193"/>
      <c r="BF505" s="193"/>
      <c r="BG505" s="193"/>
      <c r="BH505" s="193"/>
      <c r="BI505" s="193"/>
      <c r="BJ505" s="193"/>
      <c r="BK505" s="193"/>
      <c r="BL505" s="192"/>
      <c r="BM505" s="192"/>
      <c r="BN505" s="192"/>
      <c r="BO505" s="192"/>
      <c r="BP505" s="192"/>
      <c r="BQ505" s="192"/>
      <c r="BR505" s="193"/>
      <c r="BS505" s="193"/>
      <c r="BT505" s="193"/>
      <c r="BU505" s="193"/>
      <c r="BV505" s="192"/>
      <c r="BW505" s="193"/>
      <c r="BX505" s="193"/>
      <c r="BY505" s="193"/>
      <c r="BZ505" s="193"/>
      <c r="CA505" s="192"/>
      <c r="CB505" s="193"/>
      <c r="CC505" s="193"/>
      <c r="CD505" s="193"/>
      <c r="CE505" s="193"/>
      <c r="CF505" s="192"/>
      <c r="CG505" s="193"/>
      <c r="CH505" s="193"/>
      <c r="CI505" s="193"/>
      <c r="CJ505" s="193"/>
      <c r="CK505" s="192"/>
      <c r="CL505" s="193"/>
      <c r="CM505" s="193"/>
      <c r="CN505" s="193"/>
      <c r="CO505" s="193"/>
      <c r="CP505" s="192"/>
      <c r="CQ505" s="193"/>
      <c r="CR505" s="193"/>
      <c r="CS505" s="193"/>
      <c r="CT505" s="193"/>
      <c r="CU505" s="193"/>
      <c r="CV505" s="193"/>
      <c r="CW505" s="193"/>
      <c r="CX505" s="193"/>
      <c r="CY505" s="193"/>
      <c r="CZ505" s="193"/>
      <c r="DA505" s="193"/>
      <c r="DB505" s="193"/>
      <c r="DC505" s="193"/>
      <c r="DD505" s="193"/>
      <c r="DE505" s="193"/>
      <c r="DF505" s="193"/>
      <c r="DG505" s="193"/>
      <c r="DH505" s="193"/>
      <c r="DI505" s="193"/>
      <c r="DJ505" s="193"/>
      <c r="DK505" s="193"/>
      <c r="DL505" s="193"/>
      <c r="DM505" s="193"/>
      <c r="DN505" s="193"/>
      <c r="DO505" s="193"/>
      <c r="DP505" s="193"/>
      <c r="DQ505" s="193"/>
      <c r="DR505" s="193"/>
      <c r="DS505" s="193"/>
      <c r="DT505" s="193"/>
      <c r="DU505" s="196"/>
      <c r="DV505" s="196"/>
      <c r="DW505" s="196"/>
      <c r="DX505" s="665"/>
      <c r="DY505" s="1191"/>
      <c r="DZ505" s="85">
        <f>DZ230+DZ367</f>
        <v>165.2667560272705</v>
      </c>
      <c r="EA505" s="85">
        <f>EA230+EA367</f>
        <v>163.9445574638672</v>
      </c>
      <c r="EB505" s="85">
        <f>EB230+EB367</f>
        <v>162.15057175781251</v>
      </c>
      <c r="EC505" s="85">
        <f>EC230+EC367</f>
        <v>160.1998171875</v>
      </c>
      <c r="ED505" s="85">
        <f>SUM(DZ505:EC505)</f>
        <v>651.56170243645022</v>
      </c>
      <c r="EE505" s="85">
        <f>EE230+EE367</f>
        <v>158.4298125</v>
      </c>
      <c r="EF505" s="85">
        <f>EF230+EF367</f>
        <v>156.75749999999999</v>
      </c>
      <c r="EG505" s="85">
        <f>EG230+EG367</f>
        <v>155.22749999999999</v>
      </c>
      <c r="EH505" s="85">
        <f>EH230+EH367</f>
        <v>154.30500000000001</v>
      </c>
      <c r="EI505" s="85">
        <f>SUM(EE505:EH505)</f>
        <v>624.71981249999999</v>
      </c>
      <c r="EJ505" s="85">
        <f>EJ230+EJ367</f>
        <v>154.08000000000004</v>
      </c>
      <c r="EK505" s="85">
        <f>EK230+EK367</f>
        <v>153.92250000000001</v>
      </c>
      <c r="EL505" s="85">
        <f>EL230+EL367</f>
        <v>153.22500000000002</v>
      </c>
      <c r="EM505" s="85">
        <f>EM230+EM367</f>
        <v>152.50500000000002</v>
      </c>
      <c r="EN505" s="85">
        <f>SUM(EJ505:EM505)</f>
        <v>613.73250000000007</v>
      </c>
      <c r="EO505" s="85">
        <f>EO230+EO367</f>
        <v>152.34750000000003</v>
      </c>
      <c r="EP505" s="85">
        <f>EP230+EP367</f>
        <v>152.16750000000002</v>
      </c>
      <c r="EQ505" s="85">
        <f>EQ230+EQ367</f>
        <v>151.62750000000005</v>
      </c>
      <c r="ER505" s="85">
        <f>ER230+ER367</f>
        <v>151.62654371002137</v>
      </c>
      <c r="ES505" s="85">
        <f>SUM(EO505:ER505)</f>
        <v>607.76904371002149</v>
      </c>
      <c r="ET505" s="85">
        <f t="shared" ref="ET505:EW505" si="2371">ET230+ET367</f>
        <v>153.27871366328083</v>
      </c>
      <c r="EU505" s="85">
        <f t="shared" si="2371"/>
        <v>154.30272021263067</v>
      </c>
      <c r="EV505" s="85">
        <f t="shared" si="2371"/>
        <v>154.91528069803968</v>
      </c>
      <c r="EW505" s="85">
        <f t="shared" si="2371"/>
        <v>156.12893922470309</v>
      </c>
      <c r="EX505" s="85">
        <f>SUM(ET505:EW505)</f>
        <v>618.6256537986543</v>
      </c>
      <c r="EY505" s="85">
        <f t="shared" ref="EY505:FB505" si="2372">EY230+EY367</f>
        <v>159.06800417925774</v>
      </c>
      <c r="EZ505" s="85">
        <f t="shared" si="2372"/>
        <v>161.57771026377509</v>
      </c>
      <c r="FA505" s="85">
        <f t="shared" si="2372"/>
        <v>163.55766791280399</v>
      </c>
      <c r="FB505" s="85">
        <f t="shared" si="2372"/>
        <v>166.13109509065953</v>
      </c>
      <c r="FC505" s="85">
        <f>SUM(EY505:FB505)</f>
        <v>650.33447744649629</v>
      </c>
      <c r="FD505" s="85">
        <f t="shared" ref="FD505:FM505" si="2373">FD230+FD367</f>
        <v>170.17331806782423</v>
      </c>
      <c r="FE505" s="85">
        <f t="shared" si="2373"/>
        <v>173.63043466791271</v>
      </c>
      <c r="FF505" s="85">
        <f t="shared" si="2373"/>
        <v>176.41566631346063</v>
      </c>
      <c r="FG505" s="85">
        <f t="shared" si="2373"/>
        <v>179.70581549092074</v>
      </c>
      <c r="FH505" s="85">
        <f>SUM(FD505:FG505)</f>
        <v>699.92523454011825</v>
      </c>
      <c r="FI505" s="85">
        <f t="shared" si="2373"/>
        <v>752.79239405271278</v>
      </c>
      <c r="FJ505" s="85">
        <f t="shared" si="2373"/>
        <v>802.44523981281714</v>
      </c>
      <c r="FK505" s="85">
        <f t="shared" si="2373"/>
        <v>845.21520572798283</v>
      </c>
      <c r="FL505" s="85">
        <f t="shared" si="2373"/>
        <v>879.05354392205629</v>
      </c>
      <c r="FM505" s="85">
        <f t="shared" si="2373"/>
        <v>904.00796547351138</v>
      </c>
      <c r="FN505" s="193"/>
      <c r="FO505" s="193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</row>
    <row r="506" spans="1:181" ht="12.75" customHeight="1" x14ac:dyDescent="0.3">
      <c r="A506" s="70" t="s">
        <v>363</v>
      </c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  <c r="AW506" s="193"/>
      <c r="AX506" s="193"/>
      <c r="AY506" s="193"/>
      <c r="AZ506" s="193"/>
      <c r="BA506" s="193"/>
      <c r="BB506" s="193"/>
      <c r="BC506" s="193"/>
      <c r="BD506" s="193"/>
      <c r="BE506" s="193"/>
      <c r="BF506" s="193"/>
      <c r="BG506" s="193"/>
      <c r="BH506" s="193"/>
      <c r="BI506" s="193"/>
      <c r="BJ506" s="193"/>
      <c r="BK506" s="193"/>
      <c r="BL506" s="192"/>
      <c r="BM506" s="192"/>
      <c r="BN506" s="192"/>
      <c r="BO506" s="192"/>
      <c r="BP506" s="192"/>
      <c r="BQ506" s="192"/>
      <c r="BR506" s="193"/>
      <c r="BS506" s="193"/>
      <c r="BT506" s="193"/>
      <c r="BU506" s="193"/>
      <c r="BV506" s="192"/>
      <c r="BW506" s="193"/>
      <c r="BX506" s="193"/>
      <c r="BY506" s="193"/>
      <c r="BZ506" s="193"/>
      <c r="CA506" s="192"/>
      <c r="CB506" s="193"/>
      <c r="CC506" s="193"/>
      <c r="CD506" s="193"/>
      <c r="CE506" s="193"/>
      <c r="CF506" s="192"/>
      <c r="CG506" s="193"/>
      <c r="CH506" s="193"/>
      <c r="CI506" s="193"/>
      <c r="CJ506" s="193"/>
      <c r="CK506" s="192"/>
      <c r="CL506" s="193"/>
      <c r="CM506" s="193"/>
      <c r="CN506" s="193"/>
      <c r="CO506" s="193"/>
      <c r="CP506" s="192"/>
      <c r="CQ506" s="193"/>
      <c r="CR506" s="193"/>
      <c r="CS506" s="193"/>
      <c r="CT506" s="193"/>
      <c r="CU506" s="193"/>
      <c r="CV506" s="193"/>
      <c r="CW506" s="193"/>
      <c r="CX506" s="193"/>
      <c r="CY506" s="193"/>
      <c r="CZ506" s="193"/>
      <c r="DA506" s="193"/>
      <c r="DB506" s="193"/>
      <c r="DC506" s="193"/>
      <c r="DD506" s="193"/>
      <c r="DE506" s="193"/>
      <c r="DF506" s="193"/>
      <c r="DG506" s="193"/>
      <c r="DH506" s="193"/>
      <c r="DI506" s="193"/>
      <c r="DJ506" s="193"/>
      <c r="DK506" s="193"/>
      <c r="DL506" s="193"/>
      <c r="DM506" s="193"/>
      <c r="DN506" s="193"/>
      <c r="DO506" s="193"/>
      <c r="DP506" s="193"/>
      <c r="DQ506" s="193"/>
      <c r="DR506" s="193"/>
      <c r="DS506" s="193"/>
      <c r="DT506" s="193"/>
      <c r="DU506" s="196"/>
      <c r="DV506" s="196"/>
      <c r="DW506" s="196"/>
      <c r="DX506" s="665"/>
      <c r="DY506" s="1191"/>
      <c r="DZ506" s="197"/>
      <c r="EB506" s="665"/>
      <c r="EC506" s="665"/>
      <c r="ED506" s="1204"/>
      <c r="EE506" s="75">
        <f t="shared" ref="EE506:EX506" si="2374">+EE505/DZ505-1</f>
        <v>-4.1369139756953555E-2</v>
      </c>
      <c r="EF506" s="75">
        <f t="shared" si="2374"/>
        <v>-4.3838341296881467E-2</v>
      </c>
      <c r="EG506" s="75">
        <f t="shared" si="2374"/>
        <v>-4.2695327452516141E-2</v>
      </c>
      <c r="EH506" s="75">
        <f t="shared" si="2374"/>
        <v>-3.6796653647866662E-2</v>
      </c>
      <c r="EI506" s="84">
        <f t="shared" si="2374"/>
        <v>-4.1196236421013777E-2</v>
      </c>
      <c r="EJ506" s="75">
        <f t="shared" si="2374"/>
        <v>-2.7455770043279926E-2</v>
      </c>
      <c r="EK506" s="75">
        <f t="shared" si="2374"/>
        <v>-1.8085259078512883E-2</v>
      </c>
      <c r="EL506" s="75">
        <f t="shared" si="2374"/>
        <v>-1.2900420350775321E-2</v>
      </c>
      <c r="EM506" s="75">
        <f t="shared" si="2374"/>
        <v>-1.1665208515602155E-2</v>
      </c>
      <c r="EN506" s="84">
        <f t="shared" si="2374"/>
        <v>-1.7587584514137555E-2</v>
      </c>
      <c r="EO506" s="75">
        <f t="shared" si="2374"/>
        <v>-1.1244158878504829E-2</v>
      </c>
      <c r="EP506" s="75">
        <f t="shared" si="2374"/>
        <v>-1.1401841835988913E-2</v>
      </c>
      <c r="EQ506" s="75">
        <f t="shared" si="2374"/>
        <v>-1.0425844346549029E-2</v>
      </c>
      <c r="ER506" s="75">
        <f t="shared" si="2374"/>
        <v>-5.7601802562451399E-3</v>
      </c>
      <c r="ES506" s="84">
        <f t="shared" si="2374"/>
        <v>-9.7167027817144369E-3</v>
      </c>
      <c r="ET506" s="75">
        <f t="shared" si="2374"/>
        <v>6.1124315350156166E-3</v>
      </c>
      <c r="EU506" s="75">
        <f t="shared" si="2374"/>
        <v>1.4032038461765151E-2</v>
      </c>
      <c r="EV506" s="75">
        <f t="shared" si="2374"/>
        <v>2.168327445905005E-2</v>
      </c>
      <c r="EW506" s="75">
        <f t="shared" si="2374"/>
        <v>2.9693979724897845E-2</v>
      </c>
      <c r="EX506" s="84">
        <f t="shared" si="2374"/>
        <v>1.7863052093539444E-2</v>
      </c>
      <c r="EY506" s="75">
        <f t="shared" ref="EY506" si="2375">+EY505/ET505-1</f>
        <v>3.7769696637034E-2</v>
      </c>
      <c r="EZ506" s="75">
        <f t="shared" ref="EZ506" si="2376">+EZ505/EU505-1</f>
        <v>4.714751652543403E-2</v>
      </c>
      <c r="FA506" s="75">
        <f t="shared" ref="FA506" si="2377">+FA505/EV505-1</f>
        <v>5.5787829165865332E-2</v>
      </c>
      <c r="FB506" s="75">
        <f t="shared" ref="FB506:FC506" si="2378">+FB505/EW505-1</f>
        <v>6.4063433183012775E-2</v>
      </c>
      <c r="FC506" s="84">
        <f t="shared" si="2378"/>
        <v>5.1256884439135009E-2</v>
      </c>
      <c r="FD506" s="75">
        <f t="shared" ref="FD506" si="2379">+FD505/EY505-1</f>
        <v>6.9814881665652972E-2</v>
      </c>
      <c r="FE506" s="75">
        <f t="shared" ref="FE506" si="2380">+FE505/EZ505-1</f>
        <v>7.4593979481833106E-2</v>
      </c>
      <c r="FF506" s="75">
        <f t="shared" ref="FF506" si="2381">+FF505/FA505-1</f>
        <v>7.8614464028134101E-2</v>
      </c>
      <c r="FG506" s="75">
        <f t="shared" ref="FG506:FH506" si="2382">+FG505/FB505-1</f>
        <v>8.1710894597145423E-2</v>
      </c>
      <c r="FH506" s="84">
        <f t="shared" si="2382"/>
        <v>7.6254233495873347E-2</v>
      </c>
      <c r="FI506" s="75">
        <f t="shared" ref="FI506:FM506" si="2383">FI505/FH505-1</f>
        <v>7.553258105821925E-2</v>
      </c>
      <c r="FJ506" s="75">
        <f t="shared" si="2383"/>
        <v>6.5958219228006154E-2</v>
      </c>
      <c r="FK506" s="75">
        <f t="shared" si="2383"/>
        <v>5.3299544683126809E-2</v>
      </c>
      <c r="FL506" s="75">
        <f t="shared" si="2383"/>
        <v>4.0035174432206944E-2</v>
      </c>
      <c r="FM506" s="75">
        <f t="shared" si="2383"/>
        <v>2.8387828846143437E-2</v>
      </c>
      <c r="FN506" s="193"/>
      <c r="FO506" s="193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</row>
    <row r="507" spans="1:181" ht="12.75" customHeight="1" x14ac:dyDescent="0.3">
      <c r="A507" s="61" t="s">
        <v>391</v>
      </c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  <c r="AW507" s="193"/>
      <c r="AX507" s="193"/>
      <c r="AY507" s="193"/>
      <c r="AZ507" s="193"/>
      <c r="BA507" s="193"/>
      <c r="BB507" s="193"/>
      <c r="BC507" s="193"/>
      <c r="BD507" s="193"/>
      <c r="BE507" s="193"/>
      <c r="BF507" s="193"/>
      <c r="BG507" s="193"/>
      <c r="BH507" s="193"/>
      <c r="BI507" s="193"/>
      <c r="BJ507" s="193"/>
      <c r="BK507" s="193"/>
      <c r="BL507" s="192"/>
      <c r="BM507" s="192"/>
      <c r="BN507" s="192"/>
      <c r="BO507" s="192"/>
      <c r="BP507" s="192"/>
      <c r="BQ507" s="192"/>
      <c r="BR507" s="193"/>
      <c r="BS507" s="193"/>
      <c r="BT507" s="193"/>
      <c r="BU507" s="193"/>
      <c r="BV507" s="192"/>
      <c r="BW507" s="193"/>
      <c r="BX507" s="193"/>
      <c r="BY507" s="193"/>
      <c r="BZ507" s="193"/>
      <c r="CA507" s="192"/>
      <c r="CB507" s="193"/>
      <c r="CC507" s="193"/>
      <c r="CD507" s="193"/>
      <c r="CE507" s="193"/>
      <c r="CF507" s="192"/>
      <c r="CG507" s="193"/>
      <c r="CH507" s="193"/>
      <c r="CI507" s="193"/>
      <c r="CJ507" s="193"/>
      <c r="CK507" s="192"/>
      <c r="CL507" s="193"/>
      <c r="CM507" s="193"/>
      <c r="CN507" s="193"/>
      <c r="CO507" s="193"/>
      <c r="CP507" s="192"/>
      <c r="CQ507" s="193"/>
      <c r="CR507" s="193"/>
      <c r="CS507" s="193"/>
      <c r="CT507" s="193"/>
      <c r="CU507" s="193"/>
      <c r="CV507" s="193"/>
      <c r="CW507" s="193"/>
      <c r="CX507" s="193"/>
      <c r="CY507" s="193"/>
      <c r="CZ507" s="193"/>
      <c r="DA507" s="193"/>
      <c r="DB507" s="193"/>
      <c r="DC507" s="193"/>
      <c r="DD507" s="193"/>
      <c r="DE507" s="193"/>
      <c r="DF507" s="193"/>
      <c r="DG507" s="193"/>
      <c r="DH507" s="193"/>
      <c r="DI507" s="193"/>
      <c r="DJ507" s="193"/>
      <c r="DK507" s="193"/>
      <c r="DL507" s="193"/>
      <c r="DM507" s="193"/>
      <c r="DN507" s="193"/>
      <c r="DO507" s="193"/>
      <c r="DP507" s="193"/>
      <c r="DQ507" s="193"/>
      <c r="DR507" s="193"/>
      <c r="DS507" s="193"/>
      <c r="DT507" s="193"/>
      <c r="DU507" s="196"/>
      <c r="DV507" s="196"/>
      <c r="DW507" s="196"/>
      <c r="DX507" s="665"/>
      <c r="DY507" s="1191"/>
      <c r="DZ507" s="111">
        <f>DZ505/DZ455*1000/3</f>
        <v>15</v>
      </c>
      <c r="EA507" s="111">
        <f t="shared" ref="EA507:EM507" si="2384">EA505/EA455*1000/3</f>
        <v>15</v>
      </c>
      <c r="EB507" s="111">
        <f t="shared" si="2384"/>
        <v>15.000000000000002</v>
      </c>
      <c r="EC507" s="111">
        <f t="shared" si="2384"/>
        <v>15.000000000000002</v>
      </c>
      <c r="ED507" s="112">
        <f>ED505/ED455*1000/12</f>
        <v>15</v>
      </c>
      <c r="EE507" s="111">
        <f>EE505/EE455*1000/3</f>
        <v>15</v>
      </c>
      <c r="EF507" s="111">
        <f t="shared" si="2384"/>
        <v>15</v>
      </c>
      <c r="EG507" s="111">
        <f t="shared" si="2384"/>
        <v>15</v>
      </c>
      <c r="EH507" s="111">
        <f t="shared" si="2384"/>
        <v>15.000000000000002</v>
      </c>
      <c r="EI507" s="112">
        <f>EI505/EI455*1000/12</f>
        <v>15</v>
      </c>
      <c r="EJ507" s="111">
        <f t="shared" si="2384"/>
        <v>15.000000000000005</v>
      </c>
      <c r="EK507" s="111">
        <f t="shared" si="2384"/>
        <v>15.000000000000002</v>
      </c>
      <c r="EL507" s="111">
        <f t="shared" si="2384"/>
        <v>15.000000000000002</v>
      </c>
      <c r="EM507" s="111">
        <f t="shared" si="2384"/>
        <v>15.000000000000002</v>
      </c>
      <c r="EN507" s="112">
        <f>EN505/EN455*1000/12</f>
        <v>15.000000000000002</v>
      </c>
      <c r="EO507" s="111">
        <f t="shared" ref="EO507:ER507" si="2385">EO505/EO455*1000/3</f>
        <v>15.000000000000002</v>
      </c>
      <c r="EP507" s="111">
        <f t="shared" si="2385"/>
        <v>15.000000000000002</v>
      </c>
      <c r="EQ507" s="111">
        <f t="shared" si="2385"/>
        <v>15.000000000000007</v>
      </c>
      <c r="ER507" s="111">
        <f t="shared" si="2385"/>
        <v>15.000000000000002</v>
      </c>
      <c r="ES507" s="112">
        <f>ES505/ES455*1000/12</f>
        <v>15.000000000000005</v>
      </c>
      <c r="ET507" s="111">
        <f t="shared" ref="ET507:EW507" si="2386">ET505/ET455*1000/3</f>
        <v>15.058740079033399</v>
      </c>
      <c r="EU507" s="111">
        <f t="shared" si="2386"/>
        <v>15.055185037228854</v>
      </c>
      <c r="EV507" s="111">
        <f t="shared" si="2386"/>
        <v>15.051686473404992</v>
      </c>
      <c r="EW507" s="111">
        <f t="shared" si="2386"/>
        <v>15.048131547592895</v>
      </c>
      <c r="EX507" s="112">
        <f>EX505/EX455*1000/12</f>
        <v>15.053408577219335</v>
      </c>
      <c r="EY507" s="111">
        <f t="shared" ref="EY507:FB507" si="2387">EY505/EY455*1000/3</f>
        <v>15.089901202106793</v>
      </c>
      <c r="EZ507" s="111">
        <f t="shared" si="2387"/>
        <v>15.083652884414313</v>
      </c>
      <c r="FA507" s="111">
        <f t="shared" si="2387"/>
        <v>15.077631180039106</v>
      </c>
      <c r="FB507" s="111">
        <f t="shared" si="2387"/>
        <v>15.07162095183382</v>
      </c>
      <c r="FC507" s="112">
        <f>FC505/FC455*1000/12</f>
        <v>15.080590056287166</v>
      </c>
      <c r="FD507" s="111">
        <f t="shared" ref="FD507:FG507" si="2388">FD505/FD455*1000/3</f>
        <v>15.09954359500081</v>
      </c>
      <c r="FE507" s="111">
        <f t="shared" si="2388"/>
        <v>15.092040168040496</v>
      </c>
      <c r="FF507" s="111">
        <f t="shared" si="2388"/>
        <v>15.08491351350944</v>
      </c>
      <c r="FG507" s="111">
        <f t="shared" si="2388"/>
        <v>15.078008196403545</v>
      </c>
      <c r="FH507" s="112">
        <f>FH505/FH455*1000/12</f>
        <v>15.088461245264723</v>
      </c>
      <c r="FI507" s="111">
        <f t="shared" ref="FI507:FM507" si="2389">FI505/FI455*1000/12</f>
        <v>15.086109513851332</v>
      </c>
      <c r="FJ507" s="111">
        <f t="shared" si="2389"/>
        <v>15.080753033775158</v>
      </c>
      <c r="FK507" s="111">
        <f t="shared" si="2389"/>
        <v>15.076647394799705</v>
      </c>
      <c r="FL507" s="111">
        <f t="shared" si="2389"/>
        <v>15.073673100326026</v>
      </c>
      <c r="FM507" s="111">
        <f t="shared" si="2389"/>
        <v>15.071782718141369</v>
      </c>
      <c r="FN507" s="193"/>
      <c r="FO507" s="193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</row>
    <row r="508" spans="1:181" ht="12.75" customHeight="1" x14ac:dyDescent="0.3">
      <c r="A508" s="70" t="s">
        <v>387</v>
      </c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  <c r="AE508" s="193"/>
      <c r="AF508" s="193"/>
      <c r="AG508" s="193"/>
      <c r="AH508" s="193"/>
      <c r="AI508" s="193"/>
      <c r="AJ508" s="193"/>
      <c r="AK508" s="193"/>
      <c r="AL508" s="193"/>
      <c r="AM508" s="193"/>
      <c r="AN508" s="193"/>
      <c r="AO508" s="193"/>
      <c r="AP508" s="193"/>
      <c r="AQ508" s="193"/>
      <c r="AR508" s="193"/>
      <c r="AS508" s="193"/>
      <c r="AT508" s="193"/>
      <c r="AU508" s="193"/>
      <c r="AV508" s="193"/>
      <c r="AW508" s="193"/>
      <c r="AX508" s="193"/>
      <c r="AY508" s="193"/>
      <c r="AZ508" s="193"/>
      <c r="BA508" s="193"/>
      <c r="BB508" s="193"/>
      <c r="BC508" s="193"/>
      <c r="BD508" s="193"/>
      <c r="BE508" s="193"/>
      <c r="BF508" s="193"/>
      <c r="BG508" s="193"/>
      <c r="BH508" s="193"/>
      <c r="BI508" s="193"/>
      <c r="BJ508" s="193"/>
      <c r="BK508" s="193"/>
      <c r="BL508" s="192"/>
      <c r="BM508" s="192"/>
      <c r="BN508" s="192"/>
      <c r="BO508" s="192"/>
      <c r="BP508" s="192"/>
      <c r="BQ508" s="192"/>
      <c r="BR508" s="193"/>
      <c r="BS508" s="193"/>
      <c r="BT508" s="193"/>
      <c r="BU508" s="193"/>
      <c r="BV508" s="192"/>
      <c r="BW508" s="193"/>
      <c r="BX508" s="193"/>
      <c r="BY508" s="193"/>
      <c r="BZ508" s="193"/>
      <c r="CA508" s="192"/>
      <c r="CB508" s="193"/>
      <c r="CC508" s="193"/>
      <c r="CD508" s="193"/>
      <c r="CE508" s="193"/>
      <c r="CF508" s="192"/>
      <c r="CG508" s="193"/>
      <c r="CH508" s="193"/>
      <c r="CI508" s="193"/>
      <c r="CJ508" s="193"/>
      <c r="CK508" s="192"/>
      <c r="CL508" s="193"/>
      <c r="CM508" s="193"/>
      <c r="CN508" s="193"/>
      <c r="CO508" s="193"/>
      <c r="CP508" s="192"/>
      <c r="CQ508" s="193"/>
      <c r="CR508" s="193"/>
      <c r="CS508" s="193"/>
      <c r="CT508" s="193"/>
      <c r="CU508" s="193"/>
      <c r="CV508" s="193"/>
      <c r="CW508" s="193"/>
      <c r="CX508" s="193"/>
      <c r="CY508" s="193"/>
      <c r="CZ508" s="193"/>
      <c r="DA508" s="193"/>
      <c r="DB508" s="193"/>
      <c r="DC508" s="193"/>
      <c r="DD508" s="193"/>
      <c r="DE508" s="193"/>
      <c r="DF508" s="193"/>
      <c r="DG508" s="193"/>
      <c r="DH508" s="193"/>
      <c r="DI508" s="193"/>
      <c r="DJ508" s="193"/>
      <c r="DK508" s="193"/>
      <c r="DL508" s="193"/>
      <c r="DM508" s="193"/>
      <c r="DN508" s="193"/>
      <c r="DO508" s="193"/>
      <c r="DP508" s="193"/>
      <c r="DQ508" s="193"/>
      <c r="DR508" s="193"/>
      <c r="DS508" s="193"/>
      <c r="DT508" s="193"/>
      <c r="DU508" s="196"/>
      <c r="DV508" s="196"/>
      <c r="DW508" s="196"/>
      <c r="DX508" s="665"/>
      <c r="DY508" s="1191"/>
      <c r="DZ508" s="197"/>
      <c r="EB508" s="665"/>
      <c r="EC508" s="665"/>
      <c r="ED508" s="1204"/>
      <c r="EE508" s="75">
        <f t="shared" ref="EE508:EX508" si="2390">+EE507/DZ507-1</f>
        <v>0</v>
      </c>
      <c r="EF508" s="75">
        <f t="shared" si="2390"/>
        <v>0</v>
      </c>
      <c r="EG508" s="75">
        <f t="shared" si="2390"/>
        <v>0</v>
      </c>
      <c r="EH508" s="75">
        <f t="shared" si="2390"/>
        <v>0</v>
      </c>
      <c r="EI508" s="84">
        <f t="shared" si="2390"/>
        <v>0</v>
      </c>
      <c r="EJ508" s="75">
        <f t="shared" si="2390"/>
        <v>0</v>
      </c>
      <c r="EK508" s="75">
        <f t="shared" si="2390"/>
        <v>0</v>
      </c>
      <c r="EL508" s="75">
        <f t="shared" si="2390"/>
        <v>0</v>
      </c>
      <c r="EM508" s="75">
        <f t="shared" si="2390"/>
        <v>0</v>
      </c>
      <c r="EN508" s="84">
        <f t="shared" si="2390"/>
        <v>0</v>
      </c>
      <c r="EO508" s="75">
        <f t="shared" si="2390"/>
        <v>0</v>
      </c>
      <c r="EP508" s="75">
        <f t="shared" si="2390"/>
        <v>0</v>
      </c>
      <c r="EQ508" s="75">
        <f t="shared" si="2390"/>
        <v>0</v>
      </c>
      <c r="ER508" s="75">
        <f t="shared" si="2390"/>
        <v>0</v>
      </c>
      <c r="ES508" s="84">
        <f t="shared" si="2390"/>
        <v>0</v>
      </c>
      <c r="ET508" s="75">
        <f t="shared" si="2390"/>
        <v>3.9160052688931302E-3</v>
      </c>
      <c r="EU508" s="75">
        <f t="shared" si="2390"/>
        <v>3.6790024819235434E-3</v>
      </c>
      <c r="EV508" s="75">
        <f t="shared" si="2390"/>
        <v>3.4457648936656593E-3</v>
      </c>
      <c r="EW508" s="75">
        <f t="shared" si="2390"/>
        <v>3.2087698395262265E-3</v>
      </c>
      <c r="EX508" s="84">
        <f t="shared" si="2390"/>
        <v>3.5605718146218823E-3</v>
      </c>
      <c r="EY508" s="75">
        <f t="shared" ref="EY508" si="2391">+EY507/ET507-1</f>
        <v>2.069304796407323E-3</v>
      </c>
      <c r="EZ508" s="75">
        <f t="shared" ref="EZ508" si="2392">+EZ507/EU507-1</f>
        <v>1.8908998537754407E-3</v>
      </c>
      <c r="FA508" s="75">
        <f t="shared" ref="FA508" si="2393">+FA507/EV507-1</f>
        <v>1.723707617744763E-3</v>
      </c>
      <c r="FB508" s="75">
        <f t="shared" ref="FB508:FC508" si="2394">+FB507/EW507-1</f>
        <v>1.560951548478684E-3</v>
      </c>
      <c r="FC508" s="84">
        <f t="shared" si="2394"/>
        <v>1.8056693889891839E-3</v>
      </c>
      <c r="FD508" s="75">
        <f t="shared" ref="FD508" si="2395">+FD507/EY507-1</f>
        <v>6.3899642316211924E-4</v>
      </c>
      <c r="FE508" s="75">
        <f t="shared" ref="FE508" si="2396">+FE507/EZ507-1</f>
        <v>5.5605122250246275E-4</v>
      </c>
      <c r="FF508" s="75">
        <f t="shared" ref="FF508" si="2397">+FF507/FA507-1</f>
        <v>4.8298922976530712E-4</v>
      </c>
      <c r="FG508" s="75">
        <f t="shared" ref="FG508:FH508" si="2398">+FG507/FB507-1</f>
        <v>4.2379280836057909E-4</v>
      </c>
      <c r="FH508" s="84">
        <f t="shared" si="2398"/>
        <v>5.2194171104558151E-4</v>
      </c>
      <c r="FI508" s="75">
        <f t="shared" ref="FI508:FM508" si="2399">FI507/FH507-1</f>
        <v>-1.5586290577707107E-4</v>
      </c>
      <c r="FJ508" s="75">
        <f t="shared" si="2399"/>
        <v>-3.5506039985033766E-4</v>
      </c>
      <c r="FK508" s="75">
        <f t="shared" si="2399"/>
        <v>-2.7224363175082367E-4</v>
      </c>
      <c r="FL508" s="75">
        <f t="shared" si="2399"/>
        <v>-1.9727824069859512E-4</v>
      </c>
      <c r="FM508" s="75">
        <f t="shared" si="2399"/>
        <v>-1.2540952507555936E-4</v>
      </c>
      <c r="FN508" s="193"/>
      <c r="FO508" s="193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</row>
    <row r="509" spans="1:181" ht="12.75" customHeight="1" x14ac:dyDescent="0.3">
      <c r="A509" s="192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  <c r="AW509" s="193"/>
      <c r="AX509" s="193"/>
      <c r="AY509" s="193"/>
      <c r="AZ509" s="193"/>
      <c r="BA509" s="193"/>
      <c r="BB509" s="193"/>
      <c r="BC509" s="193"/>
      <c r="BD509" s="193"/>
      <c r="BE509" s="193"/>
      <c r="BF509" s="193"/>
      <c r="BG509" s="193"/>
      <c r="BH509" s="193"/>
      <c r="BI509" s="193"/>
      <c r="BJ509" s="193"/>
      <c r="BK509" s="193"/>
      <c r="BL509" s="192"/>
      <c r="BM509" s="192"/>
      <c r="BN509" s="192"/>
      <c r="BO509" s="192"/>
      <c r="BP509" s="192"/>
      <c r="BQ509" s="192"/>
      <c r="BR509" s="193"/>
      <c r="BS509" s="193"/>
      <c r="BT509" s="193"/>
      <c r="BU509" s="193"/>
      <c r="BV509" s="192"/>
      <c r="BW509" s="193"/>
      <c r="BX509" s="193"/>
      <c r="BY509" s="193"/>
      <c r="BZ509" s="193"/>
      <c r="CA509" s="192"/>
      <c r="CB509" s="193"/>
      <c r="CC509" s="193"/>
      <c r="CD509" s="193"/>
      <c r="CE509" s="193"/>
      <c r="CF509" s="192"/>
      <c r="CG509" s="193"/>
      <c r="CH509" s="193"/>
      <c r="CI509" s="193"/>
      <c r="CJ509" s="193"/>
      <c r="CK509" s="192"/>
      <c r="CL509" s="193"/>
      <c r="CM509" s="193"/>
      <c r="CN509" s="193"/>
      <c r="CO509" s="193"/>
      <c r="CP509" s="192"/>
      <c r="CQ509" s="193"/>
      <c r="CR509" s="193"/>
      <c r="CS509" s="193"/>
      <c r="CT509" s="193"/>
      <c r="CU509" s="193"/>
      <c r="CV509" s="193"/>
      <c r="CW509" s="193"/>
      <c r="CX509" s="193"/>
      <c r="CY509" s="193"/>
      <c r="CZ509" s="193"/>
      <c r="DA509" s="193"/>
      <c r="DB509" s="193"/>
      <c r="DC509" s="193"/>
      <c r="DD509" s="193"/>
      <c r="DE509" s="193"/>
      <c r="DF509" s="193"/>
      <c r="DG509" s="193"/>
      <c r="DH509" s="193"/>
      <c r="DI509" s="193"/>
      <c r="DJ509" s="193"/>
      <c r="DK509" s="193"/>
      <c r="DL509" s="193"/>
      <c r="DM509" s="193"/>
      <c r="DN509" s="193"/>
      <c r="DO509" s="193"/>
      <c r="DP509" s="193"/>
      <c r="DQ509" s="193"/>
      <c r="DR509" s="193"/>
      <c r="DS509" s="193"/>
      <c r="DT509" s="193"/>
      <c r="DU509" s="196"/>
      <c r="DV509" s="196"/>
      <c r="DW509" s="196"/>
      <c r="DX509" s="665"/>
      <c r="DY509" s="1191"/>
      <c r="DZ509" s="197"/>
      <c r="EB509" s="665"/>
      <c r="EC509" s="665"/>
      <c r="ED509" s="1204"/>
      <c r="EE509" s="197"/>
      <c r="EF509" s="197"/>
      <c r="EG509" s="197"/>
      <c r="EH509" s="197"/>
      <c r="EI509" s="1191"/>
      <c r="EJ509" s="197"/>
      <c r="EK509" s="197"/>
      <c r="EL509" s="197"/>
      <c r="EM509" s="197"/>
      <c r="EN509" s="1192"/>
      <c r="EO509" s="197"/>
      <c r="EP509" s="197"/>
      <c r="EQ509" s="197"/>
      <c r="ER509" s="197"/>
      <c r="ES509" s="1192"/>
      <c r="ET509" s="197"/>
      <c r="EU509" s="197"/>
      <c r="EV509" s="197"/>
      <c r="EW509" s="197"/>
      <c r="EX509" s="1192"/>
      <c r="EY509" s="197"/>
      <c r="EZ509" s="197"/>
      <c r="FA509" s="197"/>
      <c r="FB509" s="197"/>
      <c r="FC509" s="1192"/>
      <c r="FD509" s="197"/>
      <c r="FE509" s="197"/>
      <c r="FF509" s="197"/>
      <c r="FG509" s="197"/>
      <c r="FH509" s="1192"/>
      <c r="FI509" s="198"/>
      <c r="FJ509" s="198"/>
      <c r="FK509" s="198"/>
      <c r="FL509" s="198"/>
      <c r="FM509" s="198"/>
      <c r="FN509" s="193"/>
      <c r="FO509" s="193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</row>
    <row r="510" spans="1:181" x14ac:dyDescent="0.3">
      <c r="A510" s="55" t="s">
        <v>445</v>
      </c>
      <c r="DU510" s="76"/>
      <c r="DV510" s="76"/>
      <c r="DW510" s="76"/>
      <c r="DX510" s="76"/>
      <c r="DY510" s="85"/>
      <c r="DZ510" s="85">
        <f>DZ498+DZ505</f>
        <v>918</v>
      </c>
      <c r="EA510" s="85">
        <f t="shared" ref="EA510:EC510" si="2400">EA498+EA505</f>
        <v>884</v>
      </c>
      <c r="EB510" s="85">
        <f t="shared" si="2400"/>
        <v>876</v>
      </c>
      <c r="EC510" s="85">
        <f t="shared" si="2400"/>
        <v>863</v>
      </c>
      <c r="ED510" s="85">
        <f>+SUM(DZ510:EC510)</f>
        <v>3541</v>
      </c>
      <c r="EE510" s="85">
        <f>EE498+EE505</f>
        <v>858</v>
      </c>
      <c r="EF510" s="85">
        <f t="shared" ref="EF510:EM510" si="2401">EF498+EF505</f>
        <v>862</v>
      </c>
      <c r="EG510" s="85">
        <f t="shared" si="2401"/>
        <v>893</v>
      </c>
      <c r="EH510" s="85">
        <f t="shared" si="2401"/>
        <v>865</v>
      </c>
      <c r="EI510" s="85">
        <f>+SUM(EE510:EH510)</f>
        <v>3478</v>
      </c>
      <c r="EJ510" s="85">
        <f t="shared" si="2401"/>
        <v>845.99999999999989</v>
      </c>
      <c r="EK510" s="85">
        <f t="shared" si="2401"/>
        <v>836</v>
      </c>
      <c r="EL510" s="85">
        <f t="shared" si="2401"/>
        <v>854</v>
      </c>
      <c r="EM510" s="85">
        <f t="shared" si="2401"/>
        <v>834</v>
      </c>
      <c r="EN510" s="85">
        <f>+SUM(EJ510:EM510)</f>
        <v>3370</v>
      </c>
      <c r="EO510" s="85">
        <f t="shared" ref="EO510:ER510" si="2402">EO498+EO505</f>
        <v>844</v>
      </c>
      <c r="EP510" s="85">
        <f t="shared" si="2402"/>
        <v>845</v>
      </c>
      <c r="EQ510" s="85">
        <f t="shared" si="2402"/>
        <v>845</v>
      </c>
      <c r="ER510" s="85">
        <f t="shared" si="2402"/>
        <v>815</v>
      </c>
      <c r="ES510" s="85">
        <f>+SUM(EO510:ER510)</f>
        <v>3349</v>
      </c>
      <c r="ET510" s="85">
        <f t="shared" ref="ET510:EW510" si="2403">ET498+ET505</f>
        <v>827.85030763757868</v>
      </c>
      <c r="EU510" s="85">
        <f t="shared" si="2403"/>
        <v>828.39653193523941</v>
      </c>
      <c r="EV510" s="85">
        <f t="shared" si="2403"/>
        <v>831.93815451051455</v>
      </c>
      <c r="EW510" s="85">
        <f t="shared" si="2403"/>
        <v>802.94670563615909</v>
      </c>
      <c r="EX510" s="85">
        <f>+SUM(ET510:EW510)</f>
        <v>3291.1316997194917</v>
      </c>
      <c r="EY510" s="85">
        <f t="shared" ref="EY510:FB510" si="2404">EY498+EY505</f>
        <v>821.81839229548075</v>
      </c>
      <c r="EZ510" s="85">
        <f t="shared" si="2404"/>
        <v>821.90793852358706</v>
      </c>
      <c r="FA510" s="85">
        <f t="shared" si="2404"/>
        <v>827.89544532097966</v>
      </c>
      <c r="FB510" s="85">
        <f t="shared" si="2404"/>
        <v>797.69047387957244</v>
      </c>
      <c r="FC510" s="85">
        <f>+SUM(EY510:FB510)</f>
        <v>3269.31225001962</v>
      </c>
      <c r="FD510" s="85">
        <f t="shared" ref="FD510:FM510" si="2405">FD498+FD505</f>
        <v>833.01502555620539</v>
      </c>
      <c r="FE510" s="85">
        <f t="shared" si="2405"/>
        <v>833.10328844532467</v>
      </c>
      <c r="FF510" s="85">
        <f t="shared" si="2405"/>
        <v>840.55233088137436</v>
      </c>
      <c r="FG510" s="85">
        <f t="shared" si="2405"/>
        <v>809.79262118547626</v>
      </c>
      <c r="FH510" s="85">
        <f>+SUM(FD510:FG510)</f>
        <v>3316.463266068381</v>
      </c>
      <c r="FI510" s="85">
        <f t="shared" si="2405"/>
        <v>3370.9697905562343</v>
      </c>
      <c r="FJ510" s="85">
        <f t="shared" si="2405"/>
        <v>3432.4670458589499</v>
      </c>
      <c r="FK510" s="85">
        <f t="shared" si="2405"/>
        <v>3490.4267206592922</v>
      </c>
      <c r="FL510" s="85">
        <f t="shared" si="2405"/>
        <v>3542.7608095973051</v>
      </c>
      <c r="FM510" s="85">
        <f t="shared" si="2405"/>
        <v>3589.4797398189098</v>
      </c>
    </row>
    <row r="511" spans="1:181" x14ac:dyDescent="0.3">
      <c r="A511" s="70" t="s">
        <v>363</v>
      </c>
      <c r="DZ511" s="75"/>
      <c r="EA511" s="75"/>
      <c r="EB511" s="75"/>
      <c r="EC511" s="75"/>
      <c r="ED511" s="84"/>
      <c r="EE511" s="75">
        <f t="shared" ref="EE511:EX511" si="2406">+EE510/DZ510-1</f>
        <v>-6.5359477124182996E-2</v>
      </c>
      <c r="EF511" s="75">
        <f t="shared" si="2406"/>
        <v>-2.4886877828054321E-2</v>
      </c>
      <c r="EG511" s="75">
        <f t="shared" si="2406"/>
        <v>1.9406392694063967E-2</v>
      </c>
      <c r="EH511" s="75">
        <f t="shared" si="2406"/>
        <v>2.3174971031285629E-3</v>
      </c>
      <c r="EI511" s="91">
        <f t="shared" si="2406"/>
        <v>-1.7791584298220808E-2</v>
      </c>
      <c r="EJ511" s="75">
        <f t="shared" si="2406"/>
        <v>-1.3986013986014068E-2</v>
      </c>
      <c r="EK511" s="75">
        <f t="shared" si="2406"/>
        <v>-3.0162412993039456E-2</v>
      </c>
      <c r="EL511" s="75">
        <f t="shared" si="2406"/>
        <v>-4.3673012318029114E-2</v>
      </c>
      <c r="EM511" s="75">
        <f t="shared" si="2406"/>
        <v>-3.5838150289017379E-2</v>
      </c>
      <c r="EN511" s="91">
        <f t="shared" si="2406"/>
        <v>-3.1052328924669359E-2</v>
      </c>
      <c r="EO511" s="75">
        <f t="shared" si="2406"/>
        <v>-2.3640661938533203E-3</v>
      </c>
      <c r="EP511" s="75">
        <f t="shared" si="2406"/>
        <v>1.0765550239234534E-2</v>
      </c>
      <c r="EQ511" s="75">
        <f t="shared" si="2406"/>
        <v>-1.0538641686182681E-2</v>
      </c>
      <c r="ER511" s="75">
        <f t="shared" si="2406"/>
        <v>-2.2781774580335701E-2</v>
      </c>
      <c r="ES511" s="91">
        <f t="shared" si="2406"/>
        <v>-6.2314540059347223E-3</v>
      </c>
      <c r="ET511" s="75">
        <f t="shared" si="2406"/>
        <v>-1.9134706590546613E-2</v>
      </c>
      <c r="EU511" s="75">
        <f t="shared" si="2406"/>
        <v>-1.9649074632852814E-2</v>
      </c>
      <c r="EV511" s="75">
        <f t="shared" si="2406"/>
        <v>-1.5457805313000561E-2</v>
      </c>
      <c r="EW511" s="75">
        <f t="shared" si="2406"/>
        <v>-1.4789318237841576E-2</v>
      </c>
      <c r="EX511" s="91">
        <f t="shared" si="2406"/>
        <v>-1.7279277479996469E-2</v>
      </c>
      <c r="EY511" s="75">
        <f t="shared" ref="EY511" si="2407">+EY510/ET510-1</f>
        <v>-7.2862391744602517E-3</v>
      </c>
      <c r="EZ511" s="75">
        <f t="shared" ref="EZ511" si="2408">+EZ510/EU510-1</f>
        <v>-7.8327143602281435E-3</v>
      </c>
      <c r="FA511" s="75">
        <f t="shared" ref="FA511" si="2409">+FA510/EV510-1</f>
        <v>-4.8593866835131561E-3</v>
      </c>
      <c r="FB511" s="75">
        <f t="shared" ref="FB511:FC511" si="2410">+FB510/EW510-1</f>
        <v>-6.5461776226135582E-3</v>
      </c>
      <c r="FC511" s="91">
        <f t="shared" si="2410"/>
        <v>-6.6297710607361449E-3</v>
      </c>
      <c r="FD511" s="75">
        <f t="shared" ref="FD511" si="2411">+FD510/EY510-1</f>
        <v>1.3624218398727406E-2</v>
      </c>
      <c r="FE511" s="75">
        <f t="shared" ref="FE511" si="2412">+FE510/EZ510-1</f>
        <v>1.3621172636254286E-2</v>
      </c>
      <c r="FF511" s="75">
        <f t="shared" ref="FF511" si="2413">+FF510/FA510-1</f>
        <v>1.5288024148372381E-2</v>
      </c>
      <c r="FG511" s="75">
        <f t="shared" ref="FG511:FH511" si="2414">+FG510/FB510-1</f>
        <v>1.5171482802151193E-2</v>
      </c>
      <c r="FH511" s="91">
        <f t="shared" si="2414"/>
        <v>1.4422304277750708E-2</v>
      </c>
      <c r="FI511" s="75">
        <f t="shared" ref="FI511:FM511" si="2415">FI510/FH510-1</f>
        <v>1.6435135900802589E-2</v>
      </c>
      <c r="FJ511" s="75">
        <f t="shared" si="2415"/>
        <v>1.8243193835494997E-2</v>
      </c>
      <c r="FK511" s="75">
        <f t="shared" si="2415"/>
        <v>1.6885719229341678E-2</v>
      </c>
      <c r="FL511" s="75">
        <f t="shared" si="2415"/>
        <v>1.4993607695086508E-2</v>
      </c>
      <c r="FM511" s="75">
        <f t="shared" si="2415"/>
        <v>1.318715339038512E-2</v>
      </c>
    </row>
    <row r="512" spans="1:181" x14ac:dyDescent="0.3">
      <c r="A512" s="61" t="s">
        <v>389</v>
      </c>
      <c r="DU512" s="111"/>
      <c r="DV512" s="111"/>
      <c r="DW512" s="111"/>
      <c r="DX512" s="111"/>
      <c r="DY512" s="112"/>
      <c r="DZ512" s="111">
        <f>DZ510/DZ99/3*1000</f>
        <v>20.131578947368421</v>
      </c>
      <c r="EA512" s="111">
        <f>EA510/EA99/3*1000</f>
        <v>19.385964912280702</v>
      </c>
      <c r="EB512" s="111">
        <f>EB510/EB99/3*1000</f>
        <v>19.210526315789473</v>
      </c>
      <c r="EC512" s="111">
        <f>EC510/EC99/3*1000</f>
        <v>18.925438596491226</v>
      </c>
      <c r="ED512" s="112">
        <f>ED510/ED99/12*1000</f>
        <v>19.413377192982455</v>
      </c>
      <c r="EE512" s="111">
        <f>EE510/EE99/3*1000</f>
        <v>18.815789473684212</v>
      </c>
      <c r="EF512" s="111">
        <f>EF510/EF99/3*1000</f>
        <v>18.77995642701525</v>
      </c>
      <c r="EG512" s="111">
        <f>EG510/EG99/3*1000</f>
        <v>19.455337690631808</v>
      </c>
      <c r="EH512" s="111">
        <f>EH510/EH99/3*1000</f>
        <v>18.845315904139436</v>
      </c>
      <c r="EI512" s="112">
        <f>EI510/EI99/12*1000</f>
        <v>18.943355119825707</v>
      </c>
      <c r="EJ512" s="111">
        <f>EJ510/EJ99/3*1000</f>
        <v>18.431372549019606</v>
      </c>
      <c r="EK512" s="111">
        <f>EK510/EK99/3*1000</f>
        <v>18.213507625272332</v>
      </c>
      <c r="EL512" s="111">
        <f>EL510/EL99/3*1000</f>
        <v>18.605664488017428</v>
      </c>
      <c r="EM512" s="111">
        <f>EM510/EM99/3*1000</f>
        <v>18.051948051948052</v>
      </c>
      <c r="EN512" s="112">
        <f>EN510/EN99/12*1000</f>
        <v>18.235930735930733</v>
      </c>
      <c r="EO512" s="111">
        <f>EO510/EO99/3*1000</f>
        <v>18.268398268398272</v>
      </c>
      <c r="EP512" s="111">
        <f>EP510/EP99/3*1000</f>
        <v>18.29004329004329</v>
      </c>
      <c r="EQ512" s="111">
        <f>EQ510/EQ99/3*1000</f>
        <v>18.29004329004329</v>
      </c>
      <c r="ER512" s="111">
        <f>ER510/ER99/3*1000</f>
        <v>17.640692640692642</v>
      </c>
      <c r="ES512" s="112">
        <f t="shared" ref="ES512:FM512" si="2416">ES510/ES99/12*1000</f>
        <v>18.122294372294373</v>
      </c>
      <c r="ET512" s="111">
        <f t="shared" ref="ET512:EW512" si="2417">ET510/ET99/3*1000</f>
        <v>17.884457194254413</v>
      </c>
      <c r="EU512" s="111">
        <f t="shared" si="2417"/>
        <v>17.877787308434428</v>
      </c>
      <c r="EV512" s="111">
        <f t="shared" si="2417"/>
        <v>17.925757166591456</v>
      </c>
      <c r="EW512" s="111">
        <f t="shared" si="2417"/>
        <v>17.258985921840605</v>
      </c>
      <c r="EX512" s="112">
        <f t="shared" ref="EX512" si="2418">EX510/EX99/12*1000</f>
        <v>17.685356722205878</v>
      </c>
      <c r="EY512" s="111">
        <f t="shared" ref="EY512:FB512" si="2419">EY510/EY99/3*1000</f>
        <v>17.634372463860498</v>
      </c>
      <c r="EZ512" s="111">
        <f t="shared" si="2419"/>
        <v>17.61689149954363</v>
      </c>
      <c r="FA512" s="111">
        <f t="shared" si="2419"/>
        <v>17.715877946753231</v>
      </c>
      <c r="FB512" s="111">
        <f t="shared" si="2419"/>
        <v>17.026817809741861</v>
      </c>
      <c r="FC512" s="112">
        <f t="shared" ref="FC512" si="2420">FC510/FC99/12*1000</f>
        <v>17.445984961281237</v>
      </c>
      <c r="FD512" s="111">
        <f t="shared" ref="FD512:FG512" si="2421">FD510/FD99/3*1000</f>
        <v>17.75403991540152</v>
      </c>
      <c r="FE512" s="111">
        <f t="shared" si="2421"/>
        <v>17.735178480968688</v>
      </c>
      <c r="FF512" s="111">
        <f t="shared" si="2421"/>
        <v>17.862928621267425</v>
      </c>
      <c r="FG512" s="111">
        <f t="shared" si="2421"/>
        <v>17.164984988398931</v>
      </c>
      <c r="FH512" s="112">
        <f t="shared" ref="FH512" si="2422">FH510/FH99/12*1000</f>
        <v>17.574574245102188</v>
      </c>
      <c r="FI512" s="111">
        <f t="shared" si="2416"/>
        <v>17.739240080654604</v>
      </c>
      <c r="FJ512" s="111">
        <f t="shared" si="2416"/>
        <v>17.937299380278422</v>
      </c>
      <c r="FK512" s="111">
        <f t="shared" si="2416"/>
        <v>18.113389852379793</v>
      </c>
      <c r="FL512" s="111">
        <f t="shared" si="2416"/>
        <v>18.257174691017415</v>
      </c>
      <c r="FM512" s="111">
        <f t="shared" si="2416"/>
        <v>18.369349408284926</v>
      </c>
    </row>
    <row r="513" spans="1:170" x14ac:dyDescent="0.3">
      <c r="A513" s="70" t="s">
        <v>387</v>
      </c>
      <c r="DZ513" s="75"/>
      <c r="EA513" s="75"/>
      <c r="EB513" s="75"/>
      <c r="EC513" s="75"/>
      <c r="ED513" s="84"/>
      <c r="EE513" s="75">
        <f t="shared" ref="EE513:EX513" si="2423">+EE512/DZ512-1</f>
        <v>-6.5359477124182885E-2</v>
      </c>
      <c r="EF513" s="75">
        <f t="shared" si="2423"/>
        <v>-3.1260166208263107E-2</v>
      </c>
      <c r="EG513" s="75">
        <f t="shared" si="2423"/>
        <v>1.2743605813710701E-2</v>
      </c>
      <c r="EH513" s="75">
        <f t="shared" si="2423"/>
        <v>-4.2335976491791882E-3</v>
      </c>
      <c r="EI513" s="84">
        <f t="shared" si="2423"/>
        <v>-2.4211247145944914E-2</v>
      </c>
      <c r="EJ513" s="75">
        <f t="shared" si="2423"/>
        <v>-2.0430549842314738E-2</v>
      </c>
      <c r="EK513" s="75">
        <f t="shared" si="2423"/>
        <v>-3.0162412993039345E-2</v>
      </c>
      <c r="EL513" s="75">
        <f t="shared" si="2423"/>
        <v>-4.3673012318029114E-2</v>
      </c>
      <c r="EM513" s="75">
        <f t="shared" si="2423"/>
        <v>-4.2098941520906985E-2</v>
      </c>
      <c r="EN513" s="84">
        <f t="shared" si="2423"/>
        <v>-3.7344196918665085E-2</v>
      </c>
      <c r="EO513" s="75">
        <f t="shared" si="2423"/>
        <v>-8.8422216081788241E-3</v>
      </c>
      <c r="EP513" s="75">
        <f t="shared" si="2423"/>
        <v>4.2021375753433787E-3</v>
      </c>
      <c r="EQ513" s="75">
        <f t="shared" si="2423"/>
        <v>-1.6963715441467131E-2</v>
      </c>
      <c r="ER513" s="75">
        <f t="shared" si="2423"/>
        <v>-2.2781774580335701E-2</v>
      </c>
      <c r="ES513" s="84">
        <f t="shared" si="2423"/>
        <v>-6.2314540059345003E-3</v>
      </c>
      <c r="ET513" s="75">
        <f t="shared" si="2423"/>
        <v>-2.1016679651002734E-2</v>
      </c>
      <c r="EU513" s="75">
        <f t="shared" si="2423"/>
        <v>-2.2539912840626508E-2</v>
      </c>
      <c r="EV513" s="75">
        <f t="shared" si="2423"/>
        <v>-1.9917182134289613E-2</v>
      </c>
      <c r="EW513" s="75">
        <f t="shared" si="2423"/>
        <v>-2.1637853264986684E-2</v>
      </c>
      <c r="EX513" s="84">
        <f t="shared" si="2423"/>
        <v>-2.4110503952330276E-2</v>
      </c>
      <c r="EY513" s="75">
        <f t="shared" ref="EY513" si="2424">+EY512/ET512-1</f>
        <v>-1.3983355920595519E-2</v>
      </c>
      <c r="EZ513" s="75">
        <f t="shared" ref="EZ513" si="2425">+EZ512/EU512-1</f>
        <v>-1.4593294147073332E-2</v>
      </c>
      <c r="FA513" s="75">
        <f t="shared" ref="FA513" si="2426">+FA512/EV512-1</f>
        <v>-1.1708248521260844E-2</v>
      </c>
      <c r="FB513" s="75">
        <f t="shared" ref="FB513:FC513" si="2427">+FB512/EW512-1</f>
        <v>-1.3452013527917916E-2</v>
      </c>
      <c r="FC513" s="84">
        <f t="shared" si="2427"/>
        <v>-1.3535025879578888E-2</v>
      </c>
      <c r="FD513" s="75">
        <f t="shared" ref="FD513" si="2428">+FD512/EY512-1</f>
        <v>6.7860340245318174E-3</v>
      </c>
      <c r="FE513" s="75">
        <f t="shared" ref="FE513" si="2429">+FE512/EZ512-1</f>
        <v>6.7144071034395125E-3</v>
      </c>
      <c r="FF513" s="75">
        <f t="shared" ref="FF513" si="2430">+FF512/FA512-1</f>
        <v>8.300501671786753E-3</v>
      </c>
      <c r="FG513" s="75">
        <f t="shared" ref="FG513:FH513" si="2431">+FG512/FB512-1</f>
        <v>8.1146800418583354E-3</v>
      </c>
      <c r="FH513" s="84">
        <f t="shared" si="2431"/>
        <v>7.3707093125630063E-3</v>
      </c>
      <c r="FI513" s="75">
        <f t="shared" ref="FI513:FM513" si="2432">+FI512/FH512-1</f>
        <v>9.3695490574006168E-3</v>
      </c>
      <c r="FJ513" s="75">
        <f t="shared" si="2432"/>
        <v>1.1165038565536411E-2</v>
      </c>
      <c r="FK513" s="75">
        <f t="shared" si="2432"/>
        <v>9.8170002277477852E-3</v>
      </c>
      <c r="FL513" s="75">
        <f t="shared" si="2432"/>
        <v>7.9380414052496739E-3</v>
      </c>
      <c r="FM513" s="75">
        <f t="shared" si="2432"/>
        <v>6.1441443797272122E-3</v>
      </c>
    </row>
    <row r="514" spans="1:170" x14ac:dyDescent="0.3">
      <c r="A514" s="61" t="s">
        <v>391</v>
      </c>
      <c r="DU514" s="111"/>
      <c r="DV514" s="111"/>
      <c r="DW514" s="111"/>
      <c r="DX514" s="111"/>
      <c r="DY514" s="112"/>
      <c r="DZ514" s="111">
        <f>+DZ510/DZ455/3*1000</f>
        <v>83.319841999729363</v>
      </c>
      <c r="EA514" s="111">
        <f>+EA510/EA455/3*1000</f>
        <v>80.881001511272856</v>
      </c>
      <c r="EB514" s="111">
        <f>+EB510/EB455/3*1000</f>
        <v>81.035791965173317</v>
      </c>
      <c r="EC514" s="111">
        <f>+EC510/EC455/3*1000</f>
        <v>80.805335656837855</v>
      </c>
      <c r="ED514" s="112">
        <f>+ED510/ED455/12*1000</f>
        <v>81.519524246716372</v>
      </c>
      <c r="EE514" s="111">
        <f>+EE510/EE455/3*1000</f>
        <v>81.234710796618543</v>
      </c>
      <c r="EF514" s="111">
        <f>+EF510/EF455/3*1000</f>
        <v>82.484091670255012</v>
      </c>
      <c r="EG514" s="111">
        <f>+EG510/EG455/3*1000</f>
        <v>86.292699425037441</v>
      </c>
      <c r="EH514" s="111">
        <f>+EH510/EH455/3*1000</f>
        <v>84.086711383299317</v>
      </c>
      <c r="EI514" s="112">
        <f>+EI510/EI455/12*1000</f>
        <v>83.509437280732953</v>
      </c>
      <c r="EJ514" s="111">
        <f>+EJ510/EJ455/3*1000</f>
        <v>82.359813084112133</v>
      </c>
      <c r="EK514" s="111">
        <f>+EK510/EK455/3*1000</f>
        <v>81.469570725527447</v>
      </c>
      <c r="EL514" s="111">
        <f>+EL510/EL455/3*1000</f>
        <v>83.602545276554082</v>
      </c>
      <c r="EM514" s="111">
        <f>+EM510/EM455/3*1000</f>
        <v>82.030097373856592</v>
      </c>
      <c r="EN514" s="112">
        <f t="shared" ref="EN514:FM514" si="2433">+EN510/EN455/12*1000</f>
        <v>82.364873947525993</v>
      </c>
      <c r="EO514" s="111">
        <f>+EO510/EO455/3*1000</f>
        <v>83.099492935558501</v>
      </c>
      <c r="EP514" s="111">
        <f>+EP510/EP455/3*1000</f>
        <v>83.296367489772777</v>
      </c>
      <c r="EQ514" s="111">
        <f>+EQ510/EQ455/3*1000</f>
        <v>83.593015778800023</v>
      </c>
      <c r="ER514" s="111">
        <f>+ER510/ER455/3*1000</f>
        <v>80.625724895370169</v>
      </c>
      <c r="ES514" s="112">
        <f t="shared" ref="ES514" si="2434">+ES510/ES455/12*1000</f>
        <v>82.65475268919441</v>
      </c>
      <c r="ET514" s="111">
        <f t="shared" ref="ET514:EW514" si="2435">+ET510/ET455/3*1000</f>
        <v>81.331466771361349</v>
      </c>
      <c r="EU514" s="111">
        <f t="shared" si="2435"/>
        <v>80.825944320991979</v>
      </c>
      <c r="EV514" s="111">
        <f t="shared" si="2435"/>
        <v>80.831743715220739</v>
      </c>
      <c r="EW514" s="111">
        <f t="shared" si="2435"/>
        <v>77.390186035463032</v>
      </c>
      <c r="EX514" s="112">
        <f t="shared" ref="EX514" si="2436">+EX510/EX455/12*1000</f>
        <v>80.08518536711162</v>
      </c>
      <c r="EY514" s="111">
        <f t="shared" ref="EY514:FB514" si="2437">+EY510/EY455/3*1000</f>
        <v>77.961362561875532</v>
      </c>
      <c r="EZ514" s="111">
        <f t="shared" si="2437"/>
        <v>76.727006635975044</v>
      </c>
      <c r="FA514" s="111">
        <f t="shared" si="2437"/>
        <v>76.319883619511828</v>
      </c>
      <c r="FB514" s="111">
        <f t="shared" si="2437"/>
        <v>72.367478542417416</v>
      </c>
      <c r="FC514" s="112">
        <f t="shared" ref="FC514" si="2438">+FC510/FC455/12*1000</f>
        <v>75.812000621787632</v>
      </c>
      <c r="FD514" s="111">
        <f t="shared" ref="FD514:FG514" si="2439">+FD510/FD455/3*1000</f>
        <v>73.913741804478974</v>
      </c>
      <c r="FE514" s="111">
        <f t="shared" si="2439"/>
        <v>72.413735053944592</v>
      </c>
      <c r="FF514" s="111">
        <f t="shared" si="2439"/>
        <v>71.873771076513719</v>
      </c>
      <c r="FG514" s="111">
        <f t="shared" si="2439"/>
        <v>67.944711451136143</v>
      </c>
      <c r="FH514" s="112">
        <f t="shared" ref="FH514" si="2440">+FH510/FH455/12*1000</f>
        <v>71.493818185160208</v>
      </c>
      <c r="FI514" s="111">
        <f t="shared" si="2433"/>
        <v>67.554906013908038</v>
      </c>
      <c r="FJ514" s="111">
        <f t="shared" si="2433"/>
        <v>64.508062665117706</v>
      </c>
      <c r="FK514" s="111">
        <f t="shared" si="2433"/>
        <v>62.260986986671959</v>
      </c>
      <c r="FL514" s="111">
        <f t="shared" si="2433"/>
        <v>60.749903900337635</v>
      </c>
      <c r="FM514" s="111">
        <f t="shared" si="2433"/>
        <v>59.844449137551791</v>
      </c>
    </row>
    <row r="515" spans="1:170" x14ac:dyDescent="0.3">
      <c r="A515" s="70" t="s">
        <v>387</v>
      </c>
      <c r="DZ515" s="75"/>
      <c r="EA515" s="75"/>
      <c r="EB515" s="75"/>
      <c r="EC515" s="75"/>
      <c r="ED515" s="84"/>
      <c r="EE515" s="75">
        <f t="shared" ref="EE515:ER515" si="2441">+EE514/DZ514-1</f>
        <v>-2.5025625986155764E-2</v>
      </c>
      <c r="EF515" s="75">
        <f t="shared" si="2441"/>
        <v>1.9820354953922426E-2</v>
      </c>
      <c r="EG515" s="75">
        <f t="shared" si="2441"/>
        <v>6.487142696308057E-2</v>
      </c>
      <c r="EH515" s="75">
        <f t="shared" si="2441"/>
        <v>4.0608404133072762E-2</v>
      </c>
      <c r="EI515" s="84">
        <f t="shared" si="2441"/>
        <v>2.4410263092240037E-2</v>
      </c>
      <c r="EJ515" s="75">
        <f t="shared" si="2441"/>
        <v>1.3850018993856406E-2</v>
      </c>
      <c r="EK515" s="75">
        <f t="shared" si="2441"/>
        <v>-1.2299595281758058E-2</v>
      </c>
      <c r="EL515" s="75">
        <f t="shared" si="2441"/>
        <v>-3.1174759468734603E-2</v>
      </c>
      <c r="EM515" s="75">
        <f t="shared" si="2441"/>
        <v>-2.4458252387442037E-2</v>
      </c>
      <c r="EN515" s="84">
        <f>+EN514/EI514-1</f>
        <v>-1.3705796260598535E-2</v>
      </c>
      <c r="EO515" s="75">
        <f t="shared" si="2441"/>
        <v>8.9810773452212445E-3</v>
      </c>
      <c r="EP515" s="75">
        <f t="shared" si="2441"/>
        <v>2.2423056215673975E-2</v>
      </c>
      <c r="EQ515" s="75">
        <f t="shared" si="2441"/>
        <v>-1.1398573718701677E-4</v>
      </c>
      <c r="ER515" s="75">
        <f t="shared" si="2441"/>
        <v>-1.7120209818670795E-2</v>
      </c>
      <c r="ES515" s="84">
        <f>+ES514/EN514-1</f>
        <v>3.5194461883483186E-3</v>
      </c>
      <c r="ET515" s="75">
        <f t="shared" ref="ET515:EW515" si="2442">+ET514/EO514-1</f>
        <v>-2.1276016275673437E-2</v>
      </c>
      <c r="EU515" s="75">
        <f t="shared" si="2442"/>
        <v>-2.9658234125084948E-2</v>
      </c>
      <c r="EV515" s="75">
        <f t="shared" si="2442"/>
        <v>-3.3032329768865276E-2</v>
      </c>
      <c r="EW515" s="75">
        <f t="shared" si="2442"/>
        <v>-4.0130353731466895E-2</v>
      </c>
      <c r="EX515" s="84">
        <f>+EX514/ES514-1</f>
        <v>-3.108795608820103E-2</v>
      </c>
      <c r="EY515" s="75">
        <f t="shared" ref="EY515" si="2443">+EY514/ET514-1</f>
        <v>-4.1436658445615393E-2</v>
      </c>
      <c r="EZ515" s="75">
        <f t="shared" ref="EZ515" si="2444">+EZ514/EU514-1</f>
        <v>-5.071314315535147E-2</v>
      </c>
      <c r="FA515" s="75">
        <f t="shared" ref="FA515" si="2445">+FA514/EV514-1</f>
        <v>-5.581792360690252E-2</v>
      </c>
      <c r="FB515" s="75">
        <f t="shared" ref="FB515" si="2446">+FB514/EW514-1</f>
        <v>-6.490109082751172E-2</v>
      </c>
      <c r="FC515" s="84">
        <f>+FC514/EX514-1</f>
        <v>-5.3357992813972355E-2</v>
      </c>
      <c r="FD515" s="75">
        <f t="shared" ref="FD515" si="2447">+FD514/EY514-1</f>
        <v>-5.191829163047379E-2</v>
      </c>
      <c r="FE515" s="75">
        <f t="shared" ref="FE515" si="2448">+FE514/EZ514-1</f>
        <v>-5.6215819841563874E-2</v>
      </c>
      <c r="FF515" s="75">
        <f t="shared" ref="FF515" si="2449">+FF514/FA514-1</f>
        <v>-5.8256280436221997E-2</v>
      </c>
      <c r="FG515" s="75">
        <f t="shared" ref="FG515" si="2450">+FG514/FB514-1</f>
        <v>-6.1115395760112268E-2</v>
      </c>
      <c r="FH515" s="84">
        <f>+FH514/FC514-1</f>
        <v>-5.6959088286959392E-2</v>
      </c>
      <c r="FI515" s="75">
        <f t="shared" ref="FI515:FM515" si="2451">+FI514/FH514-1</f>
        <v>-5.5094444124537789E-2</v>
      </c>
      <c r="FJ515" s="75">
        <f t="shared" si="2451"/>
        <v>-4.5101733220723528E-2</v>
      </c>
      <c r="FK515" s="75">
        <f t="shared" si="2451"/>
        <v>-3.4834028268854511E-2</v>
      </c>
      <c r="FL515" s="75">
        <f t="shared" si="2451"/>
        <v>-2.427014346331835E-2</v>
      </c>
      <c r="FM515" s="75">
        <f t="shared" si="2451"/>
        <v>-1.4904628726183256E-2</v>
      </c>
    </row>
    <row r="516" spans="1:170" x14ac:dyDescent="0.3">
      <c r="A516" s="70" t="s">
        <v>394</v>
      </c>
      <c r="DU516" s="75"/>
      <c r="DV516" s="75"/>
      <c r="DW516" s="75"/>
      <c r="DX516" s="75"/>
      <c r="DY516" s="84"/>
      <c r="DZ516" s="126">
        <f t="shared" ref="DZ516:FM516" si="2452">+DZ510/DZ470</f>
        <v>0.51313583007266628</v>
      </c>
      <c r="EA516" s="126">
        <f t="shared" si="2452"/>
        <v>0.50399087799315845</v>
      </c>
      <c r="EB516" s="126">
        <f t="shared" si="2452"/>
        <v>0.50723798494499128</v>
      </c>
      <c r="EC516" s="126">
        <f t="shared" si="2452"/>
        <v>0.50884433962264153</v>
      </c>
      <c r="ED516" s="127">
        <f t="shared" si="2452"/>
        <v>0.50832615561297734</v>
      </c>
      <c r="EE516" s="126">
        <f t="shared" si="2452"/>
        <v>0.51223880597014926</v>
      </c>
      <c r="EF516" s="126">
        <f t="shared" si="2452"/>
        <v>0.53308596165739019</v>
      </c>
      <c r="EG516" s="126">
        <f t="shared" si="2452"/>
        <v>0.56662436548223349</v>
      </c>
      <c r="EH516" s="126">
        <f t="shared" si="2452"/>
        <v>0.56059624108878803</v>
      </c>
      <c r="EI516" s="127">
        <f t="shared" si="2452"/>
        <v>0.5425050694119482</v>
      </c>
      <c r="EJ516" s="126">
        <f t="shared" si="2452"/>
        <v>0.5846579129232895</v>
      </c>
      <c r="EK516" s="126">
        <f t="shared" si="2452"/>
        <v>0.57299520219328304</v>
      </c>
      <c r="EL516" s="126">
        <f t="shared" si="2452"/>
        <v>0.59141274238227148</v>
      </c>
      <c r="EM516" s="126">
        <f t="shared" si="2452"/>
        <v>0.58037578288100211</v>
      </c>
      <c r="EN516" s="127">
        <f t="shared" si="2452"/>
        <v>0.58233972697425262</v>
      </c>
      <c r="EO516" s="126">
        <f t="shared" si="2452"/>
        <v>0.58611111111111114</v>
      </c>
      <c r="EP516" s="126">
        <f t="shared" si="2452"/>
        <v>0.58316080055210495</v>
      </c>
      <c r="EQ516" s="126">
        <f t="shared" si="2452"/>
        <v>0.58844011142061281</v>
      </c>
      <c r="ER516" s="126">
        <f t="shared" si="2452"/>
        <v>0.57152875175315565</v>
      </c>
      <c r="ES516" s="127">
        <f t="shared" si="2452"/>
        <v>0.5823335072161363</v>
      </c>
      <c r="ET516" s="126">
        <f t="shared" si="2452"/>
        <v>0.57794075981735404</v>
      </c>
      <c r="EU516" s="126">
        <f t="shared" si="2452"/>
        <v>0.57301740248436372</v>
      </c>
      <c r="EV516" s="126">
        <f t="shared" si="2452"/>
        <v>0.57737760093972845</v>
      </c>
      <c r="EW516" s="126">
        <f t="shared" si="2452"/>
        <v>0.55863331611307243</v>
      </c>
      <c r="EX516" s="127">
        <f t="shared" si="2452"/>
        <v>0.57174228488642398</v>
      </c>
      <c r="EY516" s="126">
        <f t="shared" ref="EY516:FC516" si="2453">+EY510/EY470</f>
        <v>0.5673194862260249</v>
      </c>
      <c r="EZ516" s="126">
        <f t="shared" si="2453"/>
        <v>0.55795337275935053</v>
      </c>
      <c r="FA516" s="126">
        <f t="shared" si="2453"/>
        <v>0.56134115903126969</v>
      </c>
      <c r="FB516" s="126">
        <f t="shared" si="2453"/>
        <v>0.53903920360802338</v>
      </c>
      <c r="FC516" s="127">
        <f t="shared" si="2453"/>
        <v>0.55634937596221723</v>
      </c>
      <c r="FD516" s="126">
        <f t="shared" si="2452"/>
        <v>0.55510901892351894</v>
      </c>
      <c r="FE516" s="126">
        <f t="shared" si="2452"/>
        <v>0.54302405948417531</v>
      </c>
      <c r="FF516" s="126">
        <f t="shared" si="2452"/>
        <v>0.54543011738256175</v>
      </c>
      <c r="FG516" s="126">
        <f t="shared" si="2452"/>
        <v>0.5220300910512149</v>
      </c>
      <c r="FH516" s="127">
        <f t="shared" ref="FH516" si="2454">+FH510/FH470</f>
        <v>0.54127387931143311</v>
      </c>
      <c r="FI516" s="126">
        <f t="shared" si="2452"/>
        <v>0.52379889821292847</v>
      </c>
      <c r="FJ516" s="126">
        <f t="shared" si="2452"/>
        <v>0.50798451537645328</v>
      </c>
      <c r="FK516" s="126">
        <f t="shared" si="2452"/>
        <v>0.49331824950187136</v>
      </c>
      <c r="FL516" s="126">
        <f t="shared" si="2452"/>
        <v>0.4802305615756231</v>
      </c>
      <c r="FM516" s="126">
        <f t="shared" si="2452"/>
        <v>0.46879091846607396</v>
      </c>
    </row>
    <row r="517" spans="1:170" x14ac:dyDescent="0.3">
      <c r="EG517" s="76"/>
      <c r="EH517" s="76"/>
      <c r="EJ517" s="76"/>
      <c r="EK517" s="76"/>
      <c r="EO517" s="76"/>
      <c r="EP517" s="76"/>
      <c r="EQ517" s="76"/>
      <c r="ER517" s="76"/>
      <c r="ES517" s="90"/>
      <c r="EX517" s="90"/>
      <c r="FC517" s="90"/>
      <c r="FH517" s="90"/>
    </row>
    <row r="518" spans="1:170" x14ac:dyDescent="0.3">
      <c r="A518" s="55" t="s">
        <v>294</v>
      </c>
      <c r="DU518" s="76"/>
      <c r="DV518" s="76"/>
      <c r="DW518" s="76"/>
      <c r="DX518" s="76"/>
      <c r="DY518" s="85"/>
      <c r="DZ518" s="85">
        <f>DZ483+DZ510</f>
        <v>1088</v>
      </c>
      <c r="EA518" s="85">
        <f>EA483+EA510</f>
        <v>1039</v>
      </c>
      <c r="EB518" s="85">
        <f>EB483+EB510</f>
        <v>1012</v>
      </c>
      <c r="EC518" s="85">
        <f>EC483+EC510</f>
        <v>979</v>
      </c>
      <c r="ED518" s="85">
        <f>+SUM(DZ518:EC518)</f>
        <v>4118</v>
      </c>
      <c r="EE518" s="85">
        <f>EE483+EE510</f>
        <v>969</v>
      </c>
      <c r="EF518" s="85">
        <f>EF483+EF510</f>
        <v>970</v>
      </c>
      <c r="EG518" s="85">
        <f>EG483+EG510</f>
        <v>988</v>
      </c>
      <c r="EH518" s="85">
        <f>EH483+EH510</f>
        <v>958</v>
      </c>
      <c r="EI518" s="85">
        <f>+SUM(EE518:EH518)</f>
        <v>3885</v>
      </c>
      <c r="EJ518" s="85">
        <f>EJ483+EJ510</f>
        <v>937.99999999999989</v>
      </c>
      <c r="EK518" s="85">
        <f>EK483+EK510</f>
        <v>923</v>
      </c>
      <c r="EL518" s="85">
        <f>EL483+EL510</f>
        <v>935</v>
      </c>
      <c r="EM518" s="85">
        <f>EM483+EM510</f>
        <v>910</v>
      </c>
      <c r="EN518" s="85">
        <f>+SUM(EJ518:EM518)</f>
        <v>3706</v>
      </c>
      <c r="EO518" s="85">
        <f>EO483+EO510</f>
        <v>920</v>
      </c>
      <c r="EP518" s="85">
        <f>EP483+EP510</f>
        <v>916</v>
      </c>
      <c r="EQ518" s="85">
        <f>EQ483+EQ510</f>
        <v>910</v>
      </c>
      <c r="ER518" s="85">
        <f>ER483+ER510</f>
        <v>876</v>
      </c>
      <c r="ES518" s="85">
        <f>+SUM(EO518:ER518)</f>
        <v>3622</v>
      </c>
      <c r="ET518" s="85">
        <f t="shared" ref="ET518:EW518" si="2455">ET483+ET510</f>
        <v>888.42094301999123</v>
      </c>
      <c r="EU518" s="85">
        <f t="shared" si="2455"/>
        <v>885.28631343888594</v>
      </c>
      <c r="EV518" s="85">
        <f t="shared" si="2455"/>
        <v>884.51634264217523</v>
      </c>
      <c r="EW518" s="85">
        <f t="shared" si="2455"/>
        <v>852.32927058861139</v>
      </c>
      <c r="EX518" s="85">
        <f>+SUM(ET518:EW518)</f>
        <v>3510.5528696896636</v>
      </c>
      <c r="EY518" s="85">
        <f t="shared" ref="EY518:FB518" si="2456">EY483+EY510</f>
        <v>870.71320080658995</v>
      </c>
      <c r="EZ518" s="85">
        <f t="shared" si="2456"/>
        <v>867.98149563955508</v>
      </c>
      <c r="FA518" s="85">
        <f t="shared" si="2456"/>
        <v>870.58837668474234</v>
      </c>
      <c r="FB518" s="85">
        <f t="shared" si="2456"/>
        <v>837.85257030468802</v>
      </c>
      <c r="FC518" s="85">
        <f>+SUM(EY518:FB518)</f>
        <v>3447.1356434355753</v>
      </c>
      <c r="FD518" s="85">
        <f t="shared" ref="FD518:FM518" si="2457">FD483+FD510</f>
        <v>872.74705984218781</v>
      </c>
      <c r="FE518" s="85">
        <f t="shared" si="2457"/>
        <v>870.63997207630393</v>
      </c>
      <c r="FF518" s="85">
        <f t="shared" si="2457"/>
        <v>875.40541263501291</v>
      </c>
      <c r="FG518" s="85">
        <f t="shared" si="2457"/>
        <v>842.6160218171724</v>
      </c>
      <c r="FH518" s="85">
        <f>+SUM(FD518:FG518)</f>
        <v>3461.4084663706772</v>
      </c>
      <c r="FI518" s="85">
        <f t="shared" si="2457"/>
        <v>3488.64400114312</v>
      </c>
      <c r="FJ518" s="85">
        <f t="shared" si="2457"/>
        <v>3526.2749099424041</v>
      </c>
      <c r="FK518" s="85">
        <f t="shared" si="2457"/>
        <v>3565.496112874529</v>
      </c>
      <c r="FL518" s="85">
        <f t="shared" si="2457"/>
        <v>3602.9513437771602</v>
      </c>
      <c r="FM518" s="85">
        <f t="shared" si="2457"/>
        <v>3637.7816602836565</v>
      </c>
    </row>
    <row r="519" spans="1:170" x14ac:dyDescent="0.3">
      <c r="A519" s="70" t="s">
        <v>363</v>
      </c>
      <c r="DZ519" s="75"/>
      <c r="EA519" s="75"/>
      <c r="EB519" s="75"/>
      <c r="EC519" s="75"/>
      <c r="ED519" s="84"/>
      <c r="EE519" s="75">
        <f t="shared" ref="EE519:EX519" si="2458">+EE518/DZ518-1</f>
        <v>-0.109375</v>
      </c>
      <c r="EF519" s="75">
        <f t="shared" si="2458"/>
        <v>-6.6410009624639055E-2</v>
      </c>
      <c r="EG519" s="75">
        <f t="shared" si="2458"/>
        <v>-2.371541501976282E-2</v>
      </c>
      <c r="EH519" s="75">
        <f t="shared" si="2458"/>
        <v>-2.1450459652706866E-2</v>
      </c>
      <c r="EI519" s="91">
        <f t="shared" si="2458"/>
        <v>-5.6580864497328798E-2</v>
      </c>
      <c r="EJ519" s="75">
        <f t="shared" si="2458"/>
        <v>-3.1991744066047545E-2</v>
      </c>
      <c r="EK519" s="75">
        <f t="shared" si="2458"/>
        <v>-4.845360824742273E-2</v>
      </c>
      <c r="EL519" s="75">
        <f t="shared" si="2458"/>
        <v>-5.3643724696356254E-2</v>
      </c>
      <c r="EM519" s="75">
        <f t="shared" si="2458"/>
        <v>-5.0104384133611735E-2</v>
      </c>
      <c r="EN519" s="91">
        <f t="shared" si="2458"/>
        <v>-4.6074646074646064E-2</v>
      </c>
      <c r="EO519" s="75">
        <f t="shared" si="2458"/>
        <v>-1.9189765458422103E-2</v>
      </c>
      <c r="EP519" s="75">
        <f t="shared" si="2458"/>
        <v>-7.5839653304442534E-3</v>
      </c>
      <c r="EQ519" s="75">
        <f t="shared" si="2458"/>
        <v>-2.6737967914438499E-2</v>
      </c>
      <c r="ER519" s="75">
        <f t="shared" si="2458"/>
        <v>-3.7362637362637341E-2</v>
      </c>
      <c r="ES519" s="91">
        <f t="shared" si="2458"/>
        <v>-2.2665947112790019E-2</v>
      </c>
      <c r="ET519" s="75">
        <f t="shared" si="2458"/>
        <v>-3.4325061934792123E-2</v>
      </c>
      <c r="EU519" s="75">
        <f t="shared" si="2458"/>
        <v>-3.353022550339968E-2</v>
      </c>
      <c r="EV519" s="75">
        <f t="shared" si="2458"/>
        <v>-2.800401907453276E-2</v>
      </c>
      <c r="EW519" s="75">
        <f t="shared" si="2458"/>
        <v>-2.702138060660797E-2</v>
      </c>
      <c r="EX519" s="91">
        <f t="shared" si="2458"/>
        <v>-3.0769500361771507E-2</v>
      </c>
      <c r="EY519" s="75">
        <f t="shared" ref="EY519" si="2459">+EY518/ET518-1</f>
        <v>-1.9931702817819308E-2</v>
      </c>
      <c r="EZ519" s="75">
        <f t="shared" ref="EZ519" si="2460">+EZ518/EU518-1</f>
        <v>-1.9547142587250099E-2</v>
      </c>
      <c r="FA519" s="75">
        <f t="shared" ref="FA519" si="2461">+FA518/EV518-1</f>
        <v>-1.5746420146210194E-2</v>
      </c>
      <c r="FB519" s="75">
        <f t="shared" ref="FB519:FC519" si="2462">+FB518/EW518-1</f>
        <v>-1.6984868153038901E-2</v>
      </c>
      <c r="FC519" s="91">
        <f t="shared" si="2462"/>
        <v>-1.8064740400760448E-2</v>
      </c>
      <c r="FD519" s="75">
        <f t="shared" ref="FD519" si="2463">+FD518/EY518-1</f>
        <v>2.3358541408511346E-3</v>
      </c>
      <c r="FE519" s="75">
        <f t="shared" ref="FE519" si="2464">+FE518/EZ518-1</f>
        <v>3.0628261663459E-3</v>
      </c>
      <c r="FF519" s="75">
        <f t="shared" ref="FF519" si="2465">+FF518/FA518-1</f>
        <v>5.533080936152901E-3</v>
      </c>
      <c r="FG519" s="75">
        <f t="shared" ref="FG519:FH519" si="2466">+FG518/FB518-1</f>
        <v>5.685309899750246E-3</v>
      </c>
      <c r="FH519" s="91">
        <f t="shared" si="2466"/>
        <v>4.1404877589548139E-3</v>
      </c>
      <c r="FI519" s="75">
        <f t="shared" ref="FI519:FM519" si="2467">FI518/FH518-1</f>
        <v>7.8683388675591104E-3</v>
      </c>
      <c r="FJ519" s="75">
        <f t="shared" si="2467"/>
        <v>1.0786686399344214E-2</v>
      </c>
      <c r="FK519" s="75">
        <f t="shared" si="2467"/>
        <v>1.1122559622773531E-2</v>
      </c>
      <c r="FL519" s="75">
        <f t="shared" si="2467"/>
        <v>1.0504914243879115E-2</v>
      </c>
      <c r="FM519" s="75">
        <f t="shared" si="2467"/>
        <v>9.6671626073034922E-3</v>
      </c>
    </row>
    <row r="520" spans="1:170" x14ac:dyDescent="0.3">
      <c r="A520" s="61" t="s">
        <v>389</v>
      </c>
      <c r="DU520" s="111"/>
      <c r="DV520" s="111"/>
      <c r="DW520" s="111"/>
      <c r="DX520" s="111"/>
      <c r="DY520" s="112"/>
      <c r="DZ520" s="111">
        <f>DZ518/DZ99/3*1000</f>
        <v>23.859649122807014</v>
      </c>
      <c r="EA520" s="111">
        <f>EA518/EA99/3*1000</f>
        <v>22.785087719298247</v>
      </c>
      <c r="EB520" s="111">
        <f>EB518/EB99/3*1000</f>
        <v>22.192982456140353</v>
      </c>
      <c r="EC520" s="111">
        <f>EC518/EC99/3*1000</f>
        <v>21.469298245614038</v>
      </c>
      <c r="ED520" s="112">
        <f>ED518/ED99/12*1000</f>
        <v>22.576754385964914</v>
      </c>
      <c r="EE520" s="111">
        <f>EE518/EE99/3*1000</f>
        <v>21.25</v>
      </c>
      <c r="EF520" s="111">
        <f>EF518/EF99/3*1000</f>
        <v>21.132897603485837</v>
      </c>
      <c r="EG520" s="111">
        <f>EG518/EG99/3*1000</f>
        <v>21.525054466230934</v>
      </c>
      <c r="EH520" s="111">
        <f>EH518/EH99/3*1000</f>
        <v>20.871459694989106</v>
      </c>
      <c r="EI520" s="112">
        <f>EI518/EI99/12*1000</f>
        <v>21.160130718954246</v>
      </c>
      <c r="EJ520" s="111">
        <f>EJ518/EJ99/3*1000</f>
        <v>20.435729847494549</v>
      </c>
      <c r="EK520" s="111">
        <f>EK518/EK99/3*1000</f>
        <v>20.108932461873636</v>
      </c>
      <c r="EL520" s="111">
        <f>EL518/EL99/3*1000</f>
        <v>20.37037037037037</v>
      </c>
      <c r="EM520" s="111">
        <f>EM518/EM99/3*1000</f>
        <v>19.696969696969695</v>
      </c>
      <c r="EN520" s="112">
        <f>EN518/EN99/12*1000</f>
        <v>20.054112554112553</v>
      </c>
      <c r="EO520" s="111">
        <f>EO518/EO99/3*1000</f>
        <v>19.913419913419915</v>
      </c>
      <c r="EP520" s="111">
        <f>EP518/EP99/3*1000</f>
        <v>19.826839826839826</v>
      </c>
      <c r="EQ520" s="111">
        <f>EQ518/EQ99/3*1000</f>
        <v>19.696969696969695</v>
      </c>
      <c r="ER520" s="111">
        <f>ER518/ER99/3*1000</f>
        <v>18.961038961038959</v>
      </c>
      <c r="ES520" s="112">
        <f t="shared" ref="ES520:FM520" si="2468">ES518/ES99/12*1000</f>
        <v>19.5995670995671</v>
      </c>
      <c r="ET520" s="111">
        <f t="shared" ref="ET520:EW520" si="2469">ET518/ET99/3*1000</f>
        <v>19.192994408931384</v>
      </c>
      <c r="EU520" s="111">
        <f t="shared" si="2469"/>
        <v>19.105536791365644</v>
      </c>
      <c r="EV520" s="111">
        <f t="shared" si="2469"/>
        <v>19.058658485755078</v>
      </c>
      <c r="EW520" s="111">
        <f t="shared" si="2469"/>
        <v>18.320442413680247</v>
      </c>
      <c r="EX520" s="112">
        <f t="shared" ref="EX520" si="2470">EX518/EX99/12*1000</f>
        <v>18.86444708302523</v>
      </c>
      <c r="EY520" s="111">
        <f t="shared" ref="EY520:FB520" si="2471">EY518/EY99/3*1000</f>
        <v>18.683544973161101</v>
      </c>
      <c r="EZ520" s="111">
        <f t="shared" si="2471"/>
        <v>18.604438667135252</v>
      </c>
      <c r="FA520" s="111">
        <f t="shared" si="2471"/>
        <v>18.629450748130697</v>
      </c>
      <c r="FB520" s="111">
        <f t="shared" si="2471"/>
        <v>17.884083530068068</v>
      </c>
      <c r="FC520" s="112">
        <f t="shared" ref="FC520" si="2472">FC518/FC99/12*1000</f>
        <v>18.39490143363108</v>
      </c>
      <c r="FD520" s="111">
        <f t="shared" ref="FD520:FG520" si="2473">FD518/FD99/3*1000</f>
        <v>18.600848317401752</v>
      </c>
      <c r="FE520" s="111">
        <f t="shared" si="2473"/>
        <v>18.53426281182206</v>
      </c>
      <c r="FF520" s="111">
        <f t="shared" si="2473"/>
        <v>18.603606017216862</v>
      </c>
      <c r="FG520" s="111">
        <f t="shared" si="2473"/>
        <v>17.860734942611248</v>
      </c>
      <c r="FH520" s="112">
        <f t="shared" ref="FH520" si="2474">FH518/FH99/12*1000</f>
        <v>18.342666631424244</v>
      </c>
      <c r="FI520" s="111">
        <f t="shared" si="2468"/>
        <v>18.35848356327206</v>
      </c>
      <c r="FJ520" s="111">
        <f t="shared" si="2468"/>
        <v>18.427518141247855</v>
      </c>
      <c r="FK520" s="111">
        <f t="shared" si="2468"/>
        <v>18.502958600271725</v>
      </c>
      <c r="FL520" s="111">
        <f t="shared" si="2468"/>
        <v>18.56735908006517</v>
      </c>
      <c r="FM520" s="111">
        <f t="shared" si="2468"/>
        <v>18.616537000477013</v>
      </c>
    </row>
    <row r="521" spans="1:170" x14ac:dyDescent="0.3">
      <c r="A521" s="70" t="s">
        <v>387</v>
      </c>
      <c r="DZ521" s="75"/>
      <c r="EA521" s="75"/>
      <c r="EB521" s="75"/>
      <c r="EC521" s="75"/>
      <c r="ED521" s="84"/>
      <c r="EE521" s="75">
        <f t="shared" ref="EE521:EX521" si="2475">+EE520/DZ520-1</f>
        <v>-0.10937499999999989</v>
      </c>
      <c r="EF521" s="75">
        <f t="shared" si="2475"/>
        <v>-7.2511904986569675E-2</v>
      </c>
      <c r="EG521" s="75">
        <f t="shared" si="2475"/>
        <v>-3.0096360019633894E-2</v>
      </c>
      <c r="EH521" s="75">
        <f t="shared" si="2475"/>
        <v>-2.7846208282427898E-2</v>
      </c>
      <c r="EI521" s="84">
        <f t="shared" si="2475"/>
        <v>-6.2747002637869365E-2</v>
      </c>
      <c r="EJ521" s="75">
        <f t="shared" si="2475"/>
        <v>-3.8318595412021206E-2</v>
      </c>
      <c r="EK521" s="75">
        <f t="shared" si="2475"/>
        <v>-4.845360824742273E-2</v>
      </c>
      <c r="EL521" s="75">
        <f t="shared" si="2475"/>
        <v>-5.3643724696356143E-2</v>
      </c>
      <c r="EM521" s="75">
        <f t="shared" si="2475"/>
        <v>-5.6272537483393448E-2</v>
      </c>
      <c r="EN521" s="84">
        <f t="shared" si="2475"/>
        <v>-5.2268966554680829E-2</v>
      </c>
      <c r="EO521" s="75">
        <f t="shared" si="2475"/>
        <v>-2.5558663085315292E-2</v>
      </c>
      <c r="EP521" s="75">
        <f t="shared" si="2475"/>
        <v>-1.402822529583081E-2</v>
      </c>
      <c r="EQ521" s="75">
        <f t="shared" si="2475"/>
        <v>-3.3057851239669533E-2</v>
      </c>
      <c r="ER521" s="75">
        <f t="shared" si="2475"/>
        <v>-3.7362637362637452E-2</v>
      </c>
      <c r="ES521" s="84">
        <f t="shared" si="2475"/>
        <v>-2.2665947112790019E-2</v>
      </c>
      <c r="ET521" s="75">
        <f t="shared" si="2475"/>
        <v>-3.617788946453282E-2</v>
      </c>
      <c r="EU521" s="75">
        <f t="shared" si="2475"/>
        <v>-3.638013126518258E-2</v>
      </c>
      <c r="EV521" s="75">
        <f t="shared" si="2475"/>
        <v>-3.2406569184742051E-2</v>
      </c>
      <c r="EW521" s="75">
        <f t="shared" si="2475"/>
        <v>-3.3784886401795111E-2</v>
      </c>
      <c r="EX521" s="84">
        <f t="shared" si="2475"/>
        <v>-3.7506951699872393E-2</v>
      </c>
      <c r="EY521" s="75">
        <f t="shared" ref="EY521" si="2476">+EY520/ET520-1</f>
        <v>-2.6543509830504242E-2</v>
      </c>
      <c r="EZ521" s="75">
        <f t="shared" ref="EZ521" si="2477">+EZ520/EU520-1</f>
        <v>-2.6227900828039163E-2</v>
      </c>
      <c r="FA521" s="75">
        <f t="shared" ref="FA521" si="2478">+FA520/EV520-1</f>
        <v>-2.2520354092350314E-2</v>
      </c>
      <c r="FB521" s="75">
        <f t="shared" ref="FB521:FC521" si="2479">+FB520/EW520-1</f>
        <v>-2.3818141164884787E-2</v>
      </c>
      <c r="FC521" s="84">
        <f t="shared" si="2479"/>
        <v>-2.4890506852790817E-2</v>
      </c>
      <c r="FD521" s="75">
        <f t="shared" ref="FD521" si="2480">+FD520/EY520-1</f>
        <v>-4.426175861066195E-3</v>
      </c>
      <c r="FE521" s="75">
        <f t="shared" ref="FE521" si="2481">+FE520/EZ520-1</f>
        <v>-3.771995305462128E-3</v>
      </c>
      <c r="FF521" s="75">
        <f t="shared" ref="FF521" si="2482">+FF520/FA520-1</f>
        <v>-1.3873050399206832E-3</v>
      </c>
      <c r="FG521" s="75">
        <f t="shared" ref="FG521:FH521" si="2483">+FG520/FB520-1</f>
        <v>-1.3055512415587334E-3</v>
      </c>
      <c r="FH521" s="84">
        <f t="shared" si="2483"/>
        <v>-2.8396347974627423E-3</v>
      </c>
      <c r="FI521" s="75">
        <f t="shared" ref="FI521:FM521" si="2484">+FI520/FH520-1</f>
        <v>8.6230274832121978E-4</v>
      </c>
      <c r="FJ521" s="75">
        <f t="shared" si="2484"/>
        <v>3.7603638523775462E-3</v>
      </c>
      <c r="FK521" s="75">
        <f t="shared" si="2484"/>
        <v>4.0939023066273172E-3</v>
      </c>
      <c r="FL521" s="75">
        <f t="shared" si="2484"/>
        <v>3.4805503911412572E-3</v>
      </c>
      <c r="FM521" s="75">
        <f t="shared" si="2484"/>
        <v>2.6486222515427205E-3</v>
      </c>
    </row>
    <row r="522" spans="1:170" x14ac:dyDescent="0.3">
      <c r="A522" s="61" t="s">
        <v>391</v>
      </c>
      <c r="DU522" s="111"/>
      <c r="DV522" s="111"/>
      <c r="DW522" s="111"/>
      <c r="DX522" s="111"/>
      <c r="DY522" s="112"/>
      <c r="DZ522" s="111">
        <f>+DZ518/DZ455/3*1000</f>
        <v>98.749442370049621</v>
      </c>
      <c r="EA522" s="111">
        <f>+EA518/EA455/3*1000</f>
        <v>95.062625079425885</v>
      </c>
      <c r="EB522" s="111">
        <f>+EB518/EB455/3*1000</f>
        <v>93.616691174378303</v>
      </c>
      <c r="EC522" s="111">
        <f>+EC518/EC455/3*1000</f>
        <v>91.666771272357209</v>
      </c>
      <c r="ED522" s="112">
        <f>+ED518/ED455/12*1000</f>
        <v>94.802993744133872</v>
      </c>
      <c r="EE522" s="111">
        <f>+EE518/EE455/3*1000</f>
        <v>91.744096459118126</v>
      </c>
      <c r="EF522" s="111">
        <f>+EF518/EF455/3*1000</f>
        <v>92.818525429405284</v>
      </c>
      <c r="EG522" s="111">
        <f>+EG518/EG455/3*1000</f>
        <v>95.472773831956331</v>
      </c>
      <c r="EH522" s="111">
        <f>+EH518/EH455/3*1000</f>
        <v>93.127247982891035</v>
      </c>
      <c r="EI522" s="112">
        <f>+EI518/EI455/12*1000</f>
        <v>93.281818239116589</v>
      </c>
      <c r="EJ522" s="111">
        <f>+EJ518/EJ455/3*1000</f>
        <v>91.316199376947026</v>
      </c>
      <c r="EK522" s="111">
        <f>+EK518/EK455/3*1000</f>
        <v>89.947863372801251</v>
      </c>
      <c r="EL522" s="111">
        <f>+EL518/EL455/3*1000</f>
        <v>91.532060695056302</v>
      </c>
      <c r="EM522" s="111">
        <f>+EM518/EM455/3*1000</f>
        <v>89.505262122553376</v>
      </c>
      <c r="EN522" s="112">
        <f t="shared" ref="EN522:FM522" si="2485">+EN518/EN455/12*1000</f>
        <v>90.576920726863904</v>
      </c>
      <c r="EO522" s="111">
        <f>+EO518/EO455/3*1000</f>
        <v>90.582385664352884</v>
      </c>
      <c r="EP522" s="111">
        <f>+EP518/EP455/3*1000</f>
        <v>90.295233870570257</v>
      </c>
      <c r="EQ522" s="111">
        <f>+EQ518/EQ455/3*1000</f>
        <v>90.023247761784646</v>
      </c>
      <c r="ER522" s="111">
        <f>+ER518/ER455/3*1000</f>
        <v>86.660288353796645</v>
      </c>
      <c r="ES522" s="112">
        <f t="shared" ref="ES522" si="2486">+ES518/ES455/12*1000</f>
        <v>89.392509477534233</v>
      </c>
      <c r="ET522" s="111">
        <f t="shared" ref="ET522:EW522" si="2487">+ET518/ET455/3*1000</f>
        <v>87.282178601115959</v>
      </c>
      <c r="EU522" s="111">
        <f t="shared" si="2487"/>
        <v>86.376631866128392</v>
      </c>
      <c r="EV522" s="111">
        <f t="shared" si="2487"/>
        <v>85.940280455634579</v>
      </c>
      <c r="EW522" s="111">
        <f t="shared" si="2487"/>
        <v>82.149811875824057</v>
      </c>
      <c r="EX522" s="112">
        <f t="shared" ref="EX522" si="2488">+EX518/EX455/12*1000</f>
        <v>85.424499218340173</v>
      </c>
      <c r="EY522" s="111">
        <f t="shared" ref="EY522:FB522" si="2489">+EY518/EY455/3*1000</f>
        <v>82.599742439308983</v>
      </c>
      <c r="EZ522" s="111">
        <f t="shared" si="2489"/>
        <v>81.028079732957195</v>
      </c>
      <c r="FA522" s="111">
        <f t="shared" si="2489"/>
        <v>80.25554913316239</v>
      </c>
      <c r="FB522" s="111">
        <f t="shared" si="2489"/>
        <v>76.011034215243257</v>
      </c>
      <c r="FC522" s="112">
        <f t="shared" ref="FC522" si="2490">+FC518/FC455/12*1000</f>
        <v>79.935542878156028</v>
      </c>
      <c r="FD522" s="111">
        <f t="shared" ref="FD522:FG522" si="2491">+FD518/FD455/3*1000</f>
        <v>77.439180402204087</v>
      </c>
      <c r="FE522" s="111">
        <f t="shared" si="2491"/>
        <v>75.676441492578292</v>
      </c>
      <c r="FF522" s="111">
        <f t="shared" si="2491"/>
        <v>74.853981025661497</v>
      </c>
      <c r="FG522" s="111">
        <f t="shared" si="2491"/>
        <v>70.69872084369004</v>
      </c>
      <c r="FH522" s="112">
        <f t="shared" ref="FH522" si="2492">+FH518/FH455/12*1000</f>
        <v>74.618437686677794</v>
      </c>
      <c r="FI522" s="111">
        <f t="shared" si="2485"/>
        <v>69.913120631769146</v>
      </c>
      <c r="FJ522" s="111">
        <f t="shared" si="2485"/>
        <v>66.2710405739885</v>
      </c>
      <c r="FK522" s="111">
        <f t="shared" si="2485"/>
        <v>63.60004803159984</v>
      </c>
      <c r="FL522" s="111">
        <f t="shared" si="2485"/>
        <v>61.782028100546306</v>
      </c>
      <c r="FM522" s="111">
        <f t="shared" si="2485"/>
        <v>60.649747406945124</v>
      </c>
    </row>
    <row r="523" spans="1:170" x14ac:dyDescent="0.3">
      <c r="A523" s="70" t="s">
        <v>387</v>
      </c>
      <c r="DZ523" s="75"/>
      <c r="EA523" s="75"/>
      <c r="EB523" s="75"/>
      <c r="EC523" s="75"/>
      <c r="ED523" s="84"/>
      <c r="EE523" s="75">
        <f t="shared" ref="EE523:EX523" si="2493">+EE522/DZ522-1</f>
        <v>-7.0940612349788768E-2</v>
      </c>
      <c r="EF523" s="75">
        <f t="shared" si="2493"/>
        <v>-2.3606539879848953E-2</v>
      </c>
      <c r="EG523" s="75">
        <f t="shared" si="2493"/>
        <v>1.982640738840824E-2</v>
      </c>
      <c r="EH523" s="75">
        <f t="shared" si="2493"/>
        <v>1.5932455024454839E-2</v>
      </c>
      <c r="EI523" s="84">
        <f t="shared" si="2493"/>
        <v>-1.6045648401387225E-2</v>
      </c>
      <c r="EJ523" s="75">
        <f t="shared" si="2493"/>
        <v>-4.6640285172111495E-3</v>
      </c>
      <c r="EK523" s="75">
        <f t="shared" si="2493"/>
        <v>-3.0927684353134532E-2</v>
      </c>
      <c r="EL523" s="75">
        <f t="shared" si="2493"/>
        <v>-4.127577924818826E-2</v>
      </c>
      <c r="EM523" s="75">
        <f t="shared" si="2493"/>
        <v>-3.8892869045191514E-2</v>
      </c>
      <c r="EN523" s="84">
        <f t="shared" si="2493"/>
        <v>-2.8997049621385051E-2</v>
      </c>
      <c r="EO523" s="75">
        <f t="shared" si="2493"/>
        <v>-8.0359642385575691E-3</v>
      </c>
      <c r="EP523" s="75">
        <f t="shared" si="2493"/>
        <v>3.8619093855434272E-3</v>
      </c>
      <c r="EQ523" s="75">
        <f t="shared" si="2493"/>
        <v>-1.6483983008951819E-2</v>
      </c>
      <c r="ER523" s="75">
        <f t="shared" si="2493"/>
        <v>-3.1785547590054586E-2</v>
      </c>
      <c r="ES523" s="84">
        <f t="shared" si="2493"/>
        <v>-1.3076302879640567E-2</v>
      </c>
      <c r="ET523" s="75">
        <f t="shared" si="2493"/>
        <v>-3.6433209823658497E-2</v>
      </c>
      <c r="EU523" s="75">
        <f t="shared" si="2493"/>
        <v>-4.3397661609236304E-2</v>
      </c>
      <c r="EV523" s="75">
        <f t="shared" si="2493"/>
        <v>-4.5354587927712076E-2</v>
      </c>
      <c r="EW523" s="75">
        <f t="shared" si="2493"/>
        <v>-5.2047789866083272E-2</v>
      </c>
      <c r="EX523" s="84">
        <f t="shared" si="2493"/>
        <v>-4.4388621399998662E-2</v>
      </c>
      <c r="EY523" s="75">
        <f t="shared" ref="EY523" si="2494">+EY522/ET522-1</f>
        <v>-5.3647104561928338E-2</v>
      </c>
      <c r="EZ523" s="75">
        <f t="shared" ref="EZ523" si="2495">+EZ522/EU522-1</f>
        <v>-6.1921286088819749E-2</v>
      </c>
      <c r="FA523" s="75">
        <f t="shared" ref="FA523" si="2496">+FA522/EV522-1</f>
        <v>-6.6147460682384529E-2</v>
      </c>
      <c r="FB523" s="75">
        <f t="shared" ref="FB523:FC523" si="2497">+FB522/EW522-1</f>
        <v>-7.472661860577412E-2</v>
      </c>
      <c r="FC523" s="84">
        <f t="shared" si="2497"/>
        <v>-6.4255060204153946E-2</v>
      </c>
      <c r="FD523" s="75">
        <f t="shared" ref="FD523" si="2498">+FD522/EY522-1</f>
        <v>-6.2476732792437817E-2</v>
      </c>
      <c r="FE523" s="75">
        <f t="shared" ref="FE523" si="2499">+FE522/EZ522-1</f>
        <v>-6.604671193018774E-2</v>
      </c>
      <c r="FF523" s="75">
        <f t="shared" ref="FF523" si="2500">+FF522/FA522-1</f>
        <v>-6.7304605922494543E-2</v>
      </c>
      <c r="FG523" s="75">
        <f t="shared" ref="FG523:FH523" si="2501">+FG522/FB522-1</f>
        <v>-6.9888713216427756E-2</v>
      </c>
      <c r="FH523" s="84">
        <f t="shared" si="2501"/>
        <v>-6.6517408902607711E-2</v>
      </c>
      <c r="FI523" s="75">
        <f t="shared" ref="FI523:FM523" si="2502">+FI522/FH522-1</f>
        <v>-6.3058370032701982E-2</v>
      </c>
      <c r="FJ523" s="75">
        <f t="shared" si="2502"/>
        <v>-5.2094371197695555E-2</v>
      </c>
      <c r="FK523" s="75">
        <f t="shared" si="2502"/>
        <v>-4.0304068251450276E-2</v>
      </c>
      <c r="FL523" s="75">
        <f t="shared" si="2502"/>
        <v>-2.8585197453785627E-2</v>
      </c>
      <c r="FM523" s="75">
        <f t="shared" si="2502"/>
        <v>-1.8327023705962953E-2</v>
      </c>
    </row>
    <row r="524" spans="1:170" x14ac:dyDescent="0.3">
      <c r="A524" s="70" t="s">
        <v>394</v>
      </c>
      <c r="DU524" s="75"/>
      <c r="DV524" s="75"/>
      <c r="DW524" s="75"/>
      <c r="DX524" s="75"/>
      <c r="DY524" s="84"/>
      <c r="DZ524" s="126">
        <f t="shared" ref="DZ524:FM524" si="2503">+DZ518/DZ470</f>
        <v>0.60816098378982675</v>
      </c>
      <c r="EA524" s="126">
        <f t="shared" si="2503"/>
        <v>0.59236031927023947</v>
      </c>
      <c r="EB524" s="126">
        <f t="shared" si="2503"/>
        <v>0.5859872611464968</v>
      </c>
      <c r="EC524" s="126">
        <f t="shared" si="2503"/>
        <v>0.57724056603773588</v>
      </c>
      <c r="ED524" s="127">
        <f t="shared" si="2503"/>
        <v>0.59115704852138962</v>
      </c>
      <c r="EE524" s="126">
        <f t="shared" si="2503"/>
        <v>0.57850746268656716</v>
      </c>
      <c r="EF524" s="126">
        <f t="shared" si="2503"/>
        <v>0.59987631416202847</v>
      </c>
      <c r="EG524" s="126">
        <f t="shared" si="2503"/>
        <v>0.62690355329949243</v>
      </c>
      <c r="EH524" s="126">
        <f t="shared" si="2503"/>
        <v>0.62086843810758263</v>
      </c>
      <c r="EI524" s="127">
        <f t="shared" si="2503"/>
        <v>0.60598970519419748</v>
      </c>
      <c r="EJ524" s="126">
        <f t="shared" si="2503"/>
        <v>0.64823773324118861</v>
      </c>
      <c r="EK524" s="126">
        <f t="shared" si="2503"/>
        <v>0.63262508567511999</v>
      </c>
      <c r="EL524" s="126">
        <f t="shared" si="2503"/>
        <v>0.64750692520775621</v>
      </c>
      <c r="EM524" s="126">
        <f t="shared" si="2503"/>
        <v>0.63326374391092555</v>
      </c>
      <c r="EN524" s="127">
        <f t="shared" si="2503"/>
        <v>0.64040089856575078</v>
      </c>
      <c r="EO524" s="126">
        <f t="shared" si="2503"/>
        <v>0.63888888888888884</v>
      </c>
      <c r="EP524" s="126">
        <f t="shared" si="2503"/>
        <v>0.63216011042097997</v>
      </c>
      <c r="EQ524" s="126">
        <f t="shared" si="2503"/>
        <v>0.63370473537604455</v>
      </c>
      <c r="ER524" s="126">
        <f t="shared" si="2503"/>
        <v>0.61430575035063117</v>
      </c>
      <c r="ES524" s="127">
        <f t="shared" si="2503"/>
        <v>0.62980351243262045</v>
      </c>
      <c r="ET524" s="126">
        <f t="shared" si="2503"/>
        <v>0.62022647102935824</v>
      </c>
      <c r="EU524" s="126">
        <f t="shared" si="2503"/>
        <v>0.61236913027222339</v>
      </c>
      <c r="EV524" s="126">
        <f t="shared" si="2503"/>
        <v>0.61386765487057293</v>
      </c>
      <c r="EW524" s="126">
        <f t="shared" si="2503"/>
        <v>0.59299019910906303</v>
      </c>
      <c r="EX524" s="127">
        <f t="shared" si="2503"/>
        <v>0.60986058962697598</v>
      </c>
      <c r="EY524" s="126">
        <f t="shared" ref="EY524:FC524" si="2504">+EY518/EY470</f>
        <v>0.60107265834250989</v>
      </c>
      <c r="EZ524" s="126">
        <f t="shared" si="2504"/>
        <v>0.58923047252073357</v>
      </c>
      <c r="FA524" s="126">
        <f t="shared" si="2504"/>
        <v>0.59028841282958655</v>
      </c>
      <c r="FB524" s="126">
        <f t="shared" si="2504"/>
        <v>0.56617873351482195</v>
      </c>
      <c r="FC524" s="127">
        <f t="shared" si="2504"/>
        <v>0.58661015449686371</v>
      </c>
      <c r="FD524" s="126">
        <f t="shared" si="2503"/>
        <v>0.58158586495351794</v>
      </c>
      <c r="FE524" s="126">
        <f t="shared" si="2503"/>
        <v>0.5674908004124285</v>
      </c>
      <c r="FF524" s="126">
        <f t="shared" si="2503"/>
        <v>0.56804610424455515</v>
      </c>
      <c r="FG524" s="126">
        <f t="shared" si="2503"/>
        <v>0.54318958592941069</v>
      </c>
      <c r="FH524" s="127">
        <f t="shared" ref="FH524" si="2505">+FH518/FH470</f>
        <v>0.5649301192758226</v>
      </c>
      <c r="FI524" s="126">
        <f t="shared" si="2503"/>
        <v>0.54208373186114589</v>
      </c>
      <c r="FJ524" s="126">
        <f t="shared" si="2503"/>
        <v>0.52186751606903792</v>
      </c>
      <c r="FK524" s="126">
        <f t="shared" si="2503"/>
        <v>0.50392815600401819</v>
      </c>
      <c r="FL524" s="126">
        <f t="shared" si="2503"/>
        <v>0.48838954706299337</v>
      </c>
      <c r="FM524" s="126">
        <f t="shared" si="2503"/>
        <v>0.47509921473730077</v>
      </c>
    </row>
    <row r="525" spans="1:170" x14ac:dyDescent="0.3">
      <c r="EO525"/>
      <c r="EP525"/>
      <c r="EQ525"/>
      <c r="ER525"/>
      <c r="ES525" s="90"/>
      <c r="EX525" s="90"/>
      <c r="FC525" s="90"/>
      <c r="FH525" s="90"/>
    </row>
    <row r="526" spans="1:170" x14ac:dyDescent="0.3">
      <c r="A526" s="1797" t="s">
        <v>284</v>
      </c>
      <c r="B526" s="806"/>
      <c r="C526" s="806"/>
      <c r="D526" s="806"/>
      <c r="E526" s="806"/>
      <c r="F526" s="806"/>
      <c r="G526" s="806"/>
      <c r="H526" s="806"/>
      <c r="I526" s="806"/>
      <c r="J526" s="806"/>
      <c r="K526" s="806"/>
      <c r="L526" s="806"/>
      <c r="M526" s="806"/>
      <c r="N526" s="806"/>
      <c r="O526" s="806"/>
      <c r="P526" s="806"/>
      <c r="Q526" s="806"/>
      <c r="R526" s="806"/>
      <c r="S526" s="806"/>
      <c r="T526" s="806"/>
      <c r="U526" s="806"/>
      <c r="V526" s="806"/>
      <c r="W526" s="806"/>
      <c r="X526" s="806"/>
      <c r="Y526" s="806"/>
      <c r="Z526" s="806"/>
      <c r="AA526" s="806"/>
      <c r="AB526" s="806"/>
      <c r="AC526" s="806"/>
      <c r="AD526" s="806"/>
      <c r="AE526" s="806"/>
      <c r="AF526" s="806"/>
      <c r="AG526" s="806"/>
      <c r="AH526" s="806"/>
      <c r="AI526" s="806"/>
      <c r="AJ526" s="806"/>
      <c r="AK526" s="806"/>
      <c r="AL526" s="806"/>
      <c r="AM526" s="806"/>
      <c r="AN526" s="806"/>
      <c r="AO526" s="806"/>
      <c r="AP526" s="806"/>
      <c r="AQ526" s="806"/>
      <c r="AR526" s="806"/>
      <c r="AS526" s="806"/>
      <c r="AT526" s="806"/>
      <c r="AU526" s="806"/>
      <c r="AV526" s="806"/>
      <c r="AW526" s="806"/>
      <c r="AX526" s="806"/>
      <c r="AY526" s="806"/>
      <c r="AZ526" s="806"/>
      <c r="BA526" s="806"/>
      <c r="BB526" s="806"/>
      <c r="BC526" s="806"/>
      <c r="BD526" s="806"/>
      <c r="BE526" s="806"/>
      <c r="BF526" s="806"/>
      <c r="BG526" s="806"/>
      <c r="BH526" s="806"/>
      <c r="BI526" s="806"/>
      <c r="BJ526" s="806"/>
      <c r="BK526" s="806"/>
      <c r="BL526" s="806"/>
      <c r="BM526" s="806"/>
      <c r="BN526" s="806"/>
      <c r="BO526" s="806"/>
      <c r="BP526" s="806"/>
      <c r="BQ526" s="806"/>
      <c r="BR526" s="806"/>
      <c r="BS526" s="806"/>
      <c r="BT526" s="806"/>
      <c r="BU526" s="806"/>
      <c r="BV526" s="806"/>
      <c r="BW526" s="806"/>
      <c r="BX526" s="806"/>
      <c r="BY526" s="806"/>
      <c r="BZ526" s="806"/>
      <c r="CA526" s="806"/>
      <c r="CB526" s="806"/>
      <c r="CC526" s="806"/>
      <c r="CD526" s="806"/>
      <c r="CE526" s="806"/>
      <c r="CF526" s="806"/>
      <c r="CG526" s="806"/>
      <c r="CH526" s="806"/>
      <c r="CI526" s="806"/>
      <c r="CJ526" s="806"/>
      <c r="CK526" s="806"/>
      <c r="CL526" s="806"/>
      <c r="CM526" s="806"/>
      <c r="CN526" s="806"/>
      <c r="CO526" s="806"/>
      <c r="CP526" s="806"/>
      <c r="CQ526" s="806"/>
      <c r="CR526" s="806"/>
      <c r="CS526" s="806"/>
      <c r="CT526" s="806"/>
      <c r="CU526" s="806"/>
      <c r="CV526" s="806"/>
      <c r="CW526" s="806"/>
      <c r="CX526" s="806"/>
      <c r="CY526" s="806"/>
      <c r="CZ526" s="806"/>
      <c r="DA526" s="806"/>
      <c r="DB526" s="806"/>
      <c r="DC526" s="806"/>
      <c r="DD526" s="806"/>
      <c r="DE526" s="806"/>
      <c r="DF526" s="806"/>
      <c r="DG526" s="806"/>
      <c r="DH526" s="806"/>
      <c r="DI526" s="806"/>
      <c r="DJ526" s="806"/>
      <c r="DK526" s="806"/>
      <c r="DL526" s="806"/>
      <c r="DM526" s="806"/>
      <c r="DN526" s="806"/>
      <c r="DO526" s="806"/>
      <c r="DP526" s="806"/>
      <c r="DQ526" s="806"/>
      <c r="DR526" s="806"/>
      <c r="DS526" s="806"/>
      <c r="DT526" s="806"/>
      <c r="DU526" s="1800"/>
      <c r="DV526" s="1800"/>
      <c r="DW526" s="1800"/>
      <c r="DX526" s="1800"/>
      <c r="DY526" s="1026"/>
      <c r="DZ526" s="804">
        <f>DZ470</f>
        <v>1789</v>
      </c>
      <c r="EA526" s="804">
        <f>EA470</f>
        <v>1754</v>
      </c>
      <c r="EB526" s="804">
        <f>EB470</f>
        <v>1727</v>
      </c>
      <c r="EC526" s="804">
        <f>EC470</f>
        <v>1696</v>
      </c>
      <c r="ED526" s="803">
        <f>+SUM(DZ526:EC526)</f>
        <v>6966</v>
      </c>
      <c r="EE526" s="804">
        <f>EE470</f>
        <v>1675</v>
      </c>
      <c r="EF526" s="804">
        <f>EF470</f>
        <v>1617</v>
      </c>
      <c r="EG526" s="804">
        <f>EG470</f>
        <v>1576</v>
      </c>
      <c r="EH526" s="804">
        <f>EH470</f>
        <v>1543</v>
      </c>
      <c r="EI526" s="803">
        <f>+SUM(EE526:EH526)</f>
        <v>6411</v>
      </c>
      <c r="EJ526" s="804">
        <f>EJ470</f>
        <v>1447</v>
      </c>
      <c r="EK526" s="804">
        <f>EK470</f>
        <v>1459</v>
      </c>
      <c r="EL526" s="804">
        <f>EL470</f>
        <v>1444</v>
      </c>
      <c r="EM526" s="804">
        <f>EM470</f>
        <v>1437</v>
      </c>
      <c r="EN526" s="803">
        <f>+SUM(EJ526:EM526)</f>
        <v>5787</v>
      </c>
      <c r="EO526" s="804">
        <f>EO470</f>
        <v>1440</v>
      </c>
      <c r="EP526" s="804">
        <f>EP470</f>
        <v>1449</v>
      </c>
      <c r="EQ526" s="804">
        <f>EQ470</f>
        <v>1436</v>
      </c>
      <c r="ER526" s="804">
        <f>ER470</f>
        <v>1426</v>
      </c>
      <c r="ES526" s="803">
        <f>+SUM(EO526:ER526)</f>
        <v>5751</v>
      </c>
      <c r="ET526" s="804">
        <f t="shared" ref="ET526:EW526" si="2506">ET470</f>
        <v>1432.4137787049372</v>
      </c>
      <c r="EU526" s="804">
        <f t="shared" si="2506"/>
        <v>1445.6742994953706</v>
      </c>
      <c r="EV526" s="804">
        <f t="shared" si="2506"/>
        <v>1440.8909406192211</v>
      </c>
      <c r="EW526" s="804">
        <f t="shared" si="2506"/>
        <v>1437.3412442046965</v>
      </c>
      <c r="EX526" s="803">
        <f>+SUM(ET526:EW526)</f>
        <v>5756.3202630242258</v>
      </c>
      <c r="EY526" s="804">
        <f t="shared" ref="EY526:FB526" si="2507">EY470</f>
        <v>1448.5989151588235</v>
      </c>
      <c r="EZ526" s="804">
        <f t="shared" si="2507"/>
        <v>1473.0763871161007</v>
      </c>
      <c r="FA526" s="804">
        <f t="shared" si="2507"/>
        <v>1474.8525598046544</v>
      </c>
      <c r="FB526" s="804">
        <f t="shared" si="2507"/>
        <v>1479.837586098161</v>
      </c>
      <c r="FC526" s="803">
        <f>+SUM(EY526:FB526)</f>
        <v>5876.3654481777394</v>
      </c>
      <c r="FD526" s="804">
        <f t="shared" ref="FD526:FM526" si="2508">FD470</f>
        <v>1500.6332038553592</v>
      </c>
      <c r="FE526" s="804">
        <f t="shared" si="2508"/>
        <v>1534.1922220475808</v>
      </c>
      <c r="FF526" s="804">
        <f t="shared" si="2508"/>
        <v>1541.081623646051</v>
      </c>
      <c r="FG526" s="804">
        <f t="shared" si="2508"/>
        <v>1551.2374383530121</v>
      </c>
      <c r="FH526" s="803">
        <f>+SUM(FD526:FG526)</f>
        <v>6127.1444879020028</v>
      </c>
      <c r="FI526" s="804">
        <f t="shared" si="2508"/>
        <v>6435.6183299681315</v>
      </c>
      <c r="FJ526" s="804">
        <f t="shared" si="2508"/>
        <v>6757.0308581458303</v>
      </c>
      <c r="FK526" s="804">
        <f t="shared" si="2508"/>
        <v>7075.4056315243852</v>
      </c>
      <c r="FL526" s="804">
        <f t="shared" si="2508"/>
        <v>7377.2081434667662</v>
      </c>
      <c r="FM526" s="804">
        <f t="shared" si="2508"/>
        <v>7656.8883876078708</v>
      </c>
      <c r="FN526" s="189">
        <f>+(FJ526/ES526)^0.2-1</f>
        <v>3.2767367323505159E-2</v>
      </c>
    </row>
    <row r="527" spans="1:170" x14ac:dyDescent="0.3">
      <c r="A527" s="70" t="s">
        <v>363</v>
      </c>
      <c r="DU527" s="108"/>
      <c r="DV527" s="108"/>
      <c r="DW527" s="108"/>
      <c r="DX527" s="108"/>
      <c r="DY527" s="538"/>
      <c r="DZ527" s="75"/>
      <c r="EA527" s="75"/>
      <c r="EB527" s="75"/>
      <c r="EC527" s="75"/>
      <c r="ED527" s="84"/>
      <c r="EE527" s="75">
        <f t="shared" ref="EE527:ER527" si="2509">+EE526/DZ526-1</f>
        <v>-6.3722750139742823E-2</v>
      </c>
      <c r="EF527" s="75">
        <f t="shared" si="2509"/>
        <v>-7.8107183580387707E-2</v>
      </c>
      <c r="EG527" s="75">
        <f t="shared" si="2509"/>
        <v>-8.7434858135495119E-2</v>
      </c>
      <c r="EH527" s="75">
        <f t="shared" si="2509"/>
        <v>-9.0212264150943411E-2</v>
      </c>
      <c r="EI527" s="84">
        <f t="shared" si="2509"/>
        <v>-7.9672695951765737E-2</v>
      </c>
      <c r="EJ527" s="75">
        <f t="shared" si="2509"/>
        <v>-0.13611940298507463</v>
      </c>
      <c r="EK527" s="75">
        <f t="shared" si="2509"/>
        <v>-9.7711811997526321E-2</v>
      </c>
      <c r="EL527" s="75">
        <f t="shared" si="2509"/>
        <v>-8.3756345177664948E-2</v>
      </c>
      <c r="EM527" s="75">
        <f t="shared" si="2509"/>
        <v>-6.8697342838626052E-2</v>
      </c>
      <c r="EN527" s="84">
        <f>+EN526/EI526-1</f>
        <v>-9.7332709405708928E-2</v>
      </c>
      <c r="EO527" s="75">
        <f t="shared" si="2509"/>
        <v>-4.8375950241880128E-3</v>
      </c>
      <c r="EP527" s="75">
        <f t="shared" si="2509"/>
        <v>-6.8540095956134417E-3</v>
      </c>
      <c r="EQ527" s="75">
        <f t="shared" si="2509"/>
        <v>-5.5401662049860967E-3</v>
      </c>
      <c r="ER527" s="75">
        <f t="shared" si="2509"/>
        <v>-7.6548364648573175E-3</v>
      </c>
      <c r="ES527" s="84">
        <f>+ES526/EN526-1</f>
        <v>-6.2208398133748455E-3</v>
      </c>
      <c r="ET527" s="75">
        <f t="shared" ref="ET527:EW527" si="2510">+ET526/EO526-1</f>
        <v>-5.2682092326825636E-3</v>
      </c>
      <c r="EU527" s="75">
        <f t="shared" si="2510"/>
        <v>-2.2951694303859904E-3</v>
      </c>
      <c r="EV527" s="75">
        <f t="shared" si="2510"/>
        <v>3.4059475064214251E-3</v>
      </c>
      <c r="EW527" s="75">
        <f t="shared" si="2510"/>
        <v>7.9531866793103312E-3</v>
      </c>
      <c r="EX527" s="84">
        <f>+EX526/ES526-1</f>
        <v>9.2510224730069091E-4</v>
      </c>
      <c r="EY527" s="75">
        <f t="shared" ref="EY527" si="2511">+EY526/ET526-1</f>
        <v>1.1299204667327034E-2</v>
      </c>
      <c r="EZ527" s="75">
        <f t="shared" ref="EZ527" si="2512">+EZ526/EU526-1</f>
        <v>1.8954537429554552E-2</v>
      </c>
      <c r="FA527" s="75">
        <f t="shared" ref="FA527" si="2513">+FA526/EV526-1</f>
        <v>2.3569874879523001E-2</v>
      </c>
      <c r="FB527" s="75">
        <f t="shared" ref="FB527" si="2514">+FB526/EW526-1</f>
        <v>2.9565937848655022E-2</v>
      </c>
      <c r="FC527" s="84">
        <f>+FC526/EX526-1</f>
        <v>2.0854500734544645E-2</v>
      </c>
      <c r="FD527" s="75">
        <f t="shared" ref="FD527" si="2515">+FD526/EY526-1</f>
        <v>3.5920425006552348E-2</v>
      </c>
      <c r="FE527" s="75">
        <f t="shared" ref="FE527" si="2516">+FE526/EZ526-1</f>
        <v>4.1488571445455591E-2</v>
      </c>
      <c r="FF527" s="75">
        <f t="shared" ref="FF527" si="2517">+FF526/FA526-1</f>
        <v>4.4905548965632702E-2</v>
      </c>
      <c r="FG527" s="75">
        <f t="shared" ref="FG527" si="2518">+FG526/FB526-1</f>
        <v>4.824843815672275E-2</v>
      </c>
      <c r="FH527" s="84">
        <f>+FH526/FC526-1</f>
        <v>4.2675875409013297E-2</v>
      </c>
      <c r="FI527" s="75">
        <f t="shared" ref="FI527:FM527" si="2519">+FI526/FH526-1</f>
        <v>5.0345449283137889E-2</v>
      </c>
      <c r="FJ527" s="75">
        <f t="shared" si="2519"/>
        <v>4.9942757898026269E-2</v>
      </c>
      <c r="FK527" s="75">
        <f t="shared" si="2519"/>
        <v>4.7117555041907622E-2</v>
      </c>
      <c r="FL527" s="75">
        <f t="shared" si="2519"/>
        <v>4.2655153309896887E-2</v>
      </c>
      <c r="FM527" s="75">
        <f t="shared" si="2519"/>
        <v>3.7911393944982885E-2</v>
      </c>
    </row>
    <row r="528" spans="1:170" x14ac:dyDescent="0.3">
      <c r="A528" s="56" t="s">
        <v>480</v>
      </c>
      <c r="DU528" s="120"/>
      <c r="DV528" s="120"/>
      <c r="DW528" s="120"/>
      <c r="DX528" s="120"/>
      <c r="DY528" s="121"/>
      <c r="DZ528" s="76">
        <f>DZ518</f>
        <v>1088</v>
      </c>
      <c r="EA528" s="76">
        <f>EA518</f>
        <v>1039</v>
      </c>
      <c r="EB528" s="76">
        <f>EB518</f>
        <v>1012</v>
      </c>
      <c r="EC528" s="76">
        <f>EC518</f>
        <v>979</v>
      </c>
      <c r="ED528" s="85">
        <f>+SUM(DZ528:EC528)</f>
        <v>4118</v>
      </c>
      <c r="EE528" s="76">
        <f>EE518</f>
        <v>969</v>
      </c>
      <c r="EF528" s="76">
        <f>EF518</f>
        <v>970</v>
      </c>
      <c r="EG528" s="76">
        <f>EG518</f>
        <v>988</v>
      </c>
      <c r="EH528" s="76">
        <f>EH518</f>
        <v>958</v>
      </c>
      <c r="EI528" s="85">
        <f>+SUM(EE528:EH528)</f>
        <v>3885</v>
      </c>
      <c r="EJ528" s="76">
        <f>EJ518</f>
        <v>937.99999999999989</v>
      </c>
      <c r="EK528" s="76">
        <f>EK518</f>
        <v>923</v>
      </c>
      <c r="EL528" s="76">
        <f>EL518</f>
        <v>935</v>
      </c>
      <c r="EM528" s="76">
        <f>EM518</f>
        <v>910</v>
      </c>
      <c r="EN528" s="85">
        <f>+SUM(EJ528:EM528)</f>
        <v>3706</v>
      </c>
      <c r="EO528" s="76">
        <f>EO518</f>
        <v>920</v>
      </c>
      <c r="EP528" s="76">
        <f>EP518</f>
        <v>916</v>
      </c>
      <c r="EQ528" s="76">
        <f>EQ518</f>
        <v>910</v>
      </c>
      <c r="ER528" s="76">
        <f>ER518</f>
        <v>876</v>
      </c>
      <c r="ES528" s="85">
        <f>+SUM(EO528:ER528)</f>
        <v>3622</v>
      </c>
      <c r="ET528" s="76">
        <f t="shared" ref="ET528:EW528" si="2520">ET518</f>
        <v>888.42094301999123</v>
      </c>
      <c r="EU528" s="76">
        <f t="shared" si="2520"/>
        <v>885.28631343888594</v>
      </c>
      <c r="EV528" s="76">
        <f t="shared" si="2520"/>
        <v>884.51634264217523</v>
      </c>
      <c r="EW528" s="76">
        <f t="shared" si="2520"/>
        <v>852.32927058861139</v>
      </c>
      <c r="EX528" s="85">
        <f>+SUM(ET528:EW528)</f>
        <v>3510.5528696896636</v>
      </c>
      <c r="EY528" s="76">
        <f t="shared" ref="EY528:FB528" si="2521">EY518</f>
        <v>870.71320080658995</v>
      </c>
      <c r="EZ528" s="76">
        <f t="shared" si="2521"/>
        <v>867.98149563955508</v>
      </c>
      <c r="FA528" s="76">
        <f t="shared" si="2521"/>
        <v>870.58837668474234</v>
      </c>
      <c r="FB528" s="76">
        <f t="shared" si="2521"/>
        <v>837.85257030468802</v>
      </c>
      <c r="FC528" s="85">
        <f>+SUM(EY528:FB528)</f>
        <v>3447.1356434355753</v>
      </c>
      <c r="FD528" s="76">
        <f t="shared" ref="FD528:FM528" si="2522">FD518</f>
        <v>872.74705984218781</v>
      </c>
      <c r="FE528" s="76">
        <f t="shared" si="2522"/>
        <v>870.63997207630393</v>
      </c>
      <c r="FF528" s="76">
        <f t="shared" si="2522"/>
        <v>875.40541263501291</v>
      </c>
      <c r="FG528" s="76">
        <f t="shared" si="2522"/>
        <v>842.6160218171724</v>
      </c>
      <c r="FH528" s="85">
        <f>+SUM(FD528:FG528)</f>
        <v>3461.4084663706772</v>
      </c>
      <c r="FI528" s="76">
        <f t="shared" si="2522"/>
        <v>3488.64400114312</v>
      </c>
      <c r="FJ528" s="76">
        <f t="shared" si="2522"/>
        <v>3526.2749099424041</v>
      </c>
      <c r="FK528" s="76">
        <f t="shared" si="2522"/>
        <v>3565.496112874529</v>
      </c>
      <c r="FL528" s="76">
        <f t="shared" si="2522"/>
        <v>3602.9513437771602</v>
      </c>
      <c r="FM528" s="76">
        <f t="shared" si="2522"/>
        <v>3637.7816602836565</v>
      </c>
      <c r="FN528" s="189">
        <f>+(FJ528/ES528)^0.2-1</f>
        <v>-5.3425399997556466E-3</v>
      </c>
    </row>
    <row r="529" spans="1:170" x14ac:dyDescent="0.3">
      <c r="A529" s="70" t="s">
        <v>363</v>
      </c>
      <c r="DU529" s="108"/>
      <c r="DV529" s="108"/>
      <c r="DW529" s="108"/>
      <c r="DX529" s="108"/>
      <c r="DY529" s="538"/>
      <c r="DZ529" s="75"/>
      <c r="EA529" s="75"/>
      <c r="EB529" s="75"/>
      <c r="EC529" s="75"/>
      <c r="ED529" s="84"/>
      <c r="EE529" s="75">
        <f t="shared" ref="EE529:ER529" si="2523">+EE528/DZ528-1</f>
        <v>-0.109375</v>
      </c>
      <c r="EF529" s="75">
        <f t="shared" si="2523"/>
        <v>-6.6410009624639055E-2</v>
      </c>
      <c r="EG529" s="75">
        <f t="shared" si="2523"/>
        <v>-2.371541501976282E-2</v>
      </c>
      <c r="EH529" s="75">
        <f t="shared" si="2523"/>
        <v>-2.1450459652706866E-2</v>
      </c>
      <c r="EI529" s="84">
        <f t="shared" si="2523"/>
        <v>-5.6580864497328798E-2</v>
      </c>
      <c r="EJ529" s="75">
        <f t="shared" si="2523"/>
        <v>-3.1991744066047545E-2</v>
      </c>
      <c r="EK529" s="75">
        <f t="shared" si="2523"/>
        <v>-4.845360824742273E-2</v>
      </c>
      <c r="EL529" s="75">
        <f t="shared" si="2523"/>
        <v>-5.3643724696356254E-2</v>
      </c>
      <c r="EM529" s="75">
        <f t="shared" si="2523"/>
        <v>-5.0104384133611735E-2</v>
      </c>
      <c r="EN529" s="84">
        <f>+EN528/EI528-1</f>
        <v>-4.6074646074646064E-2</v>
      </c>
      <c r="EO529" s="75">
        <f t="shared" si="2523"/>
        <v>-1.9189765458422103E-2</v>
      </c>
      <c r="EP529" s="75">
        <f t="shared" si="2523"/>
        <v>-7.5839653304442534E-3</v>
      </c>
      <c r="EQ529" s="75">
        <f t="shared" si="2523"/>
        <v>-2.6737967914438499E-2</v>
      </c>
      <c r="ER529" s="75">
        <f t="shared" si="2523"/>
        <v>-3.7362637362637341E-2</v>
      </c>
      <c r="ES529" s="84">
        <f>+ES528/EN528-1</f>
        <v>-2.2665947112790019E-2</v>
      </c>
      <c r="ET529" s="75">
        <f t="shared" ref="ET529:EW529" si="2524">+ET528/EO528-1</f>
        <v>-3.4325061934792123E-2</v>
      </c>
      <c r="EU529" s="75">
        <f t="shared" si="2524"/>
        <v>-3.353022550339968E-2</v>
      </c>
      <c r="EV529" s="75">
        <f t="shared" si="2524"/>
        <v>-2.800401907453276E-2</v>
      </c>
      <c r="EW529" s="75">
        <f t="shared" si="2524"/>
        <v>-2.702138060660797E-2</v>
      </c>
      <c r="EX529" s="84">
        <f>+EX528/ES528-1</f>
        <v>-3.0769500361771507E-2</v>
      </c>
      <c r="EY529" s="75">
        <f t="shared" ref="EY529" si="2525">+EY528/ET528-1</f>
        <v>-1.9931702817819308E-2</v>
      </c>
      <c r="EZ529" s="75">
        <f t="shared" ref="EZ529" si="2526">+EZ528/EU528-1</f>
        <v>-1.9547142587250099E-2</v>
      </c>
      <c r="FA529" s="75">
        <f t="shared" ref="FA529" si="2527">+FA528/EV528-1</f>
        <v>-1.5746420146210194E-2</v>
      </c>
      <c r="FB529" s="75">
        <f t="shared" ref="FB529" si="2528">+FB528/EW528-1</f>
        <v>-1.6984868153038901E-2</v>
      </c>
      <c r="FC529" s="84">
        <f>+FC528/EX528-1</f>
        <v>-1.8064740400760448E-2</v>
      </c>
      <c r="FD529" s="75">
        <f t="shared" ref="FD529" si="2529">+FD528/EY528-1</f>
        <v>2.3358541408511346E-3</v>
      </c>
      <c r="FE529" s="75">
        <f t="shared" ref="FE529" si="2530">+FE528/EZ528-1</f>
        <v>3.0628261663459E-3</v>
      </c>
      <c r="FF529" s="75">
        <f t="shared" ref="FF529" si="2531">+FF528/FA528-1</f>
        <v>5.533080936152901E-3</v>
      </c>
      <c r="FG529" s="75">
        <f t="shared" ref="FG529" si="2532">+FG528/FB528-1</f>
        <v>5.685309899750246E-3</v>
      </c>
      <c r="FH529" s="84">
        <f>+FH528/FC528-1</f>
        <v>4.1404877589548139E-3</v>
      </c>
      <c r="FI529" s="75">
        <f t="shared" ref="FI529:FM529" si="2533">+FI528/FH528-1</f>
        <v>7.8683388675591104E-3</v>
      </c>
      <c r="FJ529" s="75">
        <f t="shared" si="2533"/>
        <v>1.0786686399344214E-2</v>
      </c>
      <c r="FK529" s="75">
        <f t="shared" si="2533"/>
        <v>1.1122559622773531E-2</v>
      </c>
      <c r="FL529" s="75">
        <f t="shared" si="2533"/>
        <v>1.0504914243879115E-2</v>
      </c>
      <c r="FM529" s="75">
        <f t="shared" si="2533"/>
        <v>9.6671626073034922E-3</v>
      </c>
    </row>
    <row r="530" spans="1:170" x14ac:dyDescent="0.3">
      <c r="A530" s="60" t="s">
        <v>44</v>
      </c>
      <c r="DU530" s="519"/>
      <c r="DV530" s="519"/>
      <c r="DW530" s="519"/>
      <c r="DX530" s="519"/>
      <c r="DY530" s="519"/>
      <c r="DZ530" s="381">
        <f>+DZ526-DZ528</f>
        <v>701</v>
      </c>
      <c r="EA530" s="381">
        <f>+EA526-EA528</f>
        <v>715</v>
      </c>
      <c r="EB530" s="381">
        <f>+EB526-EB528</f>
        <v>715</v>
      </c>
      <c r="EC530" s="381">
        <f>+EC526-EC528</f>
        <v>717</v>
      </c>
      <c r="ED530" s="381">
        <f>+SUM(DZ530:EC530)</f>
        <v>2848</v>
      </c>
      <c r="EE530" s="381">
        <f>+EE526-EE528</f>
        <v>706</v>
      </c>
      <c r="EF530" s="381">
        <f>+EF526-EF528</f>
        <v>647</v>
      </c>
      <c r="EG530" s="381">
        <f>+EG526-EG528</f>
        <v>588</v>
      </c>
      <c r="EH530" s="381">
        <f>+EH526-EH528</f>
        <v>585</v>
      </c>
      <c r="EI530" s="381">
        <f>+SUM(EE530:EH530)</f>
        <v>2526</v>
      </c>
      <c r="EJ530" s="381">
        <f>+EJ526-EJ528</f>
        <v>509.00000000000011</v>
      </c>
      <c r="EK530" s="381">
        <f>+EK526-EK528</f>
        <v>536</v>
      </c>
      <c r="EL530" s="381">
        <f>+EL526-EL528</f>
        <v>509</v>
      </c>
      <c r="EM530" s="381">
        <f>+EM526-EM528</f>
        <v>527</v>
      </c>
      <c r="EN530" s="381">
        <f>+SUM(EJ530:EM530)</f>
        <v>2081</v>
      </c>
      <c r="EO530" s="381">
        <f>+EO526-EO528</f>
        <v>520</v>
      </c>
      <c r="EP530" s="381">
        <f>+EP526-EP528</f>
        <v>533</v>
      </c>
      <c r="EQ530" s="381">
        <f>+EQ526-EQ528</f>
        <v>526</v>
      </c>
      <c r="ER530" s="381">
        <f>+ER526-ER528</f>
        <v>550</v>
      </c>
      <c r="ES530" s="381">
        <f>+SUM(EO530:ER530)</f>
        <v>2129</v>
      </c>
      <c r="ET530" s="381">
        <f t="shared" ref="ET530:EW530" si="2534">+ET526-ET528</f>
        <v>543.99283568494593</v>
      </c>
      <c r="EU530" s="381">
        <f t="shared" si="2534"/>
        <v>560.38798605648469</v>
      </c>
      <c r="EV530" s="381">
        <f t="shared" si="2534"/>
        <v>556.37459797704582</v>
      </c>
      <c r="EW530" s="381">
        <f t="shared" si="2534"/>
        <v>585.01197361608513</v>
      </c>
      <c r="EX530" s="381">
        <f>+SUM(ET530:EW530)</f>
        <v>2245.7673933345618</v>
      </c>
      <c r="EY530" s="381">
        <f t="shared" ref="EY530:FB530" si="2535">+EY526-EY528</f>
        <v>577.88571435223355</v>
      </c>
      <c r="EZ530" s="381">
        <f t="shared" si="2535"/>
        <v>605.09489147654563</v>
      </c>
      <c r="FA530" s="381">
        <f t="shared" si="2535"/>
        <v>604.2641831199121</v>
      </c>
      <c r="FB530" s="381">
        <f t="shared" si="2535"/>
        <v>641.98501579347294</v>
      </c>
      <c r="FC530" s="381">
        <f>+SUM(EY530:FB530)</f>
        <v>2429.2298047421641</v>
      </c>
      <c r="FD530" s="381">
        <f t="shared" ref="FD530:FM530" si="2536">+FD526-FD528</f>
        <v>627.88614401317136</v>
      </c>
      <c r="FE530" s="381">
        <f t="shared" si="2536"/>
        <v>663.55224997127686</v>
      </c>
      <c r="FF530" s="381">
        <f t="shared" si="2536"/>
        <v>665.67621101103805</v>
      </c>
      <c r="FG530" s="381">
        <f t="shared" si="2536"/>
        <v>708.62141653583967</v>
      </c>
      <c r="FH530" s="381">
        <f>+SUM(FD530:FG530)</f>
        <v>2665.7360215313261</v>
      </c>
      <c r="FI530" s="381">
        <f t="shared" si="2536"/>
        <v>2946.9743288250115</v>
      </c>
      <c r="FJ530" s="381">
        <f t="shared" si="2536"/>
        <v>3230.7559482034262</v>
      </c>
      <c r="FK530" s="381">
        <f t="shared" si="2536"/>
        <v>3509.9095186498562</v>
      </c>
      <c r="FL530" s="381">
        <f t="shared" si="2536"/>
        <v>3774.2567996896059</v>
      </c>
      <c r="FM530" s="381">
        <f t="shared" si="2536"/>
        <v>4019.1067273242143</v>
      </c>
      <c r="FN530" s="189">
        <f>+(FJ530/ES530)^0.2-1</f>
        <v>8.6990374208973487E-2</v>
      </c>
    </row>
    <row r="531" spans="1:170" hidden="1" outlineLevel="1" x14ac:dyDescent="0.3">
      <c r="A531" s="116" t="s">
        <v>481</v>
      </c>
      <c r="DU531" s="121"/>
      <c r="DV531" s="121"/>
      <c r="DW531" s="121"/>
      <c r="DX531" s="121"/>
      <c r="DY531" s="121"/>
      <c r="DZ531" s="85"/>
      <c r="EA531" s="85"/>
      <c r="EB531" s="85"/>
      <c r="EC531" s="85"/>
      <c r="ED531" s="1206"/>
      <c r="EE531" s="85"/>
      <c r="EF531" s="85"/>
      <c r="EG531" s="80"/>
      <c r="EH531" s="80"/>
      <c r="EI531" s="1206" t="e">
        <f>+Analysis!D4958</f>
        <v>#REF!</v>
      </c>
      <c r="EJ531" s="80"/>
      <c r="EK531" s="80"/>
      <c r="EL531" s="80"/>
      <c r="EM531" s="80"/>
      <c r="EN531" s="1206" t="e">
        <f>+Analysis!I4958</f>
        <v>#REF!</v>
      </c>
      <c r="EO531" s="80"/>
      <c r="EP531" s="80"/>
      <c r="EQ531" s="80"/>
      <c r="ER531" s="80"/>
      <c r="ES531" s="1206" t="e">
        <f>+Analysis!N4958</f>
        <v>#REF!</v>
      </c>
      <c r="ET531" s="80"/>
      <c r="EU531" s="80"/>
      <c r="EV531" s="80"/>
      <c r="EW531" s="80"/>
      <c r="EX531" s="1206">
        <f>+Analysis!S4958</f>
        <v>0</v>
      </c>
      <c r="EY531" s="80"/>
      <c r="EZ531" s="80"/>
      <c r="FA531" s="80"/>
      <c r="FB531" s="80"/>
      <c r="FC531" s="1206">
        <f>+Analysis!X4958</f>
        <v>0</v>
      </c>
      <c r="FD531" s="80"/>
      <c r="FE531" s="80"/>
      <c r="FF531" s="80"/>
      <c r="FG531" s="80"/>
      <c r="FH531" s="1206">
        <f>+Analysis!AC4958</f>
        <v>0</v>
      </c>
      <c r="FI531" s="80" t="e">
        <f>+Analysis!J4958</f>
        <v>#REF!</v>
      </c>
      <c r="FJ531" s="80" t="e">
        <f>+Analysis!K4958</f>
        <v>#REF!</v>
      </c>
      <c r="FK531" s="80" t="e">
        <f>+Analysis!L4958</f>
        <v>#REF!</v>
      </c>
      <c r="FL531" s="80" t="e">
        <f>+Analysis!M4958</f>
        <v>#REF!</v>
      </c>
      <c r="FM531" s="80" t="e">
        <f>+Analysis!N4958</f>
        <v>#REF!</v>
      </c>
      <c r="FN531" s="189"/>
    </row>
    <row r="532" spans="1:170" hidden="1" outlineLevel="1" x14ac:dyDescent="0.3">
      <c r="A532" s="116" t="s">
        <v>482</v>
      </c>
      <c r="DU532" s="121"/>
      <c r="DV532" s="121"/>
      <c r="DW532" s="121"/>
      <c r="DX532" s="121"/>
      <c r="DY532" s="121"/>
      <c r="DZ532" s="85"/>
      <c r="EA532" s="85"/>
      <c r="EB532" s="85"/>
      <c r="EC532" s="85"/>
      <c r="ED532" s="85"/>
      <c r="EE532" s="85"/>
      <c r="EF532" s="85"/>
      <c r="EG532" s="85"/>
      <c r="EH532" s="85"/>
      <c r="EI532" s="86" t="e">
        <f>+EI530-EI531</f>
        <v>#REF!</v>
      </c>
      <c r="EJ532" s="85"/>
      <c r="EK532" s="85"/>
      <c r="EL532" s="85"/>
      <c r="EM532" s="85"/>
      <c r="EN532" s="86" t="e">
        <f>+EN530-EN531</f>
        <v>#REF!</v>
      </c>
      <c r="EO532" s="85"/>
      <c r="EP532" s="85"/>
      <c r="EQ532" s="85"/>
      <c r="ER532" s="85"/>
      <c r="ES532" s="86" t="e">
        <f>+ES530-ES531</f>
        <v>#REF!</v>
      </c>
      <c r="ET532" s="85"/>
      <c r="EU532" s="85"/>
      <c r="EV532" s="85"/>
      <c r="EW532" s="85"/>
      <c r="EX532" s="86">
        <f>+EX530-EX531</f>
        <v>2245.7673933345618</v>
      </c>
      <c r="EY532" s="85"/>
      <c r="EZ532" s="85"/>
      <c r="FA532" s="85"/>
      <c r="FB532" s="85"/>
      <c r="FC532" s="86">
        <f>+FC530-FC531</f>
        <v>2429.2298047421641</v>
      </c>
      <c r="FD532" s="85"/>
      <c r="FE532" s="85"/>
      <c r="FF532" s="85"/>
      <c r="FG532" s="85"/>
      <c r="FH532" s="86">
        <f>+FH530-FH531</f>
        <v>2665.7360215313261</v>
      </c>
      <c r="FI532" s="77" t="e">
        <f t="shared" ref="FI532:FM532" si="2537">+FI530-FI531</f>
        <v>#REF!</v>
      </c>
      <c r="FJ532" s="77" t="e">
        <f t="shared" si="2537"/>
        <v>#REF!</v>
      </c>
      <c r="FK532" s="77" t="e">
        <f t="shared" si="2537"/>
        <v>#REF!</v>
      </c>
      <c r="FL532" s="77" t="e">
        <f t="shared" si="2537"/>
        <v>#REF!</v>
      </c>
      <c r="FM532" s="77" t="e">
        <f t="shared" si="2537"/>
        <v>#REF!</v>
      </c>
      <c r="FN532" s="189"/>
    </row>
    <row r="533" spans="1:170" collapsed="1" x14ac:dyDescent="0.3">
      <c r="A533" s="116" t="s">
        <v>483</v>
      </c>
      <c r="DU533" s="126"/>
      <c r="DV533" s="126"/>
      <c r="DW533" s="126"/>
      <c r="DX533" s="126"/>
      <c r="DY533" s="127"/>
      <c r="DZ533" s="75">
        <f t="shared" ref="DZ533:EM533" si="2538">+DZ530/DZ526</f>
        <v>0.39183901621017331</v>
      </c>
      <c r="EA533" s="75">
        <f t="shared" si="2538"/>
        <v>0.40763968072976053</v>
      </c>
      <c r="EB533" s="75">
        <f t="shared" si="2538"/>
        <v>0.4140127388535032</v>
      </c>
      <c r="EC533" s="75">
        <f t="shared" si="2538"/>
        <v>0.42275943396226418</v>
      </c>
      <c r="ED533" s="84">
        <f t="shared" si="2538"/>
        <v>0.40884295147861038</v>
      </c>
      <c r="EE533" s="75">
        <f>+EE530/EE526</f>
        <v>0.42149253731343284</v>
      </c>
      <c r="EF533" s="75">
        <f>+EF530/EF526</f>
        <v>0.40012368583797153</v>
      </c>
      <c r="EG533" s="75">
        <f t="shared" si="2538"/>
        <v>0.37309644670050762</v>
      </c>
      <c r="EH533" s="75">
        <f t="shared" si="2538"/>
        <v>0.37913156189241737</v>
      </c>
      <c r="EI533" s="84">
        <f t="shared" si="2538"/>
        <v>0.39401029480580252</v>
      </c>
      <c r="EJ533" s="75">
        <f t="shared" si="2538"/>
        <v>0.35176226675881139</v>
      </c>
      <c r="EK533" s="75">
        <f t="shared" si="2538"/>
        <v>0.36737491432488006</v>
      </c>
      <c r="EL533" s="75">
        <f t="shared" si="2538"/>
        <v>0.35249307479224379</v>
      </c>
      <c r="EM533" s="75">
        <f t="shared" si="2538"/>
        <v>0.36673625608907445</v>
      </c>
      <c r="EN533" s="84">
        <f>+EN530/EN526</f>
        <v>0.35959910143424917</v>
      </c>
      <c r="EO533" s="75">
        <f t="shared" ref="EO533:ER533" si="2539">+EO530/EO526</f>
        <v>0.3611111111111111</v>
      </c>
      <c r="EP533" s="75">
        <f t="shared" si="2539"/>
        <v>0.36783988957902003</v>
      </c>
      <c r="EQ533" s="75">
        <f t="shared" si="2539"/>
        <v>0.36629526462395545</v>
      </c>
      <c r="ER533" s="75">
        <f t="shared" si="2539"/>
        <v>0.38569424964936888</v>
      </c>
      <c r="ES533" s="84">
        <f>+ES530/ES526</f>
        <v>0.37019648756737961</v>
      </c>
      <c r="ET533" s="75">
        <f t="shared" ref="ET533:EW533" si="2540">+ET530/ET526</f>
        <v>0.37977352897064182</v>
      </c>
      <c r="EU533" s="75">
        <f t="shared" si="2540"/>
        <v>0.38763086972777661</v>
      </c>
      <c r="EV533" s="75">
        <f t="shared" si="2540"/>
        <v>0.38613234512942701</v>
      </c>
      <c r="EW533" s="75">
        <f t="shared" si="2540"/>
        <v>0.40700980089093697</v>
      </c>
      <c r="EX533" s="84">
        <f>+EX530/EX526</f>
        <v>0.39013941037302396</v>
      </c>
      <c r="EY533" s="75">
        <f t="shared" ref="EY533:FB533" si="2541">+EY530/EY526</f>
        <v>0.39892734165749011</v>
      </c>
      <c r="EZ533" s="75">
        <f t="shared" si="2541"/>
        <v>0.41076952747926643</v>
      </c>
      <c r="FA533" s="75">
        <f t="shared" si="2541"/>
        <v>0.40971158717041345</v>
      </c>
      <c r="FB533" s="75">
        <f t="shared" si="2541"/>
        <v>0.4338212664851781</v>
      </c>
      <c r="FC533" s="84">
        <f>+FC530/FC526</f>
        <v>0.41338984550313634</v>
      </c>
      <c r="FD533" s="75">
        <f t="shared" ref="FD533:FL533" si="2542">+FD530/FD526</f>
        <v>0.41841413504648212</v>
      </c>
      <c r="FE533" s="75">
        <f t="shared" si="2542"/>
        <v>0.43250919958757145</v>
      </c>
      <c r="FF533" s="75">
        <f t="shared" si="2542"/>
        <v>0.43195389575544491</v>
      </c>
      <c r="FG533" s="75">
        <f t="shared" si="2542"/>
        <v>0.45681041407058931</v>
      </c>
      <c r="FH533" s="84">
        <f>+FH530/FH526</f>
        <v>0.43506988072417752</v>
      </c>
      <c r="FI533" s="75">
        <f t="shared" si="2542"/>
        <v>0.45791626813885411</v>
      </c>
      <c r="FJ533" s="75">
        <f t="shared" si="2542"/>
        <v>0.47813248393096208</v>
      </c>
      <c r="FK533" s="75">
        <f t="shared" si="2542"/>
        <v>0.49607184399598186</v>
      </c>
      <c r="FL533" s="75">
        <f t="shared" si="2542"/>
        <v>0.51161045293700658</v>
      </c>
      <c r="FM533" s="75">
        <f>+FM530/FM526</f>
        <v>0.52490078526269923</v>
      </c>
    </row>
    <row r="534" spans="1:170" x14ac:dyDescent="0.3">
      <c r="A534" s="72" t="s">
        <v>387</v>
      </c>
      <c r="DZ534" s="75"/>
      <c r="EA534" s="75"/>
      <c r="EB534" s="75"/>
      <c r="EC534" s="75"/>
      <c r="ED534" s="84"/>
      <c r="EE534" s="75">
        <f t="shared" ref="EE534:ER534" si="2543">+EE530/DZ530-1</f>
        <v>7.132667617689048E-3</v>
      </c>
      <c r="EF534" s="75">
        <f t="shared" si="2543"/>
        <v>-9.510489510489506E-2</v>
      </c>
      <c r="EG534" s="75">
        <f t="shared" si="2543"/>
        <v>-0.17762237762237765</v>
      </c>
      <c r="EH534" s="75">
        <f t="shared" si="2543"/>
        <v>-0.18410041841004188</v>
      </c>
      <c r="EI534" s="84">
        <f t="shared" si="2543"/>
        <v>-0.113061797752809</v>
      </c>
      <c r="EJ534" s="75">
        <f t="shared" si="2543"/>
        <v>-0.2790368271954673</v>
      </c>
      <c r="EK534" s="75">
        <f t="shared" si="2543"/>
        <v>-0.17156105100463681</v>
      </c>
      <c r="EL534" s="75">
        <f t="shared" si="2543"/>
        <v>-0.13435374149659862</v>
      </c>
      <c r="EM534" s="75">
        <f t="shared" si="2543"/>
        <v>-9.9145299145299126E-2</v>
      </c>
      <c r="EN534" s="84">
        <f>+EN530/EI530-1</f>
        <v>-0.17616785431512272</v>
      </c>
      <c r="EO534" s="75">
        <f t="shared" si="2543"/>
        <v>2.1611001964636278E-2</v>
      </c>
      <c r="EP534" s="75">
        <f t="shared" si="2543"/>
        <v>-5.5970149253731227E-3</v>
      </c>
      <c r="EQ534" s="75">
        <f t="shared" si="2543"/>
        <v>3.3398821218074692E-2</v>
      </c>
      <c r="ER534" s="75">
        <f t="shared" si="2543"/>
        <v>4.3643263757115802E-2</v>
      </c>
      <c r="ES534" s="84">
        <f>+ES530/EN530-1</f>
        <v>2.3065833733781904E-2</v>
      </c>
      <c r="ET534" s="75">
        <f t="shared" ref="ET534:EW534" si="2544">+ET530/EO530-1</f>
        <v>4.6140068624896058E-2</v>
      </c>
      <c r="EU534" s="75">
        <f t="shared" si="2544"/>
        <v>5.1384589224173993E-2</v>
      </c>
      <c r="EV534" s="75">
        <f t="shared" si="2544"/>
        <v>5.7746383986779115E-2</v>
      </c>
      <c r="EW534" s="75">
        <f t="shared" si="2544"/>
        <v>6.3658133847427578E-2</v>
      </c>
      <c r="EX534" s="84">
        <f>+EX530/ES530-1</f>
        <v>5.4846121810503412E-2</v>
      </c>
      <c r="EY534" s="75">
        <f t="shared" ref="EY534" si="2545">+EY530/ET530-1</f>
        <v>6.230390630901006E-2</v>
      </c>
      <c r="EZ534" s="75">
        <f t="shared" ref="EZ534" si="2546">+EZ530/EU530-1</f>
        <v>7.9778486570828644E-2</v>
      </c>
      <c r="FA534" s="75">
        <f t="shared" ref="FA534" si="2547">+FA530/EV530-1</f>
        <v>8.6074355869212527E-2</v>
      </c>
      <c r="FB534" s="75">
        <f t="shared" ref="FB534" si="2548">+FB530/EW530-1</f>
        <v>9.738782238118171E-2</v>
      </c>
      <c r="FC534" s="84">
        <f>+FC530/EX530-1</f>
        <v>8.1692526105828556E-2</v>
      </c>
      <c r="FD534" s="75">
        <f t="shared" ref="FD534" si="2549">+FD530/EY530-1</f>
        <v>8.6523041527310607E-2</v>
      </c>
      <c r="FE534" s="75">
        <f t="shared" ref="FE534" si="2550">+FE530/EZ530-1</f>
        <v>9.6608580436176261E-2</v>
      </c>
      <c r="FF534" s="75">
        <f t="shared" ref="FF534" si="2551">+FF530/FA530-1</f>
        <v>0.10163109051747177</v>
      </c>
      <c r="FG534" s="75">
        <f t="shared" ref="FG534" si="2552">+FG530/FB530-1</f>
        <v>0.10379743935301389</v>
      </c>
      <c r="FH534" s="84">
        <f>+FH530/FC530-1</f>
        <v>9.7358519283549105E-2</v>
      </c>
      <c r="FI534" s="75">
        <f t="shared" ref="FI534:FM534" si="2553">+FI530/FH530-1</f>
        <v>0.10550118429660893</v>
      </c>
      <c r="FJ534" s="75">
        <f t="shared" si="2553"/>
        <v>9.629592514691554E-2</v>
      </c>
      <c r="FK534" s="75">
        <f t="shared" si="2553"/>
        <v>8.6405031801199073E-2</v>
      </c>
      <c r="FL534" s="75">
        <f t="shared" si="2553"/>
        <v>7.531455715172819E-2</v>
      </c>
      <c r="FM534" s="75">
        <f t="shared" si="2553"/>
        <v>6.4873679940046669E-2</v>
      </c>
    </row>
    <row r="535" spans="1:170" x14ac:dyDescent="0.3">
      <c r="A535" s="113" t="s">
        <v>484</v>
      </c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114"/>
      <c r="AJ535" s="114"/>
      <c r="AK535" s="114"/>
      <c r="AL535" s="114"/>
      <c r="AM535" s="114"/>
      <c r="AN535" s="114"/>
      <c r="AO535" s="114"/>
      <c r="AP535" s="114"/>
      <c r="AQ535" s="114"/>
      <c r="AR535" s="114"/>
      <c r="AS535" s="114"/>
      <c r="AT535" s="114"/>
      <c r="AU535" s="114"/>
      <c r="AV535" s="114"/>
      <c r="AW535" s="114"/>
      <c r="AX535" s="114"/>
      <c r="AY535" s="114"/>
      <c r="AZ535" s="114"/>
      <c r="BA535" s="114"/>
      <c r="BB535" s="114"/>
      <c r="BC535" s="114"/>
      <c r="BD535" s="114"/>
      <c r="BE535" s="114"/>
      <c r="BF535" s="114"/>
      <c r="BG535" s="114"/>
      <c r="BH535" s="114"/>
      <c r="BI535" s="114"/>
      <c r="BJ535" s="114"/>
      <c r="BK535" s="114"/>
      <c r="BL535" s="114"/>
      <c r="BM535" s="114"/>
      <c r="BN535" s="114"/>
      <c r="BO535" s="114"/>
      <c r="BP535" s="114"/>
      <c r="BQ535" s="114"/>
      <c r="BR535" s="114"/>
      <c r="BS535" s="114"/>
      <c r="BT535" s="114"/>
      <c r="BU535" s="114"/>
      <c r="BV535" s="114"/>
      <c r="BW535" s="114"/>
      <c r="BX535" s="114"/>
      <c r="BY535" s="114"/>
      <c r="BZ535" s="114"/>
      <c r="CA535" s="114"/>
      <c r="CB535" s="114"/>
      <c r="CC535" s="114"/>
      <c r="CD535" s="114"/>
      <c r="CE535" s="114"/>
      <c r="CF535" s="114"/>
      <c r="CG535" s="114"/>
      <c r="CH535" s="114"/>
      <c r="CI535" s="114"/>
      <c r="CJ535" s="114"/>
      <c r="CK535" s="114"/>
      <c r="CL535" s="114"/>
      <c r="CM535" s="114"/>
      <c r="CN535" s="114"/>
      <c r="CO535" s="114"/>
      <c r="CP535" s="114"/>
      <c r="CQ535" s="114"/>
      <c r="CR535" s="114"/>
      <c r="CS535" s="114"/>
      <c r="CT535" s="114"/>
      <c r="CU535" s="114"/>
      <c r="CV535" s="114"/>
      <c r="CW535" s="114"/>
      <c r="CX535" s="114"/>
      <c r="CY535" s="114"/>
      <c r="CZ535" s="114"/>
      <c r="DA535" s="114"/>
      <c r="DB535" s="114"/>
      <c r="DC535" s="114"/>
      <c r="DD535" s="114"/>
      <c r="DE535" s="114"/>
      <c r="DF535" s="114"/>
      <c r="DG535" s="114"/>
      <c r="DH535" s="114"/>
      <c r="DI535" s="114"/>
      <c r="DJ535" s="114"/>
      <c r="DK535" s="114"/>
      <c r="DL535" s="114"/>
      <c r="DM535" s="114"/>
      <c r="DN535" s="114"/>
      <c r="DO535" s="114"/>
      <c r="DP535" s="114"/>
      <c r="DQ535" s="114"/>
      <c r="DR535" s="114"/>
      <c r="DS535" s="114"/>
      <c r="DT535" s="114"/>
      <c r="DU535" s="114"/>
      <c r="DV535" s="114"/>
      <c r="DW535" s="114"/>
      <c r="DX535" s="114"/>
      <c r="DY535" s="522"/>
      <c r="DZ535" s="115"/>
      <c r="EA535" s="115"/>
      <c r="EB535" s="115"/>
      <c r="EC535" s="115"/>
      <c r="ED535" s="117"/>
      <c r="EE535" s="115">
        <f t="shared" ref="EE535:ER535" si="2554">+(EE530-DZ530)/(EE526-DZ526)</f>
        <v>-4.3859649122807015E-2</v>
      </c>
      <c r="EF535" s="115">
        <f t="shared" si="2554"/>
        <v>0.49635036496350365</v>
      </c>
      <c r="EG535" s="115">
        <f t="shared" si="2554"/>
        <v>0.84105960264900659</v>
      </c>
      <c r="EH535" s="115">
        <f t="shared" si="2554"/>
        <v>0.86274509803921573</v>
      </c>
      <c r="EI535" s="117">
        <f t="shared" si="2554"/>
        <v>0.58018018018018014</v>
      </c>
      <c r="EJ535" s="115">
        <f t="shared" si="2554"/>
        <v>0.86403508771929771</v>
      </c>
      <c r="EK535" s="115">
        <f t="shared" si="2554"/>
        <v>0.70253164556962022</v>
      </c>
      <c r="EL535" s="115">
        <f t="shared" si="2554"/>
        <v>0.59848484848484851</v>
      </c>
      <c r="EM535" s="115">
        <f t="shared" si="2554"/>
        <v>0.54716981132075471</v>
      </c>
      <c r="EN535" s="117">
        <f>+(EN530-EI530)/(EN526-EI526)</f>
        <v>0.71314102564102566</v>
      </c>
      <c r="EO535" s="115">
        <f t="shared" si="2554"/>
        <v>-1.5714285714285552</v>
      </c>
      <c r="EP535" s="115">
        <f t="shared" si="2554"/>
        <v>0.3</v>
      </c>
      <c r="EQ535" s="115">
        <f t="shared" si="2554"/>
        <v>-2.125</v>
      </c>
      <c r="ER535" s="115">
        <f t="shared" si="2554"/>
        <v>-2.0909090909090908</v>
      </c>
      <c r="ES535" s="117">
        <f>+(ES530-EN530)/(ES526-EN526)</f>
        <v>-1.3333333333333333</v>
      </c>
      <c r="ET535" s="115">
        <f t="shared" ref="ET535:EW535" si="2555">+(ET530-EO530)/(ET526-EO526)</f>
        <v>-3.1626859739196655</v>
      </c>
      <c r="EU535" s="115">
        <f t="shared" si="2555"/>
        <v>-8.2352533002778454</v>
      </c>
      <c r="EV535" s="115">
        <f t="shared" si="2555"/>
        <v>6.2103796267073399</v>
      </c>
      <c r="EW535" s="115">
        <f t="shared" si="2555"/>
        <v>3.0871369123315695</v>
      </c>
      <c r="EX535" s="117">
        <f>+(EX530-ES530)/(EX526-ES526)</f>
        <v>21.947673038506057</v>
      </c>
      <c r="EY535" s="115">
        <f t="shared" ref="EY535" si="2556">+(EY530-ET530)/(EY526-ET526)</f>
        <v>2.0940743233060184</v>
      </c>
      <c r="EZ535" s="115">
        <f t="shared" ref="EZ535" si="2557">+(EZ530-EU530)/(EZ526-EU526)</f>
        <v>1.6315145779710418</v>
      </c>
      <c r="FA535" s="115">
        <f t="shared" ref="FA535" si="2558">+(FA530-EV530)/(FA526-EV526)</f>
        <v>1.4101090080948433</v>
      </c>
      <c r="FB535" s="115">
        <f t="shared" ref="FB535" si="2559">+(FB530-EW530)/(FB526-EW526)</f>
        <v>1.3406575634254714</v>
      </c>
      <c r="FC535" s="117">
        <f>+(FC530-EX530)/(FC526-EX526)</f>
        <v>1.5282779661091024</v>
      </c>
      <c r="FD535" s="115">
        <f t="shared" ref="FD535" si="2560">+(FD530-EY530)/(FD526-EY526)</f>
        <v>0.96091310006255037</v>
      </c>
      <c r="FE535" s="115">
        <f t="shared" ref="FE535" si="2561">+(FE530-EZ530)/(FE526-EZ526)</f>
        <v>0.95650102073007104</v>
      </c>
      <c r="FF535" s="115">
        <f t="shared" ref="FF535" si="2562">+(FF530-FA530)/(FF526-FA526)</f>
        <v>0.92726703850433001</v>
      </c>
      <c r="FG535" s="115">
        <f t="shared" ref="FG535" si="2563">+(FG530-FB530)/(FG526-FB526)</f>
        <v>0.93328485477138035</v>
      </c>
      <c r="FH535" s="117">
        <f>+(FH530-FC530)/(FH526-FC526)</f>
        <v>0.94308606113655002</v>
      </c>
      <c r="FI535" s="115">
        <f t="shared" ref="FI535:FM535" si="2564">+(FI530-FH530)/(FI526-FH526)</f>
        <v>0.91170877053943289</v>
      </c>
      <c r="FJ535" s="115">
        <f t="shared" si="2564"/>
        <v>0.8829202177879043</v>
      </c>
      <c r="FK535" s="115">
        <f t="shared" si="2564"/>
        <v>0.87680806957186264</v>
      </c>
      <c r="FL535" s="115">
        <f t="shared" si="2564"/>
        <v>0.87589490007365467</v>
      </c>
      <c r="FM535" s="115">
        <f t="shared" si="2564"/>
        <v>0.87546379397136243</v>
      </c>
    </row>
    <row r="536" spans="1:170" x14ac:dyDescent="0.3">
      <c r="ET536" s="90"/>
      <c r="EU536" s="90"/>
      <c r="EV536" s="90"/>
      <c r="EW536" s="90"/>
      <c r="EY536" s="90"/>
      <c r="EZ536" s="90"/>
      <c r="FA536" s="90"/>
      <c r="FB536" s="90"/>
      <c r="FD536" s="90"/>
      <c r="FE536" s="90"/>
      <c r="FF536" s="90"/>
      <c r="FG536" s="90"/>
    </row>
    <row r="537" spans="1:170" x14ac:dyDescent="0.3">
      <c r="ET537" s="90"/>
      <c r="EU537" s="90"/>
      <c r="EV537" s="90"/>
      <c r="EW537" s="90"/>
      <c r="EY537" s="90"/>
      <c r="EZ537" s="90"/>
      <c r="FA537" s="90"/>
      <c r="FB537" s="90"/>
      <c r="FD537" s="90"/>
      <c r="FE537" s="90"/>
      <c r="FF537" s="90"/>
      <c r="FG537" s="90"/>
    </row>
    <row r="538" spans="1:170" x14ac:dyDescent="0.3">
      <c r="ET538" s="90"/>
      <c r="EU538" s="90"/>
      <c r="EV538" s="90"/>
      <c r="EW538" s="90"/>
      <c r="EY538" s="90"/>
      <c r="EZ538" s="90"/>
      <c r="FA538" s="90"/>
      <c r="FB538" s="90"/>
      <c r="FD538" s="90"/>
      <c r="FE538" s="90"/>
      <c r="FF538" s="90"/>
      <c r="FG538" s="90"/>
    </row>
    <row r="539" spans="1:170" x14ac:dyDescent="0.3">
      <c r="A539" s="105" t="s">
        <v>485</v>
      </c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  <c r="AA539" s="105"/>
      <c r="AB539" s="105"/>
      <c r="AC539" s="105"/>
      <c r="AD539" s="105"/>
      <c r="AE539" s="105"/>
      <c r="AF539" s="105"/>
      <c r="AG539" s="105"/>
      <c r="AH539" s="105"/>
      <c r="AI539" s="105"/>
      <c r="AJ539" s="105"/>
      <c r="AK539" s="105"/>
      <c r="AL539" s="105"/>
      <c r="AM539" s="105"/>
      <c r="AN539" s="105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  <c r="BY539" s="105"/>
      <c r="BZ539" s="105"/>
      <c r="CA539" s="105"/>
      <c r="CB539" s="105"/>
      <c r="CC539" s="105"/>
      <c r="CD539" s="105"/>
      <c r="CE539" s="105"/>
      <c r="CF539" s="105"/>
      <c r="CG539" s="105"/>
      <c r="CH539" s="105"/>
      <c r="CI539" s="105"/>
      <c r="CJ539" s="105"/>
      <c r="CK539" s="105"/>
      <c r="CL539" s="105"/>
      <c r="CM539" s="105"/>
      <c r="CN539" s="105"/>
      <c r="CO539" s="105"/>
      <c r="CP539" s="105"/>
      <c r="CQ539" s="105"/>
      <c r="CR539" s="105"/>
      <c r="CS539" s="105"/>
      <c r="CT539" s="105"/>
      <c r="CU539" s="105"/>
      <c r="CV539" s="105"/>
      <c r="CW539" s="105"/>
      <c r="CX539" s="105"/>
      <c r="CY539" s="105"/>
      <c r="CZ539" s="105"/>
      <c r="DA539" s="105"/>
      <c r="DB539" s="105"/>
      <c r="DC539" s="105"/>
      <c r="DD539" s="105"/>
      <c r="DE539" s="105"/>
      <c r="DF539" s="105"/>
      <c r="DG539" s="105"/>
      <c r="DH539" s="105"/>
      <c r="DI539" s="105"/>
      <c r="DJ539" s="105"/>
      <c r="DK539" s="105"/>
      <c r="DL539" s="105"/>
      <c r="DM539" s="105"/>
      <c r="DN539" s="105"/>
      <c r="DO539" s="105"/>
      <c r="DP539" s="105"/>
      <c r="DQ539" s="105"/>
      <c r="DR539" s="105"/>
      <c r="DS539" s="105"/>
      <c r="DT539" s="105"/>
      <c r="DU539" s="105"/>
      <c r="DV539" s="105"/>
      <c r="DW539" s="105"/>
      <c r="DX539" s="105"/>
      <c r="DY539" s="105"/>
      <c r="DZ539" s="105"/>
      <c r="EA539" s="105"/>
      <c r="EB539" s="105"/>
      <c r="EC539" s="105"/>
      <c r="ED539" s="105"/>
      <c r="EE539" s="105"/>
      <c r="EF539" s="105"/>
      <c r="EG539" s="105"/>
      <c r="EH539" s="105"/>
      <c r="EI539" s="105"/>
      <c r="EJ539" s="105"/>
      <c r="EK539" s="105"/>
      <c r="EL539" s="105"/>
      <c r="EM539" s="105"/>
      <c r="EN539" s="105"/>
      <c r="EO539" s="105"/>
      <c r="EP539" s="105"/>
      <c r="EQ539" s="105"/>
      <c r="ER539" s="105"/>
      <c r="ES539" s="105"/>
      <c r="ET539" s="105"/>
      <c r="EU539" s="105"/>
      <c r="EV539" s="105"/>
      <c r="EW539" s="105"/>
      <c r="EX539" s="105"/>
      <c r="EY539" s="105"/>
      <c r="EZ539" s="105"/>
      <c r="FA539" s="105"/>
      <c r="FB539" s="105"/>
      <c r="FC539" s="105"/>
      <c r="FD539" s="105"/>
      <c r="FE539" s="105"/>
      <c r="FF539" s="105"/>
      <c r="FG539" s="105"/>
      <c r="FH539" s="105"/>
      <c r="FI539" s="105"/>
      <c r="FJ539" s="105"/>
      <c r="FK539" s="105"/>
      <c r="FL539" s="105"/>
      <c r="FM539" s="105"/>
      <c r="FN539" s="105"/>
    </row>
    <row r="540" spans="1:170" x14ac:dyDescent="0.3">
      <c r="A540" s="60" t="s">
        <v>486</v>
      </c>
      <c r="DU540" s="85">
        <f>+DU542*DU543/1000</f>
        <v>0</v>
      </c>
      <c r="DV540" s="85">
        <f>+DV542*DV543/1000</f>
        <v>0</v>
      </c>
      <c r="DW540" s="85">
        <f>+DW542*DW543/1000</f>
        <v>0</v>
      </c>
      <c r="DX540" s="85">
        <f>+DX542*DX543/1000</f>
        <v>0</v>
      </c>
      <c r="DY540" s="85">
        <f>+SUM(DU540:DX540)</f>
        <v>0</v>
      </c>
      <c r="DZ540" s="85">
        <f>+DZ542*DZ543/1000</f>
        <v>7.4249999999999998</v>
      </c>
      <c r="EA540" s="85">
        <f>+EA542*EA543/1000</f>
        <v>6.6</v>
      </c>
      <c r="EB540" s="85">
        <f>+EB542*EB543/1000</f>
        <v>7.4249999999999998</v>
      </c>
      <c r="EC540" s="85">
        <f>+EC542*EC543/1000</f>
        <v>49.5</v>
      </c>
      <c r="ED540" s="85">
        <f>+SUM(DZ540:EC540)</f>
        <v>70.95</v>
      </c>
      <c r="EE540" s="85">
        <f>+EE542*EE543/1000</f>
        <v>57.2</v>
      </c>
      <c r="EF540" s="85">
        <f>+EF542*EF543/1000</f>
        <v>86.35</v>
      </c>
      <c r="EG540" s="85">
        <f t="shared" ref="EG540:FM540" si="2565">+EG542*EG543/1000</f>
        <v>101.75</v>
      </c>
      <c r="EH540" s="85">
        <f t="shared" si="2565"/>
        <v>105.6</v>
      </c>
      <c r="EI540" s="132">
        <f>SUM(EE540:EH540)</f>
        <v>350.9</v>
      </c>
      <c r="EJ540" s="85">
        <f>+EJ542*EJ543/1000</f>
        <v>200.45</v>
      </c>
      <c r="EK540" s="85">
        <f>+EK542*EK543/1000</f>
        <v>266.95</v>
      </c>
      <c r="EL540" s="85">
        <f>+EL542*EL543/1000</f>
        <v>333.45</v>
      </c>
      <c r="EM540" s="85">
        <f>+EM542*EM543/1000</f>
        <v>381</v>
      </c>
      <c r="EN540" s="132">
        <f>SUM(EJ540:EM540)</f>
        <v>1181.8499999999999</v>
      </c>
      <c r="EO540" s="85">
        <f t="shared" ref="EO540:ER540" si="2566">+EO542*EO543/1000</f>
        <v>339</v>
      </c>
      <c r="EP540" s="85">
        <f t="shared" si="2566"/>
        <v>347.6</v>
      </c>
      <c r="EQ540" s="85">
        <f t="shared" si="2566"/>
        <v>365.2</v>
      </c>
      <c r="ER540" s="85">
        <f t="shared" si="2566"/>
        <v>366.3</v>
      </c>
      <c r="ES540" s="132">
        <f>SUM(EO540:ER540)</f>
        <v>1418.1</v>
      </c>
      <c r="ET540" s="85">
        <f t="shared" ref="ET540:EW540" si="2567">+ET542*ET543/1000</f>
        <v>364.42500000000001</v>
      </c>
      <c r="EU540" s="85">
        <f t="shared" si="2567"/>
        <v>339.7</v>
      </c>
      <c r="EV540" s="85">
        <f t="shared" si="2567"/>
        <v>356.9</v>
      </c>
      <c r="EW540" s="85">
        <f t="shared" si="2567"/>
        <v>357.97500000000002</v>
      </c>
      <c r="EX540" s="132">
        <f>SUM(ET540:EW540)</f>
        <v>1419</v>
      </c>
      <c r="EY540" s="85">
        <f t="shared" ref="EY540:FB540" si="2568">+EY542*EY543/1000</f>
        <v>364.42500000000001</v>
      </c>
      <c r="EZ540" s="85">
        <f t="shared" si="2568"/>
        <v>339.7</v>
      </c>
      <c r="FA540" s="85">
        <f t="shared" si="2568"/>
        <v>356.9</v>
      </c>
      <c r="FB540" s="85">
        <f t="shared" si="2568"/>
        <v>357.97500000000002</v>
      </c>
      <c r="FC540" s="132">
        <f>SUM(EY540:FB540)</f>
        <v>1419</v>
      </c>
      <c r="FD540" s="85">
        <f t="shared" si="2565"/>
        <v>364.42500000000001</v>
      </c>
      <c r="FE540" s="85">
        <f t="shared" si="2565"/>
        <v>339.7</v>
      </c>
      <c r="FF540" s="85">
        <f t="shared" si="2565"/>
        <v>230.05</v>
      </c>
      <c r="FG540" s="85">
        <f t="shared" si="2565"/>
        <v>0</v>
      </c>
      <c r="FH540" s="132">
        <f>SUM(FD540:FG540)</f>
        <v>934.17499999999995</v>
      </c>
      <c r="FI540" s="85">
        <f t="shared" si="2565"/>
        <v>100</v>
      </c>
      <c r="FJ540" s="85">
        <f t="shared" si="2565"/>
        <v>101</v>
      </c>
      <c r="FK540" s="85">
        <f t="shared" si="2565"/>
        <v>102.01000000000022</v>
      </c>
      <c r="FL540" s="85">
        <f t="shared" si="2565"/>
        <v>103.03009999999995</v>
      </c>
      <c r="FM540" s="85">
        <f t="shared" si="2565"/>
        <v>104.06040100000064</v>
      </c>
      <c r="FN540" s="189">
        <f>+(FJ540/ES540)^0.2-1</f>
        <v>-0.41044693254317988</v>
      </c>
    </row>
    <row r="541" spans="1:170" x14ac:dyDescent="0.3">
      <c r="A541" s="70" t="s">
        <v>487</v>
      </c>
      <c r="DU541" s="136">
        <f>+DU540/DU$180/3*1000</f>
        <v>0</v>
      </c>
      <c r="DV541" s="136">
        <f>+DV540/DV$180/3*1000</f>
        <v>0</v>
      </c>
      <c r="DW541" s="136">
        <f>+DW540/DW$180/3*1000</f>
        <v>0</v>
      </c>
      <c r="DX541" s="136">
        <f>+DX540/DX$180/3*1000</f>
        <v>0</v>
      </c>
      <c r="DY541" s="137">
        <f>+DY540/DY$180/12*1000</f>
        <v>0</v>
      </c>
      <c r="DZ541" s="136">
        <f>+DZ540/DZ$180/3*1000</f>
        <v>2.045454545454545</v>
      </c>
      <c r="EA541" s="136">
        <f>+EA540/EA$180/3*1000</f>
        <v>1.8047579983593107</v>
      </c>
      <c r="EB541" s="136">
        <f>+EB540/EB$180/3*1000</f>
        <v>2.0187601957585644</v>
      </c>
      <c r="EC541" s="136">
        <f>+EC540/EC$180/3*1000</f>
        <v>13.376570733684638</v>
      </c>
      <c r="ED541" s="137">
        <f>+ED540/ED$180/12*1000</f>
        <v>4.8378848317479806</v>
      </c>
      <c r="EE541" s="136">
        <f>+EE540/EE$180/3*1000</f>
        <v>15.320744609615641</v>
      </c>
      <c r="EF541" s="136">
        <f>+EF540/EF$180/3*1000</f>
        <v>22.898435428268364</v>
      </c>
      <c r="EG541" s="136">
        <f>+EG540/EG$180/3*1000</f>
        <v>26.549249836921071</v>
      </c>
      <c r="EH541" s="136">
        <f>+EH540/EH$180/3*1000</f>
        <v>26.788432267884325</v>
      </c>
      <c r="EI541" s="137">
        <f>+EI540/EI$180/12*1000</f>
        <v>22.96616270698344</v>
      </c>
      <c r="EJ541" s="136">
        <f>+EJ540/EJ$180/3*1000</f>
        <v>49.057758198727356</v>
      </c>
      <c r="EK541" s="136">
        <f>+EK540/EK$180/3*1000</f>
        <v>62.974758197688132</v>
      </c>
      <c r="EL541" s="136">
        <f>+EL540/EL$180/3*1000</f>
        <v>75.612244897959187</v>
      </c>
      <c r="EM541" s="136">
        <f>+EM540/EM$180/3*1000</f>
        <v>82.547936301592458</v>
      </c>
      <c r="EN541" s="137">
        <f>+EN540/EN$180/12*1000</f>
        <v>68.116192616927464</v>
      </c>
      <c r="EO541" s="136">
        <f t="shared" ref="EO541:ER541" si="2569">+EO540/EO$180/3*1000</f>
        <v>69.882498453927028</v>
      </c>
      <c r="EP541" s="136">
        <f t="shared" si="2569"/>
        <v>68.539879720003952</v>
      </c>
      <c r="EQ541" s="136">
        <f t="shared" si="2569"/>
        <v>69.186321871743871</v>
      </c>
      <c r="ER541" s="136">
        <f t="shared" si="2569"/>
        <v>66.448979591836732</v>
      </c>
      <c r="ES541" s="137">
        <f>+ES540/ES$180/12*1000</f>
        <v>68.462596857122165</v>
      </c>
      <c r="ET541" s="136">
        <f t="shared" ref="ET541:EW541" si="2570">+ET540/ET$180/3*1000</f>
        <v>62.954382453052865</v>
      </c>
      <c r="EU541" s="136">
        <f t="shared" si="2570"/>
        <v>56.070366859327287</v>
      </c>
      <c r="EV541" s="136">
        <f t="shared" si="2570"/>
        <v>56.559178338646987</v>
      </c>
      <c r="EW541" s="136">
        <f t="shared" si="2570"/>
        <v>54.30605636166208</v>
      </c>
      <c r="EX541" s="137">
        <f>+EX540/EX$180/12*1000</f>
        <v>57.335221209260574</v>
      </c>
      <c r="EY541" s="136">
        <f t="shared" ref="EY541:FB541" si="2571">+EY540/EY$180/3*1000</f>
        <v>52.644939410116478</v>
      </c>
      <c r="EZ541" s="136">
        <f t="shared" si="2571"/>
        <v>46.895190382195317</v>
      </c>
      <c r="FA541" s="136">
        <f t="shared" si="2571"/>
        <v>47.340201324421386</v>
      </c>
      <c r="FB541" s="136">
        <f t="shared" si="2571"/>
        <v>45.510236751527536</v>
      </c>
      <c r="FC541" s="137">
        <f>+FC540/FC$180/12*1000</f>
        <v>47.98621782657434</v>
      </c>
      <c r="FD541" s="136">
        <f t="shared" ref="FD541:FG541" si="2572">+FD540/FD$180/3*1000</f>
        <v>44.240896166872453</v>
      </c>
      <c r="FE541" s="136">
        <f t="shared" si="2572"/>
        <v>39.563640297986247</v>
      </c>
      <c r="FF541" s="136">
        <f t="shared" si="2572"/>
        <v>25.853224510890822</v>
      </c>
      <c r="FG541" s="136">
        <f t="shared" si="2572"/>
        <v>0</v>
      </c>
      <c r="FH541" s="137">
        <f>+FH540/FH$180/12*1000</f>
        <v>26.723583160238078</v>
      </c>
      <c r="FI541" s="136">
        <f t="shared" ref="FI541:FL541" si="2573">+FI540/FI$180/12*1000</f>
        <v>2.4987695220632</v>
      </c>
      <c r="FJ541" s="136">
        <f t="shared" si="2573"/>
        <v>2.2779785024767767</v>
      </c>
      <c r="FK541" s="136">
        <f t="shared" si="2573"/>
        <v>2.1381427692017811</v>
      </c>
      <c r="FL541" s="136">
        <f t="shared" si="2573"/>
        <v>2.0523786697514712</v>
      </c>
      <c r="FM541" s="136">
        <f>+FM540/FM$180/12*1000</f>
        <v>2.004962930080703</v>
      </c>
    </row>
    <row r="542" spans="1:170" x14ac:dyDescent="0.3">
      <c r="A542" s="70" t="s">
        <v>488</v>
      </c>
      <c r="DU542" s="96">
        <v>0</v>
      </c>
      <c r="DV542" s="77">
        <f>+DV90-DU90</f>
        <v>0</v>
      </c>
      <c r="DW542" s="77">
        <f>+DW90-DV90</f>
        <v>0</v>
      </c>
      <c r="DX542" s="77">
        <f>+DX90-DW90</f>
        <v>0</v>
      </c>
      <c r="DY542" s="86">
        <f>+SUM(DU542:DX542)</f>
        <v>0</v>
      </c>
      <c r="DZ542" s="77">
        <f>+DZ90-DY90</f>
        <v>9</v>
      </c>
      <c r="EA542" s="77">
        <f>+EA90-DZ90</f>
        <v>8</v>
      </c>
      <c r="EB542" s="77">
        <f>+EB90-EA90</f>
        <v>9</v>
      </c>
      <c r="EC542" s="77">
        <f>+EC90-EB90</f>
        <v>60</v>
      </c>
      <c r="ED542" s="86">
        <f>+SUM(DZ542:EC542)</f>
        <v>86</v>
      </c>
      <c r="EE542" s="77">
        <f>+EE90-ED90</f>
        <v>104</v>
      </c>
      <c r="EF542" s="77">
        <f>+EF90-EE90</f>
        <v>157</v>
      </c>
      <c r="EG542" s="77">
        <f>+EG90-EF90</f>
        <v>185</v>
      </c>
      <c r="EH542" s="77">
        <f>+EH90-EG90</f>
        <v>192</v>
      </c>
      <c r="EI542" s="86">
        <f>+SUM(EE542:EH542)</f>
        <v>638</v>
      </c>
      <c r="EJ542" s="77">
        <f>+EJ90-EI90</f>
        <v>211</v>
      </c>
      <c r="EK542" s="77">
        <f>+EK90-EJ90</f>
        <v>281</v>
      </c>
      <c r="EL542" s="77">
        <f>+EL90-EK90</f>
        <v>351</v>
      </c>
      <c r="EM542" s="77">
        <f>+EM90-EL90</f>
        <v>381</v>
      </c>
      <c r="EN542" s="86">
        <f>+SUM(EJ542:EM542)</f>
        <v>1224</v>
      </c>
      <c r="EO542" s="77">
        <f>+EO90-EN90</f>
        <v>339</v>
      </c>
      <c r="EP542" s="77">
        <f>+EP90-EO90</f>
        <v>316</v>
      </c>
      <c r="EQ542" s="77">
        <f>+EQ90-EP90</f>
        <v>332</v>
      </c>
      <c r="ER542" s="77">
        <f>+ER90-EQ90</f>
        <v>333</v>
      </c>
      <c r="ES542" s="86">
        <f>+SUM(EO542:ER542)</f>
        <v>1320</v>
      </c>
      <c r="ET542" s="77">
        <f t="shared" ref="ET542:EW542" si="2574">+ET90-ES90</f>
        <v>339</v>
      </c>
      <c r="EU542" s="77">
        <f t="shared" si="2574"/>
        <v>316</v>
      </c>
      <c r="EV542" s="77">
        <f t="shared" si="2574"/>
        <v>332</v>
      </c>
      <c r="EW542" s="77">
        <f t="shared" si="2574"/>
        <v>333</v>
      </c>
      <c r="EX542" s="86">
        <f>+SUM(ET542:EW542)</f>
        <v>1320</v>
      </c>
      <c r="EY542" s="77">
        <f t="shared" ref="EY542" si="2575">+EY90-EX90</f>
        <v>339</v>
      </c>
      <c r="EZ542" s="77">
        <f t="shared" ref="EZ542" si="2576">+EZ90-EY90</f>
        <v>316</v>
      </c>
      <c r="FA542" s="77">
        <f t="shared" ref="FA542" si="2577">+FA90-EZ90</f>
        <v>332</v>
      </c>
      <c r="FB542" s="77">
        <f t="shared" ref="FB542" si="2578">+FB90-FA90</f>
        <v>333</v>
      </c>
      <c r="FC542" s="86">
        <f>+SUM(EY542:FB542)</f>
        <v>1320</v>
      </c>
      <c r="FD542" s="77">
        <f t="shared" ref="FD542" si="2579">+FD90-FC90</f>
        <v>339</v>
      </c>
      <c r="FE542" s="77">
        <f t="shared" ref="FE542" si="2580">+FE90-FD90</f>
        <v>316</v>
      </c>
      <c r="FF542" s="77">
        <f t="shared" ref="FF542" si="2581">+FF90-FE90</f>
        <v>214</v>
      </c>
      <c r="FG542" s="77">
        <f t="shared" ref="FG542" si="2582">+FG90-FF90</f>
        <v>0</v>
      </c>
      <c r="FH542" s="86">
        <f>+SUM(FD542:FG542)</f>
        <v>869</v>
      </c>
      <c r="FI542" s="77">
        <f t="shared" ref="FI542:FM542" si="2583">+FI90-FH90</f>
        <v>100</v>
      </c>
      <c r="FJ542" s="77">
        <f t="shared" si="2583"/>
        <v>101</v>
      </c>
      <c r="FK542" s="77">
        <f t="shared" si="2583"/>
        <v>102.01000000000022</v>
      </c>
      <c r="FL542" s="77">
        <f t="shared" si="2583"/>
        <v>103.03009999999995</v>
      </c>
      <c r="FM542" s="77">
        <f t="shared" si="2583"/>
        <v>104.06040100000064</v>
      </c>
    </row>
    <row r="543" spans="1:170" x14ac:dyDescent="0.3">
      <c r="A543" s="70" t="s">
        <v>489</v>
      </c>
      <c r="DU543" s="138">
        <v>635</v>
      </c>
      <c r="DV543" s="138">
        <f>+DU543</f>
        <v>635</v>
      </c>
      <c r="DW543" s="138">
        <f>+DV543</f>
        <v>635</v>
      </c>
      <c r="DX543" s="138">
        <f>+DW543</f>
        <v>635</v>
      </c>
      <c r="DY543" s="139">
        <f>+IFERROR(DY540/DY542*1000,DX543)</f>
        <v>635</v>
      </c>
      <c r="DZ543" s="138">
        <v>825</v>
      </c>
      <c r="EA543" s="138">
        <f>+DZ543</f>
        <v>825</v>
      </c>
      <c r="EB543" s="138">
        <f>+EA543</f>
        <v>825</v>
      </c>
      <c r="EC543" s="138">
        <f>+EB543</f>
        <v>825</v>
      </c>
      <c r="ED543" s="139">
        <f>+ED540/ED542*1000</f>
        <v>825.00000000000011</v>
      </c>
      <c r="EE543" s="138">
        <v>550</v>
      </c>
      <c r="EF543" s="138">
        <f>+EE543</f>
        <v>550</v>
      </c>
      <c r="EG543" s="138">
        <f>+EF543</f>
        <v>550</v>
      </c>
      <c r="EH543" s="138">
        <f>+EG543</f>
        <v>550</v>
      </c>
      <c r="EI543" s="139">
        <f>+EI540/EI542*1000</f>
        <v>549.99999999999989</v>
      </c>
      <c r="EJ543" s="138">
        <v>950</v>
      </c>
      <c r="EK543" s="138">
        <v>950</v>
      </c>
      <c r="EL543" s="138">
        <v>950</v>
      </c>
      <c r="EM543" s="138">
        <v>1000</v>
      </c>
      <c r="EN543" s="139">
        <f>+EN540/EN542*1000</f>
        <v>965.56372549019602</v>
      </c>
      <c r="EO543" s="138">
        <v>1000</v>
      </c>
      <c r="EP543" s="138">
        <v>1100</v>
      </c>
      <c r="EQ543" s="138">
        <v>1100</v>
      </c>
      <c r="ER543" s="138">
        <v>1100</v>
      </c>
      <c r="ES543" s="139">
        <f>+ES540/ES542*1000</f>
        <v>1074.3181818181818</v>
      </c>
      <c r="ET543" s="138">
        <v>1075</v>
      </c>
      <c r="EU543" s="138">
        <v>1075</v>
      </c>
      <c r="EV543" s="138">
        <v>1075</v>
      </c>
      <c r="EW543" s="138">
        <v>1075</v>
      </c>
      <c r="EX543" s="139">
        <f>+EX540/EX542*1000</f>
        <v>1075</v>
      </c>
      <c r="EY543" s="138">
        <v>1075</v>
      </c>
      <c r="EZ543" s="138">
        <v>1075</v>
      </c>
      <c r="FA543" s="138">
        <v>1075</v>
      </c>
      <c r="FB543" s="138">
        <v>1075</v>
      </c>
      <c r="FC543" s="139">
        <f>+FC540/FC542*1000</f>
        <v>1075</v>
      </c>
      <c r="FD543" s="138">
        <v>1075</v>
      </c>
      <c r="FE543" s="138">
        <v>1075</v>
      </c>
      <c r="FF543" s="138">
        <v>1075</v>
      </c>
      <c r="FG543" s="138">
        <v>1075</v>
      </c>
      <c r="FH543" s="139">
        <f>+FH540/FH542*1000</f>
        <v>1075</v>
      </c>
      <c r="FI543" s="138">
        <v>1000</v>
      </c>
      <c r="FJ543" s="138">
        <f t="shared" ref="FJ543:FM543" si="2584">FI543</f>
        <v>1000</v>
      </c>
      <c r="FK543" s="138">
        <f t="shared" si="2584"/>
        <v>1000</v>
      </c>
      <c r="FL543" s="138">
        <f t="shared" si="2584"/>
        <v>1000</v>
      </c>
      <c r="FM543" s="138">
        <f t="shared" si="2584"/>
        <v>1000</v>
      </c>
    </row>
    <row r="544" spans="1:170" x14ac:dyDescent="0.3">
      <c r="A544" s="70" t="s">
        <v>490</v>
      </c>
      <c r="DU544" s="138"/>
      <c r="DV544" s="138"/>
      <c r="DW544" s="138"/>
      <c r="DX544" s="138"/>
      <c r="DY544" s="139"/>
      <c r="DZ544" s="77">
        <f>+SUM($DY542:DZ542)</f>
        <v>9</v>
      </c>
      <c r="EA544" s="77">
        <f>+DZ544+EA542</f>
        <v>17</v>
      </c>
      <c r="EB544" s="77">
        <f>+EA544+EB542</f>
        <v>26</v>
      </c>
      <c r="EC544" s="77">
        <f t="shared" ref="EC544:FM544" si="2585">+EB544+EC542</f>
        <v>86</v>
      </c>
      <c r="ED544" s="86">
        <f>+EC544</f>
        <v>86</v>
      </c>
      <c r="EE544" s="77">
        <f t="shared" si="2585"/>
        <v>190</v>
      </c>
      <c r="EF544" s="77">
        <f t="shared" si="2585"/>
        <v>347</v>
      </c>
      <c r="EG544" s="77">
        <f t="shared" si="2585"/>
        <v>532</v>
      </c>
      <c r="EH544" s="77">
        <f t="shared" si="2585"/>
        <v>724</v>
      </c>
      <c r="EI544" s="86">
        <f>+EH544</f>
        <v>724</v>
      </c>
      <c r="EJ544" s="77">
        <f>+EI544+EJ542</f>
        <v>935</v>
      </c>
      <c r="EK544" s="77">
        <f>+EJ544+EK542</f>
        <v>1216</v>
      </c>
      <c r="EL544" s="77">
        <f>+EK544+EL542</f>
        <v>1567</v>
      </c>
      <c r="EM544" s="77">
        <f>+EL544+EM542</f>
        <v>1948</v>
      </c>
      <c r="EN544" s="86">
        <f>+EM544</f>
        <v>1948</v>
      </c>
      <c r="EO544" s="77">
        <f t="shared" ref="EO544:ER544" si="2586">+EN544+EO542</f>
        <v>2287</v>
      </c>
      <c r="EP544" s="77">
        <f t="shared" si="2586"/>
        <v>2603</v>
      </c>
      <c r="EQ544" s="77">
        <f t="shared" si="2586"/>
        <v>2935</v>
      </c>
      <c r="ER544" s="77">
        <f t="shared" si="2586"/>
        <v>3268</v>
      </c>
      <c r="ES544" s="86">
        <f>+ER544</f>
        <v>3268</v>
      </c>
      <c r="ET544" s="77">
        <f t="shared" ref="ET544:EW544" si="2587">+ES544+ET542</f>
        <v>3607</v>
      </c>
      <c r="EU544" s="77">
        <f t="shared" si="2587"/>
        <v>3923</v>
      </c>
      <c r="EV544" s="77">
        <f t="shared" si="2587"/>
        <v>4255</v>
      </c>
      <c r="EW544" s="77">
        <f t="shared" si="2587"/>
        <v>4588</v>
      </c>
      <c r="EX544" s="86">
        <f>+EW544</f>
        <v>4588</v>
      </c>
      <c r="EY544" s="77">
        <f t="shared" ref="EY544" si="2588">+EX544+EY542</f>
        <v>4927</v>
      </c>
      <c r="EZ544" s="77">
        <f t="shared" ref="EZ544" si="2589">+EY544+EZ542</f>
        <v>5243</v>
      </c>
      <c r="FA544" s="77">
        <f t="shared" ref="FA544" si="2590">+EZ544+FA542</f>
        <v>5575</v>
      </c>
      <c r="FB544" s="77">
        <f t="shared" ref="FB544" si="2591">+FA544+FB542</f>
        <v>5908</v>
      </c>
      <c r="FC544" s="86">
        <f>+FB544</f>
        <v>5908</v>
      </c>
      <c r="FD544" s="77">
        <f t="shared" ref="FD544" si="2592">+FC544+FD542</f>
        <v>6247</v>
      </c>
      <c r="FE544" s="77">
        <f t="shared" ref="FE544" si="2593">+FD544+FE542</f>
        <v>6563</v>
      </c>
      <c r="FF544" s="77">
        <f t="shared" ref="FF544" si="2594">+FE544+FF542</f>
        <v>6777</v>
      </c>
      <c r="FG544" s="77">
        <f t="shared" ref="FG544" si="2595">+FF544+FG542</f>
        <v>6777</v>
      </c>
      <c r="FH544" s="86">
        <f>+FG544</f>
        <v>6777</v>
      </c>
      <c r="FI544" s="77">
        <f t="shared" si="2585"/>
        <v>6877</v>
      </c>
      <c r="FJ544" s="77">
        <f t="shared" si="2585"/>
        <v>6978</v>
      </c>
      <c r="FK544" s="77">
        <f t="shared" si="2585"/>
        <v>7080.01</v>
      </c>
      <c r="FL544" s="77">
        <f t="shared" si="2585"/>
        <v>7183.0401000000002</v>
      </c>
      <c r="FM544" s="77">
        <f t="shared" si="2585"/>
        <v>7287.1005010000008</v>
      </c>
    </row>
    <row r="545" spans="1:170" x14ac:dyDescent="0.3">
      <c r="A545" s="70" t="s">
        <v>491</v>
      </c>
      <c r="DU545" s="75"/>
      <c r="DV545" s="75"/>
      <c r="DW545" s="75"/>
      <c r="DX545" s="75"/>
      <c r="DY545" s="84"/>
      <c r="DZ545" s="75">
        <f t="shared" ref="DZ545:FM545" si="2596">+DZ540/DZ206</f>
        <v>1.0255524861878453E-2</v>
      </c>
      <c r="EA545" s="75">
        <f t="shared" si="2596"/>
        <v>9.2957746478873234E-3</v>
      </c>
      <c r="EB545" s="75">
        <f t="shared" si="2596"/>
        <v>1.0776487663280116E-2</v>
      </c>
      <c r="EC545" s="75">
        <f t="shared" si="2596"/>
        <v>7.1739130434782611E-2</v>
      </c>
      <c r="ED545" s="84">
        <f t="shared" si="2596"/>
        <v>2.5222182723071456E-2</v>
      </c>
      <c r="EE545" s="75">
        <f t="shared" si="2596"/>
        <v>8.4365781710914453E-2</v>
      </c>
      <c r="EF545" s="75">
        <f t="shared" si="2596"/>
        <v>0.12698529411764706</v>
      </c>
      <c r="EG545" s="75">
        <f t="shared" si="2596"/>
        <v>0.14875730994152048</v>
      </c>
      <c r="EH545" s="75">
        <f t="shared" si="2596"/>
        <v>0.15644444444444444</v>
      </c>
      <c r="EI545" s="84">
        <f t="shared" si="2596"/>
        <v>0.12914979757085018</v>
      </c>
      <c r="EJ545" s="75">
        <f t="shared" si="2596"/>
        <v>0.29828869047619044</v>
      </c>
      <c r="EK545" s="75">
        <f t="shared" si="2596"/>
        <v>0.38970802919708025</v>
      </c>
      <c r="EL545" s="75">
        <f t="shared" si="2596"/>
        <v>0.48256150506512302</v>
      </c>
      <c r="EM545" s="75">
        <f t="shared" si="2596"/>
        <v>0.52843273231622745</v>
      </c>
      <c r="EN545" s="84">
        <f t="shared" si="2596"/>
        <v>0.42681473456121338</v>
      </c>
      <c r="EO545" s="75">
        <f t="shared" si="2596"/>
        <v>0.46502057613168724</v>
      </c>
      <c r="EP545" s="75">
        <f t="shared" si="2596"/>
        <v>0.4659517426273459</v>
      </c>
      <c r="EQ545" s="75">
        <f t="shared" si="2596"/>
        <v>0.48052631578947369</v>
      </c>
      <c r="ER545" s="75">
        <f t="shared" si="2596"/>
        <v>0.48070866141732282</v>
      </c>
      <c r="ES545" s="84">
        <f t="shared" si="2596"/>
        <v>0.47317317317317314</v>
      </c>
      <c r="ET545" s="75">
        <f t="shared" si="2596"/>
        <v>0.46131202617547223</v>
      </c>
      <c r="EU545" s="75">
        <f t="shared" si="2596"/>
        <v>0.41589631888179979</v>
      </c>
      <c r="EV545" s="75">
        <f t="shared" si="2596"/>
        <v>0.42770569372234274</v>
      </c>
      <c r="EW545" s="75">
        <f t="shared" si="2596"/>
        <v>0.42470276804943219</v>
      </c>
      <c r="EX545" s="84">
        <f t="shared" si="2596"/>
        <v>0.43208170623267556</v>
      </c>
      <c r="EY545" s="75">
        <f t="shared" ref="EY545:FC545" si="2597">+EY540/EY206</f>
        <v>0.41715524534558041</v>
      </c>
      <c r="EZ545" s="75">
        <f t="shared" si="2597"/>
        <v>0.3732635827101729</v>
      </c>
      <c r="FA545" s="75">
        <f t="shared" si="2597"/>
        <v>0.38275947339442112</v>
      </c>
      <c r="FB545" s="75">
        <f t="shared" si="2597"/>
        <v>0.37817737267356488</v>
      </c>
      <c r="FC545" s="84">
        <f t="shared" si="2597"/>
        <v>0.38741960584770796</v>
      </c>
      <c r="FD545" s="75">
        <f t="shared" si="2596"/>
        <v>0.3715776402700251</v>
      </c>
      <c r="FE545" s="75">
        <f t="shared" si="2596"/>
        <v>0.33134323388140424</v>
      </c>
      <c r="FF545" s="75">
        <f t="shared" si="2596"/>
        <v>0.21882615197782881</v>
      </c>
      <c r="FG545" s="75">
        <f t="shared" si="2596"/>
        <v>0</v>
      </c>
      <c r="FH545" s="84">
        <f t="shared" ref="FH545" si="2598">+FH540/FH206</f>
        <v>0.22644122805059186</v>
      </c>
      <c r="FI545" s="75">
        <f t="shared" si="2596"/>
        <v>2.1702110272184147E-2</v>
      </c>
      <c r="FJ545" s="75">
        <f t="shared" si="2596"/>
        <v>1.9919387109403438E-2</v>
      </c>
      <c r="FK545" s="75">
        <f t="shared" si="2596"/>
        <v>1.8565297276118626E-2</v>
      </c>
      <c r="FL545" s="75">
        <f t="shared" si="2596"/>
        <v>1.752678151164936E-2</v>
      </c>
      <c r="FM545" s="75">
        <f t="shared" si="2596"/>
        <v>1.6722966540127483E-2</v>
      </c>
    </row>
    <row r="546" spans="1:170" x14ac:dyDescent="0.3">
      <c r="A546" s="55"/>
      <c r="EO546"/>
      <c r="EP546"/>
      <c r="EQ546"/>
      <c r="ER546"/>
    </row>
    <row r="547" spans="1:170" x14ac:dyDescent="0.3">
      <c r="A547" s="60" t="s">
        <v>492</v>
      </c>
      <c r="EE547" s="1161">
        <f>-Inputs!EE295</f>
        <v>71</v>
      </c>
      <c r="EF547" s="1161">
        <f>-Inputs!EF295</f>
        <v>99</v>
      </c>
      <c r="EG547" s="1161">
        <f>-Inputs!EG295</f>
        <v>128</v>
      </c>
      <c r="EH547" s="1161">
        <f>-Inputs!EH295</f>
        <v>161</v>
      </c>
      <c r="EI547" s="900">
        <f>SUM(EE547:EH547)</f>
        <v>459</v>
      </c>
      <c r="EJ547" s="1161">
        <f>-Inputs!EJ295</f>
        <v>233</v>
      </c>
      <c r="EK547" s="1161">
        <f>-Inputs!EK295</f>
        <v>325</v>
      </c>
      <c r="EL547" s="1161">
        <f>-Inputs!EL295</f>
        <v>442</v>
      </c>
      <c r="EM547" s="1161">
        <f>-Inputs!EM295</f>
        <v>517</v>
      </c>
      <c r="EN547" s="900">
        <f>SUM(EJ547:EM547)</f>
        <v>1517</v>
      </c>
      <c r="EO547" s="1161">
        <f>-Inputs!EO295</f>
        <v>523</v>
      </c>
      <c r="EP547" s="1161">
        <f>-Inputs!EP295</f>
        <v>419</v>
      </c>
      <c r="EQ547" s="1161">
        <f>-Inputs!EQ295</f>
        <v>143</v>
      </c>
      <c r="ER547" s="1161">
        <f>-Inputs!ER295</f>
        <v>159</v>
      </c>
      <c r="ES547" s="900">
        <f>SUM(EO547:ER547)</f>
        <v>1244</v>
      </c>
      <c r="ET547" s="76">
        <f>ET540+ET549</f>
        <v>464.42500000000001</v>
      </c>
      <c r="EU547" s="76">
        <f>EU540+EU549</f>
        <v>339.7</v>
      </c>
      <c r="EV547" s="76">
        <f>EV540+EV549</f>
        <v>281.89999999999998</v>
      </c>
      <c r="EW547" s="76">
        <f>EW540+EW549</f>
        <v>300.33359789113695</v>
      </c>
      <c r="EX547" s="900">
        <f>SUM(ET547:EW547)</f>
        <v>1386.3585978911369</v>
      </c>
      <c r="EY547" s="76">
        <f>EY540+EY549</f>
        <v>314.42500000000001</v>
      </c>
      <c r="EZ547" s="76">
        <f>EZ540+EZ549</f>
        <v>289.7</v>
      </c>
      <c r="FA547" s="76">
        <f>FA540+FA549</f>
        <v>306.89999999999998</v>
      </c>
      <c r="FB547" s="76">
        <f>FB540+FB549</f>
        <v>287.79855579160085</v>
      </c>
      <c r="FC547" s="900">
        <f>SUM(EY547:FB547)</f>
        <v>1198.8235557916009</v>
      </c>
      <c r="FD547" s="76">
        <f>FD540+FD549</f>
        <v>344.42500000000001</v>
      </c>
      <c r="FE547" s="76">
        <f>FE540+FE549</f>
        <v>319.7</v>
      </c>
      <c r="FF547" s="76">
        <f>FF540+FF549</f>
        <v>131.92784631726221</v>
      </c>
      <c r="FG547" s="76">
        <f>FG540+FG549</f>
        <v>0</v>
      </c>
      <c r="FH547" s="900">
        <f>SUM(FD547:FG547)</f>
        <v>796.05284631726227</v>
      </c>
      <c r="FI547" s="76">
        <f>FI540+FI549</f>
        <v>100</v>
      </c>
      <c r="FJ547" s="76">
        <f>FJ540+FJ549</f>
        <v>101</v>
      </c>
      <c r="FK547" s="76">
        <f>FK540+FK549</f>
        <v>102.01000000000022</v>
      </c>
      <c r="FL547" s="76">
        <f>FL540+FL549</f>
        <v>103.03009999999995</v>
      </c>
      <c r="FM547" s="76">
        <f>FM540+FM549</f>
        <v>104.06040100000064</v>
      </c>
    </row>
    <row r="548" spans="1:170" s="94" customFormat="1" x14ac:dyDescent="0.3">
      <c r="A548" s="70" t="s">
        <v>489</v>
      </c>
      <c r="DY548" s="141"/>
      <c r="ED548" s="141"/>
      <c r="EE548" s="1252">
        <f t="shared" ref="EE548:FM548" si="2599">EE547/EE542*1000</f>
        <v>682.69230769230774</v>
      </c>
      <c r="EF548" s="1252">
        <f t="shared" si="2599"/>
        <v>630.57324840764329</v>
      </c>
      <c r="EG548" s="1252">
        <f t="shared" si="2599"/>
        <v>691.89189189189187</v>
      </c>
      <c r="EH548" s="1252">
        <f t="shared" si="2599"/>
        <v>838.54166666666663</v>
      </c>
      <c r="EI548" s="1403">
        <f t="shared" si="2599"/>
        <v>719.43573667711598</v>
      </c>
      <c r="EJ548" s="1252">
        <f t="shared" si="2599"/>
        <v>1104.2654028436018</v>
      </c>
      <c r="EK548" s="1252">
        <f t="shared" si="2599"/>
        <v>1156.5836298932384</v>
      </c>
      <c r="EL548" s="1252">
        <f t="shared" si="2599"/>
        <v>1259.2592592592594</v>
      </c>
      <c r="EM548" s="1252">
        <f t="shared" si="2599"/>
        <v>1356.9553805774278</v>
      </c>
      <c r="EN548" s="1403">
        <f t="shared" si="2599"/>
        <v>1239.3790849673203</v>
      </c>
      <c r="EO548" s="1252">
        <f t="shared" si="2599"/>
        <v>1542.7728613569323</v>
      </c>
      <c r="EP548" s="1252">
        <f t="shared" si="2599"/>
        <v>1325.9493670886075</v>
      </c>
      <c r="EQ548" s="1252">
        <f t="shared" si="2599"/>
        <v>430.7228915662651</v>
      </c>
      <c r="ER548" s="1252">
        <f t="shared" si="2599"/>
        <v>477.47747747747746</v>
      </c>
      <c r="ES548" s="1403">
        <f t="shared" si="2599"/>
        <v>942.42424242424238</v>
      </c>
      <c r="ET548" s="1252">
        <f t="shared" si="2599"/>
        <v>1369.9852507374633</v>
      </c>
      <c r="EU548" s="1252">
        <f t="shared" si="2599"/>
        <v>1075</v>
      </c>
      <c r="EV548" s="1252">
        <f t="shared" si="2599"/>
        <v>849.0963855421686</v>
      </c>
      <c r="EW548" s="1252">
        <f t="shared" si="2599"/>
        <v>901.90269636978064</v>
      </c>
      <c r="EX548" s="1403">
        <f t="shared" si="2599"/>
        <v>1050.2716650690431</v>
      </c>
      <c r="EY548" s="1252">
        <f t="shared" si="2599"/>
        <v>927.50737463126848</v>
      </c>
      <c r="EZ548" s="1252">
        <f t="shared" si="2599"/>
        <v>916.77215189873414</v>
      </c>
      <c r="FA548" s="1252">
        <f t="shared" si="2599"/>
        <v>924.39759036144574</v>
      </c>
      <c r="FB548" s="1252">
        <f t="shared" si="2599"/>
        <v>864.25992730210464</v>
      </c>
      <c r="FC548" s="1403">
        <f t="shared" si="2599"/>
        <v>908.1996634784856</v>
      </c>
      <c r="FD548" s="1252">
        <f t="shared" si="2599"/>
        <v>1016.0029498525074</v>
      </c>
      <c r="FE548" s="1252">
        <f t="shared" si="2599"/>
        <v>1011.7088607594937</v>
      </c>
      <c r="FF548" s="1252">
        <f t="shared" si="2599"/>
        <v>616.48526316477671</v>
      </c>
      <c r="FG548" s="1252" t="e">
        <f t="shared" si="2599"/>
        <v>#DIV/0!</v>
      </c>
      <c r="FH548" s="1403">
        <f t="shared" si="2599"/>
        <v>916.05620980122239</v>
      </c>
      <c r="FI548" s="1252">
        <f t="shared" si="2599"/>
        <v>1000</v>
      </c>
      <c r="FJ548" s="1252">
        <f t="shared" si="2599"/>
        <v>1000</v>
      </c>
      <c r="FK548" s="1252">
        <f t="shared" si="2599"/>
        <v>1000</v>
      </c>
      <c r="FL548" s="1252">
        <f t="shared" si="2599"/>
        <v>1000</v>
      </c>
      <c r="FM548" s="1252">
        <f t="shared" si="2599"/>
        <v>1000</v>
      </c>
    </row>
    <row r="549" spans="1:170" s="94" customFormat="1" x14ac:dyDescent="0.3">
      <c r="A549" s="70" t="s">
        <v>493</v>
      </c>
      <c r="EE549" s="943">
        <f>EE547-EE540</f>
        <v>13.799999999999997</v>
      </c>
      <c r="EF549" s="943">
        <f>EF547-EF540</f>
        <v>12.650000000000006</v>
      </c>
      <c r="EG549" s="943">
        <f>EG547-EG540</f>
        <v>26.25</v>
      </c>
      <c r="EH549" s="943">
        <f>EH547-EH540</f>
        <v>55.400000000000006</v>
      </c>
      <c r="EI549" s="944">
        <f>SUM(EE549:EH549)</f>
        <v>108.10000000000001</v>
      </c>
      <c r="EJ549" s="943">
        <f>EJ547-EJ540</f>
        <v>32.550000000000011</v>
      </c>
      <c r="EK549" s="943">
        <f>EK547-EK540</f>
        <v>58.050000000000011</v>
      </c>
      <c r="EL549" s="943">
        <f>EL547-EL540</f>
        <v>108.55000000000001</v>
      </c>
      <c r="EM549" s="943">
        <f>EM547-EM540</f>
        <v>136</v>
      </c>
      <c r="EN549" s="944">
        <f>SUM(EJ549:EM549)</f>
        <v>335.15000000000003</v>
      </c>
      <c r="EO549" s="943">
        <f>EO547-EO540</f>
        <v>184</v>
      </c>
      <c r="EP549" s="943">
        <f>EP547-EP540</f>
        <v>71.399999999999977</v>
      </c>
      <c r="EQ549" s="943">
        <f>EQ547-EQ540</f>
        <v>-222.2</v>
      </c>
      <c r="ER549" s="943">
        <f>ER547-ER540</f>
        <v>-207.3</v>
      </c>
      <c r="ES549" s="944">
        <f>SUM(EO549:ER549)</f>
        <v>-174.10000000000002</v>
      </c>
      <c r="ET549" s="96">
        <v>100</v>
      </c>
      <c r="EU549" s="96">
        <v>0</v>
      </c>
      <c r="EV549" s="96">
        <v>-75</v>
      </c>
      <c r="EW549" s="133">
        <f>EX549-SUM(ET549:EV549)</f>
        <v>-57.641402108863076</v>
      </c>
      <c r="EX549" s="1489">
        <f>-Analysis!B1814+Analysis!B1815</f>
        <v>-32.641402108863076</v>
      </c>
      <c r="EY549" s="96">
        <v>-50</v>
      </c>
      <c r="EZ549" s="96">
        <v>-50</v>
      </c>
      <c r="FA549" s="96">
        <v>-50</v>
      </c>
      <c r="FB549" s="133">
        <f>FC549-SUM(EY549:FA549)</f>
        <v>-70.176444208399175</v>
      </c>
      <c r="FC549" s="1489">
        <f>-Analysis!C1814+Analysis!C1815</f>
        <v>-220.17644420839918</v>
      </c>
      <c r="FD549" s="96">
        <v>-20</v>
      </c>
      <c r="FE549" s="96">
        <v>-20</v>
      </c>
      <c r="FF549" s="133">
        <f>FH549-FD549-FE549</f>
        <v>-98.122153682737803</v>
      </c>
      <c r="FG549" s="96">
        <v>0</v>
      </c>
      <c r="FH549" s="1489">
        <f>-Analysis!D1814+Analysis!D1815</f>
        <v>-138.1221536827378</v>
      </c>
      <c r="FI549" s="96">
        <v>0</v>
      </c>
      <c r="FJ549" s="96">
        <v>0</v>
      </c>
      <c r="FK549" s="96">
        <v>0</v>
      </c>
      <c r="FL549" s="96">
        <v>0</v>
      </c>
      <c r="FM549" s="96">
        <v>0</v>
      </c>
    </row>
    <row r="550" spans="1:170" x14ac:dyDescent="0.3">
      <c r="A550" s="55"/>
      <c r="EO550"/>
      <c r="EP550"/>
      <c r="EQ550"/>
      <c r="ER550"/>
    </row>
    <row r="551" spans="1:170" x14ac:dyDescent="0.3">
      <c r="A551" s="60" t="s">
        <v>494</v>
      </c>
      <c r="EO551" s="900">
        <f>EO552*EO553/1000</f>
        <v>25.712918197640697</v>
      </c>
      <c r="EP551" s="900">
        <f t="shared" ref="EP551:ER551" si="2600">EP552*EP553/1000</f>
        <v>24.05863734664247</v>
      </c>
      <c r="EQ551" s="900">
        <f t="shared" si="2600"/>
        <v>26.768179649845521</v>
      </c>
      <c r="ER551" s="900">
        <f t="shared" si="2600"/>
        <v>25.509112439103607</v>
      </c>
      <c r="ES551" s="916">
        <f>SUM(EO551:ER551)</f>
        <v>102.0488476332323</v>
      </c>
      <c r="ET551" s="900">
        <f>ET552*ET553/1000</f>
        <v>29.700164555025967</v>
      </c>
      <c r="EU551" s="900">
        <f t="shared" ref="EU551:EW551" si="2601">EU552*EU553/1000</f>
        <v>28.004035125474353</v>
      </c>
      <c r="EV551" s="900">
        <f t="shared" si="2601"/>
        <v>31.506632676726333</v>
      </c>
      <c r="EW551" s="900">
        <f t="shared" si="2601"/>
        <v>30.060126705540384</v>
      </c>
      <c r="EX551" s="916">
        <f>SUM(ET551:EW551)</f>
        <v>119.27095906276703</v>
      </c>
      <c r="EY551" s="900">
        <f>EY552*EY553/1000</f>
        <v>26.52027619085418</v>
      </c>
      <c r="EZ551" s="900">
        <f t="shared" ref="EZ551" si="2602">EZ552*EZ553/1000</f>
        <v>25.026233279498907</v>
      </c>
      <c r="FA551" s="900">
        <f t="shared" ref="FA551" si="2603">FA552*FA553/1000</f>
        <v>28.146881562805444</v>
      </c>
      <c r="FB551" s="900">
        <f t="shared" ref="FB551" si="2604">FB552*FB553/1000</f>
        <v>26.833623050261988</v>
      </c>
      <c r="FC551" s="916">
        <f>SUM(EY551:FB551)</f>
        <v>106.52701408342053</v>
      </c>
      <c r="FD551" s="900">
        <f>FD552*FD553/1000</f>
        <v>20.492671891452929</v>
      </c>
      <c r="FE551" s="900">
        <f t="shared" ref="FE551" si="2605">FE552*FE553/1000</f>
        <v>19.267464455971979</v>
      </c>
      <c r="FF551" s="900">
        <f t="shared" ref="FF551" si="2606">FF552*FF553/1000</f>
        <v>21.461405736435424</v>
      </c>
      <c r="FG551" s="900">
        <f t="shared" ref="FG551" si="2607">FG552*FG553/1000</f>
        <v>20.158039731115473</v>
      </c>
      <c r="FH551" s="916">
        <f>SUM(FD551:FG551)</f>
        <v>81.379581814975808</v>
      </c>
      <c r="FI551" s="900">
        <f t="shared" ref="FI551" si="2608">FI552*FI553/1000</f>
        <v>84.818864832488657</v>
      </c>
      <c r="FJ551" s="900">
        <f t="shared" ref="FJ551" si="2609">FJ552*FJ553/1000</f>
        <v>93.253853223442789</v>
      </c>
      <c r="FK551" s="900">
        <f t="shared" ref="FK551" si="2610">FK552*FK553/1000</f>
        <v>98.123582780309249</v>
      </c>
      <c r="FL551" s="900">
        <f t="shared" ref="FL551" si="2611">FL552*FL553/1000</f>
        <v>99.60350385014587</v>
      </c>
      <c r="FM551" s="900">
        <f t="shared" ref="FM551" si="2612">FM552*FM553/1000</f>
        <v>98.609955562150816</v>
      </c>
    </row>
    <row r="552" spans="1:170" x14ac:dyDescent="0.3">
      <c r="A552" s="70" t="s">
        <v>495</v>
      </c>
      <c r="EO552" s="76">
        <f>EO113*EN120</f>
        <v>42.854863662734495</v>
      </c>
      <c r="EP552" s="76">
        <f t="shared" ref="EP552:ER552" si="2613">EP113*EO120</f>
        <v>40.097728911070782</v>
      </c>
      <c r="EQ552" s="76">
        <f t="shared" si="2613"/>
        <v>44.613632749742536</v>
      </c>
      <c r="ER552" s="76">
        <f t="shared" si="2613"/>
        <v>42.515187398506008</v>
      </c>
      <c r="ES552" s="76">
        <f>SUM(EO552:ER552)</f>
        <v>170.08141272205381</v>
      </c>
      <c r="ET552" s="76">
        <f>ET113*ES120</f>
        <v>49.500274258376614</v>
      </c>
      <c r="EU552" s="76">
        <f t="shared" ref="EU552:EW552" si="2614">EU113*ET120</f>
        <v>46.673391875790585</v>
      </c>
      <c r="EV552" s="76">
        <f t="shared" si="2614"/>
        <v>52.511054461210556</v>
      </c>
      <c r="EW552" s="76">
        <f t="shared" si="2614"/>
        <v>50.10021117590064</v>
      </c>
      <c r="EX552" s="76">
        <f>SUM(ET552:EW552)</f>
        <v>198.78493177127842</v>
      </c>
      <c r="EY552" s="76">
        <f>EY113*EX120</f>
        <v>58.933947090787065</v>
      </c>
      <c r="EZ552" s="76">
        <f t="shared" ref="EZ552:FB552" si="2615">EZ113*EY120</f>
        <v>55.6138517322198</v>
      </c>
      <c r="FA552" s="76">
        <f t="shared" si="2615"/>
        <v>62.548625695123206</v>
      </c>
      <c r="FB552" s="76">
        <f t="shared" si="2615"/>
        <v>59.630273445026639</v>
      </c>
      <c r="FC552" s="76">
        <f>SUM(EY552:FB552)</f>
        <v>236.72669796315671</v>
      </c>
      <c r="FD552" s="76">
        <f>FD113*FC120</f>
        <v>68.308906304843106</v>
      </c>
      <c r="FE552" s="76">
        <f t="shared" ref="FE552:FG552" si="2616">FE113*FD120</f>
        <v>64.224881519906589</v>
      </c>
      <c r="FF552" s="76">
        <f t="shared" si="2616"/>
        <v>71.538019121451413</v>
      </c>
      <c r="FG552" s="76">
        <f t="shared" si="2616"/>
        <v>67.193465770384918</v>
      </c>
      <c r="FH552" s="76">
        <f>SUM(FD552:FG552)</f>
        <v>271.26527271658603</v>
      </c>
      <c r="FI552" s="76">
        <f t="shared" ref="FI552:FM552" si="2617">FI113*FH120</f>
        <v>282.72954944162888</v>
      </c>
      <c r="FJ552" s="76">
        <f t="shared" si="2617"/>
        <v>310.84617741147594</v>
      </c>
      <c r="FK552" s="76">
        <f t="shared" si="2617"/>
        <v>327.07860926769752</v>
      </c>
      <c r="FL552" s="76">
        <f t="shared" si="2617"/>
        <v>332.01167950048625</v>
      </c>
      <c r="FM552" s="76">
        <f t="shared" si="2617"/>
        <v>328.69985187383605</v>
      </c>
    </row>
    <row r="553" spans="1:170" x14ac:dyDescent="0.3">
      <c r="A553" s="70" t="s">
        <v>496</v>
      </c>
      <c r="EO553" s="138">
        <v>600</v>
      </c>
      <c r="EP553" s="138">
        <v>600</v>
      </c>
      <c r="EQ553" s="138">
        <v>600</v>
      </c>
      <c r="ER553" s="138">
        <v>600</v>
      </c>
      <c r="ES553" s="139">
        <f>ES551/ES552*1000</f>
        <v>600.00000000000011</v>
      </c>
      <c r="ET553" s="138">
        <v>600</v>
      </c>
      <c r="EU553" s="138">
        <v>600</v>
      </c>
      <c r="EV553" s="138">
        <v>600</v>
      </c>
      <c r="EW553" s="138">
        <v>600</v>
      </c>
      <c r="EX553" s="139">
        <f>EX551/EX552*1000</f>
        <v>599.99999999999989</v>
      </c>
      <c r="EY553" s="138">
        <v>450</v>
      </c>
      <c r="EZ553" s="138">
        <v>450</v>
      </c>
      <c r="FA553" s="138">
        <v>450</v>
      </c>
      <c r="FB553" s="138">
        <v>450</v>
      </c>
      <c r="FC553" s="139">
        <f>FC551/FC552*1000</f>
        <v>450</v>
      </c>
      <c r="FD553" s="138">
        <v>300</v>
      </c>
      <c r="FE553" s="138">
        <v>300</v>
      </c>
      <c r="FF553" s="138">
        <v>300</v>
      </c>
      <c r="FG553" s="138">
        <v>300</v>
      </c>
      <c r="FH553" s="139">
        <f>FH551/FH552*1000</f>
        <v>300</v>
      </c>
      <c r="FI553" s="138">
        <v>300</v>
      </c>
      <c r="FJ553" s="138">
        <v>300</v>
      </c>
      <c r="FK553" s="138">
        <v>300</v>
      </c>
      <c r="FL553" s="138">
        <v>300</v>
      </c>
      <c r="FM553" s="138">
        <v>300</v>
      </c>
    </row>
    <row r="554" spans="1:170" x14ac:dyDescent="0.3">
      <c r="A554" s="55"/>
      <c r="EO554"/>
      <c r="EP554"/>
      <c r="EQ554"/>
      <c r="ER554"/>
    </row>
    <row r="555" spans="1:170" x14ac:dyDescent="0.3">
      <c r="A555" s="60" t="s">
        <v>497</v>
      </c>
      <c r="EO555" s="900">
        <f>EO556*EO557/1000</f>
        <v>73.383852252949168</v>
      </c>
      <c r="EP555" s="900">
        <f t="shared" ref="EP555:ER555" si="2618">EP556*EP557/1000</f>
        <v>69.80847831669692</v>
      </c>
      <c r="EQ555" s="900">
        <f t="shared" si="2618"/>
        <v>79.744925437693112</v>
      </c>
      <c r="ER555" s="900">
        <f t="shared" si="2618"/>
        <v>77.382609451120501</v>
      </c>
      <c r="ES555" s="916">
        <f>SUM(EO555:ER555)</f>
        <v>300.31986545845973</v>
      </c>
      <c r="ET555" s="900">
        <f>ET556*ET557/1000</f>
        <v>97.271465454266817</v>
      </c>
      <c r="EU555" s="900">
        <f t="shared" ref="EU555:EW555" si="2619">EU556*EU557/1000</f>
        <v>91.386643700214407</v>
      </c>
      <c r="EV555" s="900">
        <f t="shared" si="2619"/>
        <v>103.87072852395545</v>
      </c>
      <c r="EW555" s="900">
        <f t="shared" si="2619"/>
        <v>99.390786114698884</v>
      </c>
      <c r="EX555" s="916">
        <f>SUM(ET555:EW555)</f>
        <v>391.91962379313554</v>
      </c>
      <c r="EY555" s="900">
        <f>EY556*EY557/1000</f>
        <v>116.85021204930655</v>
      </c>
      <c r="EZ555" s="900">
        <f t="shared" ref="EZ555" si="2620">EZ556*EZ557/1000</f>
        <v>108.54988421591787</v>
      </c>
      <c r="FA555" s="900">
        <f t="shared" ref="FA555" si="2621">FA556*FA557/1000</f>
        <v>122.17560522974922</v>
      </c>
      <c r="FB555" s="900">
        <f t="shared" ref="FB555" si="2622">FB556*FB557/1000</f>
        <v>115.8496273548175</v>
      </c>
      <c r="FC555" s="916">
        <f>SUM(EY555:FB555)</f>
        <v>463.42532884979119</v>
      </c>
      <c r="FD555" s="900">
        <f>FD556*FD557/1000</f>
        <v>131.69785317445718</v>
      </c>
      <c r="FE555" s="900">
        <f t="shared" ref="FE555" si="2623">FE556*FE557/1000</f>
        <v>121.54275443655183</v>
      </c>
      <c r="FF555" s="900">
        <f t="shared" ref="FF555" si="2624">FF556*FF557/1000</f>
        <v>135.20762375472808</v>
      </c>
      <c r="FG555" s="900">
        <f t="shared" ref="FG555" si="2625">FG556*FG557/1000</f>
        <v>124.13021813394897</v>
      </c>
      <c r="FH555" s="916">
        <f>SUM(FD555:FG555)</f>
        <v>512.57844949968603</v>
      </c>
      <c r="FI555" s="900">
        <f t="shared" ref="FI555" si="2626">FI556*FI557/1000</f>
        <v>495.31643959439629</v>
      </c>
      <c r="FJ555" s="900">
        <f t="shared" ref="FJ555" si="2627">FJ556*FJ557/1000</f>
        <v>461.82026101151604</v>
      </c>
      <c r="FK555" s="900">
        <f t="shared" ref="FK555" si="2628">FK556*FK557/1000</f>
        <v>430.82321143199215</v>
      </c>
      <c r="FL555" s="900">
        <f t="shared" ref="FL555" si="2629">FL556*FL557/1000</f>
        <v>402.32812304166498</v>
      </c>
      <c r="FM555" s="900">
        <f t="shared" ref="FM555" si="2630">FM556*FM557/1000</f>
        <v>377.92611774398193</v>
      </c>
    </row>
    <row r="556" spans="1:170" x14ac:dyDescent="0.3">
      <c r="A556" s="70" t="s">
        <v>495</v>
      </c>
      <c r="EO556" s="76">
        <f>EO113-EO552</f>
        <v>97.845136337265558</v>
      </c>
      <c r="EP556" s="76">
        <f t="shared" ref="EP556:ER556" si="2631">EP113-EP552</f>
        <v>93.077971088929218</v>
      </c>
      <c r="EQ556" s="76">
        <f t="shared" si="2631"/>
        <v>106.32656725025747</v>
      </c>
      <c r="ER556" s="76">
        <f t="shared" si="2631"/>
        <v>103.17681260149399</v>
      </c>
      <c r="ES556" s="76">
        <f>SUM(EO556:ER556)</f>
        <v>400.42648727794619</v>
      </c>
      <c r="ET556" s="76">
        <f>ET113-ET552</f>
        <v>121.58933181783351</v>
      </c>
      <c r="EU556" s="76">
        <f t="shared" ref="EU556:EW556" si="2632">EU113-EU552</f>
        <v>114.23330462526802</v>
      </c>
      <c r="EV556" s="76">
        <f t="shared" si="2632"/>
        <v>129.83841065494431</v>
      </c>
      <c r="EW556" s="76">
        <f t="shared" si="2632"/>
        <v>124.23848264337362</v>
      </c>
      <c r="EX556" s="76">
        <f>SUM(ET556:EW556)</f>
        <v>489.89952974141949</v>
      </c>
      <c r="EY556" s="76">
        <f>EY113-EY552</f>
        <v>146.06276506163317</v>
      </c>
      <c r="EZ556" s="76">
        <f t="shared" ref="EZ556:FB556" si="2633">EZ113-EZ552</f>
        <v>135.68735526989735</v>
      </c>
      <c r="FA556" s="76">
        <f t="shared" si="2633"/>
        <v>152.71950653718653</v>
      </c>
      <c r="FB556" s="76">
        <f t="shared" si="2633"/>
        <v>144.81203419352187</v>
      </c>
      <c r="FC556" s="76">
        <f>SUM(EY556:FB556)</f>
        <v>579.28166106223898</v>
      </c>
      <c r="FD556" s="76">
        <f>FD113-FD552</f>
        <v>164.62231646807146</v>
      </c>
      <c r="FE556" s="76">
        <f t="shared" ref="FE556:FG556" si="2634">FE113-FE552</f>
        <v>151.92844304568979</v>
      </c>
      <c r="FF556" s="76">
        <f t="shared" si="2634"/>
        <v>169.00952969341006</v>
      </c>
      <c r="FG556" s="76">
        <f t="shared" si="2634"/>
        <v>155.16277266743623</v>
      </c>
      <c r="FH556" s="76">
        <f>SUM(FD556:FG556)</f>
        <v>640.72306187460754</v>
      </c>
      <c r="FI556" s="76">
        <f t="shared" ref="FI556:FM556" si="2635">FI113-FI552</f>
        <v>619.14554949299531</v>
      </c>
      <c r="FJ556" s="76">
        <f t="shared" si="2635"/>
        <v>577.27532626439506</v>
      </c>
      <c r="FK556" s="76">
        <f t="shared" si="2635"/>
        <v>538.52901428999019</v>
      </c>
      <c r="FL556" s="76">
        <f t="shared" si="2635"/>
        <v>502.91015380208125</v>
      </c>
      <c r="FM556" s="76">
        <f t="shared" si="2635"/>
        <v>472.40764717997746</v>
      </c>
    </row>
    <row r="557" spans="1:170" x14ac:dyDescent="0.3">
      <c r="A557" s="70" t="s">
        <v>496</v>
      </c>
      <c r="EO557" s="138">
        <v>750</v>
      </c>
      <c r="EP557" s="138">
        <v>750</v>
      </c>
      <c r="EQ557" s="138">
        <v>750</v>
      </c>
      <c r="ER557" s="138">
        <v>750</v>
      </c>
      <c r="ES557" s="139">
        <f>ES555/ES556*1000</f>
        <v>750.00000000000023</v>
      </c>
      <c r="ET557" s="138">
        <v>800</v>
      </c>
      <c r="EU557" s="138">
        <v>800</v>
      </c>
      <c r="EV557" s="138">
        <v>800</v>
      </c>
      <c r="EW557" s="138">
        <v>800</v>
      </c>
      <c r="EX557" s="139">
        <f>EX555/EX556*1000</f>
        <v>799.99999999999989</v>
      </c>
      <c r="EY557" s="138">
        <v>800</v>
      </c>
      <c r="EZ557" s="138">
        <v>800</v>
      </c>
      <c r="FA557" s="138">
        <v>800</v>
      </c>
      <c r="FB557" s="138">
        <v>800</v>
      </c>
      <c r="FC557" s="139">
        <f>FC555/FC556*1000</f>
        <v>800</v>
      </c>
      <c r="FD557" s="138">
        <v>800</v>
      </c>
      <c r="FE557" s="138">
        <v>800</v>
      </c>
      <c r="FF557" s="138">
        <v>800</v>
      </c>
      <c r="FG557" s="138">
        <v>800</v>
      </c>
      <c r="FH557" s="139">
        <f>FH555/FH556*1000</f>
        <v>800</v>
      </c>
      <c r="FI557" s="138">
        <v>800</v>
      </c>
      <c r="FJ557" s="138">
        <v>800</v>
      </c>
      <c r="FK557" s="138">
        <v>800</v>
      </c>
      <c r="FL557" s="138">
        <v>800</v>
      </c>
      <c r="FM557" s="138">
        <v>800</v>
      </c>
    </row>
    <row r="558" spans="1:170" x14ac:dyDescent="0.3">
      <c r="A558" s="55"/>
      <c r="EO558"/>
      <c r="EP558"/>
      <c r="EQ558"/>
      <c r="ER558"/>
    </row>
    <row r="559" spans="1:170" x14ac:dyDescent="0.3">
      <c r="A559" s="60" t="s">
        <v>498</v>
      </c>
      <c r="DU559" s="85">
        <f>+DU561*DU562/1000</f>
        <v>0</v>
      </c>
      <c r="DV559" s="85">
        <f>+DV561*DV562/1000</f>
        <v>0</v>
      </c>
      <c r="DW559" s="85">
        <f>+DW561*DW562/1000</f>
        <v>0</v>
      </c>
      <c r="DX559" s="85">
        <f>+DX561*DX562/1000</f>
        <v>0</v>
      </c>
      <c r="DY559" s="85">
        <f>+SUM(DU559:DX559)</f>
        <v>0</v>
      </c>
      <c r="DZ559" s="85">
        <f>+DZ561*DZ562/1000</f>
        <v>36.058950000000038</v>
      </c>
      <c r="EA559" s="85">
        <f>+EA561*EA562/1000</f>
        <v>28.5318</v>
      </c>
      <c r="EB559" s="85">
        <f>+EB561*EB562/1000</f>
        <v>32.418899999999958</v>
      </c>
      <c r="EC559" s="85">
        <f>+EC561*EC562/1000</f>
        <v>29.932740000000003</v>
      </c>
      <c r="ED559" s="85">
        <f>+SUM(DZ559:EC559)</f>
        <v>126.94238999999999</v>
      </c>
      <c r="EE559" s="85">
        <f>+EE561*EE562/1000</f>
        <v>35.952070000000049</v>
      </c>
      <c r="EF559" s="85">
        <f>+EF561*EF562/1000</f>
        <v>38.181495000000041</v>
      </c>
      <c r="EG559" s="85">
        <f>+EG561*EG562/1000</f>
        <v>48.459620000000037</v>
      </c>
      <c r="EH559" s="85">
        <f>+EH561*EH562/1000</f>
        <v>52.339759999999977</v>
      </c>
      <c r="EI559" s="132">
        <f>SUM(EE559:EH559)</f>
        <v>174.9329450000001</v>
      </c>
      <c r="EJ559" s="85">
        <f>+EJ561*EJ562/1000</f>
        <v>62.807976000000068</v>
      </c>
      <c r="EK559" s="85">
        <f>+EK561*EK562/1000</f>
        <v>69.013476000000011</v>
      </c>
      <c r="EL559" s="85">
        <f>+EL561*EL562/1000</f>
        <v>83.805119999999917</v>
      </c>
      <c r="EM559" s="85">
        <f>+EM561*EM562/1000</f>
        <v>83.461895999999996</v>
      </c>
      <c r="EN559" s="132">
        <f>SUM(EJ559:EM559)</f>
        <v>299.08846800000003</v>
      </c>
      <c r="EO559" s="85">
        <f>EO551+EO555</f>
        <v>99.096770450589872</v>
      </c>
      <c r="EP559" s="85">
        <f t="shared" ref="EP559:ER559" si="2636">EP551+EP555</f>
        <v>93.867115663339391</v>
      </c>
      <c r="EQ559" s="85">
        <f t="shared" si="2636"/>
        <v>106.51310508753863</v>
      </c>
      <c r="ER559" s="85">
        <f t="shared" si="2636"/>
        <v>102.8917218902241</v>
      </c>
      <c r="ES559" s="132">
        <f>SUM(EO559:ER559)</f>
        <v>402.36871309169203</v>
      </c>
      <c r="ET559" s="85">
        <f>ET551+ET555</f>
        <v>126.97163000929278</v>
      </c>
      <c r="EU559" s="85">
        <f t="shared" ref="EU559:EW559" si="2637">EU551+EU555</f>
        <v>119.39067882568875</v>
      </c>
      <c r="EV559" s="85">
        <f t="shared" si="2637"/>
        <v>135.37736120068178</v>
      </c>
      <c r="EW559" s="85">
        <f t="shared" si="2637"/>
        <v>129.45091282023927</v>
      </c>
      <c r="EX559" s="132">
        <f>SUM(ET559:EW559)</f>
        <v>511.19058285590256</v>
      </c>
      <c r="EY559" s="85">
        <f>EY551+EY555</f>
        <v>143.37048824016074</v>
      </c>
      <c r="EZ559" s="85">
        <f t="shared" ref="EZ559:FB559" si="2638">EZ551+EZ555</f>
        <v>133.57611749541678</v>
      </c>
      <c r="FA559" s="85">
        <f t="shared" si="2638"/>
        <v>150.32248679255466</v>
      </c>
      <c r="FB559" s="85">
        <f t="shared" si="2638"/>
        <v>142.68325040507949</v>
      </c>
      <c r="FC559" s="132">
        <f>SUM(EY559:FB559)</f>
        <v>569.95234293321164</v>
      </c>
      <c r="FD559" s="85">
        <f>FD551+FD555</f>
        <v>152.19052506591009</v>
      </c>
      <c r="FE559" s="85">
        <f t="shared" ref="FE559:FM559" si="2639">FE551+FE555</f>
        <v>140.81021889252381</v>
      </c>
      <c r="FF559" s="85">
        <f t="shared" si="2639"/>
        <v>156.66902949116349</v>
      </c>
      <c r="FG559" s="85">
        <f t="shared" si="2639"/>
        <v>144.28825786506445</v>
      </c>
      <c r="FH559" s="132">
        <f>SUM(FD559:FG559)</f>
        <v>593.95803131466187</v>
      </c>
      <c r="FI559" s="85">
        <f t="shared" si="2639"/>
        <v>580.13530442688489</v>
      </c>
      <c r="FJ559" s="85">
        <f t="shared" si="2639"/>
        <v>555.07411423495887</v>
      </c>
      <c r="FK559" s="85">
        <f t="shared" si="2639"/>
        <v>528.94679421230137</v>
      </c>
      <c r="FL559" s="85">
        <f t="shared" si="2639"/>
        <v>501.93162689181088</v>
      </c>
      <c r="FM559" s="85">
        <f t="shared" si="2639"/>
        <v>476.53607330613272</v>
      </c>
      <c r="FN559" s="189">
        <f>+(FJ559/ES559)^0.2-1</f>
        <v>6.6461923291590397E-2</v>
      </c>
    </row>
    <row r="560" spans="1:170" x14ac:dyDescent="0.3">
      <c r="A560" s="70" t="s">
        <v>487</v>
      </c>
      <c r="DU560" s="136">
        <f>+DU559/DU$180/3*1000</f>
        <v>0</v>
      </c>
      <c r="DV560" s="136">
        <f>+DV559/DV$180/3*1000</f>
        <v>0</v>
      </c>
      <c r="DW560" s="136">
        <f>+DW559/DW$180/3*1000</f>
        <v>0</v>
      </c>
      <c r="DX560" s="136">
        <f>+DX559/DX$180/3*1000</f>
        <v>0</v>
      </c>
      <c r="DY560" s="137">
        <f>+DY559/DY$180/12*1000</f>
        <v>0</v>
      </c>
      <c r="DZ560" s="136">
        <f>+DZ559/DZ$180/3*1000</f>
        <v>9.9335950413223255</v>
      </c>
      <c r="EA560" s="136">
        <f>+EA559/EA$180/3*1000</f>
        <v>7.8019688269073013</v>
      </c>
      <c r="EB560" s="136">
        <f>+EB559/EB$180/3*1000</f>
        <v>8.8142740619902007</v>
      </c>
      <c r="EC560" s="136">
        <f>+EC559/EC$180/3*1000</f>
        <v>8.0888366436967978</v>
      </c>
      <c r="ED560" s="137">
        <f>+ED559/ED$180/12*1000</f>
        <v>8.6558514881865598</v>
      </c>
      <c r="EE560" s="136">
        <f>+EE559/EE$180/3*1000</f>
        <v>9.6295888576402966</v>
      </c>
      <c r="EF560" s="136">
        <f>+EF559/EF$180/3*1000</f>
        <v>10.125031821797943</v>
      </c>
      <c r="EG560" s="136">
        <f>+EG559/EG$180/3*1000</f>
        <v>12.64438878016961</v>
      </c>
      <c r="EH560" s="136">
        <f>+EH559/EH$180/3*1000</f>
        <v>13.277463216641292</v>
      </c>
      <c r="EI560" s="137">
        <f t="shared" ref="EI560:FM560" si="2640">+EI559/EI$180/12*1000</f>
        <v>11.449240460763145</v>
      </c>
      <c r="EJ560" s="136">
        <f>+EJ559/EJ$180/3*1000</f>
        <v>15.371506607929531</v>
      </c>
      <c r="EK560" s="136">
        <f>+EK559/EK$180/3*1000</f>
        <v>16.280602972399151</v>
      </c>
      <c r="EL560" s="136">
        <f>+EL559/EL$180/3*1000</f>
        <v>19.003428571428554</v>
      </c>
      <c r="EM560" s="136">
        <f>+EM559/EM$180/3*1000</f>
        <v>18.082958726031848</v>
      </c>
      <c r="EN560" s="137">
        <f>+EN559/EN$180/12*1000</f>
        <v>17.238031641739433</v>
      </c>
      <c r="EO560" s="136">
        <f t="shared" ref="EO560:ER560" si="2641">+EO559/EO$180/3*1000</f>
        <v>20.428111822426278</v>
      </c>
      <c r="EP560" s="136">
        <f t="shared" si="2641"/>
        <v>18.508748035756561</v>
      </c>
      <c r="EQ560" s="136">
        <f t="shared" si="2641"/>
        <v>20.178669146071545</v>
      </c>
      <c r="ER560" s="136">
        <f t="shared" si="2641"/>
        <v>18.66516496874814</v>
      </c>
      <c r="ES560" s="137">
        <f>+ES559/ES$180/12*1000</f>
        <v>19.425433320862822</v>
      </c>
      <c r="ET560" s="136">
        <f t="shared" ref="ET560:EW560" si="2642">+ET559/ET$180/3*1000</f>
        <v>21.934336437655325</v>
      </c>
      <c r="EU560" s="136">
        <f t="shared" si="2642"/>
        <v>19.706444396056774</v>
      </c>
      <c r="EV560" s="136">
        <f t="shared" si="2642"/>
        <v>21.453719011389161</v>
      </c>
      <c r="EW560" s="136">
        <f t="shared" si="2642"/>
        <v>19.638155088161234</v>
      </c>
      <c r="EX560" s="137">
        <f>+EX559/EX$180/12*1000</f>
        <v>20.654845065633559</v>
      </c>
      <c r="EY560" s="136">
        <f t="shared" ref="EY560:FB560" si="2643">+EY559/EY$180/3*1000</f>
        <v>20.711341611036783</v>
      </c>
      <c r="EZ560" s="136">
        <f t="shared" si="2643"/>
        <v>18.440027849461469</v>
      </c>
      <c r="FA560" s="136">
        <f t="shared" si="2643"/>
        <v>19.939189656338502</v>
      </c>
      <c r="FB560" s="136">
        <f t="shared" si="2643"/>
        <v>18.139670385956151</v>
      </c>
      <c r="FC560" s="137">
        <f>+FC559/FC$180/12*1000</f>
        <v>19.27403613725123</v>
      </c>
      <c r="FD560" s="136">
        <f t="shared" ref="FD560:FG560" si="2644">+FD559/FD$180/3*1000</f>
        <v>18.475804944838384</v>
      </c>
      <c r="FE560" s="136">
        <f t="shared" si="2644"/>
        <v>16.399661026036263</v>
      </c>
      <c r="FF560" s="136">
        <f t="shared" si="2644"/>
        <v>17.606605491581934</v>
      </c>
      <c r="FG560" s="136">
        <f t="shared" si="2644"/>
        <v>15.623749916160584</v>
      </c>
      <c r="FH560" s="137">
        <f>+FH559/FH$180/12*1000</f>
        <v>16.991127833145459</v>
      </c>
      <c r="FI560" s="136">
        <f t="shared" si="2640"/>
        <v>14.496244173747561</v>
      </c>
      <c r="FJ560" s="136">
        <f t="shared" si="2640"/>
        <v>12.519276232758168</v>
      </c>
      <c r="FK560" s="136">
        <f t="shared" si="2640"/>
        <v>11.086793092221274</v>
      </c>
      <c r="FL560" s="136">
        <f t="shared" si="2640"/>
        <v>9.9985709487461172</v>
      </c>
      <c r="FM560" s="136">
        <f t="shared" si="2640"/>
        <v>9.1815633290228291</v>
      </c>
    </row>
    <row r="561" spans="1:170" x14ac:dyDescent="0.3">
      <c r="A561" s="70" t="s">
        <v>495</v>
      </c>
      <c r="DU561" s="77" cm="1">
        <f t="array" ref="DU561">+DU113*SUM(DU91:$DU91/DU90)</f>
        <v>0</v>
      </c>
      <c r="DV561" s="77" cm="1">
        <f t="array" ref="DV561">+DV113*SUM($DU91:DV91/DV90)</f>
        <v>0</v>
      </c>
      <c r="DW561" s="77" cm="1">
        <f t="array" ref="DW561">+DW113*SUM($DU91:DW91/DW90)</f>
        <v>0</v>
      </c>
      <c r="DX561" s="77" cm="1">
        <f t="array" ref="DX561">+DX113*SUM($DU91:DX91/DX90)</f>
        <v>0</v>
      </c>
      <c r="DY561" s="86">
        <f>+SUM(DU561:DX561)</f>
        <v>0</v>
      </c>
      <c r="DZ561" s="77">
        <f>DZ113</f>
        <v>80.131000000000085</v>
      </c>
      <c r="EA561" s="77">
        <f>EA113</f>
        <v>63.403999999999996</v>
      </c>
      <c r="EB561" s="77">
        <f>EB113</f>
        <v>72.041999999999916</v>
      </c>
      <c r="EC561" s="77">
        <f>EC113</f>
        <v>66.517200000000003</v>
      </c>
      <c r="ED561" s="86">
        <f>+SUM(DZ561:EC561)</f>
        <v>282.0942</v>
      </c>
      <c r="EE561" s="77">
        <f>EE113</f>
        <v>65.367400000000089</v>
      </c>
      <c r="EF561" s="77">
        <f>EF113</f>
        <v>69.420900000000074</v>
      </c>
      <c r="EG561" s="77">
        <f>EG113</f>
        <v>88.108400000000074</v>
      </c>
      <c r="EH561" s="77">
        <f>EH113</f>
        <v>95.163199999999961</v>
      </c>
      <c r="EI561" s="86">
        <f>+SUM(EE561:EH561)</f>
        <v>318.0599000000002</v>
      </c>
      <c r="EJ561" s="77">
        <f>EJ113</f>
        <v>99.695200000000114</v>
      </c>
      <c r="EK561" s="77">
        <f>EK113</f>
        <v>109.54520000000002</v>
      </c>
      <c r="EL561" s="77">
        <f>EL113</f>
        <v>133.02399999999989</v>
      </c>
      <c r="EM561" s="77">
        <f>EM113</f>
        <v>132.47919999999999</v>
      </c>
      <c r="EN561" s="86">
        <f>+SUM(EJ561:EM561)</f>
        <v>474.74360000000001</v>
      </c>
      <c r="EO561" s="77">
        <f>EO113</f>
        <v>140.70000000000005</v>
      </c>
      <c r="EP561" s="77">
        <f>EP113</f>
        <v>133.17570000000001</v>
      </c>
      <c r="EQ561" s="77">
        <f>EQ113</f>
        <v>150.9402</v>
      </c>
      <c r="ER561" s="77">
        <f>ER113</f>
        <v>145.69200000000001</v>
      </c>
      <c r="ES561" s="86">
        <f>+SUM(EO561:ER561)</f>
        <v>570.50790000000006</v>
      </c>
      <c r="ET561" s="77">
        <f>ET113</f>
        <v>171.08960607621012</v>
      </c>
      <c r="EU561" s="77">
        <f>EU113</f>
        <v>160.9066965010586</v>
      </c>
      <c r="EV561" s="77">
        <f>EV113</f>
        <v>182.34946511615487</v>
      </c>
      <c r="EW561" s="77">
        <f>EW113</f>
        <v>174.33869381927425</v>
      </c>
      <c r="EX561" s="86">
        <f>+SUM(ET561:EW561)</f>
        <v>688.68446151269779</v>
      </c>
      <c r="EY561" s="77">
        <f>EY113</f>
        <v>204.99671215242023</v>
      </c>
      <c r="EZ561" s="77">
        <f>EZ113</f>
        <v>191.30120700211717</v>
      </c>
      <c r="FA561" s="77">
        <f>FA113</f>
        <v>215.26813223230974</v>
      </c>
      <c r="FB561" s="77">
        <f>FB113</f>
        <v>204.4423076385485</v>
      </c>
      <c r="FC561" s="86">
        <f>+SUM(EY561:FB561)</f>
        <v>816.00835902539563</v>
      </c>
      <c r="FD561" s="77">
        <f>FD113</f>
        <v>232.93122277291457</v>
      </c>
      <c r="FE561" s="77">
        <f>FE113</f>
        <v>216.15332456559636</v>
      </c>
      <c r="FF561" s="77">
        <f>FF113</f>
        <v>240.54754881486147</v>
      </c>
      <c r="FG561" s="77">
        <f>FG113</f>
        <v>222.35623843782116</v>
      </c>
      <c r="FH561" s="86">
        <f>+SUM(FD561:FG561)</f>
        <v>911.98833459119351</v>
      </c>
      <c r="FI561" s="77">
        <f>FI113</f>
        <v>901.87509893462413</v>
      </c>
      <c r="FJ561" s="77">
        <f>FJ113</f>
        <v>888.12150367587094</v>
      </c>
      <c r="FK561" s="77">
        <f>FK113</f>
        <v>865.6076235576877</v>
      </c>
      <c r="FL561" s="77">
        <f>FL113</f>
        <v>834.92183330256751</v>
      </c>
      <c r="FM561" s="77">
        <f>FM113</f>
        <v>801.10749905381351</v>
      </c>
    </row>
    <row r="562" spans="1:170" x14ac:dyDescent="0.3">
      <c r="A562" s="70" t="s">
        <v>496</v>
      </c>
      <c r="DU562" s="138">
        <v>450</v>
      </c>
      <c r="DV562" s="138">
        <f>+DU562</f>
        <v>450</v>
      </c>
      <c r="DW562" s="138">
        <f>+DV562</f>
        <v>450</v>
      </c>
      <c r="DX562" s="138">
        <f>+DW562</f>
        <v>450</v>
      </c>
      <c r="DY562" s="139"/>
      <c r="DZ562" s="138">
        <f>+DX562</f>
        <v>450</v>
      </c>
      <c r="EA562" s="138">
        <f>+DZ562</f>
        <v>450</v>
      </c>
      <c r="EB562" s="138">
        <f>+EA562</f>
        <v>450</v>
      </c>
      <c r="EC562" s="138">
        <f>+EB562</f>
        <v>450</v>
      </c>
      <c r="ED562" s="139">
        <f>+ED559/ED561*1000</f>
        <v>449.99999999999994</v>
      </c>
      <c r="EE562" s="138">
        <v>550</v>
      </c>
      <c r="EF562" s="138">
        <f>+EE562</f>
        <v>550</v>
      </c>
      <c r="EG562" s="138">
        <f>+EF562</f>
        <v>550</v>
      </c>
      <c r="EH562" s="138">
        <f>+EG562</f>
        <v>550</v>
      </c>
      <c r="EI562" s="139">
        <f>+EI559/EI561*1000</f>
        <v>549.99999999999989</v>
      </c>
      <c r="EJ562" s="138">
        <v>630</v>
      </c>
      <c r="EK562" s="138">
        <v>630</v>
      </c>
      <c r="EL562" s="138">
        <v>630</v>
      </c>
      <c r="EM562" s="138">
        <v>630</v>
      </c>
      <c r="EN562" s="139">
        <f>+EN559/EN561*1000</f>
        <v>630</v>
      </c>
      <c r="EO562" s="1488">
        <f>EO559/EO561*1000</f>
        <v>704.31251208663718</v>
      </c>
      <c r="EP562" s="1488">
        <f t="shared" ref="EP562:ER562" si="2645">EP559/EP561*1000</f>
        <v>704.83666061705992</v>
      </c>
      <c r="EQ562" s="1488">
        <f t="shared" si="2645"/>
        <v>705.66426364572612</v>
      </c>
      <c r="ER562" s="1488">
        <f t="shared" si="2645"/>
        <v>706.22767132185766</v>
      </c>
      <c r="ES562" s="139">
        <f>+ES559/ES561*1000</f>
        <v>705.28157996005314</v>
      </c>
      <c r="ET562" s="1488">
        <f>ET559/ET561*1000</f>
        <v>742.13526421198583</v>
      </c>
      <c r="EU562" s="1488">
        <f t="shared" ref="EU562:EW562" si="2646">EU559/EU561*1000</f>
        <v>741.98701124227784</v>
      </c>
      <c r="EV562" s="1488">
        <f t="shared" si="2646"/>
        <v>742.40613272129792</v>
      </c>
      <c r="EW562" s="1488">
        <f t="shared" si="2646"/>
        <v>742.52542556291451</v>
      </c>
      <c r="EX562" s="139">
        <f>+EX559/EX561*1000</f>
        <v>742.27111460170113</v>
      </c>
      <c r="EY562" s="1488">
        <f>EY559/EY561*1000</f>
        <v>699.37945216195067</v>
      </c>
      <c r="EZ562" s="1488">
        <f t="shared" ref="EZ562" si="2647">EZ559/EZ561*1000</f>
        <v>698.25025983206922</v>
      </c>
      <c r="FA562" s="1488">
        <f t="shared" ref="FA562" si="2648">FA559/FA561*1000</f>
        <v>698.3034842813239</v>
      </c>
      <c r="FB562" s="1488">
        <f t="shared" ref="FB562" si="2649">FB559/FB561*1000</f>
        <v>697.91449750871391</v>
      </c>
      <c r="FC562" s="139">
        <f>+FC559/FC561*1000</f>
        <v>698.46385350014987</v>
      </c>
      <c r="FD562" s="1488">
        <f>FD559/FD561*1000</f>
        <v>653.37108204803076</v>
      </c>
      <c r="FE562" s="1488">
        <f t="shared" ref="FE562" si="2650">FE559/FE561*1000</f>
        <v>651.43674831516148</v>
      </c>
      <c r="FF562" s="1488">
        <f t="shared" ref="FF562" si="2651">FF559/FF561*1000</f>
        <v>651.30170838591471</v>
      </c>
      <c r="FG562" s="1488">
        <f t="shared" ref="FG562" si="2652">FG559/FG561*1000</f>
        <v>648.90582283083847</v>
      </c>
      <c r="FH562" s="139">
        <f>+FH559/FH561*1000</f>
        <v>651.27810168855785</v>
      </c>
      <c r="FI562" s="542">
        <f>+FI559/FI561*1000</f>
        <v>643.25459823892777</v>
      </c>
      <c r="FJ562" s="542">
        <f t="shared" ref="FJ562:FM562" si="2653">+FJ559/FJ561*1000</f>
        <v>624.99794446767373</v>
      </c>
      <c r="FK562" s="542">
        <f t="shared" si="2653"/>
        <v>611.06993494154472</v>
      </c>
      <c r="FL562" s="542">
        <f t="shared" si="2653"/>
        <v>601.17199822934299</v>
      </c>
      <c r="FM562" s="542">
        <f t="shared" si="2653"/>
        <v>594.84660157215922</v>
      </c>
    </row>
    <row r="563" spans="1:170" x14ac:dyDescent="0.3">
      <c r="A563" s="70" t="s">
        <v>491</v>
      </c>
      <c r="DU563" s="75"/>
      <c r="DV563" s="75"/>
      <c r="DW563" s="75"/>
      <c r="DX563" s="75"/>
      <c r="DY563" s="84"/>
      <c r="DZ563" s="75">
        <f t="shared" ref="DZ563:FM563" si="2654">+DZ559/DZ206</f>
        <v>4.9805179558011101E-2</v>
      </c>
      <c r="EA563" s="75">
        <f t="shared" si="2654"/>
        <v>4.0185633802816902E-2</v>
      </c>
      <c r="EB563" s="75">
        <f t="shared" si="2654"/>
        <v>4.7052104499274251E-2</v>
      </c>
      <c r="EC563" s="75">
        <f t="shared" si="2654"/>
        <v>4.3380782608695656E-2</v>
      </c>
      <c r="ED563" s="84">
        <f t="shared" si="2654"/>
        <v>4.5127049413437606E-2</v>
      </c>
      <c r="EE563" s="75">
        <f t="shared" si="2654"/>
        <v>5.3026651917404202E-2</v>
      </c>
      <c r="EF563" s="75">
        <f t="shared" si="2654"/>
        <v>5.614925735294124E-2</v>
      </c>
      <c r="EG563" s="75">
        <f t="shared" si="2654"/>
        <v>7.0847397660818767E-2</v>
      </c>
      <c r="EH563" s="75">
        <f t="shared" si="2654"/>
        <v>7.7540385185185148E-2</v>
      </c>
      <c r="EI563" s="84">
        <f t="shared" si="2654"/>
        <v>6.4384595141700446E-2</v>
      </c>
      <c r="EJ563" s="75">
        <f t="shared" si="2654"/>
        <v>9.3464250000000096E-2</v>
      </c>
      <c r="EK563" s="75">
        <f t="shared" si="2654"/>
        <v>0.10074960000000002</v>
      </c>
      <c r="EL563" s="75">
        <f t="shared" si="2654"/>
        <v>0.12128092619392174</v>
      </c>
      <c r="EM563" s="75">
        <f t="shared" si="2654"/>
        <v>0.11575852427184466</v>
      </c>
      <c r="EN563" s="84">
        <f t="shared" si="2654"/>
        <v>0.10801317009750813</v>
      </c>
      <c r="EO563" s="75">
        <f t="shared" si="2654"/>
        <v>0.13593521323812055</v>
      </c>
      <c r="EP563" s="75">
        <f t="shared" si="2654"/>
        <v>0.12582723279268015</v>
      </c>
      <c r="EQ563" s="75">
        <f t="shared" si="2654"/>
        <v>0.14014882248360347</v>
      </c>
      <c r="ER563" s="75">
        <f t="shared" si="2654"/>
        <v>0.13502850641761693</v>
      </c>
      <c r="ES563" s="84">
        <f t="shared" si="2654"/>
        <v>0.13425716152542277</v>
      </c>
      <c r="ET563" s="75">
        <f t="shared" si="2654"/>
        <v>0.16072865447318171</v>
      </c>
      <c r="EU563" s="75">
        <f t="shared" si="2654"/>
        <v>0.14617057354254692</v>
      </c>
      <c r="EV563" s="75">
        <f t="shared" si="2654"/>
        <v>0.16223499071627281</v>
      </c>
      <c r="EW563" s="75">
        <f t="shared" si="2654"/>
        <v>0.15358100705714461</v>
      </c>
      <c r="EX563" s="84">
        <f t="shared" si="2654"/>
        <v>0.15565616578608477</v>
      </c>
      <c r="EY563" s="75">
        <f t="shared" si="2654"/>
        <v>0.16411539053890348</v>
      </c>
      <c r="EZ563" s="75">
        <f t="shared" si="2654"/>
        <v>0.14677391869547918</v>
      </c>
      <c r="FA563" s="75">
        <f t="shared" si="2654"/>
        <v>0.16121422214642211</v>
      </c>
      <c r="FB563" s="75">
        <f t="shared" si="2654"/>
        <v>0.15073560098531272</v>
      </c>
      <c r="FC563" s="84">
        <f t="shared" si="2654"/>
        <v>0.15561008601209481</v>
      </c>
      <c r="FD563" s="75">
        <f t="shared" si="2654"/>
        <v>0.15517759806667208</v>
      </c>
      <c r="FE563" s="75">
        <f t="shared" si="2654"/>
        <v>0.13734622693964452</v>
      </c>
      <c r="FF563" s="75">
        <f t="shared" si="2654"/>
        <v>0.14902534604500015</v>
      </c>
      <c r="FG563" s="75">
        <f t="shared" si="2654"/>
        <v>0.13507597495721224</v>
      </c>
      <c r="FH563" s="84">
        <f t="shared" si="2654"/>
        <v>0.14397365164064971</v>
      </c>
      <c r="FI563" s="75">
        <f t="shared" si="2654"/>
        <v>0.12590160349459376</v>
      </c>
      <c r="FJ563" s="75">
        <f t="shared" si="2654"/>
        <v>0.10947263520648881</v>
      </c>
      <c r="FK563" s="75">
        <f t="shared" si="2654"/>
        <v>9.6265606095493547E-2</v>
      </c>
      <c r="FL563" s="75">
        <f t="shared" si="2654"/>
        <v>8.5385202560411766E-2</v>
      </c>
      <c r="FM563" s="75">
        <f t="shared" si="2654"/>
        <v>7.6581453967894522E-2</v>
      </c>
    </row>
    <row r="564" spans="1:170" x14ac:dyDescent="0.3">
      <c r="A564" s="55"/>
      <c r="EI564" s="85"/>
      <c r="EN564" s="85"/>
      <c r="EO564"/>
      <c r="EP564"/>
      <c r="EQ564"/>
      <c r="ER564"/>
      <c r="ES564" s="76"/>
      <c r="EX564" s="76"/>
      <c r="FC564" s="76"/>
      <c r="FH564" s="76"/>
      <c r="FI564" s="76"/>
      <c r="FJ564" s="76"/>
      <c r="FK564" s="76"/>
      <c r="FL564" s="76"/>
      <c r="FM564" s="76"/>
    </row>
    <row r="565" spans="1:170" x14ac:dyDescent="0.3">
      <c r="A565" s="55" t="s">
        <v>499</v>
      </c>
      <c r="DU565" s="76">
        <f>+DU573-SUM(DU559,DU540)</f>
        <v>305</v>
      </c>
      <c r="DV565" s="76">
        <f>+DV573-SUM(DV559,DV540)</f>
        <v>275</v>
      </c>
      <c r="DW565" s="76">
        <f>+DW573-SUM(DW559,DW540)</f>
        <v>318</v>
      </c>
      <c r="DX565" s="76">
        <f>+DX573-SUM(DX559,DX540)</f>
        <v>328</v>
      </c>
      <c r="DY565" s="85">
        <f>+SUM(DU565:DX565)</f>
        <v>1226</v>
      </c>
      <c r="DZ565" s="76">
        <f>+DZ573-SUM(DZ559,DZ540)</f>
        <v>242.51604999999995</v>
      </c>
      <c r="EA565" s="76">
        <f>+EA573-SUM(EA559,EA540)</f>
        <v>189.8682</v>
      </c>
      <c r="EB565" s="76">
        <f>+EB573-SUM(EB559,EB540)</f>
        <v>274.15610000000004</v>
      </c>
      <c r="EC565" s="76">
        <f>+EC573-SUM(EC559,EC540)</f>
        <v>276.56726000000003</v>
      </c>
      <c r="ED565" s="85">
        <f>+SUM(DZ565:EC565)</f>
        <v>983.10761000000002</v>
      </c>
      <c r="EE565" s="76">
        <f>EE573-EE547-EE559</f>
        <v>277.04792999999995</v>
      </c>
      <c r="EF565" s="76">
        <f>EF573-EF547-EF559</f>
        <v>247.81850499999996</v>
      </c>
      <c r="EG565" s="76">
        <f>EG573-EG547-EG559</f>
        <v>200.54037999999997</v>
      </c>
      <c r="EH565" s="76">
        <f>EH573-EH547-EH559</f>
        <v>345.66024000000004</v>
      </c>
      <c r="EI565" s="85">
        <f>+SUM(EE565:EH565)</f>
        <v>1071.067055</v>
      </c>
      <c r="EJ565" s="76">
        <f>EJ573-EJ547-EJ559</f>
        <v>151.19202399999995</v>
      </c>
      <c r="EK565" s="76">
        <f>EK573-EK547-EK559</f>
        <v>246.98652399999997</v>
      </c>
      <c r="EL565" s="76">
        <f>EL573-EL547-EL559</f>
        <v>246.19488000000007</v>
      </c>
      <c r="EM565" s="76">
        <f>EM573-EM547-EM559</f>
        <v>277.53810399999998</v>
      </c>
      <c r="EN565" s="85">
        <f>+SUM(EJ565:EM565)</f>
        <v>921.91153199999997</v>
      </c>
      <c r="EO565" s="76">
        <f>EO573-EO547-EO559</f>
        <v>531.90322954941007</v>
      </c>
      <c r="EP565" s="76">
        <f>EP573-EP547-EP559</f>
        <v>544.1328843366606</v>
      </c>
      <c r="EQ565" s="76">
        <f>EQ573-EQ547-EQ559</f>
        <v>421.48689491246137</v>
      </c>
      <c r="ER565" s="76">
        <f>ER573-ER547-ER559</f>
        <v>67.108278109775895</v>
      </c>
      <c r="ES565" s="85">
        <f>+SUM(EO565:ER565)</f>
        <v>1564.6312869083081</v>
      </c>
      <c r="ET565" s="76">
        <f>+ET567*AVERAGE(ES99:ET99)/1000</f>
        <v>479.17303945637627</v>
      </c>
      <c r="EU565" s="76">
        <f>+EU567*AVERAGE(ET99:EU99)/1000</f>
        <v>490.91448110952314</v>
      </c>
      <c r="EV565" s="76">
        <f>+EV567*AVERAGE(EU99:EV99)/1000</f>
        <v>190.38107310490756</v>
      </c>
      <c r="EW565" s="76">
        <f>+EW567*AVERAGE(EV99:EW99)/1000</f>
        <v>50.621871311894893</v>
      </c>
      <c r="EX565" s="85">
        <f>+SUM(ET565:EW565)</f>
        <v>1211.0904649827019</v>
      </c>
      <c r="EY565" s="76">
        <f>+EY567*AVERAGE(EX99:EY99)/1000</f>
        <v>434.22965206703316</v>
      </c>
      <c r="EZ565" s="76">
        <f>+EZ567*AVERAGE(EY99:EZ99)/1000</f>
        <v>444.83910002977564</v>
      </c>
      <c r="FA565" s="76">
        <f>+FA567*AVERAGE(EZ99:FA99)/1000</f>
        <v>172.52444022329149</v>
      </c>
      <c r="FB565" s="76">
        <f>FC565-SUM(EY565:FA565)</f>
        <v>-234.6731077138686</v>
      </c>
      <c r="FC565" s="85">
        <f>FC573-FC547-FC559</f>
        <v>816.92008460623174</v>
      </c>
      <c r="FD565" s="76">
        <f>+FD567*AVERAGE(FC99:FD99)/1000</f>
        <v>213.94895703522076</v>
      </c>
      <c r="FE565" s="76">
        <f>+FE567*AVERAGE(FD99:FE99)/1000</f>
        <v>214.23543655442222</v>
      </c>
      <c r="FF565" s="76">
        <f>+FF567*AVERAGE(FE99:FF99)/1000</f>
        <v>214.54560454953773</v>
      </c>
      <c r="FG565" s="76">
        <f>FH565-SUM(FD565:FF565)</f>
        <v>215.7556388341111</v>
      </c>
      <c r="FH565" s="85">
        <f>FH573-FH547-FH559</f>
        <v>858.48563697329178</v>
      </c>
      <c r="FI565" s="85">
        <f>+FI567*AVERAGE(FH99:FI99)/1000</f>
        <v>734.52816217559894</v>
      </c>
      <c r="FJ565" s="85">
        <f>+FJ567*AVERAGE(FI99:FJ99)/1000</f>
        <v>732.27316071771975</v>
      </c>
      <c r="FK565" s="85">
        <f>+FK567*AVERAGE(FJ99:FK99)/1000</f>
        <v>730.02508211431632</v>
      </c>
      <c r="FL565" s="85">
        <f>+FL567*AVERAGE(FK99:FL99)/1000</f>
        <v>727.78390511222528</v>
      </c>
      <c r="FM565" s="85">
        <f>+FM567*AVERAGE(FL99:FM99)/1000</f>
        <v>725.54960852353065</v>
      </c>
      <c r="FN565" s="189">
        <f>+(FJ565/ES565)^0.2-1</f>
        <v>-0.14088318112747744</v>
      </c>
    </row>
    <row r="566" spans="1:170" x14ac:dyDescent="0.3">
      <c r="A566" s="70" t="s">
        <v>500</v>
      </c>
      <c r="DU566" s="136">
        <f>+DU565/(DU451+DU453)/3*1000</f>
        <v>36.452730966893746</v>
      </c>
      <c r="DV566" s="136">
        <f>+DV565/(DV451+DV453)/3*1000</f>
        <v>33.333333333333336</v>
      </c>
      <c r="DW566" s="136">
        <f>+DW565/(DW451+DW453)/3*1000</f>
        <v>39.25925925925926</v>
      </c>
      <c r="DX566" s="136">
        <f>+DX565/(DX451+DX453)/3*1000</f>
        <v>41.079591708936071</v>
      </c>
      <c r="DY566" s="137">
        <f>+DY565/(DY451+DY453)/12*1000</f>
        <v>37.490634986162718</v>
      </c>
      <c r="DZ566" s="136">
        <f>+DZ565/(DZ451+DZ453)/3*1000</f>
        <v>23.913232756495582</v>
      </c>
      <c r="EA566" s="136">
        <f>+EA565/(EA451+EA453)/3*1000</f>
        <v>18.8473496128648</v>
      </c>
      <c r="EB566" s="136">
        <f>+EB565/(EB451+EB453)/3*1000</f>
        <v>27.492589249899723</v>
      </c>
      <c r="EC566" s="136">
        <f>+EC565/(EC451+EC453)/3*1000</f>
        <v>28.063648909183158</v>
      </c>
      <c r="ED566" s="137">
        <f>+ED565/(ED451+ED453)/12*1000</f>
        <v>24.551604170568773</v>
      </c>
      <c r="EE566" s="136">
        <f>+EE565/(EE451+EE453)/3*1000</f>
        <v>28.419544545314661</v>
      </c>
      <c r="EF566" s="136">
        <f>+EF565/(EF451+EF453)/3*1000</f>
        <v>25.689991706836672</v>
      </c>
      <c r="EG566" s="136">
        <f>+EG565/(EG451+EG453)/3*1000</f>
        <v>20.991299523734757</v>
      </c>
      <c r="EH566" s="136">
        <f>+EH565/(EH451+EH453)/3*1000</f>
        <v>36.35849794887978</v>
      </c>
      <c r="EI566" s="137">
        <f>+EI565/(EI451+EI453)/12*1000</f>
        <v>27.852116212245324</v>
      </c>
      <c r="EJ566" s="136">
        <f>+EJ565/(EJ451+EJ453)/3*1000</f>
        <v>15.913274813177555</v>
      </c>
      <c r="EK566" s="136">
        <f>+EK565/(EK451+EK453)/3*1000</f>
        <v>26.02049346818373</v>
      </c>
      <c r="EL566" s="136">
        <f>+EL565/(EL451+EL453)/3*1000</f>
        <v>26.048233613712117</v>
      </c>
      <c r="EM566" s="136">
        <f>+EM565/(EM451+EM453)/3*1000</f>
        <v>29.48611994687915</v>
      </c>
      <c r="EN566" s="137">
        <f>+EN565/(EN451+EN453)/12*1000</f>
        <v>24.352471986686744</v>
      </c>
      <c r="EO566" s="136">
        <f>+EO565/(EO451+EO453)/3*1000</f>
        <v>56.528320266688993</v>
      </c>
      <c r="EP566" s="136">
        <f>+EP565/(EP451+EP453)/3*1000</f>
        <v>57.883398152934483</v>
      </c>
      <c r="EQ566" s="136">
        <f>+EQ565/(EQ451+EQ453)/3*1000</f>
        <v>44.994597802237671</v>
      </c>
      <c r="ER566" s="136">
        <f>+ER565/(ER451+ER453)/3*1000</f>
        <v>7.1616539255937131</v>
      </c>
      <c r="ES566" s="137">
        <f>+ES565/(ES451+ES453)/12*1000</f>
        <v>41.670163175357096</v>
      </c>
      <c r="ET566" s="136">
        <f>+ET565/(ET451+ET453)/3*1000</f>
        <v>50.747210732801634</v>
      </c>
      <c r="EU566" s="136">
        <f>+EU565/(EU451+EU453)/3*1000</f>
        <v>51.614273820627716</v>
      </c>
      <c r="EV566" s="136">
        <f>+EV565/(EV451+EV453)/3*1000</f>
        <v>19.933106437607716</v>
      </c>
      <c r="EW566" s="136">
        <f>+EW565/(EW451+EW453)/3*1000</f>
        <v>5.2565657770702714</v>
      </c>
      <c r="EX566" s="137">
        <f>+EX565/(EX451+EX453)/12*1000</f>
        <v>31.758157331555662</v>
      </c>
      <c r="EY566" s="136">
        <f>+EY565/(EY451+EY453)/3*1000</f>
        <v>44.353568644539017</v>
      </c>
      <c r="EZ566" s="136">
        <f>+EZ565/(EZ451+EZ453)/3*1000</f>
        <v>44.696327930947653</v>
      </c>
      <c r="FA566" s="136">
        <f>+FA565/(FA451+FA453)/3*1000</f>
        <v>17.117697296805709</v>
      </c>
      <c r="FB566" s="136">
        <f>+FB565/(FB451+FB453)/3*1000</f>
        <v>-22.910247561640553</v>
      </c>
      <c r="FC566" s="137">
        <f>+FC565/(FC451+FC453)/12*1000</f>
        <v>20.390108513356989</v>
      </c>
      <c r="FD566" s="136">
        <f>+FD565/(FD451+FD453)/3*1000</f>
        <v>20.420351850346918</v>
      </c>
      <c r="FE566" s="136">
        <f>+FE565/(FE451+FE453)/3*1000</f>
        <v>20.026816947485877</v>
      </c>
      <c r="FF566" s="136">
        <f>+FF565/(FF451+FF453)/3*1000</f>
        <v>19.731947392273522</v>
      </c>
      <c r="FG566" s="136">
        <f>+FG565/(FG451+FG453)/3*1000</f>
        <v>19.471148345567375</v>
      </c>
      <c r="FH566" s="137">
        <f t="shared" ref="FH566:FM566" si="2655">+FH565/(FH451+FH453)/12*1000</f>
        <v>19.905314734301022</v>
      </c>
      <c r="FI566" s="136">
        <f t="shared" si="2655"/>
        <v>15.842093993179624</v>
      </c>
      <c r="FJ566" s="136">
        <f t="shared" si="2655"/>
        <v>14.832252022901857</v>
      </c>
      <c r="FK566" s="136">
        <f t="shared" si="2655"/>
        <v>14.070691690711346</v>
      </c>
      <c r="FL566" s="136">
        <f t="shared" si="2655"/>
        <v>13.536060973915113</v>
      </c>
      <c r="FM566" s="136">
        <f t="shared" si="2655"/>
        <v>13.186287101715621</v>
      </c>
    </row>
    <row r="567" spans="1:170" x14ac:dyDescent="0.3">
      <c r="A567" s="70" t="s">
        <v>489</v>
      </c>
      <c r="DU567" s="136">
        <f>+DU565/AVERAGE(DT$99:DU$99)*1000</f>
        <v>20.065789473684209</v>
      </c>
      <c r="DV567" s="136">
        <f>+DV565/AVERAGE(DU$99:DV$99)*1000</f>
        <v>18.092105263157894</v>
      </c>
      <c r="DW567" s="136">
        <f>+DW565/AVERAGE(DV$99:DW$99)*1000</f>
        <v>20.921052631578949</v>
      </c>
      <c r="DX567" s="136">
        <f>+DX565/AVERAGE(DW$99:DX$99)*1000</f>
        <v>21.578947368421051</v>
      </c>
      <c r="DY567" s="137">
        <f>+DY565/AVERAGE(DU$99:DX$99)*1000</f>
        <v>80.65789473684211</v>
      </c>
      <c r="DZ567" s="136">
        <f>+DZ565/AVERAGE(DY$99:DZ$99)*1000</f>
        <v>15.95500328947368</v>
      </c>
      <c r="EA567" s="136">
        <f>+EA565/AVERAGE(DZ$99:EA$99)*1000</f>
        <v>12.491328947368421</v>
      </c>
      <c r="EB567" s="136">
        <f>+EB565/AVERAGE(EA$99:EB$99)*1000</f>
        <v>18.03658552631579</v>
      </c>
      <c r="EC567" s="136">
        <f>+EC565/AVERAGE(EB$99:EC$99)*1000</f>
        <v>18.19521447368421</v>
      </c>
      <c r="ED567" s="137">
        <f>+ED565/AVERAGE(DZ$99:EC$99)*1000</f>
        <v>64.678132236842103</v>
      </c>
      <c r="EE567" s="136">
        <f>+EE565/AVERAGE(ED$99:EE$99)*1000</f>
        <v>18.226837499999995</v>
      </c>
      <c r="EF567" s="136">
        <f>+EF565/AVERAGE(EE$99:EF$99)*1000</f>
        <v>16.250393770491801</v>
      </c>
      <c r="EG567" s="136">
        <f>+EG565/AVERAGE(EF$99:EG$99)*1000</f>
        <v>13.107214379084965</v>
      </c>
      <c r="EH567" s="136">
        <f>+EH565/AVERAGE(EG$99:EH$99)*1000</f>
        <v>22.592172549019612</v>
      </c>
      <c r="EI567" s="137">
        <f>+EI565/AVERAGE(EE$99:EH$99)*1000</f>
        <v>70.118956137479543</v>
      </c>
      <c r="EJ567" s="136">
        <f>+EJ565/AVERAGE(EI$99:EJ$99)*1000</f>
        <v>9.8818316339869252</v>
      </c>
      <c r="EK567" s="136">
        <f>+EK565/AVERAGE(EJ$99:EK$99)*1000</f>
        <v>16.142910065359473</v>
      </c>
      <c r="EL567" s="136">
        <f>+EL565/AVERAGE(EK$99:EL$99)*1000</f>
        <v>16.091168627450987</v>
      </c>
      <c r="EM567" s="136">
        <f>+EM565/AVERAGE(EL$99:EM$99)*1000</f>
        <v>18.080658241042347</v>
      </c>
      <c r="EN567" s="137">
        <f>+EN565/AVERAGE(EJ$99:EM$99)*1000</f>
        <v>60.157359347471449</v>
      </c>
      <c r="EO567" s="136">
        <f>+EO565/AVERAGE(EN$99:EO$99)*1000</f>
        <v>34.539170749961691</v>
      </c>
      <c r="EP567" s="136">
        <f>+EP565/AVERAGE(EO$99:EP$99)*1000</f>
        <v>35.333304177705237</v>
      </c>
      <c r="EQ567" s="136">
        <f>+EQ565/AVERAGE(EP$99:EQ$99)*1000</f>
        <v>27.369278890419569</v>
      </c>
      <c r="ER567" s="136">
        <f>+ER565/AVERAGE(EQ$99:ER$99)*1000</f>
        <v>4.3576803967386946</v>
      </c>
      <c r="ES567" s="137">
        <f>+ES565/AVERAGE(EO$99:ER$99)*1000</f>
        <v>101.59943421482521</v>
      </c>
      <c r="ET567" s="650">
        <f>EO567*0.9</f>
        <v>31.085253674965521</v>
      </c>
      <c r="EU567" s="650">
        <f>EP567*0.9</f>
        <v>31.799973759934716</v>
      </c>
      <c r="EV567" s="650">
        <f>EQ567*0.45</f>
        <v>12.316175500688805</v>
      </c>
      <c r="EW567" s="650">
        <f>ER567*0.75</f>
        <v>3.2682602975540211</v>
      </c>
      <c r="EX567" s="137">
        <f>+EX565/AVERAGE(ET$99:EW$99)*1000</f>
        <v>78.3205388202026</v>
      </c>
      <c r="EY567" s="650">
        <f t="shared" ref="EY567:FA567" si="2656">ET567*0.9</f>
        <v>27.976728307468971</v>
      </c>
      <c r="EZ567" s="650">
        <f t="shared" si="2656"/>
        <v>28.619976383941246</v>
      </c>
      <c r="FA567" s="650">
        <f t="shared" si="2656"/>
        <v>11.084557950619924</v>
      </c>
      <c r="FB567" s="136">
        <f>+FB565/AVERAGE(FA$99:FB$99)*1000</f>
        <v>-15.046218812951379</v>
      </c>
      <c r="FC567" s="137">
        <f>+FC565/AVERAGE(EY$99:FB$99)*1000</f>
        <v>52.467951360630366</v>
      </c>
      <c r="FD567" s="650">
        <f>FH567/4</f>
        <v>13.68998666651394</v>
      </c>
      <c r="FE567" s="650">
        <f>FD567</f>
        <v>13.68998666651394</v>
      </c>
      <c r="FF567" s="650">
        <f>FE567</f>
        <v>13.68998666651394</v>
      </c>
      <c r="FG567" s="136">
        <f>+FG565/AVERAGE(FF$99:FG$99)*1000</f>
        <v>13.737629807497791</v>
      </c>
      <c r="FH567" s="137">
        <f>+FH565/AVERAGE(FD$99:FG$99)*1000</f>
        <v>54.759946666055761</v>
      </c>
      <c r="FI567" s="650">
        <f>FH567*0.85</f>
        <v>46.545954666147395</v>
      </c>
      <c r="FJ567" s="650">
        <f t="shared" ref="FJ567:FM567" si="2657">FI567*0.99</f>
        <v>46.080495119485924</v>
      </c>
      <c r="FK567" s="650">
        <f t="shared" si="2657"/>
        <v>45.619690168291065</v>
      </c>
      <c r="FL567" s="650">
        <f t="shared" si="2657"/>
        <v>45.163493266608157</v>
      </c>
      <c r="FM567" s="650">
        <f t="shared" si="2657"/>
        <v>44.711858333942075</v>
      </c>
    </row>
    <row r="568" spans="1:170" x14ac:dyDescent="0.3">
      <c r="A568" s="70" t="s">
        <v>501</v>
      </c>
      <c r="DU568" s="77">
        <f>+DU94</f>
        <v>11977</v>
      </c>
      <c r="DV568" s="77">
        <f>+DV94</f>
        <v>11977</v>
      </c>
      <c r="DW568" s="77">
        <f>+DW94</f>
        <v>11977</v>
      </c>
      <c r="DX568" s="77">
        <f>+DX94</f>
        <v>11977</v>
      </c>
      <c r="DY568" s="86">
        <f>+DX568</f>
        <v>11977</v>
      </c>
      <c r="DZ568" s="77">
        <f>+DZ94</f>
        <v>11968</v>
      </c>
      <c r="EA568" s="77">
        <f>+EA94</f>
        <v>11960</v>
      </c>
      <c r="EB568" s="77">
        <f>+EB94</f>
        <v>11951</v>
      </c>
      <c r="EC568" s="77">
        <f>+EC94</f>
        <v>11891</v>
      </c>
      <c r="ED568" s="86">
        <f>+EC568</f>
        <v>11891</v>
      </c>
      <c r="EE568" s="77">
        <f>+EE94</f>
        <v>11787</v>
      </c>
      <c r="EF568" s="77">
        <f>+EF94</f>
        <v>11730</v>
      </c>
      <c r="EG568" s="77">
        <f>+EG94</f>
        <v>11545</v>
      </c>
      <c r="EH568" s="77">
        <f>+EH94</f>
        <v>11353</v>
      </c>
      <c r="EI568" s="86">
        <f>+EH568</f>
        <v>11353</v>
      </c>
      <c r="EJ568" s="77">
        <f>+EJ94</f>
        <v>11142</v>
      </c>
      <c r="EK568" s="77">
        <f>+EK94</f>
        <v>10861</v>
      </c>
      <c r="EL568" s="77">
        <f>+EL94</f>
        <v>10510</v>
      </c>
      <c r="EM568" s="77">
        <f>+EM94</f>
        <v>10229</v>
      </c>
      <c r="EN568" s="86">
        <f>+EM568</f>
        <v>10229</v>
      </c>
      <c r="EO568" s="77">
        <f>+EO94</f>
        <v>9890</v>
      </c>
      <c r="EP568" s="77">
        <f>+EP94</f>
        <v>9574</v>
      </c>
      <c r="EQ568" s="77">
        <f>+EQ94</f>
        <v>9242</v>
      </c>
      <c r="ER568" s="77">
        <f>+ER94</f>
        <v>8909</v>
      </c>
      <c r="ES568" s="86">
        <f>+ER568</f>
        <v>8909</v>
      </c>
      <c r="ET568" s="77">
        <f>+ET94</f>
        <v>8599.6045749999994</v>
      </c>
      <c r="EU568" s="77">
        <f>+EU94</f>
        <v>8299.5454999999984</v>
      </c>
      <c r="EV568" s="77">
        <f>+EV94</f>
        <v>7992.0700000000015</v>
      </c>
      <c r="EW568" s="77">
        <f>+EW94</f>
        <v>7696.7999999999993</v>
      </c>
      <c r="EX568" s="86">
        <f>+EW568</f>
        <v>7696.7999999999993</v>
      </c>
      <c r="EY568" s="77">
        <f>+EY94</f>
        <v>7384.4038842266255</v>
      </c>
      <c r="EZ568" s="77">
        <f>+EZ94</f>
        <v>7085.5127540118483</v>
      </c>
      <c r="FA568" s="77">
        <f>+FA94</f>
        <v>6779.2775851000024</v>
      </c>
      <c r="FB568" s="77">
        <f>+FB94</f>
        <v>6485.3545999999969</v>
      </c>
      <c r="FC568" s="86">
        <f>+FB568</f>
        <v>6485.3545999999969</v>
      </c>
      <c r="FD568" s="77">
        <f>+FD94</f>
        <v>6169.9150001078542</v>
      </c>
      <c r="FE568" s="77">
        <f>+FE94</f>
        <v>5872.207017563298</v>
      </c>
      <c r="FF568" s="77">
        <f>+FF94</f>
        <v>5685.2281187647477</v>
      </c>
      <c r="FG568" s="77">
        <f>+FG94</f>
        <v>5725.6690821999946</v>
      </c>
      <c r="FH568" s="86">
        <f>+FG568</f>
        <v>5725.6690821999946</v>
      </c>
      <c r="FI568" s="77">
        <f>+FI94</f>
        <v>5735.7487657753936</v>
      </c>
      <c r="FJ568" s="77">
        <f>+FJ94</f>
        <v>5745.5990071358192</v>
      </c>
      <c r="FK568" s="77">
        <f>+FK94</f>
        <v>5755.2152001857685</v>
      </c>
      <c r="FL568" s="77">
        <f>+FL94</f>
        <v>5764.5926765870681</v>
      </c>
      <c r="FM568" s="77">
        <f>+FM94</f>
        <v>5773.7267050231749</v>
      </c>
    </row>
    <row r="569" spans="1:170" x14ac:dyDescent="0.3">
      <c r="A569" s="70" t="s">
        <v>502</v>
      </c>
      <c r="DU569" s="136">
        <f>+DU567</f>
        <v>20.065789473684209</v>
      </c>
      <c r="DV569" s="136">
        <f>+DV565/AVERAGE(DU$568:DV$568)*1000</f>
        <v>22.960674626367204</v>
      </c>
      <c r="DW569" s="136">
        <f>+DW565/AVERAGE(DV$568:DW$568)*1000</f>
        <v>26.550889204308259</v>
      </c>
      <c r="DX569" s="136">
        <f>+DX565/AVERAGE(DW$568:DX$568)*1000</f>
        <v>27.385822827085249</v>
      </c>
      <c r="DY569" s="137">
        <f>+DY565/AVERAGE(DU$568:DX$568)*1000</f>
        <v>102.36286215245887</v>
      </c>
      <c r="DZ569" s="136">
        <f>+DZ565/AVERAGE(DY$568:DZ$568)*1000</f>
        <v>20.256091041971182</v>
      </c>
      <c r="EA569" s="136">
        <f>+EA565/AVERAGE(DZ$568:EA$568)*1000</f>
        <v>15.869959879638916</v>
      </c>
      <c r="EB569" s="136">
        <f>+EB565/AVERAGE(EA$568:EB$568)*1000</f>
        <v>22.931378863284682</v>
      </c>
      <c r="EC569" s="136">
        <f>+EC565/AVERAGE(EB$568:EC$568)*1000</f>
        <v>23.200005033134808</v>
      </c>
      <c r="ED569" s="137">
        <f>+ED565/AVERAGE(DZ$568:EC$568)*1000</f>
        <v>82.320084571907046</v>
      </c>
      <c r="EE569" s="136">
        <f>+EE565/AVERAGE(ED$568:EE$568)*1000</f>
        <v>23.401294872877774</v>
      </c>
      <c r="EF569" s="136">
        <f>+EF565/AVERAGE(EE$568:EF$568)*1000</f>
        <v>21.075690351660498</v>
      </c>
      <c r="EG569" s="136">
        <f>+EG565/AVERAGE(EF$568:EG$568)*1000</f>
        <v>17.232256068743283</v>
      </c>
      <c r="EH569" s="136">
        <f>+EH565/AVERAGE(EG$568:EH$568)*1000</f>
        <v>30.191304044021315</v>
      </c>
      <c r="EI569" s="137">
        <f>+EI565/AVERAGE(EE$568:EH$568)*1000</f>
        <v>92.303527307982336</v>
      </c>
      <c r="EJ569" s="136">
        <f>+EJ565/AVERAGE(EI$568:EJ$568)*1000</f>
        <v>13.442278195154474</v>
      </c>
      <c r="EK569" s="136">
        <f>+EK565/AVERAGE(EJ$568:EK$568)*1000</f>
        <v>22.450258964686629</v>
      </c>
      <c r="EL569" s="136">
        <f>+EL565/AVERAGE(EK$568:EL$568)*1000</f>
        <v>23.040089841373831</v>
      </c>
      <c r="EM569" s="136">
        <f>+EM565/AVERAGE(EL$568:EM$568)*1000</f>
        <v>26.764849221273927</v>
      </c>
      <c r="EN569" s="137">
        <f>+EN565/AVERAGE(EJ$568:EM$568)*1000</f>
        <v>86.276873520190904</v>
      </c>
      <c r="EO569" s="136">
        <f>+EO565/AVERAGE(EN$568:EO$568)*1000</f>
        <v>52.875712465769681</v>
      </c>
      <c r="EP569" s="136">
        <f>+EP565/AVERAGE(EO$568:EP$568)*1000</f>
        <v>55.911722599328051</v>
      </c>
      <c r="EQ569" s="136">
        <f>+EQ565/AVERAGE(EP$568:EQ$568)*1000</f>
        <v>44.800902945627271</v>
      </c>
      <c r="ER569" s="136">
        <f>+ER565/AVERAGE(EQ$568:ER$568)*1000</f>
        <v>7.3944441749518912</v>
      </c>
      <c r="ES569" s="137">
        <f>+ES565/AVERAGE(EO$568:ER$568)*1000</f>
        <v>166.38376040497761</v>
      </c>
      <c r="ET569" s="136">
        <f t="shared" ref="ET569:EW569" si="2658">+ET565/AVERAGE(ES$568:ET$568)*1000</f>
        <v>54.735720074525283</v>
      </c>
      <c r="EU569" s="136">
        <f t="shared" si="2658"/>
        <v>58.099310193802538</v>
      </c>
      <c r="EV569" s="136">
        <f t="shared" si="2658"/>
        <v>23.371662939738243</v>
      </c>
      <c r="EW569" s="136">
        <f t="shared" si="2658"/>
        <v>6.4532208262156407</v>
      </c>
      <c r="EX569" s="137">
        <f>+EX565/AVERAGE(ET$568:EW$568)*1000</f>
        <v>148.6546850278632</v>
      </c>
      <c r="EY569" s="136">
        <f t="shared" ref="EY569" si="2659">+EY565/AVERAGE(EX$568:EY$568)*1000</f>
        <v>57.585542294961257</v>
      </c>
      <c r="EZ569" s="136">
        <f t="shared" ref="EZ569" si="2660">+EZ565/AVERAGE(EY$568:EZ$568)*1000</f>
        <v>61.484680409869874</v>
      </c>
      <c r="FA569" s="136">
        <f t="shared" ref="FA569" si="2661">+FA565/AVERAGE(EZ$568:FA$568)*1000</f>
        <v>24.88670019576265</v>
      </c>
      <c r="FB569" s="136">
        <f t="shared" ref="FB569" si="2662">+FB565/AVERAGE(FA$568:FB$568)*1000</f>
        <v>-35.38328156245057</v>
      </c>
      <c r="FC569" s="137">
        <f>+FC565/AVERAGE(EY$568:FB$568)*1000</f>
        <v>117.81984842223903</v>
      </c>
      <c r="FD569" s="136">
        <f t="shared" ref="FD569" si="2663">+FD565/AVERAGE(FC$568:FD$568)*1000</f>
        <v>33.811837091704064</v>
      </c>
      <c r="FE569" s="136">
        <f t="shared" ref="FE569" si="2664">+FE565/AVERAGE(FD$568:FE$568)*1000</f>
        <v>35.58101076206394</v>
      </c>
      <c r="FF569" s="136">
        <f t="shared" ref="FF569" si="2665">+FF565/AVERAGE(FE$568:FF$568)*1000</f>
        <v>37.12685418846344</v>
      </c>
      <c r="FG569" s="136">
        <f t="shared" ref="FG569" si="2666">+FG565/AVERAGE(FF$568:FG$568)*1000</f>
        <v>37.815718612532919</v>
      </c>
      <c r="FH569" s="137">
        <f>+FH565/AVERAGE(FD$568:FG$568)*1000</f>
        <v>146.41793092313409</v>
      </c>
      <c r="FI569" s="136">
        <f t="shared" ref="FI569:FM569" si="2667">+FI565/AVERAGE(FH$568:FI$568)*1000</f>
        <v>128.17404825797365</v>
      </c>
      <c r="FJ569" s="136">
        <f t="shared" si="2667"/>
        <v>127.55874575028997</v>
      </c>
      <c r="FK569" s="136">
        <f t="shared" si="2667"/>
        <v>126.95189557093647</v>
      </c>
      <c r="FL569" s="136">
        <f t="shared" si="2667"/>
        <v>126.35347965822271</v>
      </c>
      <c r="FM569" s="136">
        <f t="shared" si="2667"/>
        <v>125.7634815829263</v>
      </c>
    </row>
    <row r="570" spans="1:170" x14ac:dyDescent="0.3">
      <c r="A570" s="70" t="s">
        <v>503</v>
      </c>
      <c r="DU570" s="75"/>
      <c r="DV570" s="75"/>
      <c r="DW570" s="75"/>
      <c r="DX570" s="75"/>
      <c r="DY570" s="84"/>
      <c r="DZ570" s="75">
        <f t="shared" ref="DZ570:FM570" si="2668">+DZ565/DZ12</f>
        <v>0.13555955841252093</v>
      </c>
      <c r="EA570" s="75">
        <f t="shared" si="2668"/>
        <v>0.10824868871151654</v>
      </c>
      <c r="EB570" s="75">
        <f t="shared" si="2668"/>
        <v>0.15874701795020268</v>
      </c>
      <c r="EC570" s="75">
        <f t="shared" si="2668"/>
        <v>0.16307031839622643</v>
      </c>
      <c r="ED570" s="84">
        <f t="shared" si="2668"/>
        <v>0.14112943008900375</v>
      </c>
      <c r="EE570" s="75">
        <f t="shared" si="2668"/>
        <v>0.1654017492537313</v>
      </c>
      <c r="EF570" s="75">
        <f t="shared" si="2668"/>
        <v>0.15325819727891155</v>
      </c>
      <c r="EG570" s="75">
        <f t="shared" si="2668"/>
        <v>0.12724643401015226</v>
      </c>
      <c r="EH570" s="75">
        <f t="shared" si="2668"/>
        <v>0.22401830200907327</v>
      </c>
      <c r="EI570" s="84">
        <f t="shared" si="2668"/>
        <v>0.16706708079862737</v>
      </c>
      <c r="EJ570" s="75">
        <f t="shared" si="2668"/>
        <v>0.10448654042847266</v>
      </c>
      <c r="EK570" s="75">
        <f t="shared" si="2668"/>
        <v>0.16928480054832076</v>
      </c>
      <c r="EL570" s="75">
        <f t="shared" si="2668"/>
        <v>0.17049506925207761</v>
      </c>
      <c r="EM570" s="75">
        <f t="shared" si="2668"/>
        <v>0.19313716353514265</v>
      </c>
      <c r="EN570" s="84">
        <f t="shared" si="2668"/>
        <v>0.15930733229652669</v>
      </c>
      <c r="EO570" s="75">
        <f t="shared" si="2668"/>
        <v>0.36937724274264588</v>
      </c>
      <c r="EP570" s="75">
        <f t="shared" si="2668"/>
        <v>0.37552303956981409</v>
      </c>
      <c r="EQ570" s="75">
        <f t="shared" si="2668"/>
        <v>0.29351455077469457</v>
      </c>
      <c r="ER570" s="75">
        <f t="shared" si="2668"/>
        <v>4.7060503583293056E-2</v>
      </c>
      <c r="ES570" s="84">
        <f t="shared" si="2668"/>
        <v>0.27206247381469451</v>
      </c>
      <c r="ET570" s="75">
        <f t="shared" si="2668"/>
        <v>0.33452138382081364</v>
      </c>
      <c r="EU570" s="75">
        <f t="shared" si="2668"/>
        <v>0.33957474465782683</v>
      </c>
      <c r="EV570" s="75">
        <f t="shared" si="2668"/>
        <v>0.13212733020799725</v>
      </c>
      <c r="EW570" s="75">
        <f t="shared" si="2668"/>
        <v>3.5219104381788449E-2</v>
      </c>
      <c r="EX570" s="84">
        <f t="shared" si="2668"/>
        <v>0.21039316953265308</v>
      </c>
      <c r="EY570" s="75">
        <f t="shared" si="2668"/>
        <v>0.29975837170872416</v>
      </c>
      <c r="EZ570" s="75">
        <f t="shared" si="2668"/>
        <v>0.30197965558368262</v>
      </c>
      <c r="FA570" s="75">
        <f t="shared" si="2668"/>
        <v>0.11697741518388968</v>
      </c>
      <c r="FB570" s="75">
        <f t="shared" si="2668"/>
        <v>-0.15858031308193996</v>
      </c>
      <c r="FC570" s="84">
        <f t="shared" si="2668"/>
        <v>0.13901791707994585</v>
      </c>
      <c r="FD570" s="75">
        <f t="shared" si="2668"/>
        <v>0.14257245307217831</v>
      </c>
      <c r="FE570" s="75">
        <f t="shared" si="2668"/>
        <v>0.13964054404375542</v>
      </c>
      <c r="FF570" s="75">
        <f t="shared" si="2668"/>
        <v>0.13921754776488962</v>
      </c>
      <c r="FG570" s="75">
        <f t="shared" si="2668"/>
        <v>0.13908614729101967</v>
      </c>
      <c r="FH570" s="84">
        <f t="shared" si="2668"/>
        <v>0.14011186428986042</v>
      </c>
      <c r="FI570" s="75">
        <f t="shared" si="2668"/>
        <v>0.1141348234955438</v>
      </c>
      <c r="FJ570" s="75">
        <f t="shared" si="2668"/>
        <v>0.10837203145741735</v>
      </c>
      <c r="FK570" s="75">
        <f t="shared" si="2668"/>
        <v>0.10317784168609334</v>
      </c>
      <c r="FL570" s="75">
        <f t="shared" si="2668"/>
        <v>9.865302577327284E-2</v>
      </c>
      <c r="FM570" s="75">
        <f t="shared" si="2668"/>
        <v>9.4757762134522042E-2</v>
      </c>
    </row>
    <row r="571" spans="1:170" hidden="1" outlineLevel="1" x14ac:dyDescent="0.3">
      <c r="A571" s="70" t="s">
        <v>3605</v>
      </c>
      <c r="DU571" s="75"/>
      <c r="DV571" s="75"/>
      <c r="DW571" s="75"/>
      <c r="DX571" s="75"/>
      <c r="DY571" s="84"/>
      <c r="DZ571" s="96"/>
      <c r="EA571" s="96"/>
      <c r="EB571" s="96"/>
      <c r="EC571" s="96"/>
      <c r="ED571" s="1206"/>
      <c r="EE571" s="96">
        <f>+EI571/4</f>
        <v>2.6390000000000002</v>
      </c>
      <c r="EF571" s="96">
        <f>+EE571</f>
        <v>2.6390000000000002</v>
      </c>
      <c r="EG571" s="96">
        <f>+EF571</f>
        <v>2.6390000000000002</v>
      </c>
      <c r="EH571" s="96">
        <f>+EG571</f>
        <v>2.6390000000000002</v>
      </c>
      <c r="EI571" s="1206">
        <f>+Analysis!D4609</f>
        <v>10.556000000000001</v>
      </c>
      <c r="EJ571" s="96">
        <f>EN571/4</f>
        <v>7.1890000000000001</v>
      </c>
      <c r="EK571" s="96">
        <f>+EJ571</f>
        <v>7.1890000000000001</v>
      </c>
      <c r="EL571" s="96">
        <f>+EK571</f>
        <v>7.1890000000000001</v>
      </c>
      <c r="EM571" s="96">
        <f>+EL571</f>
        <v>7.1890000000000001</v>
      </c>
      <c r="EN571" s="1206">
        <f>+Analysis!E4609</f>
        <v>28.756</v>
      </c>
      <c r="EO571" s="96">
        <f>ES571/4</f>
        <v>12.247083333333336</v>
      </c>
      <c r="EP571" s="96">
        <f t="shared" ref="EP571:ER571" si="2669">+EO571</f>
        <v>12.247083333333336</v>
      </c>
      <c r="EQ571" s="96">
        <f t="shared" si="2669"/>
        <v>12.247083333333336</v>
      </c>
      <c r="ER571" s="96">
        <f t="shared" si="2669"/>
        <v>12.247083333333336</v>
      </c>
      <c r="ES571" s="80">
        <f>+Analysis!F4609</f>
        <v>48.988333333333344</v>
      </c>
      <c r="ET571" s="96">
        <f t="shared" ref="ET571:EW571" si="2670">+ES571</f>
        <v>48.988333333333344</v>
      </c>
      <c r="EU571" s="96">
        <f t="shared" si="2670"/>
        <v>48.988333333333344</v>
      </c>
      <c r="EV571" s="96">
        <f t="shared" si="2670"/>
        <v>48.988333333333344</v>
      </c>
      <c r="EW571" s="96">
        <f t="shared" si="2670"/>
        <v>48.988333333333344</v>
      </c>
      <c r="EX571" s="80">
        <f>+Analysis!K4609</f>
        <v>150.15</v>
      </c>
      <c r="EY571" s="96">
        <f t="shared" ref="EY571" si="2671">+EX571</f>
        <v>150.15</v>
      </c>
      <c r="EZ571" s="96">
        <f t="shared" ref="EZ571" si="2672">+EY571</f>
        <v>150.15</v>
      </c>
      <c r="FA571" s="96">
        <f t="shared" ref="FA571" si="2673">+EZ571</f>
        <v>150.15</v>
      </c>
      <c r="FB571" s="96">
        <f t="shared" ref="FB571" si="2674">+FA571</f>
        <v>150.15</v>
      </c>
      <c r="FC571" s="80">
        <f>+Analysis!H4609</f>
        <v>89.453000000000003</v>
      </c>
      <c r="FD571" s="96">
        <f t="shared" ref="FD571" si="2675">+FC571</f>
        <v>89.453000000000003</v>
      </c>
      <c r="FE571" s="96">
        <f t="shared" ref="FE571" si="2676">+FD571</f>
        <v>89.453000000000003</v>
      </c>
      <c r="FF571" s="96">
        <f t="shared" ref="FF571" si="2677">+FE571</f>
        <v>89.453000000000003</v>
      </c>
      <c r="FG571" s="96">
        <f t="shared" ref="FG571" si="2678">+FF571</f>
        <v>89.453000000000003</v>
      </c>
      <c r="FH571" s="80">
        <f>+Analysis!I4609</f>
        <v>109.68533333333335</v>
      </c>
      <c r="FI571" s="80">
        <f>+Analysis!J4609</f>
        <v>129.91766666666669</v>
      </c>
      <c r="FJ571" s="80">
        <f>+Analysis!K4609</f>
        <v>150.15</v>
      </c>
      <c r="FK571" s="80">
        <f>+Analysis!L4609</f>
        <v>150.15</v>
      </c>
      <c r="FL571" s="80">
        <f>+Analysis!M4609</f>
        <v>150.15</v>
      </c>
      <c r="FM571" s="80">
        <f>+Analysis!N4609</f>
        <v>150.15</v>
      </c>
    </row>
    <row r="572" spans="1:170" collapsed="1" x14ac:dyDescent="0.3">
      <c r="A572" s="70"/>
      <c r="DY572" s="45"/>
      <c r="EO572"/>
      <c r="EP572"/>
      <c r="EQ572"/>
      <c r="ER572"/>
    </row>
    <row r="573" spans="1:170" x14ac:dyDescent="0.3">
      <c r="A573" s="55" t="s">
        <v>504</v>
      </c>
      <c r="DU573" s="44">
        <f>+Inputs!DU78</f>
        <v>305</v>
      </c>
      <c r="DV573" s="44">
        <f>+Inputs!DV78</f>
        <v>275</v>
      </c>
      <c r="DW573" s="44">
        <f>+Inputs!DW78</f>
        <v>318</v>
      </c>
      <c r="DX573" s="44">
        <f>+Inputs!DX78</f>
        <v>328</v>
      </c>
      <c r="DY573" s="45">
        <f>+SUM(DU573:DX573)</f>
        <v>1226</v>
      </c>
      <c r="DZ573" s="44">
        <f>+Inputs!DZ78</f>
        <v>286</v>
      </c>
      <c r="EA573" s="44">
        <f>+Inputs!EA78</f>
        <v>225</v>
      </c>
      <c r="EB573" s="44">
        <f>+Inputs!EB78</f>
        <v>314</v>
      </c>
      <c r="EC573" s="44">
        <f>+Inputs!EC78</f>
        <v>356</v>
      </c>
      <c r="ED573" s="85">
        <f>+SUM(DZ573:EC573)</f>
        <v>1181</v>
      </c>
      <c r="EE573" s="44">
        <f>+Inputs!EE78</f>
        <v>384</v>
      </c>
      <c r="EF573" s="44">
        <f>+Inputs!EF78</f>
        <v>385</v>
      </c>
      <c r="EG573" s="44">
        <f>+Inputs!EG78</f>
        <v>377</v>
      </c>
      <c r="EH573" s="44">
        <f>+Inputs!EH78</f>
        <v>559</v>
      </c>
      <c r="EI573" s="85">
        <f>+SUM(EE573:EH573)</f>
        <v>1705</v>
      </c>
      <c r="EJ573" s="44">
        <f>+Inputs!EJ78</f>
        <v>447</v>
      </c>
      <c r="EK573" s="44">
        <f>+Inputs!EK78</f>
        <v>641</v>
      </c>
      <c r="EL573" s="44">
        <f>+Inputs!EL78</f>
        <v>772</v>
      </c>
      <c r="EM573" s="44">
        <f>+Inputs!EM78</f>
        <v>878</v>
      </c>
      <c r="EN573" s="85">
        <f>+SUM(EJ573:EM573)</f>
        <v>2738</v>
      </c>
      <c r="EO573" s="44">
        <f>+Inputs!EO78</f>
        <v>1154</v>
      </c>
      <c r="EP573" s="44">
        <f>+Inputs!EP78</f>
        <v>1057</v>
      </c>
      <c r="EQ573" s="44">
        <f>+Inputs!EQ78</f>
        <v>671</v>
      </c>
      <c r="ER573" s="44">
        <f>+Inputs!ER78</f>
        <v>329</v>
      </c>
      <c r="ES573" s="85">
        <f>+SUM(EO573:ER573)</f>
        <v>3211</v>
      </c>
      <c r="ET573" s="76">
        <f>ET547+ET559+ET565</f>
        <v>1070.569669465669</v>
      </c>
      <c r="EU573" s="76">
        <f>EU547+EU559+EU565</f>
        <v>950.00515993521185</v>
      </c>
      <c r="EV573" s="76">
        <f>EV547+EV559+EV565</f>
        <v>607.65843430558925</v>
      </c>
      <c r="EW573" s="76">
        <f>EW547+EW559+EW565</f>
        <v>480.40638202327114</v>
      </c>
      <c r="EX573" s="85">
        <f>+SUM(ET573:EW573)</f>
        <v>3108.6396457297415</v>
      </c>
      <c r="EY573" s="76">
        <f>EY547+EY559+EY565</f>
        <v>892.02514030719385</v>
      </c>
      <c r="EZ573" s="76">
        <f>EZ547+EZ559+EZ565</f>
        <v>868.11521752519241</v>
      </c>
      <c r="FA573" s="76">
        <f>FA547+FA559+FA565</f>
        <v>629.74692701584604</v>
      </c>
      <c r="FB573" s="76">
        <f>FB547+FB559+FB565</f>
        <v>195.80869848281174</v>
      </c>
      <c r="FC573" s="471">
        <f>Analysis!C1825</f>
        <v>2585.6959833310443</v>
      </c>
      <c r="FD573" s="76">
        <f>FD547+FD559+FD565</f>
        <v>710.56448210113081</v>
      </c>
      <c r="FE573" s="76">
        <f>FE547+FE559+FE565</f>
        <v>674.74565544694599</v>
      </c>
      <c r="FF573" s="76">
        <f>FF547+FF559+FF565</f>
        <v>503.14248035796345</v>
      </c>
      <c r="FG573" s="76">
        <f>FG547+FG559+FG565</f>
        <v>360.04389669917555</v>
      </c>
      <c r="FH573" s="471">
        <f>Analysis!D1825</f>
        <v>2248.4965146052159</v>
      </c>
      <c r="FI573" s="76">
        <f>FI547+FI559+FI565</f>
        <v>1414.6634666024838</v>
      </c>
      <c r="FJ573" s="76">
        <f>FJ547+FJ559+FJ565</f>
        <v>1388.3472749526786</v>
      </c>
      <c r="FK573" s="76">
        <f>FK547+FK559+FK565</f>
        <v>1360.981876326618</v>
      </c>
      <c r="FL573" s="76">
        <f>FL547+FL559+FL565</f>
        <v>1332.745632004036</v>
      </c>
      <c r="FM573" s="76">
        <f>FM547+FM559+FM565</f>
        <v>1306.146082829664</v>
      </c>
      <c r="FN573" s="189">
        <f>+(FJ573/ES573)^0.2-1</f>
        <v>-0.1543871745342863</v>
      </c>
    </row>
    <row r="574" spans="1:170" x14ac:dyDescent="0.3">
      <c r="A574" s="70" t="s">
        <v>500</v>
      </c>
      <c r="DU574" s="136">
        <f>+DU573/(DU451+DU453)/3*1000</f>
        <v>36.452730966893746</v>
      </c>
      <c r="DV574" s="136">
        <f>+DV573/(DV451+DV453)/3*1000</f>
        <v>33.333333333333336</v>
      </c>
      <c r="DW574" s="136">
        <f>+DW573/(DW451+DW453)/3*1000</f>
        <v>39.25925925925926</v>
      </c>
      <c r="DX574" s="136">
        <f>+DX573/(DX451+DX453)/3*1000</f>
        <v>41.079591708936071</v>
      </c>
      <c r="DY574" s="137">
        <f>+DY573/(DY451+DY453)/12*1000</f>
        <v>37.490634986162718</v>
      </c>
      <c r="DZ574" s="136">
        <f>+DZ573/(DZ451+DZ453)/3*1000</f>
        <v>28.200956466006016</v>
      </c>
      <c r="EA574" s="136">
        <f>+EA573/(EA451+EA453)/3*1000</f>
        <v>22.334723049434189</v>
      </c>
      <c r="EB574" s="136">
        <f>+EB573/(EB451+EB453)/3*1000</f>
        <v>31.488166867228237</v>
      </c>
      <c r="EC574" s="136">
        <f>+EC573/(EC451+EC453)/3*1000</f>
        <v>36.123795027904613</v>
      </c>
      <c r="ED574" s="137">
        <f>+ED573/(ED451+ED453)/12*1000</f>
        <v>29.49366298308048</v>
      </c>
      <c r="EE574" s="136">
        <f>+EE573/(EE451+EE453)/3*1000</f>
        <v>39.390675488536701</v>
      </c>
      <c r="EF574" s="136">
        <f>+EF573/(EF451+EF453)/3*1000</f>
        <v>39.910848494272528</v>
      </c>
      <c r="EG574" s="136">
        <f>+EG573/(EG451+EG453)/3*1000</f>
        <v>39.461977285811479</v>
      </c>
      <c r="EH574" s="136">
        <f>+EH573/(EH451+EH453)/3*1000</f>
        <v>58.79877984642895</v>
      </c>
      <c r="EI574" s="137">
        <f>+EI573/(EI451+EI453)/12*1000</f>
        <v>44.336960902861748</v>
      </c>
      <c r="EJ574" s="136">
        <f>+EJ573/(EJ451+EJ453)/3*1000</f>
        <v>47.047679191664031</v>
      </c>
      <c r="EK574" s="136">
        <f>+EK573/(EK451+EK453)/3*1000</f>
        <v>67.530552043826376</v>
      </c>
      <c r="EL574" s="136">
        <f>+EL573/(EL451+EL453)/3*1000</f>
        <v>81.680156588901241</v>
      </c>
      <c r="EM574" s="136">
        <f>+EM573/(EM451+EM453)/3*1000</f>
        <v>93.280212483399737</v>
      </c>
      <c r="EN574" s="137">
        <f>+EN573/(EN451+EN453)/12*1000</f>
        <v>72.324801225664999</v>
      </c>
      <c r="EO574" s="136">
        <f>+EO573/(EO451+EO453)/3*1000</f>
        <v>122.64201073383283</v>
      </c>
      <c r="EP574" s="136">
        <f>+EP573/(EP451+EP453)/3*1000</f>
        <v>112.44082761555237</v>
      </c>
      <c r="EQ574" s="136">
        <f>+EQ573/(EQ451+EQ453)/3*1000</f>
        <v>71.630637843608227</v>
      </c>
      <c r="ER574" s="136">
        <f>+ER573/(ER451+ER453)/3*1000</f>
        <v>35.110186222720237</v>
      </c>
      <c r="ES574" s="137">
        <f>+ES573/(ES451+ES453)/12*1000</f>
        <v>85.517204644721417</v>
      </c>
      <c r="ET574" s="136">
        <f>+ET573/(ET451+ET453)/3*1000</f>
        <v>113.37955215960379</v>
      </c>
      <c r="EU574" s="136">
        <f>+EU573/(EU451+EU453)/3*1000</f>
        <v>99.882623843328403</v>
      </c>
      <c r="EV574" s="136">
        <f>+EV573/(EV451+EV453)/3*1000</f>
        <v>63.622502232923566</v>
      </c>
      <c r="EW574" s="136">
        <f>+EW573/(EW451+EW453)/3*1000</f>
        <v>49.885310072215631</v>
      </c>
      <c r="EX574" s="137">
        <f>+EX573/(EX451+EX453)/12*1000</f>
        <v>81.517169700123645</v>
      </c>
      <c r="EY574" s="136">
        <f>+EY573/(EY451+EY453)/3*1000</f>
        <v>91.11422516848755</v>
      </c>
      <c r="EZ574" s="136">
        <f>+EZ573/(EZ451+EZ453)/3*1000</f>
        <v>87.226060932491635</v>
      </c>
      <c r="FA574" s="136">
        <f>+FA573/(FA451+FA453)/3*1000</f>
        <v>62.482841597972815</v>
      </c>
      <c r="FB574" s="136">
        <f>+FB573/(FB451+FB453)/3*1000</f>
        <v>19.116062341636319</v>
      </c>
      <c r="FC574" s="137">
        <f>+FC573/(FC451+FC453)/12*1000</f>
        <v>64.538285538767752</v>
      </c>
      <c r="FD574" s="136">
        <f>+FD573/(FD451+FD453)/3*1000</f>
        <v>67.819805891720051</v>
      </c>
      <c r="FE574" s="136">
        <f>+FE573/(FE451+FE453)/3*1000</f>
        <v>63.075502097500362</v>
      </c>
      <c r="FF574" s="136">
        <f>+FF573/(FF451+FF453)/3*1000</f>
        <v>46.274455140137896</v>
      </c>
      <c r="FG574" s="136">
        <f>+FG573/(FG451+FG453)/3*1000</f>
        <v>32.492629909598556</v>
      </c>
      <c r="FH574" s="137">
        <f t="shared" ref="FH574:FM574" si="2679">+FH573/(FH451+FH453)/12*1000</f>
        <v>52.134862686803608</v>
      </c>
      <c r="FI574" s="136">
        <f t="shared" si="2679"/>
        <v>30.511058337442154</v>
      </c>
      <c r="FJ574" s="136">
        <f t="shared" si="2679"/>
        <v>28.12108620398444</v>
      </c>
      <c r="FK574" s="136">
        <f t="shared" si="2679"/>
        <v>26.231915652781563</v>
      </c>
      <c r="FL574" s="136">
        <f t="shared" si="2679"/>
        <v>24.78775088430109</v>
      </c>
      <c r="FM574" s="136">
        <f t="shared" si="2679"/>
        <v>23.738166270976091</v>
      </c>
    </row>
    <row r="575" spans="1:170" x14ac:dyDescent="0.3">
      <c r="A575" s="70" t="s">
        <v>489</v>
      </c>
      <c r="DU575" s="136">
        <f>+DU573/AVERAGE(DT99:DU99)*1000</f>
        <v>20.065789473684209</v>
      </c>
      <c r="DV575" s="136">
        <f>+DV573/AVERAGE(DU99:DV99)*1000</f>
        <v>18.092105263157894</v>
      </c>
      <c r="DW575" s="136">
        <f>+DW573/AVERAGE(DV99:DW99)*1000</f>
        <v>20.921052631578949</v>
      </c>
      <c r="DX575" s="136">
        <f>+DX573/AVERAGE(DW99:DX99)*1000</f>
        <v>21.578947368421051</v>
      </c>
      <c r="DY575" s="137">
        <f>+DY573/AVERAGE(DU99:DX99)*1000</f>
        <v>80.65789473684211</v>
      </c>
      <c r="DZ575" s="136">
        <f>+DZ573/AVERAGE(DY$99:DZ$99)*1000</f>
        <v>18.815789473684209</v>
      </c>
      <c r="EA575" s="136">
        <f>+EA573/AVERAGE(DZ99:EA99)*1000</f>
        <v>14.802631578947368</v>
      </c>
      <c r="EB575" s="136">
        <f>+EB573/AVERAGE(EA99:EB99)*1000</f>
        <v>20.657894736842103</v>
      </c>
      <c r="EC575" s="136">
        <f>+EC573/AVERAGE(EB99:EC99)*1000</f>
        <v>23.421052631578945</v>
      </c>
      <c r="ED575" s="137">
        <f>+ED573/AVERAGE(DZ99:EC99)*1000</f>
        <v>77.69736842105263</v>
      </c>
      <c r="EE575" s="136">
        <f>+EE573/AVERAGE(ED$99:EE$99)*1000</f>
        <v>25.263157894736842</v>
      </c>
      <c r="EF575" s="136">
        <f>+EF573/AVERAGE(EE$99:EF$99)*1000</f>
        <v>25.245901639344261</v>
      </c>
      <c r="EG575" s="136">
        <f>+EG573/AVERAGE(EF$99:EG$99)*1000</f>
        <v>24.640522875816995</v>
      </c>
      <c r="EH575" s="136">
        <f>+EH573/AVERAGE(EG$99:EH$99)*1000</f>
        <v>36.535947712418306</v>
      </c>
      <c r="EI575" s="137">
        <f>+EI573/AVERAGE(EE99:EH99)*1000</f>
        <v>111.620294599018</v>
      </c>
      <c r="EJ575" s="136">
        <f>+EJ573/AVERAGE(EI$99:EJ$99)*1000</f>
        <v>29.215686274509803</v>
      </c>
      <c r="EK575" s="136">
        <f>+EK573/AVERAGE(EJ$99:EK$99)*1000</f>
        <v>41.895424836601308</v>
      </c>
      <c r="EL575" s="136">
        <f>+EL573/AVERAGE(EK$99:EL$99)*1000</f>
        <v>50.457516339869279</v>
      </c>
      <c r="EM575" s="136">
        <f>+EM573/AVERAGE(EL$99:EM$99)*1000</f>
        <v>57.198697068403909</v>
      </c>
      <c r="EN575" s="137">
        <f>+EN573/AVERAGE(EJ99:EM99)*1000</f>
        <v>178.66231647634584</v>
      </c>
      <c r="EO575" s="136">
        <f>+EO573/AVERAGE(EN$99:EO$99)*1000</f>
        <v>74.935064935064943</v>
      </c>
      <c r="EP575" s="136">
        <f>+EP573/AVERAGE(EO$99:EP$99)*1000</f>
        <v>68.63636363636364</v>
      </c>
      <c r="EQ575" s="136">
        <f>+EQ573/AVERAGE(EP$99:EQ$99)*1000</f>
        <v>43.571428571428577</v>
      </c>
      <c r="ER575" s="136">
        <f>+ER573/AVERAGE(EQ$99:ER$99)*1000</f>
        <v>21.363636363636363</v>
      </c>
      <c r="ES575" s="137">
        <f>+ES573/AVERAGE(EO99:ER99)*1000</f>
        <v>208.50649350649351</v>
      </c>
      <c r="ET575" s="136">
        <f>+ET573/AVERAGE(ES99:ET99)*1000</f>
        <v>69.450755805918035</v>
      </c>
      <c r="EU575" s="136">
        <f>+EU573/AVERAGE(ET99:EU99)*1000</f>
        <v>61.538496663337227</v>
      </c>
      <c r="EV575" s="136">
        <f>+EV573/AVERAGE(EU99:EV99)*1000</f>
        <v>39.310777060582168</v>
      </c>
      <c r="EW575" s="136">
        <f>+EW573/AVERAGE(EV99:EW99)*1000</f>
        <v>31.016101625016251</v>
      </c>
      <c r="EX575" s="137">
        <f>+EX573/AVERAGE(ET99:EW99)*1000</f>
        <v>201.03397647910191</v>
      </c>
      <c r="EY575" s="136">
        <f>+EY573/AVERAGE(EX99:EY99)*1000</f>
        <v>57.471766091998106</v>
      </c>
      <c r="EZ575" s="136">
        <f>+EZ573/AVERAGE(EY99:EZ99)*1000</f>
        <v>55.852637554675333</v>
      </c>
      <c r="FA575" s="136">
        <f>+FA573/AVERAGE(EZ99:FA99)*1000</f>
        <v>40.460738766620096</v>
      </c>
      <c r="FB575" s="136">
        <f>+FB573/AVERAGE(FA99:FB99)*1000</f>
        <v>12.554401957482979</v>
      </c>
      <c r="FC575" s="137">
        <f>+FC573/AVERAGE(EY99:FB99)*1000</f>
        <v>166.07030925452608</v>
      </c>
      <c r="FD575" s="136">
        <f>+FD573/AVERAGE(FC99:FD99)*1000</f>
        <v>45.467004936422676</v>
      </c>
      <c r="FE575" s="136">
        <f>+FE573/AVERAGE(FD99:FE99)*1000</f>
        <v>43.117325382397041</v>
      </c>
      <c r="FF575" s="136">
        <f>+FF573/AVERAGE(FE99:FF99)*1000</f>
        <v>32.105126842003685</v>
      </c>
      <c r="FG575" s="136">
        <f>+FG573/AVERAGE(FF99:FG99)*1000</f>
        <v>22.924776353610003</v>
      </c>
      <c r="FH575" s="137">
        <f>+FH573/AVERAGE(FD99:FG99)*1000</f>
        <v>143.42412256621657</v>
      </c>
      <c r="FI575" s="136">
        <f>+FI573/AVERAGE(FH99:FI99)*1000</f>
        <v>89.64511502091672</v>
      </c>
      <c r="FJ575" s="136">
        <f>+FJ573/AVERAGE(FI99:FJ99)*1000</f>
        <v>87.365935636510599</v>
      </c>
      <c r="FK575" s="136">
        <f>+FK573/AVERAGE(FJ99:FK99)*1000</f>
        <v>85.048545651144224</v>
      </c>
      <c r="FL575" s="136">
        <f>+FL573/AVERAGE(FK99:FL99)*1000</f>
        <v>82.705110616363669</v>
      </c>
      <c r="FM575" s="136">
        <f>+FM573/AVERAGE(FL99:FM99)*1000</f>
        <v>80.491007000549303</v>
      </c>
    </row>
    <row r="576" spans="1:170" x14ac:dyDescent="0.3">
      <c r="A576" s="70" t="s">
        <v>503</v>
      </c>
      <c r="DU576" s="75"/>
      <c r="DV576" s="75"/>
      <c r="DW576" s="75"/>
      <c r="DX576" s="75"/>
      <c r="DY576" s="84"/>
      <c r="DZ576" s="75">
        <f t="shared" ref="DZ576:FM576" si="2680">+DZ573/DZ12</f>
        <v>0.15986584684181107</v>
      </c>
      <c r="EA576" s="75">
        <f t="shared" si="2680"/>
        <v>0.12827822120866592</v>
      </c>
      <c r="EB576" s="75">
        <f t="shared" si="2680"/>
        <v>0.18181818181818182</v>
      </c>
      <c r="EC576" s="75">
        <f t="shared" si="2680"/>
        <v>0.2099056603773585</v>
      </c>
      <c r="ED576" s="84">
        <f t="shared" si="2680"/>
        <v>0.16953775480907263</v>
      </c>
      <c r="EE576" s="75">
        <f t="shared" si="2680"/>
        <v>0.22925373134328358</v>
      </c>
      <c r="EF576" s="75">
        <f t="shared" si="2680"/>
        <v>0.23809523809523808</v>
      </c>
      <c r="EG576" s="75">
        <f t="shared" si="2680"/>
        <v>0.23921319796954316</v>
      </c>
      <c r="EH576" s="75">
        <f t="shared" si="2680"/>
        <v>0.36228127025275436</v>
      </c>
      <c r="EI576" s="84">
        <f t="shared" si="2680"/>
        <v>0.26594914989861174</v>
      </c>
      <c r="EJ576" s="75">
        <f t="shared" si="2680"/>
        <v>0.30891499654457499</v>
      </c>
      <c r="EK576" s="75">
        <f t="shared" si="2680"/>
        <v>0.43934201507882109</v>
      </c>
      <c r="EL576" s="75">
        <f t="shared" si="2680"/>
        <v>0.53462603878116344</v>
      </c>
      <c r="EM576" s="75">
        <f t="shared" si="2680"/>
        <v>0.61099512874043149</v>
      </c>
      <c r="EN576" s="84">
        <f t="shared" si="2680"/>
        <v>0.4731294280283394</v>
      </c>
      <c r="EO576" s="75">
        <f t="shared" si="2680"/>
        <v>0.80138888888888893</v>
      </c>
      <c r="EP576" s="75">
        <f t="shared" si="2680"/>
        <v>0.72946859903381644</v>
      </c>
      <c r="EQ576" s="75">
        <f t="shared" si="2680"/>
        <v>0.46727019498607242</v>
      </c>
      <c r="ER576" s="75">
        <f t="shared" si="2680"/>
        <v>0.23071528751753156</v>
      </c>
      <c r="ES576" s="84">
        <f t="shared" si="2680"/>
        <v>0.55833768040340814</v>
      </c>
      <c r="ET576" s="75">
        <f t="shared" si="2680"/>
        <v>0.74738855865627329</v>
      </c>
      <c r="EU576" s="75">
        <f t="shared" si="2680"/>
        <v>0.65713636900567585</v>
      </c>
      <c r="EV576" s="75">
        <f t="shared" si="2680"/>
        <v>0.42172409942729516</v>
      </c>
      <c r="EW576" s="75">
        <f t="shared" si="2680"/>
        <v>0.33423265627438914</v>
      </c>
      <c r="EX576" s="84">
        <f t="shared" si="2680"/>
        <v>0.54003938344051428</v>
      </c>
      <c r="EY576" s="75">
        <f t="shared" si="2680"/>
        <v>0.61578476345151256</v>
      </c>
      <c r="EZ576" s="75">
        <f t="shared" si="2680"/>
        <v>0.58932124981294121</v>
      </c>
      <c r="FA576" s="75">
        <f t="shared" si="2680"/>
        <v>0.42698975082584306</v>
      </c>
      <c r="FB576" s="75">
        <f t="shared" si="2680"/>
        <v>0.13231769507834582</v>
      </c>
      <c r="FC576" s="84">
        <f t="shared" si="2680"/>
        <v>0.44001619813023518</v>
      </c>
      <c r="FD576" s="75">
        <f t="shared" si="2680"/>
        <v>0.47350976925979016</v>
      </c>
      <c r="FE576" s="75">
        <f t="shared" si="2680"/>
        <v>0.43980515984262347</v>
      </c>
      <c r="FF576" s="75">
        <f t="shared" si="2680"/>
        <v>0.32648658749662901</v>
      </c>
      <c r="FG576" s="75">
        <f t="shared" si="2680"/>
        <v>0.23210108768483775</v>
      </c>
      <c r="FH576" s="84">
        <f t="shared" si="2680"/>
        <v>0.36697298701619552</v>
      </c>
      <c r="FI576" s="75">
        <f t="shared" si="2680"/>
        <v>0.21981780057014183</v>
      </c>
      <c r="FJ576" s="75">
        <f t="shared" si="2680"/>
        <v>0.20546706150956506</v>
      </c>
      <c r="FK576" s="75">
        <f t="shared" si="2680"/>
        <v>0.19235390127497137</v>
      </c>
      <c r="FL576" s="75">
        <f t="shared" si="2680"/>
        <v>0.18065718169878553</v>
      </c>
      <c r="FM576" s="75">
        <f t="shared" si="2680"/>
        <v>0.17058444850045987</v>
      </c>
    </row>
    <row r="577" spans="1:170" x14ac:dyDescent="0.3">
      <c r="A577" s="135" t="s">
        <v>505</v>
      </c>
      <c r="DU577" s="143">
        <f>+DU573/$DY573</f>
        <v>0.24877650897226752</v>
      </c>
      <c r="DV577" s="143">
        <f>+DV573/$DY573</f>
        <v>0.22430668841761828</v>
      </c>
      <c r="DW577" s="143">
        <f>+DW573/$DY573</f>
        <v>0.25938009787928223</v>
      </c>
      <c r="DX577" s="143">
        <f>+DX573/$DY573</f>
        <v>0.26753670473083196</v>
      </c>
      <c r="DY577" s="145">
        <f>+DY573/$DY573</f>
        <v>1</v>
      </c>
      <c r="DZ577" s="143">
        <f t="shared" ref="DZ577:EM577" si="2681">+DZ573/$ED573</f>
        <v>0.24216765453005928</v>
      </c>
      <c r="EA577" s="143">
        <f t="shared" si="2681"/>
        <v>0.19051651143099069</v>
      </c>
      <c r="EB577" s="143">
        <f t="shared" si="2681"/>
        <v>0.26587637595258257</v>
      </c>
      <c r="EC577" s="143">
        <f t="shared" si="2681"/>
        <v>0.30143945808636746</v>
      </c>
      <c r="ED577" s="145">
        <f t="shared" si="2681"/>
        <v>1</v>
      </c>
      <c r="EE577" s="143">
        <f t="shared" si="2681"/>
        <v>0.32514817950889074</v>
      </c>
      <c r="EF577" s="143">
        <f t="shared" si="2681"/>
        <v>0.32599491955969517</v>
      </c>
      <c r="EG577" s="143">
        <f t="shared" si="2681"/>
        <v>0.31922099915325997</v>
      </c>
      <c r="EH577" s="143">
        <f t="shared" si="2681"/>
        <v>0.47332768839966133</v>
      </c>
      <c r="EI577" s="145">
        <f t="shared" ref="EI577:EN577" si="2682">+EI573/$EI573</f>
        <v>1</v>
      </c>
      <c r="EJ577" s="143">
        <f t="shared" si="2681"/>
        <v>0.37849280270956814</v>
      </c>
      <c r="EK577" s="143">
        <f t="shared" si="2681"/>
        <v>0.54276037256562237</v>
      </c>
      <c r="EL577" s="143">
        <f t="shared" si="2681"/>
        <v>0.6536833192209992</v>
      </c>
      <c r="EM577" s="143">
        <f t="shared" si="2681"/>
        <v>0.74343776460626587</v>
      </c>
      <c r="EN577" s="145">
        <f t="shared" si="2682"/>
        <v>1.6058651026392963</v>
      </c>
      <c r="EO577" s="143">
        <f t="shared" ref="EO577:ER577" si="2683">+EO573/$ED573</f>
        <v>0.97713801862828109</v>
      </c>
      <c r="EP577" s="143">
        <f t="shared" si="2683"/>
        <v>0.89500423370025406</v>
      </c>
      <c r="EQ577" s="143">
        <f t="shared" si="2683"/>
        <v>0.56816257408975446</v>
      </c>
      <c r="ER577" s="143">
        <f t="shared" si="2683"/>
        <v>0.27857747671464861</v>
      </c>
      <c r="ES577" s="145">
        <f t="shared" ref="ES577:EX577" si="2684">+ES573/$EI573</f>
        <v>1.8832844574780059</v>
      </c>
      <c r="ET577" s="143">
        <f t="shared" si="2684"/>
        <v>0.62790009939335423</v>
      </c>
      <c r="EU577" s="143">
        <f t="shared" si="2684"/>
        <v>0.55718777708810074</v>
      </c>
      <c r="EV577" s="143">
        <f t="shared" si="2684"/>
        <v>0.35639790868363008</v>
      </c>
      <c r="EW577" s="143">
        <f t="shared" si="2684"/>
        <v>0.28176327391394201</v>
      </c>
      <c r="EX577" s="145">
        <f t="shared" si="2684"/>
        <v>1.8232490590790273</v>
      </c>
      <c r="EY577" s="143">
        <f t="shared" ref="EY577:FC577" si="2685">+EY573/$EI573</f>
        <v>0.5231819004734275</v>
      </c>
      <c r="EZ577" s="143">
        <f t="shared" si="2685"/>
        <v>0.50915848535201902</v>
      </c>
      <c r="FA577" s="143">
        <f t="shared" si="2685"/>
        <v>0.36935303637293021</v>
      </c>
      <c r="FB577" s="143">
        <f t="shared" si="2685"/>
        <v>0.11484381142686906</v>
      </c>
      <c r="FC577" s="145">
        <f t="shared" si="2685"/>
        <v>1.5165372336252458</v>
      </c>
      <c r="FD577" s="143">
        <f t="shared" ref="FD577:FH577" si="2686">+FD573/$EI573</f>
        <v>0.41675336193614709</v>
      </c>
      <c r="FE577" s="143">
        <f t="shared" si="2686"/>
        <v>0.3957452524615519</v>
      </c>
      <c r="FF577" s="143">
        <f t="shared" si="2686"/>
        <v>0.29509822894895216</v>
      </c>
      <c r="FG577" s="143">
        <f t="shared" si="2686"/>
        <v>0.21116944087928186</v>
      </c>
      <c r="FH577" s="145">
        <f t="shared" si="2686"/>
        <v>1.3187662842259331</v>
      </c>
      <c r="FI577" s="143">
        <f t="shared" ref="FI577:FM577" si="2687">+FI573/FI573</f>
        <v>1</v>
      </c>
      <c r="FJ577" s="143">
        <f t="shared" si="2687"/>
        <v>1</v>
      </c>
      <c r="FK577" s="143">
        <f t="shared" si="2687"/>
        <v>1</v>
      </c>
      <c r="FL577" s="143">
        <f t="shared" si="2687"/>
        <v>1</v>
      </c>
      <c r="FM577" s="143">
        <f t="shared" si="2687"/>
        <v>1</v>
      </c>
    </row>
    <row r="578" spans="1:170" x14ac:dyDescent="0.3">
      <c r="A578" s="70"/>
      <c r="EO578"/>
      <c r="EP578"/>
      <c r="EQ578"/>
      <c r="ER578"/>
    </row>
    <row r="579" spans="1:170" x14ac:dyDescent="0.3">
      <c r="A579" s="1" t="s">
        <v>506</v>
      </c>
      <c r="EE579" s="363">
        <f>EE573</f>
        <v>384</v>
      </c>
      <c r="EF579" s="363">
        <f t="shared" ref="EF579:EH579" si="2688">EF573</f>
        <v>385</v>
      </c>
      <c r="EG579" s="363">
        <f t="shared" si="2688"/>
        <v>377</v>
      </c>
      <c r="EH579" s="363">
        <f t="shared" si="2688"/>
        <v>559</v>
      </c>
      <c r="EI579" s="85">
        <f t="shared" ref="EI579:EI585" si="2689">SUM(EE579:EH579)</f>
        <v>1705</v>
      </c>
      <c r="EJ579" s="363">
        <f>EJ573</f>
        <v>447</v>
      </c>
      <c r="EK579" s="363">
        <f t="shared" ref="EK579:EM579" si="2690">EK573</f>
        <v>641</v>
      </c>
      <c r="EL579" s="363">
        <f t="shared" si="2690"/>
        <v>772</v>
      </c>
      <c r="EM579" s="363">
        <f t="shared" si="2690"/>
        <v>878</v>
      </c>
      <c r="EN579" s="85">
        <f t="shared" ref="EN579:EN585" si="2691">SUM(EJ579:EM579)</f>
        <v>2738</v>
      </c>
      <c r="EO579" s="363">
        <f>EO573</f>
        <v>1154</v>
      </c>
      <c r="EP579" s="363">
        <f t="shared" ref="EP579:ER579" si="2692">EP573</f>
        <v>1057</v>
      </c>
      <c r="EQ579" s="363">
        <f t="shared" si="2692"/>
        <v>671</v>
      </c>
      <c r="ER579" s="363">
        <f t="shared" si="2692"/>
        <v>329</v>
      </c>
      <c r="ES579" s="85">
        <f t="shared" ref="ES579:ES585" si="2693">SUM(EO579:ER579)</f>
        <v>3211</v>
      </c>
      <c r="ET579" s="363">
        <f>ET573</f>
        <v>1070.569669465669</v>
      </c>
      <c r="EU579" s="363">
        <f t="shared" ref="EU579:EW579" si="2694">EU573</f>
        <v>950.00515993521185</v>
      </c>
      <c r="EV579" s="363">
        <f t="shared" si="2694"/>
        <v>607.65843430558925</v>
      </c>
      <c r="EW579" s="363">
        <f t="shared" si="2694"/>
        <v>480.40638202327114</v>
      </c>
      <c r="EX579" s="85">
        <f t="shared" ref="EX579:EX585" si="2695">SUM(ET579:EW579)</f>
        <v>3108.6396457297415</v>
      </c>
      <c r="EY579" s="363">
        <f>EY573</f>
        <v>892.02514030719385</v>
      </c>
      <c r="EZ579" s="363">
        <f t="shared" ref="EZ579:FB579" si="2696">EZ573</f>
        <v>868.11521752519241</v>
      </c>
      <c r="FA579" s="363">
        <f t="shared" si="2696"/>
        <v>629.74692701584604</v>
      </c>
      <c r="FB579" s="363">
        <f t="shared" si="2696"/>
        <v>195.80869848281174</v>
      </c>
      <c r="FC579" s="85">
        <f t="shared" ref="FC579:FC585" si="2697">SUM(EY579:FB579)</f>
        <v>2585.6959833310443</v>
      </c>
      <c r="FD579" s="363">
        <f>FD573</f>
        <v>710.56448210113081</v>
      </c>
      <c r="FE579" s="363">
        <f t="shared" ref="FE579:FG579" si="2698">FE573</f>
        <v>674.74565544694599</v>
      </c>
      <c r="FF579" s="363">
        <f t="shared" si="2698"/>
        <v>503.14248035796345</v>
      </c>
      <c r="FG579" s="363">
        <f t="shared" si="2698"/>
        <v>360.04389669917555</v>
      </c>
      <c r="FH579" s="85">
        <f t="shared" ref="FH579:FH585" si="2699">SUM(FD579:FG579)</f>
        <v>2248.4965146052159</v>
      </c>
      <c r="FI579" s="363">
        <f t="shared" ref="FI579" si="2700">FI573</f>
        <v>1414.6634666024838</v>
      </c>
      <c r="FJ579" s="363">
        <f>FJ573</f>
        <v>1388.3472749526786</v>
      </c>
      <c r="FK579" s="363">
        <f t="shared" ref="FK579:FM579" si="2701">FK573</f>
        <v>1360.981876326618</v>
      </c>
      <c r="FL579" s="363">
        <f t="shared" si="2701"/>
        <v>1332.745632004036</v>
      </c>
      <c r="FM579" s="363">
        <f t="shared" si="2701"/>
        <v>1306.146082829664</v>
      </c>
    </row>
    <row r="580" spans="1:170" x14ac:dyDescent="0.3">
      <c r="A580" s="1" t="s">
        <v>507</v>
      </c>
      <c r="EE580" s="161">
        <f>Inputs!EE301</f>
        <v>0</v>
      </c>
      <c r="EF580" s="161">
        <f>Inputs!EF301</f>
        <v>0</v>
      </c>
      <c r="EG580" s="161">
        <f>Inputs!EG301</f>
        <v>0</v>
      </c>
      <c r="EH580" s="161">
        <f>Inputs!EH301</f>
        <v>0</v>
      </c>
      <c r="EI580" s="100">
        <f t="shared" si="2689"/>
        <v>0</v>
      </c>
      <c r="EJ580" s="161">
        <f>Inputs!EJ301</f>
        <v>0</v>
      </c>
      <c r="EK580" s="161">
        <f>Inputs!EK301</f>
        <v>0</v>
      </c>
      <c r="EL580" s="161">
        <f>Inputs!EL301</f>
        <v>0</v>
      </c>
      <c r="EM580" s="161">
        <f>Inputs!EM301</f>
        <v>0</v>
      </c>
      <c r="EN580" s="100">
        <f t="shared" si="2691"/>
        <v>0</v>
      </c>
      <c r="EO580" s="161">
        <f>Inputs!EO301</f>
        <v>0</v>
      </c>
      <c r="EP580" s="161">
        <f>Inputs!EP301</f>
        <v>0</v>
      </c>
      <c r="EQ580" s="161">
        <f>Inputs!EQ301</f>
        <v>0</v>
      </c>
      <c r="ER580" s="161">
        <f>Inputs!ER301</f>
        <v>4</v>
      </c>
      <c r="ES580" s="100">
        <f t="shared" si="2693"/>
        <v>4</v>
      </c>
      <c r="ET580" s="901">
        <f>-ET583</f>
        <v>-75</v>
      </c>
      <c r="EU580" s="901">
        <f t="shared" ref="EU580:EW580" si="2702">-EU583</f>
        <v>-75</v>
      </c>
      <c r="EV580" s="901">
        <f t="shared" si="2702"/>
        <v>-75</v>
      </c>
      <c r="EW580" s="901">
        <f t="shared" si="2702"/>
        <v>-75</v>
      </c>
      <c r="EX580" s="1111">
        <f t="shared" si="2695"/>
        <v>-300</v>
      </c>
      <c r="EY580" s="901">
        <f>-EY583</f>
        <v>-75</v>
      </c>
      <c r="EZ580" s="901">
        <f t="shared" ref="EZ580:FB580" si="2703">-EZ583</f>
        <v>-75</v>
      </c>
      <c r="FA580" s="901">
        <f t="shared" si="2703"/>
        <v>-75</v>
      </c>
      <c r="FB580" s="901">
        <f t="shared" si="2703"/>
        <v>-75</v>
      </c>
      <c r="FC580" s="1111">
        <f t="shared" si="2697"/>
        <v>-300</v>
      </c>
      <c r="FD580" s="901">
        <f>-FD583</f>
        <v>-75</v>
      </c>
      <c r="FE580" s="901">
        <f t="shared" ref="FE580:FG580" si="2704">-FE583</f>
        <v>-75</v>
      </c>
      <c r="FF580" s="901">
        <f t="shared" si="2704"/>
        <v>-75</v>
      </c>
      <c r="FG580" s="901">
        <f t="shared" si="2704"/>
        <v>-75</v>
      </c>
      <c r="FH580" s="1111">
        <f t="shared" si="2699"/>
        <v>-300</v>
      </c>
      <c r="FI580" s="901">
        <f t="shared" ref="FI580:FM580" si="2705">-FI583</f>
        <v>-300</v>
      </c>
      <c r="FJ580" s="901">
        <f t="shared" si="2705"/>
        <v>-300</v>
      </c>
      <c r="FK580" s="901">
        <f t="shared" si="2705"/>
        <v>-300</v>
      </c>
      <c r="FL580" s="901">
        <f t="shared" si="2705"/>
        <v>-300</v>
      </c>
      <c r="FM580" s="901">
        <f t="shared" si="2705"/>
        <v>-300</v>
      </c>
    </row>
    <row r="581" spans="1:170" x14ac:dyDescent="0.3">
      <c r="A581" s="4" t="s">
        <v>508</v>
      </c>
      <c r="EE581" s="76">
        <f>SUM(EE579:EE580)</f>
        <v>384</v>
      </c>
      <c r="EF581" s="76">
        <f>SUM(EF579:EF580)</f>
        <v>385</v>
      </c>
      <c r="EG581" s="76">
        <f>SUM(EG579:EG580)</f>
        <v>377</v>
      </c>
      <c r="EH581" s="76">
        <f>SUM(EH579:EH580)</f>
        <v>559</v>
      </c>
      <c r="EI581" s="85">
        <f t="shared" si="2689"/>
        <v>1705</v>
      </c>
      <c r="EJ581" s="76">
        <f>SUM(EJ579:EJ580)</f>
        <v>447</v>
      </c>
      <c r="EK581" s="76">
        <f>SUM(EK579:EK580)</f>
        <v>641</v>
      </c>
      <c r="EL581" s="76">
        <f>SUM(EL579:EL580)</f>
        <v>772</v>
      </c>
      <c r="EM581" s="76">
        <f>SUM(EM579:EM580)</f>
        <v>878</v>
      </c>
      <c r="EN581" s="85">
        <f t="shared" si="2691"/>
        <v>2738</v>
      </c>
      <c r="EO581" s="76">
        <f>SUM(EO579:EO580)</f>
        <v>1154</v>
      </c>
      <c r="EP581" s="76">
        <f>SUM(EP579:EP580)</f>
        <v>1057</v>
      </c>
      <c r="EQ581" s="76">
        <f>SUM(EQ579:EQ580)</f>
        <v>671</v>
      </c>
      <c r="ER581" s="76">
        <f>SUM(ER579:ER580)</f>
        <v>333</v>
      </c>
      <c r="ES581" s="85">
        <f t="shared" si="2693"/>
        <v>3215</v>
      </c>
      <c r="ET581" s="76">
        <f>SUM(ET579:ET580)</f>
        <v>995.56966946566899</v>
      </c>
      <c r="EU581" s="76">
        <f>SUM(EU579:EU580)</f>
        <v>875.00515993521185</v>
      </c>
      <c r="EV581" s="76">
        <f>SUM(EV579:EV580)</f>
        <v>532.65843430558925</v>
      </c>
      <c r="EW581" s="76">
        <f>SUM(EW579:EW580)</f>
        <v>405.40638202327114</v>
      </c>
      <c r="EX581" s="85">
        <f t="shared" si="2695"/>
        <v>2808.6396457297415</v>
      </c>
      <c r="EY581" s="76">
        <f>SUM(EY579:EY580)</f>
        <v>817.02514030719385</v>
      </c>
      <c r="EZ581" s="76">
        <f>SUM(EZ579:EZ580)</f>
        <v>793.11521752519241</v>
      </c>
      <c r="FA581" s="76">
        <f>SUM(FA579:FA580)</f>
        <v>554.74692701584604</v>
      </c>
      <c r="FB581" s="76">
        <f>SUM(FB579:FB580)</f>
        <v>120.80869848281174</v>
      </c>
      <c r="FC581" s="85">
        <f t="shared" si="2697"/>
        <v>2285.6959833310443</v>
      </c>
      <c r="FD581" s="76">
        <f>SUM(FD579:FD580)</f>
        <v>635.56448210113081</v>
      </c>
      <c r="FE581" s="76">
        <f>SUM(FE579:FE580)</f>
        <v>599.74565544694599</v>
      </c>
      <c r="FF581" s="76">
        <f>SUM(FF579:FF580)</f>
        <v>428.14248035796345</v>
      </c>
      <c r="FG581" s="76">
        <f>SUM(FG579:FG580)</f>
        <v>285.04389669917555</v>
      </c>
      <c r="FH581" s="85">
        <f t="shared" si="2699"/>
        <v>1948.4965146052159</v>
      </c>
      <c r="FI581" s="76">
        <f t="shared" ref="FI581:FM581" si="2706">SUM(FI579:FI580)</f>
        <v>1114.6634666024838</v>
      </c>
      <c r="FJ581" s="76">
        <f t="shared" si="2706"/>
        <v>1088.3472749526786</v>
      </c>
      <c r="FK581" s="76">
        <f t="shared" si="2706"/>
        <v>1060.981876326618</v>
      </c>
      <c r="FL581" s="76">
        <f t="shared" si="2706"/>
        <v>1032.745632004036</v>
      </c>
      <c r="FM581" s="76">
        <f t="shared" si="2706"/>
        <v>1006.146082829664</v>
      </c>
    </row>
    <row r="582" spans="1:170" x14ac:dyDescent="0.3">
      <c r="A582" s="1" t="s">
        <v>509</v>
      </c>
      <c r="EE582" s="44">
        <f>Inputs!EE303</f>
        <v>-17</v>
      </c>
      <c r="EF582" s="44">
        <f>Inputs!EF303</f>
        <v>20</v>
      </c>
      <c r="EG582" s="44">
        <f>Inputs!EG303</f>
        <v>46</v>
      </c>
      <c r="EH582" s="44">
        <f>Inputs!EH303</f>
        <v>-69</v>
      </c>
      <c r="EI582" s="85">
        <f t="shared" si="2689"/>
        <v>-20</v>
      </c>
      <c r="EJ582" s="44">
        <f>Inputs!EJ303</f>
        <v>146</v>
      </c>
      <c r="EK582" s="44">
        <f>Inputs!EK303</f>
        <v>103</v>
      </c>
      <c r="EL582" s="44">
        <f>Inputs!EL303</f>
        <v>182</v>
      </c>
      <c r="EM582" s="44">
        <f>Inputs!EM303</f>
        <v>366</v>
      </c>
      <c r="EN582" s="85">
        <f t="shared" si="2691"/>
        <v>797</v>
      </c>
      <c r="EO582" s="44">
        <f>Inputs!EO303</f>
        <v>-25</v>
      </c>
      <c r="EP582" s="44">
        <f>Inputs!EP303</f>
        <v>-193</v>
      </c>
      <c r="EQ582" s="44">
        <f>Inputs!EQ303</f>
        <v>-296</v>
      </c>
      <c r="ER582" s="44">
        <f>Inputs!ER303</f>
        <v>188</v>
      </c>
      <c r="ES582" s="85">
        <f t="shared" si="2693"/>
        <v>-326</v>
      </c>
      <c r="ET582" s="918">
        <v>0</v>
      </c>
      <c r="EU582" s="918">
        <v>0</v>
      </c>
      <c r="EV582" s="918">
        <v>0</v>
      </c>
      <c r="EW582" s="918">
        <v>0</v>
      </c>
      <c r="EX582" s="900">
        <f t="shared" si="2695"/>
        <v>0</v>
      </c>
      <c r="EY582" s="918">
        <v>0</v>
      </c>
      <c r="EZ582" s="918">
        <v>0</v>
      </c>
      <c r="FA582" s="918">
        <v>0</v>
      </c>
      <c r="FB582" s="918">
        <v>0</v>
      </c>
      <c r="FC582" s="900">
        <f t="shared" si="2697"/>
        <v>0</v>
      </c>
      <c r="FD582" s="918">
        <v>0</v>
      </c>
      <c r="FE582" s="918">
        <v>0</v>
      </c>
      <c r="FF582" s="918">
        <v>0</v>
      </c>
      <c r="FG582" s="918">
        <v>0</v>
      </c>
      <c r="FH582" s="900">
        <f t="shared" si="2699"/>
        <v>0</v>
      </c>
      <c r="FI582" s="918">
        <v>0</v>
      </c>
      <c r="FJ582" s="918">
        <v>0</v>
      </c>
      <c r="FK582" s="918">
        <v>0</v>
      </c>
      <c r="FL582" s="918">
        <v>0</v>
      </c>
      <c r="FM582" s="918">
        <v>0</v>
      </c>
    </row>
    <row r="583" spans="1:170" x14ac:dyDescent="0.3">
      <c r="A583" s="1" t="s">
        <v>510</v>
      </c>
      <c r="EE583" s="44">
        <f>Inputs!EE304</f>
        <v>0</v>
      </c>
      <c r="EF583" s="44">
        <f>Inputs!EF304</f>
        <v>0</v>
      </c>
      <c r="EG583" s="44">
        <f>Inputs!EG304</f>
        <v>0</v>
      </c>
      <c r="EH583" s="44">
        <f>Inputs!EH304</f>
        <v>0</v>
      </c>
      <c r="EI583" s="85">
        <f t="shared" si="2689"/>
        <v>0</v>
      </c>
      <c r="EJ583" s="44">
        <f>Inputs!EJ304</f>
        <v>0</v>
      </c>
      <c r="EK583" s="44">
        <f>Inputs!EK304</f>
        <v>0</v>
      </c>
      <c r="EL583" s="44">
        <f>Inputs!EL304</f>
        <v>0</v>
      </c>
      <c r="EM583" s="44">
        <f>Inputs!EM304</f>
        <v>0</v>
      </c>
      <c r="EN583" s="85">
        <f t="shared" si="2691"/>
        <v>0</v>
      </c>
      <c r="EO583" s="44">
        <f>Inputs!EO304</f>
        <v>0</v>
      </c>
      <c r="EP583" s="44">
        <f>Inputs!EP304</f>
        <v>0</v>
      </c>
      <c r="EQ583" s="44">
        <f>Inputs!EQ304</f>
        <v>167</v>
      </c>
      <c r="ER583" s="44">
        <f>Inputs!ER304</f>
        <v>88</v>
      </c>
      <c r="ES583" s="85">
        <f t="shared" si="2693"/>
        <v>255</v>
      </c>
      <c r="ET583" s="918">
        <v>75</v>
      </c>
      <c r="EU583" s="918">
        <v>75</v>
      </c>
      <c r="EV583" s="918">
        <v>75</v>
      </c>
      <c r="EW583" s="918">
        <v>75</v>
      </c>
      <c r="EX583" s="900">
        <f t="shared" si="2695"/>
        <v>300</v>
      </c>
      <c r="EY583" s="918">
        <v>75</v>
      </c>
      <c r="EZ583" s="918">
        <v>75</v>
      </c>
      <c r="FA583" s="918">
        <v>75</v>
      </c>
      <c r="FB583" s="918">
        <v>75</v>
      </c>
      <c r="FC583" s="900">
        <f t="shared" si="2697"/>
        <v>300</v>
      </c>
      <c r="FD583" s="918">
        <v>75</v>
      </c>
      <c r="FE583" s="918">
        <v>75</v>
      </c>
      <c r="FF583" s="918">
        <v>75</v>
      </c>
      <c r="FG583" s="918">
        <v>75</v>
      </c>
      <c r="FH583" s="900">
        <f t="shared" si="2699"/>
        <v>300</v>
      </c>
      <c r="FI583" s="918">
        <f t="shared" ref="FI583:FM583" si="2707">FH583</f>
        <v>300</v>
      </c>
      <c r="FJ583" s="918">
        <f t="shared" si="2707"/>
        <v>300</v>
      </c>
      <c r="FK583" s="918">
        <f t="shared" si="2707"/>
        <v>300</v>
      </c>
      <c r="FL583" s="918">
        <f t="shared" si="2707"/>
        <v>300</v>
      </c>
      <c r="FM583" s="918">
        <f t="shared" si="2707"/>
        <v>300</v>
      </c>
    </row>
    <row r="584" spans="1:170" x14ac:dyDescent="0.3">
      <c r="A584" s="1" t="s">
        <v>511</v>
      </c>
      <c r="EE584" s="161">
        <f>Inputs!EE305</f>
        <v>-21</v>
      </c>
      <c r="EF584" s="161">
        <f>Inputs!EF305</f>
        <v>-6</v>
      </c>
      <c r="EG584" s="161">
        <f>Inputs!EG305</f>
        <v>-11</v>
      </c>
      <c r="EH584" s="161">
        <f>Inputs!EH305</f>
        <v>-22</v>
      </c>
      <c r="EI584" s="100">
        <f t="shared" si="2689"/>
        <v>-60</v>
      </c>
      <c r="EJ584" s="161">
        <f>Inputs!EJ305</f>
        <v>-58</v>
      </c>
      <c r="EK584" s="161">
        <f>Inputs!EK305</f>
        <v>-77</v>
      </c>
      <c r="EL584" s="161">
        <f>Inputs!EL305</f>
        <v>-82</v>
      </c>
      <c r="EM584" s="161">
        <f>Inputs!EM305</f>
        <v>-191</v>
      </c>
      <c r="EN584" s="100">
        <f t="shared" si="2691"/>
        <v>-408</v>
      </c>
      <c r="EO584" s="161">
        <f>Inputs!EO305</f>
        <v>-111</v>
      </c>
      <c r="EP584" s="161">
        <f>Inputs!EP305</f>
        <v>56</v>
      </c>
      <c r="EQ584" s="161">
        <f>Inputs!EQ305</f>
        <v>11</v>
      </c>
      <c r="ER584" s="161">
        <f>Inputs!ER305</f>
        <v>-8</v>
      </c>
      <c r="ES584" s="100">
        <f t="shared" si="2693"/>
        <v>-52</v>
      </c>
      <c r="ET584" s="1157">
        <v>0</v>
      </c>
      <c r="EU584" s="1157">
        <v>0</v>
      </c>
      <c r="EV584" s="1157">
        <v>0</v>
      </c>
      <c r="EW584" s="1157">
        <v>0</v>
      </c>
      <c r="EX584" s="1111">
        <f t="shared" si="2695"/>
        <v>0</v>
      </c>
      <c r="EY584" s="1157">
        <v>0</v>
      </c>
      <c r="EZ584" s="1157">
        <v>0</v>
      </c>
      <c r="FA584" s="1157">
        <v>0</v>
      </c>
      <c r="FB584" s="1157">
        <v>0</v>
      </c>
      <c r="FC584" s="1111">
        <f t="shared" si="2697"/>
        <v>0</v>
      </c>
      <c r="FD584" s="1157">
        <v>0</v>
      </c>
      <c r="FE584" s="1157">
        <v>0</v>
      </c>
      <c r="FF584" s="1157">
        <v>0</v>
      </c>
      <c r="FG584" s="1157">
        <v>0</v>
      </c>
      <c r="FH584" s="1111">
        <f t="shared" si="2699"/>
        <v>0</v>
      </c>
      <c r="FI584" s="1157">
        <v>0</v>
      </c>
      <c r="FJ584" s="1157">
        <v>0</v>
      </c>
      <c r="FK584" s="1157">
        <v>0</v>
      </c>
      <c r="FL584" s="1157">
        <v>0</v>
      </c>
      <c r="FM584" s="1157">
        <v>0</v>
      </c>
    </row>
    <row r="585" spans="1:170" x14ac:dyDescent="0.3">
      <c r="A585" s="4" t="s">
        <v>512</v>
      </c>
      <c r="EE585" s="85">
        <f>SUM(EE581:EE584)</f>
        <v>346</v>
      </c>
      <c r="EF585" s="85">
        <f>SUM(EF581:EF584)</f>
        <v>399</v>
      </c>
      <c r="EG585" s="85">
        <f>SUM(EG581:EG584)</f>
        <v>412</v>
      </c>
      <c r="EH585" s="85">
        <f>SUM(EH581:EH584)</f>
        <v>468</v>
      </c>
      <c r="EI585" s="85">
        <f t="shared" si="2689"/>
        <v>1625</v>
      </c>
      <c r="EJ585" s="85">
        <f>SUM(EJ581:EJ584)</f>
        <v>535</v>
      </c>
      <c r="EK585" s="85">
        <f>SUM(EK581:EK584)</f>
        <v>667</v>
      </c>
      <c r="EL585" s="85">
        <f>SUM(EL581:EL584)</f>
        <v>872</v>
      </c>
      <c r="EM585" s="85">
        <f>SUM(EM581:EM584)</f>
        <v>1053</v>
      </c>
      <c r="EN585" s="85">
        <f t="shared" si="2691"/>
        <v>3127</v>
      </c>
      <c r="EO585" s="85">
        <f>SUM(EO581:EO584)</f>
        <v>1018</v>
      </c>
      <c r="EP585" s="85">
        <f>SUM(EP581:EP584)</f>
        <v>920</v>
      </c>
      <c r="EQ585" s="85">
        <f>SUM(EQ581:EQ584)</f>
        <v>553</v>
      </c>
      <c r="ER585" s="85">
        <f>SUM(ER581:ER584)</f>
        <v>601</v>
      </c>
      <c r="ES585" s="85">
        <f t="shared" si="2693"/>
        <v>3092</v>
      </c>
      <c r="ET585" s="85">
        <f>SUM(ET581:ET584)</f>
        <v>1070.569669465669</v>
      </c>
      <c r="EU585" s="85">
        <f>SUM(EU581:EU584)</f>
        <v>950.00515993521185</v>
      </c>
      <c r="EV585" s="85">
        <f>SUM(EV581:EV584)</f>
        <v>607.65843430558925</v>
      </c>
      <c r="EW585" s="85">
        <f>SUM(EW581:EW584)</f>
        <v>480.40638202327114</v>
      </c>
      <c r="EX585" s="85">
        <f t="shared" si="2695"/>
        <v>3108.6396457297415</v>
      </c>
      <c r="EY585" s="85">
        <f>SUM(EY581:EY584)</f>
        <v>892.02514030719385</v>
      </c>
      <c r="EZ585" s="85">
        <f>SUM(EZ581:EZ584)</f>
        <v>868.11521752519241</v>
      </c>
      <c r="FA585" s="85">
        <f>SUM(FA581:FA584)</f>
        <v>629.74692701584604</v>
      </c>
      <c r="FB585" s="85">
        <f>SUM(FB581:FB584)</f>
        <v>195.80869848281174</v>
      </c>
      <c r="FC585" s="85">
        <f t="shared" si="2697"/>
        <v>2585.6959833310443</v>
      </c>
      <c r="FD585" s="85">
        <f>SUM(FD581:FD584)</f>
        <v>710.56448210113081</v>
      </c>
      <c r="FE585" s="85">
        <f>SUM(FE581:FE584)</f>
        <v>674.74565544694599</v>
      </c>
      <c r="FF585" s="85">
        <f>SUM(FF581:FF584)</f>
        <v>503.14248035796345</v>
      </c>
      <c r="FG585" s="85">
        <f>SUM(FG581:FG584)</f>
        <v>360.04389669917555</v>
      </c>
      <c r="FH585" s="85">
        <f t="shared" si="2699"/>
        <v>2248.4965146052159</v>
      </c>
      <c r="FI585" s="85">
        <f t="shared" ref="FI585:FM585" si="2708">SUM(FI581:FI584)</f>
        <v>1414.6634666024838</v>
      </c>
      <c r="FJ585" s="85">
        <f t="shared" si="2708"/>
        <v>1388.3472749526786</v>
      </c>
      <c r="FK585" s="85">
        <f t="shared" si="2708"/>
        <v>1360.981876326618</v>
      </c>
      <c r="FL585" s="85">
        <f t="shared" si="2708"/>
        <v>1332.745632004036</v>
      </c>
      <c r="FM585" s="85">
        <f t="shared" si="2708"/>
        <v>1306.146082829664</v>
      </c>
    </row>
    <row r="586" spans="1:170" x14ac:dyDescent="0.3">
      <c r="A586" s="56"/>
      <c r="EO586"/>
      <c r="EP586"/>
      <c r="EQ586"/>
      <c r="ER586"/>
    </row>
    <row r="587" spans="1:170" x14ac:dyDescent="0.3">
      <c r="A587" s="70"/>
      <c r="EO587"/>
      <c r="EP587"/>
      <c r="EQ587"/>
      <c r="ER587"/>
    </row>
    <row r="588" spans="1:170" x14ac:dyDescent="0.3">
      <c r="A588" s="132" t="s">
        <v>513</v>
      </c>
      <c r="DS588" s="44">
        <f>+Inputs!DS53</f>
        <v>492</v>
      </c>
      <c r="DT588" s="53">
        <f>+Inputs!DT53</f>
        <v>1954</v>
      </c>
      <c r="DU588" s="53">
        <f>+Inputs!DU53</f>
        <v>484</v>
      </c>
      <c r="DV588" s="53">
        <f>+Inputs!DV53</f>
        <v>454</v>
      </c>
      <c r="DW588" s="53">
        <f>+Inputs!DW53</f>
        <v>422</v>
      </c>
      <c r="DX588" s="53">
        <f>+Inputs!DX53</f>
        <v>420</v>
      </c>
      <c r="DY588" s="45">
        <f>+SUM(DU588:DX588)</f>
        <v>1780</v>
      </c>
      <c r="DZ588" s="53">
        <f>+Inputs!DZ53</f>
        <v>415</v>
      </c>
      <c r="EA588" s="53">
        <f>+Inputs!EA53</f>
        <v>397</v>
      </c>
      <c r="EB588" s="53">
        <f>+Inputs!EB53</f>
        <v>392</v>
      </c>
      <c r="EC588" s="53">
        <f>+Inputs!EC53</f>
        <v>394</v>
      </c>
      <c r="ED588" s="45">
        <f>+SUM(DZ588:EC588)</f>
        <v>1598</v>
      </c>
      <c r="EE588" s="53">
        <f>+Inputs!EE53</f>
        <v>387</v>
      </c>
      <c r="EF588" s="53">
        <f>+Inputs!EF53</f>
        <v>298</v>
      </c>
      <c r="EG588" s="53">
        <f>+Inputs!EG53</f>
        <v>273</v>
      </c>
      <c r="EH588" s="53">
        <f>+Inputs!EH53</f>
        <v>282</v>
      </c>
      <c r="EI588" s="45">
        <f>+SUM(EE588:EH588)</f>
        <v>1240</v>
      </c>
      <c r="EJ588" s="53">
        <f>+Inputs!EJ53</f>
        <v>284</v>
      </c>
      <c r="EK588" s="53">
        <f>+Inputs!EK53</f>
        <v>290</v>
      </c>
      <c r="EL588" s="53">
        <f>+Inputs!EL53</f>
        <v>296</v>
      </c>
      <c r="EM588" s="53">
        <f>+Inputs!EM53</f>
        <v>312</v>
      </c>
      <c r="EN588" s="45">
        <f>+SUM(EJ588:EM588)</f>
        <v>1182</v>
      </c>
      <c r="EO588" s="53">
        <f>+Inputs!EO53</f>
        <v>330</v>
      </c>
      <c r="EP588" s="53">
        <f>+Inputs!EP53</f>
        <v>354</v>
      </c>
      <c r="EQ588" s="53">
        <f>+Inputs!EQ53</f>
        <v>356</v>
      </c>
      <c r="ER588" s="53">
        <f>+Inputs!ER53</f>
        <v>375</v>
      </c>
      <c r="ES588" s="45">
        <f>+SUM(EO588:ER588)</f>
        <v>1415</v>
      </c>
      <c r="ET588" s="85">
        <f>+ER588+ET589-ET591</f>
        <v>408.36090095671921</v>
      </c>
      <c r="EU588" s="85">
        <f t="shared" ref="EU588:EW588" si="2709">+ET588+EU589-EU591</f>
        <v>423.10917187136027</v>
      </c>
      <c r="EV588" s="85">
        <f t="shared" si="2709"/>
        <v>400.72439809887499</v>
      </c>
      <c r="EW588" s="85">
        <f t="shared" si="2709"/>
        <v>370.01353847177091</v>
      </c>
      <c r="EX588" s="45">
        <f>+SUM(ET588:EW588)</f>
        <v>1602.2080093987256</v>
      </c>
      <c r="EY588" s="85">
        <f>+EW588+EY589-EY591</f>
        <v>384.88245503918961</v>
      </c>
      <c r="EZ588" s="85">
        <f t="shared" ref="EZ588" si="2710">+EY588+EZ589-EZ591</f>
        <v>394.37329927884332</v>
      </c>
      <c r="FA588" s="85">
        <f t="shared" ref="FA588" si="2711">+EZ588+FA589-FA591</f>
        <v>378.12065829976081</v>
      </c>
      <c r="FB588" s="85">
        <f t="shared" ref="FB588" si="2712">+FA588+FB589-FB591</f>
        <v>321.73925681413226</v>
      </c>
      <c r="FC588" s="45">
        <f>+SUM(EY588:FB588)</f>
        <v>1479.1156694319259</v>
      </c>
      <c r="FD588" s="85">
        <f>+FB588+FD589-FD591</f>
        <v>337.34014045687564</v>
      </c>
      <c r="FE588" s="85">
        <f t="shared" ref="FE588" si="2713">+FD588+FE589-FE591</f>
        <v>346.67014470211086</v>
      </c>
      <c r="FF588" s="85">
        <f t="shared" ref="FF588" si="2714">+FE588+FF589-FF591</f>
        <v>337.23169490590664</v>
      </c>
      <c r="FG588" s="85">
        <f t="shared" ref="FG588" si="2715">+FF588+FG589-FG591</f>
        <v>315.1102151491358</v>
      </c>
      <c r="FH588" s="45">
        <f>+SUM(FD588:FG588)</f>
        <v>1336.3521952140291</v>
      </c>
      <c r="FI588" s="85">
        <f t="shared" ref="FI588:FM588" si="2716">+FH588+FI589-FI591</f>
        <v>1289.5957006950414</v>
      </c>
      <c r="FJ588" s="85">
        <f t="shared" si="2716"/>
        <v>1264.9568836681442</v>
      </c>
      <c r="FK588" s="85">
        <f t="shared" si="2716"/>
        <v>1256.7398515799712</v>
      </c>
      <c r="FL588" s="85">
        <f t="shared" si="2716"/>
        <v>1260.9744284070161</v>
      </c>
      <c r="FM588" s="85">
        <f t="shared" si="2716"/>
        <v>1265.4915938492809</v>
      </c>
      <c r="FN588" s="189">
        <f>+(FJ588/ES588)^0.2-1</f>
        <v>-2.2168876006566918E-2</v>
      </c>
    </row>
    <row r="589" spans="1:170" x14ac:dyDescent="0.3">
      <c r="A589" s="134" t="s">
        <v>228</v>
      </c>
      <c r="DU589" s="133">
        <f>DU573/DU590</f>
        <v>30.5</v>
      </c>
      <c r="DV589" s="133">
        <f>DV573/DV590</f>
        <v>27.5</v>
      </c>
      <c r="DW589" s="133">
        <f>DW573/DW590</f>
        <v>31.8</v>
      </c>
      <c r="DX589" s="133">
        <f>DX573/DX590</f>
        <v>32.799999999999997</v>
      </c>
      <c r="DY589" s="140">
        <f>+SUM(DU589:DX589)</f>
        <v>122.6</v>
      </c>
      <c r="DZ589" s="133">
        <f>DZ573/DZ590</f>
        <v>28.6</v>
      </c>
      <c r="EA589" s="133">
        <f>EA573/EA590</f>
        <v>22.5</v>
      </c>
      <c r="EB589" s="133">
        <f>EB573/EB590</f>
        <v>31.4</v>
      </c>
      <c r="EC589" s="133">
        <f>EC573/EC590</f>
        <v>35.6</v>
      </c>
      <c r="ED589" s="140">
        <f>+SUM(DZ589:EC589)</f>
        <v>118.1</v>
      </c>
      <c r="EE589" s="133">
        <f>EE573/EE590</f>
        <v>38.4</v>
      </c>
      <c r="EF589" s="133">
        <f>EF573/EF590</f>
        <v>38.5</v>
      </c>
      <c r="EG589" s="133">
        <f>EG573/EG590</f>
        <v>37.700000000000003</v>
      </c>
      <c r="EH589" s="133">
        <f>EH573/EH590</f>
        <v>55.9</v>
      </c>
      <c r="EI589" s="140">
        <f>+SUM(EE589:EH589)</f>
        <v>170.5</v>
      </c>
      <c r="EJ589" s="133">
        <f>EJ573/EJ590</f>
        <v>44.7</v>
      </c>
      <c r="EK589" s="133">
        <f>EK573/EK590</f>
        <v>64.099999999999994</v>
      </c>
      <c r="EL589" s="133">
        <f>EL573/EL590</f>
        <v>77.2</v>
      </c>
      <c r="EM589" s="133">
        <f>EM573/EM590</f>
        <v>87.8</v>
      </c>
      <c r="EN589" s="140">
        <f>+SUM(EJ589:EM589)</f>
        <v>273.8</v>
      </c>
      <c r="EO589" s="133">
        <f>EO573/EO590</f>
        <v>115.4</v>
      </c>
      <c r="EP589" s="133">
        <f>EP573/EP590</f>
        <v>105.7</v>
      </c>
      <c r="EQ589" s="133">
        <f>EQ573/EQ590</f>
        <v>67.099999999999994</v>
      </c>
      <c r="ER589" s="133">
        <f>ER573/ER590</f>
        <v>32.9</v>
      </c>
      <c r="ES589" s="140">
        <f>+SUM(EO589:ER589)</f>
        <v>321.10000000000002</v>
      </c>
      <c r="ET589" s="133">
        <f>ET573/ET590</f>
        <v>107.0569669465669</v>
      </c>
      <c r="EU589" s="133">
        <f>EU573/EU590</f>
        <v>95.000515993521191</v>
      </c>
      <c r="EV589" s="133">
        <f>EV573/EV590</f>
        <v>60.765843430558924</v>
      </c>
      <c r="EW589" s="133">
        <f>EW573/EW590</f>
        <v>48.040638202327116</v>
      </c>
      <c r="EX589" s="140">
        <f>+SUM(ET589:EW589)</f>
        <v>310.86396457297411</v>
      </c>
      <c r="EY589" s="133">
        <f>EY573/EY590</f>
        <v>89.202514030719385</v>
      </c>
      <c r="EZ589" s="133">
        <f>EZ573/EZ590</f>
        <v>86.811521752519241</v>
      </c>
      <c r="FA589" s="133">
        <f>FA573/FA590</f>
        <v>62.974692701584601</v>
      </c>
      <c r="FB589" s="133">
        <f>FB573/FB590</f>
        <v>19.580869848281175</v>
      </c>
      <c r="FC589" s="140">
        <f>+SUM(EY589:FB589)</f>
        <v>258.56959833310441</v>
      </c>
      <c r="FD589" s="133">
        <f>FD573/FD590</f>
        <v>71.056448210113075</v>
      </c>
      <c r="FE589" s="133">
        <f>FE573/FE590</f>
        <v>67.474565544694599</v>
      </c>
      <c r="FF589" s="133">
        <f>FF573/FF590</f>
        <v>50.314248035796346</v>
      </c>
      <c r="FG589" s="133">
        <f>FG573/FG590</f>
        <v>36.004389669917558</v>
      </c>
      <c r="FH589" s="140">
        <f>+SUM(FD589:FG589)</f>
        <v>224.84965146052156</v>
      </c>
      <c r="FI589" s="133">
        <f t="shared" ref="FI589:FM589" si="2717">FI573/FI590</f>
        <v>141.46634666024838</v>
      </c>
      <c r="FJ589" s="133">
        <f t="shared" si="2717"/>
        <v>138.83472749526786</v>
      </c>
      <c r="FK589" s="133">
        <f t="shared" si="2717"/>
        <v>136.09818763266179</v>
      </c>
      <c r="FL589" s="133">
        <f t="shared" si="2717"/>
        <v>133.27456320040361</v>
      </c>
      <c r="FM589" s="133">
        <f t="shared" si="2717"/>
        <v>130.6146082829664</v>
      </c>
    </row>
    <row r="590" spans="1:170" x14ac:dyDescent="0.3">
      <c r="A590" s="134" t="s">
        <v>514</v>
      </c>
      <c r="DU590" s="96">
        <v>10</v>
      </c>
      <c r="DV590" s="96">
        <v>10</v>
      </c>
      <c r="DW590" s="96">
        <v>10</v>
      </c>
      <c r="DX590" s="96">
        <v>10</v>
      </c>
      <c r="DY590" s="86">
        <f>+DY573/DY589</f>
        <v>10</v>
      </c>
      <c r="DZ590" s="96">
        <v>10</v>
      </c>
      <c r="EA590" s="96">
        <v>10</v>
      </c>
      <c r="EB590" s="96">
        <v>10</v>
      </c>
      <c r="EC590" s="96">
        <v>10</v>
      </c>
      <c r="ED590" s="86">
        <f>+ED573/ED589</f>
        <v>10</v>
      </c>
      <c r="EE590" s="96">
        <v>10</v>
      </c>
      <c r="EF590" s="96">
        <v>10</v>
      </c>
      <c r="EG590" s="96">
        <v>10</v>
      </c>
      <c r="EH590" s="96">
        <v>10</v>
      </c>
      <c r="EI590" s="86">
        <f>+EI573/EI589</f>
        <v>10</v>
      </c>
      <c r="EJ590" s="96">
        <v>10</v>
      </c>
      <c r="EK590" s="96">
        <v>10</v>
      </c>
      <c r="EL590" s="96">
        <v>10</v>
      </c>
      <c r="EM590" s="96">
        <v>10</v>
      </c>
      <c r="EN590" s="86">
        <f>+EN573/EN589</f>
        <v>10</v>
      </c>
      <c r="EO590" s="96">
        <v>10</v>
      </c>
      <c r="EP590" s="96">
        <v>10</v>
      </c>
      <c r="EQ590" s="96">
        <v>10</v>
      </c>
      <c r="ER590" s="96">
        <v>10</v>
      </c>
      <c r="ES590" s="86">
        <f>+ES573/ES589</f>
        <v>10</v>
      </c>
      <c r="ET590" s="96">
        <v>10</v>
      </c>
      <c r="EU590" s="96">
        <v>10</v>
      </c>
      <c r="EV590" s="96">
        <v>10</v>
      </c>
      <c r="EW590" s="96">
        <v>10</v>
      </c>
      <c r="EX590" s="86">
        <f>+EX573/EX589</f>
        <v>10.000000000000002</v>
      </c>
      <c r="EY590" s="96">
        <v>10</v>
      </c>
      <c r="EZ590" s="96">
        <v>10</v>
      </c>
      <c r="FA590" s="96">
        <v>10</v>
      </c>
      <c r="FB590" s="96">
        <v>10</v>
      </c>
      <c r="FC590" s="86">
        <f>+FC573/FC589</f>
        <v>10</v>
      </c>
      <c r="FD590" s="96">
        <v>10</v>
      </c>
      <c r="FE590" s="96">
        <v>10</v>
      </c>
      <c r="FF590" s="96">
        <v>10</v>
      </c>
      <c r="FG590" s="96">
        <v>10</v>
      </c>
      <c r="FH590" s="86">
        <f>+FH573/FH589</f>
        <v>10.000000000000002</v>
      </c>
      <c r="FI590" s="96">
        <v>10</v>
      </c>
      <c r="FJ590" s="96">
        <v>10</v>
      </c>
      <c r="FK590" s="96">
        <v>10</v>
      </c>
      <c r="FL590" s="96">
        <v>10</v>
      </c>
      <c r="FM590" s="96">
        <v>10</v>
      </c>
    </row>
    <row r="591" spans="1:170" x14ac:dyDescent="0.3">
      <c r="A591" s="134" t="s">
        <v>229</v>
      </c>
      <c r="DU591" s="133">
        <f>DS588+DU589-DU588</f>
        <v>38.5</v>
      </c>
      <c r="DV591" s="133">
        <f>DU588+DV589-DV588</f>
        <v>57.5</v>
      </c>
      <c r="DW591" s="133">
        <f>DV588+DW589-DW588</f>
        <v>63.800000000000011</v>
      </c>
      <c r="DX591" s="133">
        <f>DW588+DX589-DX588</f>
        <v>34.800000000000011</v>
      </c>
      <c r="DY591" s="140">
        <f>+SUM(DU591:DX591)</f>
        <v>194.60000000000002</v>
      </c>
      <c r="DZ591" s="133">
        <f>DX588+DZ589-DZ588</f>
        <v>33.600000000000023</v>
      </c>
      <c r="EA591" s="133">
        <f>DZ588+EA589-EA588</f>
        <v>40.5</v>
      </c>
      <c r="EB591" s="133">
        <f>EA588+EB589-EB588</f>
        <v>36.399999999999977</v>
      </c>
      <c r="EC591" s="133">
        <f>EB588+EC589-EC588</f>
        <v>33.600000000000023</v>
      </c>
      <c r="ED591" s="140">
        <f>+SUM(DZ591:EC591)</f>
        <v>144.10000000000002</v>
      </c>
      <c r="EE591" s="133">
        <f>EC588+EE589-EE588</f>
        <v>45.399999999999977</v>
      </c>
      <c r="EF591" s="133">
        <f>EE588+EF589-EF588</f>
        <v>127.5</v>
      </c>
      <c r="EG591" s="133">
        <f>EF588+EG589-EG588</f>
        <v>62.699999999999989</v>
      </c>
      <c r="EH591" s="133">
        <f>EG588+EH589-EH588</f>
        <v>46.899999999999977</v>
      </c>
      <c r="EI591" s="140">
        <f>+SUM(EE591:EH591)</f>
        <v>282.49999999999994</v>
      </c>
      <c r="EJ591" s="133">
        <f>EH588+EJ589-EJ588</f>
        <v>42.699999999999989</v>
      </c>
      <c r="EK591" s="133">
        <f>EJ588+EK589-EK588</f>
        <v>58.100000000000023</v>
      </c>
      <c r="EL591" s="133">
        <f>EK588+EL589-EL588</f>
        <v>71.199999999999989</v>
      </c>
      <c r="EM591" s="133">
        <f>EL588+EM589-EM588</f>
        <v>71.800000000000011</v>
      </c>
      <c r="EN591" s="140">
        <f>+SUM(EJ591:EM591)</f>
        <v>243.8</v>
      </c>
      <c r="EO591" s="133">
        <f>EM588+EO589-EO588</f>
        <v>97.399999999999977</v>
      </c>
      <c r="EP591" s="133">
        <f>EO588+EP589-EP588</f>
        <v>81.699999999999989</v>
      </c>
      <c r="EQ591" s="133">
        <f>EP588+EQ589-EQ588</f>
        <v>65.100000000000023</v>
      </c>
      <c r="ER591" s="133">
        <f>EQ588+ER589-ER588</f>
        <v>13.899999999999977</v>
      </c>
      <c r="ES591" s="140">
        <f>+SUM(EO591:ER591)</f>
        <v>258.09999999999997</v>
      </c>
      <c r="ET591" s="133">
        <f>+ER588*ET592</f>
        <v>73.69606598984771</v>
      </c>
      <c r="EU591" s="133">
        <f t="shared" ref="EU591:EW591" si="2718">+ET588*EU592</f>
        <v>80.252245078880108</v>
      </c>
      <c r="EV591" s="133">
        <f t="shared" si="2718"/>
        <v>83.15061720304422</v>
      </c>
      <c r="EW591" s="133">
        <f t="shared" si="2718"/>
        <v>78.751497829431187</v>
      </c>
      <c r="EX591" s="140">
        <f>+SUM(ET591:EW591)</f>
        <v>315.85042610120325</v>
      </c>
      <c r="EY591" s="133">
        <f>+EW588*EY592</f>
        <v>74.33359746330072</v>
      </c>
      <c r="EZ591" s="133">
        <f t="shared" ref="EZ591" si="2719">+EY588*EZ592</f>
        <v>77.320677512865515</v>
      </c>
      <c r="FA591" s="133">
        <f t="shared" ref="FA591" si="2720">+EZ588*FA592</f>
        <v>79.227333680667144</v>
      </c>
      <c r="FB591" s="133">
        <f t="shared" ref="FB591" si="2721">+FA588*FB592</f>
        <v>75.962271333909698</v>
      </c>
      <c r="FC591" s="140">
        <f>+SUM(EY591:FB591)</f>
        <v>306.84387999074306</v>
      </c>
      <c r="FD591" s="133">
        <f>+FB588*FD592</f>
        <v>55.455564567369649</v>
      </c>
      <c r="FE591" s="133">
        <f t="shared" ref="FE591" si="2722">+FD588*FE592</f>
        <v>58.144561299459369</v>
      </c>
      <c r="FF591" s="133">
        <f t="shared" ref="FF591" si="2723">+FE588*FF592</f>
        <v>59.752697832000607</v>
      </c>
      <c r="FG591" s="133">
        <f t="shared" ref="FG591" si="2724">+FF588*FG592</f>
        <v>58.125869426688368</v>
      </c>
      <c r="FH591" s="140">
        <f>+SUM(FD591:FG591)</f>
        <v>231.47869312551802</v>
      </c>
      <c r="FI591" s="133">
        <f t="shared" ref="FI591:FM591" si="2725">+FH588*FI592</f>
        <v>188.22284117923587</v>
      </c>
      <c r="FJ591" s="133">
        <f t="shared" si="2725"/>
        <v>163.4735445221649</v>
      </c>
      <c r="FK591" s="133">
        <f t="shared" si="2725"/>
        <v>144.31521972083493</v>
      </c>
      <c r="FL591" s="133">
        <f t="shared" si="2725"/>
        <v>129.0399863733588</v>
      </c>
      <c r="FM591" s="133">
        <f t="shared" si="2725"/>
        <v>126.09744284070162</v>
      </c>
    </row>
    <row r="592" spans="1:170" x14ac:dyDescent="0.3">
      <c r="A592" s="134" t="s">
        <v>515</v>
      </c>
      <c r="DU592" s="143">
        <f>+DU591/DS588</f>
        <v>7.8252032520325199E-2</v>
      </c>
      <c r="DV592" s="143">
        <f>+DV591/DU588</f>
        <v>0.11880165289256199</v>
      </c>
      <c r="DW592" s="143">
        <f>+DW591/DV588</f>
        <v>0.1405286343612335</v>
      </c>
      <c r="DX592" s="143">
        <f>+DX591/DW588</f>
        <v>8.246445497630335E-2</v>
      </c>
      <c r="DY592" s="145">
        <f>+DY591/DT588</f>
        <v>9.9590583418628462E-2</v>
      </c>
      <c r="DZ592" s="143">
        <f>+DZ591/DX588</f>
        <v>8.0000000000000057E-2</v>
      </c>
      <c r="EA592" s="143">
        <f>+EA591/DZ588</f>
        <v>9.7590361445783133E-2</v>
      </c>
      <c r="EB592" s="143">
        <f>+EB591/EA588</f>
        <v>9.1687657430730415E-2</v>
      </c>
      <c r="EC592" s="143">
        <f>+EC591/EB588</f>
        <v>8.5714285714285771E-2</v>
      </c>
      <c r="ED592" s="145">
        <f>+ED591/DY588</f>
        <v>8.0955056179775289E-2</v>
      </c>
      <c r="EE592" s="143">
        <f>+EE591/EC588</f>
        <v>0.11522842639593903</v>
      </c>
      <c r="EF592" s="143">
        <f>+EF591/EE588</f>
        <v>0.32945736434108525</v>
      </c>
      <c r="EG592" s="143">
        <f>+EG591/EF588</f>
        <v>0.21040268456375835</v>
      </c>
      <c r="EH592" s="143">
        <f>+EH591/EG588</f>
        <v>0.17179487179487171</v>
      </c>
      <c r="EI592" s="145">
        <f>+EI591/ED588</f>
        <v>0.17678347934918645</v>
      </c>
      <c r="EJ592" s="143">
        <f>+EJ591/EH588</f>
        <v>0.15141843971631203</v>
      </c>
      <c r="EK592" s="143">
        <f>+EK591/EJ588</f>
        <v>0.20457746478873248</v>
      </c>
      <c r="EL592" s="143">
        <f>+EL591/EK588</f>
        <v>0.2455172413793103</v>
      </c>
      <c r="EM592" s="143">
        <f>+EM591/EL588</f>
        <v>0.24256756756756762</v>
      </c>
      <c r="EN592" s="145">
        <f>+EN591/EI588</f>
        <v>0.19661290322580646</v>
      </c>
      <c r="EO592" s="143">
        <f>+EO591/EM588</f>
        <v>0.31217948717948713</v>
      </c>
      <c r="EP592" s="143">
        <f>+EP591/EO588</f>
        <v>0.24757575757575753</v>
      </c>
      <c r="EQ592" s="143">
        <f>+EQ591/EP588</f>
        <v>0.18389830508474583</v>
      </c>
      <c r="ER592" s="143">
        <f>+ER591/EQ588</f>
        <v>3.9044943820224658E-2</v>
      </c>
      <c r="ES592" s="145">
        <f>+ES591/EN588</f>
        <v>0.21835871404399321</v>
      </c>
      <c r="ET592" s="142">
        <f>MAX(+ES592*0.9,0.1)</f>
        <v>0.19652284263959388</v>
      </c>
      <c r="EU592" s="142">
        <f t="shared" ref="EU592:EW592" si="2726">+ET592</f>
        <v>0.19652284263959388</v>
      </c>
      <c r="EV592" s="142">
        <f t="shared" si="2726"/>
        <v>0.19652284263959388</v>
      </c>
      <c r="EW592" s="142">
        <f t="shared" si="2726"/>
        <v>0.19652284263959388</v>
      </c>
      <c r="EX592" s="145">
        <f>+EX591/ES588</f>
        <v>0.22321584883477261</v>
      </c>
      <c r="EY592" s="142">
        <f>MAX(+EX592*0.9,0.1)</f>
        <v>0.20089426395129534</v>
      </c>
      <c r="EZ592" s="142">
        <f t="shared" ref="EZ592" si="2727">+EY592</f>
        <v>0.20089426395129534</v>
      </c>
      <c r="FA592" s="142">
        <f t="shared" ref="FA592" si="2728">+EZ592</f>
        <v>0.20089426395129534</v>
      </c>
      <c r="FB592" s="142">
        <f t="shared" ref="FB592" si="2729">+FA592</f>
        <v>0.20089426395129534</v>
      </c>
      <c r="FC592" s="145">
        <f>+FC591/EX588</f>
        <v>0.19151313574190346</v>
      </c>
      <c r="FD592" s="142">
        <f>MAX(+FC592*0.9,0.1)</f>
        <v>0.17236182216771312</v>
      </c>
      <c r="FE592" s="142">
        <f t="shared" ref="FE592" si="2730">+FD592</f>
        <v>0.17236182216771312</v>
      </c>
      <c r="FF592" s="142">
        <f t="shared" ref="FF592" si="2731">+FE592</f>
        <v>0.17236182216771312</v>
      </c>
      <c r="FG592" s="142">
        <f t="shared" ref="FG592" si="2732">+FF592</f>
        <v>0.17236182216771312</v>
      </c>
      <c r="FH592" s="145">
        <f>+FH591/FC588</f>
        <v>0.15649803318926403</v>
      </c>
      <c r="FI592" s="142">
        <f t="shared" ref="FI592:FM592" si="2733">MAX(+FH592*0.9,0.1)</f>
        <v>0.14084822987033763</v>
      </c>
      <c r="FJ592" s="142">
        <f t="shared" si="2733"/>
        <v>0.12676340688330387</v>
      </c>
      <c r="FK592" s="142">
        <f t="shared" si="2733"/>
        <v>0.11408706619497348</v>
      </c>
      <c r="FL592" s="142">
        <f t="shared" si="2733"/>
        <v>0.10267835957547614</v>
      </c>
      <c r="FM592" s="142">
        <f t="shared" si="2733"/>
        <v>0.1</v>
      </c>
    </row>
    <row r="593" spans="1:171" x14ac:dyDescent="0.3">
      <c r="A593" s="135" t="s">
        <v>505</v>
      </c>
      <c r="DU593" s="143">
        <f>+DU588/$DY588</f>
        <v>0.27191011235955054</v>
      </c>
      <c r="DV593" s="143">
        <f>+DV588/$DY588</f>
        <v>0.25505617977528089</v>
      </c>
      <c r="DW593" s="143">
        <f>+DW588/$DY588</f>
        <v>0.23707865168539327</v>
      </c>
      <c r="DX593" s="143">
        <f>+DX588/$DY588</f>
        <v>0.23595505617977527</v>
      </c>
      <c r="DY593" s="145">
        <f>+DY588/$DY588</f>
        <v>1</v>
      </c>
      <c r="DZ593" s="143">
        <f>+DZ588/$ED588</f>
        <v>0.25969962453066331</v>
      </c>
      <c r="EA593" s="143">
        <f>+EA588/$ED588</f>
        <v>0.24843554443053817</v>
      </c>
      <c r="EB593" s="143">
        <f>+EB588/$ED588</f>
        <v>0.24530663329161451</v>
      </c>
      <c r="EC593" s="143">
        <f>+EC588/$ED588</f>
        <v>0.24655819774718399</v>
      </c>
      <c r="ED593" s="145">
        <f>+ED588/$ED588</f>
        <v>1</v>
      </c>
      <c r="EE593" s="143">
        <f t="shared" ref="EE593:EI593" si="2734">+EE588/$EI588</f>
        <v>0.31209677419354837</v>
      </c>
      <c r="EF593" s="143">
        <f t="shared" si="2734"/>
        <v>0.24032258064516129</v>
      </c>
      <c r="EG593" s="143">
        <f t="shared" si="2734"/>
        <v>0.22016129032258064</v>
      </c>
      <c r="EH593" s="143">
        <f t="shared" si="2734"/>
        <v>0.22741935483870968</v>
      </c>
      <c r="EI593" s="145">
        <f t="shared" si="2734"/>
        <v>1</v>
      </c>
      <c r="EJ593" s="143">
        <f>+EJ588/$EN588</f>
        <v>0.24027072758037224</v>
      </c>
      <c r="EK593" s="143">
        <f t="shared" ref="EK593:EN593" si="2735">+EK588/$EN588</f>
        <v>0.24534686971235195</v>
      </c>
      <c r="EL593" s="143">
        <f t="shared" si="2735"/>
        <v>0.25042301184433163</v>
      </c>
      <c r="EM593" s="143">
        <f t="shared" si="2735"/>
        <v>0.26395939086294418</v>
      </c>
      <c r="EN593" s="145">
        <f t="shared" si="2735"/>
        <v>1</v>
      </c>
      <c r="EO593" s="143">
        <f>+EO588/$ES588</f>
        <v>0.2332155477031802</v>
      </c>
      <c r="EP593" s="143">
        <f t="shared" ref="EP593:ER593" si="2736">+EP588/$ES588</f>
        <v>0.25017667844522967</v>
      </c>
      <c r="EQ593" s="143">
        <f t="shared" si="2736"/>
        <v>0.25159010600706716</v>
      </c>
      <c r="ER593" s="143">
        <f t="shared" si="2736"/>
        <v>0.26501766784452296</v>
      </c>
      <c r="ES593" s="145">
        <f t="shared" ref="ES593" si="2737">+ES588/$EN588</f>
        <v>1.1971235194585448</v>
      </c>
      <c r="ET593" s="143">
        <f t="shared" ref="ET593:EW593" si="2738">+ET588/$ES588</f>
        <v>0.28859427629450118</v>
      </c>
      <c r="EU593" s="143">
        <f t="shared" si="2738"/>
        <v>0.29901708259460091</v>
      </c>
      <c r="EV593" s="143">
        <f t="shared" si="2738"/>
        <v>0.28319745448683742</v>
      </c>
      <c r="EW593" s="143">
        <f t="shared" si="2738"/>
        <v>0.26149366676450242</v>
      </c>
      <c r="EX593" s="145">
        <f t="shared" ref="EX593" si="2739">+EX588/$EN588</f>
        <v>1.3555059301173651</v>
      </c>
      <c r="EY593" s="143">
        <f t="shared" ref="EY593:FB593" si="2740">+EY588/$ES588</f>
        <v>0.272001735010028</v>
      </c>
      <c r="EZ593" s="143">
        <f t="shared" si="2740"/>
        <v>0.27870904542674441</v>
      </c>
      <c r="FA593" s="143">
        <f t="shared" si="2740"/>
        <v>0.26722308007050233</v>
      </c>
      <c r="FB593" s="143">
        <f t="shared" si="2740"/>
        <v>0.227377566653097</v>
      </c>
      <c r="FC593" s="145">
        <f t="shared" ref="FC593" si="2741">+FC588/$EN588</f>
        <v>1.2513668946124585</v>
      </c>
      <c r="FD593" s="143">
        <f t="shared" ref="FD593:FG593" si="2742">+FD588/$ES588</f>
        <v>0.23840292611793332</v>
      </c>
      <c r="FE593" s="143">
        <f t="shared" si="2742"/>
        <v>0.24499656869407127</v>
      </c>
      <c r="FF593" s="143">
        <f t="shared" si="2742"/>
        <v>0.23832628615258419</v>
      </c>
      <c r="FG593" s="143">
        <f t="shared" si="2742"/>
        <v>0.22269273155415958</v>
      </c>
      <c r="FH593" s="145">
        <f t="shared" ref="FH593" si="2743">+FH588/$EN588</f>
        <v>1.1305856135482479</v>
      </c>
      <c r="FI593" s="143">
        <f t="shared" ref="FI593:FM593" si="2744">+FI588/FI588</f>
        <v>1</v>
      </c>
      <c r="FJ593" s="143">
        <f t="shared" si="2744"/>
        <v>1</v>
      </c>
      <c r="FK593" s="143">
        <f t="shared" si="2744"/>
        <v>1</v>
      </c>
      <c r="FL593" s="143">
        <f t="shared" si="2744"/>
        <v>1</v>
      </c>
      <c r="FM593" s="143">
        <f t="shared" si="2744"/>
        <v>1</v>
      </c>
    </row>
    <row r="594" spans="1:171" x14ac:dyDescent="0.3">
      <c r="A594" s="56"/>
    </row>
    <row r="595" spans="1:171" x14ac:dyDescent="0.3">
      <c r="A595" s="105"/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  <c r="AA595" s="105"/>
      <c r="AB595" s="105"/>
      <c r="AC595" s="105"/>
      <c r="AD595" s="105"/>
      <c r="AE595" s="105"/>
      <c r="AF595" s="105"/>
      <c r="AG595" s="105"/>
      <c r="AH595" s="105"/>
      <c r="AI595" s="105"/>
      <c r="AJ595" s="105"/>
      <c r="AK595" s="105"/>
      <c r="AL595" s="105"/>
      <c r="AM595" s="105"/>
      <c r="AN595" s="105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  <c r="BY595" s="105"/>
      <c r="BZ595" s="105"/>
      <c r="CA595" s="105"/>
      <c r="CB595" s="105"/>
      <c r="CC595" s="105"/>
      <c r="CD595" s="105"/>
      <c r="CE595" s="105"/>
      <c r="CF595" s="105"/>
      <c r="CG595" s="105"/>
      <c r="CH595" s="105"/>
      <c r="CI595" s="105"/>
      <c r="CJ595" s="105"/>
      <c r="CK595" s="105"/>
      <c r="CL595" s="105"/>
      <c r="CM595" s="105"/>
      <c r="CN595" s="105"/>
      <c r="CO595" s="105"/>
      <c r="CP595" s="105"/>
      <c r="CQ595" s="105"/>
      <c r="CR595" s="105"/>
      <c r="CS595" s="105"/>
      <c r="CT595" s="105"/>
      <c r="CU595" s="105"/>
      <c r="CV595" s="105"/>
      <c r="CW595" s="105"/>
      <c r="CX595" s="105"/>
      <c r="CY595" s="105"/>
      <c r="CZ595" s="105"/>
      <c r="DA595" s="105"/>
      <c r="DB595" s="105"/>
      <c r="DC595" s="105"/>
      <c r="DD595" s="105"/>
      <c r="DE595" s="105"/>
      <c r="DF595" s="105"/>
      <c r="DG595" s="105"/>
      <c r="DH595" s="105"/>
      <c r="DI595" s="105"/>
      <c r="DJ595" s="105"/>
      <c r="DK595" s="105"/>
      <c r="DL595" s="105"/>
      <c r="DM595" s="105"/>
      <c r="DN595" s="105"/>
      <c r="DO595" s="105"/>
      <c r="DP595" s="105"/>
      <c r="DQ595" s="105"/>
      <c r="DR595" s="105"/>
      <c r="DS595" s="105"/>
      <c r="DT595" s="105"/>
      <c r="DU595" s="105"/>
      <c r="DV595" s="105"/>
      <c r="DW595" s="105"/>
      <c r="DX595" s="105"/>
      <c r="DY595" s="105"/>
      <c r="DZ595" s="105"/>
      <c r="EA595" s="105"/>
      <c r="EB595" s="105"/>
      <c r="EC595" s="105"/>
      <c r="ED595" s="105"/>
      <c r="EE595" s="105"/>
      <c r="EF595" s="105"/>
      <c r="EG595" s="105"/>
      <c r="EH595" s="105"/>
      <c r="EI595" s="105"/>
      <c r="EJ595" s="105"/>
      <c r="EK595" s="105"/>
      <c r="EL595" s="105"/>
      <c r="EM595" s="105"/>
      <c r="EN595" s="105"/>
      <c r="EO595" s="105"/>
      <c r="EP595" s="105"/>
      <c r="EQ595" s="105"/>
      <c r="ER595" s="105"/>
      <c r="ES595" s="105"/>
      <c r="ET595" s="105"/>
      <c r="EU595" s="105"/>
      <c r="EV595" s="105"/>
      <c r="EW595" s="105"/>
      <c r="EX595" s="105"/>
      <c r="EY595" s="105"/>
      <c r="EZ595" s="105"/>
      <c r="FA595" s="105"/>
      <c r="FB595" s="105"/>
      <c r="FC595" s="105"/>
      <c r="FD595" s="105"/>
      <c r="FE595" s="105"/>
      <c r="FF595" s="105"/>
      <c r="FG595" s="105"/>
      <c r="FH595" s="105"/>
      <c r="FI595" s="105"/>
      <c r="FJ595" s="105"/>
      <c r="FK595" s="105"/>
      <c r="FL595" s="105"/>
      <c r="FM595" s="105"/>
      <c r="FN595" s="105"/>
    </row>
    <row r="596" spans="1:171" x14ac:dyDescent="0.3">
      <c r="A596" s="56"/>
    </row>
    <row r="597" spans="1:171" x14ac:dyDescent="0.3">
      <c r="A597" s="56"/>
    </row>
    <row r="598" spans="1:171" x14ac:dyDescent="0.3">
      <c r="A598" s="1"/>
    </row>
    <row r="599" spans="1:171" hidden="1" outlineLevel="1" x14ac:dyDescent="0.3">
      <c r="A599" s="1193" t="s">
        <v>516</v>
      </c>
      <c r="B599" s="705"/>
      <c r="C599" s="705"/>
      <c r="D599" s="705"/>
      <c r="E599" s="705"/>
      <c r="F599" s="705"/>
      <c r="G599" s="705"/>
      <c r="H599" s="705"/>
      <c r="I599" s="705"/>
      <c r="J599" s="705"/>
      <c r="K599" s="705"/>
      <c r="L599" s="705"/>
      <c r="M599" s="705"/>
      <c r="N599" s="705"/>
      <c r="O599" s="705"/>
      <c r="P599" s="705"/>
      <c r="Q599" s="705"/>
      <c r="R599" s="705"/>
      <c r="S599" s="705"/>
      <c r="T599" s="705"/>
      <c r="U599" s="705"/>
      <c r="V599" s="705"/>
      <c r="W599" s="705"/>
      <c r="X599" s="705"/>
      <c r="Y599" s="705"/>
      <c r="Z599" s="705"/>
      <c r="AA599" s="705"/>
      <c r="AB599" s="705"/>
      <c r="AC599" s="705"/>
      <c r="AD599" s="705"/>
      <c r="AE599" s="705"/>
      <c r="AF599" s="705"/>
      <c r="AG599" s="705"/>
      <c r="AH599" s="705"/>
      <c r="AI599" s="705"/>
      <c r="AJ599" s="705"/>
      <c r="AK599" s="705"/>
      <c r="AL599" s="705"/>
      <c r="AM599" s="705"/>
      <c r="AN599" s="705"/>
      <c r="AO599" s="705"/>
      <c r="AP599" s="705"/>
      <c r="AQ599" s="705"/>
      <c r="AR599" s="705"/>
      <c r="AS599" s="705"/>
      <c r="AT599" s="705"/>
      <c r="AU599" s="705"/>
      <c r="AV599" s="705"/>
      <c r="AW599" s="705"/>
      <c r="AX599" s="705"/>
      <c r="AY599" s="705"/>
      <c r="AZ599" s="705"/>
      <c r="BA599" s="705"/>
      <c r="BB599" s="705"/>
      <c r="BC599" s="705"/>
      <c r="BD599" s="705"/>
      <c r="BE599" s="705"/>
      <c r="BF599" s="705"/>
      <c r="BG599" s="705"/>
      <c r="BH599" s="705"/>
      <c r="BI599" s="705"/>
      <c r="BJ599" s="705"/>
      <c r="BK599" s="705"/>
      <c r="BL599" s="705"/>
      <c r="BM599" s="705"/>
      <c r="BN599" s="705"/>
      <c r="BO599" s="705"/>
      <c r="BP599" s="705"/>
      <c r="BQ599" s="705"/>
      <c r="BR599" s="705"/>
      <c r="BS599" s="705"/>
      <c r="BT599" s="705"/>
      <c r="BU599" s="705"/>
      <c r="BV599" s="705"/>
      <c r="BW599" s="705"/>
      <c r="BX599" s="705"/>
      <c r="BY599" s="705"/>
      <c r="BZ599" s="705"/>
      <c r="CA599" s="705"/>
      <c r="CB599" s="705"/>
      <c r="CC599" s="705"/>
      <c r="CD599" s="705"/>
      <c r="CE599" s="705"/>
      <c r="CF599" s="705"/>
      <c r="CG599" s="705"/>
      <c r="CH599" s="705"/>
      <c r="CI599" s="705"/>
      <c r="CJ599" s="705"/>
      <c r="CK599" s="705"/>
      <c r="CL599" s="705"/>
      <c r="CM599" s="705"/>
      <c r="CN599" s="705"/>
      <c r="CO599" s="705"/>
      <c r="CP599" s="705"/>
      <c r="CQ599" s="705"/>
      <c r="CR599" s="705"/>
      <c r="CS599" s="705"/>
      <c r="CT599" s="705"/>
      <c r="CU599" s="705"/>
      <c r="CV599" s="705"/>
      <c r="CW599" s="705"/>
      <c r="CX599" s="705"/>
      <c r="CY599" s="705"/>
      <c r="CZ599" s="705"/>
      <c r="DA599" s="705"/>
      <c r="DB599" s="705"/>
      <c r="DC599" s="705"/>
      <c r="DD599" s="705"/>
      <c r="DE599" s="705"/>
      <c r="DF599" s="705"/>
      <c r="DG599" s="705"/>
      <c r="DH599" s="705"/>
      <c r="DI599" s="705"/>
      <c r="DJ599" s="705"/>
      <c r="DK599" s="705"/>
      <c r="DL599" s="705"/>
      <c r="DM599" s="705"/>
      <c r="DN599" s="705"/>
      <c r="DO599" s="705"/>
      <c r="DP599" s="705"/>
      <c r="DQ599" s="705"/>
      <c r="DR599" s="705"/>
      <c r="DS599" s="705"/>
      <c r="DT599" s="705"/>
      <c r="DU599" s="609">
        <f>+AVERAGE(DU260,DU257)</f>
        <v>1574.5</v>
      </c>
      <c r="DV599" s="609">
        <f>+AVERAGE(DV260,DV257)</f>
        <v>1544</v>
      </c>
      <c r="DW599" s="609">
        <f>+AVERAGE(DW260,DW257)</f>
        <v>1499</v>
      </c>
      <c r="DX599" s="609">
        <f>+AVERAGE(DX260,DX257)</f>
        <v>1458.5</v>
      </c>
      <c r="DY599" s="731">
        <f>+AVERAGE(DU599:DX599)</f>
        <v>1519</v>
      </c>
      <c r="DZ599" s="609">
        <f>+AVERAGE(DZ260,DZ257)</f>
        <v>1430.5</v>
      </c>
      <c r="EA599" s="609">
        <f>+AVERAGE(EA260,EA257)</f>
        <v>1410</v>
      </c>
      <c r="EB599" s="609">
        <f>+AVERAGE(EB260,EB257)</f>
        <v>1391</v>
      </c>
      <c r="EC599" s="609">
        <f>+AVERAGE(EC260,EC257)</f>
        <v>1365</v>
      </c>
      <c r="ED599" s="731">
        <f t="shared" ref="ED599:ED604" si="2745">+AVERAGE(DZ599:EC599)</f>
        <v>1399.125</v>
      </c>
      <c r="EE599" s="609">
        <f>+AVERAGE(EE260,EE257)</f>
        <v>1338</v>
      </c>
      <c r="EF599" s="609">
        <f>+AVERAGE(EF260,EF257)</f>
        <v>1312</v>
      </c>
      <c r="EG599" s="609">
        <f>+AVERAGE(EG260,EG257)</f>
        <v>1280.5</v>
      </c>
      <c r="EH599" s="609">
        <f>+AVERAGE(EH260,EH257)</f>
        <v>1249</v>
      </c>
      <c r="EI599" s="731">
        <f t="shared" ref="EI599:EI604" si="2746">+AVERAGE(EE599:EH599)</f>
        <v>1294.875</v>
      </c>
      <c r="EJ599" s="609">
        <f>+AVERAGE(EJ260,EJ257)</f>
        <v>1219</v>
      </c>
      <c r="EK599" s="609">
        <f>+AVERAGE(EK260,EK257)</f>
        <v>1183.5</v>
      </c>
      <c r="EL599" s="609">
        <f>+AVERAGE(EL260,EL257)</f>
        <v>1134</v>
      </c>
      <c r="EM599" s="609">
        <f>+AVERAGE(EM260,EM257)</f>
        <v>1074</v>
      </c>
      <c r="EN599" s="731">
        <f t="shared" ref="EN599:EN604" si="2747">+AVERAGE(EJ599:EM599)</f>
        <v>1152.625</v>
      </c>
      <c r="EO599" s="731"/>
      <c r="EP599" s="731"/>
      <c r="EQ599" s="731"/>
      <c r="ER599" s="731"/>
      <c r="ES599" s="609">
        <f>+AVERAGE(ES260,ES257)</f>
        <v>932.5</v>
      </c>
      <c r="ET599" s="609"/>
      <c r="EU599" s="609"/>
      <c r="EV599" s="609"/>
      <c r="EW599" s="609"/>
      <c r="EX599" s="609">
        <f>+AVERAGE(EX260,EX257)</f>
        <v>727.55166976656699</v>
      </c>
      <c r="EY599" s="609"/>
      <c r="EZ599" s="609"/>
      <c r="FA599" s="609"/>
      <c r="FB599" s="609"/>
      <c r="FC599" s="609">
        <f>+AVERAGE(FC260,FC257)</f>
        <v>557.08610194729397</v>
      </c>
      <c r="FD599" s="609"/>
      <c r="FE599" s="609"/>
      <c r="FF599" s="609"/>
      <c r="FG599" s="609"/>
      <c r="FH599" s="609">
        <f t="shared" ref="FH599:FM599" si="2748">+AVERAGE(FH260,FH257)</f>
        <v>420.72194515409831</v>
      </c>
      <c r="FI599" s="609">
        <f t="shared" si="2748"/>
        <v>310.29246536802702</v>
      </c>
      <c r="FJ599" s="609">
        <f t="shared" si="2748"/>
        <v>224.04763664779375</v>
      </c>
      <c r="FK599" s="609">
        <f t="shared" si="2748"/>
        <v>161.77429067742423</v>
      </c>
      <c r="FL599" s="609">
        <f t="shared" si="2748"/>
        <v>116.80962814762843</v>
      </c>
      <c r="FM599" s="609">
        <f t="shared" si="2748"/>
        <v>84.342754159832211</v>
      </c>
      <c r="FN599" s="1121">
        <f>+(FJ599/ES599)^0.2-1</f>
        <v>-0.24813770618922681</v>
      </c>
    </row>
    <row r="600" spans="1:171" hidden="1" outlineLevel="1" x14ac:dyDescent="0.3">
      <c r="A600" s="1194" t="s">
        <v>517</v>
      </c>
      <c r="B600" s="705"/>
      <c r="C600" s="705"/>
      <c r="D600" s="705"/>
      <c r="E600" s="705"/>
      <c r="F600" s="705"/>
      <c r="G600" s="705"/>
      <c r="H600" s="705"/>
      <c r="I600" s="705"/>
      <c r="J600" s="705"/>
      <c r="K600" s="705"/>
      <c r="L600" s="705"/>
      <c r="M600" s="705"/>
      <c r="N600" s="705"/>
      <c r="O600" s="705"/>
      <c r="P600" s="705"/>
      <c r="Q600" s="705"/>
      <c r="R600" s="705"/>
      <c r="S600" s="705"/>
      <c r="T600" s="705"/>
      <c r="U600" s="705"/>
      <c r="V600" s="705"/>
      <c r="W600" s="705"/>
      <c r="X600" s="705"/>
      <c r="Y600" s="705"/>
      <c r="Z600" s="705"/>
      <c r="AA600" s="705"/>
      <c r="AB600" s="705"/>
      <c r="AC600" s="705"/>
      <c r="AD600" s="705"/>
      <c r="AE600" s="705"/>
      <c r="AF600" s="705"/>
      <c r="AG600" s="705"/>
      <c r="AH600" s="705"/>
      <c r="AI600" s="705"/>
      <c r="AJ600" s="705"/>
      <c r="AK600" s="705"/>
      <c r="AL600" s="705"/>
      <c r="AM600" s="705"/>
      <c r="AN600" s="705"/>
      <c r="AO600" s="705"/>
      <c r="AP600" s="705"/>
      <c r="AQ600" s="705"/>
      <c r="AR600" s="705"/>
      <c r="AS600" s="705"/>
      <c r="AT600" s="705"/>
      <c r="AU600" s="705"/>
      <c r="AV600" s="705"/>
      <c r="AW600" s="705"/>
      <c r="AX600" s="705"/>
      <c r="AY600" s="705"/>
      <c r="AZ600" s="705"/>
      <c r="BA600" s="705"/>
      <c r="BB600" s="705"/>
      <c r="BC600" s="705"/>
      <c r="BD600" s="705"/>
      <c r="BE600" s="705"/>
      <c r="BF600" s="705"/>
      <c r="BG600" s="705"/>
      <c r="BH600" s="705"/>
      <c r="BI600" s="705"/>
      <c r="BJ600" s="705"/>
      <c r="BK600" s="705"/>
      <c r="BL600" s="705"/>
      <c r="BM600" s="705"/>
      <c r="BN600" s="705"/>
      <c r="BO600" s="705"/>
      <c r="BP600" s="705"/>
      <c r="BQ600" s="705"/>
      <c r="BR600" s="705"/>
      <c r="BS600" s="705"/>
      <c r="BT600" s="705"/>
      <c r="BU600" s="705"/>
      <c r="BV600" s="705"/>
      <c r="BW600" s="705"/>
      <c r="BX600" s="705"/>
      <c r="BY600" s="705"/>
      <c r="BZ600" s="705"/>
      <c r="CA600" s="705"/>
      <c r="CB600" s="705"/>
      <c r="CC600" s="705"/>
      <c r="CD600" s="705"/>
      <c r="CE600" s="705"/>
      <c r="CF600" s="705"/>
      <c r="CG600" s="705"/>
      <c r="CH600" s="705"/>
      <c r="CI600" s="705"/>
      <c r="CJ600" s="705"/>
      <c r="CK600" s="705"/>
      <c r="CL600" s="705"/>
      <c r="CM600" s="705"/>
      <c r="CN600" s="705"/>
      <c r="CO600" s="705"/>
      <c r="CP600" s="705"/>
      <c r="CQ600" s="705"/>
      <c r="CR600" s="705"/>
      <c r="CS600" s="705"/>
      <c r="CT600" s="705"/>
      <c r="CU600" s="705"/>
      <c r="CV600" s="705"/>
      <c r="CW600" s="705"/>
      <c r="CX600" s="705"/>
      <c r="CY600" s="705"/>
      <c r="CZ600" s="705"/>
      <c r="DA600" s="705"/>
      <c r="DB600" s="705"/>
      <c r="DC600" s="705"/>
      <c r="DD600" s="705"/>
      <c r="DE600" s="705"/>
      <c r="DF600" s="705"/>
      <c r="DG600" s="705"/>
      <c r="DH600" s="705"/>
      <c r="DI600" s="705"/>
      <c r="DJ600" s="705"/>
      <c r="DK600" s="705"/>
      <c r="DL600" s="705"/>
      <c r="DM600" s="705"/>
      <c r="DN600" s="705"/>
      <c r="DO600" s="705"/>
      <c r="DP600" s="705"/>
      <c r="DQ600" s="705"/>
      <c r="DR600" s="705"/>
      <c r="DS600" s="705"/>
      <c r="DT600" s="705"/>
      <c r="DU600" s="1254">
        <f>+AVERAGE(DU397,DU394)</f>
        <v>2789</v>
      </c>
      <c r="DV600" s="1254">
        <f>+AVERAGE(DV397,DV394)</f>
        <v>2750</v>
      </c>
      <c r="DW600" s="1254">
        <f>+AVERAGE(DW397,DW394)</f>
        <v>2700</v>
      </c>
      <c r="DX600" s="1254">
        <f>+AVERAGE(DX397,DX394)</f>
        <v>2661.5</v>
      </c>
      <c r="DY600" s="1254">
        <f>+AVERAGE(DU600:DX600)</f>
        <v>2725.125</v>
      </c>
      <c r="DZ600" s="1254">
        <f>+AVERAGE(DZ397,DZ394)</f>
        <v>2640.5</v>
      </c>
      <c r="EA600" s="1254">
        <f>+AVERAGE(EA397,EA394)</f>
        <v>2629</v>
      </c>
      <c r="EB600" s="1254">
        <f>+AVERAGE(EB397,EB394)</f>
        <v>2617</v>
      </c>
      <c r="EC600" s="1254">
        <f>+AVERAGE(EC397,EC394)</f>
        <v>2598.5</v>
      </c>
      <c r="ED600" s="1254">
        <f t="shared" si="2745"/>
        <v>2621.25</v>
      </c>
      <c r="EE600" s="1254">
        <f>+AVERAGE(EE397,EE394)</f>
        <v>2582.5</v>
      </c>
      <c r="EF600" s="1254">
        <f>+AVERAGE(EF397,EF394)</f>
        <v>2569</v>
      </c>
      <c r="EG600" s="1254">
        <f>+AVERAGE(EG397,EG394)</f>
        <v>2558</v>
      </c>
      <c r="EH600" s="1254">
        <f>+AVERAGE(EH397,EH394)</f>
        <v>2563</v>
      </c>
      <c r="EI600" s="1254">
        <f t="shared" si="2746"/>
        <v>2568.125</v>
      </c>
      <c r="EJ600" s="1254">
        <f>+AVERAGE(EJ397,EJ394)</f>
        <v>2581</v>
      </c>
      <c r="EK600" s="1254">
        <f>+AVERAGE(EK397,EK394)</f>
        <v>2596.5</v>
      </c>
      <c r="EL600" s="1254">
        <f>+AVERAGE(EL397,EL394)</f>
        <v>2604</v>
      </c>
      <c r="EM600" s="1254">
        <f>+AVERAGE(EM397,EM394)</f>
        <v>2612.5</v>
      </c>
      <c r="EN600" s="1254">
        <f t="shared" si="2747"/>
        <v>2598.5</v>
      </c>
      <c r="EO600" s="1254"/>
      <c r="EP600" s="1254"/>
      <c r="EQ600" s="1254"/>
      <c r="ER600" s="1254"/>
      <c r="ES600" s="1254">
        <f>+AVERAGE(ES397,ES394)</f>
        <v>2659</v>
      </c>
      <c r="ET600" s="1254"/>
      <c r="EU600" s="1254"/>
      <c r="EV600" s="1254"/>
      <c r="EW600" s="1254"/>
      <c r="EX600" s="1254">
        <f>+AVERAGE(EX397,EX394)</f>
        <v>2789.3332399994315</v>
      </c>
      <c r="EY600" s="1254"/>
      <c r="EZ600" s="1254"/>
      <c r="FA600" s="1254"/>
      <c r="FB600" s="1254"/>
      <c r="FC600" s="1254">
        <f>+AVERAGE(FC397,FC394)</f>
        <v>3018.7363219995896</v>
      </c>
      <c r="FD600" s="1254"/>
      <c r="FE600" s="1254"/>
      <c r="FF600" s="1254"/>
      <c r="FG600" s="1254"/>
      <c r="FH600" s="1254">
        <f t="shared" ref="FH600:FM600" si="2749">+AVERAGE(FH397,FH394)</f>
        <v>3327.0446125842518</v>
      </c>
      <c r="FI600" s="1254">
        <f t="shared" si="2749"/>
        <v>3645.2672438552459</v>
      </c>
      <c r="FJ600" s="1254">
        <f t="shared" si="2749"/>
        <v>3918.8439911855917</v>
      </c>
      <c r="FK600" s="1254">
        <f t="shared" si="2749"/>
        <v>4137.5767748618237</v>
      </c>
      <c r="FL600" s="1254">
        <f t="shared" si="2749"/>
        <v>4300.1710093621132</v>
      </c>
      <c r="FM600" s="1254">
        <f t="shared" si="2749"/>
        <v>4409.4601681682489</v>
      </c>
      <c r="FN600" s="1121">
        <f>+(FJ600/ES600)^0.2-1</f>
        <v>8.0657140548827444E-2</v>
      </c>
    </row>
    <row r="601" spans="1:171" hidden="1" outlineLevel="1" x14ac:dyDescent="0.3">
      <c r="A601" s="1193" t="s">
        <v>518</v>
      </c>
      <c r="B601" s="705"/>
      <c r="C601" s="705"/>
      <c r="D601" s="705"/>
      <c r="E601" s="705"/>
      <c r="F601" s="705"/>
      <c r="G601" s="705"/>
      <c r="H601" s="705"/>
      <c r="I601" s="705"/>
      <c r="J601" s="705"/>
      <c r="K601" s="705"/>
      <c r="L601" s="705"/>
      <c r="M601" s="705"/>
      <c r="N601" s="705"/>
      <c r="O601" s="705"/>
      <c r="P601" s="705"/>
      <c r="Q601" s="705"/>
      <c r="R601" s="705"/>
      <c r="S601" s="705"/>
      <c r="T601" s="705"/>
      <c r="U601" s="705"/>
      <c r="V601" s="705"/>
      <c r="W601" s="705"/>
      <c r="X601" s="705"/>
      <c r="Y601" s="705"/>
      <c r="Z601" s="705"/>
      <c r="AA601" s="705"/>
      <c r="AB601" s="705"/>
      <c r="AC601" s="705"/>
      <c r="AD601" s="705"/>
      <c r="AE601" s="705"/>
      <c r="AF601" s="705"/>
      <c r="AG601" s="705"/>
      <c r="AH601" s="705"/>
      <c r="AI601" s="705"/>
      <c r="AJ601" s="705"/>
      <c r="AK601" s="705"/>
      <c r="AL601" s="705"/>
      <c r="AM601" s="705"/>
      <c r="AN601" s="705"/>
      <c r="AO601" s="705"/>
      <c r="AP601" s="705"/>
      <c r="AQ601" s="705"/>
      <c r="AR601" s="705"/>
      <c r="AS601" s="705"/>
      <c r="AT601" s="705"/>
      <c r="AU601" s="705"/>
      <c r="AV601" s="705"/>
      <c r="AW601" s="705"/>
      <c r="AX601" s="705"/>
      <c r="AY601" s="705"/>
      <c r="AZ601" s="705"/>
      <c r="BA601" s="705"/>
      <c r="BB601" s="705"/>
      <c r="BC601" s="705"/>
      <c r="BD601" s="705"/>
      <c r="BE601" s="705"/>
      <c r="BF601" s="705"/>
      <c r="BG601" s="705"/>
      <c r="BH601" s="705"/>
      <c r="BI601" s="705"/>
      <c r="BJ601" s="705"/>
      <c r="BK601" s="705"/>
      <c r="BL601" s="705"/>
      <c r="BM601" s="705"/>
      <c r="BN601" s="705"/>
      <c r="BO601" s="705"/>
      <c r="BP601" s="705"/>
      <c r="BQ601" s="705"/>
      <c r="BR601" s="705"/>
      <c r="BS601" s="705"/>
      <c r="BT601" s="705"/>
      <c r="BU601" s="705"/>
      <c r="BV601" s="705"/>
      <c r="BW601" s="705"/>
      <c r="BX601" s="705"/>
      <c r="BY601" s="705"/>
      <c r="BZ601" s="705"/>
      <c r="CA601" s="705"/>
      <c r="CB601" s="705"/>
      <c r="CC601" s="705"/>
      <c r="CD601" s="705"/>
      <c r="CE601" s="705"/>
      <c r="CF601" s="705"/>
      <c r="CG601" s="705"/>
      <c r="CH601" s="705"/>
      <c r="CI601" s="705"/>
      <c r="CJ601" s="705"/>
      <c r="CK601" s="705"/>
      <c r="CL601" s="705"/>
      <c r="CM601" s="705"/>
      <c r="CN601" s="705"/>
      <c r="CO601" s="705"/>
      <c r="CP601" s="705"/>
      <c r="CQ601" s="705"/>
      <c r="CR601" s="705"/>
      <c r="CS601" s="705"/>
      <c r="CT601" s="705"/>
      <c r="CU601" s="705"/>
      <c r="CV601" s="705"/>
      <c r="CW601" s="705"/>
      <c r="CX601" s="705"/>
      <c r="CY601" s="705"/>
      <c r="CZ601" s="705"/>
      <c r="DA601" s="705"/>
      <c r="DB601" s="705"/>
      <c r="DC601" s="705"/>
      <c r="DD601" s="705"/>
      <c r="DE601" s="705"/>
      <c r="DF601" s="705"/>
      <c r="DG601" s="705"/>
      <c r="DH601" s="705"/>
      <c r="DI601" s="705"/>
      <c r="DJ601" s="705"/>
      <c r="DK601" s="705"/>
      <c r="DL601" s="705"/>
      <c r="DM601" s="705"/>
      <c r="DN601" s="705"/>
      <c r="DO601" s="705"/>
      <c r="DP601" s="705"/>
      <c r="DQ601" s="705"/>
      <c r="DR601" s="705"/>
      <c r="DS601" s="705"/>
      <c r="DT601" s="705"/>
      <c r="DU601" s="609"/>
      <c r="DV601" s="609"/>
      <c r="DW601" s="609"/>
      <c r="DX601" s="609"/>
      <c r="DY601" s="731"/>
      <c r="DZ601" s="1195">
        <f>AVERAGE(DZ268,DZ271)</f>
        <v>90</v>
      </c>
      <c r="EA601" s="1195">
        <f>AVERAGE(EA268,EA271)</f>
        <v>84.5</v>
      </c>
      <c r="EB601" s="1195">
        <f>AVERAGE(EB268,EB271)</f>
        <v>78.5</v>
      </c>
      <c r="EC601" s="1195">
        <f>AVERAGE(EC268,EC271)</f>
        <v>72</v>
      </c>
      <c r="ED601" s="733">
        <f t="shared" si="2745"/>
        <v>81.25</v>
      </c>
      <c r="EE601" s="1195">
        <f>AVERAGE(EE268,EE271)</f>
        <v>66.5</v>
      </c>
      <c r="EF601" s="1195">
        <f>AVERAGE(EF268,EF271)</f>
        <v>62</v>
      </c>
      <c r="EG601" s="1195">
        <f>AVERAGE(EG268,EG271)</f>
        <v>58.5</v>
      </c>
      <c r="EH601" s="1195">
        <f>AVERAGE(EH268,EH271)</f>
        <v>55</v>
      </c>
      <c r="EI601" s="733">
        <f t="shared" si="2746"/>
        <v>60.5</v>
      </c>
      <c r="EJ601" s="1195">
        <f>AVERAGE(EJ268,EJ271)</f>
        <v>51</v>
      </c>
      <c r="EK601" s="1195">
        <f>AVERAGE(EK268,EK271)</f>
        <v>48.5</v>
      </c>
      <c r="EL601" s="1195">
        <f>AVERAGE(EL268,EL271)</f>
        <v>44</v>
      </c>
      <c r="EM601" s="1195">
        <f>AVERAGE(EM268,EM271)</f>
        <v>37.5</v>
      </c>
      <c r="EN601" s="733">
        <f t="shared" si="2747"/>
        <v>45.25</v>
      </c>
      <c r="EO601" s="733"/>
      <c r="EP601" s="733"/>
      <c r="EQ601" s="733"/>
      <c r="ER601" s="733"/>
      <c r="ES601" s="1195">
        <f>AVERAGE(ES268,ES271)</f>
        <v>27</v>
      </c>
      <c r="ET601" s="1195"/>
      <c r="EU601" s="1195"/>
      <c r="EV601" s="1195"/>
      <c r="EW601" s="1195"/>
      <c r="EX601" s="1195">
        <f>AVERAGE(EX268,EX271)</f>
        <v>14.658183268602549</v>
      </c>
      <c r="EY601" s="1195"/>
      <c r="EZ601" s="1195"/>
      <c r="FA601" s="1195"/>
      <c r="FB601" s="1195"/>
      <c r="FC601" s="1195">
        <f>AVERAGE(FC268,FC271)</f>
        <v>7.9589048088647907</v>
      </c>
      <c r="FD601" s="1195"/>
      <c r="FE601" s="1195"/>
      <c r="FF601" s="1195"/>
      <c r="FG601" s="1195"/>
      <c r="FH601" s="1195">
        <f t="shared" ref="FH601:FM601" si="2750">AVERAGE(FH268,FH271)</f>
        <v>4.3214199601564989</v>
      </c>
      <c r="FI601" s="1195">
        <f t="shared" si="2750"/>
        <v>2.180116318786459</v>
      </c>
      <c r="FJ601" s="1195">
        <f t="shared" si="2750"/>
        <v>0.94536017363306635</v>
      </c>
      <c r="FK601" s="1195">
        <f t="shared" si="2750"/>
        <v>0.40993494254885177</v>
      </c>
      <c r="FL601" s="1195">
        <f t="shared" si="2750"/>
        <v>0.17775939986631628</v>
      </c>
      <c r="FM601" s="1195">
        <f t="shared" si="2750"/>
        <v>7.7081509676544216E-2</v>
      </c>
      <c r="FN601" s="189"/>
    </row>
    <row r="602" spans="1:171" s="90" customFormat="1" hidden="1" outlineLevel="1" x14ac:dyDescent="0.3">
      <c r="A602" s="1194" t="s">
        <v>519</v>
      </c>
      <c r="B602" s="760"/>
      <c r="C602" s="760"/>
      <c r="D602" s="760"/>
      <c r="E602" s="760"/>
      <c r="F602" s="760"/>
      <c r="G602" s="760"/>
      <c r="H602" s="760"/>
      <c r="I602" s="760"/>
      <c r="J602" s="760"/>
      <c r="K602" s="760"/>
      <c r="L602" s="760"/>
      <c r="M602" s="760"/>
      <c r="N602" s="760"/>
      <c r="O602" s="760"/>
      <c r="P602" s="760"/>
      <c r="Q602" s="760"/>
      <c r="R602" s="760"/>
      <c r="S602" s="760"/>
      <c r="T602" s="760"/>
      <c r="U602" s="760"/>
      <c r="V602" s="760"/>
      <c r="W602" s="760"/>
      <c r="X602" s="760"/>
      <c r="Y602" s="760"/>
      <c r="Z602" s="760"/>
      <c r="AA602" s="760"/>
      <c r="AB602" s="760"/>
      <c r="AC602" s="760"/>
      <c r="AD602" s="760"/>
      <c r="AE602" s="760"/>
      <c r="AF602" s="760"/>
      <c r="AG602" s="760"/>
      <c r="AH602" s="760"/>
      <c r="AI602" s="760"/>
      <c r="AJ602" s="760"/>
      <c r="AK602" s="760"/>
      <c r="AL602" s="760"/>
      <c r="AM602" s="760"/>
      <c r="AN602" s="760"/>
      <c r="AO602" s="760"/>
      <c r="AP602" s="760"/>
      <c r="AQ602" s="760"/>
      <c r="AR602" s="760"/>
      <c r="AS602" s="760"/>
      <c r="AT602" s="760"/>
      <c r="AU602" s="760"/>
      <c r="AV602" s="760"/>
      <c r="AW602" s="760"/>
      <c r="AX602" s="760"/>
      <c r="AY602" s="760"/>
      <c r="AZ602" s="760"/>
      <c r="BA602" s="760"/>
      <c r="BB602" s="760"/>
      <c r="BC602" s="760"/>
      <c r="BD602" s="760"/>
      <c r="BE602" s="760"/>
      <c r="BF602" s="760"/>
      <c r="BG602" s="760"/>
      <c r="BH602" s="760"/>
      <c r="BI602" s="760"/>
      <c r="BJ602" s="760"/>
      <c r="BK602" s="760"/>
      <c r="BL602" s="760"/>
      <c r="BM602" s="760"/>
      <c r="BN602" s="760"/>
      <c r="BO602" s="760"/>
      <c r="BP602" s="760"/>
      <c r="BQ602" s="760"/>
      <c r="BR602" s="760"/>
      <c r="BS602" s="760"/>
      <c r="BT602" s="760"/>
      <c r="BU602" s="760"/>
      <c r="BV602" s="760"/>
      <c r="BW602" s="760"/>
      <c r="BX602" s="760"/>
      <c r="BY602" s="760"/>
      <c r="BZ602" s="760"/>
      <c r="CA602" s="760"/>
      <c r="CB602" s="760"/>
      <c r="CC602" s="760"/>
      <c r="CD602" s="760"/>
      <c r="CE602" s="760"/>
      <c r="CF602" s="760"/>
      <c r="CG602" s="760"/>
      <c r="CH602" s="760"/>
      <c r="CI602" s="760"/>
      <c r="CJ602" s="760"/>
      <c r="CK602" s="760"/>
      <c r="CL602" s="760"/>
      <c r="CM602" s="760"/>
      <c r="CN602" s="760"/>
      <c r="CO602" s="760"/>
      <c r="CP602" s="760"/>
      <c r="CQ602" s="760"/>
      <c r="CR602" s="760"/>
      <c r="CS602" s="760"/>
      <c r="CT602" s="760"/>
      <c r="CU602" s="760"/>
      <c r="CV602" s="760"/>
      <c r="CW602" s="760"/>
      <c r="CX602" s="760"/>
      <c r="CY602" s="760"/>
      <c r="CZ602" s="760"/>
      <c r="DA602" s="760"/>
      <c r="DB602" s="760"/>
      <c r="DC602" s="760"/>
      <c r="DD602" s="760"/>
      <c r="DE602" s="760"/>
      <c r="DF602" s="760"/>
      <c r="DG602" s="760"/>
      <c r="DH602" s="760"/>
      <c r="DI602" s="760"/>
      <c r="DJ602" s="760"/>
      <c r="DK602" s="760"/>
      <c r="DL602" s="760"/>
      <c r="DM602" s="760"/>
      <c r="DN602" s="760"/>
      <c r="DO602" s="760"/>
      <c r="DP602" s="760"/>
      <c r="DQ602" s="760"/>
      <c r="DR602" s="760"/>
      <c r="DS602" s="760"/>
      <c r="DT602" s="760"/>
      <c r="DU602" s="731"/>
      <c r="DV602" s="731"/>
      <c r="DW602" s="731"/>
      <c r="DX602" s="731"/>
      <c r="DY602" s="731"/>
      <c r="DZ602" s="731">
        <f>+AVERAGE(DZ408,DZ405)</f>
        <v>594</v>
      </c>
      <c r="EA602" s="731">
        <f>+AVERAGE(EA408,EA405)</f>
        <v>559.5</v>
      </c>
      <c r="EB602" s="731">
        <f>+AVERAGE(EB408,EB405)</f>
        <v>522</v>
      </c>
      <c r="EC602" s="731">
        <f>+AVERAGE(EC408,EC405)</f>
        <v>485</v>
      </c>
      <c r="ED602" s="731">
        <f t="shared" si="2745"/>
        <v>540.125</v>
      </c>
      <c r="EE602" s="731">
        <f>+AVERAGE(EE408,EE405)</f>
        <v>453</v>
      </c>
      <c r="EF602" s="731">
        <f>+AVERAGE(EF408,EF405)</f>
        <v>423</v>
      </c>
      <c r="EG602" s="731">
        <f>+AVERAGE(EG408,EG405)</f>
        <v>397.5</v>
      </c>
      <c r="EH602" s="731">
        <f>+AVERAGE(EH408,EH405)</f>
        <v>377</v>
      </c>
      <c r="EI602" s="731">
        <f t="shared" si="2746"/>
        <v>412.625</v>
      </c>
      <c r="EJ602" s="731">
        <f>+AVERAGE(EJ408,EJ405)</f>
        <v>359.5</v>
      </c>
      <c r="EK602" s="731">
        <f>+AVERAGE(EK408,EK405)</f>
        <v>341</v>
      </c>
      <c r="EL602" s="731">
        <f>+AVERAGE(EL408,EL405)</f>
        <v>320.5</v>
      </c>
      <c r="EM602" s="731">
        <f>+AVERAGE(EM408,EM405)</f>
        <v>302</v>
      </c>
      <c r="EN602" s="731">
        <f t="shared" si="2747"/>
        <v>330.75</v>
      </c>
      <c r="EO602" s="731"/>
      <c r="EP602" s="731"/>
      <c r="EQ602" s="731"/>
      <c r="ER602" s="731"/>
      <c r="ES602" s="731">
        <f>+AVERAGE(ES408,ES405)</f>
        <v>258</v>
      </c>
      <c r="ET602" s="731"/>
      <c r="EU602" s="731"/>
      <c r="EV602" s="731"/>
      <c r="EW602" s="731"/>
      <c r="EX602" s="731">
        <f>+AVERAGE(EX408,EX405)</f>
        <v>195.71223732265662</v>
      </c>
      <c r="EY602" s="731"/>
      <c r="EZ602" s="731"/>
      <c r="FA602" s="731"/>
      <c r="FB602" s="731"/>
      <c r="FC602" s="731">
        <f>+AVERAGE(FC408,FC405)</f>
        <v>149.86613636474502</v>
      </c>
      <c r="FD602" s="731"/>
      <c r="FE602" s="731"/>
      <c r="FF602" s="731"/>
      <c r="FG602" s="731"/>
      <c r="FH602" s="731">
        <f t="shared" ref="FH602:FM602" si="2751">+AVERAGE(FH408,FH405)</f>
        <v>115.54600685530589</v>
      </c>
      <c r="FI602" s="731">
        <f t="shared" si="2751"/>
        <v>88.375260312073806</v>
      </c>
      <c r="FJ602" s="731">
        <f t="shared" si="2751"/>
        <v>66.773719088337756</v>
      </c>
      <c r="FK602" s="731">
        <f t="shared" si="2751"/>
        <v>50.683913691753695</v>
      </c>
      <c r="FL602" s="731">
        <f t="shared" si="2751"/>
        <v>38.572654562761151</v>
      </c>
      <c r="FM602" s="731">
        <f t="shared" si="2751"/>
        <v>29.399765157288215</v>
      </c>
      <c r="FN602" s="717">
        <f>+(FJ602/ES602)^0.2-1</f>
        <v>-0.23687238064939165</v>
      </c>
    </row>
    <row r="603" spans="1:171" hidden="1" outlineLevel="1" x14ac:dyDescent="0.3">
      <c r="A603" s="1193" t="s">
        <v>520</v>
      </c>
      <c r="B603" s="705"/>
      <c r="C603" s="705"/>
      <c r="D603" s="705"/>
      <c r="E603" s="705"/>
      <c r="F603" s="705"/>
      <c r="G603" s="705"/>
      <c r="H603" s="705"/>
      <c r="I603" s="705"/>
      <c r="J603" s="705"/>
      <c r="K603" s="705"/>
      <c r="L603" s="705"/>
      <c r="M603" s="705"/>
      <c r="N603" s="705"/>
      <c r="O603" s="705"/>
      <c r="P603" s="705"/>
      <c r="Q603" s="705"/>
      <c r="R603" s="705"/>
      <c r="S603" s="705"/>
      <c r="T603" s="705"/>
      <c r="U603" s="705"/>
      <c r="V603" s="705"/>
      <c r="W603" s="705"/>
      <c r="X603" s="705"/>
      <c r="Y603" s="705"/>
      <c r="Z603" s="705"/>
      <c r="AA603" s="705"/>
      <c r="AB603" s="705"/>
      <c r="AC603" s="705"/>
      <c r="AD603" s="705"/>
      <c r="AE603" s="705"/>
      <c r="AF603" s="705"/>
      <c r="AG603" s="705"/>
      <c r="AH603" s="705"/>
      <c r="AI603" s="705"/>
      <c r="AJ603" s="705"/>
      <c r="AK603" s="705"/>
      <c r="AL603" s="705"/>
      <c r="AM603" s="705"/>
      <c r="AN603" s="705"/>
      <c r="AO603" s="705"/>
      <c r="AP603" s="705"/>
      <c r="AQ603" s="705"/>
      <c r="AR603" s="705"/>
      <c r="AS603" s="705"/>
      <c r="AT603" s="705"/>
      <c r="AU603" s="705"/>
      <c r="AV603" s="705"/>
      <c r="AW603" s="705"/>
      <c r="AX603" s="705"/>
      <c r="AY603" s="705"/>
      <c r="AZ603" s="705"/>
      <c r="BA603" s="705"/>
      <c r="BB603" s="705"/>
      <c r="BC603" s="705"/>
      <c r="BD603" s="705"/>
      <c r="BE603" s="705"/>
      <c r="BF603" s="705"/>
      <c r="BG603" s="705"/>
      <c r="BH603" s="705"/>
      <c r="BI603" s="705"/>
      <c r="BJ603" s="705"/>
      <c r="BK603" s="705"/>
      <c r="BL603" s="705"/>
      <c r="BM603" s="705"/>
      <c r="BN603" s="705"/>
      <c r="BO603" s="705"/>
      <c r="BP603" s="705"/>
      <c r="BQ603" s="705"/>
      <c r="BR603" s="705"/>
      <c r="BS603" s="705"/>
      <c r="BT603" s="705"/>
      <c r="BU603" s="705"/>
      <c r="BV603" s="705"/>
      <c r="BW603" s="705"/>
      <c r="BX603" s="705"/>
      <c r="BY603" s="705"/>
      <c r="BZ603" s="705"/>
      <c r="CA603" s="705"/>
      <c r="CB603" s="705"/>
      <c r="CC603" s="705"/>
      <c r="CD603" s="705"/>
      <c r="CE603" s="705"/>
      <c r="CF603" s="705"/>
      <c r="CG603" s="705"/>
      <c r="CH603" s="705"/>
      <c r="CI603" s="705"/>
      <c r="CJ603" s="705"/>
      <c r="CK603" s="705"/>
      <c r="CL603" s="705"/>
      <c r="CM603" s="705"/>
      <c r="CN603" s="705"/>
      <c r="CO603" s="705"/>
      <c r="CP603" s="705"/>
      <c r="CQ603" s="705"/>
      <c r="CR603" s="705"/>
      <c r="CS603" s="705"/>
      <c r="CT603" s="705"/>
      <c r="CU603" s="705"/>
      <c r="CV603" s="705"/>
      <c r="CW603" s="705"/>
      <c r="CX603" s="705"/>
      <c r="CY603" s="705"/>
      <c r="CZ603" s="705"/>
      <c r="DA603" s="705"/>
      <c r="DB603" s="705"/>
      <c r="DC603" s="705"/>
      <c r="DD603" s="705"/>
      <c r="DE603" s="705"/>
      <c r="DF603" s="705"/>
      <c r="DG603" s="705"/>
      <c r="DH603" s="705"/>
      <c r="DI603" s="705"/>
      <c r="DJ603" s="705"/>
      <c r="DK603" s="705"/>
      <c r="DL603" s="705"/>
      <c r="DM603" s="705"/>
      <c r="DN603" s="705"/>
      <c r="DO603" s="705"/>
      <c r="DP603" s="705"/>
      <c r="DQ603" s="705"/>
      <c r="DR603" s="705"/>
      <c r="DS603" s="705"/>
      <c r="DT603" s="705"/>
      <c r="DU603" s="609">
        <f>+AVERAGE(DU431,DU428)</f>
        <v>3663.75</v>
      </c>
      <c r="DV603" s="609">
        <f>+AVERAGE(DV431,DV428)</f>
        <v>3598.5</v>
      </c>
      <c r="DW603" s="609">
        <f>+AVERAGE(DW431,DW428)</f>
        <v>3513</v>
      </c>
      <c r="DX603" s="609">
        <f>+AVERAGE(DX431,DX428)</f>
        <v>3442</v>
      </c>
      <c r="DY603" s="731">
        <f>+AVERAGE(DU603:DX603)</f>
        <v>3554.3125</v>
      </c>
      <c r="DZ603" s="609">
        <f>+AVERAGE(DZ431,DZ428)</f>
        <v>3393.5</v>
      </c>
      <c r="EA603" s="609">
        <f>+AVERAGE(EA431,EA428)</f>
        <v>3358</v>
      </c>
      <c r="EB603" s="609">
        <f>+AVERAGE(EB431,EB428)</f>
        <v>3324</v>
      </c>
      <c r="EC603" s="609">
        <f>+AVERAGE(EC431,EC428)</f>
        <v>3285</v>
      </c>
      <c r="ED603" s="731">
        <f t="shared" si="2745"/>
        <v>3340.125</v>
      </c>
      <c r="EE603" s="609">
        <f>+AVERAGE(EE431,EE428)</f>
        <v>3249</v>
      </c>
      <c r="EF603" s="609">
        <f>+AVERAGE(EF431,EF428)</f>
        <v>3215</v>
      </c>
      <c r="EG603" s="609">
        <f>+AVERAGE(EG431,EG428)</f>
        <v>3184.5</v>
      </c>
      <c r="EH603" s="609">
        <f>+AVERAGE(EH431,EH428)</f>
        <v>3169</v>
      </c>
      <c r="EI603" s="731">
        <f t="shared" si="2746"/>
        <v>3204.375</v>
      </c>
      <c r="EJ603" s="609">
        <f>+AVERAGE(EJ431,EJ428)</f>
        <v>3167</v>
      </c>
      <c r="EK603" s="609">
        <f>+AVERAGE(EK431,EK428)</f>
        <v>3164</v>
      </c>
      <c r="EL603" s="609">
        <f>+AVERAGE(EL431,EL428)</f>
        <v>3150.5</v>
      </c>
      <c r="EM603" s="609">
        <f>+AVERAGE(EM431,EM428)</f>
        <v>3137.5</v>
      </c>
      <c r="EN603" s="731">
        <f t="shared" si="2747"/>
        <v>3154.75</v>
      </c>
      <c r="EO603" s="731"/>
      <c r="EP603" s="731"/>
      <c r="EQ603" s="731"/>
      <c r="ER603" s="731"/>
      <c r="ES603" s="609">
        <f>+AVERAGE(ES431,ES428)</f>
        <v>3131</v>
      </c>
      <c r="ET603" s="609"/>
      <c r="EU603" s="609"/>
      <c r="EV603" s="609"/>
      <c r="EW603" s="609"/>
      <c r="EX603" s="609">
        <f>+AVERAGE(EX431,EX428)</f>
        <v>3178.3606653550878</v>
      </c>
      <c r="EY603" s="609"/>
      <c r="EZ603" s="609"/>
      <c r="FA603" s="609"/>
      <c r="FB603" s="609"/>
      <c r="FC603" s="609">
        <f>+AVERAGE(FC431,FC428)</f>
        <v>3336.6288434064149</v>
      </c>
      <c r="FD603" s="609"/>
      <c r="FE603" s="609"/>
      <c r="FF603" s="609"/>
      <c r="FG603" s="609"/>
      <c r="FH603" s="609">
        <f t="shared" ref="FH603:FM603" si="2752">+AVERAGE(FH431,FH428)</f>
        <v>3588.1917503916602</v>
      </c>
      <c r="FI603" s="609">
        <f t="shared" si="2752"/>
        <v>3863.7998365400736</v>
      </c>
      <c r="FJ603" s="609">
        <f t="shared" si="2752"/>
        <v>4114.1940751087986</v>
      </c>
      <c r="FK603" s="609">
        <f t="shared" si="2752"/>
        <v>4323.5560018478964</v>
      </c>
      <c r="FL603" s="609">
        <f t="shared" si="2752"/>
        <v>4480.524938253905</v>
      </c>
      <c r="FM603" s="609">
        <f t="shared" si="2752"/>
        <v>4585.2533704574298</v>
      </c>
      <c r="FN603" s="1121">
        <f>+(FJ603/ES603)^0.2-1</f>
        <v>5.6137203516483547E-2</v>
      </c>
    </row>
    <row r="604" spans="1:171" hidden="1" outlineLevel="1" x14ac:dyDescent="0.3">
      <c r="A604" s="1193" t="s">
        <v>458</v>
      </c>
      <c r="B604" s="705"/>
      <c r="C604" s="705"/>
      <c r="D604" s="705"/>
      <c r="E604" s="705"/>
      <c r="F604" s="705"/>
      <c r="G604" s="705"/>
      <c r="H604" s="705"/>
      <c r="I604" s="705"/>
      <c r="J604" s="705"/>
      <c r="K604" s="705"/>
      <c r="L604" s="705"/>
      <c r="M604" s="705"/>
      <c r="N604" s="705"/>
      <c r="O604" s="705"/>
      <c r="P604" s="705"/>
      <c r="Q604" s="705"/>
      <c r="R604" s="705"/>
      <c r="S604" s="705"/>
      <c r="T604" s="705"/>
      <c r="U604" s="705"/>
      <c r="V604" s="705"/>
      <c r="W604" s="705"/>
      <c r="X604" s="705"/>
      <c r="Y604" s="705"/>
      <c r="Z604" s="705"/>
      <c r="AA604" s="705"/>
      <c r="AB604" s="705"/>
      <c r="AC604" s="705"/>
      <c r="AD604" s="705"/>
      <c r="AE604" s="705"/>
      <c r="AF604" s="705"/>
      <c r="AG604" s="705"/>
      <c r="AH604" s="705"/>
      <c r="AI604" s="705"/>
      <c r="AJ604" s="705"/>
      <c r="AK604" s="705"/>
      <c r="AL604" s="705"/>
      <c r="AM604" s="705"/>
      <c r="AN604" s="705"/>
      <c r="AO604" s="705"/>
      <c r="AP604" s="705"/>
      <c r="AQ604" s="705"/>
      <c r="AR604" s="705"/>
      <c r="AS604" s="705"/>
      <c r="AT604" s="705"/>
      <c r="AU604" s="705"/>
      <c r="AV604" s="705"/>
      <c r="AW604" s="705"/>
      <c r="AX604" s="705"/>
      <c r="AY604" s="705"/>
      <c r="AZ604" s="705"/>
      <c r="BA604" s="705"/>
      <c r="BB604" s="705"/>
      <c r="BC604" s="705"/>
      <c r="BD604" s="705"/>
      <c r="BE604" s="705"/>
      <c r="BF604" s="705"/>
      <c r="BG604" s="705"/>
      <c r="BH604" s="705"/>
      <c r="BI604" s="705"/>
      <c r="BJ604" s="705"/>
      <c r="BK604" s="705"/>
      <c r="BL604" s="705"/>
      <c r="BM604" s="705"/>
      <c r="BN604" s="705"/>
      <c r="BO604" s="705"/>
      <c r="BP604" s="705"/>
      <c r="BQ604" s="705"/>
      <c r="BR604" s="705"/>
      <c r="BS604" s="705"/>
      <c r="BT604" s="705"/>
      <c r="BU604" s="705"/>
      <c r="BV604" s="705"/>
      <c r="BW604" s="705"/>
      <c r="BX604" s="705"/>
      <c r="BY604" s="705"/>
      <c r="BZ604" s="705"/>
      <c r="CA604" s="705"/>
      <c r="CB604" s="705"/>
      <c r="CC604" s="705"/>
      <c r="CD604" s="705"/>
      <c r="CE604" s="705"/>
      <c r="CF604" s="705"/>
      <c r="CG604" s="705"/>
      <c r="CH604" s="705"/>
      <c r="CI604" s="705"/>
      <c r="CJ604" s="705"/>
      <c r="CK604" s="705"/>
      <c r="CL604" s="705"/>
      <c r="CM604" s="705"/>
      <c r="CN604" s="705"/>
      <c r="CO604" s="705"/>
      <c r="CP604" s="705"/>
      <c r="CQ604" s="705"/>
      <c r="CR604" s="705"/>
      <c r="CS604" s="705"/>
      <c r="CT604" s="705"/>
      <c r="CU604" s="705"/>
      <c r="CV604" s="705"/>
      <c r="CW604" s="705"/>
      <c r="CX604" s="705"/>
      <c r="CY604" s="705"/>
      <c r="CZ604" s="705"/>
      <c r="DA604" s="705"/>
      <c r="DB604" s="705"/>
      <c r="DC604" s="705"/>
      <c r="DD604" s="705"/>
      <c r="DE604" s="705"/>
      <c r="DF604" s="705"/>
      <c r="DG604" s="705"/>
      <c r="DH604" s="705"/>
      <c r="DI604" s="705"/>
      <c r="DJ604" s="705"/>
      <c r="DK604" s="705"/>
      <c r="DL604" s="705"/>
      <c r="DM604" s="705"/>
      <c r="DN604" s="705"/>
      <c r="DO604" s="705"/>
      <c r="DP604" s="705"/>
      <c r="DQ604" s="705"/>
      <c r="DR604" s="705"/>
      <c r="DS604" s="705"/>
      <c r="DT604" s="705"/>
      <c r="DU604" s="1195">
        <f>+AVERAGE(DU442,DU439)</f>
        <v>317.54959869888103</v>
      </c>
      <c r="DV604" s="1195">
        <f>+AVERAGE(DV442,DV439)</f>
        <v>310.83228586168718</v>
      </c>
      <c r="DW604" s="1195">
        <f>+AVERAGE(DW442,DW439)</f>
        <v>304.4049085760895</v>
      </c>
      <c r="DX604" s="1195">
        <f>+AVERAGE(DX442,DX439)</f>
        <v>298.49221392419429</v>
      </c>
      <c r="DY604" s="733">
        <f>+AVERAGE(DU604:DX604)</f>
        <v>307.81975176521303</v>
      </c>
      <c r="DZ604" s="1195">
        <f>+AVERAGE(DZ442,DZ439)</f>
        <v>292.09457838378904</v>
      </c>
      <c r="EA604" s="1195">
        <f>+AVERAGE(EA442,EA439)</f>
        <v>285.2123880859375</v>
      </c>
      <c r="EB604" s="1195">
        <f>+AVERAGE(EB442,EB439)</f>
        <v>279.34603906249998</v>
      </c>
      <c r="EC604" s="1195">
        <f>+AVERAGE(EC442,EC439)</f>
        <v>274.99593750000003</v>
      </c>
      <c r="ED604" s="733">
        <f t="shared" si="2745"/>
        <v>282.91223575805668</v>
      </c>
      <c r="EE604" s="1195">
        <f>+AVERAGE(EE442,EE439)</f>
        <v>271.16250000000002</v>
      </c>
      <c r="EF604" s="1195">
        <f>+AVERAGE(EF442,EF439)</f>
        <v>268</v>
      </c>
      <c r="EG604" s="1195">
        <f>+AVERAGE(EG442,EG439)</f>
        <v>265</v>
      </c>
      <c r="EH604" s="1195">
        <f>+AVERAGE(EH442,EH439)</f>
        <v>260</v>
      </c>
      <c r="EI604" s="733">
        <f t="shared" si="2746"/>
        <v>266.04062499999998</v>
      </c>
      <c r="EJ604" s="1195">
        <f>+AVERAGE(EJ442,EJ439)</f>
        <v>257</v>
      </c>
      <c r="EK604" s="1195">
        <f>+AVERAGE(EK442,EK439)</f>
        <v>256.5</v>
      </c>
      <c r="EL604" s="1195">
        <f>+AVERAGE(EL442,EL439)</f>
        <v>254.5</v>
      </c>
      <c r="EM604" s="1195">
        <f>+AVERAGE(EM442,EM439)</f>
        <v>251.5</v>
      </c>
      <c r="EN604" s="733">
        <f t="shared" si="2747"/>
        <v>254.875</v>
      </c>
      <c r="EO604" s="733"/>
      <c r="EP604" s="733"/>
      <c r="EQ604" s="733"/>
      <c r="ER604" s="733"/>
      <c r="ES604" s="1195">
        <f>+AVERAGE(ES442,ES439)</f>
        <v>247.97874911158544</v>
      </c>
      <c r="ET604" s="1195"/>
      <c r="EU604" s="1195"/>
      <c r="EV604" s="1195"/>
      <c r="EW604" s="1195"/>
      <c r="EX604" s="1195">
        <f>+AVERAGE(EX442,EX439)</f>
        <v>247.76469644625092</v>
      </c>
      <c r="EY604" s="1195"/>
      <c r="EZ604" s="1195"/>
      <c r="FA604" s="1195"/>
      <c r="FB604" s="1195"/>
      <c r="FC604" s="1195">
        <f>+AVERAGE(FC442,FC439)</f>
        <v>255.93934592172548</v>
      </c>
      <c r="FD604" s="1195"/>
      <c r="FE604" s="1195"/>
      <c r="FF604" s="1195"/>
      <c r="FG604" s="1195"/>
      <c r="FH604" s="1195">
        <f t="shared" ref="FH604:FM604" si="2753">+AVERAGE(FH442,FH439)</f>
        <v>272.3969050218742</v>
      </c>
      <c r="FI604" s="1195">
        <f t="shared" si="2753"/>
        <v>294.50880140230799</v>
      </c>
      <c r="FJ604" s="1195">
        <f t="shared" si="2753"/>
        <v>319.96358938605243</v>
      </c>
      <c r="FK604" s="1195">
        <f t="shared" si="2753"/>
        <v>348.21210633419633</v>
      </c>
      <c r="FL604" s="1195">
        <f t="shared" si="2753"/>
        <v>379.236946320882</v>
      </c>
      <c r="FM604" s="1195">
        <f t="shared" si="2753"/>
        <v>413.09344302971999</v>
      </c>
      <c r="FN604" s="1196">
        <f>+(FJ604/ES604)^0.2-1</f>
        <v>5.2294302631920697E-2</v>
      </c>
    </row>
    <row r="605" spans="1:171" hidden="1" outlineLevel="1" x14ac:dyDescent="0.3">
      <c r="A605" s="1194" t="s">
        <v>463</v>
      </c>
      <c r="B605" s="760"/>
      <c r="C605" s="760"/>
      <c r="D605" s="760"/>
      <c r="E605" s="760"/>
      <c r="F605" s="760"/>
      <c r="G605" s="760"/>
      <c r="H605" s="760"/>
      <c r="I605" s="760"/>
      <c r="J605" s="760"/>
      <c r="K605" s="760"/>
      <c r="L605" s="760"/>
      <c r="M605" s="760"/>
      <c r="N605" s="760"/>
      <c r="O605" s="760"/>
      <c r="P605" s="760"/>
      <c r="Q605" s="760"/>
      <c r="R605" s="760"/>
      <c r="S605" s="760"/>
      <c r="T605" s="760"/>
      <c r="U605" s="760"/>
      <c r="V605" s="760"/>
      <c r="W605" s="760"/>
      <c r="X605" s="760"/>
      <c r="Y605" s="760"/>
      <c r="Z605" s="760"/>
      <c r="AA605" s="760"/>
      <c r="AB605" s="760"/>
      <c r="AC605" s="760"/>
      <c r="AD605" s="760"/>
      <c r="AE605" s="760"/>
      <c r="AF605" s="760"/>
      <c r="AG605" s="760"/>
      <c r="AH605" s="760"/>
      <c r="AI605" s="760"/>
      <c r="AJ605" s="760"/>
      <c r="AK605" s="760"/>
      <c r="AL605" s="760"/>
      <c r="AM605" s="760"/>
      <c r="AN605" s="760"/>
      <c r="AO605" s="760"/>
      <c r="AP605" s="760"/>
      <c r="AQ605" s="760"/>
      <c r="AR605" s="760"/>
      <c r="AS605" s="760"/>
      <c r="AT605" s="760"/>
      <c r="AU605" s="760"/>
      <c r="AV605" s="760"/>
      <c r="AW605" s="760"/>
      <c r="AX605" s="760"/>
      <c r="AY605" s="760"/>
      <c r="AZ605" s="760"/>
      <c r="BA605" s="760"/>
      <c r="BB605" s="760"/>
      <c r="BC605" s="760"/>
      <c r="BD605" s="760"/>
      <c r="BE605" s="760"/>
      <c r="BF605" s="760"/>
      <c r="BG605" s="760"/>
      <c r="BH605" s="760"/>
      <c r="BI605" s="760"/>
      <c r="BJ605" s="760"/>
      <c r="BK605" s="760"/>
      <c r="BL605" s="760"/>
      <c r="BM605" s="760"/>
      <c r="BN605" s="760"/>
      <c r="BO605" s="760"/>
      <c r="BP605" s="760"/>
      <c r="BQ605" s="760"/>
      <c r="BR605" s="760"/>
      <c r="BS605" s="760"/>
      <c r="BT605" s="760"/>
      <c r="BU605" s="760"/>
      <c r="BV605" s="760"/>
      <c r="BW605" s="760"/>
      <c r="BX605" s="760"/>
      <c r="BY605" s="760"/>
      <c r="BZ605" s="760"/>
      <c r="CA605" s="760"/>
      <c r="CB605" s="760"/>
      <c r="CC605" s="760"/>
      <c r="CD605" s="760"/>
      <c r="CE605" s="760"/>
      <c r="CF605" s="760"/>
      <c r="CG605" s="760"/>
      <c r="CH605" s="760"/>
      <c r="CI605" s="760"/>
      <c r="CJ605" s="760"/>
      <c r="CK605" s="760"/>
      <c r="CL605" s="760"/>
      <c r="CM605" s="760"/>
      <c r="CN605" s="760"/>
      <c r="CO605" s="760"/>
      <c r="CP605" s="760"/>
      <c r="CQ605" s="760"/>
      <c r="CR605" s="760"/>
      <c r="CS605" s="760"/>
      <c r="CT605" s="760"/>
      <c r="CU605" s="760"/>
      <c r="CV605" s="760"/>
      <c r="CW605" s="760"/>
      <c r="CX605" s="760"/>
      <c r="CY605" s="760"/>
      <c r="CZ605" s="760"/>
      <c r="DA605" s="760"/>
      <c r="DB605" s="760"/>
      <c r="DC605" s="760"/>
      <c r="DD605" s="760"/>
      <c r="DE605" s="760"/>
      <c r="DF605" s="760"/>
      <c r="DG605" s="760"/>
      <c r="DH605" s="760"/>
      <c r="DI605" s="760"/>
      <c r="DJ605" s="760"/>
      <c r="DK605" s="760"/>
      <c r="DL605" s="760"/>
      <c r="DM605" s="760"/>
      <c r="DN605" s="760"/>
      <c r="DO605" s="760"/>
      <c r="DP605" s="760"/>
      <c r="DQ605" s="760"/>
      <c r="DR605" s="760"/>
      <c r="DS605" s="760"/>
      <c r="DT605" s="760"/>
      <c r="DU605" s="731">
        <f t="shared" ref="DU605:FM605" si="2754">SUM(DU603:DU604)</f>
        <v>3981.2995986988808</v>
      </c>
      <c r="DV605" s="731">
        <f t="shared" si="2754"/>
        <v>3909.3322858616871</v>
      </c>
      <c r="DW605" s="731">
        <f t="shared" si="2754"/>
        <v>3817.4049085760894</v>
      </c>
      <c r="DX605" s="731">
        <f t="shared" si="2754"/>
        <v>3740.4922139241944</v>
      </c>
      <c r="DY605" s="731">
        <f t="shared" si="2754"/>
        <v>3862.1322517652129</v>
      </c>
      <c r="DZ605" s="731">
        <f t="shared" si="2754"/>
        <v>3685.5945783837892</v>
      </c>
      <c r="EA605" s="731">
        <f t="shared" si="2754"/>
        <v>3643.2123880859376</v>
      </c>
      <c r="EB605" s="731">
        <f t="shared" si="2754"/>
        <v>3603.3460390625</v>
      </c>
      <c r="EC605" s="731">
        <f t="shared" si="2754"/>
        <v>3559.9959374999999</v>
      </c>
      <c r="ED605" s="731">
        <f t="shared" si="2754"/>
        <v>3623.0372357580568</v>
      </c>
      <c r="EE605" s="731">
        <f t="shared" si="2754"/>
        <v>3520.1624999999999</v>
      </c>
      <c r="EF605" s="731">
        <f t="shared" si="2754"/>
        <v>3483</v>
      </c>
      <c r="EG605" s="731">
        <f t="shared" si="2754"/>
        <v>3449.5</v>
      </c>
      <c r="EH605" s="731">
        <f t="shared" si="2754"/>
        <v>3429</v>
      </c>
      <c r="EI605" s="731">
        <f t="shared" si="2754"/>
        <v>3470.4156250000001</v>
      </c>
      <c r="EJ605" s="731">
        <f t="shared" si="2754"/>
        <v>3424</v>
      </c>
      <c r="EK605" s="731">
        <f t="shared" si="2754"/>
        <v>3420.5</v>
      </c>
      <c r="EL605" s="731">
        <f t="shared" si="2754"/>
        <v>3405</v>
      </c>
      <c r="EM605" s="731">
        <f t="shared" si="2754"/>
        <v>3389</v>
      </c>
      <c r="EN605" s="731">
        <f t="shared" si="2754"/>
        <v>3409.625</v>
      </c>
      <c r="EO605" s="731"/>
      <c r="EP605" s="731"/>
      <c r="EQ605" s="731"/>
      <c r="ER605" s="731"/>
      <c r="ES605" s="731">
        <f t="shared" si="2754"/>
        <v>3378.9787491115853</v>
      </c>
      <c r="ET605" s="731"/>
      <c r="EU605" s="731"/>
      <c r="EV605" s="731"/>
      <c r="EW605" s="731"/>
      <c r="EX605" s="731">
        <f t="shared" si="2754"/>
        <v>3426.1253618013388</v>
      </c>
      <c r="EY605" s="731"/>
      <c r="EZ605" s="731"/>
      <c r="FA605" s="731"/>
      <c r="FB605" s="731"/>
      <c r="FC605" s="731">
        <f t="shared" si="2754"/>
        <v>3592.5681893281403</v>
      </c>
      <c r="FD605" s="731"/>
      <c r="FE605" s="731"/>
      <c r="FF605" s="731"/>
      <c r="FG605" s="731"/>
      <c r="FH605" s="731">
        <f t="shared" si="2754"/>
        <v>3860.5886554135345</v>
      </c>
      <c r="FI605" s="731">
        <f t="shared" si="2754"/>
        <v>4158.3086379423812</v>
      </c>
      <c r="FJ605" s="731">
        <f t="shared" si="2754"/>
        <v>4434.1576644948509</v>
      </c>
      <c r="FK605" s="731">
        <f t="shared" si="2754"/>
        <v>4671.7681081820929</v>
      </c>
      <c r="FL605" s="731">
        <f t="shared" si="2754"/>
        <v>4859.7618845747875</v>
      </c>
      <c r="FM605" s="731">
        <f t="shared" si="2754"/>
        <v>4998.34681348715</v>
      </c>
      <c r="FN605" s="1197">
        <f>+(FJ605/ES605)^0.2-1</f>
        <v>5.5857074499048087E-2</v>
      </c>
    </row>
    <row r="606" spans="1:171" hidden="1" outlineLevel="1" x14ac:dyDescent="0.3">
      <c r="A606" s="1"/>
    </row>
    <row r="607" spans="1:171" hidden="1" outlineLevel="1" x14ac:dyDescent="0.3">
      <c r="A607" s="1011" t="s">
        <v>521</v>
      </c>
      <c r="B607" s="705"/>
      <c r="C607" s="705"/>
      <c r="D607" s="705"/>
      <c r="E607" s="705"/>
      <c r="F607" s="705"/>
      <c r="G607" s="705"/>
      <c r="H607" s="705"/>
      <c r="I607" s="705"/>
      <c r="J607" s="705"/>
      <c r="K607" s="705"/>
      <c r="L607" s="705"/>
      <c r="M607" s="705"/>
      <c r="N607" s="705"/>
      <c r="O607" s="705"/>
      <c r="P607" s="705"/>
      <c r="Q607" s="705"/>
      <c r="R607" s="705"/>
      <c r="S607" s="705"/>
      <c r="T607" s="705"/>
      <c r="U607" s="705"/>
      <c r="V607" s="705"/>
      <c r="W607" s="705"/>
      <c r="X607" s="705"/>
      <c r="Y607" s="705"/>
      <c r="Z607" s="705"/>
      <c r="AA607" s="705"/>
      <c r="AB607" s="705"/>
      <c r="AC607" s="705"/>
      <c r="AD607" s="705"/>
      <c r="AE607" s="705"/>
      <c r="AF607" s="705"/>
      <c r="AG607" s="705"/>
      <c r="AH607" s="705"/>
      <c r="AI607" s="705"/>
      <c r="AJ607" s="705"/>
      <c r="AK607" s="705"/>
      <c r="AL607" s="705"/>
      <c r="AM607" s="705"/>
      <c r="AN607" s="705"/>
      <c r="AO607" s="705"/>
      <c r="AP607" s="705"/>
      <c r="AQ607" s="705"/>
      <c r="AR607" s="705"/>
      <c r="AS607" s="705"/>
      <c r="AT607" s="705"/>
      <c r="AU607" s="705"/>
      <c r="AV607" s="705"/>
      <c r="AW607" s="705"/>
      <c r="AX607" s="705"/>
      <c r="AY607" s="705"/>
      <c r="AZ607" s="705"/>
      <c r="BA607" s="705"/>
      <c r="BB607" s="705"/>
      <c r="BC607" s="705"/>
      <c r="BD607" s="705"/>
      <c r="BE607" s="705"/>
      <c r="BF607" s="705"/>
      <c r="BG607" s="705"/>
      <c r="BH607" s="705"/>
      <c r="BI607" s="705"/>
      <c r="BJ607" s="705"/>
      <c r="BK607" s="705"/>
      <c r="BL607" s="705"/>
      <c r="BM607" s="705"/>
      <c r="BN607" s="705"/>
      <c r="BO607" s="705"/>
      <c r="BP607" s="705"/>
      <c r="BQ607" s="705"/>
      <c r="BR607" s="705"/>
      <c r="BS607" s="705"/>
      <c r="BT607" s="705"/>
      <c r="BU607" s="705"/>
      <c r="BV607" s="705"/>
      <c r="BW607" s="705"/>
      <c r="BX607" s="705"/>
      <c r="BY607" s="705"/>
      <c r="BZ607" s="705"/>
      <c r="CA607" s="705"/>
      <c r="CB607" s="705"/>
      <c r="CC607" s="705"/>
      <c r="CD607" s="705"/>
      <c r="CE607" s="705"/>
      <c r="CF607" s="705"/>
      <c r="CG607" s="705"/>
      <c r="CH607" s="705"/>
      <c r="CI607" s="705"/>
      <c r="CJ607" s="705"/>
      <c r="CK607" s="705"/>
      <c r="CL607" s="705"/>
      <c r="CM607" s="705"/>
      <c r="CN607" s="705"/>
      <c r="CO607" s="705"/>
      <c r="CP607" s="705"/>
      <c r="CQ607" s="705"/>
      <c r="CR607" s="705"/>
      <c r="CS607" s="705"/>
      <c r="CT607" s="705"/>
      <c r="CU607" s="705"/>
      <c r="CV607" s="705"/>
      <c r="CW607" s="705"/>
      <c r="CX607" s="705"/>
      <c r="CY607" s="705"/>
      <c r="CZ607" s="705"/>
      <c r="DA607" s="705"/>
      <c r="DB607" s="705"/>
      <c r="DC607" s="705"/>
      <c r="DD607" s="705"/>
      <c r="DE607" s="705"/>
      <c r="DF607" s="705"/>
      <c r="DG607" s="705"/>
      <c r="DH607" s="705"/>
      <c r="DI607" s="705"/>
      <c r="DJ607" s="705"/>
      <c r="DK607" s="705"/>
      <c r="DL607" s="705"/>
      <c r="DM607" s="705"/>
      <c r="DN607" s="705"/>
      <c r="DO607" s="705"/>
      <c r="DP607" s="705"/>
      <c r="DQ607" s="705"/>
      <c r="DR607" s="705"/>
      <c r="DS607" s="705"/>
      <c r="DT607" s="705"/>
      <c r="DU607" s="1188"/>
      <c r="DV607" s="1188"/>
      <c r="DW607" s="1188"/>
      <c r="DX607" s="1188"/>
      <c r="DY607" s="1145"/>
      <c r="DZ607" s="1189">
        <f>DZ204/DZ182*1000/3</f>
        <v>892.19273902295879</v>
      </c>
      <c r="EA607" s="1189">
        <f>EA204/EA182*1000/3</f>
        <v>898.07198521509872</v>
      </c>
      <c r="EB607" s="1189">
        <f>EB204/EB182*1000/3</f>
        <v>851.97192630046641</v>
      </c>
      <c r="EC607" s="1189">
        <f>EC204/EC182*1000/3</f>
        <v>820.30593120744959</v>
      </c>
      <c r="ED607" s="1145">
        <f>ED204/ED182*1000/12</f>
        <v>865.55605805114772</v>
      </c>
      <c r="EE607" s="1189">
        <f>EE204/EE182*1000/3</f>
        <v>802.72416371905001</v>
      </c>
      <c r="EF607" s="1189">
        <f>EF204/EF182*1000/3</f>
        <v>792.8423618090452</v>
      </c>
      <c r="EG607" s="1189">
        <f>EG204/EG182*1000/3</f>
        <v>813.84666666666669</v>
      </c>
      <c r="EH607" s="1144">
        <f>+EC607*(1+EH608)</f>
        <v>783.59770686227296</v>
      </c>
      <c r="EI607" s="1145">
        <f>EI204/EI182*1000/12</f>
        <v>799.89820194677702</v>
      </c>
      <c r="EJ607" s="1144">
        <f>+EE607*(1+EJ608)</f>
        <v>786.66968044466898</v>
      </c>
      <c r="EK607" s="1144">
        <f>+EF607*(1+EK608)</f>
        <v>776.9855145728643</v>
      </c>
      <c r="EL607" s="1144">
        <f>+EG607*(1+EL608)</f>
        <v>797.56973333333337</v>
      </c>
      <c r="EM607" s="1144">
        <f>+EH607*(1+EM608)</f>
        <v>767.92575272502745</v>
      </c>
      <c r="EN607" s="1145">
        <f>EN204/EN182*1000/12</f>
        <v>734.08750485060148</v>
      </c>
      <c r="EO607" s="1145"/>
      <c r="EP607" s="1145"/>
      <c r="EQ607" s="1145"/>
      <c r="ER607" s="1145"/>
      <c r="ES607" s="1144">
        <f>+EN607*(1+ES608)</f>
        <v>712.0648797050834</v>
      </c>
      <c r="ET607" s="1144"/>
      <c r="EU607" s="1144"/>
      <c r="EV607" s="1144"/>
      <c r="EW607" s="1144"/>
      <c r="EX607" s="1144">
        <f>+ES607*(1+EX608)</f>
        <v>689.63483599437325</v>
      </c>
      <c r="EY607" s="1144"/>
      <c r="EZ607" s="1144"/>
      <c r="FA607" s="1144"/>
      <c r="FB607" s="1144"/>
      <c r="FC607" s="1144">
        <f>+EX607*(1+FC608)</f>
        <v>666.82516379385936</v>
      </c>
      <c r="FD607" s="1144"/>
      <c r="FE607" s="1144"/>
      <c r="FF607" s="1144"/>
      <c r="FG607" s="1144"/>
      <c r="FH607" s="1144">
        <f>+FC607*(1+FH608)</f>
        <v>643.66715938675338</v>
      </c>
      <c r="FI607" s="1144">
        <f t="shared" ref="FI607:FM607" si="2755">+FH607*(1+FI608)</f>
        <v>620.19571573212295</v>
      </c>
      <c r="FJ607" s="1144">
        <f t="shared" si="2755"/>
        <v>596.44938501821093</v>
      </c>
      <c r="FK607" s="1144">
        <f t="shared" si="2755"/>
        <v>572.4704083967199</v>
      </c>
      <c r="FL607" s="1144">
        <f t="shared" si="2755"/>
        <v>548.3047077883233</v>
      </c>
      <c r="FM607" s="1144">
        <f t="shared" si="2755"/>
        <v>524.00183452701242</v>
      </c>
      <c r="FN607" s="1121">
        <f>+(FJ607/ES607)^0.2-1</f>
        <v>-3.481446237668151E-2</v>
      </c>
      <c r="FO607" s="98"/>
    </row>
    <row r="608" spans="1:171" ht="12" hidden="1" customHeight="1" outlineLevel="1" x14ac:dyDescent="0.3">
      <c r="A608" s="1117" t="s">
        <v>363</v>
      </c>
      <c r="B608" s="705"/>
      <c r="C608" s="705"/>
      <c r="D608" s="705"/>
      <c r="E608" s="705"/>
      <c r="F608" s="705"/>
      <c r="G608" s="705"/>
      <c r="H608" s="705"/>
      <c r="I608" s="705"/>
      <c r="J608" s="705"/>
      <c r="K608" s="705"/>
      <c r="L608" s="705"/>
      <c r="M608" s="705"/>
      <c r="N608" s="705"/>
      <c r="O608" s="705"/>
      <c r="P608" s="705"/>
      <c r="Q608" s="705"/>
      <c r="R608" s="705"/>
      <c r="S608" s="705"/>
      <c r="T608" s="705"/>
      <c r="U608" s="705"/>
      <c r="V608" s="705"/>
      <c r="W608" s="705"/>
      <c r="X608" s="705"/>
      <c r="Y608" s="705"/>
      <c r="Z608" s="705"/>
      <c r="AA608" s="705"/>
      <c r="AB608" s="705"/>
      <c r="AC608" s="705"/>
      <c r="AD608" s="705"/>
      <c r="AE608" s="705"/>
      <c r="AF608" s="705"/>
      <c r="AG608" s="705"/>
      <c r="AH608" s="705"/>
      <c r="AI608" s="705"/>
      <c r="AJ608" s="705"/>
      <c r="AK608" s="705"/>
      <c r="AL608" s="705"/>
      <c r="AM608" s="705"/>
      <c r="AN608" s="705"/>
      <c r="AO608" s="705"/>
      <c r="AP608" s="705"/>
      <c r="AQ608" s="705"/>
      <c r="AR608" s="705"/>
      <c r="AS608" s="705"/>
      <c r="AT608" s="705"/>
      <c r="AU608" s="705"/>
      <c r="AV608" s="705"/>
      <c r="AW608" s="705"/>
      <c r="AX608" s="705"/>
      <c r="AY608" s="705"/>
      <c r="AZ608" s="705"/>
      <c r="BA608" s="705"/>
      <c r="BB608" s="705"/>
      <c r="BC608" s="705"/>
      <c r="BD608" s="705"/>
      <c r="BE608" s="705"/>
      <c r="BF608" s="705"/>
      <c r="BG608" s="705"/>
      <c r="BH608" s="705"/>
      <c r="BI608" s="705"/>
      <c r="BJ608" s="705"/>
      <c r="BK608" s="705"/>
      <c r="BL608" s="705"/>
      <c r="BM608" s="705"/>
      <c r="BN608" s="705"/>
      <c r="BO608" s="705"/>
      <c r="BP608" s="705"/>
      <c r="BQ608" s="705"/>
      <c r="BR608" s="705"/>
      <c r="BS608" s="705"/>
      <c r="BT608" s="705"/>
      <c r="BU608" s="705"/>
      <c r="BV608" s="705"/>
      <c r="BW608" s="705"/>
      <c r="BX608" s="705"/>
      <c r="BY608" s="705"/>
      <c r="BZ608" s="705"/>
      <c r="CA608" s="705"/>
      <c r="CB608" s="705"/>
      <c r="CC608" s="705"/>
      <c r="CD608" s="705"/>
      <c r="CE608" s="705"/>
      <c r="CF608" s="705"/>
      <c r="CG608" s="705"/>
      <c r="CH608" s="705"/>
      <c r="CI608" s="705"/>
      <c r="CJ608" s="705"/>
      <c r="CK608" s="705"/>
      <c r="CL608" s="705"/>
      <c r="CM608" s="705"/>
      <c r="CN608" s="705"/>
      <c r="CO608" s="705"/>
      <c r="CP608" s="705"/>
      <c r="CQ608" s="705"/>
      <c r="CR608" s="705"/>
      <c r="CS608" s="705"/>
      <c r="CT608" s="705"/>
      <c r="CU608" s="705"/>
      <c r="CV608" s="705"/>
      <c r="CW608" s="705"/>
      <c r="CX608" s="705"/>
      <c r="CY608" s="705"/>
      <c r="CZ608" s="705"/>
      <c r="DA608" s="705"/>
      <c r="DB608" s="705"/>
      <c r="DC608" s="705"/>
      <c r="DD608" s="705"/>
      <c r="DE608" s="705"/>
      <c r="DF608" s="705"/>
      <c r="DG608" s="705"/>
      <c r="DH608" s="705"/>
      <c r="DI608" s="705"/>
      <c r="DJ608" s="705"/>
      <c r="DK608" s="705"/>
      <c r="DL608" s="705"/>
      <c r="DM608" s="705"/>
      <c r="DN608" s="705"/>
      <c r="DO608" s="705"/>
      <c r="DP608" s="705"/>
      <c r="DQ608" s="705"/>
      <c r="DR608" s="705"/>
      <c r="DS608" s="705"/>
      <c r="DT608" s="705"/>
      <c r="DU608" s="705"/>
      <c r="DV608" s="705"/>
      <c r="DW608" s="705"/>
      <c r="DX608" s="705"/>
      <c r="DY608" s="760"/>
      <c r="DZ608" s="1190"/>
      <c r="EA608" s="1190"/>
      <c r="EB608" s="1190"/>
      <c r="EC608" s="1190"/>
      <c r="ED608" s="1119"/>
      <c r="EE608" s="1190">
        <f>+EE607/DZ607-1</f>
        <v>-0.10027942549934432</v>
      </c>
      <c r="EF608" s="1190">
        <f>+EF607/EA607-1</f>
        <v>-0.11717281591948314</v>
      </c>
      <c r="EG608" s="1190">
        <f>+EG607/EB607-1</f>
        <v>-4.4749431826177299E-2</v>
      </c>
      <c r="EH608" s="1118">
        <f>EG608</f>
        <v>-4.4749431826177299E-2</v>
      </c>
      <c r="EI608" s="1119">
        <f>+EI607/ED607-1</f>
        <v>-7.5856272385411261E-2</v>
      </c>
      <c r="EJ608" s="1118">
        <v>-0.02</v>
      </c>
      <c r="EK608" s="1118">
        <v>-0.02</v>
      </c>
      <c r="EL608" s="1118">
        <v>-0.02</v>
      </c>
      <c r="EM608" s="1118">
        <v>-0.02</v>
      </c>
      <c r="EN608" s="1119">
        <f>+EN607/EI607-1</f>
        <v>-8.2273840516214114E-2</v>
      </c>
      <c r="EO608" s="1119"/>
      <c r="EP608" s="1119"/>
      <c r="EQ608" s="1119"/>
      <c r="ER608" s="1119"/>
      <c r="ES608" s="1118">
        <v>-0.03</v>
      </c>
      <c r="ET608" s="1118"/>
      <c r="EU608" s="1118"/>
      <c r="EV608" s="1118"/>
      <c r="EW608" s="1118"/>
      <c r="EX608" s="1118">
        <f>ES608*1.05</f>
        <v>-3.15E-2</v>
      </c>
      <c r="EY608" s="1118"/>
      <c r="EZ608" s="1118"/>
      <c r="FA608" s="1118"/>
      <c r="FB608" s="1118"/>
      <c r="FC608" s="1118">
        <f>EX608*1.05</f>
        <v>-3.3075E-2</v>
      </c>
      <c r="FD608" s="1118"/>
      <c r="FE608" s="1118"/>
      <c r="FF608" s="1118"/>
      <c r="FG608" s="1118"/>
      <c r="FH608" s="1118">
        <f>FC608*1.05</f>
        <v>-3.4728750000000003E-2</v>
      </c>
      <c r="FI608" s="1118">
        <f t="shared" ref="FI608:FM608" si="2756">FH608*1.05</f>
        <v>-3.6465187500000003E-2</v>
      </c>
      <c r="FJ608" s="1118">
        <f t="shared" si="2756"/>
        <v>-3.8288446875000007E-2</v>
      </c>
      <c r="FK608" s="1118">
        <f t="shared" si="2756"/>
        <v>-4.0202869218750006E-2</v>
      </c>
      <c r="FL608" s="1118">
        <f t="shared" si="2756"/>
        <v>-4.2213012679687509E-2</v>
      </c>
      <c r="FM608" s="1118">
        <f t="shared" si="2756"/>
        <v>-4.4323663313671886E-2</v>
      </c>
      <c r="FN608" s="705"/>
    </row>
    <row r="609" spans="1:170" s="705" customFormat="1" hidden="1" outlineLevel="1" x14ac:dyDescent="0.3">
      <c r="A609" s="1139" t="s">
        <v>522</v>
      </c>
      <c r="DU609" s="1145" t="e">
        <f>+DU633/DU603/3*1000</f>
        <v>#REF!</v>
      </c>
      <c r="DV609" s="1145" t="e">
        <f>+DV633/DV603/3*1000</f>
        <v>#REF!</v>
      </c>
      <c r="DW609" s="1145" t="e">
        <f>+DW633/DW603/3*1000</f>
        <v>#REF!</v>
      </c>
      <c r="DX609" s="1145" t="e">
        <f>+DX633/DX603/3*1000</f>
        <v>#REF!</v>
      </c>
      <c r="DY609" s="1145" t="e">
        <f>+DY633/DY603/12*1000</f>
        <v>#REF!</v>
      </c>
      <c r="DZ609" s="1145" t="e">
        <f>+DZ633/DZ603/3*1000</f>
        <v>#REF!</v>
      </c>
      <c r="EA609" s="1145" t="e">
        <f>+EA633/EA603/3*1000</f>
        <v>#REF!</v>
      </c>
      <c r="EB609" s="1145" t="e">
        <f>+EB633/EB603/3*1000</f>
        <v>#REF!</v>
      </c>
      <c r="EC609" s="1145" t="e">
        <f>+EC633/EC603/3*1000</f>
        <v>#REF!</v>
      </c>
      <c r="ED609" s="1145" t="e">
        <f>+ED633/ED603/12*1000</f>
        <v>#REF!</v>
      </c>
      <c r="EE609" s="1145" t="e">
        <f>+EE633/EE603/3*1000</f>
        <v>#REF!</v>
      </c>
      <c r="EF609" s="1145" t="e">
        <f>+EF633/EF603/3*1000</f>
        <v>#REF!</v>
      </c>
      <c r="EG609" s="1145" t="e">
        <f>+EG633/EG603/3*1000</f>
        <v>#REF!</v>
      </c>
      <c r="EH609" s="1145" t="e">
        <f>+EH633/EH603/3*1000</f>
        <v>#REF!</v>
      </c>
      <c r="EI609" s="1145" t="e">
        <f>+EI633/EI603/12*1000</f>
        <v>#REF!</v>
      </c>
      <c r="EJ609" s="1145" t="e">
        <f>+EJ633/EJ603/3*1000</f>
        <v>#REF!</v>
      </c>
      <c r="EK609" s="1145" t="e">
        <f>+EK633/EK603/3*1000</f>
        <v>#REF!</v>
      </c>
      <c r="EL609" s="1145" t="e">
        <f>+EL633/EL603/3*1000</f>
        <v>#REF!</v>
      </c>
      <c r="EM609" s="1145" t="e">
        <f>+EM633/EM603/3*1000</f>
        <v>#REF!</v>
      </c>
      <c r="EN609" s="1145" t="e">
        <f t="shared" ref="EN609:FM609" si="2757">+EN633/EN603/12*1000</f>
        <v>#REF!</v>
      </c>
      <c r="EO609" s="1145"/>
      <c r="EP609" s="1145"/>
      <c r="EQ609" s="1145"/>
      <c r="ER609" s="1145"/>
      <c r="ES609" s="1145" t="e">
        <f t="shared" si="2757"/>
        <v>#REF!</v>
      </c>
      <c r="ET609" s="1145"/>
      <c r="EU609" s="1145"/>
      <c r="EV609" s="1145"/>
      <c r="EW609" s="1145"/>
      <c r="EX609" s="1145" t="e">
        <f t="shared" si="2757"/>
        <v>#REF!</v>
      </c>
      <c r="EY609" s="1145"/>
      <c r="EZ609" s="1145"/>
      <c r="FA609" s="1145"/>
      <c r="FB609" s="1145"/>
      <c r="FC609" s="1145" t="e">
        <f t="shared" si="2757"/>
        <v>#REF!</v>
      </c>
      <c r="FD609" s="1145"/>
      <c r="FE609" s="1145"/>
      <c r="FF609" s="1145"/>
      <c r="FG609" s="1145"/>
      <c r="FH609" s="1145" t="e">
        <f t="shared" si="2757"/>
        <v>#REF!</v>
      </c>
      <c r="FI609" s="1145" t="e">
        <f t="shared" si="2757"/>
        <v>#REF!</v>
      </c>
      <c r="FJ609" s="1145" t="e">
        <f t="shared" si="2757"/>
        <v>#REF!</v>
      </c>
      <c r="FK609" s="1145" t="e">
        <f t="shared" si="2757"/>
        <v>#REF!</v>
      </c>
      <c r="FL609" s="1145" t="e">
        <f t="shared" si="2757"/>
        <v>#REF!</v>
      </c>
      <c r="FM609" s="1145" t="e">
        <f t="shared" si="2757"/>
        <v>#REF!</v>
      </c>
      <c r="FN609" s="1121" t="e">
        <f>+(FJ609/ES609)^0.2-1</f>
        <v>#REF!</v>
      </c>
    </row>
    <row r="610" spans="1:170" s="705" customFormat="1" hidden="1" outlineLevel="1" x14ac:dyDescent="0.3">
      <c r="A610" s="1117" t="s">
        <v>523</v>
      </c>
      <c r="DY610" s="760"/>
      <c r="DZ610" s="735" t="e">
        <f t="shared" ref="DZ610:EI610" si="2758">+DZ609/DU609-1</f>
        <v>#REF!</v>
      </c>
      <c r="EA610" s="735" t="e">
        <f t="shared" si="2758"/>
        <v>#REF!</v>
      </c>
      <c r="EB610" s="735" t="e">
        <f t="shared" si="2758"/>
        <v>#REF!</v>
      </c>
      <c r="EC610" s="735" t="e">
        <f t="shared" si="2758"/>
        <v>#REF!</v>
      </c>
      <c r="ED610" s="1119" t="e">
        <f t="shared" si="2758"/>
        <v>#REF!</v>
      </c>
      <c r="EE610" s="735" t="e">
        <f t="shared" si="2758"/>
        <v>#REF!</v>
      </c>
      <c r="EF610" s="735" t="e">
        <f t="shared" si="2758"/>
        <v>#REF!</v>
      </c>
      <c r="EG610" s="735" t="e">
        <f t="shared" si="2758"/>
        <v>#REF!</v>
      </c>
      <c r="EH610" s="735" t="e">
        <f t="shared" si="2758"/>
        <v>#REF!</v>
      </c>
      <c r="EI610" s="1119" t="e">
        <f t="shared" si="2758"/>
        <v>#REF!</v>
      </c>
      <c r="EJ610" s="735" t="e">
        <f>+EJ609/EE609-1</f>
        <v>#REF!</v>
      </c>
      <c r="EK610" s="735" t="e">
        <f>+EK609/EF609-1</f>
        <v>#REF!</v>
      </c>
      <c r="EL610" s="735" t="e">
        <f>+EL609/EG609-1</f>
        <v>#REF!</v>
      </c>
      <c r="EM610" s="735" t="e">
        <f>+EM609/EH609-1</f>
        <v>#REF!</v>
      </c>
      <c r="EN610" s="1119" t="e">
        <f>+EN609/EI609-1</f>
        <v>#REF!</v>
      </c>
      <c r="EO610" s="1119"/>
      <c r="EP610" s="1119"/>
      <c r="EQ610" s="1119"/>
      <c r="ER610" s="1119"/>
      <c r="ES610" s="735" t="e">
        <f>ES609/EN609-1</f>
        <v>#REF!</v>
      </c>
      <c r="ET610" s="735"/>
      <c r="EU610" s="735"/>
      <c r="EV610" s="735"/>
      <c r="EW610" s="735"/>
      <c r="EX610" s="735" t="e">
        <f>EX609/ES609-1</f>
        <v>#REF!</v>
      </c>
      <c r="EY610" s="735"/>
      <c r="EZ610" s="735"/>
      <c r="FA610" s="735"/>
      <c r="FB610" s="735"/>
      <c r="FC610" s="735" t="e">
        <f>FC609/EX609-1</f>
        <v>#REF!</v>
      </c>
      <c r="FD610" s="735"/>
      <c r="FE610" s="735"/>
      <c r="FF610" s="735"/>
      <c r="FG610" s="735"/>
      <c r="FH610" s="735" t="e">
        <f>FH609/FC609-1</f>
        <v>#REF!</v>
      </c>
      <c r="FI610" s="735" t="e">
        <f t="shared" ref="FI610:FM610" si="2759">FI609/FH609-1</f>
        <v>#REF!</v>
      </c>
      <c r="FJ610" s="735" t="e">
        <f t="shared" si="2759"/>
        <v>#REF!</v>
      </c>
      <c r="FK610" s="735" t="e">
        <f t="shared" si="2759"/>
        <v>#REF!</v>
      </c>
      <c r="FL610" s="735" t="e">
        <f t="shared" si="2759"/>
        <v>#REF!</v>
      </c>
      <c r="FM610" s="735" t="e">
        <f t="shared" si="2759"/>
        <v>#REF!</v>
      </c>
    </row>
    <row r="611" spans="1:170" s="705" customFormat="1" hidden="1" outlineLevel="1" x14ac:dyDescent="0.3">
      <c r="A611" s="1139" t="s">
        <v>524</v>
      </c>
      <c r="DU611" s="1140" t="e">
        <f>+DU634/DU604/3*1000</f>
        <v>#REF!</v>
      </c>
      <c r="DV611" s="1140" t="e">
        <f>+DV634/DV604/3*1000</f>
        <v>#REF!</v>
      </c>
      <c r="DW611" s="1140" t="e">
        <f>+DW634/DW604/3*1000</f>
        <v>#REF!</v>
      </c>
      <c r="DX611" s="1140" t="e">
        <f>+DX634/DX604/3*1000</f>
        <v>#REF!</v>
      </c>
      <c r="DY611" s="1141" t="e">
        <f>+DY634/DY604/12*1000</f>
        <v>#REF!</v>
      </c>
      <c r="DZ611" s="1140" t="e">
        <f>+DZ634/DZ604/3*1000</f>
        <v>#REF!</v>
      </c>
      <c r="EA611" s="1140" t="e">
        <f>+EA634/EA604/3*1000</f>
        <v>#REF!</v>
      </c>
      <c r="EB611" s="1140" t="e">
        <f>+EB634/EB604/3*1000</f>
        <v>#REF!</v>
      </c>
      <c r="EC611" s="1140" t="e">
        <f>+EC634/EC604/3*1000</f>
        <v>#REF!</v>
      </c>
      <c r="ED611" s="1141" t="e">
        <f>+ED634/ED604/12*1000</f>
        <v>#REF!</v>
      </c>
      <c r="EE611" s="1140" t="e">
        <f>+EE634/EE604/3*1000</f>
        <v>#REF!</v>
      </c>
      <c r="EF611" s="1140" t="e">
        <f>+EF634/EF604/3*1000</f>
        <v>#REF!</v>
      </c>
      <c r="EG611" s="1140" t="e">
        <f>+EG634/EG604/3*1000</f>
        <v>#REF!</v>
      </c>
      <c r="EH611" s="1140">
        <f>+EH634/EH604/3*1000</f>
        <v>867.94871794871801</v>
      </c>
      <c r="EI611" s="1141" t="e">
        <f>+EI634/EI604/12*1000</f>
        <v>#REF!</v>
      </c>
      <c r="EJ611" s="1140">
        <f>+EJ634/EJ604/3*1000</f>
        <v>863.81322957198449</v>
      </c>
      <c r="EK611" s="1140">
        <f>+EK634/EK604/3*1000</f>
        <v>846.00389863547764</v>
      </c>
      <c r="EL611" s="1140">
        <f>+EL634/EL604/3*1000</f>
        <v>839.55468238375897</v>
      </c>
      <c r="EM611" s="1140">
        <f>+EM634/EM604/3*1000</f>
        <v>873.4261100066268</v>
      </c>
      <c r="EN611" s="1141">
        <f t="shared" ref="EN611:FM611" si="2760">+EN634/EN604/12*1000</f>
        <v>855.64819355893417</v>
      </c>
      <c r="EO611" s="1141"/>
      <c r="EP611" s="1141"/>
      <c r="EQ611" s="1141"/>
      <c r="ER611" s="1141"/>
      <c r="ES611" s="1141">
        <f t="shared" si="2760"/>
        <v>866.67372682793268</v>
      </c>
      <c r="ET611" s="1141"/>
      <c r="EU611" s="1141"/>
      <c r="EV611" s="1141"/>
      <c r="EW611" s="1141"/>
      <c r="EX611" s="1141">
        <f t="shared" si="2760"/>
        <v>864.5386257978646</v>
      </c>
      <c r="EY611" s="1141"/>
      <c r="EZ611" s="1141"/>
      <c r="FA611" s="1141"/>
      <c r="FB611" s="1141"/>
      <c r="FC611" s="1141">
        <f t="shared" si="2760"/>
        <v>839.46160068908432</v>
      </c>
      <c r="FD611" s="1141"/>
      <c r="FE611" s="1141"/>
      <c r="FF611" s="1141"/>
      <c r="FG611" s="1141"/>
      <c r="FH611" s="1141">
        <f t="shared" si="2760"/>
        <v>796.69049046165162</v>
      </c>
      <c r="FI611" s="1141">
        <f t="shared" si="2760"/>
        <v>748.1206121367793</v>
      </c>
      <c r="FJ611" s="1141">
        <f t="shared" si="2760"/>
        <v>700.36198234333517</v>
      </c>
      <c r="FK611" s="1141">
        <f t="shared" si="2760"/>
        <v>655.61863568275965</v>
      </c>
      <c r="FL611" s="1141">
        <f t="shared" si="2760"/>
        <v>614.26840793169208</v>
      </c>
      <c r="FM611" s="1141">
        <f t="shared" si="2760"/>
        <v>576.36226097328438</v>
      </c>
      <c r="FN611" s="1121">
        <f>+(FJ611/ES611)^0.2-1</f>
        <v>-4.1717876817907951E-2</v>
      </c>
    </row>
    <row r="612" spans="1:170" s="705" customFormat="1" hidden="1" outlineLevel="1" x14ac:dyDescent="0.3">
      <c r="A612" s="1117" t="s">
        <v>523</v>
      </c>
      <c r="DY612" s="760"/>
      <c r="DZ612" s="735" t="e">
        <f t="shared" ref="DZ612:EN612" si="2761">+DZ611/DU611-1</f>
        <v>#REF!</v>
      </c>
      <c r="EA612" s="735" t="e">
        <f t="shared" si="2761"/>
        <v>#REF!</v>
      </c>
      <c r="EB612" s="735" t="e">
        <f t="shared" si="2761"/>
        <v>#REF!</v>
      </c>
      <c r="EC612" s="735" t="e">
        <f t="shared" si="2761"/>
        <v>#REF!</v>
      </c>
      <c r="ED612" s="1119" t="e">
        <f t="shared" si="2761"/>
        <v>#REF!</v>
      </c>
      <c r="EE612" s="735" t="e">
        <f t="shared" si="2761"/>
        <v>#REF!</v>
      </c>
      <c r="EF612" s="735" t="e">
        <f t="shared" si="2761"/>
        <v>#REF!</v>
      </c>
      <c r="EG612" s="735" t="e">
        <f t="shared" si="2761"/>
        <v>#REF!</v>
      </c>
      <c r="EH612" s="735" t="e">
        <f t="shared" si="2761"/>
        <v>#REF!</v>
      </c>
      <c r="EI612" s="1119" t="e">
        <f t="shared" si="2761"/>
        <v>#REF!</v>
      </c>
      <c r="EJ612" s="735" t="e">
        <f t="shared" si="2761"/>
        <v>#REF!</v>
      </c>
      <c r="EK612" s="735" t="e">
        <f t="shared" si="2761"/>
        <v>#REF!</v>
      </c>
      <c r="EL612" s="735" t="e">
        <f t="shared" si="2761"/>
        <v>#REF!</v>
      </c>
      <c r="EM612" s="735">
        <f t="shared" si="2761"/>
        <v>6.3107323562316964E-3</v>
      </c>
      <c r="EN612" s="1119" t="e">
        <f t="shared" si="2761"/>
        <v>#REF!</v>
      </c>
      <c r="EO612" s="1119"/>
      <c r="EP612" s="1119"/>
      <c r="EQ612" s="1119"/>
      <c r="ER612" s="1119"/>
      <c r="ES612" s="735">
        <f>ES611/EN611-1</f>
        <v>1.2885591709297595E-2</v>
      </c>
      <c r="ET612" s="735"/>
      <c r="EU612" s="735"/>
      <c r="EV612" s="735"/>
      <c r="EW612" s="735"/>
      <c r="EX612" s="735">
        <f>EX611/ES611-1</f>
        <v>-2.4635580426357606E-3</v>
      </c>
      <c r="EY612" s="735"/>
      <c r="EZ612" s="735"/>
      <c r="FA612" s="735"/>
      <c r="FB612" s="735"/>
      <c r="FC612" s="735">
        <f>FC611/EX611-1</f>
        <v>-2.9006251844025166E-2</v>
      </c>
      <c r="FD612" s="735"/>
      <c r="FE612" s="735"/>
      <c r="FF612" s="735"/>
      <c r="FG612" s="735"/>
      <c r="FH612" s="735">
        <f>FH611/FC611-1</f>
        <v>-5.0950645261585992E-2</v>
      </c>
      <c r="FI612" s="735">
        <f t="shared" ref="FI612:FM612" si="2762">FI611/FH611-1</f>
        <v>-6.0964551361379904E-2</v>
      </c>
      <c r="FJ612" s="735">
        <f t="shared" si="2762"/>
        <v>-6.3838141896713885E-2</v>
      </c>
      <c r="FK612" s="735">
        <f t="shared" si="2762"/>
        <v>-6.3886030065294475E-2</v>
      </c>
      <c r="FL612" s="735">
        <f t="shared" si="2762"/>
        <v>-6.3070549707613943E-2</v>
      </c>
      <c r="FM612" s="735">
        <f t="shared" si="2762"/>
        <v>-6.1709419642859031E-2</v>
      </c>
    </row>
    <row r="613" spans="1:170" hidden="1" outlineLevel="1" x14ac:dyDescent="0.3">
      <c r="A613" s="1011" t="s">
        <v>525</v>
      </c>
      <c r="B613" s="705"/>
      <c r="C613" s="705"/>
      <c r="D613" s="705"/>
      <c r="E613" s="705"/>
      <c r="F613" s="705"/>
      <c r="G613" s="705"/>
      <c r="H613" s="705"/>
      <c r="I613" s="705"/>
      <c r="J613" s="705"/>
      <c r="K613" s="705"/>
      <c r="L613" s="705"/>
      <c r="M613" s="705"/>
      <c r="N613" s="705"/>
      <c r="O613" s="705"/>
      <c r="P613" s="705"/>
      <c r="Q613" s="705"/>
      <c r="R613" s="705"/>
      <c r="S613" s="705"/>
      <c r="T613" s="705"/>
      <c r="U613" s="705"/>
      <c r="V613" s="705"/>
      <c r="W613" s="705"/>
      <c r="X613" s="705"/>
      <c r="Y613" s="705"/>
      <c r="Z613" s="705"/>
      <c r="AA613" s="705"/>
      <c r="AB613" s="705"/>
      <c r="AC613" s="705"/>
      <c r="AD613" s="705"/>
      <c r="AE613" s="705"/>
      <c r="AF613" s="705"/>
      <c r="AG613" s="705"/>
      <c r="AH613" s="705"/>
      <c r="AI613" s="705"/>
      <c r="AJ613" s="705"/>
      <c r="AK613" s="705"/>
      <c r="AL613" s="705"/>
      <c r="AM613" s="705"/>
      <c r="AN613" s="705"/>
      <c r="AO613" s="705"/>
      <c r="AP613" s="705"/>
      <c r="AQ613" s="705"/>
      <c r="AR613" s="705"/>
      <c r="AS613" s="705"/>
      <c r="AT613" s="705"/>
      <c r="AU613" s="705"/>
      <c r="AV613" s="705"/>
      <c r="AW613" s="705"/>
      <c r="AX613" s="705"/>
      <c r="AY613" s="705"/>
      <c r="AZ613" s="705"/>
      <c r="BA613" s="705"/>
      <c r="BB613" s="705"/>
      <c r="BC613" s="705"/>
      <c r="BD613" s="705"/>
      <c r="BE613" s="705"/>
      <c r="BF613" s="705"/>
      <c r="BG613" s="705"/>
      <c r="BH613" s="705"/>
      <c r="BI613" s="705"/>
      <c r="BJ613" s="705"/>
      <c r="BK613" s="705"/>
      <c r="BL613" s="705"/>
      <c r="BM613" s="705"/>
      <c r="BN613" s="705"/>
      <c r="BO613" s="705"/>
      <c r="BP613" s="705"/>
      <c r="BQ613" s="705"/>
      <c r="BR613" s="705"/>
      <c r="BS613" s="705"/>
      <c r="BT613" s="705"/>
      <c r="BU613" s="705"/>
      <c r="BV613" s="705"/>
      <c r="BW613" s="705"/>
      <c r="BX613" s="705"/>
      <c r="BY613" s="705"/>
      <c r="BZ613" s="705"/>
      <c r="CA613" s="705"/>
      <c r="CB613" s="705"/>
      <c r="CC613" s="705"/>
      <c r="CD613" s="705"/>
      <c r="CE613" s="705"/>
      <c r="CF613" s="705"/>
      <c r="CG613" s="705"/>
      <c r="CH613" s="705"/>
      <c r="CI613" s="705"/>
      <c r="CJ613" s="705"/>
      <c r="CK613" s="705"/>
      <c r="CL613" s="705"/>
      <c r="CM613" s="705"/>
      <c r="CN613" s="705"/>
      <c r="CO613" s="705"/>
      <c r="CP613" s="705"/>
      <c r="CQ613" s="705"/>
      <c r="CR613" s="705"/>
      <c r="CS613" s="705"/>
      <c r="CT613" s="705"/>
      <c r="CU613" s="705"/>
      <c r="CV613" s="705"/>
      <c r="CW613" s="705"/>
      <c r="CX613" s="705"/>
      <c r="CY613" s="705"/>
      <c r="CZ613" s="705"/>
      <c r="DA613" s="705"/>
      <c r="DB613" s="705"/>
      <c r="DC613" s="705"/>
      <c r="DD613" s="705"/>
      <c r="DE613" s="705"/>
      <c r="DF613" s="705"/>
      <c r="DG613" s="705"/>
      <c r="DH613" s="705"/>
      <c r="DI613" s="705"/>
      <c r="DJ613" s="705"/>
      <c r="DK613" s="705"/>
      <c r="DL613" s="705"/>
      <c r="DM613" s="705"/>
      <c r="DN613" s="705"/>
      <c r="DO613" s="705"/>
      <c r="DP613" s="705"/>
      <c r="DQ613" s="705"/>
      <c r="DR613" s="705"/>
      <c r="DS613" s="705"/>
      <c r="DT613" s="705"/>
      <c r="DU613" s="705"/>
      <c r="DV613" s="705"/>
      <c r="DW613" s="705"/>
      <c r="DX613" s="705"/>
      <c r="DY613" s="760"/>
      <c r="DZ613" s="1189">
        <f>DZ342/DZ318*1000/3</f>
        <v>774.88787696231509</v>
      </c>
      <c r="EA613" s="1189">
        <f>EA342/EA318*1000/3</f>
        <v>770.13859632479796</v>
      </c>
      <c r="EB613" s="1189">
        <f>EB342/EB318*1000/3</f>
        <v>778.98006826225958</v>
      </c>
      <c r="EC613" s="1189">
        <f>EC342/EC318*1000/3</f>
        <v>777.38116671354749</v>
      </c>
      <c r="ED613" s="1145">
        <f>ED342/ED318*1000/12</f>
        <v>775.28267279531576</v>
      </c>
      <c r="EE613" s="1189">
        <f>EE342/EE318*1000/3</f>
        <v>803.34572596840144</v>
      </c>
      <c r="EF613" s="1189">
        <f>EF342/EF318*1000/3</f>
        <v>791.55116716122666</v>
      </c>
      <c r="EG613" s="1189">
        <f>EG342/EG318*1000/3</f>
        <v>785.29444444444437</v>
      </c>
      <c r="EH613" s="1144">
        <f>+EC613*(1+EH614)</f>
        <v>783.68258227418607</v>
      </c>
      <c r="EI613" s="1145">
        <f>EI342/EI318*1000/12</f>
        <v>793.3556232031118</v>
      </c>
      <c r="EJ613" s="1144">
        <f>+EE613*(1+EJ614)</f>
        <v>827.44609774745345</v>
      </c>
      <c r="EK613" s="1144">
        <f>+EF613*(1+EK614)</f>
        <v>846.95974886251258</v>
      </c>
      <c r="EL613" s="1144">
        <f>+EG613*(1+EL614)</f>
        <v>855.9709444444444</v>
      </c>
      <c r="EM613" s="1144">
        <f>+EH613*(1+EM614)</f>
        <v>854.2140146788629</v>
      </c>
      <c r="EN613" s="1145">
        <f>EN342/EN318*1000/12</f>
        <v>808.78519491525412</v>
      </c>
      <c r="EO613" s="1145"/>
      <c r="EP613" s="1145"/>
      <c r="EQ613" s="1145"/>
      <c r="ER613" s="1145"/>
      <c r="ES613" s="1144">
        <f>+EN613*(1+ES614)</f>
        <v>824.51484855315243</v>
      </c>
      <c r="ET613" s="1144"/>
      <c r="EU613" s="1144"/>
      <c r="EV613" s="1144"/>
      <c r="EW613" s="1144"/>
      <c r="EX613" s="1144">
        <f>+ES613*(1+EX614)</f>
        <v>840.55042025820103</v>
      </c>
      <c r="EY613" s="1144"/>
      <c r="EZ613" s="1144"/>
      <c r="FA613" s="1144"/>
      <c r="FB613" s="1144"/>
      <c r="FC613" s="1144">
        <f>+EX613*(1+FC614)</f>
        <v>856.89785967595242</v>
      </c>
      <c r="FD613" s="1144"/>
      <c r="FE613" s="1144"/>
      <c r="FF613" s="1144"/>
      <c r="FG613" s="1144"/>
      <c r="FH613" s="1144">
        <f>+FC613*(1+FH614)</f>
        <v>873.56323216360215</v>
      </c>
      <c r="FI613" s="1144">
        <f t="shared" ref="FI613:FM613" si="2763">+FH613*(1+FI614)</f>
        <v>889.7032465965658</v>
      </c>
      <c r="FJ613" s="1144">
        <f t="shared" si="2763"/>
        <v>905.31955412507716</v>
      </c>
      <c r="FK613" s="1144">
        <f t="shared" si="2763"/>
        <v>920.41544277303956</v>
      </c>
      <c r="FL613" s="1144">
        <f t="shared" si="2763"/>
        <v>934.99566974607239</v>
      </c>
      <c r="FM613" s="1144">
        <f t="shared" si="2763"/>
        <v>949.06630136270087</v>
      </c>
      <c r="FN613" s="1068"/>
    </row>
    <row r="614" spans="1:170" hidden="1" outlineLevel="1" x14ac:dyDescent="0.3">
      <c r="A614" s="1117" t="s">
        <v>363</v>
      </c>
      <c r="B614" s="705"/>
      <c r="C614" s="705"/>
      <c r="D614" s="705"/>
      <c r="E614" s="705"/>
      <c r="F614" s="705"/>
      <c r="G614" s="705"/>
      <c r="H614" s="705"/>
      <c r="I614" s="705"/>
      <c r="J614" s="705"/>
      <c r="K614" s="705"/>
      <c r="L614" s="705"/>
      <c r="M614" s="705"/>
      <c r="N614" s="705"/>
      <c r="O614" s="705"/>
      <c r="P614" s="705"/>
      <c r="Q614" s="705"/>
      <c r="R614" s="705"/>
      <c r="S614" s="705"/>
      <c r="T614" s="705"/>
      <c r="U614" s="705"/>
      <c r="V614" s="705"/>
      <c r="W614" s="705"/>
      <c r="X614" s="705"/>
      <c r="Y614" s="705"/>
      <c r="Z614" s="705"/>
      <c r="AA614" s="705"/>
      <c r="AB614" s="705"/>
      <c r="AC614" s="705"/>
      <c r="AD614" s="705"/>
      <c r="AE614" s="705"/>
      <c r="AF614" s="705"/>
      <c r="AG614" s="705"/>
      <c r="AH614" s="705"/>
      <c r="AI614" s="705"/>
      <c r="AJ614" s="705"/>
      <c r="AK614" s="705"/>
      <c r="AL614" s="705"/>
      <c r="AM614" s="705"/>
      <c r="AN614" s="705"/>
      <c r="AO614" s="705"/>
      <c r="AP614" s="705"/>
      <c r="AQ614" s="705"/>
      <c r="AR614" s="705"/>
      <c r="AS614" s="705"/>
      <c r="AT614" s="705"/>
      <c r="AU614" s="705"/>
      <c r="AV614" s="705"/>
      <c r="AW614" s="705"/>
      <c r="AX614" s="705"/>
      <c r="AY614" s="705"/>
      <c r="AZ614" s="705"/>
      <c r="BA614" s="705"/>
      <c r="BB614" s="705"/>
      <c r="BC614" s="705"/>
      <c r="BD614" s="705"/>
      <c r="BE614" s="705"/>
      <c r="BF614" s="705"/>
      <c r="BG614" s="705"/>
      <c r="BH614" s="705"/>
      <c r="BI614" s="705"/>
      <c r="BJ614" s="705"/>
      <c r="BK614" s="705"/>
      <c r="BL614" s="705"/>
      <c r="BM614" s="705"/>
      <c r="BN614" s="705"/>
      <c r="BO614" s="705"/>
      <c r="BP614" s="705"/>
      <c r="BQ614" s="705"/>
      <c r="BR614" s="705"/>
      <c r="BS614" s="705"/>
      <c r="BT614" s="705"/>
      <c r="BU614" s="705"/>
      <c r="BV614" s="705"/>
      <c r="BW614" s="705"/>
      <c r="BX614" s="705"/>
      <c r="BY614" s="705"/>
      <c r="BZ614" s="705"/>
      <c r="CA614" s="705"/>
      <c r="CB614" s="705"/>
      <c r="CC614" s="705"/>
      <c r="CD614" s="705"/>
      <c r="CE614" s="705"/>
      <c r="CF614" s="705"/>
      <c r="CG614" s="705"/>
      <c r="CH614" s="705"/>
      <c r="CI614" s="705"/>
      <c r="CJ614" s="705"/>
      <c r="CK614" s="705"/>
      <c r="CL614" s="705"/>
      <c r="CM614" s="705"/>
      <c r="CN614" s="705"/>
      <c r="CO614" s="705"/>
      <c r="CP614" s="705"/>
      <c r="CQ614" s="705"/>
      <c r="CR614" s="705"/>
      <c r="CS614" s="705"/>
      <c r="CT614" s="705"/>
      <c r="CU614" s="705"/>
      <c r="CV614" s="705"/>
      <c r="CW614" s="705"/>
      <c r="CX614" s="705"/>
      <c r="CY614" s="705"/>
      <c r="CZ614" s="705"/>
      <c r="DA614" s="705"/>
      <c r="DB614" s="705"/>
      <c r="DC614" s="705"/>
      <c r="DD614" s="705"/>
      <c r="DE614" s="705"/>
      <c r="DF614" s="705"/>
      <c r="DG614" s="705"/>
      <c r="DH614" s="705"/>
      <c r="DI614" s="705"/>
      <c r="DJ614" s="705"/>
      <c r="DK614" s="705"/>
      <c r="DL614" s="705"/>
      <c r="DM614" s="705"/>
      <c r="DN614" s="705"/>
      <c r="DO614" s="705"/>
      <c r="DP614" s="705"/>
      <c r="DQ614" s="705"/>
      <c r="DR614" s="705"/>
      <c r="DS614" s="705"/>
      <c r="DT614" s="705"/>
      <c r="DU614" s="705"/>
      <c r="DV614" s="705"/>
      <c r="DW614" s="705"/>
      <c r="DX614" s="705"/>
      <c r="DY614" s="760"/>
      <c r="DZ614" s="705"/>
      <c r="EA614" s="705"/>
      <c r="EB614" s="705"/>
      <c r="EC614" s="705"/>
      <c r="ED614" s="731"/>
      <c r="EE614" s="735">
        <f>+EE613/DZ613-1</f>
        <v>3.6725118371506493E-2</v>
      </c>
      <c r="EF614" s="735">
        <f>+EF613/EA613-1</f>
        <v>2.780352905128014E-2</v>
      </c>
      <c r="EG614" s="735">
        <f>+EG613/EB613-1</f>
        <v>8.1059534633163288E-3</v>
      </c>
      <c r="EH614" s="1118">
        <f>EG614</f>
        <v>8.1059534633163288E-3</v>
      </c>
      <c r="EI614" s="1119">
        <f>+EI613/ED613-1</f>
        <v>2.3311433419030525E-2</v>
      </c>
      <c r="EJ614" s="1118">
        <v>0.03</v>
      </c>
      <c r="EK614" s="1118">
        <v>7.0000000000000007E-2</v>
      </c>
      <c r="EL614" s="1118">
        <v>0.09</v>
      </c>
      <c r="EM614" s="1118">
        <v>0.09</v>
      </c>
      <c r="EN614" s="1119">
        <f>+EN613/EI613-1</f>
        <v>1.9448493539185652E-2</v>
      </c>
      <c r="EO614" s="1119"/>
      <c r="EP614" s="1119"/>
      <c r="EQ614" s="1119"/>
      <c r="ER614" s="1119"/>
      <c r="ES614" s="1118">
        <f>EN614</f>
        <v>1.9448493539185652E-2</v>
      </c>
      <c r="ET614" s="1118"/>
      <c r="EU614" s="1118"/>
      <c r="EV614" s="1118"/>
      <c r="EW614" s="1118"/>
      <c r="EX614" s="1118">
        <f>ES614</f>
        <v>1.9448493539185652E-2</v>
      </c>
      <c r="EY614" s="1118"/>
      <c r="EZ614" s="1118"/>
      <c r="FA614" s="1118"/>
      <c r="FB614" s="1118"/>
      <c r="FC614" s="1118">
        <f>EX614</f>
        <v>1.9448493539185652E-2</v>
      </c>
      <c r="FD614" s="1118"/>
      <c r="FE614" s="1118"/>
      <c r="FF614" s="1118"/>
      <c r="FG614" s="1118"/>
      <c r="FH614" s="1118">
        <f>FC614</f>
        <v>1.9448493539185652E-2</v>
      </c>
      <c r="FI614" s="1118">
        <f>FH614*0.95</f>
        <v>1.8476068862226368E-2</v>
      </c>
      <c r="FJ614" s="1118">
        <f>FI614*0.95</f>
        <v>1.7552265419115049E-2</v>
      </c>
      <c r="FK614" s="1118">
        <f>FJ614*0.95</f>
        <v>1.6674652148159295E-2</v>
      </c>
      <c r="FL614" s="1118">
        <f>FK614*0.95</f>
        <v>1.5840919540751331E-2</v>
      </c>
      <c r="FM614" s="1118">
        <f>FL614*0.95</f>
        <v>1.5048873563713764E-2</v>
      </c>
    </row>
    <row r="615" spans="1:170" hidden="1" collapsed="1" x14ac:dyDescent="0.3">
      <c r="A615" s="1"/>
    </row>
    <row r="616" spans="1:170" hidden="1" outlineLevel="1" x14ac:dyDescent="0.3"/>
    <row r="617" spans="1:170" hidden="1" outlineLevel="1" x14ac:dyDescent="0.3">
      <c r="A617" s="55" t="s">
        <v>526</v>
      </c>
      <c r="DY617" s="1203"/>
      <c r="DZ617" s="108"/>
      <c r="EA617" s="108"/>
      <c r="EB617" s="108"/>
      <c r="EC617" s="108"/>
      <c r="ED617" s="85"/>
      <c r="EE617" s="76"/>
      <c r="EF617" s="108"/>
      <c r="EG617" s="108"/>
      <c r="EH617" s="108"/>
      <c r="EI617" s="85"/>
      <c r="EJ617" s="108"/>
      <c r="EK617" s="108"/>
      <c r="EL617" s="108"/>
      <c r="EM617" s="108"/>
      <c r="EN617" s="85"/>
      <c r="EO617" s="85"/>
      <c r="EP617" s="85"/>
      <c r="EQ617" s="85"/>
      <c r="ER617" s="85"/>
      <c r="ES617" s="76"/>
      <c r="ET617" s="76"/>
      <c r="EU617" s="76"/>
      <c r="EV617" s="76"/>
      <c r="EW617" s="76"/>
      <c r="EX617" s="76"/>
      <c r="EY617" s="76"/>
      <c r="EZ617" s="76"/>
      <c r="FA617" s="76"/>
      <c r="FB617" s="76"/>
      <c r="FC617" s="76"/>
      <c r="FD617" s="76"/>
      <c r="FE617" s="76"/>
      <c r="FF617" s="76"/>
      <c r="FG617" s="76"/>
      <c r="FH617" s="76"/>
      <c r="FI617" s="76"/>
      <c r="FJ617" s="76"/>
      <c r="FK617" s="76"/>
      <c r="FL617" s="76"/>
      <c r="FM617" s="76"/>
    </row>
    <row r="618" spans="1:170" hidden="1" outlineLevel="1" x14ac:dyDescent="0.3">
      <c r="A618" s="56" t="s">
        <v>368</v>
      </c>
      <c r="DU618" s="76">
        <f>+DU186*DU180*3/1000</f>
        <v>210.08420999999996</v>
      </c>
      <c r="DV618" s="76">
        <f>+DV186*DV180*3/1000</f>
        <v>204.85115999999999</v>
      </c>
      <c r="DW618" s="76">
        <f>+DW186*DW180*3/1000</f>
        <v>203.10110999999998</v>
      </c>
      <c r="DX618" s="76">
        <f>+DX186*DX180*3/1000</f>
        <v>204.59420999999998</v>
      </c>
      <c r="DY618" s="85">
        <f>+SUM(DU618:DX618)</f>
        <v>822.63068999999984</v>
      </c>
      <c r="DZ618" s="76">
        <f>+DZ186*DZ180*3/1000</f>
        <v>206.184</v>
      </c>
      <c r="EA618" s="76">
        <f>+EA186*EA180*3/1000</f>
        <v>208.15644</v>
      </c>
      <c r="EB618" s="76">
        <f>+EB186*EB180*3/1000</f>
        <v>211.77923999999999</v>
      </c>
      <c r="EC618" s="76">
        <f>+EC186*EC180*3/1000</f>
        <v>220.99385999999998</v>
      </c>
      <c r="ED618" s="85">
        <f>+SUM(DZ618:EC618)</f>
        <v>847.11354000000006</v>
      </c>
      <c r="EE618" s="76">
        <f>+EE186*EE180*3/1000</f>
        <v>226.73545500000003</v>
      </c>
      <c r="EF618" s="76">
        <f>+EF186*EF180*3/1000</f>
        <v>237.95009999999996</v>
      </c>
      <c r="EG618" s="76">
        <f>+EG186*EG180*3/1000</f>
        <v>242.78887499999999</v>
      </c>
      <c r="EH618" s="76">
        <f>+EH186*EH180*3/1000</f>
        <v>245.23182</v>
      </c>
      <c r="EI618" s="85">
        <f t="shared" ref="EI618:EI637" si="2764">+SUM(EE618:EH618)</f>
        <v>952.70624999999995</v>
      </c>
      <c r="EJ618" s="76">
        <f>+EJ186*EJ180*3/1000</f>
        <v>253.74059999999997</v>
      </c>
      <c r="EK618" s="76">
        <f>+EK186*EK180*3/1000</f>
        <v>268.54065000000003</v>
      </c>
      <c r="EL618" s="76">
        <f>+EL186*EL180*3/1000</f>
        <v>277.69769999999994</v>
      </c>
      <c r="EM618" s="76">
        <f>+EM186*EM180*3/1000</f>
        <v>282.46860000000004</v>
      </c>
      <c r="EN618" s="85">
        <f>+SUM(EJ618:EM618)</f>
        <v>1082.4475499999999</v>
      </c>
      <c r="EO618" s="85"/>
      <c r="EP618" s="85"/>
      <c r="EQ618" s="85"/>
      <c r="ER618" s="85"/>
      <c r="ES618" s="76">
        <f>+ES186*ES180*12/1000</f>
        <v>1312.2509849999999</v>
      </c>
      <c r="ET618" s="76"/>
      <c r="EU618" s="76"/>
      <c r="EV618" s="76"/>
      <c r="EW618" s="76"/>
      <c r="EX618" s="76">
        <f>+EX186*EX180*12/1000</f>
        <v>1630.6617372196936</v>
      </c>
      <c r="EY618" s="76"/>
      <c r="EZ618" s="76"/>
      <c r="FA618" s="76"/>
      <c r="FB618" s="76"/>
      <c r="FC618" s="76">
        <f>+FC186*FC180*12/1000</f>
        <v>2016.5281660801224</v>
      </c>
      <c r="FD618" s="76"/>
      <c r="FE618" s="76"/>
      <c r="FF618" s="76"/>
      <c r="FG618" s="76"/>
      <c r="FH618" s="76">
        <f t="shared" ref="FH618:FM618" si="2765">+FH186*FH180*12/1000</f>
        <v>2467.0493747723663</v>
      </c>
      <c r="FI618" s="76">
        <f t="shared" si="2765"/>
        <v>2922.9673284861683</v>
      </c>
      <c r="FJ618" s="76">
        <f t="shared" si="2765"/>
        <v>3351.4117290892291</v>
      </c>
      <c r="FK618" s="76">
        <f t="shared" si="2765"/>
        <v>3732.2261468121219</v>
      </c>
      <c r="FL618" s="76">
        <f t="shared" si="2765"/>
        <v>4064.1937607256573</v>
      </c>
      <c r="FM618" s="76">
        <f t="shared" si="2765"/>
        <v>4348.633380441991</v>
      </c>
      <c r="FN618" s="189">
        <f>+(FJ618/ES618)^0.2-1</f>
        <v>0.2062634687278373</v>
      </c>
    </row>
    <row r="619" spans="1:170" hidden="1" outlineLevel="1" x14ac:dyDescent="0.3">
      <c r="A619" s="56" t="s">
        <v>527</v>
      </c>
      <c r="DU619" s="104">
        <f>+DU323*DU599*3/1000</f>
        <v>186.71995500000003</v>
      </c>
      <c r="DV619" s="104">
        <f>+DV323*DV599*3/1000</f>
        <v>186.11376000000001</v>
      </c>
      <c r="DW619" s="104">
        <f>+DW323*DW599*3/1000</f>
        <v>183.25274999999999</v>
      </c>
      <c r="DX619" s="104">
        <f>+DX323*DX599*3/1000</f>
        <v>179.26423499999999</v>
      </c>
      <c r="DY619" s="100">
        <f>+SUM(DU619:DX619)</f>
        <v>735.35070000000007</v>
      </c>
      <c r="DZ619" s="104">
        <f>+DZ323*DZ599*3/1000</f>
        <v>176.59522499999997</v>
      </c>
      <c r="EA619" s="104">
        <f>+EA323*EA599*3/1000</f>
        <v>177.36390000000003</v>
      </c>
      <c r="EB619" s="104">
        <f>+EB323*EB599*3/1000</f>
        <v>175.93367999999998</v>
      </c>
      <c r="EC619" s="104">
        <f>+EC323*EC599*3/1000</f>
        <v>174.48795000000001</v>
      </c>
      <c r="ED619" s="100">
        <f>+SUM(DZ619:EC619)</f>
        <v>704.38075499999991</v>
      </c>
      <c r="EE619" s="104">
        <f>+EE323*EE599*3/1000</f>
        <v>173.52521999999999</v>
      </c>
      <c r="EF619" s="104">
        <f>+EF323*EF599*3/1000</f>
        <v>176.33279999999999</v>
      </c>
      <c r="EG619" s="104">
        <f>+EG323*EG599*3/1000</f>
        <v>174.55776</v>
      </c>
      <c r="EH619" s="104">
        <f>+EH323*EH599*3/1000</f>
        <v>169.85151000000002</v>
      </c>
      <c r="EI619" s="100">
        <f t="shared" si="2764"/>
        <v>694.26729</v>
      </c>
      <c r="EJ619" s="104">
        <f>+EJ323*EJ599*3/1000</f>
        <v>167.19804000000002</v>
      </c>
      <c r="EK619" s="104">
        <f>+EK323*EK599*3/1000</f>
        <v>172.09273499999998</v>
      </c>
      <c r="EL619" s="104">
        <f>+EL323*EL599*3/1000</f>
        <v>168.9093</v>
      </c>
      <c r="EM619" s="104">
        <f>+EM323*EM599*3/1000</f>
        <v>156.91140000000001</v>
      </c>
      <c r="EN619" s="100">
        <f>+SUM(EJ619:EM619)</f>
        <v>665.11147499999993</v>
      </c>
      <c r="EO619" s="100"/>
      <c r="EP619" s="100"/>
      <c r="EQ619" s="100"/>
      <c r="ER619" s="100"/>
      <c r="ES619" s="104">
        <f>+ES323*ES599*12/1000</f>
        <v>584.80264438466702</v>
      </c>
      <c r="ET619" s="104"/>
      <c r="EU619" s="104"/>
      <c r="EV619" s="104"/>
      <c r="EW619" s="104"/>
      <c r="EX619" s="104">
        <f>+EX323*EX599*12/1000</f>
        <v>493.76675477963681</v>
      </c>
      <c r="EY619" s="104"/>
      <c r="EZ619" s="104"/>
      <c r="FA619" s="104"/>
      <c r="FB619" s="104"/>
      <c r="FC619" s="104">
        <f>+FC323*FC599*12/1000</f>
        <v>407.63387671643306</v>
      </c>
      <c r="FD619" s="104"/>
      <c r="FE619" s="104"/>
      <c r="FF619" s="104"/>
      <c r="FG619" s="104"/>
      <c r="FH619" s="104">
        <f t="shared" ref="FH619:FM619" si="2766">+FH323*FH599*12/1000</f>
        <v>330.71108888420497</v>
      </c>
      <c r="FI619" s="104">
        <f t="shared" si="2766"/>
        <v>261.1120876261196</v>
      </c>
      <c r="FJ619" s="104">
        <f t="shared" si="2766"/>
        <v>201.17088019944455</v>
      </c>
      <c r="FK619" s="104">
        <f t="shared" si="2766"/>
        <v>154.50315946321399</v>
      </c>
      <c r="FL619" s="104">
        <f t="shared" si="2766"/>
        <v>118.30634204634859</v>
      </c>
      <c r="FM619" s="104">
        <f t="shared" si="2766"/>
        <v>90.33136163585894</v>
      </c>
      <c r="FN619" s="189">
        <f>+(FJ619/ES619)^0.2-1</f>
        <v>-0.19218640524020236</v>
      </c>
    </row>
    <row r="620" spans="1:170" s="90" customFormat="1" hidden="1" outlineLevel="1" x14ac:dyDescent="0.3">
      <c r="A620" s="4" t="s">
        <v>528</v>
      </c>
      <c r="DU620" s="475">
        <f>+DU618+DU619</f>
        <v>396.80416500000001</v>
      </c>
      <c r="DV620" s="475">
        <f>+DV618+DV619</f>
        <v>390.96492000000001</v>
      </c>
      <c r="DW620" s="475">
        <f>+DW618+DW619</f>
        <v>386.35385999999994</v>
      </c>
      <c r="DX620" s="475">
        <f>+DX618+DX619</f>
        <v>383.85844499999996</v>
      </c>
      <c r="DY620" s="85">
        <f>+SUM(DU620:DX620)</f>
        <v>1557.9813899999999</v>
      </c>
      <c r="DZ620" s="475">
        <f>+DZ618+DZ619</f>
        <v>382.779225</v>
      </c>
      <c r="EA620" s="475">
        <f>+EA618+EA619</f>
        <v>385.52034000000003</v>
      </c>
      <c r="EB620" s="475">
        <f>+EB618+EB619</f>
        <v>387.71291999999994</v>
      </c>
      <c r="EC620" s="85">
        <f>+SUM(EC618:EC619)</f>
        <v>395.48181</v>
      </c>
      <c r="ED620" s="85">
        <f>+SUM(DZ620:EC620)</f>
        <v>1551.494295</v>
      </c>
      <c r="EE620" s="85">
        <f>+SUM(EE618:EE619)</f>
        <v>400.26067499999999</v>
      </c>
      <c r="EF620" s="85">
        <f>+SUM(EF618:EF619)</f>
        <v>414.28289999999993</v>
      </c>
      <c r="EG620" s="85">
        <f>+SUM(EG618:EG619)</f>
        <v>417.34663499999999</v>
      </c>
      <c r="EH620" s="85">
        <f>+SUM(EH618:EH619)</f>
        <v>415.08333000000005</v>
      </c>
      <c r="EI620" s="85">
        <f t="shared" si="2764"/>
        <v>1646.97354</v>
      </c>
      <c r="EJ620" s="85">
        <f>+SUM(EJ618:EJ619)</f>
        <v>420.93863999999996</v>
      </c>
      <c r="EK620" s="85">
        <f>+SUM(EK618:EK619)</f>
        <v>440.63338499999998</v>
      </c>
      <c r="EL620" s="85">
        <f>+SUM(EL618:EL619)</f>
        <v>446.60699999999997</v>
      </c>
      <c r="EM620" s="85">
        <f>+SUM(EM618:EM619)</f>
        <v>439.38000000000005</v>
      </c>
      <c r="EN620" s="85">
        <f>+SUM(EJ620:EM620)</f>
        <v>1747.559025</v>
      </c>
      <c r="EO620" s="85"/>
      <c r="EP620" s="85"/>
      <c r="EQ620" s="85"/>
      <c r="ER620" s="85"/>
      <c r="ES620" s="85">
        <f>+SUM(ES618:ES619)</f>
        <v>1897.0536293846669</v>
      </c>
      <c r="ET620" s="85"/>
      <c r="EU620" s="85"/>
      <c r="EV620" s="85"/>
      <c r="EW620" s="85"/>
      <c r="EX620" s="85">
        <f>+SUM(EX618:EX619)</f>
        <v>2124.4284919993306</v>
      </c>
      <c r="EY620" s="85"/>
      <c r="EZ620" s="85"/>
      <c r="FA620" s="85"/>
      <c r="FB620" s="85"/>
      <c r="FC620" s="85">
        <f>+SUM(FC618:FC619)</f>
        <v>2424.1620427965554</v>
      </c>
      <c r="FD620" s="85"/>
      <c r="FE620" s="85"/>
      <c r="FF620" s="85"/>
      <c r="FG620" s="85"/>
      <c r="FH620" s="85">
        <f t="shared" ref="FH620:FM620" si="2767">+SUM(FH618:FH619)</f>
        <v>2797.7604636565711</v>
      </c>
      <c r="FI620" s="85">
        <f t="shared" si="2767"/>
        <v>3184.0794161122881</v>
      </c>
      <c r="FJ620" s="85">
        <f t="shared" si="2767"/>
        <v>3552.5826092886737</v>
      </c>
      <c r="FK620" s="85">
        <f t="shared" si="2767"/>
        <v>3886.7293062753361</v>
      </c>
      <c r="FL620" s="85">
        <f t="shared" si="2767"/>
        <v>4182.5001027720054</v>
      </c>
      <c r="FM620" s="85">
        <f t="shared" si="2767"/>
        <v>4438.9647420778501</v>
      </c>
      <c r="FN620" s="717">
        <f>+(FJ620/ES620)^0.2-1</f>
        <v>0.13368634425190962</v>
      </c>
    </row>
    <row r="621" spans="1:170" hidden="1" outlineLevel="1" x14ac:dyDescent="0.3">
      <c r="A621" s="1"/>
      <c r="DU621" s="365"/>
      <c r="DV621" s="365"/>
      <c r="DW621" s="365"/>
      <c r="DX621" s="365"/>
      <c r="DY621" s="85"/>
      <c r="DZ621" s="365"/>
      <c r="EA621" s="365"/>
      <c r="EB621" s="365"/>
      <c r="EC621" s="76"/>
      <c r="ED621" s="85"/>
      <c r="EE621" s="76"/>
      <c r="EF621" s="76"/>
      <c r="EG621" s="76"/>
      <c r="EH621" s="76"/>
      <c r="EI621" s="85"/>
      <c r="EJ621" s="76"/>
      <c r="EK621" s="76"/>
      <c r="EL621" s="76"/>
      <c r="EM621" s="76"/>
      <c r="EN621" s="85"/>
      <c r="EO621" s="85"/>
      <c r="EP621" s="85"/>
      <c r="EQ621" s="85"/>
      <c r="ER621" s="85"/>
      <c r="ES621" s="76"/>
      <c r="ET621" s="76"/>
      <c r="EU621" s="76"/>
      <c r="EV621" s="76"/>
      <c r="EW621" s="76"/>
      <c r="EX621" s="76"/>
      <c r="EY621" s="76"/>
      <c r="EZ621" s="76"/>
      <c r="FA621" s="76"/>
      <c r="FB621" s="76"/>
      <c r="FC621" s="76"/>
      <c r="FD621" s="76"/>
      <c r="FE621" s="76"/>
      <c r="FF621" s="76"/>
      <c r="FG621" s="76"/>
      <c r="FH621" s="76"/>
      <c r="FI621" s="76"/>
      <c r="FJ621" s="76"/>
      <c r="FK621" s="76"/>
      <c r="FL621" s="76"/>
      <c r="FM621" s="76"/>
      <c r="FN621" s="189"/>
    </row>
    <row r="622" spans="1:170" hidden="1" outlineLevel="1" x14ac:dyDescent="0.3">
      <c r="A622" s="56" t="s">
        <v>369</v>
      </c>
      <c r="DU622" s="76"/>
      <c r="DV622" s="365"/>
      <c r="DW622" s="365"/>
      <c r="DX622" s="365"/>
      <c r="DY622" s="85"/>
      <c r="DZ622" s="76">
        <f>+DZ188*DZ181*3/1000</f>
        <v>159.45551999999998</v>
      </c>
      <c r="EA622" s="76">
        <f>+EA188*EA181*3/1000</f>
        <v>149.04075</v>
      </c>
      <c r="EB622" s="76">
        <f>+EB188*EB181*3/1000</f>
        <v>139.98190499999998</v>
      </c>
      <c r="EC622" s="76">
        <f>+EC188*EC181*3/1000</f>
        <v>132.98186999999999</v>
      </c>
      <c r="ED622" s="85">
        <f>SUM(DZ622:EC622)</f>
        <v>581.46004499999992</v>
      </c>
      <c r="EE622" s="76">
        <f>+EE188*EE181*3/1000</f>
        <v>127.788495</v>
      </c>
      <c r="EF622" s="76">
        <f>+EF188*EF181*3/1000</f>
        <v>123.90603</v>
      </c>
      <c r="EG622" s="76">
        <f>+EG188*EG181*3/1000</f>
        <v>117.43299</v>
      </c>
      <c r="EH622" s="76">
        <f>+EH188*EH181*3/1000</f>
        <v>112.51967999999999</v>
      </c>
      <c r="EI622" s="85">
        <f>SUM(EE622:EH622)</f>
        <v>481.64719500000001</v>
      </c>
      <c r="EJ622" s="76">
        <f>+EJ188*EJ181*3/1000</f>
        <v>109.06092</v>
      </c>
      <c r="EK622" s="76">
        <f>+EK188*EK181*3/1000</f>
        <v>106.66012499999999</v>
      </c>
      <c r="EL622" s="76">
        <f>+EL188*EL181*3/1000</f>
        <v>100.89208499999999</v>
      </c>
      <c r="EM622" s="76">
        <f>+EM188*EM181*3/1000</f>
        <v>96.965700000000012</v>
      </c>
      <c r="EN622" s="85">
        <f>SUM(EJ622:EM622)</f>
        <v>413.57883000000004</v>
      </c>
      <c r="EO622" s="85"/>
      <c r="EP622" s="85"/>
      <c r="EQ622" s="85"/>
      <c r="ER622" s="85"/>
      <c r="ES622" s="76">
        <f>+ES188*ES181*12/1000</f>
        <v>360.44168999999999</v>
      </c>
      <c r="ET622" s="76"/>
      <c r="EU622" s="76"/>
      <c r="EV622" s="76"/>
      <c r="EW622" s="76"/>
      <c r="EX622" s="76">
        <f>+EX188*EX181*12/1000</f>
        <v>293.80868568648651</v>
      </c>
      <c r="EY622" s="76"/>
      <c r="EZ622" s="76"/>
      <c r="FA622" s="76"/>
      <c r="FB622" s="76"/>
      <c r="FC622" s="76">
        <f>+FC188*FC181*12/1000</f>
        <v>239.49378271093067</v>
      </c>
      <c r="FD622" s="76"/>
      <c r="FE622" s="76"/>
      <c r="FF622" s="76"/>
      <c r="FG622" s="76"/>
      <c r="FH622" s="76">
        <f t="shared" ref="FH622:FM622" si="2768">+FH188*FH181*12/1000</f>
        <v>195.21979693409918</v>
      </c>
      <c r="FI622" s="76">
        <f t="shared" si="2768"/>
        <v>158.02410452217848</v>
      </c>
      <c r="FJ622" s="76">
        <f t="shared" si="2768"/>
        <v>125.51247862976741</v>
      </c>
      <c r="FK622" s="76">
        <f t="shared" si="2768"/>
        <v>99.689742520115686</v>
      </c>
      <c r="FL622" s="76">
        <f t="shared" si="2768"/>
        <v>79.179734734120572</v>
      </c>
      <c r="FM622" s="76">
        <f t="shared" si="2768"/>
        <v>62.889423064771542</v>
      </c>
      <c r="FN622" s="189"/>
    </row>
    <row r="623" spans="1:170" hidden="1" outlineLevel="1" x14ac:dyDescent="0.3">
      <c r="A623" s="56" t="s">
        <v>529</v>
      </c>
      <c r="DU623" s="365"/>
      <c r="DV623" s="365"/>
      <c r="DW623" s="365"/>
      <c r="DX623" s="365"/>
      <c r="DY623" s="85"/>
      <c r="DZ623" s="104">
        <f>+DZ325*DZ601*3/1000</f>
        <v>29.7</v>
      </c>
      <c r="EA623" s="104">
        <f>+EA325*EA601*3/1000</f>
        <v>27.879930000000002</v>
      </c>
      <c r="EB623" s="104">
        <f>+EB325*EB601*3/1000</f>
        <v>26.347739999999998</v>
      </c>
      <c r="EC623" s="104">
        <f>+EC325*EC601*3/1000</f>
        <v>24.280559999999998</v>
      </c>
      <c r="ED623" s="100">
        <f>SUM(DZ623:EC623)</f>
        <v>108.20823</v>
      </c>
      <c r="EE623" s="104">
        <f>+EE325*EE601*3/1000</f>
        <v>23.09412</v>
      </c>
      <c r="EF623" s="104">
        <f>+EF325*EF601*3/1000</f>
        <v>21.847559999999998</v>
      </c>
      <c r="EG623" s="104">
        <f>+EG325*EG601*3/1000</f>
        <v>20.880989999999997</v>
      </c>
      <c r="EH623" s="104">
        <f>+EH325*EH601*3/1000</f>
        <v>19.636650000000003</v>
      </c>
      <c r="EI623" s="100">
        <f>SUM(EE623:EH623)</f>
        <v>85.459319999999991</v>
      </c>
      <c r="EJ623" s="104">
        <f>+EJ325*EJ601*3/1000</f>
        <v>18.289619999999999</v>
      </c>
      <c r="EK623" s="104">
        <f>+EK325*EK601*3/1000</f>
        <v>18.084195000000001</v>
      </c>
      <c r="EL623" s="104">
        <f>+EL325*EL601*3/1000</f>
        <v>16.568639999999998</v>
      </c>
      <c r="EM623" s="104">
        <f>+EM325*EM601*3/1000</f>
        <v>14.050125</v>
      </c>
      <c r="EN623" s="100">
        <f>SUM(EJ623:EM623)</f>
        <v>66.99257999999999</v>
      </c>
      <c r="EO623" s="100"/>
      <c r="EP623" s="100"/>
      <c r="EQ623" s="100"/>
      <c r="ER623" s="100"/>
      <c r="ES623" s="104">
        <f>+ES325*ES601*12/1000</f>
        <v>42.900701142857152</v>
      </c>
      <c r="ET623" s="104"/>
      <c r="EU623" s="104"/>
      <c r="EV623" s="104"/>
      <c r="EW623" s="104"/>
      <c r="EX623" s="104">
        <f>+EX325*EX601*12/1000</f>
        <v>24.223606803609862</v>
      </c>
      <c r="EY623" s="104"/>
      <c r="EZ623" s="104"/>
      <c r="FA623" s="104"/>
      <c r="FB623" s="104"/>
      <c r="FC623" s="104">
        <f>+FC325*FC601*12/1000</f>
        <v>13.678715310775871</v>
      </c>
      <c r="FD623" s="104"/>
      <c r="FE623" s="104"/>
      <c r="FF623" s="104"/>
      <c r="FG623" s="104"/>
      <c r="FH623" s="104">
        <f t="shared" ref="FH623:FM623" si="2769">+FH325*FH601*12/1000</f>
        <v>7.7241698179055245</v>
      </c>
      <c r="FI623" s="104">
        <f t="shared" si="2769"/>
        <v>4.0526429685910879</v>
      </c>
      <c r="FJ623" s="104">
        <f t="shared" si="2769"/>
        <v>1.8276343865433788</v>
      </c>
      <c r="FK623" s="104">
        <f t="shared" si="2769"/>
        <v>0.82421458706416462</v>
      </c>
      <c r="FL623" s="104">
        <f t="shared" si="2769"/>
        <v>0.37169889696274194</v>
      </c>
      <c r="FM623" s="104">
        <f t="shared" si="2769"/>
        <v>0.16762633441788785</v>
      </c>
      <c r="FN623" s="189"/>
    </row>
    <row r="624" spans="1:170" s="90" customFormat="1" hidden="1" outlineLevel="1" x14ac:dyDescent="0.3">
      <c r="A624" s="4" t="s">
        <v>530</v>
      </c>
      <c r="DU624" s="475"/>
      <c r="DV624" s="475"/>
      <c r="DW624" s="475"/>
      <c r="DX624" s="475"/>
      <c r="DY624" s="85"/>
      <c r="DZ624" s="85">
        <f t="shared" ref="DZ624:FM624" si="2770">SUM(DZ622:DZ623)</f>
        <v>189.15551999999997</v>
      </c>
      <c r="EA624" s="85">
        <f t="shared" si="2770"/>
        <v>176.92068</v>
      </c>
      <c r="EB624" s="85">
        <f t="shared" si="2770"/>
        <v>166.32964499999997</v>
      </c>
      <c r="EC624" s="85">
        <f t="shared" si="2770"/>
        <v>157.26242999999999</v>
      </c>
      <c r="ED624" s="85">
        <f t="shared" si="2770"/>
        <v>689.66827499999988</v>
      </c>
      <c r="EE624" s="85">
        <f t="shared" si="2770"/>
        <v>150.88261499999999</v>
      </c>
      <c r="EF624" s="85">
        <f t="shared" si="2770"/>
        <v>145.75359</v>
      </c>
      <c r="EG624" s="85">
        <f t="shared" si="2770"/>
        <v>138.31398000000002</v>
      </c>
      <c r="EH624" s="85">
        <f t="shared" si="2770"/>
        <v>132.15633</v>
      </c>
      <c r="EI624" s="85">
        <f t="shared" si="2770"/>
        <v>567.10651499999994</v>
      </c>
      <c r="EJ624" s="85">
        <f>SUM(EJ622:EJ623)</f>
        <v>127.35054</v>
      </c>
      <c r="EK624" s="85">
        <f>SUM(EK622:EK623)</f>
        <v>124.74431999999999</v>
      </c>
      <c r="EL624" s="85">
        <f>SUM(EL622:EL623)</f>
        <v>117.460725</v>
      </c>
      <c r="EM624" s="85">
        <f>SUM(EM622:EM623)</f>
        <v>111.01582500000001</v>
      </c>
      <c r="EN624" s="85">
        <f>SUM(EN622:EN623)</f>
        <v>480.57141000000001</v>
      </c>
      <c r="EO624" s="85"/>
      <c r="EP624" s="85"/>
      <c r="EQ624" s="85"/>
      <c r="ER624" s="85"/>
      <c r="ES624" s="85">
        <f t="shared" si="2770"/>
        <v>403.34239114285714</v>
      </c>
      <c r="ET624" s="85"/>
      <c r="EU624" s="85"/>
      <c r="EV624" s="85"/>
      <c r="EW624" s="85"/>
      <c r="EX624" s="85">
        <f t="shared" si="2770"/>
        <v>318.03229249009638</v>
      </c>
      <c r="EY624" s="85"/>
      <c r="EZ624" s="85"/>
      <c r="FA624" s="85"/>
      <c r="FB624" s="85"/>
      <c r="FC624" s="85">
        <f t="shared" si="2770"/>
        <v>253.17249802170653</v>
      </c>
      <c r="FD624" s="85"/>
      <c r="FE624" s="85"/>
      <c r="FF624" s="85"/>
      <c r="FG624" s="85"/>
      <c r="FH624" s="85">
        <f t="shared" si="2770"/>
        <v>202.94396675200471</v>
      </c>
      <c r="FI624" s="85">
        <f t="shared" si="2770"/>
        <v>162.07674749076958</v>
      </c>
      <c r="FJ624" s="85">
        <f t="shared" si="2770"/>
        <v>127.3401130163108</v>
      </c>
      <c r="FK624" s="85">
        <f t="shared" si="2770"/>
        <v>100.51395710717985</v>
      </c>
      <c r="FL624" s="85">
        <f t="shared" si="2770"/>
        <v>79.551433631083313</v>
      </c>
      <c r="FM624" s="85">
        <f t="shared" si="2770"/>
        <v>63.057049399189431</v>
      </c>
      <c r="FN624" s="717"/>
    </row>
    <row r="625" spans="1:171" hidden="1" outlineLevel="1" x14ac:dyDescent="0.3">
      <c r="A625" s="56"/>
      <c r="DU625" s="365"/>
      <c r="DV625" s="365"/>
      <c r="DW625" s="365"/>
      <c r="DX625" s="365"/>
      <c r="DY625" s="85"/>
      <c r="DZ625" s="76"/>
      <c r="EA625" s="76"/>
      <c r="EB625" s="76"/>
      <c r="EC625" s="76"/>
      <c r="ED625" s="85"/>
      <c r="EE625" s="76"/>
      <c r="EF625" s="76"/>
      <c r="EG625" s="76"/>
      <c r="EH625" s="76"/>
      <c r="EI625" s="85"/>
      <c r="EJ625" s="76"/>
      <c r="EK625" s="76"/>
      <c r="EL625" s="76"/>
      <c r="EM625" s="76"/>
      <c r="EN625" s="85"/>
      <c r="EO625" s="85"/>
      <c r="EP625" s="85"/>
      <c r="EQ625" s="85"/>
      <c r="ER625" s="85"/>
      <c r="ES625" s="76"/>
      <c r="ET625" s="76"/>
      <c r="EU625" s="76"/>
      <c r="EV625" s="76"/>
      <c r="EW625" s="76"/>
      <c r="EX625" s="76"/>
      <c r="EY625" s="76"/>
      <c r="EZ625" s="76"/>
      <c r="FA625" s="76"/>
      <c r="FB625" s="76"/>
      <c r="FC625" s="76"/>
      <c r="FD625" s="76"/>
      <c r="FE625" s="76"/>
      <c r="FF625" s="76"/>
      <c r="FG625" s="76"/>
      <c r="FH625" s="76"/>
      <c r="FI625" s="76"/>
      <c r="FJ625" s="76"/>
      <c r="FK625" s="76"/>
      <c r="FL625" s="76"/>
      <c r="FM625" s="76"/>
      <c r="FN625" s="189"/>
    </row>
    <row r="626" spans="1:171" hidden="1" outlineLevel="1" x14ac:dyDescent="0.3">
      <c r="A626" s="56" t="s">
        <v>531</v>
      </c>
      <c r="DU626" s="76"/>
      <c r="DV626" s="365"/>
      <c r="DW626" s="365"/>
      <c r="DX626" s="365"/>
      <c r="DY626" s="85"/>
      <c r="DZ626" s="76">
        <f>+DZ190*DZ180*3/1000</f>
        <v>66.360480000000024</v>
      </c>
      <c r="EA626" s="76">
        <f>+EA190*EA180*3/1000</f>
        <v>61.802810000000001</v>
      </c>
      <c r="EB626" s="76">
        <f>+EB190*EB180*3/1000</f>
        <v>59.238855000000022</v>
      </c>
      <c r="EC626" s="76">
        <f>+EC190*EC180*3/1000</f>
        <v>64.02427000000003</v>
      </c>
      <c r="ED626" s="85">
        <f>SUM(DZ626:EC626)</f>
        <v>251.42641500000008</v>
      </c>
      <c r="EE626" s="76">
        <f>+EE190*EE180*3/1000</f>
        <v>56.476049999999972</v>
      </c>
      <c r="EF626" s="76">
        <f>+EF190*EF180*3/1000</f>
        <v>51.143870000000042</v>
      </c>
      <c r="EG626" s="76">
        <f>+EG190*EG180*3/1000</f>
        <v>48.778135000000006</v>
      </c>
      <c r="EH626" s="76">
        <f>+EH190*EH180*3/1000</f>
        <v>47.2485</v>
      </c>
      <c r="EI626" s="85">
        <f>SUM(EE626:EH626)</f>
        <v>203.64655500000001</v>
      </c>
      <c r="EJ626" s="76">
        <f>+EJ190*EJ180*3/1000</f>
        <v>44.198480000000025</v>
      </c>
      <c r="EK626" s="76">
        <f>+EK190*EK180*3/1000</f>
        <v>45.799224999999986</v>
      </c>
      <c r="EL626" s="76">
        <f>+EL190*EL180*3/1000</f>
        <v>45.410215000000072</v>
      </c>
      <c r="EM626" s="76">
        <f>+EM190*EM180*3/1000</f>
        <v>56.565699999999936</v>
      </c>
      <c r="EN626" s="85">
        <f>SUM(EJ626:EM626)</f>
        <v>191.97362000000001</v>
      </c>
      <c r="EO626" s="85"/>
      <c r="EP626" s="85"/>
      <c r="EQ626" s="85"/>
      <c r="ER626" s="85"/>
      <c r="ES626" s="76">
        <f>+ES190*ES180*12/1000</f>
        <v>200.30732499999996</v>
      </c>
      <c r="ET626" s="76"/>
      <c r="EU626" s="76"/>
      <c r="EV626" s="76"/>
      <c r="EW626" s="76"/>
      <c r="EX626" s="76">
        <f>+EX190*EX180*12/1000</f>
        <v>178.12501574999999</v>
      </c>
      <c r="EY626" s="76"/>
      <c r="EZ626" s="76"/>
      <c r="FA626" s="76"/>
      <c r="FB626" s="76"/>
      <c r="FC626" s="76">
        <f>+FC190*FC180*12/1000</f>
        <v>160.45285508025003</v>
      </c>
      <c r="FD626" s="76"/>
      <c r="FE626" s="76"/>
      <c r="FF626" s="76"/>
      <c r="FG626" s="76"/>
      <c r="FH626" s="76">
        <f t="shared" ref="FH626:FM626" si="2771">+FH190*FH180*12/1000</f>
        <v>146.18476462159032</v>
      </c>
      <c r="FI626" s="76">
        <f t="shared" si="2771"/>
        <v>134.48537977842261</v>
      </c>
      <c r="FJ626" s="76">
        <f t="shared" si="2771"/>
        <v>124.79862072324916</v>
      </c>
      <c r="FK626" s="76">
        <f t="shared" si="2771"/>
        <v>116.70848665648087</v>
      </c>
      <c r="FL626" s="76">
        <f t="shared" si="2771"/>
        <v>109.89936834669655</v>
      </c>
      <c r="FM626" s="76">
        <f t="shared" si="2771"/>
        <v>104.12869955976214</v>
      </c>
      <c r="FN626" s="189"/>
    </row>
    <row r="627" spans="1:171" hidden="1" outlineLevel="1" x14ac:dyDescent="0.3">
      <c r="A627" s="56" t="s">
        <v>532</v>
      </c>
      <c r="DU627" s="365"/>
      <c r="DV627" s="365"/>
      <c r="DW627" s="365"/>
      <c r="DX627" s="365"/>
      <c r="DY627" s="85"/>
      <c r="DZ627" s="104">
        <f>+DZ327*DZ599*3/1000</f>
        <v>159.29909266873997</v>
      </c>
      <c r="EA627" s="104">
        <f>+EA327*EA599*3/1000</f>
        <v>154.74810645161287</v>
      </c>
      <c r="EB627" s="104">
        <f>+EB327*EB599*3/1000</f>
        <v>149.65421581506197</v>
      </c>
      <c r="EC627" s="104">
        <f>+EC327*EC599*3/1000</f>
        <v>147.20008961735314</v>
      </c>
      <c r="ED627" s="100">
        <f>SUM(DZ627:EC627)</f>
        <v>610.90150455276796</v>
      </c>
      <c r="EE627" s="104">
        <f>+EE327*EE599*3/1000</f>
        <v>141.7283406882793</v>
      </c>
      <c r="EF627" s="104">
        <f>+EF327*EF599*3/1000</f>
        <v>137.20876572887414</v>
      </c>
      <c r="EG627" s="104">
        <f>+EG327*EG599*3/1000</f>
        <v>131.3142006423702</v>
      </c>
      <c r="EH627" s="104">
        <f>+EH327*EH599*3/1000</f>
        <v>126.25460278167112</v>
      </c>
      <c r="EI627" s="100">
        <f>SUM(EE627:EH627)</f>
        <v>536.50590984119481</v>
      </c>
      <c r="EJ627" s="104">
        <f>+EJ327*EJ599*3/1000</f>
        <v>123.93437255401662</v>
      </c>
      <c r="EK627" s="104">
        <f>+EK327*EK599*3/1000</f>
        <v>121.54232058537978</v>
      </c>
      <c r="EL627" s="104">
        <f>+EL327*EL599*3/1000</f>
        <v>118.44213986313599</v>
      </c>
      <c r="EM627" s="104">
        <f>+EM327*EM599*3/1000</f>
        <v>105.47800009380863</v>
      </c>
      <c r="EN627" s="100">
        <f>SUM(EJ627:EM627)</f>
        <v>469.39683309634103</v>
      </c>
      <c r="EO627" s="100"/>
      <c r="EP627" s="100"/>
      <c r="EQ627" s="100"/>
      <c r="ER627" s="100"/>
      <c r="ES627" s="104">
        <f>+ES327*ES599*12/1000</f>
        <v>398.45701569099174</v>
      </c>
      <c r="ET627" s="104"/>
      <c r="EU627" s="104"/>
      <c r="EV627" s="104"/>
      <c r="EW627" s="104"/>
      <c r="EX627" s="104">
        <f>+EX327*EX599*12/1000</f>
        <v>317.89957435686813</v>
      </c>
      <c r="EY627" s="104"/>
      <c r="EZ627" s="104"/>
      <c r="FA627" s="104"/>
      <c r="FB627" s="104"/>
      <c r="FC627" s="104">
        <f>+FC327*FC599*12/1000</f>
        <v>243.40924217156314</v>
      </c>
      <c r="FD627" s="104"/>
      <c r="FE627" s="104"/>
      <c r="FF627" s="104"/>
      <c r="FG627" s="104"/>
      <c r="FH627" s="104">
        <f t="shared" ref="FH627:FM627" si="2772">+FH327*FH599*12/1000</f>
        <v>183.81773894522502</v>
      </c>
      <c r="FI627" s="104">
        <f t="shared" si="2772"/>
        <v>135.56434970655752</v>
      </c>
      <c r="FJ627" s="104">
        <f t="shared" si="2772"/>
        <v>97.881415488258298</v>
      </c>
      <c r="FK627" s="104">
        <f t="shared" si="2772"/>
        <v>70.673705991241519</v>
      </c>
      <c r="FL627" s="104">
        <f t="shared" si="2772"/>
        <v>51.029086323740685</v>
      </c>
      <c r="FM627" s="104">
        <f t="shared" si="2772"/>
        <v>36.845084876830313</v>
      </c>
      <c r="FN627" s="189"/>
    </row>
    <row r="628" spans="1:171" s="90" customFormat="1" hidden="1" outlineLevel="1" x14ac:dyDescent="0.3">
      <c r="A628" s="4" t="s">
        <v>533</v>
      </c>
      <c r="DU628" s="475"/>
      <c r="DV628" s="475"/>
      <c r="DW628" s="475"/>
      <c r="DX628" s="475"/>
      <c r="DY628" s="85"/>
      <c r="DZ628" s="85">
        <f t="shared" ref="DZ628:FM628" si="2773">SUM(DZ626:DZ627)</f>
        <v>225.65957266874</v>
      </c>
      <c r="EA628" s="85">
        <f t="shared" si="2773"/>
        <v>216.55091645161286</v>
      </c>
      <c r="EB628" s="85">
        <f t="shared" si="2773"/>
        <v>208.893070815062</v>
      </c>
      <c r="EC628" s="85">
        <f t="shared" si="2773"/>
        <v>211.22435961735317</v>
      </c>
      <c r="ED628" s="85">
        <f t="shared" si="2773"/>
        <v>862.32791955276798</v>
      </c>
      <c r="EE628" s="85">
        <f t="shared" si="2773"/>
        <v>198.20439068827926</v>
      </c>
      <c r="EF628" s="85">
        <f t="shared" si="2773"/>
        <v>188.35263572887419</v>
      </c>
      <c r="EG628" s="85">
        <f t="shared" si="2773"/>
        <v>180.09233564237019</v>
      </c>
      <c r="EH628" s="85">
        <f t="shared" si="2773"/>
        <v>173.50310278167112</v>
      </c>
      <c r="EI628" s="85">
        <f t="shared" si="2773"/>
        <v>740.15246484119484</v>
      </c>
      <c r="EJ628" s="85">
        <f>SUM(EJ626:EJ627)</f>
        <v>168.13285255401664</v>
      </c>
      <c r="EK628" s="85">
        <f>SUM(EK626:EK627)</f>
        <v>167.34154558537978</v>
      </c>
      <c r="EL628" s="85">
        <f>SUM(EL626:EL627)</f>
        <v>163.85235486313607</v>
      </c>
      <c r="EM628" s="85">
        <f>SUM(EM626:EM627)</f>
        <v>162.04370009380858</v>
      </c>
      <c r="EN628" s="85">
        <f>SUM(EN626:EN627)</f>
        <v>661.37045309634107</v>
      </c>
      <c r="EO628" s="85"/>
      <c r="EP628" s="85"/>
      <c r="EQ628" s="85"/>
      <c r="ER628" s="85"/>
      <c r="ES628" s="85">
        <f t="shared" si="2773"/>
        <v>598.76434069099173</v>
      </c>
      <c r="ET628" s="85"/>
      <c r="EU628" s="85"/>
      <c r="EV628" s="85"/>
      <c r="EW628" s="85"/>
      <c r="EX628" s="85">
        <f t="shared" si="2773"/>
        <v>496.02459010686812</v>
      </c>
      <c r="EY628" s="85"/>
      <c r="EZ628" s="85"/>
      <c r="FA628" s="85"/>
      <c r="FB628" s="85"/>
      <c r="FC628" s="85">
        <f t="shared" si="2773"/>
        <v>403.86209725181317</v>
      </c>
      <c r="FD628" s="85"/>
      <c r="FE628" s="85"/>
      <c r="FF628" s="85"/>
      <c r="FG628" s="85"/>
      <c r="FH628" s="85">
        <f t="shared" si="2773"/>
        <v>330.00250356681534</v>
      </c>
      <c r="FI628" s="85">
        <f t="shared" si="2773"/>
        <v>270.04972948498016</v>
      </c>
      <c r="FJ628" s="85">
        <f t="shared" si="2773"/>
        <v>222.68003621150746</v>
      </c>
      <c r="FK628" s="85">
        <f t="shared" si="2773"/>
        <v>187.38219264772238</v>
      </c>
      <c r="FL628" s="85">
        <f t="shared" si="2773"/>
        <v>160.92845467043725</v>
      </c>
      <c r="FM628" s="85">
        <f t="shared" si="2773"/>
        <v>140.97378443659244</v>
      </c>
      <c r="FN628" s="717"/>
    </row>
    <row r="629" spans="1:171" hidden="1" outlineLevel="1" x14ac:dyDescent="0.3">
      <c r="A629" s="56"/>
      <c r="DU629" s="365"/>
      <c r="DV629" s="365"/>
      <c r="DW629" s="365"/>
      <c r="DX629" s="365"/>
      <c r="DY629" s="85"/>
      <c r="DZ629" s="76"/>
      <c r="EA629" s="76"/>
      <c r="EB629" s="76"/>
      <c r="EC629" s="76"/>
      <c r="ED629" s="85"/>
      <c r="EE629" s="657">
        <f>EE628/DZ628-1</f>
        <v>-0.12166637406853531</v>
      </c>
      <c r="EF629" s="657">
        <f t="shared" ref="EF629:EN629" si="2774">EF628/EA628-1</f>
        <v>-0.13021547627132501</v>
      </c>
      <c r="EG629" s="657">
        <f t="shared" si="2774"/>
        <v>-0.13787309966920724</v>
      </c>
      <c r="EH629" s="657">
        <f t="shared" si="2774"/>
        <v>-0.17858383807633071</v>
      </c>
      <c r="EI629" s="1207">
        <f t="shared" si="2774"/>
        <v>-0.14168096838953959</v>
      </c>
      <c r="EJ629" s="657">
        <f t="shared" si="2774"/>
        <v>-0.1517198384447338</v>
      </c>
      <c r="EK629" s="657">
        <f t="shared" si="2774"/>
        <v>-0.11155187747804607</v>
      </c>
      <c r="EL629" s="657">
        <f t="shared" si="2774"/>
        <v>-9.0175857408411275E-2</v>
      </c>
      <c r="EM629" s="657">
        <f t="shared" si="2774"/>
        <v>-6.6047249323734292E-2</v>
      </c>
      <c r="EN629" s="1207">
        <f t="shared" si="2774"/>
        <v>-0.10644024776943362</v>
      </c>
      <c r="EO629" s="1207"/>
      <c r="EP629" s="1207"/>
      <c r="EQ629" s="1207"/>
      <c r="ER629" s="1207"/>
      <c r="ES629" s="657">
        <f>ES628/EN628-1</f>
        <v>-9.4661187406008263E-2</v>
      </c>
      <c r="ET629" s="657"/>
      <c r="EU629" s="657"/>
      <c r="EV629" s="657"/>
      <c r="EW629" s="657"/>
      <c r="EX629" s="657">
        <f>EX628/ES628-1</f>
        <v>-0.17158628796357334</v>
      </c>
      <c r="EY629" s="657"/>
      <c r="EZ629" s="657"/>
      <c r="FA629" s="657"/>
      <c r="FB629" s="657"/>
      <c r="FC629" s="657">
        <f>FC628/EX628-1</f>
        <v>-0.18580226604329964</v>
      </c>
      <c r="FD629" s="657"/>
      <c r="FE629" s="657"/>
      <c r="FF629" s="657"/>
      <c r="FG629" s="657"/>
      <c r="FH629" s="657">
        <f>FH628/FC628-1</f>
        <v>-0.18288320242873757</v>
      </c>
      <c r="FI629" s="657">
        <f t="shared" ref="FI629:FM629" si="2775">FI628/FH628-1</f>
        <v>-0.18167369469576333</v>
      </c>
      <c r="FJ629" s="657">
        <f t="shared" si="2775"/>
        <v>-0.1754110006472247</v>
      </c>
      <c r="FK629" s="657">
        <f t="shared" si="2775"/>
        <v>-0.15851373191918405</v>
      </c>
      <c r="FL629" s="657">
        <f t="shared" si="2775"/>
        <v>-0.14117530381885346</v>
      </c>
      <c r="FM629" s="657">
        <f t="shared" si="2775"/>
        <v>-0.12399715311198167</v>
      </c>
      <c r="FN629" s="189"/>
    </row>
    <row r="630" spans="1:171" hidden="1" outlineLevel="1" x14ac:dyDescent="0.3">
      <c r="A630" s="109" t="s">
        <v>33</v>
      </c>
      <c r="DU630" s="365" t="e">
        <f>+#REF!</f>
        <v>#REF!</v>
      </c>
      <c r="DV630" s="365" t="e">
        <f>+#REF!</f>
        <v>#REF!</v>
      </c>
      <c r="DW630" s="365" t="e">
        <f>+#REF!</f>
        <v>#REF!</v>
      </c>
      <c r="DX630" s="365" t="e">
        <f>+#REF!</f>
        <v>#REF!</v>
      </c>
      <c r="DY630" s="85" t="e">
        <f>+SUM(DU630:DX630)</f>
        <v>#REF!</v>
      </c>
      <c r="DZ630" s="365" t="e">
        <f>+#REF!</f>
        <v>#REF!</v>
      </c>
      <c r="EA630" s="365" t="e">
        <f>+#REF!</f>
        <v>#REF!</v>
      </c>
      <c r="EB630" s="365" t="e">
        <f>+#REF!</f>
        <v>#REF!</v>
      </c>
      <c r="EC630" s="365" t="e">
        <f>+#REF!</f>
        <v>#REF!</v>
      </c>
      <c r="ED630" s="85" t="e">
        <f t="shared" ref="ED630:ED637" si="2776">+SUM(DZ630:EC630)</f>
        <v>#REF!</v>
      </c>
      <c r="EE630" s="365" t="e">
        <f>+#REF!</f>
        <v>#REF!</v>
      </c>
      <c r="EF630" s="365" t="e">
        <f>+#REF!</f>
        <v>#REF!</v>
      </c>
      <c r="EG630" s="76">
        <f>+EG331*EG602*3/1000</f>
        <v>138.31398000000004</v>
      </c>
      <c r="EH630" s="76">
        <f>+EH331*EH602*3/1000</f>
        <v>132.15633000000003</v>
      </c>
      <c r="EI630" s="85" t="e">
        <f>+SUM(EE630:EH630)</f>
        <v>#REF!</v>
      </c>
      <c r="EJ630" s="76">
        <f>+EJ331*EJ602*3/1000</f>
        <v>127.35054000000001</v>
      </c>
      <c r="EK630" s="76">
        <f>+EK331*EK602*3/1000</f>
        <v>124.74431999999997</v>
      </c>
      <c r="EL630" s="76">
        <f>+EL331*EL602*3/1000</f>
        <v>117.460725</v>
      </c>
      <c r="EM630" s="76">
        <f>+EM331*EM602*3/1000</f>
        <v>111.01582500000001</v>
      </c>
      <c r="EN630" s="85">
        <f t="shared" ref="EN630:EN637" si="2777">+SUM(EJ630:EM630)</f>
        <v>480.57140999999996</v>
      </c>
      <c r="EO630" s="85"/>
      <c r="EP630" s="85"/>
      <c r="EQ630" s="85"/>
      <c r="ER630" s="85"/>
      <c r="ES630" s="76">
        <f>+ES331*ES602*12/1000</f>
        <v>0</v>
      </c>
      <c r="ET630" s="76"/>
      <c r="EU630" s="76"/>
      <c r="EV630" s="76"/>
      <c r="EW630" s="76"/>
      <c r="EX630" s="76">
        <f>+EX331*EX602*12/1000</f>
        <v>0</v>
      </c>
      <c r="EY630" s="76"/>
      <c r="EZ630" s="76"/>
      <c r="FA630" s="76"/>
      <c r="FB630" s="76"/>
      <c r="FC630" s="76">
        <f>+FC331*FC602*12/1000</f>
        <v>0</v>
      </c>
      <c r="FD630" s="76"/>
      <c r="FE630" s="76"/>
      <c r="FF630" s="76"/>
      <c r="FG630" s="76"/>
      <c r="FH630" s="76">
        <f t="shared" ref="FH630:FM630" si="2778">+FH331*FH602*12/1000</f>
        <v>0</v>
      </c>
      <c r="FI630" s="76">
        <f t="shared" si="2778"/>
        <v>0</v>
      </c>
      <c r="FJ630" s="76">
        <f t="shared" si="2778"/>
        <v>0</v>
      </c>
      <c r="FK630" s="76">
        <f t="shared" si="2778"/>
        <v>0</v>
      </c>
      <c r="FL630" s="76">
        <f t="shared" si="2778"/>
        <v>0</v>
      </c>
      <c r="FM630" s="76">
        <f t="shared" si="2778"/>
        <v>0</v>
      </c>
      <c r="FN630" s="189" t="e">
        <f t="shared" ref="FN630:FN637" si="2779">+(FJ630/ES630)^0.2-1</f>
        <v>#DIV/0!</v>
      </c>
    </row>
    <row r="631" spans="1:171" hidden="1" outlineLevel="1" x14ac:dyDescent="0.3">
      <c r="A631" s="109" t="s">
        <v>32</v>
      </c>
      <c r="DU631" s="76">
        <f>+DU333*DU603*3/1000</f>
        <v>231.39473684210529</v>
      </c>
      <c r="DV631" s="76">
        <f>+DV333*DV603*3/1000</f>
        <v>227.27368421052631</v>
      </c>
      <c r="DW631" s="76">
        <f>+DW333*DW603*3/1000</f>
        <v>221.87368421052631</v>
      </c>
      <c r="DX631" s="76">
        <f>+DX333*DX603*3/1000</f>
        <v>217.38947368421057</v>
      </c>
      <c r="DY631" s="85">
        <f t="shared" ref="DY631:DY636" si="2780">+SUM(DU631:DX631)</f>
        <v>897.93157894736851</v>
      </c>
      <c r="DZ631" s="76">
        <f>+DZ333*DZ603*3/1000</f>
        <v>203.61</v>
      </c>
      <c r="EA631" s="76">
        <f>+EA333*EA603*3/1000</f>
        <v>201.48</v>
      </c>
      <c r="EB631" s="76">
        <f>+EB333*EB603*3/1000</f>
        <v>199.44</v>
      </c>
      <c r="EC631" s="76">
        <f>+EC333*EC603*3/1000</f>
        <v>197.1</v>
      </c>
      <c r="ED631" s="85">
        <f t="shared" si="2776"/>
        <v>801.63</v>
      </c>
      <c r="EE631" s="76">
        <f>+EE333*EE603*3/1000</f>
        <v>198.20439068827923</v>
      </c>
      <c r="EF631" s="76">
        <f>+EF333*EF603*3/1000</f>
        <v>188.35263572887419</v>
      </c>
      <c r="EG631" s="76">
        <f>+EG333*EG603*3/1000</f>
        <v>180.09233564237019</v>
      </c>
      <c r="EH631" s="76">
        <f>+EH333*EH603*3/1000</f>
        <v>173.50310278167109</v>
      </c>
      <c r="EI631" s="85">
        <f t="shared" si="2764"/>
        <v>740.15246484119461</v>
      </c>
      <c r="EJ631" s="76">
        <f>+EJ333*EJ603*3/1000</f>
        <v>168.13285255401664</v>
      </c>
      <c r="EK631" s="76">
        <f>+EK333*EK603*3/1000</f>
        <v>167.34154558537978</v>
      </c>
      <c r="EL631" s="76">
        <f>+EL333*EL603*3/1000</f>
        <v>163.85235486313604</v>
      </c>
      <c r="EM631" s="76">
        <f>+EM333*EM603*3/1000</f>
        <v>162.04370009380858</v>
      </c>
      <c r="EN631" s="85">
        <f t="shared" si="2777"/>
        <v>661.37045309634095</v>
      </c>
      <c r="EO631" s="85"/>
      <c r="EP631" s="85"/>
      <c r="EQ631" s="85"/>
      <c r="ER631" s="85"/>
      <c r="ES631" s="76">
        <f>+ES333*ES603*12/1000</f>
        <v>0</v>
      </c>
      <c r="ET631" s="76"/>
      <c r="EU631" s="76"/>
      <c r="EV631" s="76"/>
      <c r="EW631" s="76"/>
      <c r="EX631" s="76">
        <f>+EX333*EX603*12/1000</f>
        <v>0</v>
      </c>
      <c r="EY631" s="76"/>
      <c r="EZ631" s="76"/>
      <c r="FA631" s="76"/>
      <c r="FB631" s="76"/>
      <c r="FC631" s="76">
        <f>+FC333*FC603*12/1000</f>
        <v>0</v>
      </c>
      <c r="FD631" s="76"/>
      <c r="FE631" s="76"/>
      <c r="FF631" s="76"/>
      <c r="FG631" s="76"/>
      <c r="FH631" s="76">
        <f t="shared" ref="FH631:FM631" si="2781">+FH333*FH603*12/1000</f>
        <v>0</v>
      </c>
      <c r="FI631" s="76">
        <f t="shared" si="2781"/>
        <v>0</v>
      </c>
      <c r="FJ631" s="76">
        <f t="shared" si="2781"/>
        <v>0</v>
      </c>
      <c r="FK631" s="76">
        <f t="shared" si="2781"/>
        <v>0</v>
      </c>
      <c r="FL631" s="76">
        <f t="shared" si="2781"/>
        <v>0</v>
      </c>
      <c r="FM631" s="76">
        <f t="shared" si="2781"/>
        <v>0</v>
      </c>
      <c r="FN631" s="189" t="e">
        <f t="shared" si="2779"/>
        <v>#DIV/0!</v>
      </c>
    </row>
    <row r="632" spans="1:171" hidden="1" outlineLevel="1" x14ac:dyDescent="0.3">
      <c r="A632" s="109" t="s">
        <v>34</v>
      </c>
      <c r="DU632" s="365" t="e">
        <f>+DU633-SUM(DU620:DU631)</f>
        <v>#REF!</v>
      </c>
      <c r="DV632" s="365" t="e">
        <f>+DV633-SUM(DV620:DV631)</f>
        <v>#REF!</v>
      </c>
      <c r="DW632" s="365" t="e">
        <f>+DW633-SUM(DW620:DW631)</f>
        <v>#REF!</v>
      </c>
      <c r="DX632" s="365" t="e">
        <f>+DX633-SUM(DX620:DX631)</f>
        <v>#REF!</v>
      </c>
      <c r="DY632" s="85" t="e">
        <f t="shared" si="2780"/>
        <v>#REF!</v>
      </c>
      <c r="DZ632" s="365" t="e">
        <f>DZ633-DZ620-DZ624-DZ628</f>
        <v>#REF!</v>
      </c>
      <c r="EA632" s="365" t="e">
        <f>EA633-EA620-EA624-EA628</f>
        <v>#REF!</v>
      </c>
      <c r="EB632" s="365" t="e">
        <f>EB633-EB620-EB624-EB628</f>
        <v>#REF!</v>
      </c>
      <c r="EC632" s="365" t="e">
        <f>EC633-EC620-EC624-EC628</f>
        <v>#REF!</v>
      </c>
      <c r="ED632" s="85" t="e">
        <f t="shared" si="2776"/>
        <v>#REF!</v>
      </c>
      <c r="EE632" s="365" t="e">
        <f>EE633-EE620-EE624-EE628</f>
        <v>#REF!</v>
      </c>
      <c r="EF632" s="365" t="e">
        <f>EF633-EF620-EF624-EF628</f>
        <v>#REF!</v>
      </c>
      <c r="EG632" s="365" t="e">
        <f>EG633-EG620-EG624-EG628</f>
        <v>#REF!</v>
      </c>
      <c r="EH632" s="76" t="e">
        <f>#REF!+#REF!</f>
        <v>#REF!</v>
      </c>
      <c r="EI632" s="85" t="e">
        <f t="shared" si="2764"/>
        <v>#REF!</v>
      </c>
      <c r="EJ632" s="76" t="e">
        <f>#REF!+#REF!</f>
        <v>#REF!</v>
      </c>
      <c r="EK632" s="76" t="e">
        <f>#REF!+#REF!</f>
        <v>#REF!</v>
      </c>
      <c r="EL632" s="76" t="e">
        <f>#REF!+#REF!</f>
        <v>#REF!</v>
      </c>
      <c r="EM632" s="76" t="e">
        <f>#REF!+#REF!</f>
        <v>#REF!</v>
      </c>
      <c r="EN632" s="85" t="e">
        <f t="shared" si="2777"/>
        <v>#REF!</v>
      </c>
      <c r="EO632" s="85"/>
      <c r="EP632" s="85"/>
      <c r="EQ632" s="85"/>
      <c r="ER632" s="85"/>
      <c r="ES632" s="76" t="e">
        <f>#REF!+#REF!</f>
        <v>#REF!</v>
      </c>
      <c r="ET632" s="76"/>
      <c r="EU632" s="76"/>
      <c r="EV632" s="76"/>
      <c r="EW632" s="76"/>
      <c r="EX632" s="76" t="e">
        <f>#REF!+#REF!</f>
        <v>#REF!</v>
      </c>
      <c r="EY632" s="76"/>
      <c r="EZ632" s="76"/>
      <c r="FA632" s="76"/>
      <c r="FB632" s="76"/>
      <c r="FC632" s="76" t="e">
        <f>#REF!+#REF!</f>
        <v>#REF!</v>
      </c>
      <c r="FD632" s="76"/>
      <c r="FE632" s="76"/>
      <c r="FF632" s="76"/>
      <c r="FG632" s="76"/>
      <c r="FH632" s="76" t="e">
        <f>#REF!+#REF!</f>
        <v>#REF!</v>
      </c>
      <c r="FI632" s="76" t="e">
        <f>#REF!+#REF!</f>
        <v>#REF!</v>
      </c>
      <c r="FJ632" s="76" t="e">
        <f>#REF!+#REF!</f>
        <v>#REF!</v>
      </c>
      <c r="FK632" s="76" t="e">
        <f>#REF!+#REF!</f>
        <v>#REF!</v>
      </c>
      <c r="FL632" s="76" t="e">
        <f>#REF!+#REF!</f>
        <v>#REF!</v>
      </c>
      <c r="FM632" s="76" t="e">
        <f>#REF!+#REF!</f>
        <v>#REF!</v>
      </c>
      <c r="FN632" s="189" t="e">
        <f t="shared" si="2779"/>
        <v>#REF!</v>
      </c>
    </row>
    <row r="633" spans="1:171" hidden="1" outlineLevel="1" x14ac:dyDescent="0.3">
      <c r="A633" s="110" t="s">
        <v>38</v>
      </c>
      <c r="DU633" s="803" t="e">
        <f>+#REF!</f>
        <v>#REF!</v>
      </c>
      <c r="DV633" s="803" t="e">
        <f>+#REF!</f>
        <v>#REF!</v>
      </c>
      <c r="DW633" s="803" t="e">
        <f>+#REF!</f>
        <v>#REF!</v>
      </c>
      <c r="DX633" s="803" t="e">
        <f>+#REF!</f>
        <v>#REF!</v>
      </c>
      <c r="DY633" s="803" t="e">
        <f>+SUM(DU633:DX633)</f>
        <v>#REF!</v>
      </c>
      <c r="DZ633" s="803" t="e">
        <f>+#REF!</f>
        <v>#REF!</v>
      </c>
      <c r="EA633" s="803" t="e">
        <f>+#REF!</f>
        <v>#REF!</v>
      </c>
      <c r="EB633" s="803" t="e">
        <f>+#REF!</f>
        <v>#REF!</v>
      </c>
      <c r="EC633" s="803" t="e">
        <f>+#REF!</f>
        <v>#REF!</v>
      </c>
      <c r="ED633" s="803" t="e">
        <f t="shared" si="2776"/>
        <v>#REF!</v>
      </c>
      <c r="EE633" s="803" t="e">
        <f>+#REF!</f>
        <v>#REF!</v>
      </c>
      <c r="EF633" s="803" t="e">
        <f>+#REF!</f>
        <v>#REF!</v>
      </c>
      <c r="EG633" s="803" t="e">
        <f>+#REF!</f>
        <v>#REF!</v>
      </c>
      <c r="EH633" s="803" t="e">
        <f>EH620+EH624+EH628+EH632</f>
        <v>#REF!</v>
      </c>
      <c r="EI633" s="803" t="e">
        <f t="shared" si="2764"/>
        <v>#REF!</v>
      </c>
      <c r="EJ633" s="803" t="e">
        <f>EJ620+EJ624+EJ628+EJ632</f>
        <v>#REF!</v>
      </c>
      <c r="EK633" s="803" t="e">
        <f>EK620+EK624+EK628+EK632</f>
        <v>#REF!</v>
      </c>
      <c r="EL633" s="803" t="e">
        <f>EL620+EL624+EL628+EL632</f>
        <v>#REF!</v>
      </c>
      <c r="EM633" s="803" t="e">
        <f>EM620+EM624+EM628+EM632</f>
        <v>#REF!</v>
      </c>
      <c r="EN633" s="803" t="e">
        <f t="shared" si="2777"/>
        <v>#REF!</v>
      </c>
      <c r="EO633" s="803"/>
      <c r="EP633" s="803"/>
      <c r="EQ633" s="803"/>
      <c r="ER633" s="803"/>
      <c r="ES633" s="803" t="e">
        <f t="shared" ref="ES633:FM633" si="2782">ES620+ES624+ES628+ES632</f>
        <v>#REF!</v>
      </c>
      <c r="ET633" s="803"/>
      <c r="EU633" s="803"/>
      <c r="EV633" s="803"/>
      <c r="EW633" s="803"/>
      <c r="EX633" s="803" t="e">
        <f t="shared" si="2782"/>
        <v>#REF!</v>
      </c>
      <c r="EY633" s="803"/>
      <c r="EZ633" s="803"/>
      <c r="FA633" s="803"/>
      <c r="FB633" s="803"/>
      <c r="FC633" s="803" t="e">
        <f t="shared" si="2782"/>
        <v>#REF!</v>
      </c>
      <c r="FD633" s="803"/>
      <c r="FE633" s="803"/>
      <c r="FF633" s="803"/>
      <c r="FG633" s="803"/>
      <c r="FH633" s="803" t="e">
        <f t="shared" si="2782"/>
        <v>#REF!</v>
      </c>
      <c r="FI633" s="803" t="e">
        <f t="shared" si="2782"/>
        <v>#REF!</v>
      </c>
      <c r="FJ633" s="803" t="e">
        <f t="shared" si="2782"/>
        <v>#REF!</v>
      </c>
      <c r="FK633" s="803" t="e">
        <f t="shared" si="2782"/>
        <v>#REF!</v>
      </c>
      <c r="FL633" s="803" t="e">
        <f t="shared" si="2782"/>
        <v>#REF!</v>
      </c>
      <c r="FM633" s="803" t="e">
        <f t="shared" si="2782"/>
        <v>#REF!</v>
      </c>
      <c r="FN633" s="189" t="e">
        <f t="shared" si="2779"/>
        <v>#REF!</v>
      </c>
    </row>
    <row r="634" spans="1:171" hidden="1" outlineLevel="1" x14ac:dyDescent="0.3">
      <c r="A634" s="109" t="s">
        <v>39</v>
      </c>
      <c r="DU634" s="365" t="e">
        <f>+#REF!</f>
        <v>#REF!</v>
      </c>
      <c r="DV634" s="365" t="e">
        <f>+#REF!</f>
        <v>#REF!</v>
      </c>
      <c r="DW634" s="365" t="e">
        <f>+#REF!</f>
        <v>#REF!</v>
      </c>
      <c r="DX634" s="365" t="e">
        <f>+#REF!</f>
        <v>#REF!</v>
      </c>
      <c r="DY634" s="85" t="e">
        <f>+SUM(DU634:DX634)</f>
        <v>#REF!</v>
      </c>
      <c r="DZ634" s="365" t="e">
        <f>+#REF!</f>
        <v>#REF!</v>
      </c>
      <c r="EA634" s="365" t="e">
        <f>+#REF!</f>
        <v>#REF!</v>
      </c>
      <c r="EB634" s="365" t="e">
        <f>+#REF!</f>
        <v>#REF!</v>
      </c>
      <c r="EC634" s="365" t="e">
        <f>+#REF!</f>
        <v>#REF!</v>
      </c>
      <c r="ED634" s="100" t="e">
        <f t="shared" si="2776"/>
        <v>#REF!</v>
      </c>
      <c r="EE634" s="365" t="e">
        <f>+#REF!</f>
        <v>#REF!</v>
      </c>
      <c r="EF634" s="365" t="e">
        <f>+#REF!</f>
        <v>#REF!</v>
      </c>
      <c r="EG634" s="365" t="e">
        <f>+#REF!</f>
        <v>#REF!</v>
      </c>
      <c r="EH634" s="76">
        <f>EH205+EH343</f>
        <v>677</v>
      </c>
      <c r="EI634" s="100" t="e">
        <f t="shared" si="2764"/>
        <v>#REF!</v>
      </c>
      <c r="EJ634" s="76">
        <f>EJ205+EJ343</f>
        <v>666</v>
      </c>
      <c r="EK634" s="76">
        <f>EK205+EK343</f>
        <v>651</v>
      </c>
      <c r="EL634" s="76">
        <f>EL205+EL343</f>
        <v>641</v>
      </c>
      <c r="EM634" s="76">
        <f>EM205+EM343</f>
        <v>659</v>
      </c>
      <c r="EN634" s="100">
        <f t="shared" si="2777"/>
        <v>2617</v>
      </c>
      <c r="EO634" s="85"/>
      <c r="EP634" s="85"/>
      <c r="EQ634" s="85"/>
      <c r="ER634" s="85"/>
      <c r="ES634" s="76">
        <f>ES205+ES343</f>
        <v>2579</v>
      </c>
      <c r="ET634" s="76"/>
      <c r="EU634" s="76"/>
      <c r="EV634" s="76"/>
      <c r="EW634" s="76"/>
      <c r="EX634" s="76">
        <f>EX205+EX343</f>
        <v>2570.4258022424019</v>
      </c>
      <c r="EY634" s="76"/>
      <c r="EZ634" s="76"/>
      <c r="FA634" s="76"/>
      <c r="FB634" s="76"/>
      <c r="FC634" s="76">
        <f>FC205+FC343</f>
        <v>2578.2150360812275</v>
      </c>
      <c r="FD634" s="76"/>
      <c r="FE634" s="76"/>
      <c r="FF634" s="76"/>
      <c r="FG634" s="76"/>
      <c r="FH634" s="76">
        <f t="shared" ref="FH634:FM634" si="2783">FH205+FH343</f>
        <v>2604.1922863453547</v>
      </c>
      <c r="FI634" s="76">
        <f t="shared" si="2783"/>
        <v>2643.9372574171657</v>
      </c>
      <c r="FJ634" s="76">
        <f t="shared" si="2783"/>
        <v>2689.0840048812552</v>
      </c>
      <c r="FK634" s="76">
        <f t="shared" si="2783"/>
        <v>2739.5321529965504</v>
      </c>
      <c r="FL634" s="76">
        <f t="shared" si="2783"/>
        <v>2795.4393029448574</v>
      </c>
      <c r="FM634" s="76">
        <f t="shared" si="2783"/>
        <v>2857.0976498141767</v>
      </c>
      <c r="FN634" s="189">
        <f t="shared" si="2779"/>
        <v>8.3948185385360752E-3</v>
      </c>
    </row>
    <row r="635" spans="1:171" hidden="1" outlineLevel="1" x14ac:dyDescent="0.3">
      <c r="A635" s="110" t="s">
        <v>35</v>
      </c>
      <c r="DU635" s="803" t="e">
        <f>+DU633+DU634</f>
        <v>#REF!</v>
      </c>
      <c r="DV635" s="803" t="e">
        <f t="shared" ref="DV635:EA635" si="2784">+DV633+DV634</f>
        <v>#REF!</v>
      </c>
      <c r="DW635" s="803" t="e">
        <f t="shared" si="2784"/>
        <v>#REF!</v>
      </c>
      <c r="DX635" s="803" t="e">
        <f t="shared" si="2784"/>
        <v>#REF!</v>
      </c>
      <c r="DY635" s="803" t="e">
        <f>+SUM(DU635:DX635)</f>
        <v>#REF!</v>
      </c>
      <c r="DZ635" s="803" t="e">
        <f t="shared" si="2784"/>
        <v>#REF!</v>
      </c>
      <c r="EA635" s="803" t="e">
        <f t="shared" si="2784"/>
        <v>#REF!</v>
      </c>
      <c r="EB635" s="803" t="e">
        <f>+EB633+EB634</f>
        <v>#REF!</v>
      </c>
      <c r="EC635" s="803" t="e">
        <f>+EC633+EC634</f>
        <v>#REF!</v>
      </c>
      <c r="ED635" s="85" t="e">
        <f t="shared" si="2776"/>
        <v>#REF!</v>
      </c>
      <c r="EE635" s="803" t="e">
        <f>+EE633+EE634</f>
        <v>#REF!</v>
      </c>
      <c r="EF635" s="803" t="e">
        <f>+EF633+EF634</f>
        <v>#REF!</v>
      </c>
      <c r="EG635" s="803" t="e">
        <f>+EG633+EG634</f>
        <v>#REF!</v>
      </c>
      <c r="EH635" s="803" t="e">
        <f>+EH633+EH634</f>
        <v>#REF!</v>
      </c>
      <c r="EI635" s="85" t="e">
        <f t="shared" si="2764"/>
        <v>#REF!</v>
      </c>
      <c r="EJ635" s="803" t="e">
        <f>+EJ633+EJ634</f>
        <v>#REF!</v>
      </c>
      <c r="EK635" s="803" t="e">
        <f>+EK633+EK634</f>
        <v>#REF!</v>
      </c>
      <c r="EL635" s="803" t="e">
        <f>+EL633+EL634</f>
        <v>#REF!</v>
      </c>
      <c r="EM635" s="803" t="e">
        <f>+EM633+EM634</f>
        <v>#REF!</v>
      </c>
      <c r="EN635" s="85" t="e">
        <f t="shared" si="2777"/>
        <v>#REF!</v>
      </c>
      <c r="EO635" s="85"/>
      <c r="EP635" s="85"/>
      <c r="EQ635" s="85"/>
      <c r="ER635" s="85"/>
      <c r="ES635" s="803" t="e">
        <f t="shared" ref="ES635:FM635" si="2785">+ES633+ES634</f>
        <v>#REF!</v>
      </c>
      <c r="ET635" s="803"/>
      <c r="EU635" s="803"/>
      <c r="EV635" s="803"/>
      <c r="EW635" s="803"/>
      <c r="EX635" s="803" t="e">
        <f t="shared" si="2785"/>
        <v>#REF!</v>
      </c>
      <c r="EY635" s="803"/>
      <c r="EZ635" s="803"/>
      <c r="FA635" s="803"/>
      <c r="FB635" s="803"/>
      <c r="FC635" s="803" t="e">
        <f t="shared" si="2785"/>
        <v>#REF!</v>
      </c>
      <c r="FD635" s="803"/>
      <c r="FE635" s="803"/>
      <c r="FF635" s="803"/>
      <c r="FG635" s="803"/>
      <c r="FH635" s="803" t="e">
        <f t="shared" si="2785"/>
        <v>#REF!</v>
      </c>
      <c r="FI635" s="803" t="e">
        <f t="shared" si="2785"/>
        <v>#REF!</v>
      </c>
      <c r="FJ635" s="803" t="e">
        <f t="shared" si="2785"/>
        <v>#REF!</v>
      </c>
      <c r="FK635" s="803" t="e">
        <f t="shared" si="2785"/>
        <v>#REF!</v>
      </c>
      <c r="FL635" s="803" t="e">
        <f t="shared" si="2785"/>
        <v>#REF!</v>
      </c>
      <c r="FM635" s="803" t="e">
        <f t="shared" si="2785"/>
        <v>#REF!</v>
      </c>
      <c r="FN635" s="189" t="e">
        <f t="shared" si="2779"/>
        <v>#REF!</v>
      </c>
    </row>
    <row r="636" spans="1:171" ht="12" hidden="1" customHeight="1" outlineLevel="1" x14ac:dyDescent="0.3">
      <c r="A636" s="1" t="s">
        <v>465</v>
      </c>
      <c r="DU636" s="79">
        <f>+Inputs!DU515</f>
        <v>86</v>
      </c>
      <c r="DV636" s="79">
        <f>+Inputs!DV515</f>
        <v>89</v>
      </c>
      <c r="DW636" s="79">
        <f>+Inputs!DW515</f>
        <v>85</v>
      </c>
      <c r="DX636" s="79">
        <f>+Inputs!DX515</f>
        <v>85</v>
      </c>
      <c r="DY636" s="100">
        <f t="shared" si="2780"/>
        <v>345</v>
      </c>
      <c r="DZ636" s="79">
        <f>+Inputs!DZ515</f>
        <v>84</v>
      </c>
      <c r="EA636" s="79">
        <f>Inputs!EA199</f>
        <v>94</v>
      </c>
      <c r="EB636" s="79">
        <f>+Inputs!EB515</f>
        <v>99</v>
      </c>
      <c r="EC636" s="79">
        <f>+Inputs!EC515</f>
        <v>89</v>
      </c>
      <c r="ED636" s="85">
        <f t="shared" si="2776"/>
        <v>366</v>
      </c>
      <c r="EE636" s="79">
        <f>+Inputs!EE515</f>
        <v>83</v>
      </c>
      <c r="EF636" s="79">
        <f>Inputs!EF199</f>
        <v>83</v>
      </c>
      <c r="EG636" s="79">
        <f>Inputs!EG199</f>
        <v>83</v>
      </c>
      <c r="EH636" s="95">
        <f>EG636</f>
        <v>83</v>
      </c>
      <c r="EI636" s="85">
        <f t="shared" si="2764"/>
        <v>332</v>
      </c>
      <c r="EJ636" s="95">
        <f>37/4</f>
        <v>9.25</v>
      </c>
      <c r="EK636" s="95">
        <f>EJ636</f>
        <v>9.25</v>
      </c>
      <c r="EL636" s="95">
        <f>EK636</f>
        <v>9.25</v>
      </c>
      <c r="EM636" s="95">
        <f>EL636</f>
        <v>9.25</v>
      </c>
      <c r="EN636" s="132">
        <f t="shared" si="2777"/>
        <v>37</v>
      </c>
      <c r="EO636" s="132"/>
      <c r="EP636" s="132"/>
      <c r="EQ636" s="132"/>
      <c r="ER636" s="132"/>
      <c r="ES636" s="95">
        <f>EN636</f>
        <v>37</v>
      </c>
      <c r="ET636" s="95"/>
      <c r="EU636" s="95"/>
      <c r="EV636" s="95"/>
      <c r="EW636" s="95"/>
      <c r="EX636" s="95">
        <f>ES636</f>
        <v>37</v>
      </c>
      <c r="EY636" s="95"/>
      <c r="EZ636" s="95"/>
      <c r="FA636" s="95"/>
      <c r="FB636" s="95"/>
      <c r="FC636" s="95">
        <f>EX636</f>
        <v>37</v>
      </c>
      <c r="FD636" s="95"/>
      <c r="FE636" s="95"/>
      <c r="FF636" s="95"/>
      <c r="FG636" s="95"/>
      <c r="FH636" s="95">
        <f>FC636</f>
        <v>37</v>
      </c>
      <c r="FI636" s="95">
        <f t="shared" ref="FI636:FM636" si="2786">FH636</f>
        <v>37</v>
      </c>
      <c r="FJ636" s="95">
        <f t="shared" si="2786"/>
        <v>37</v>
      </c>
      <c r="FK636" s="95">
        <f t="shared" si="2786"/>
        <v>37</v>
      </c>
      <c r="FL636" s="95">
        <f t="shared" si="2786"/>
        <v>37</v>
      </c>
      <c r="FM636" s="95">
        <f t="shared" si="2786"/>
        <v>37</v>
      </c>
      <c r="FN636" s="189">
        <f t="shared" si="2779"/>
        <v>0</v>
      </c>
      <c r="FO636" s="98"/>
    </row>
    <row r="637" spans="1:171" hidden="1" outlineLevel="1" x14ac:dyDescent="0.3">
      <c r="A637" s="4" t="s">
        <v>19</v>
      </c>
      <c r="DU637" s="803" t="e">
        <f>+DU635+DU636</f>
        <v>#REF!</v>
      </c>
      <c r="DV637" s="803" t="e">
        <f>+DV635+DV636</f>
        <v>#REF!</v>
      </c>
      <c r="DW637" s="803" t="e">
        <f>+DW635+DW636</f>
        <v>#REF!</v>
      </c>
      <c r="DX637" s="803" t="e">
        <f>+DX635+DX636</f>
        <v>#REF!</v>
      </c>
      <c r="DY637" s="85" t="e">
        <f>+SUM(DU637:DX637)</f>
        <v>#REF!</v>
      </c>
      <c r="DZ637" s="803" t="e">
        <f>+DZ635+DZ636</f>
        <v>#REF!</v>
      </c>
      <c r="EA637" s="803" t="e">
        <f>+EA635+EA636</f>
        <v>#REF!</v>
      </c>
      <c r="EB637" s="803" t="e">
        <f>+EB635+EB636</f>
        <v>#REF!</v>
      </c>
      <c r="EC637" s="803" t="e">
        <f>+EC635+EC636</f>
        <v>#REF!</v>
      </c>
      <c r="ED637" s="803" t="e">
        <f t="shared" si="2776"/>
        <v>#REF!</v>
      </c>
      <c r="EE637" s="803" t="e">
        <f>+EE635+EE636</f>
        <v>#REF!</v>
      </c>
      <c r="EF637" s="803" t="e">
        <f>+EF635+EF636</f>
        <v>#REF!</v>
      </c>
      <c r="EG637" s="803" t="e">
        <f>+EG635+EG636</f>
        <v>#REF!</v>
      </c>
      <c r="EH637" s="803" t="e">
        <f>+EH635+EH636</f>
        <v>#REF!</v>
      </c>
      <c r="EI637" s="803" t="e">
        <f t="shared" si="2764"/>
        <v>#REF!</v>
      </c>
      <c r="EJ637" s="803" t="e">
        <f>+EJ635+EJ636</f>
        <v>#REF!</v>
      </c>
      <c r="EK637" s="803" t="e">
        <f>+EK635+EK636</f>
        <v>#REF!</v>
      </c>
      <c r="EL637" s="803" t="e">
        <f>+EL635+EL636</f>
        <v>#REF!</v>
      </c>
      <c r="EM637" s="803" t="e">
        <f>+EM635+EM636</f>
        <v>#REF!</v>
      </c>
      <c r="EN637" s="803" t="e">
        <f t="shared" si="2777"/>
        <v>#REF!</v>
      </c>
      <c r="EO637" s="803"/>
      <c r="EP637" s="803"/>
      <c r="EQ637" s="803"/>
      <c r="ER637" s="803"/>
      <c r="ES637" s="803" t="e">
        <f t="shared" ref="ES637:FM637" si="2787">+ES635+ES636</f>
        <v>#REF!</v>
      </c>
      <c r="ET637" s="803"/>
      <c r="EU637" s="803"/>
      <c r="EV637" s="803"/>
      <c r="EW637" s="803"/>
      <c r="EX637" s="803" t="e">
        <f t="shared" si="2787"/>
        <v>#REF!</v>
      </c>
      <c r="EY637" s="803"/>
      <c r="EZ637" s="803"/>
      <c r="FA637" s="803"/>
      <c r="FB637" s="803"/>
      <c r="FC637" s="803" t="e">
        <f t="shared" si="2787"/>
        <v>#REF!</v>
      </c>
      <c r="FD637" s="803"/>
      <c r="FE637" s="803"/>
      <c r="FF637" s="803"/>
      <c r="FG637" s="803"/>
      <c r="FH637" s="803" t="e">
        <f t="shared" si="2787"/>
        <v>#REF!</v>
      </c>
      <c r="FI637" s="803" t="e">
        <f t="shared" si="2787"/>
        <v>#REF!</v>
      </c>
      <c r="FJ637" s="803" t="e">
        <f t="shared" si="2787"/>
        <v>#REF!</v>
      </c>
      <c r="FK637" s="803" t="e">
        <f t="shared" si="2787"/>
        <v>#REF!</v>
      </c>
      <c r="FL637" s="803" t="e">
        <f t="shared" si="2787"/>
        <v>#REF!</v>
      </c>
      <c r="FM637" s="803" t="e">
        <f t="shared" si="2787"/>
        <v>#REF!</v>
      </c>
      <c r="FN637" s="189" t="e">
        <f t="shared" si="2779"/>
        <v>#REF!</v>
      </c>
    </row>
    <row r="638" spans="1:171" hidden="1" outlineLevel="1" x14ac:dyDescent="0.3">
      <c r="A638" s="73" t="s">
        <v>534</v>
      </c>
      <c r="DU638" s="85"/>
      <c r="DV638" s="85"/>
      <c r="DW638" s="85"/>
      <c r="DX638" s="85"/>
      <c r="DY638" s="85"/>
      <c r="DZ638" s="85"/>
      <c r="EA638" s="85"/>
      <c r="EB638" s="85"/>
      <c r="EC638" s="85"/>
      <c r="ED638" s="85"/>
      <c r="EE638" s="85"/>
      <c r="EF638" s="85"/>
      <c r="EG638" s="85"/>
      <c r="EH638" s="85"/>
      <c r="EI638" s="1206" t="e">
        <f>+Analysis!D4947</f>
        <v>#REF!</v>
      </c>
      <c r="EJ638" s="85"/>
      <c r="EK638" s="85"/>
      <c r="EL638" s="85"/>
      <c r="EM638" s="85"/>
      <c r="EN638" s="1206" t="e">
        <f>+Analysis!I4947</f>
        <v>#REF!</v>
      </c>
      <c r="EO638" s="1206"/>
      <c r="EP638" s="1206"/>
      <c r="EQ638" s="1206"/>
      <c r="ER638" s="1206"/>
      <c r="ES638" s="80" t="e">
        <f>+Analysis!F4947</f>
        <v>#REF!</v>
      </c>
      <c r="ET638" s="80"/>
      <c r="EU638" s="80"/>
      <c r="EV638" s="80"/>
      <c r="EW638" s="80"/>
      <c r="EX638" s="80" t="e">
        <f>+Analysis!G4947</f>
        <v>#REF!</v>
      </c>
      <c r="EY638" s="80"/>
      <c r="EZ638" s="80"/>
      <c r="FA638" s="80"/>
      <c r="FB638" s="80"/>
      <c r="FC638" s="80" t="e">
        <f>+Analysis!H4947</f>
        <v>#REF!</v>
      </c>
      <c r="FD638" s="80"/>
      <c r="FE638" s="80"/>
      <c r="FF638" s="80"/>
      <c r="FG638" s="80"/>
      <c r="FH638" s="80" t="e">
        <f>+Analysis!I4947</f>
        <v>#REF!</v>
      </c>
      <c r="FI638" s="80" t="e">
        <f>+Analysis!J4947</f>
        <v>#REF!</v>
      </c>
      <c r="FJ638" s="80" t="e">
        <f>+Analysis!K4947</f>
        <v>#REF!</v>
      </c>
      <c r="FK638" s="80" t="e">
        <f>+Analysis!L4947</f>
        <v>#REF!</v>
      </c>
      <c r="FL638" s="80" t="e">
        <f>+Analysis!M4947</f>
        <v>#REF!</v>
      </c>
      <c r="FM638" s="80" t="e">
        <f>+Analysis!N4947</f>
        <v>#REF!</v>
      </c>
      <c r="FN638" s="189"/>
    </row>
    <row r="639" spans="1:171" hidden="1" outlineLevel="1" x14ac:dyDescent="0.3">
      <c r="A639" s="73" t="s">
        <v>535</v>
      </c>
      <c r="DU639" s="85"/>
      <c r="DV639" s="85"/>
      <c r="DW639" s="85"/>
      <c r="DX639" s="85"/>
      <c r="DY639" s="85"/>
      <c r="DZ639" s="85"/>
      <c r="EA639" s="85"/>
      <c r="EB639" s="85"/>
      <c r="EC639" s="85"/>
      <c r="ED639" s="85"/>
      <c r="EE639" s="85"/>
      <c r="EF639" s="85"/>
      <c r="EG639" s="85"/>
      <c r="EH639" s="85"/>
      <c r="EI639" s="86" t="e">
        <f>+EI637-EI638</f>
        <v>#REF!</v>
      </c>
      <c r="EJ639" s="85"/>
      <c r="EK639" s="85"/>
      <c r="EL639" s="85"/>
      <c r="EM639" s="85"/>
      <c r="EN639" s="86" t="e">
        <f>+EN637-EN638</f>
        <v>#REF!</v>
      </c>
      <c r="EO639" s="86"/>
      <c r="EP639" s="86"/>
      <c r="EQ639" s="86"/>
      <c r="ER639" s="86"/>
      <c r="ES639" s="77" t="e">
        <f t="shared" ref="ES639:FM639" si="2788">+ES637-ES638</f>
        <v>#REF!</v>
      </c>
      <c r="ET639" s="77"/>
      <c r="EU639" s="77"/>
      <c r="EV639" s="77"/>
      <c r="EW639" s="77"/>
      <c r="EX639" s="77" t="e">
        <f t="shared" si="2788"/>
        <v>#REF!</v>
      </c>
      <c r="EY639" s="77"/>
      <c r="EZ639" s="77"/>
      <c r="FA639" s="77"/>
      <c r="FB639" s="77"/>
      <c r="FC639" s="77" t="e">
        <f t="shared" si="2788"/>
        <v>#REF!</v>
      </c>
      <c r="FD639" s="77"/>
      <c r="FE639" s="77"/>
      <c r="FF639" s="77"/>
      <c r="FG639" s="77"/>
      <c r="FH639" s="77" t="e">
        <f t="shared" si="2788"/>
        <v>#REF!</v>
      </c>
      <c r="FI639" s="77" t="e">
        <f t="shared" si="2788"/>
        <v>#REF!</v>
      </c>
      <c r="FJ639" s="77" t="e">
        <f t="shared" si="2788"/>
        <v>#REF!</v>
      </c>
      <c r="FK639" s="77" t="e">
        <f t="shared" si="2788"/>
        <v>#REF!</v>
      </c>
      <c r="FL639" s="77" t="e">
        <f t="shared" si="2788"/>
        <v>#REF!</v>
      </c>
      <c r="FM639" s="77" t="e">
        <f t="shared" si="2788"/>
        <v>#REF!</v>
      </c>
      <c r="FN639" s="77"/>
    </row>
    <row r="640" spans="1:171" hidden="1" outlineLevel="1" x14ac:dyDescent="0.3">
      <c r="A640" s="73" t="s">
        <v>536</v>
      </c>
      <c r="DU640" s="75" t="e">
        <f t="shared" ref="DU640:EB640" si="2789">+DU636/DU635</f>
        <v>#REF!</v>
      </c>
      <c r="DV640" s="75" t="e">
        <f t="shared" si="2789"/>
        <v>#REF!</v>
      </c>
      <c r="DW640" s="75" t="e">
        <f t="shared" si="2789"/>
        <v>#REF!</v>
      </c>
      <c r="DX640" s="75" t="e">
        <f t="shared" si="2789"/>
        <v>#REF!</v>
      </c>
      <c r="DY640" s="84" t="e">
        <f t="shared" si="2789"/>
        <v>#REF!</v>
      </c>
      <c r="DZ640" s="75" t="e">
        <f t="shared" si="2789"/>
        <v>#REF!</v>
      </c>
      <c r="EA640" s="75" t="e">
        <f t="shared" si="2789"/>
        <v>#REF!</v>
      </c>
      <c r="EB640" s="75" t="e">
        <f t="shared" si="2789"/>
        <v>#REF!</v>
      </c>
      <c r="EC640" s="75" t="e">
        <f>+EC636/EC635</f>
        <v>#REF!</v>
      </c>
      <c r="ED640" s="84" t="e">
        <f>+ED636/ED635</f>
        <v>#REF!</v>
      </c>
      <c r="EE640" s="75" t="e">
        <f>+EE636/EE635</f>
        <v>#REF!</v>
      </c>
      <c r="EF640" s="75" t="e">
        <f>+EF636/EF635</f>
        <v>#REF!</v>
      </c>
      <c r="EG640" s="75" t="e">
        <f>+EG636/EG635</f>
        <v>#REF!</v>
      </c>
      <c r="EH640" s="75" t="e">
        <f t="shared" ref="EH640:FM640" si="2790">+EH636/EH635</f>
        <v>#REF!</v>
      </c>
      <c r="EI640" s="84" t="e">
        <f t="shared" si="2790"/>
        <v>#REF!</v>
      </c>
      <c r="EJ640" s="75" t="e">
        <f t="shared" si="2790"/>
        <v>#REF!</v>
      </c>
      <c r="EK640" s="75" t="e">
        <f t="shared" si="2790"/>
        <v>#REF!</v>
      </c>
      <c r="EL640" s="75" t="e">
        <f t="shared" si="2790"/>
        <v>#REF!</v>
      </c>
      <c r="EM640" s="75" t="e">
        <f t="shared" si="2790"/>
        <v>#REF!</v>
      </c>
      <c r="EN640" s="84" t="e">
        <f t="shared" si="2790"/>
        <v>#REF!</v>
      </c>
      <c r="EO640" s="84"/>
      <c r="EP640" s="84"/>
      <c r="EQ640" s="84"/>
      <c r="ER640" s="84"/>
      <c r="ES640" s="75" t="e">
        <f t="shared" si="2790"/>
        <v>#REF!</v>
      </c>
      <c r="ET640" s="75"/>
      <c r="EU640" s="75"/>
      <c r="EV640" s="75"/>
      <c r="EW640" s="75"/>
      <c r="EX640" s="75" t="e">
        <f t="shared" si="2790"/>
        <v>#REF!</v>
      </c>
      <c r="EY640" s="75"/>
      <c r="EZ640" s="75"/>
      <c r="FA640" s="75"/>
      <c r="FB640" s="75"/>
      <c r="FC640" s="75" t="e">
        <f t="shared" si="2790"/>
        <v>#REF!</v>
      </c>
      <c r="FD640" s="75"/>
      <c r="FE640" s="75"/>
      <c r="FF640" s="75"/>
      <c r="FG640" s="75"/>
      <c r="FH640" s="75" t="e">
        <f t="shared" si="2790"/>
        <v>#REF!</v>
      </c>
      <c r="FI640" s="75" t="e">
        <f t="shared" si="2790"/>
        <v>#REF!</v>
      </c>
      <c r="FJ640" s="75" t="e">
        <f t="shared" si="2790"/>
        <v>#REF!</v>
      </c>
      <c r="FK640" s="75" t="e">
        <f t="shared" si="2790"/>
        <v>#REF!</v>
      </c>
      <c r="FL640" s="75" t="e">
        <f t="shared" si="2790"/>
        <v>#REF!</v>
      </c>
      <c r="FM640" s="75" t="e">
        <f t="shared" si="2790"/>
        <v>#REF!</v>
      </c>
    </row>
    <row r="641" spans="1:169" hidden="1" outlineLevel="1" x14ac:dyDescent="0.3">
      <c r="A641" s="73" t="s">
        <v>537</v>
      </c>
      <c r="DZ641" s="75">
        <f t="shared" ref="DZ641:EN641" si="2791">+DZ620/DU620-1</f>
        <v>-3.5344739892032129E-2</v>
      </c>
      <c r="EA641" s="75">
        <f t="shared" si="2791"/>
        <v>-1.3926006456026707E-2</v>
      </c>
      <c r="EB641" s="75">
        <f t="shared" si="2791"/>
        <v>3.5176560679373026E-3</v>
      </c>
      <c r="EC641" s="75">
        <f t="shared" si="2791"/>
        <v>3.0280342015140516E-2</v>
      </c>
      <c r="ED641" s="84">
        <f t="shared" si="2791"/>
        <v>-4.1637820847141294E-3</v>
      </c>
      <c r="EE641" s="75">
        <f t="shared" si="2791"/>
        <v>4.5669798302141462E-2</v>
      </c>
      <c r="EF641" s="75">
        <f t="shared" si="2791"/>
        <v>7.4607114114912498E-2</v>
      </c>
      <c r="EG641" s="75">
        <f t="shared" si="2791"/>
        <v>7.6432106002554789E-2</v>
      </c>
      <c r="EH641" s="75">
        <f t="shared" si="2791"/>
        <v>4.9563644912012705E-2</v>
      </c>
      <c r="EI641" s="84">
        <f t="shared" si="2791"/>
        <v>6.1540184393652497E-2</v>
      </c>
      <c r="EJ641" s="75">
        <f t="shared" si="2791"/>
        <v>5.1661245512065301E-2</v>
      </c>
      <c r="EK641" s="75">
        <f t="shared" si="2791"/>
        <v>6.3605051041208949E-2</v>
      </c>
      <c r="EL641" s="75">
        <f t="shared" si="2791"/>
        <v>7.0110461055951756E-2</v>
      </c>
      <c r="EM641" s="75">
        <f t="shared" si="2791"/>
        <v>5.8534439337758926E-2</v>
      </c>
      <c r="EN641" s="84">
        <f t="shared" si="2791"/>
        <v>6.1072921062229168E-2</v>
      </c>
      <c r="EO641" s="84"/>
      <c r="EP641" s="84"/>
      <c r="EQ641" s="84"/>
      <c r="ER641" s="84"/>
      <c r="ES641" s="75">
        <f>+ES620/EN620-1</f>
        <v>8.55448097867062E-2</v>
      </c>
      <c r="ET641" s="75"/>
      <c r="EU641" s="75"/>
      <c r="EV641" s="75"/>
      <c r="EW641" s="75"/>
      <c r="EX641" s="75">
        <f>+EX620/ES620-1</f>
        <v>0.11985684489500459</v>
      </c>
      <c r="EY641" s="75"/>
      <c r="EZ641" s="75"/>
      <c r="FA641" s="75"/>
      <c r="FB641" s="75"/>
      <c r="FC641" s="75">
        <f>+FC620/EX620-1</f>
        <v>0.14108902790846178</v>
      </c>
      <c r="FD641" s="75"/>
      <c r="FE641" s="75"/>
      <c r="FF641" s="75"/>
      <c r="FG641" s="75"/>
      <c r="FH641" s="75">
        <f>+FH620/FC620-1</f>
        <v>0.15411445863124973</v>
      </c>
      <c r="FI641" s="75">
        <f t="shared" ref="FI641:FM641" si="2792">+FI620/FH620-1</f>
        <v>0.13808149678075443</v>
      </c>
      <c r="FJ641" s="75">
        <f t="shared" si="2792"/>
        <v>0.11573304086313341</v>
      </c>
      <c r="FK641" s="75">
        <f t="shared" si="2792"/>
        <v>9.405740379210159E-2</v>
      </c>
      <c r="FL641" s="75">
        <f t="shared" si="2792"/>
        <v>7.609760628792217E-2</v>
      </c>
      <c r="FM641" s="75">
        <f t="shared" si="2792"/>
        <v>6.1318501614828325E-2</v>
      </c>
    </row>
    <row r="642" spans="1:169" hidden="1" outlineLevel="1" x14ac:dyDescent="0.3">
      <c r="A642" s="73" t="s">
        <v>538</v>
      </c>
      <c r="DZ642" s="75" t="e">
        <f t="shared" ref="DZ642:EN642" si="2793">+DZ630/DU630-1</f>
        <v>#REF!</v>
      </c>
      <c r="EA642" s="75" t="e">
        <f t="shared" si="2793"/>
        <v>#REF!</v>
      </c>
      <c r="EB642" s="75" t="e">
        <f t="shared" si="2793"/>
        <v>#REF!</v>
      </c>
      <c r="EC642" s="75" t="e">
        <f t="shared" si="2793"/>
        <v>#REF!</v>
      </c>
      <c r="ED642" s="84" t="e">
        <f t="shared" si="2793"/>
        <v>#REF!</v>
      </c>
      <c r="EE642" s="75" t="e">
        <f t="shared" si="2793"/>
        <v>#REF!</v>
      </c>
      <c r="EF642" s="75" t="e">
        <f t="shared" si="2793"/>
        <v>#REF!</v>
      </c>
      <c r="EG642" s="75" t="e">
        <f t="shared" si="2793"/>
        <v>#REF!</v>
      </c>
      <c r="EH642" s="75" t="e">
        <f t="shared" si="2793"/>
        <v>#REF!</v>
      </c>
      <c r="EI642" s="84" t="e">
        <f t="shared" si="2793"/>
        <v>#REF!</v>
      </c>
      <c r="EJ642" s="75" t="e">
        <f t="shared" si="2793"/>
        <v>#REF!</v>
      </c>
      <c r="EK642" s="75" t="e">
        <f t="shared" si="2793"/>
        <v>#REF!</v>
      </c>
      <c r="EL642" s="75">
        <f t="shared" si="2793"/>
        <v>-0.15076751460698357</v>
      </c>
      <c r="EM642" s="75">
        <f t="shared" si="2793"/>
        <v>-0.15996589039662357</v>
      </c>
      <c r="EN642" s="84" t="e">
        <f t="shared" si="2793"/>
        <v>#REF!</v>
      </c>
      <c r="EO642" s="84"/>
      <c r="EP642" s="84"/>
      <c r="EQ642" s="84"/>
      <c r="ER642" s="84"/>
      <c r="ES642" s="75">
        <f>+ES630/EN630-1</f>
        <v>-1</v>
      </c>
      <c r="ET642" s="75"/>
      <c r="EU642" s="75"/>
      <c r="EV642" s="75"/>
      <c r="EW642" s="75"/>
      <c r="EX642" s="75" t="e">
        <f>+EX630/ES630-1</f>
        <v>#DIV/0!</v>
      </c>
      <c r="EY642" s="75"/>
      <c r="EZ642" s="75"/>
      <c r="FA642" s="75"/>
      <c r="FB642" s="75"/>
      <c r="FC642" s="75" t="e">
        <f>+FC630/EX630-1</f>
        <v>#DIV/0!</v>
      </c>
      <c r="FD642" s="75"/>
      <c r="FE642" s="75"/>
      <c r="FF642" s="75"/>
      <c r="FG642" s="75"/>
      <c r="FH642" s="75" t="e">
        <f>+FH630/FC630-1</f>
        <v>#DIV/0!</v>
      </c>
      <c r="FI642" s="75" t="e">
        <f t="shared" ref="FI642:FM642" si="2794">+FI630/FH630-1</f>
        <v>#DIV/0!</v>
      </c>
      <c r="FJ642" s="75" t="e">
        <f t="shared" si="2794"/>
        <v>#DIV/0!</v>
      </c>
      <c r="FK642" s="75" t="e">
        <f t="shared" si="2794"/>
        <v>#DIV/0!</v>
      </c>
      <c r="FL642" s="75" t="e">
        <f t="shared" si="2794"/>
        <v>#DIV/0!</v>
      </c>
      <c r="FM642" s="75" t="e">
        <f t="shared" si="2794"/>
        <v>#DIV/0!</v>
      </c>
    </row>
    <row r="643" spans="1:169" hidden="1" outlineLevel="1" x14ac:dyDescent="0.3">
      <c r="A643" s="73" t="s">
        <v>469</v>
      </c>
      <c r="DZ643" s="75" t="e">
        <f t="shared" ref="DZ643:EN644" si="2795">+DZ633/DU633-1</f>
        <v>#REF!</v>
      </c>
      <c r="EA643" s="75" t="e">
        <f t="shared" si="2795"/>
        <v>#REF!</v>
      </c>
      <c r="EB643" s="75" t="e">
        <f t="shared" si="2795"/>
        <v>#REF!</v>
      </c>
      <c r="EC643" s="75" t="e">
        <f t="shared" si="2795"/>
        <v>#REF!</v>
      </c>
      <c r="ED643" s="84" t="e">
        <f t="shared" si="2795"/>
        <v>#REF!</v>
      </c>
      <c r="EE643" s="75" t="e">
        <f t="shared" si="2795"/>
        <v>#REF!</v>
      </c>
      <c r="EF643" s="75" t="e">
        <f t="shared" si="2795"/>
        <v>#REF!</v>
      </c>
      <c r="EG643" s="75" t="e">
        <f t="shared" si="2795"/>
        <v>#REF!</v>
      </c>
      <c r="EH643" s="75" t="e">
        <f t="shared" si="2795"/>
        <v>#REF!</v>
      </c>
      <c r="EI643" s="84" t="e">
        <f t="shared" si="2795"/>
        <v>#REF!</v>
      </c>
      <c r="EJ643" s="75" t="e">
        <f t="shared" si="2795"/>
        <v>#REF!</v>
      </c>
      <c r="EK643" s="75" t="e">
        <f t="shared" si="2795"/>
        <v>#REF!</v>
      </c>
      <c r="EL643" s="75" t="e">
        <f t="shared" si="2795"/>
        <v>#REF!</v>
      </c>
      <c r="EM643" s="75" t="e">
        <f t="shared" si="2795"/>
        <v>#REF!</v>
      </c>
      <c r="EN643" s="84" t="e">
        <f t="shared" si="2795"/>
        <v>#REF!</v>
      </c>
      <c r="EO643" s="84"/>
      <c r="EP643" s="84"/>
      <c r="EQ643" s="84"/>
      <c r="ER643" s="84"/>
      <c r="ES643" s="75" t="e">
        <f>+ES633/EN633-1</f>
        <v>#REF!</v>
      </c>
      <c r="ET643" s="75"/>
      <c r="EU643" s="75"/>
      <c r="EV643" s="75"/>
      <c r="EW643" s="75"/>
      <c r="EX643" s="75" t="e">
        <f>+EX633/ES633-1</f>
        <v>#REF!</v>
      </c>
      <c r="EY643" s="75"/>
      <c r="EZ643" s="75"/>
      <c r="FA643" s="75"/>
      <c r="FB643" s="75"/>
      <c r="FC643" s="75" t="e">
        <f>+FC633/EX633-1</f>
        <v>#REF!</v>
      </c>
      <c r="FD643" s="75"/>
      <c r="FE643" s="75"/>
      <c r="FF643" s="75"/>
      <c r="FG643" s="75"/>
      <c r="FH643" s="75" t="e">
        <f>+FH633/FC633-1</f>
        <v>#REF!</v>
      </c>
      <c r="FI643" s="75" t="e">
        <f t="shared" ref="FI643:FM644" si="2796">+FI633/FH633-1</f>
        <v>#REF!</v>
      </c>
      <c r="FJ643" s="75" t="e">
        <f t="shared" si="2796"/>
        <v>#REF!</v>
      </c>
      <c r="FK643" s="75" t="e">
        <f t="shared" si="2796"/>
        <v>#REF!</v>
      </c>
      <c r="FL643" s="75" t="e">
        <f t="shared" si="2796"/>
        <v>#REF!</v>
      </c>
      <c r="FM643" s="75" t="e">
        <f t="shared" si="2796"/>
        <v>#REF!</v>
      </c>
    </row>
    <row r="644" spans="1:169" hidden="1" outlineLevel="1" x14ac:dyDescent="0.3">
      <c r="A644" s="73" t="s">
        <v>539</v>
      </c>
      <c r="DZ644" s="75" t="e">
        <f t="shared" si="2795"/>
        <v>#REF!</v>
      </c>
      <c r="EA644" s="75" t="e">
        <f t="shared" si="2795"/>
        <v>#REF!</v>
      </c>
      <c r="EB644" s="75" t="e">
        <f t="shared" si="2795"/>
        <v>#REF!</v>
      </c>
      <c r="EC644" s="75" t="e">
        <f t="shared" si="2795"/>
        <v>#REF!</v>
      </c>
      <c r="ED644" s="84" t="e">
        <f t="shared" si="2795"/>
        <v>#REF!</v>
      </c>
      <c r="EE644" s="75" t="e">
        <f t="shared" si="2795"/>
        <v>#REF!</v>
      </c>
      <c r="EF644" s="75" t="e">
        <f t="shared" si="2795"/>
        <v>#REF!</v>
      </c>
      <c r="EG644" s="75" t="e">
        <f t="shared" si="2795"/>
        <v>#REF!</v>
      </c>
      <c r="EH644" s="75" t="e">
        <f t="shared" si="2795"/>
        <v>#REF!</v>
      </c>
      <c r="EI644" s="84" t="e">
        <f t="shared" si="2795"/>
        <v>#REF!</v>
      </c>
      <c r="EJ644" s="75" t="e">
        <f t="shared" si="2795"/>
        <v>#REF!</v>
      </c>
      <c r="EK644" s="75" t="e">
        <f t="shared" si="2795"/>
        <v>#REF!</v>
      </c>
      <c r="EL644" s="75" t="e">
        <f t="shared" si="2795"/>
        <v>#REF!</v>
      </c>
      <c r="EM644" s="75">
        <f t="shared" si="2795"/>
        <v>-2.6587887740029514E-2</v>
      </c>
      <c r="EN644" s="84" t="e">
        <f t="shared" si="2795"/>
        <v>#REF!</v>
      </c>
      <c r="EO644" s="84"/>
      <c r="EP644" s="84"/>
      <c r="EQ644" s="84"/>
      <c r="ER644" s="84"/>
      <c r="ES644" s="75">
        <f>+ES634/EN634-1</f>
        <v>-1.4520443255636173E-2</v>
      </c>
      <c r="ET644" s="75"/>
      <c r="EU644" s="75"/>
      <c r="EV644" s="75"/>
      <c r="EW644" s="75"/>
      <c r="EX644" s="75">
        <f>+EX634/ES634-1</f>
        <v>-3.3246210770058182E-3</v>
      </c>
      <c r="EY644" s="75"/>
      <c r="EZ644" s="75"/>
      <c r="FA644" s="75"/>
      <c r="FB644" s="75"/>
      <c r="FC644" s="75">
        <f>+FC634/EX634-1</f>
        <v>3.0303282172277068E-3</v>
      </c>
      <c r="FD644" s="75"/>
      <c r="FE644" s="75"/>
      <c r="FF644" s="75"/>
      <c r="FG644" s="75"/>
      <c r="FH644" s="75">
        <f>+FH634/FC634-1</f>
        <v>1.0075672471296926E-2</v>
      </c>
      <c r="FI644" s="75">
        <f t="shared" si="2796"/>
        <v>1.5261918745480996E-2</v>
      </c>
      <c r="FJ644" s="75">
        <f t="shared" si="2796"/>
        <v>1.7075574443923491E-2</v>
      </c>
      <c r="FK644" s="75">
        <f t="shared" si="2796"/>
        <v>1.8760346654742355E-2</v>
      </c>
      <c r="FL644" s="75">
        <f t="shared" si="2796"/>
        <v>2.0407553854461913E-2</v>
      </c>
      <c r="FM644" s="75">
        <f t="shared" si="2796"/>
        <v>2.2056764675364438E-2</v>
      </c>
    </row>
    <row r="645" spans="1:169" hidden="1" outlineLevel="1" x14ac:dyDescent="0.3">
      <c r="A645" s="73" t="s">
        <v>475</v>
      </c>
      <c r="DZ645" s="75" t="e">
        <f t="shared" ref="DZ645:EI645" si="2797">+DZ637/DU637-1</f>
        <v>#REF!</v>
      </c>
      <c r="EA645" s="75" t="e">
        <f t="shared" si="2797"/>
        <v>#REF!</v>
      </c>
      <c r="EB645" s="75" t="e">
        <f t="shared" si="2797"/>
        <v>#REF!</v>
      </c>
      <c r="EC645" s="75" t="e">
        <f t="shared" si="2797"/>
        <v>#REF!</v>
      </c>
      <c r="ED645" s="84" t="e">
        <f t="shared" si="2797"/>
        <v>#REF!</v>
      </c>
      <c r="EE645" s="75" t="e">
        <f t="shared" si="2797"/>
        <v>#REF!</v>
      </c>
      <c r="EF645" s="75" t="e">
        <f t="shared" si="2797"/>
        <v>#REF!</v>
      </c>
      <c r="EG645" s="75" t="e">
        <f t="shared" si="2797"/>
        <v>#REF!</v>
      </c>
      <c r="EH645" s="75" t="e">
        <f t="shared" si="2797"/>
        <v>#REF!</v>
      </c>
      <c r="EI645" s="84" t="e">
        <f t="shared" si="2797"/>
        <v>#REF!</v>
      </c>
      <c r="EJ645" s="75" t="e">
        <f>+EJ637/EE637-1</f>
        <v>#REF!</v>
      </c>
      <c r="EK645" s="75" t="e">
        <f>+EK637/EF637-1</f>
        <v>#REF!</v>
      </c>
      <c r="EL645" s="75" t="e">
        <f>+EL637/EG637-1</f>
        <v>#REF!</v>
      </c>
      <c r="EM645" s="75" t="e">
        <f>+EM637/EH637-1</f>
        <v>#REF!</v>
      </c>
      <c r="EN645" s="84" t="e">
        <f>+EN637/EI637-1</f>
        <v>#REF!</v>
      </c>
      <c r="EO645" s="84"/>
      <c r="EP645" s="84"/>
      <c r="EQ645" s="84"/>
      <c r="ER645" s="84"/>
      <c r="ES645" s="75" t="e">
        <f>+ES637/EN637-1</f>
        <v>#REF!</v>
      </c>
      <c r="ET645" s="75"/>
      <c r="EU645" s="75"/>
      <c r="EV645" s="75"/>
      <c r="EW645" s="75"/>
      <c r="EX645" s="75" t="e">
        <f>+EX637/ES637-1</f>
        <v>#REF!</v>
      </c>
      <c r="EY645" s="75"/>
      <c r="EZ645" s="75"/>
      <c r="FA645" s="75"/>
      <c r="FB645" s="75"/>
      <c r="FC645" s="75" t="e">
        <f>+FC637/EX637-1</f>
        <v>#REF!</v>
      </c>
      <c r="FD645" s="75"/>
      <c r="FE645" s="75"/>
      <c r="FF645" s="75"/>
      <c r="FG645" s="75"/>
      <c r="FH645" s="75" t="e">
        <f>+FH637/FC637-1</f>
        <v>#REF!</v>
      </c>
      <c r="FI645" s="75" t="e">
        <f t="shared" ref="FI645:FM645" si="2798">+FI637/FH637-1</f>
        <v>#REF!</v>
      </c>
      <c r="FJ645" s="75" t="e">
        <f t="shared" si="2798"/>
        <v>#REF!</v>
      </c>
      <c r="FK645" s="75" t="e">
        <f t="shared" si="2798"/>
        <v>#REF!</v>
      </c>
      <c r="FL645" s="75" t="e">
        <f t="shared" si="2798"/>
        <v>#REF!</v>
      </c>
      <c r="FM645" s="75" t="e">
        <f t="shared" si="2798"/>
        <v>#REF!</v>
      </c>
    </row>
    <row r="646" spans="1:169" hidden="1" outlineLevel="1" x14ac:dyDescent="0.3">
      <c r="A646" s="73"/>
      <c r="DZ646" s="75"/>
      <c r="EA646" s="75"/>
      <c r="EB646" s="75"/>
      <c r="EC646" s="75"/>
      <c r="ED646" s="84"/>
      <c r="EE646" s="75"/>
      <c r="EF646" s="75"/>
      <c r="EG646" s="75"/>
      <c r="EH646" s="75"/>
      <c r="EI646" s="84"/>
      <c r="EJ646" s="75"/>
      <c r="EK646" s="75"/>
      <c r="EL646" s="75"/>
      <c r="EM646" s="75"/>
      <c r="EN646" s="84"/>
      <c r="EO646" s="84"/>
      <c r="EP646" s="84"/>
      <c r="EQ646" s="84"/>
      <c r="ER646" s="84"/>
      <c r="ES646" s="75"/>
      <c r="ET646" s="75"/>
      <c r="EU646" s="75"/>
      <c r="EV646" s="75"/>
      <c r="EW646" s="75"/>
      <c r="EY646" s="75"/>
      <c r="EZ646" s="75"/>
      <c r="FA646" s="75"/>
      <c r="FB646" s="75"/>
      <c r="FC646" s="75"/>
      <c r="FD646" s="75"/>
      <c r="FE646" s="75"/>
      <c r="FF646" s="75"/>
      <c r="FG646" s="75"/>
      <c r="FH646" s="75"/>
      <c r="FI646" s="75"/>
      <c r="FJ646" s="75"/>
      <c r="FK646" s="75"/>
      <c r="FL646" s="75"/>
      <c r="FM646" s="75"/>
    </row>
    <row r="647" spans="1:169" hidden="1" outlineLevel="1" x14ac:dyDescent="0.3">
      <c r="A647" s="805" t="s">
        <v>540</v>
      </c>
      <c r="B647" s="806"/>
      <c r="C647" s="806"/>
      <c r="D647" s="806"/>
      <c r="E647" s="806"/>
      <c r="F647" s="806"/>
      <c r="G647" s="806"/>
      <c r="H647" s="806"/>
      <c r="I647" s="806"/>
      <c r="J647" s="806"/>
      <c r="K647" s="806"/>
      <c r="L647" s="806"/>
      <c r="M647" s="806"/>
      <c r="N647" s="806"/>
      <c r="O647" s="806"/>
      <c r="P647" s="806"/>
      <c r="Q647" s="806"/>
      <c r="R647" s="806"/>
      <c r="S647" s="806"/>
      <c r="T647" s="806"/>
      <c r="U647" s="806"/>
      <c r="V647" s="806"/>
      <c r="W647" s="806"/>
      <c r="X647" s="806"/>
      <c r="Y647" s="806"/>
      <c r="Z647" s="806"/>
      <c r="AA647" s="806"/>
      <c r="AB647" s="806"/>
      <c r="AC647" s="806"/>
      <c r="AD647" s="806"/>
      <c r="AE647" s="806"/>
      <c r="AF647" s="806"/>
      <c r="AG647" s="806"/>
      <c r="AH647" s="806"/>
      <c r="AI647" s="806"/>
      <c r="AJ647" s="806"/>
      <c r="AK647" s="806"/>
      <c r="AL647" s="806"/>
      <c r="AM647" s="806"/>
      <c r="AN647" s="806"/>
      <c r="AO647" s="806"/>
      <c r="AP647" s="806"/>
      <c r="AQ647" s="806"/>
      <c r="AR647" s="806"/>
      <c r="AS647" s="806"/>
      <c r="AT647" s="806"/>
      <c r="AU647" s="806"/>
      <c r="AV647" s="806"/>
      <c r="AW647" s="806"/>
      <c r="AX647" s="806"/>
      <c r="AY647" s="806"/>
      <c r="AZ647" s="806"/>
      <c r="BA647" s="806"/>
      <c r="BB647" s="806"/>
      <c r="BC647" s="806"/>
      <c r="BD647" s="806"/>
      <c r="BE647" s="806"/>
      <c r="BF647" s="806"/>
      <c r="BG647" s="806"/>
      <c r="BH647" s="806"/>
      <c r="BI647" s="806"/>
      <c r="BJ647" s="806"/>
      <c r="BK647" s="806"/>
      <c r="BL647" s="806"/>
      <c r="BM647" s="806"/>
      <c r="BN647" s="806"/>
      <c r="BO647" s="806"/>
      <c r="BP647" s="806"/>
      <c r="BQ647" s="806"/>
      <c r="BR647" s="806"/>
      <c r="BS647" s="806"/>
      <c r="BT647" s="806"/>
      <c r="BU647" s="806"/>
      <c r="BV647" s="806"/>
      <c r="BW647" s="806"/>
      <c r="BX647" s="806"/>
      <c r="BY647" s="806"/>
      <c r="BZ647" s="806"/>
      <c r="CA647" s="806"/>
      <c r="CB647" s="806"/>
      <c r="CC647" s="806"/>
      <c r="CD647" s="806"/>
      <c r="CE647" s="806"/>
      <c r="CF647" s="806"/>
      <c r="CG647" s="806"/>
      <c r="CH647" s="806"/>
      <c r="CI647" s="806"/>
      <c r="CJ647" s="806"/>
      <c r="CK647" s="806"/>
      <c r="CL647" s="806"/>
      <c r="CM647" s="806"/>
      <c r="CN647" s="806"/>
      <c r="CO647" s="806"/>
      <c r="CP647" s="806"/>
      <c r="CQ647" s="806"/>
      <c r="CR647" s="806"/>
      <c r="CS647" s="806"/>
      <c r="CT647" s="806"/>
      <c r="CU647" s="806"/>
      <c r="CV647" s="806"/>
      <c r="CW647" s="806"/>
      <c r="CX647" s="806"/>
      <c r="CY647" s="806"/>
      <c r="CZ647" s="806"/>
      <c r="DA647" s="806"/>
      <c r="DB647" s="806"/>
      <c r="DC647" s="806"/>
      <c r="DD647" s="806"/>
      <c r="DE647" s="806"/>
      <c r="DF647" s="806"/>
      <c r="DG647" s="806"/>
      <c r="DH647" s="806"/>
      <c r="DI647" s="806"/>
      <c r="DJ647" s="806"/>
      <c r="DK647" s="806"/>
      <c r="DL647" s="806"/>
      <c r="DM647" s="806"/>
      <c r="DN647" s="806"/>
      <c r="DO647" s="806"/>
      <c r="DP647" s="806"/>
      <c r="DQ647" s="806"/>
      <c r="DR647" s="806"/>
      <c r="DS647" s="806"/>
      <c r="DT647" s="806"/>
      <c r="DU647" s="806"/>
      <c r="DV647" s="806"/>
      <c r="DW647" s="806"/>
      <c r="DX647" s="806"/>
      <c r="DY647" s="1209"/>
      <c r="DZ647" s="807"/>
      <c r="EA647" s="807"/>
      <c r="EB647" s="807"/>
      <c r="EC647" s="807"/>
      <c r="ED647" s="808"/>
      <c r="EE647" s="807"/>
      <c r="EF647" s="807"/>
      <c r="EG647" s="807"/>
      <c r="EH647" s="807"/>
      <c r="EI647" s="808"/>
      <c r="EJ647" s="807"/>
      <c r="EK647" s="807"/>
      <c r="EL647" s="807"/>
      <c r="EM647" s="807"/>
      <c r="EN647" s="808"/>
      <c r="EO647" s="808"/>
      <c r="EP647" s="808"/>
      <c r="EQ647" s="808"/>
      <c r="ER647" s="808"/>
      <c r="ES647" s="807"/>
      <c r="ET647" s="807"/>
      <c r="EU647" s="807"/>
      <c r="EV647" s="807"/>
      <c r="EW647" s="807"/>
      <c r="EX647" s="806"/>
      <c r="EY647" s="807"/>
      <c r="EZ647" s="807"/>
      <c r="FA647" s="807"/>
      <c r="FB647" s="807"/>
      <c r="FC647" s="807"/>
      <c r="FD647" s="807"/>
      <c r="FE647" s="807"/>
      <c r="FF647" s="807"/>
      <c r="FG647" s="807"/>
      <c r="FH647" s="807"/>
      <c r="FI647" s="807"/>
      <c r="FJ647" s="807"/>
      <c r="FK647" s="807"/>
      <c r="FL647" s="807"/>
      <c r="FM647" s="807"/>
    </row>
    <row r="648" spans="1:169" hidden="1" outlineLevel="1" x14ac:dyDescent="0.3">
      <c r="A648" s="809" t="s">
        <v>541</v>
      </c>
      <c r="DU648" s="76">
        <f>+DU659-DU620</f>
        <v>491.19583499999999</v>
      </c>
      <c r="DV648" s="76">
        <f>+DV659-DV620</f>
        <v>494.03507999999999</v>
      </c>
      <c r="DW648" s="76">
        <f>+DW659-DW620</f>
        <v>464.64614000000006</v>
      </c>
      <c r="DX648" s="76">
        <f>+DX659-DX620</f>
        <v>438.14155500000004</v>
      </c>
      <c r="DY648" s="85">
        <f>+SUM(DU648:DX648)</f>
        <v>1888.0186100000001</v>
      </c>
      <c r="DZ648" s="76">
        <f>+DZ659-DZ620</f>
        <v>472.220775</v>
      </c>
      <c r="EA648" s="76">
        <f>+EA659-EA620</f>
        <v>463.47965999999997</v>
      </c>
      <c r="EB648" s="76">
        <f>+EB659-EB620</f>
        <v>450.28708000000006</v>
      </c>
      <c r="EC648" s="76">
        <f>+EC659-EC620</f>
        <v>438.51819</v>
      </c>
      <c r="ED648" s="85">
        <f>+SUM(DZ648:EC648)</f>
        <v>1824.505705</v>
      </c>
      <c r="EE648" s="76">
        <f>+EE659-EE620</f>
        <v>441.73932500000001</v>
      </c>
      <c r="EF648" s="76">
        <f>+EF659-EF620</f>
        <v>424.71710000000007</v>
      </c>
      <c r="EG648" s="76">
        <f>+EG659-EG620</f>
        <v>416.65336500000001</v>
      </c>
      <c r="EH648" s="76" t="e">
        <f>+EH653*EH$652</f>
        <v>#REF!</v>
      </c>
      <c r="EI648" s="85" t="e">
        <f>+SUM(EE648:EH648)</f>
        <v>#REF!</v>
      </c>
      <c r="EJ648" s="76" t="e">
        <f t="shared" ref="EJ648:EM651" si="2799">+EJ653*EJ$652</f>
        <v>#REF!</v>
      </c>
      <c r="EK648" s="76" t="e">
        <f t="shared" si="2799"/>
        <v>#REF!</v>
      </c>
      <c r="EL648" s="76" t="e">
        <f t="shared" si="2799"/>
        <v>#REF!</v>
      </c>
      <c r="EM648" s="76" t="e">
        <f t="shared" si="2799"/>
        <v>#REF!</v>
      </c>
      <c r="EN648" s="85" t="e">
        <f>+SUM(EJ648:EM648)</f>
        <v>#REF!</v>
      </c>
      <c r="EO648" s="85"/>
      <c r="EP648" s="85"/>
      <c r="EQ648" s="85"/>
      <c r="ER648" s="85"/>
      <c r="ES648" s="76" t="e">
        <f t="shared" ref="ES648:FM651" si="2800">+ES653*ES$652</f>
        <v>#REF!</v>
      </c>
      <c r="ET648" s="76"/>
      <c r="EU648" s="76"/>
      <c r="EV648" s="76"/>
      <c r="EW648" s="76"/>
      <c r="EX648" s="76" t="e">
        <f t="shared" si="2800"/>
        <v>#REF!</v>
      </c>
      <c r="EY648" s="76"/>
      <c r="EZ648" s="76"/>
      <c r="FA648" s="76"/>
      <c r="FB648" s="76"/>
      <c r="FC648" s="76" t="e">
        <f t="shared" si="2800"/>
        <v>#REF!</v>
      </c>
      <c r="FD648" s="76"/>
      <c r="FE648" s="76"/>
      <c r="FF648" s="76"/>
      <c r="FG648" s="76"/>
      <c r="FH648" s="76" t="e">
        <f t="shared" si="2800"/>
        <v>#REF!</v>
      </c>
      <c r="FI648" s="76" t="e">
        <f t="shared" si="2800"/>
        <v>#REF!</v>
      </c>
      <c r="FJ648" s="76" t="e">
        <f t="shared" si="2800"/>
        <v>#REF!</v>
      </c>
      <c r="FK648" s="76" t="e">
        <f t="shared" si="2800"/>
        <v>#REF!</v>
      </c>
      <c r="FL648" s="76" t="e">
        <f t="shared" si="2800"/>
        <v>#REF!</v>
      </c>
      <c r="FM648" s="76" t="e">
        <f t="shared" si="2800"/>
        <v>#REF!</v>
      </c>
    </row>
    <row r="649" spans="1:169" hidden="1" outlineLevel="1" x14ac:dyDescent="0.3">
      <c r="A649" s="809" t="s">
        <v>542</v>
      </c>
      <c r="DU649" s="76">
        <f>+DU660-DU631</f>
        <v>372.60526315789468</v>
      </c>
      <c r="DV649" s="76">
        <f>+DV660-DV631</f>
        <v>354.72631578947369</v>
      </c>
      <c r="DW649" s="76">
        <f>+DW660-DW631</f>
        <v>352.12631578947367</v>
      </c>
      <c r="DX649" s="76">
        <f>+DX660-DX631</f>
        <v>337.61052631578946</v>
      </c>
      <c r="DY649" s="85">
        <f>+SUM(DU649:DX649)</f>
        <v>1417.0684210526315</v>
      </c>
      <c r="DZ649" s="76">
        <f>+DZ660-DZ628</f>
        <v>303.34042733126</v>
      </c>
      <c r="EA649" s="76">
        <f>+EA660-EA628</f>
        <v>292.44908354838714</v>
      </c>
      <c r="EB649" s="76">
        <f>+EB660-EB628</f>
        <v>291.106929184938</v>
      </c>
      <c r="EC649" s="76">
        <f>+EC660-EC628</f>
        <v>278.77564038264683</v>
      </c>
      <c r="ED649" s="85">
        <f>+SUM(DZ649:EC649)</f>
        <v>1165.672080447232</v>
      </c>
      <c r="EE649" s="76">
        <f>+EE660-EE628</f>
        <v>288.79560931172074</v>
      </c>
      <c r="EF649" s="76">
        <f>+EF660-EF628</f>
        <v>254.64736427112581</v>
      </c>
      <c r="EG649" s="76">
        <f>+EG660-EG628</f>
        <v>230.90766435762981</v>
      </c>
      <c r="EH649" s="76" t="e">
        <f>+EH654*EH$652</f>
        <v>#REF!</v>
      </c>
      <c r="EI649" s="85" t="e">
        <f>+SUM(EE649:EH649)</f>
        <v>#REF!</v>
      </c>
      <c r="EJ649" s="76" t="e">
        <f t="shared" si="2799"/>
        <v>#REF!</v>
      </c>
      <c r="EK649" s="76" t="e">
        <f t="shared" si="2799"/>
        <v>#REF!</v>
      </c>
      <c r="EL649" s="76" t="e">
        <f t="shared" si="2799"/>
        <v>#REF!</v>
      </c>
      <c r="EM649" s="76" t="e">
        <f t="shared" si="2799"/>
        <v>#REF!</v>
      </c>
      <c r="EN649" s="85" t="e">
        <f>+SUM(EJ649:EM649)</f>
        <v>#REF!</v>
      </c>
      <c r="EO649" s="85"/>
      <c r="EP649" s="85"/>
      <c r="EQ649" s="85"/>
      <c r="ER649" s="85"/>
      <c r="ES649" s="76" t="e">
        <f t="shared" si="2800"/>
        <v>#REF!</v>
      </c>
      <c r="ET649" s="76"/>
      <c r="EU649" s="76"/>
      <c r="EV649" s="76"/>
      <c r="EW649" s="76"/>
      <c r="EX649" s="76" t="e">
        <f t="shared" si="2800"/>
        <v>#REF!</v>
      </c>
      <c r="EY649" s="76"/>
      <c r="EZ649" s="76"/>
      <c r="FA649" s="76"/>
      <c r="FB649" s="76"/>
      <c r="FC649" s="76" t="e">
        <f t="shared" si="2800"/>
        <v>#REF!</v>
      </c>
      <c r="FD649" s="76"/>
      <c r="FE649" s="76"/>
      <c r="FF649" s="76"/>
      <c r="FG649" s="76"/>
      <c r="FH649" s="76" t="e">
        <f t="shared" si="2800"/>
        <v>#REF!</v>
      </c>
      <c r="FI649" s="76" t="e">
        <f t="shared" si="2800"/>
        <v>#REF!</v>
      </c>
      <c r="FJ649" s="76" t="e">
        <f t="shared" si="2800"/>
        <v>#REF!</v>
      </c>
      <c r="FK649" s="76" t="e">
        <f t="shared" si="2800"/>
        <v>#REF!</v>
      </c>
      <c r="FL649" s="76" t="e">
        <f t="shared" si="2800"/>
        <v>#REF!</v>
      </c>
      <c r="FM649" s="76" t="e">
        <f t="shared" si="2800"/>
        <v>#REF!</v>
      </c>
    </row>
    <row r="650" spans="1:169" hidden="1" outlineLevel="1" x14ac:dyDescent="0.3">
      <c r="A650" s="809" t="s">
        <v>461</v>
      </c>
      <c r="DU650" s="76" t="e">
        <f>+DU661-DU630</f>
        <v>#REF!</v>
      </c>
      <c r="DV650" s="76" t="e">
        <f>+DV661-DV630</f>
        <v>#REF!</v>
      </c>
      <c r="DW650" s="76" t="e">
        <f>+DW661-DW630</f>
        <v>#REF!</v>
      </c>
      <c r="DX650" s="76" t="e">
        <f>+DX661-DX630</f>
        <v>#REF!</v>
      </c>
      <c r="DY650" s="85" t="e">
        <f>+SUM(DU650:DX650)</f>
        <v>#REF!</v>
      </c>
      <c r="DZ650" s="76">
        <f>+DZ661-DZ624</f>
        <v>22.844480000000033</v>
      </c>
      <c r="EA650" s="76">
        <f>+EA661-EA624</f>
        <v>20.079319999999996</v>
      </c>
      <c r="EB650" s="76">
        <f>+EB661-EB624</f>
        <v>19.670355000000029</v>
      </c>
      <c r="EC650" s="76">
        <f>+EC661-EC624</f>
        <v>23.737570000000005</v>
      </c>
      <c r="ED650" s="85">
        <f>+SUM(DZ650:EC650)</f>
        <v>86.331725000000063</v>
      </c>
      <c r="EE650" s="76">
        <f>+EE661-EE624</f>
        <v>18.117385000000013</v>
      </c>
      <c r="EF650" s="76" t="e">
        <f>+EF661-EF630</f>
        <v>#REF!</v>
      </c>
      <c r="EG650" s="76">
        <f>+EG661-EG630</f>
        <v>10.686019999999957</v>
      </c>
      <c r="EH650" s="76" t="e">
        <f>+EH655*EH$652</f>
        <v>#REF!</v>
      </c>
      <c r="EI650" s="85" t="e">
        <f>+SUM(EE650:EH650)</f>
        <v>#REF!</v>
      </c>
      <c r="EJ650" s="76" t="e">
        <f t="shared" si="2799"/>
        <v>#REF!</v>
      </c>
      <c r="EK650" s="76" t="e">
        <f t="shared" si="2799"/>
        <v>#REF!</v>
      </c>
      <c r="EL650" s="76" t="e">
        <f t="shared" si="2799"/>
        <v>#REF!</v>
      </c>
      <c r="EM650" s="76" t="e">
        <f t="shared" si="2799"/>
        <v>#REF!</v>
      </c>
      <c r="EN650" s="85" t="e">
        <f>+SUM(EJ650:EM650)</f>
        <v>#REF!</v>
      </c>
      <c r="EO650" s="85"/>
      <c r="EP650" s="85"/>
      <c r="EQ650" s="85"/>
      <c r="ER650" s="85"/>
      <c r="ES650" s="76" t="e">
        <f t="shared" si="2800"/>
        <v>#REF!</v>
      </c>
      <c r="ET650" s="76"/>
      <c r="EU650" s="76"/>
      <c r="EV650" s="76"/>
      <c r="EW650" s="76"/>
      <c r="EX650" s="76" t="e">
        <f t="shared" si="2800"/>
        <v>#REF!</v>
      </c>
      <c r="EY650" s="76"/>
      <c r="EZ650" s="76"/>
      <c r="FA650" s="76"/>
      <c r="FB650" s="76"/>
      <c r="FC650" s="76" t="e">
        <f t="shared" si="2800"/>
        <v>#REF!</v>
      </c>
      <c r="FD650" s="76"/>
      <c r="FE650" s="76"/>
      <c r="FF650" s="76"/>
      <c r="FG650" s="76"/>
      <c r="FH650" s="76" t="e">
        <f t="shared" si="2800"/>
        <v>#REF!</v>
      </c>
      <c r="FI650" s="76" t="e">
        <f t="shared" si="2800"/>
        <v>#REF!</v>
      </c>
      <c r="FJ650" s="76" t="e">
        <f t="shared" si="2800"/>
        <v>#REF!</v>
      </c>
      <c r="FK650" s="76" t="e">
        <f t="shared" si="2800"/>
        <v>#REF!</v>
      </c>
      <c r="FL650" s="76" t="e">
        <f t="shared" si="2800"/>
        <v>#REF!</v>
      </c>
      <c r="FM650" s="76" t="e">
        <f t="shared" si="2800"/>
        <v>#REF!</v>
      </c>
    </row>
    <row r="651" spans="1:169" hidden="1" outlineLevel="1" x14ac:dyDescent="0.3">
      <c r="A651" s="809" t="s">
        <v>34</v>
      </c>
      <c r="DU651" s="76" t="e">
        <f>+DU662-DU632</f>
        <v>#REF!</v>
      </c>
      <c r="DV651" s="76" t="e">
        <f>+DV662-DV632</f>
        <v>#REF!</v>
      </c>
      <c r="DW651" s="76" t="e">
        <f>+DW662-DW632</f>
        <v>#REF!</v>
      </c>
      <c r="DX651" s="76" t="e">
        <f>+DX662-DX632</f>
        <v>#REF!</v>
      </c>
      <c r="DY651" s="85" t="e">
        <f>+SUM(DU651:DX651)</f>
        <v>#REF!</v>
      </c>
      <c r="DZ651" s="76" t="e">
        <f>+DZ662-DZ632</f>
        <v>#REF!</v>
      </c>
      <c r="EA651" s="76" t="e">
        <f>+EA662-EA632</f>
        <v>#REF!</v>
      </c>
      <c r="EB651" s="76" t="e">
        <f>+EB662-EB632</f>
        <v>#REF!</v>
      </c>
      <c r="EC651" s="76" t="e">
        <f>+EC662-EC632</f>
        <v>#REF!</v>
      </c>
      <c r="ED651" s="85" t="e">
        <f>+SUM(DZ651:EC651)</f>
        <v>#REF!</v>
      </c>
      <c r="EE651" s="76" t="e">
        <f>+EE662-EE632</f>
        <v>#REF!</v>
      </c>
      <c r="EF651" s="76" t="e">
        <f>+EF662-EF632</f>
        <v>#REF!</v>
      </c>
      <c r="EG651" s="76" t="e">
        <f>+EG662-EG632</f>
        <v>#REF!</v>
      </c>
      <c r="EH651" s="76" t="e">
        <f>+EH656*EH$652</f>
        <v>#REF!</v>
      </c>
      <c r="EI651" s="85" t="e">
        <f>+SUM(EE651:EH651)</f>
        <v>#REF!</v>
      </c>
      <c r="EJ651" s="76" t="e">
        <f t="shared" si="2799"/>
        <v>#REF!</v>
      </c>
      <c r="EK651" s="76" t="e">
        <f t="shared" si="2799"/>
        <v>#REF!</v>
      </c>
      <c r="EL651" s="76" t="e">
        <f t="shared" si="2799"/>
        <v>#REF!</v>
      </c>
      <c r="EM651" s="76" t="e">
        <f t="shared" si="2799"/>
        <v>#REF!</v>
      </c>
      <c r="EN651" s="85" t="e">
        <f>+SUM(EJ651:EM651)</f>
        <v>#REF!</v>
      </c>
      <c r="EO651" s="85"/>
      <c r="EP651" s="85"/>
      <c r="EQ651" s="85"/>
      <c r="ER651" s="85"/>
      <c r="ES651" s="76" t="e">
        <f t="shared" si="2800"/>
        <v>#REF!</v>
      </c>
      <c r="ET651" s="76"/>
      <c r="EU651" s="76"/>
      <c r="EV651" s="76"/>
      <c r="EW651" s="76"/>
      <c r="EX651" s="76" t="e">
        <f t="shared" si="2800"/>
        <v>#REF!</v>
      </c>
      <c r="EY651" s="76"/>
      <c r="EZ651" s="76"/>
      <c r="FA651" s="76"/>
      <c r="FB651" s="76"/>
      <c r="FC651" s="76" t="e">
        <f t="shared" si="2800"/>
        <v>#REF!</v>
      </c>
      <c r="FD651" s="76"/>
      <c r="FE651" s="76"/>
      <c r="FF651" s="76"/>
      <c r="FG651" s="76"/>
      <c r="FH651" s="76" t="e">
        <f t="shared" si="2800"/>
        <v>#REF!</v>
      </c>
      <c r="FI651" s="76" t="e">
        <f t="shared" si="2800"/>
        <v>#REF!</v>
      </c>
      <c r="FJ651" s="76" t="e">
        <f t="shared" si="2800"/>
        <v>#REF!</v>
      </c>
      <c r="FK651" s="76" t="e">
        <f t="shared" si="2800"/>
        <v>#REF!</v>
      </c>
      <c r="FL651" s="76" t="e">
        <f t="shared" si="2800"/>
        <v>#REF!</v>
      </c>
      <c r="FM651" s="76" t="e">
        <f t="shared" si="2800"/>
        <v>#REF!</v>
      </c>
    </row>
    <row r="652" spans="1:169" hidden="1" outlineLevel="1" x14ac:dyDescent="0.3">
      <c r="A652" s="810" t="s">
        <v>266</v>
      </c>
      <c r="DU652" s="803" t="e">
        <f>+SUM(DU648:DU651)</f>
        <v>#REF!</v>
      </c>
      <c r="DV652" s="803" t="e">
        <f>+SUM(DV648:DV651)</f>
        <v>#REF!</v>
      </c>
      <c r="DW652" s="803" t="e">
        <f>+SUM(DW648:DW651)</f>
        <v>#REF!</v>
      </c>
      <c r="DX652" s="803" t="e">
        <f>+SUM(DX648:DX651)</f>
        <v>#REF!</v>
      </c>
      <c r="DY652" s="803" t="e">
        <f>+SUM(DU652:DX652)</f>
        <v>#REF!</v>
      </c>
      <c r="DZ652" s="803" t="e">
        <f>+SUM(DZ648:DZ651)</f>
        <v>#REF!</v>
      </c>
      <c r="EA652" s="803" t="e">
        <f>+SUM(EA648:EA651)</f>
        <v>#REF!</v>
      </c>
      <c r="EB652" s="803" t="e">
        <f>+SUM(EB648:EB651)</f>
        <v>#REF!</v>
      </c>
      <c r="EC652" s="803" t="e">
        <f>+SUM(EC648:EC651)</f>
        <v>#REF!</v>
      </c>
      <c r="ED652" s="803" t="e">
        <f>+SUM(DZ652:EC652)</f>
        <v>#REF!</v>
      </c>
      <c r="EE652" s="803" t="e">
        <f>+SUM(EE648:EE651)</f>
        <v>#REF!</v>
      </c>
      <c r="EF652" s="803" t="e">
        <f>+SUM(EF648:EF651)</f>
        <v>#REF!</v>
      </c>
      <c r="EG652" s="803" t="e">
        <f>+SUM(EG648:EG651)</f>
        <v>#REF!</v>
      </c>
      <c r="EH652" s="803">
        <f>+EH634</f>
        <v>677</v>
      </c>
      <c r="EI652" s="803" t="e">
        <f>+SUM(EE652:EH652)</f>
        <v>#REF!</v>
      </c>
      <c r="EJ652" s="803">
        <f>+EJ634</f>
        <v>666</v>
      </c>
      <c r="EK652" s="803">
        <f>+EK634</f>
        <v>651</v>
      </c>
      <c r="EL652" s="803">
        <f>+EL634</f>
        <v>641</v>
      </c>
      <c r="EM652" s="803">
        <f>+EM634</f>
        <v>659</v>
      </c>
      <c r="EN652" s="803">
        <f>+SUM(EJ652:EM652)</f>
        <v>2617</v>
      </c>
      <c r="EO652" s="803"/>
      <c r="EP652" s="803"/>
      <c r="EQ652" s="803"/>
      <c r="ER652" s="803"/>
      <c r="ES652" s="804">
        <f t="shared" ref="ES652:FM652" si="2801">+ES634</f>
        <v>2579</v>
      </c>
      <c r="ET652" s="804"/>
      <c r="EU652" s="804"/>
      <c r="EV652" s="804"/>
      <c r="EW652" s="804"/>
      <c r="EX652" s="804">
        <f t="shared" si="2801"/>
        <v>2570.4258022424019</v>
      </c>
      <c r="EY652" s="804"/>
      <c r="EZ652" s="804"/>
      <c r="FA652" s="804"/>
      <c r="FB652" s="804"/>
      <c r="FC652" s="804">
        <f t="shared" si="2801"/>
        <v>2578.2150360812275</v>
      </c>
      <c r="FD652" s="804"/>
      <c r="FE652" s="804"/>
      <c r="FF652" s="804"/>
      <c r="FG652" s="804"/>
      <c r="FH652" s="804">
        <f t="shared" si="2801"/>
        <v>2604.1922863453547</v>
      </c>
      <c r="FI652" s="804">
        <f t="shared" si="2801"/>
        <v>2643.9372574171657</v>
      </c>
      <c r="FJ652" s="804">
        <f t="shared" si="2801"/>
        <v>2689.0840048812552</v>
      </c>
      <c r="FK652" s="804">
        <f t="shared" si="2801"/>
        <v>2739.5321529965504</v>
      </c>
      <c r="FL652" s="804">
        <f t="shared" si="2801"/>
        <v>2795.4393029448574</v>
      </c>
      <c r="FM652" s="804">
        <f t="shared" si="2801"/>
        <v>2857.0976498141767</v>
      </c>
    </row>
    <row r="653" spans="1:169" hidden="1" outlineLevel="1" x14ac:dyDescent="0.3">
      <c r="A653" s="94" t="s">
        <v>543</v>
      </c>
      <c r="DU653" s="74" t="e">
        <f t="shared" ref="DU653:EG656" si="2802">+DU648/DU$652</f>
        <v>#REF!</v>
      </c>
      <c r="DV653" s="74" t="e">
        <f t="shared" si="2802"/>
        <v>#REF!</v>
      </c>
      <c r="DW653" s="74" t="e">
        <f t="shared" si="2802"/>
        <v>#REF!</v>
      </c>
      <c r="DX653" s="74" t="e">
        <f t="shared" si="2802"/>
        <v>#REF!</v>
      </c>
      <c r="DY653" s="92" t="e">
        <f t="shared" si="2802"/>
        <v>#REF!</v>
      </c>
      <c r="DZ653" s="74" t="e">
        <f t="shared" si="2802"/>
        <v>#REF!</v>
      </c>
      <c r="EA653" s="74" t="e">
        <f t="shared" si="2802"/>
        <v>#REF!</v>
      </c>
      <c r="EB653" s="74" t="e">
        <f t="shared" si="2802"/>
        <v>#REF!</v>
      </c>
      <c r="EC653" s="74" t="e">
        <f t="shared" si="2802"/>
        <v>#REF!</v>
      </c>
      <c r="ED653" s="92" t="e">
        <f t="shared" si="2802"/>
        <v>#REF!</v>
      </c>
      <c r="EE653" s="74" t="e">
        <f t="shared" si="2802"/>
        <v>#REF!</v>
      </c>
      <c r="EF653" s="74" t="e">
        <f t="shared" si="2802"/>
        <v>#REF!</v>
      </c>
      <c r="EG653" s="74" t="e">
        <f t="shared" si="2802"/>
        <v>#REF!</v>
      </c>
      <c r="EH653" s="99" t="e">
        <f>+EG653/EB653*EC653</f>
        <v>#REF!</v>
      </c>
      <c r="EI653" s="92" t="e">
        <f>+EI648/EI$652</f>
        <v>#REF!</v>
      </c>
      <c r="EJ653" s="99" t="e">
        <f t="shared" ref="EJ653:EM654" si="2803">+EI653/ED653*EE653*1.0025</f>
        <v>#REF!</v>
      </c>
      <c r="EK653" s="99" t="e">
        <f t="shared" si="2803"/>
        <v>#REF!</v>
      </c>
      <c r="EL653" s="99" t="e">
        <f t="shared" si="2803"/>
        <v>#REF!</v>
      </c>
      <c r="EM653" s="99" t="e">
        <f t="shared" si="2803"/>
        <v>#REF!</v>
      </c>
      <c r="EN653" s="92" t="e">
        <f>+EN648/EN$652</f>
        <v>#REF!</v>
      </c>
      <c r="EO653" s="92"/>
      <c r="EP653" s="92"/>
      <c r="EQ653" s="92"/>
      <c r="ER653" s="92"/>
      <c r="ES653" s="99" t="e">
        <f>+EN653/EI653*EN653*1.0025</f>
        <v>#REF!</v>
      </c>
      <c r="ET653" s="99"/>
      <c r="EU653" s="99"/>
      <c r="EV653" s="99"/>
      <c r="EW653" s="99"/>
      <c r="EX653" s="99" t="e">
        <f>+ES653/EN653*ES653*1.0025</f>
        <v>#REF!</v>
      </c>
      <c r="EY653" s="99"/>
      <c r="EZ653" s="99"/>
      <c r="FA653" s="99"/>
      <c r="FB653" s="99"/>
      <c r="FC653" s="99" t="e">
        <f>+EX653/ES653*EX653*1.0025</f>
        <v>#REF!</v>
      </c>
      <c r="FD653" s="99"/>
      <c r="FE653" s="99"/>
      <c r="FF653" s="99"/>
      <c r="FG653" s="99"/>
      <c r="FH653" s="99" t="e">
        <f>+FC653/EX653*FC653*1.0025</f>
        <v>#REF!</v>
      </c>
      <c r="FI653" s="99" t="e">
        <f>+FH653/FC653*FH653*1.0025</f>
        <v>#REF!</v>
      </c>
      <c r="FJ653" s="99" t="e">
        <f t="shared" ref="FJ653:FM653" si="2804">+FI653/FH653*FI653*1.0025</f>
        <v>#REF!</v>
      </c>
      <c r="FK653" s="99" t="e">
        <f t="shared" si="2804"/>
        <v>#REF!</v>
      </c>
      <c r="FL653" s="99" t="e">
        <f t="shared" si="2804"/>
        <v>#REF!</v>
      </c>
      <c r="FM653" s="99" t="e">
        <f t="shared" si="2804"/>
        <v>#REF!</v>
      </c>
    </row>
    <row r="654" spans="1:169" hidden="1" outlineLevel="1" x14ac:dyDescent="0.3">
      <c r="A654" s="94" t="s">
        <v>544</v>
      </c>
      <c r="DU654" s="74" t="e">
        <f t="shared" si="2802"/>
        <v>#REF!</v>
      </c>
      <c r="DV654" s="74" t="e">
        <f t="shared" si="2802"/>
        <v>#REF!</v>
      </c>
      <c r="DW654" s="74" t="e">
        <f t="shared" si="2802"/>
        <v>#REF!</v>
      </c>
      <c r="DX654" s="74" t="e">
        <f t="shared" si="2802"/>
        <v>#REF!</v>
      </c>
      <c r="DY654" s="92" t="e">
        <f t="shared" si="2802"/>
        <v>#REF!</v>
      </c>
      <c r="DZ654" s="74" t="e">
        <f t="shared" si="2802"/>
        <v>#REF!</v>
      </c>
      <c r="EA654" s="74" t="e">
        <f t="shared" si="2802"/>
        <v>#REF!</v>
      </c>
      <c r="EB654" s="74" t="e">
        <f t="shared" si="2802"/>
        <v>#REF!</v>
      </c>
      <c r="EC654" s="74" t="e">
        <f t="shared" si="2802"/>
        <v>#REF!</v>
      </c>
      <c r="ED654" s="92" t="e">
        <f t="shared" si="2802"/>
        <v>#REF!</v>
      </c>
      <c r="EE654" s="74" t="e">
        <f t="shared" si="2802"/>
        <v>#REF!</v>
      </c>
      <c r="EF654" s="74" t="e">
        <f t="shared" si="2802"/>
        <v>#REF!</v>
      </c>
      <c r="EG654" s="74" t="e">
        <f t="shared" si="2802"/>
        <v>#REF!</v>
      </c>
      <c r="EH654" s="99" t="e">
        <f>+EG654/EB654*EC654</f>
        <v>#REF!</v>
      </c>
      <c r="EI654" s="92" t="e">
        <f>+EI649/EI$652</f>
        <v>#REF!</v>
      </c>
      <c r="EJ654" s="99" t="e">
        <f t="shared" si="2803"/>
        <v>#REF!</v>
      </c>
      <c r="EK654" s="99" t="e">
        <f t="shared" si="2803"/>
        <v>#REF!</v>
      </c>
      <c r="EL654" s="99" t="e">
        <f t="shared" si="2803"/>
        <v>#REF!</v>
      </c>
      <c r="EM654" s="99" t="e">
        <f t="shared" si="2803"/>
        <v>#REF!</v>
      </c>
      <c r="EN654" s="92" t="e">
        <f>+EN649/EN$652</f>
        <v>#REF!</v>
      </c>
      <c r="EO654" s="92"/>
      <c r="EP654" s="92"/>
      <c r="EQ654" s="92"/>
      <c r="ER654" s="92"/>
      <c r="ES654" s="99" t="e">
        <f t="shared" ref="ES654:FM654" si="2805">1-SUM(ES655:ES656,ES653)</f>
        <v>#REF!</v>
      </c>
      <c r="ET654" s="99"/>
      <c r="EU654" s="99"/>
      <c r="EV654" s="99"/>
      <c r="EW654" s="99"/>
      <c r="EX654" s="99" t="e">
        <f t="shared" si="2805"/>
        <v>#REF!</v>
      </c>
      <c r="EY654" s="99"/>
      <c r="EZ654" s="99"/>
      <c r="FA654" s="99"/>
      <c r="FB654" s="99"/>
      <c r="FC654" s="99" t="e">
        <f t="shared" si="2805"/>
        <v>#REF!</v>
      </c>
      <c r="FD654" s="99"/>
      <c r="FE654" s="99"/>
      <c r="FF654" s="99"/>
      <c r="FG654" s="99"/>
      <c r="FH654" s="99" t="e">
        <f t="shared" si="2805"/>
        <v>#REF!</v>
      </c>
      <c r="FI654" s="99" t="e">
        <f t="shared" si="2805"/>
        <v>#REF!</v>
      </c>
      <c r="FJ654" s="99" t="e">
        <f t="shared" si="2805"/>
        <v>#REF!</v>
      </c>
      <c r="FK654" s="99" t="e">
        <f t="shared" si="2805"/>
        <v>#REF!</v>
      </c>
      <c r="FL654" s="99" t="e">
        <f t="shared" si="2805"/>
        <v>#REF!</v>
      </c>
      <c r="FM654" s="99" t="e">
        <f t="shared" si="2805"/>
        <v>#REF!</v>
      </c>
    </row>
    <row r="655" spans="1:169" hidden="1" outlineLevel="1" x14ac:dyDescent="0.3">
      <c r="A655" s="94" t="s">
        <v>545</v>
      </c>
      <c r="DU655" s="74" t="e">
        <f t="shared" si="2802"/>
        <v>#REF!</v>
      </c>
      <c r="DV655" s="74" t="e">
        <f t="shared" si="2802"/>
        <v>#REF!</v>
      </c>
      <c r="DW655" s="74" t="e">
        <f t="shared" si="2802"/>
        <v>#REF!</v>
      </c>
      <c r="DX655" s="74" t="e">
        <f t="shared" si="2802"/>
        <v>#REF!</v>
      </c>
      <c r="DY655" s="92" t="e">
        <f t="shared" si="2802"/>
        <v>#REF!</v>
      </c>
      <c r="DZ655" s="74" t="e">
        <f t="shared" si="2802"/>
        <v>#REF!</v>
      </c>
      <c r="EA655" s="74" t="e">
        <f t="shared" si="2802"/>
        <v>#REF!</v>
      </c>
      <c r="EB655" s="74" t="e">
        <f t="shared" si="2802"/>
        <v>#REF!</v>
      </c>
      <c r="EC655" s="74" t="e">
        <f t="shared" si="2802"/>
        <v>#REF!</v>
      </c>
      <c r="ED655" s="92" t="e">
        <f t="shared" si="2802"/>
        <v>#REF!</v>
      </c>
      <c r="EE655" s="74" t="e">
        <f t="shared" si="2802"/>
        <v>#REF!</v>
      </c>
      <c r="EF655" s="74" t="e">
        <f t="shared" si="2802"/>
        <v>#REF!</v>
      </c>
      <c r="EG655" s="74" t="e">
        <f t="shared" si="2802"/>
        <v>#REF!</v>
      </c>
      <c r="EH655" s="99" t="e">
        <f>EG655*0.99</f>
        <v>#REF!</v>
      </c>
      <c r="EI655" s="92" t="e">
        <f>+EI650/EI$652</f>
        <v>#REF!</v>
      </c>
      <c r="EJ655" s="99" t="e">
        <f>EH655*0.975</f>
        <v>#REF!</v>
      </c>
      <c r="EK655" s="99" t="e">
        <f>EJ655*0.975</f>
        <v>#REF!</v>
      </c>
      <c r="EL655" s="99" t="e">
        <f>EK655*0.975</f>
        <v>#REF!</v>
      </c>
      <c r="EM655" s="99" t="e">
        <f>EL655*0.975</f>
        <v>#REF!</v>
      </c>
      <c r="EN655" s="92" t="e">
        <f>+EN650/EN$652</f>
        <v>#REF!</v>
      </c>
      <c r="EO655" s="92"/>
      <c r="EP655" s="92"/>
      <c r="EQ655" s="92"/>
      <c r="ER655" s="92"/>
      <c r="ES655" s="99" t="e">
        <f>EN655*0.9</f>
        <v>#REF!</v>
      </c>
      <c r="ET655" s="99"/>
      <c r="EU655" s="99"/>
      <c r="EV655" s="99"/>
      <c r="EW655" s="99"/>
      <c r="EX655" s="99" t="e">
        <f>ES655*0.9</f>
        <v>#REF!</v>
      </c>
      <c r="EY655" s="99"/>
      <c r="EZ655" s="99"/>
      <c r="FA655" s="99"/>
      <c r="FB655" s="99"/>
      <c r="FC655" s="99" t="e">
        <f>EX655*0.9</f>
        <v>#REF!</v>
      </c>
      <c r="FD655" s="99"/>
      <c r="FE655" s="99"/>
      <c r="FF655" s="99"/>
      <c r="FG655" s="99"/>
      <c r="FH655" s="99" t="e">
        <f>FC655*0.9</f>
        <v>#REF!</v>
      </c>
      <c r="FI655" s="99" t="e">
        <f t="shared" ref="FI655:FM655" si="2806">FH655*0.9</f>
        <v>#REF!</v>
      </c>
      <c r="FJ655" s="99" t="e">
        <f t="shared" si="2806"/>
        <v>#REF!</v>
      </c>
      <c r="FK655" s="99" t="e">
        <f t="shared" si="2806"/>
        <v>#REF!</v>
      </c>
      <c r="FL655" s="99" t="e">
        <f t="shared" si="2806"/>
        <v>#REF!</v>
      </c>
      <c r="FM655" s="99" t="e">
        <f t="shared" si="2806"/>
        <v>#REF!</v>
      </c>
    </row>
    <row r="656" spans="1:169" hidden="1" outlineLevel="1" x14ac:dyDescent="0.3">
      <c r="A656" s="94" t="s">
        <v>546</v>
      </c>
      <c r="DU656" s="74" t="e">
        <f t="shared" si="2802"/>
        <v>#REF!</v>
      </c>
      <c r="DV656" s="74" t="e">
        <f t="shared" si="2802"/>
        <v>#REF!</v>
      </c>
      <c r="DW656" s="74" t="e">
        <f t="shared" si="2802"/>
        <v>#REF!</v>
      </c>
      <c r="DX656" s="74" t="e">
        <f t="shared" si="2802"/>
        <v>#REF!</v>
      </c>
      <c r="DY656" s="92" t="e">
        <f t="shared" si="2802"/>
        <v>#REF!</v>
      </c>
      <c r="DZ656" s="74" t="e">
        <f t="shared" si="2802"/>
        <v>#REF!</v>
      </c>
      <c r="EA656" s="74" t="e">
        <f t="shared" si="2802"/>
        <v>#REF!</v>
      </c>
      <c r="EB656" s="74" t="e">
        <f t="shared" si="2802"/>
        <v>#REF!</v>
      </c>
      <c r="EC656" s="74" t="e">
        <f t="shared" si="2802"/>
        <v>#REF!</v>
      </c>
      <c r="ED656" s="92" t="e">
        <f t="shared" si="2802"/>
        <v>#REF!</v>
      </c>
      <c r="EE656" s="74" t="e">
        <f t="shared" si="2802"/>
        <v>#REF!</v>
      </c>
      <c r="EF656" s="74" t="e">
        <f t="shared" si="2802"/>
        <v>#REF!</v>
      </c>
      <c r="EG656" s="74" t="e">
        <f t="shared" si="2802"/>
        <v>#REF!</v>
      </c>
      <c r="EH656" s="99" t="e">
        <f t="shared" ref="EH656:EM656" si="2807">1-SUM(EH653:EH655)</f>
        <v>#REF!</v>
      </c>
      <c r="EI656" s="92" t="e">
        <f>+EI651/EI$652</f>
        <v>#REF!</v>
      </c>
      <c r="EJ656" s="99" t="e">
        <f t="shared" si="2807"/>
        <v>#REF!</v>
      </c>
      <c r="EK656" s="99" t="e">
        <f t="shared" si="2807"/>
        <v>#REF!</v>
      </c>
      <c r="EL656" s="99" t="e">
        <f t="shared" si="2807"/>
        <v>#REF!</v>
      </c>
      <c r="EM656" s="99" t="e">
        <f t="shared" si="2807"/>
        <v>#REF!</v>
      </c>
      <c r="EN656" s="92" t="e">
        <f>+EN651/EN$652</f>
        <v>#REF!</v>
      </c>
      <c r="EO656" s="92"/>
      <c r="EP656" s="92"/>
      <c r="EQ656" s="92"/>
      <c r="ER656" s="92"/>
      <c r="ES656" s="99" t="e">
        <f>+EN656*0.98</f>
        <v>#REF!</v>
      </c>
      <c r="ET656" s="99"/>
      <c r="EU656" s="99"/>
      <c r="EV656" s="99"/>
      <c r="EW656" s="99"/>
      <c r="EX656" s="99" t="e">
        <f>+ES656*0.98</f>
        <v>#REF!</v>
      </c>
      <c r="EY656" s="99"/>
      <c r="EZ656" s="99"/>
      <c r="FA656" s="99"/>
      <c r="FB656" s="99"/>
      <c r="FC656" s="99" t="e">
        <f>+EX656*0.98</f>
        <v>#REF!</v>
      </c>
      <c r="FD656" s="99"/>
      <c r="FE656" s="99"/>
      <c r="FF656" s="99"/>
      <c r="FG656" s="99"/>
      <c r="FH656" s="99" t="e">
        <f>+FC656*0.98</f>
        <v>#REF!</v>
      </c>
      <c r="FI656" s="99" t="e">
        <f t="shared" ref="FI656:FM656" si="2808">+FH656*0.98</f>
        <v>#REF!</v>
      </c>
      <c r="FJ656" s="99" t="e">
        <f t="shared" si="2808"/>
        <v>#REF!</v>
      </c>
      <c r="FK656" s="99" t="e">
        <f t="shared" si="2808"/>
        <v>#REF!</v>
      </c>
      <c r="FL656" s="99" t="e">
        <f t="shared" si="2808"/>
        <v>#REF!</v>
      </c>
      <c r="FM656" s="99" t="e">
        <f t="shared" si="2808"/>
        <v>#REF!</v>
      </c>
    </row>
    <row r="657" spans="1:169" hidden="1" outlineLevel="1" x14ac:dyDescent="0.3">
      <c r="DZ657" s="75"/>
      <c r="EA657" s="75"/>
      <c r="EB657" s="75"/>
      <c r="EC657" s="75"/>
      <c r="ED657" s="84"/>
      <c r="EE657" s="75"/>
      <c r="EF657" s="75"/>
      <c r="EG657" s="75"/>
      <c r="EH657" s="75"/>
      <c r="EI657" s="84"/>
      <c r="EJ657" s="75"/>
      <c r="EK657" s="75"/>
      <c r="EL657" s="75"/>
      <c r="EM657" s="75"/>
      <c r="EN657" s="84"/>
      <c r="EO657" s="84"/>
      <c r="EP657" s="84"/>
      <c r="EQ657" s="84"/>
      <c r="ER657" s="84"/>
      <c r="ES657" s="75"/>
      <c r="ET657" s="75"/>
      <c r="EU657" s="75"/>
      <c r="EV657" s="75"/>
      <c r="EW657" s="75"/>
      <c r="EY657" s="75"/>
      <c r="EZ657" s="75"/>
      <c r="FA657" s="75"/>
      <c r="FB657" s="75"/>
      <c r="FC657" s="75"/>
      <c r="FD657" s="75"/>
      <c r="FE657" s="75"/>
      <c r="FF657" s="75"/>
      <c r="FG657" s="75"/>
      <c r="FH657" s="75"/>
      <c r="FI657" s="75"/>
      <c r="FJ657" s="75"/>
      <c r="FK657" s="75"/>
      <c r="FL657" s="75"/>
      <c r="FM657" s="75"/>
    </row>
    <row r="658" spans="1:169" hidden="1" outlineLevel="1" x14ac:dyDescent="0.3">
      <c r="A658" s="55" t="s">
        <v>547</v>
      </c>
      <c r="DZ658" s="75"/>
      <c r="EA658" s="75"/>
      <c r="EB658" s="75"/>
      <c r="EC658" s="75"/>
      <c r="ED658" s="84"/>
      <c r="EE658" s="75"/>
      <c r="EF658" s="75"/>
      <c r="EG658" s="75"/>
      <c r="EH658" s="75"/>
      <c r="EI658" s="84"/>
      <c r="EJ658" s="75"/>
      <c r="EK658" s="75"/>
      <c r="EL658" s="75"/>
      <c r="EM658" s="75"/>
      <c r="EN658" s="84"/>
      <c r="EO658" s="84"/>
      <c r="EP658" s="84"/>
      <c r="EQ658" s="84"/>
      <c r="ER658" s="84"/>
      <c r="ES658" s="75"/>
      <c r="ET658" s="75"/>
      <c r="EU658" s="75"/>
      <c r="EV658" s="75"/>
      <c r="EW658" s="75"/>
      <c r="EY658" s="75"/>
      <c r="EZ658" s="75"/>
      <c r="FA658" s="75"/>
      <c r="FB658" s="75"/>
      <c r="FC658" s="75"/>
      <c r="FD658" s="75"/>
      <c r="FE658" s="75"/>
      <c r="FF658" s="75"/>
      <c r="FG658" s="75"/>
      <c r="FH658" s="75"/>
      <c r="FI658" s="75"/>
      <c r="FJ658" s="75"/>
      <c r="FK658" s="75"/>
      <c r="FL658" s="75"/>
      <c r="FM658" s="75"/>
    </row>
    <row r="659" spans="1:169" hidden="1" outlineLevel="1" x14ac:dyDescent="0.3">
      <c r="A659" s="809" t="s">
        <v>541</v>
      </c>
      <c r="DU659" s="79">
        <f>+Inputs!DU510</f>
        <v>888</v>
      </c>
      <c r="DV659" s="79">
        <f>+Inputs!DV510</f>
        <v>885</v>
      </c>
      <c r="DW659" s="79">
        <f>+Inputs!DW510</f>
        <v>851</v>
      </c>
      <c r="DX659" s="79">
        <f>+Inputs!DX510</f>
        <v>822</v>
      </c>
      <c r="DY659" s="85">
        <f>+SUM(DU659:DX659)</f>
        <v>3446</v>
      </c>
      <c r="DZ659" s="79">
        <f>+Inputs!DZ510</f>
        <v>855</v>
      </c>
      <c r="EA659" s="79">
        <f>Inputs!EA194</f>
        <v>849</v>
      </c>
      <c r="EB659" s="79">
        <f>+Inputs!EB510</f>
        <v>838</v>
      </c>
      <c r="EC659" s="79">
        <f>+Inputs!EC510</f>
        <v>834</v>
      </c>
      <c r="ED659" s="85">
        <f>+SUM(DZ659:EC659)</f>
        <v>3376</v>
      </c>
      <c r="EE659" s="79">
        <f>+Inputs!EE510</f>
        <v>842</v>
      </c>
      <c r="EF659" s="79">
        <f>Inputs!EF194</f>
        <v>839</v>
      </c>
      <c r="EG659" s="79">
        <f>Inputs!EG194</f>
        <v>834</v>
      </c>
      <c r="EH659" s="76" t="e">
        <f>+EH648+EH620</f>
        <v>#REF!</v>
      </c>
      <c r="EI659" s="85" t="e">
        <f>+SUM(EE659:EH659)</f>
        <v>#REF!</v>
      </c>
      <c r="EJ659" s="76" t="e">
        <f>+EJ648+EJ620</f>
        <v>#REF!</v>
      </c>
      <c r="EK659" s="76" t="e">
        <f>+EK648+EK620</f>
        <v>#REF!</v>
      </c>
      <c r="EL659" s="76" t="e">
        <f>+EL648+EL620</f>
        <v>#REF!</v>
      </c>
      <c r="EM659" s="76" t="e">
        <f>+EM648+EM620</f>
        <v>#REF!</v>
      </c>
      <c r="EN659" s="85" t="e">
        <f>+SUM(EJ659:EM659)</f>
        <v>#REF!</v>
      </c>
      <c r="EO659" s="85"/>
      <c r="EP659" s="85"/>
      <c r="EQ659" s="85"/>
      <c r="ER659" s="85"/>
      <c r="ES659" s="76" t="e">
        <f t="shared" ref="ES659:FM659" si="2809">+ES648+ES620</f>
        <v>#REF!</v>
      </c>
      <c r="ET659" s="76"/>
      <c r="EU659" s="76"/>
      <c r="EV659" s="76"/>
      <c r="EW659" s="76"/>
      <c r="EX659" s="76" t="e">
        <f t="shared" si="2809"/>
        <v>#REF!</v>
      </c>
      <c r="EY659" s="76"/>
      <c r="EZ659" s="76"/>
      <c r="FA659" s="76"/>
      <c r="FB659" s="76"/>
      <c r="FC659" s="76" t="e">
        <f t="shared" si="2809"/>
        <v>#REF!</v>
      </c>
      <c r="FD659" s="76"/>
      <c r="FE659" s="76"/>
      <c r="FF659" s="76"/>
      <c r="FG659" s="76"/>
      <c r="FH659" s="76" t="e">
        <f t="shared" si="2809"/>
        <v>#REF!</v>
      </c>
      <c r="FI659" s="76" t="e">
        <f t="shared" si="2809"/>
        <v>#REF!</v>
      </c>
      <c r="FJ659" s="76" t="e">
        <f t="shared" si="2809"/>
        <v>#REF!</v>
      </c>
      <c r="FK659" s="76" t="e">
        <f t="shared" si="2809"/>
        <v>#REF!</v>
      </c>
      <c r="FL659" s="76" t="e">
        <f t="shared" si="2809"/>
        <v>#REF!</v>
      </c>
      <c r="FM659" s="76" t="e">
        <f t="shared" si="2809"/>
        <v>#REF!</v>
      </c>
    </row>
    <row r="660" spans="1:169" hidden="1" outlineLevel="1" x14ac:dyDescent="0.3">
      <c r="A660" s="809" t="s">
        <v>542</v>
      </c>
      <c r="DU660" s="79">
        <f>+Inputs!DU511</f>
        <v>604</v>
      </c>
      <c r="DV660" s="79">
        <f>+Inputs!DV511</f>
        <v>582</v>
      </c>
      <c r="DW660" s="79">
        <f>+Inputs!DW511</f>
        <v>574</v>
      </c>
      <c r="DX660" s="79">
        <f>+Inputs!DX511</f>
        <v>555</v>
      </c>
      <c r="DY660" s="85">
        <f>+SUM(DU660:DX660)</f>
        <v>2315</v>
      </c>
      <c r="DZ660" s="79">
        <f>+Inputs!DZ511</f>
        <v>529</v>
      </c>
      <c r="EA660" s="79">
        <f>Inputs!EA195</f>
        <v>509</v>
      </c>
      <c r="EB660" s="79">
        <f>+Inputs!EB511</f>
        <v>500</v>
      </c>
      <c r="EC660" s="79">
        <f>+Inputs!EC511</f>
        <v>490</v>
      </c>
      <c r="ED660" s="85">
        <f>+SUM(DZ660:EC660)</f>
        <v>2028</v>
      </c>
      <c r="EE660" s="79">
        <f>+Inputs!EE511</f>
        <v>487</v>
      </c>
      <c r="EF660" s="79">
        <f>Inputs!EF195</f>
        <v>443</v>
      </c>
      <c r="EG660" s="79">
        <f>Inputs!EG195</f>
        <v>411</v>
      </c>
      <c r="EH660" s="76" t="e">
        <f>+EH649+EH628</f>
        <v>#REF!</v>
      </c>
      <c r="EI660" s="85" t="e">
        <f>+SUM(EE660:EH660)</f>
        <v>#REF!</v>
      </c>
      <c r="EJ660" s="76" t="e">
        <f>+EJ649+EJ628</f>
        <v>#REF!</v>
      </c>
      <c r="EK660" s="76" t="e">
        <f>+EK649+EK628</f>
        <v>#REF!</v>
      </c>
      <c r="EL660" s="76" t="e">
        <f>+EL649+EL628</f>
        <v>#REF!</v>
      </c>
      <c r="EM660" s="76" t="e">
        <f>+EM649+EM628</f>
        <v>#REF!</v>
      </c>
      <c r="EN660" s="85" t="e">
        <f>+SUM(EJ660:EM660)</f>
        <v>#REF!</v>
      </c>
      <c r="EO660" s="85"/>
      <c r="EP660" s="85"/>
      <c r="EQ660" s="85"/>
      <c r="ER660" s="85"/>
      <c r="ES660" s="76" t="e">
        <f t="shared" ref="ES660:FM660" si="2810">+ES649+ES628</f>
        <v>#REF!</v>
      </c>
      <c r="ET660" s="76"/>
      <c r="EU660" s="76"/>
      <c r="EV660" s="76"/>
      <c r="EW660" s="76"/>
      <c r="EX660" s="76" t="e">
        <f t="shared" si="2810"/>
        <v>#REF!</v>
      </c>
      <c r="EY660" s="76"/>
      <c r="EZ660" s="76"/>
      <c r="FA660" s="76"/>
      <c r="FB660" s="76"/>
      <c r="FC660" s="76" t="e">
        <f t="shared" si="2810"/>
        <v>#REF!</v>
      </c>
      <c r="FD660" s="76"/>
      <c r="FE660" s="76"/>
      <c r="FF660" s="76"/>
      <c r="FG660" s="76"/>
      <c r="FH660" s="76" t="e">
        <f t="shared" si="2810"/>
        <v>#REF!</v>
      </c>
      <c r="FI660" s="76" t="e">
        <f t="shared" si="2810"/>
        <v>#REF!</v>
      </c>
      <c r="FJ660" s="76" t="e">
        <f t="shared" si="2810"/>
        <v>#REF!</v>
      </c>
      <c r="FK660" s="76" t="e">
        <f t="shared" si="2810"/>
        <v>#REF!</v>
      </c>
      <c r="FL660" s="76" t="e">
        <f t="shared" si="2810"/>
        <v>#REF!</v>
      </c>
      <c r="FM660" s="76" t="e">
        <f t="shared" si="2810"/>
        <v>#REF!</v>
      </c>
    </row>
    <row r="661" spans="1:169" hidden="1" outlineLevel="1" x14ac:dyDescent="0.3">
      <c r="A661" s="809" t="s">
        <v>461</v>
      </c>
      <c r="DU661" s="79">
        <f>+Inputs!DU512</f>
        <v>255</v>
      </c>
      <c r="DV661" s="79">
        <f>+Inputs!DV512</f>
        <v>248</v>
      </c>
      <c r="DW661" s="79">
        <f>+Inputs!DW512</f>
        <v>233</v>
      </c>
      <c r="DX661" s="79">
        <f>+Inputs!DX512</f>
        <v>222</v>
      </c>
      <c r="DY661" s="85">
        <f>+SUM(DU661:DX661)</f>
        <v>958</v>
      </c>
      <c r="DZ661" s="79">
        <f>+Inputs!DZ512</f>
        <v>212</v>
      </c>
      <c r="EA661" s="79">
        <f>Inputs!EA196</f>
        <v>197</v>
      </c>
      <c r="EB661" s="79">
        <f>+Inputs!EB512</f>
        <v>186</v>
      </c>
      <c r="EC661" s="79">
        <f>+Inputs!EC512</f>
        <v>181</v>
      </c>
      <c r="ED661" s="85">
        <f>+SUM(DZ661:EC661)</f>
        <v>776</v>
      </c>
      <c r="EE661" s="79">
        <f>+Inputs!EE512</f>
        <v>169</v>
      </c>
      <c r="EF661" s="79">
        <f>Inputs!EF196</f>
        <v>159</v>
      </c>
      <c r="EG661" s="79">
        <f>Inputs!EG196</f>
        <v>149</v>
      </c>
      <c r="EH661" s="76" t="e">
        <f>+EH650+EH624</f>
        <v>#REF!</v>
      </c>
      <c r="EI661" s="85" t="e">
        <f>+SUM(EE661:EH661)</f>
        <v>#REF!</v>
      </c>
      <c r="EJ661" s="76" t="e">
        <f>+EJ650+EJ624</f>
        <v>#REF!</v>
      </c>
      <c r="EK661" s="76" t="e">
        <f>+EK650+EK624</f>
        <v>#REF!</v>
      </c>
      <c r="EL661" s="76" t="e">
        <f>+EL650+EL624</f>
        <v>#REF!</v>
      </c>
      <c r="EM661" s="76" t="e">
        <f>+EM650+EM624</f>
        <v>#REF!</v>
      </c>
      <c r="EN661" s="85" t="e">
        <f>+SUM(EJ661:EM661)</f>
        <v>#REF!</v>
      </c>
      <c r="EO661" s="85"/>
      <c r="EP661" s="85"/>
      <c r="EQ661" s="85"/>
      <c r="ER661" s="85"/>
      <c r="ES661" s="76" t="e">
        <f t="shared" ref="ES661:FM661" si="2811">+ES650+ES624</f>
        <v>#REF!</v>
      </c>
      <c r="ET661" s="76"/>
      <c r="EU661" s="76"/>
      <c r="EV661" s="76"/>
      <c r="EW661" s="76"/>
      <c r="EX661" s="76" t="e">
        <f t="shared" si="2811"/>
        <v>#REF!</v>
      </c>
      <c r="EY661" s="76"/>
      <c r="EZ661" s="76"/>
      <c r="FA661" s="76"/>
      <c r="FB661" s="76"/>
      <c r="FC661" s="76" t="e">
        <f t="shared" si="2811"/>
        <v>#REF!</v>
      </c>
      <c r="FD661" s="76"/>
      <c r="FE661" s="76"/>
      <c r="FF661" s="76"/>
      <c r="FG661" s="76"/>
      <c r="FH661" s="76" t="e">
        <f t="shared" si="2811"/>
        <v>#REF!</v>
      </c>
      <c r="FI661" s="76" t="e">
        <f t="shared" si="2811"/>
        <v>#REF!</v>
      </c>
      <c r="FJ661" s="76" t="e">
        <f t="shared" si="2811"/>
        <v>#REF!</v>
      </c>
      <c r="FK661" s="76" t="e">
        <f t="shared" si="2811"/>
        <v>#REF!</v>
      </c>
      <c r="FL661" s="76" t="e">
        <f t="shared" si="2811"/>
        <v>#REF!</v>
      </c>
      <c r="FM661" s="76" t="e">
        <f t="shared" si="2811"/>
        <v>#REF!</v>
      </c>
    </row>
    <row r="662" spans="1:169" hidden="1" outlineLevel="1" x14ac:dyDescent="0.3">
      <c r="A662" s="809" t="s">
        <v>34</v>
      </c>
      <c r="DU662" s="79">
        <f>+Inputs!DU513</f>
        <v>113</v>
      </c>
      <c r="DV662" s="79">
        <f>+Inputs!DV513</f>
        <v>111</v>
      </c>
      <c r="DW662" s="79">
        <f>+Inputs!DW513</f>
        <v>106</v>
      </c>
      <c r="DX662" s="79">
        <f>+Inputs!DX513</f>
        <v>108</v>
      </c>
      <c r="DY662" s="85">
        <f>+SUM(DU662:DX662)</f>
        <v>438</v>
      </c>
      <c r="DZ662" s="79">
        <f>+Inputs!DZ513</f>
        <v>108</v>
      </c>
      <c r="EA662" s="79">
        <f>Inputs!EA197</f>
        <v>105</v>
      </c>
      <c r="EB662" s="79">
        <f>+Inputs!EB513</f>
        <v>103</v>
      </c>
      <c r="EC662" s="79">
        <f>+Inputs!EC513</f>
        <v>101</v>
      </c>
      <c r="ED662" s="85">
        <f>+SUM(DZ662:EC662)</f>
        <v>417</v>
      </c>
      <c r="EE662" s="79">
        <f>+Inputs!EE513</f>
        <v>95</v>
      </c>
      <c r="EF662" s="79">
        <f>Inputs!EF197</f>
        <v>92</v>
      </c>
      <c r="EG662" s="79">
        <f>Inputs!EG197</f>
        <v>99</v>
      </c>
      <c r="EH662" s="76" t="e">
        <f t="shared" ref="EH662:FM662" si="2812">+EH651+EH632</f>
        <v>#REF!</v>
      </c>
      <c r="EI662" s="85" t="e">
        <f>+SUM(EE662:EH662)</f>
        <v>#REF!</v>
      </c>
      <c r="EJ662" s="76" t="e">
        <f>+EJ651+EJ632</f>
        <v>#REF!</v>
      </c>
      <c r="EK662" s="76" t="e">
        <f>+EK651+EK632</f>
        <v>#REF!</v>
      </c>
      <c r="EL662" s="76" t="e">
        <f>+EL651+EL632</f>
        <v>#REF!</v>
      </c>
      <c r="EM662" s="76" t="e">
        <f>+EM651+EM632</f>
        <v>#REF!</v>
      </c>
      <c r="EN662" s="85" t="e">
        <f>+SUM(EJ662:EM662)</f>
        <v>#REF!</v>
      </c>
      <c r="EO662" s="85"/>
      <c r="EP662" s="85"/>
      <c r="EQ662" s="85"/>
      <c r="ER662" s="85"/>
      <c r="ES662" s="76" t="e">
        <f t="shared" si="2812"/>
        <v>#REF!</v>
      </c>
      <c r="ET662" s="76"/>
      <c r="EU662" s="76"/>
      <c r="EV662" s="76"/>
      <c r="EW662" s="76"/>
      <c r="EX662" s="76" t="e">
        <f t="shared" si="2812"/>
        <v>#REF!</v>
      </c>
      <c r="EY662" s="76"/>
      <c r="EZ662" s="76"/>
      <c r="FA662" s="76"/>
      <c r="FB662" s="76"/>
      <c r="FC662" s="76" t="e">
        <f t="shared" si="2812"/>
        <v>#REF!</v>
      </c>
      <c r="FD662" s="76"/>
      <c r="FE662" s="76"/>
      <c r="FF662" s="76"/>
      <c r="FG662" s="76"/>
      <c r="FH662" s="76" t="e">
        <f t="shared" si="2812"/>
        <v>#REF!</v>
      </c>
      <c r="FI662" s="76" t="e">
        <f t="shared" si="2812"/>
        <v>#REF!</v>
      </c>
      <c r="FJ662" s="76" t="e">
        <f t="shared" si="2812"/>
        <v>#REF!</v>
      </c>
      <c r="FK662" s="76" t="e">
        <f t="shared" si="2812"/>
        <v>#REF!</v>
      </c>
      <c r="FL662" s="76" t="e">
        <f t="shared" si="2812"/>
        <v>#REF!</v>
      </c>
      <c r="FM662" s="76" t="e">
        <f t="shared" si="2812"/>
        <v>#REF!</v>
      </c>
    </row>
    <row r="663" spans="1:169" hidden="1" outlineLevel="1" x14ac:dyDescent="0.3">
      <c r="A663" s="810" t="s">
        <v>35</v>
      </c>
      <c r="DU663" s="803">
        <f>+SUM(DU659:DU662)</f>
        <v>1860</v>
      </c>
      <c r="DV663" s="803">
        <f>+SUM(DV659:DV662)</f>
        <v>1826</v>
      </c>
      <c r="DW663" s="803">
        <f>+SUM(DW659:DW662)</f>
        <v>1764</v>
      </c>
      <c r="DX663" s="803">
        <f>+SUM(DX659:DX662)</f>
        <v>1707</v>
      </c>
      <c r="DY663" s="803">
        <f>+SUM(DU663:DX663)</f>
        <v>7157</v>
      </c>
      <c r="DZ663" s="803">
        <f>+SUM(DZ659:DZ662)</f>
        <v>1704</v>
      </c>
      <c r="EA663" s="803">
        <f>+SUM(EA659:EA662)</f>
        <v>1660</v>
      </c>
      <c r="EB663" s="803">
        <f>+SUM(EB659:EB662)</f>
        <v>1627</v>
      </c>
      <c r="EC663" s="803">
        <f>+SUM(EC659:EC662)</f>
        <v>1606</v>
      </c>
      <c r="ED663" s="803">
        <f>+SUM(DZ663:EC663)</f>
        <v>6597</v>
      </c>
      <c r="EE663" s="803">
        <f>+SUM(EE659:EE662)</f>
        <v>1593</v>
      </c>
      <c r="EF663" s="803">
        <f>+SUM(EF659:EF662)</f>
        <v>1533</v>
      </c>
      <c r="EG663" s="803">
        <f>+SUM(EG659:EG662)</f>
        <v>1493</v>
      </c>
      <c r="EH663" s="803" t="e">
        <f t="shared" ref="EH663:EM663" si="2813">+SUM(EH659:EH662)</f>
        <v>#REF!</v>
      </c>
      <c r="EI663" s="803" t="e">
        <f>+SUM(EE663:EH663)</f>
        <v>#REF!</v>
      </c>
      <c r="EJ663" s="803" t="e">
        <f t="shared" si="2813"/>
        <v>#REF!</v>
      </c>
      <c r="EK663" s="803" t="e">
        <f t="shared" si="2813"/>
        <v>#REF!</v>
      </c>
      <c r="EL663" s="803" t="e">
        <f t="shared" si="2813"/>
        <v>#REF!</v>
      </c>
      <c r="EM663" s="803" t="e">
        <f t="shared" si="2813"/>
        <v>#REF!</v>
      </c>
      <c r="EN663" s="803" t="e">
        <f>+SUM(EJ663:EM663)</f>
        <v>#REF!</v>
      </c>
      <c r="EO663" s="803"/>
      <c r="EP663" s="803"/>
      <c r="EQ663" s="803"/>
      <c r="ER663" s="803"/>
      <c r="ES663" s="803" t="e">
        <f t="shared" ref="ES663:FM663" si="2814">+SUM(ES659:ES662)</f>
        <v>#REF!</v>
      </c>
      <c r="ET663" s="803"/>
      <c r="EU663" s="803"/>
      <c r="EV663" s="803"/>
      <c r="EW663" s="803"/>
      <c r="EX663" s="803" t="e">
        <f t="shared" si="2814"/>
        <v>#REF!</v>
      </c>
      <c r="EY663" s="803"/>
      <c r="EZ663" s="803"/>
      <c r="FA663" s="803"/>
      <c r="FB663" s="803"/>
      <c r="FC663" s="803" t="e">
        <f t="shared" si="2814"/>
        <v>#REF!</v>
      </c>
      <c r="FD663" s="803"/>
      <c r="FE663" s="803"/>
      <c r="FF663" s="803"/>
      <c r="FG663" s="803"/>
      <c r="FH663" s="803" t="e">
        <f t="shared" si="2814"/>
        <v>#REF!</v>
      </c>
      <c r="FI663" s="803" t="e">
        <f t="shared" si="2814"/>
        <v>#REF!</v>
      </c>
      <c r="FJ663" s="803" t="e">
        <f t="shared" si="2814"/>
        <v>#REF!</v>
      </c>
      <c r="FK663" s="803" t="e">
        <f t="shared" si="2814"/>
        <v>#REF!</v>
      </c>
      <c r="FL663" s="803" t="e">
        <f t="shared" si="2814"/>
        <v>#REF!</v>
      </c>
      <c r="FM663" s="803" t="e">
        <f t="shared" si="2814"/>
        <v>#REF!</v>
      </c>
    </row>
    <row r="664" spans="1:169" hidden="1" collapsed="1" x14ac:dyDescent="0.3">
      <c r="A664" s="811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  <c r="AA664" s="114"/>
      <c r="AB664" s="114"/>
      <c r="AC664" s="114"/>
      <c r="AD664" s="114"/>
      <c r="AE664" s="114"/>
      <c r="AF664" s="114"/>
      <c r="AG664" s="114"/>
      <c r="AH664" s="114"/>
      <c r="AI664" s="114"/>
      <c r="AJ664" s="114"/>
      <c r="AK664" s="114"/>
      <c r="AL664" s="114"/>
      <c r="AM664" s="114"/>
      <c r="AN664" s="114"/>
      <c r="AO664" s="114"/>
      <c r="AP664" s="114"/>
      <c r="AQ664" s="114"/>
      <c r="AR664" s="114"/>
      <c r="AS664" s="114"/>
      <c r="AT664" s="114"/>
      <c r="AU664" s="114"/>
      <c r="AV664" s="114"/>
      <c r="AW664" s="114"/>
      <c r="AX664" s="114"/>
      <c r="AY664" s="114"/>
      <c r="AZ664" s="114"/>
      <c r="BA664" s="114"/>
      <c r="BB664" s="114"/>
      <c r="BC664" s="114"/>
      <c r="BD664" s="114"/>
      <c r="BE664" s="114"/>
      <c r="BF664" s="114"/>
      <c r="BG664" s="114"/>
      <c r="BH664" s="114"/>
      <c r="BI664" s="114"/>
      <c r="BJ664" s="114"/>
      <c r="BK664" s="114"/>
      <c r="BL664" s="114"/>
      <c r="BM664" s="114"/>
      <c r="BN664" s="114"/>
      <c r="BO664" s="114"/>
      <c r="BP664" s="114"/>
      <c r="BQ664" s="114"/>
      <c r="BR664" s="114"/>
      <c r="BS664" s="114"/>
      <c r="BT664" s="114"/>
      <c r="BU664" s="114"/>
      <c r="BV664" s="114"/>
      <c r="BW664" s="114"/>
      <c r="BX664" s="114"/>
      <c r="BY664" s="114"/>
      <c r="BZ664" s="114"/>
      <c r="CA664" s="114"/>
      <c r="CB664" s="114"/>
      <c r="CC664" s="114"/>
      <c r="CD664" s="114"/>
      <c r="CE664" s="114"/>
      <c r="CF664" s="114"/>
      <c r="CG664" s="114"/>
      <c r="CH664" s="114"/>
      <c r="CI664" s="114"/>
      <c r="CJ664" s="114"/>
      <c r="CK664" s="114"/>
      <c r="CL664" s="114"/>
      <c r="CM664" s="114"/>
      <c r="CN664" s="114"/>
      <c r="CO664" s="114"/>
      <c r="CP664" s="114"/>
      <c r="CQ664" s="114"/>
      <c r="CR664" s="114"/>
      <c r="CS664" s="114"/>
      <c r="CT664" s="114"/>
      <c r="CU664" s="114"/>
      <c r="CV664" s="114"/>
      <c r="CW664" s="114"/>
      <c r="CX664" s="114"/>
      <c r="CY664" s="114"/>
      <c r="CZ664" s="114"/>
      <c r="DA664" s="114"/>
      <c r="DB664" s="114"/>
      <c r="DC664" s="114"/>
      <c r="DD664" s="114"/>
      <c r="DE664" s="114"/>
      <c r="DF664" s="114"/>
      <c r="DG664" s="114"/>
      <c r="DH664" s="114"/>
      <c r="DI664" s="114"/>
      <c r="DJ664" s="114"/>
      <c r="DK664" s="114"/>
      <c r="DL664" s="114"/>
      <c r="DM664" s="114"/>
      <c r="DN664" s="114"/>
      <c r="DO664" s="114"/>
      <c r="DP664" s="114"/>
      <c r="DQ664" s="114"/>
      <c r="DR664" s="114"/>
      <c r="DS664" s="114"/>
      <c r="DT664" s="114"/>
      <c r="DU664" s="114"/>
      <c r="DV664" s="114"/>
      <c r="DW664" s="114"/>
      <c r="DX664" s="114"/>
      <c r="DY664" s="522"/>
      <c r="DZ664" s="115"/>
      <c r="EA664" s="115"/>
      <c r="EB664" s="115"/>
      <c r="EC664" s="115"/>
      <c r="ED664" s="117"/>
      <c r="EE664" s="115"/>
      <c r="EF664" s="115"/>
      <c r="EG664" s="115"/>
      <c r="EH664" s="115"/>
      <c r="EI664" s="117"/>
      <c r="EJ664" s="115"/>
      <c r="EK664" s="115"/>
      <c r="EL664" s="115"/>
      <c r="EM664" s="115"/>
      <c r="EN664" s="117"/>
      <c r="EO664" s="117"/>
      <c r="EP664" s="117"/>
      <c r="EQ664" s="117"/>
      <c r="ER664" s="117"/>
      <c r="ES664" s="115"/>
      <c r="ET664" s="115"/>
      <c r="EU664" s="115"/>
      <c r="EV664" s="115"/>
      <c r="EW664" s="115"/>
      <c r="EX664" s="114"/>
      <c r="EY664" s="115"/>
      <c r="EZ664" s="115"/>
      <c r="FA664" s="115"/>
      <c r="FB664" s="115"/>
      <c r="FC664" s="115"/>
      <c r="FD664" s="115"/>
      <c r="FE664" s="115"/>
      <c r="FF664" s="115"/>
      <c r="FG664" s="115"/>
      <c r="FH664" s="115"/>
      <c r="FI664" s="115"/>
      <c r="FJ664" s="115"/>
      <c r="FK664" s="115"/>
      <c r="FL664" s="115"/>
      <c r="FM664" s="115"/>
    </row>
    <row r="665" spans="1:169" x14ac:dyDescent="0.3">
      <c r="A665" s="1"/>
    </row>
    <row r="666" spans="1:169" x14ac:dyDescent="0.3">
      <c r="A666" s="1"/>
    </row>
    <row r="669" spans="1:169" x14ac:dyDescent="0.3">
      <c r="FH669" s="76">
        <f>'Model Main (2)'!FH132</f>
        <v>-614.88002014192762</v>
      </c>
      <c r="FI669" s="146">
        <f>FI592</f>
        <v>0.14084822987033763</v>
      </c>
    </row>
    <row r="670" spans="1:169" x14ac:dyDescent="0.3">
      <c r="FH670">
        <v>700</v>
      </c>
      <c r="FI670" s="885">
        <v>-401.3718177574176</v>
      </c>
    </row>
    <row r="671" spans="1:169" x14ac:dyDescent="0.3">
      <c r="FH671">
        <v>750</v>
      </c>
      <c r="FI671" s="885">
        <v>-457.77266647429792</v>
      </c>
    </row>
    <row r="672" spans="1:169" x14ac:dyDescent="0.3">
      <c r="FH672">
        <v>800</v>
      </c>
      <c r="FI672" s="885">
        <f t="dataTable" ref="FI672:FI673" dt2D="1" dtr="1" r1="FI592" r2="FH87"/>
        <v>750</v>
      </c>
    </row>
    <row r="673" spans="164:165" x14ac:dyDescent="0.3">
      <c r="FH673">
        <v>850</v>
      </c>
      <c r="FI673" s="885">
        <v>750</v>
      </c>
    </row>
    <row r="674" spans="164:165" x14ac:dyDescent="0.3">
      <c r="FH674">
        <v>900</v>
      </c>
      <c r="FI674" s="885">
        <v>-626.9516775065199</v>
      </c>
    </row>
  </sheetData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63638-09D0-4855-B55E-D134C5640869}">
  <sheetPr>
    <tabColor rgb="FF000080"/>
  </sheetPr>
  <dimension ref="A3:AC54"/>
  <sheetViews>
    <sheetView topLeftCell="A7" workbookViewId="0">
      <selection activeCell="A7" sqref="A7"/>
    </sheetView>
  </sheetViews>
  <sheetFormatPr defaultColWidth="9.33203125" defaultRowHeight="12" x14ac:dyDescent="0.3"/>
  <cols>
    <col min="1" max="1" width="25" style="108" customWidth="1"/>
    <col min="2" max="2" width="10.109375" style="108" bestFit="1" customWidth="1"/>
    <col min="3" max="3" width="12.6640625" style="108" bestFit="1" customWidth="1"/>
    <col min="4" max="4" width="9.33203125" style="108"/>
    <col min="5" max="5" width="6.77734375" style="108" bestFit="1" customWidth="1"/>
    <col min="6" max="6" width="10.44140625" style="108" bestFit="1" customWidth="1"/>
    <col min="7" max="7" width="9.33203125" style="108"/>
    <col min="8" max="8" width="6.77734375" style="108" bestFit="1" customWidth="1"/>
    <col min="9" max="12" width="9.33203125" style="108"/>
    <col min="13" max="13" width="37.6640625" style="108" bestFit="1" customWidth="1"/>
    <col min="14" max="16384" width="9.33203125" style="108"/>
  </cols>
  <sheetData>
    <row r="3" spans="1:4" x14ac:dyDescent="0.3">
      <c r="A3" s="790" t="s">
        <v>3606</v>
      </c>
      <c r="B3" s="788"/>
      <c r="C3" s="789"/>
      <c r="D3" s="789"/>
    </row>
    <row r="4" spans="1:4" x14ac:dyDescent="0.3">
      <c r="A4" s="791" t="s">
        <v>3607</v>
      </c>
      <c r="B4" s="788"/>
      <c r="C4" s="792"/>
      <c r="D4" s="792"/>
    </row>
    <row r="5" spans="1:4" x14ac:dyDescent="0.3">
      <c r="A5" s="1831"/>
      <c r="B5" s="801" t="s">
        <v>722</v>
      </c>
      <c r="C5" s="801" t="s">
        <v>3608</v>
      </c>
      <c r="D5" s="1832"/>
    </row>
    <row r="6" spans="1:4" x14ac:dyDescent="0.3">
      <c r="A6" s="795"/>
      <c r="B6" s="793" t="s">
        <v>886</v>
      </c>
      <c r="C6" s="794" t="str">
        <f>+B6</f>
        <v>4Q23</v>
      </c>
      <c r="D6" s="796" t="s">
        <v>3297</v>
      </c>
    </row>
    <row r="24" spans="1:29" x14ac:dyDescent="0.3">
      <c r="A24" s="790" t="s">
        <v>3606</v>
      </c>
      <c r="B24" s="788"/>
      <c r="C24" s="789"/>
      <c r="D24" s="789"/>
      <c r="E24" s="789"/>
    </row>
    <row r="25" spans="1:29" x14ac:dyDescent="0.3">
      <c r="A25" s="791" t="s">
        <v>3607</v>
      </c>
      <c r="B25" s="788"/>
      <c r="C25" s="792"/>
      <c r="D25" s="792"/>
      <c r="E25" s="792"/>
    </row>
    <row r="26" spans="1:29" x14ac:dyDescent="0.3">
      <c r="A26" s="1831"/>
      <c r="B26" s="801" t="s">
        <v>722</v>
      </c>
      <c r="C26" s="801" t="s">
        <v>3608</v>
      </c>
      <c r="D26" s="1832"/>
      <c r="E26" s="1832"/>
      <c r="F26" s="801" t="s">
        <v>3609</v>
      </c>
      <c r="G26" s="1832"/>
      <c r="H26" s="1832"/>
      <c r="N26" s="1855">
        <v>2023</v>
      </c>
      <c r="O26" s="1855"/>
      <c r="P26" s="1302"/>
      <c r="Q26" s="1302"/>
      <c r="R26" s="1855">
        <v>2024</v>
      </c>
      <c r="S26" s="1855"/>
      <c r="T26" s="1302"/>
      <c r="U26" s="1302"/>
      <c r="V26" s="1855">
        <v>2025</v>
      </c>
      <c r="W26" s="1855"/>
      <c r="X26" s="1302"/>
      <c r="Y26" s="1302"/>
      <c r="Z26" s="1855">
        <v>2026</v>
      </c>
      <c r="AA26" s="1855"/>
      <c r="AB26" s="1302"/>
      <c r="AC26" s="1302"/>
    </row>
    <row r="27" spans="1:29" x14ac:dyDescent="0.3">
      <c r="A27" s="795"/>
      <c r="B27" s="793" t="s">
        <v>883</v>
      </c>
      <c r="C27" s="794" t="str">
        <f>+B27</f>
        <v>1Q23</v>
      </c>
      <c r="D27" s="796" t="s">
        <v>3297</v>
      </c>
      <c r="E27" s="796" t="s">
        <v>1257</v>
      </c>
      <c r="F27" s="794" t="str">
        <f>C27</f>
        <v>1Q23</v>
      </c>
      <c r="G27" s="796" t="s">
        <v>553</v>
      </c>
      <c r="H27" s="796" t="s">
        <v>1257</v>
      </c>
      <c r="N27" s="793" t="s">
        <v>722</v>
      </c>
      <c r="O27" s="794" t="s">
        <v>1348</v>
      </c>
      <c r="P27" s="796" t="s">
        <v>3297</v>
      </c>
      <c r="Q27" s="796" t="s">
        <v>1257</v>
      </c>
      <c r="R27" s="793" t="s">
        <v>722</v>
      </c>
      <c r="S27" s="794" t="s">
        <v>1348</v>
      </c>
      <c r="T27" s="796" t="s">
        <v>3297</v>
      </c>
      <c r="U27" s="796" t="s">
        <v>1257</v>
      </c>
      <c r="V27" s="793" t="s">
        <v>722</v>
      </c>
      <c r="W27" s="794" t="s">
        <v>1348</v>
      </c>
      <c r="X27" s="796" t="s">
        <v>3297</v>
      </c>
      <c r="Y27" s="796" t="s">
        <v>1257</v>
      </c>
      <c r="Z27" s="793" t="s">
        <v>722</v>
      </c>
      <c r="AA27" s="794" t="s">
        <v>1348</v>
      </c>
      <c r="AB27" s="796" t="s">
        <v>3297</v>
      </c>
      <c r="AC27" s="796" t="s">
        <v>1257</v>
      </c>
    </row>
    <row r="28" spans="1:29" x14ac:dyDescent="0.3">
      <c r="A28" s="108" t="s">
        <v>2350</v>
      </c>
      <c r="B28" s="925" t="e">
        <f>#REF!</f>
        <v>#REF!</v>
      </c>
      <c r="C28" s="925">
        <v>763</v>
      </c>
      <c r="D28" s="798" t="e">
        <f>B28-C28</f>
        <v>#REF!</v>
      </c>
      <c r="E28" s="799" t="e">
        <f>B28/C28-1</f>
        <v>#REF!</v>
      </c>
      <c r="F28" s="120">
        <v>762</v>
      </c>
      <c r="G28" s="798">
        <f>C28-F28</f>
        <v>1</v>
      </c>
      <c r="H28" s="799">
        <f>C28/F28-1</f>
        <v>1.312335958005173E-3</v>
      </c>
      <c r="M28" s="108" t="s">
        <v>3610</v>
      </c>
      <c r="N28" s="925">
        <f>Drivers!ES199</f>
        <v>1312.2509849999999</v>
      </c>
      <c r="O28" s="925">
        <v>1325.4808168391801</v>
      </c>
      <c r="P28" s="798">
        <f t="shared" ref="P28:P34" si="0">N28-O28</f>
        <v>-13.229831839180179</v>
      </c>
      <c r="Q28" s="799">
        <f t="shared" ref="Q28:Q34" si="1">N28/O28-1</f>
        <v>-9.9811567780579979E-3</v>
      </c>
      <c r="R28" s="925">
        <f>Drivers!EX199</f>
        <v>1618.0850700000001</v>
      </c>
      <c r="S28" s="925">
        <v>1685.8033330548351</v>
      </c>
      <c r="T28" s="798">
        <f t="shared" ref="T28:T34" si="2">R28-S28</f>
        <v>-67.718263054835006</v>
      </c>
      <c r="U28" s="799">
        <f t="shared" ref="U28:U34" si="3">R28/S28-1</f>
        <v>-4.0169729011107824E-2</v>
      </c>
      <c r="V28" s="925">
        <f>Drivers!FC199</f>
        <v>2008.1558494992316</v>
      </c>
      <c r="W28" s="925">
        <v>2172.9150418914865</v>
      </c>
      <c r="X28" s="798">
        <f t="shared" ref="X28:X34" si="4">V28-W28</f>
        <v>-164.75919239225482</v>
      </c>
      <c r="Y28" s="799">
        <f t="shared" ref="Y28:Y34" si="5">V28/W28-1</f>
        <v>-7.5824037855080961E-2</v>
      </c>
      <c r="Z28" s="925">
        <f>Drivers!FD199</f>
        <v>2477.4545844388404</v>
      </c>
      <c r="AA28" s="925">
        <v>2543.8994286055849</v>
      </c>
      <c r="AB28" s="798">
        <f t="shared" ref="AB28:AB34" si="6">Z28-AA28</f>
        <v>-66.444844166744588</v>
      </c>
      <c r="AC28" s="799">
        <f t="shared" ref="AC28:AC34" si="7">Z28/AA28-1</f>
        <v>-2.6119288922976658E-2</v>
      </c>
    </row>
    <row r="29" spans="1:29" x14ac:dyDescent="0.3">
      <c r="A29" s="108" t="s">
        <v>3611</v>
      </c>
      <c r="B29" s="925" t="e">
        <f>#REF!</f>
        <v>#REF!</v>
      </c>
      <c r="C29" s="925">
        <v>652</v>
      </c>
      <c r="D29" s="798" t="e">
        <f>B29-C29</f>
        <v>#REF!</v>
      </c>
      <c r="E29" s="799" t="e">
        <f>B29/C29-1</f>
        <v>#REF!</v>
      </c>
      <c r="F29" s="120">
        <v>652</v>
      </c>
      <c r="G29" s="798">
        <f>C29-F29</f>
        <v>0</v>
      </c>
      <c r="H29" s="799">
        <f>C29/F29-1</f>
        <v>0</v>
      </c>
      <c r="M29" s="108" t="s">
        <v>3612</v>
      </c>
      <c r="N29" s="925">
        <f>Drivers!ES337</f>
        <v>582.84285</v>
      </c>
      <c r="O29" s="925">
        <v>557.28955821781801</v>
      </c>
      <c r="P29" s="798">
        <f t="shared" si="0"/>
        <v>25.553291782181986</v>
      </c>
      <c r="Q29" s="799">
        <f t="shared" si="1"/>
        <v>4.5852809200122246E-2</v>
      </c>
      <c r="R29" s="925">
        <f>Drivers!EX337</f>
        <v>506.74662000000001</v>
      </c>
      <c r="S29" s="925">
        <v>439.92492620770628</v>
      </c>
      <c r="T29" s="798">
        <f t="shared" si="2"/>
        <v>66.821693792293729</v>
      </c>
      <c r="U29" s="799">
        <f t="shared" si="3"/>
        <v>0.15189340228642667</v>
      </c>
      <c r="V29" s="925">
        <f>Drivers!FC337</f>
        <v>398.72041058198948</v>
      </c>
      <c r="W29" s="925">
        <v>345.77757463900133</v>
      </c>
      <c r="X29" s="798">
        <f t="shared" si="4"/>
        <v>52.942835942988154</v>
      </c>
      <c r="Y29" s="799">
        <f t="shared" si="5"/>
        <v>0.1531124046961736</v>
      </c>
      <c r="Z29" s="925">
        <f>Drivers!FD337</f>
        <v>295.41075172913111</v>
      </c>
      <c r="AA29" s="925">
        <v>217.45515401560101</v>
      </c>
      <c r="AB29" s="798">
        <f t="shared" si="6"/>
        <v>77.955597713530096</v>
      </c>
      <c r="AC29" s="799">
        <f t="shared" si="7"/>
        <v>0.35849045779773636</v>
      </c>
    </row>
    <row r="30" spans="1:29" x14ac:dyDescent="0.3">
      <c r="B30" s="925"/>
      <c r="C30" s="925"/>
      <c r="M30" s="538" t="s">
        <v>3613</v>
      </c>
      <c r="N30" s="1303">
        <f>SUM(N28:N29)</f>
        <v>1895.0938349999999</v>
      </c>
      <c r="O30" s="1303">
        <f>SUM(O28:O29)</f>
        <v>1882.7703750569981</v>
      </c>
      <c r="P30" s="1133">
        <f t="shared" si="0"/>
        <v>12.323459943001808</v>
      </c>
      <c r="Q30" s="1134">
        <f t="shared" si="1"/>
        <v>6.5453865783440257E-3</v>
      </c>
      <c r="R30" s="1303">
        <f t="shared" ref="R30:S30" si="8">SUM(R28:R29)</f>
        <v>2124.83169</v>
      </c>
      <c r="S30" s="1303">
        <f t="shared" si="8"/>
        <v>2125.7282592625415</v>
      </c>
      <c r="T30" s="1133">
        <f t="shared" si="2"/>
        <v>-0.89656926254156133</v>
      </c>
      <c r="U30" s="1134">
        <f t="shared" si="3"/>
        <v>-4.2177040204216532E-4</v>
      </c>
      <c r="V30" s="1303">
        <f t="shared" ref="V30" si="9">SUM(V28:V29)</f>
        <v>2406.8762600812211</v>
      </c>
      <c r="W30" s="1303">
        <f t="shared" ref="W30" si="10">SUM(W28:W29)</f>
        <v>2518.6926165304876</v>
      </c>
      <c r="X30" s="1133">
        <f t="shared" si="4"/>
        <v>-111.81635644926655</v>
      </c>
      <c r="Y30" s="1134">
        <f t="shared" si="5"/>
        <v>-4.4394602070694233E-2</v>
      </c>
      <c r="Z30" s="1303">
        <f t="shared" ref="Z30" si="11">SUM(Z28:Z29)</f>
        <v>2772.8653361679717</v>
      </c>
      <c r="AA30" s="1303">
        <f t="shared" ref="AA30" si="12">SUM(AA28:AA29)</f>
        <v>2761.3545826211857</v>
      </c>
      <c r="AB30" s="1133">
        <f t="shared" si="6"/>
        <v>11.510753546785963</v>
      </c>
      <c r="AC30" s="1134">
        <f t="shared" si="7"/>
        <v>4.1685170094525326E-3</v>
      </c>
    </row>
    <row r="31" spans="1:29" x14ac:dyDescent="0.3">
      <c r="A31" s="108" t="s">
        <v>19</v>
      </c>
      <c r="B31" s="925" t="e">
        <f>#REF!</f>
        <v>#REF!</v>
      </c>
      <c r="C31" s="925">
        <v>1431</v>
      </c>
      <c r="D31" s="798" t="e">
        <f>B31-C31</f>
        <v>#REF!</v>
      </c>
      <c r="E31" s="799" t="e">
        <f>B31/C31-1</f>
        <v>#REF!</v>
      </c>
      <c r="F31" s="120">
        <v>1434</v>
      </c>
      <c r="G31" s="798">
        <f>C31-F31</f>
        <v>-3</v>
      </c>
      <c r="H31" s="799">
        <f>C31/F31-1</f>
        <v>-2.0920502092049986E-3</v>
      </c>
      <c r="M31" s="108" t="s">
        <v>3614</v>
      </c>
      <c r="N31" s="925">
        <f>Drivers!ES41</f>
        <v>402.15070500000002</v>
      </c>
      <c r="O31" s="925">
        <v>437.09724913211068</v>
      </c>
      <c r="P31" s="798">
        <f t="shared" si="0"/>
        <v>-34.94654413211066</v>
      </c>
      <c r="Q31" s="799">
        <f t="shared" si="1"/>
        <v>-7.9951416307239676E-2</v>
      </c>
      <c r="R31" s="925">
        <f>Drivers!EX41</f>
        <v>315.77724000000001</v>
      </c>
      <c r="S31" s="925">
        <v>351.142951281048</v>
      </c>
      <c r="T31" s="798">
        <f t="shared" si="2"/>
        <v>-35.365711281047993</v>
      </c>
      <c r="U31" s="799">
        <f t="shared" si="3"/>
        <v>-0.10071599373424978</v>
      </c>
      <c r="V31" s="925">
        <f>Drivers!FC41</f>
        <v>251.91317442963975</v>
      </c>
      <c r="W31" s="925">
        <v>269.71421991493798</v>
      </c>
      <c r="X31" s="798">
        <f t="shared" si="4"/>
        <v>-17.801045485298232</v>
      </c>
      <c r="Y31" s="799">
        <f t="shared" si="5"/>
        <v>-6.5999655082747521E-2</v>
      </c>
      <c r="Z31" s="925">
        <f>Drivers!FD41</f>
        <v>197.83887563582894</v>
      </c>
      <c r="AA31" s="925">
        <v>209.3914877909605</v>
      </c>
      <c r="AB31" s="798">
        <f t="shared" si="6"/>
        <v>-11.552612155131555</v>
      </c>
      <c r="AC31" s="799">
        <f t="shared" si="7"/>
        <v>-5.5172310379038692E-2</v>
      </c>
    </row>
    <row r="32" spans="1:29" x14ac:dyDescent="0.3">
      <c r="B32" s="925"/>
      <c r="C32" s="925"/>
      <c r="M32" s="108" t="s">
        <v>3615</v>
      </c>
      <c r="N32" s="925">
        <f>Drivers!ES42</f>
        <v>799.75545999999997</v>
      </c>
      <c r="O32" s="925">
        <v>806.75264863749999</v>
      </c>
      <c r="P32" s="798">
        <f t="shared" si="0"/>
        <v>-6.9971886375000167</v>
      </c>
      <c r="Q32" s="799">
        <f t="shared" si="1"/>
        <v>-8.6732763125318968E-3</v>
      </c>
      <c r="R32" s="925">
        <f>Drivers!EX42</f>
        <v>722.3910699999999</v>
      </c>
      <c r="S32" s="925">
        <v>750.54887312280403</v>
      </c>
      <c r="T32" s="798">
        <f t="shared" si="2"/>
        <v>-28.157803122804125</v>
      </c>
      <c r="U32" s="799">
        <f t="shared" si="3"/>
        <v>-3.7516281925317085E-2</v>
      </c>
      <c r="V32" s="925">
        <f>Drivers!FC42</f>
        <v>595.74574461268048</v>
      </c>
      <c r="W32" s="925">
        <v>701.812222686533</v>
      </c>
      <c r="X32" s="798">
        <f t="shared" si="4"/>
        <v>-106.06647807385252</v>
      </c>
      <c r="Y32" s="799">
        <f t="shared" si="5"/>
        <v>-0.15113227533688522</v>
      </c>
      <c r="Z32" s="925">
        <f>Drivers!FD42</f>
        <v>493.85802786410704</v>
      </c>
      <c r="AA32" s="925">
        <v>656.79324788070755</v>
      </c>
      <c r="AB32" s="798">
        <f t="shared" si="6"/>
        <v>-162.93522001660051</v>
      </c>
      <c r="AC32" s="799">
        <f t="shared" si="7"/>
        <v>-0.24807688042218456</v>
      </c>
    </row>
    <row r="33" spans="1:29" x14ac:dyDescent="0.3">
      <c r="A33" s="108" t="s">
        <v>2090</v>
      </c>
      <c r="B33" s="925" t="e">
        <f>#REF!</f>
        <v>#REF!</v>
      </c>
      <c r="C33" s="925">
        <v>522</v>
      </c>
      <c r="D33" s="798" t="e">
        <f>B33-C33</f>
        <v>#REF!</v>
      </c>
      <c r="E33" s="799" t="e">
        <f>B33/C33-1</f>
        <v>#REF!</v>
      </c>
      <c r="F33" s="120">
        <v>523</v>
      </c>
      <c r="G33" s="798">
        <f>C33-F33</f>
        <v>-1</v>
      </c>
      <c r="H33" s="799">
        <f>C33/F33-1</f>
        <v>-1.9120458891013214E-3</v>
      </c>
      <c r="M33" s="538" t="s">
        <v>2350</v>
      </c>
      <c r="N33" s="1303">
        <f>SUM(N30:N32)</f>
        <v>3096.9999999999995</v>
      </c>
      <c r="O33" s="1303">
        <v>3084.3213643744525</v>
      </c>
      <c r="P33" s="1133">
        <f t="shared" si="0"/>
        <v>12.678635625547031</v>
      </c>
      <c r="Q33" s="1134">
        <f t="shared" si="1"/>
        <v>4.1106726983743958E-3</v>
      </c>
      <c r="R33" s="1303">
        <f>SUM(R30:R32)</f>
        <v>3163</v>
      </c>
      <c r="S33" s="1303">
        <v>3168.8471562063801</v>
      </c>
      <c r="T33" s="1133">
        <f t="shared" si="2"/>
        <v>-5.8471562063800775</v>
      </c>
      <c r="U33" s="1134">
        <f t="shared" si="3"/>
        <v>-1.8451998213065979E-3</v>
      </c>
      <c r="V33" s="1303">
        <f>SUM(V30:V32)</f>
        <v>3254.5351791235412</v>
      </c>
      <c r="W33" s="1303">
        <v>3401.6953013247366</v>
      </c>
      <c r="X33" s="1133">
        <f t="shared" si="4"/>
        <v>-147.16012220119546</v>
      </c>
      <c r="Y33" s="1134">
        <f t="shared" si="5"/>
        <v>-4.3260818258439082E-2</v>
      </c>
      <c r="Z33" s="1303">
        <f>SUM(Z30:Z32)</f>
        <v>3464.5622396679078</v>
      </c>
      <c r="AA33" s="1303">
        <v>3661.5205283407931</v>
      </c>
      <c r="AB33" s="1133">
        <f t="shared" si="6"/>
        <v>-196.95828867288537</v>
      </c>
      <c r="AC33" s="1134">
        <f t="shared" si="7"/>
        <v>-5.3791392714691799E-2</v>
      </c>
    </row>
    <row r="34" spans="1:29" x14ac:dyDescent="0.3">
      <c r="B34" s="925"/>
      <c r="C34" s="925"/>
      <c r="M34" s="108" t="s">
        <v>3616</v>
      </c>
      <c r="N34" s="925">
        <f>Drivers!ES203</f>
        <v>146.04698999999999</v>
      </c>
      <c r="O34" s="925">
        <v>147.82962260027426</v>
      </c>
      <c r="P34" s="798">
        <f t="shared" si="0"/>
        <v>-1.782632600274269</v>
      </c>
      <c r="Q34" s="799">
        <f t="shared" si="1"/>
        <v>-1.2058696822181858E-2</v>
      </c>
      <c r="R34" s="925">
        <f>Drivers!EX203</f>
        <v>160.01517000000001</v>
      </c>
      <c r="S34" s="925">
        <v>184.3736804315225</v>
      </c>
      <c r="T34" s="798">
        <f t="shared" si="2"/>
        <v>-24.35851043152249</v>
      </c>
      <c r="U34" s="799">
        <f t="shared" si="3"/>
        <v>-0.13211490042674168</v>
      </c>
      <c r="V34" s="925">
        <f>Drivers!FC203</f>
        <v>183.65769523066913</v>
      </c>
      <c r="W34" s="925">
        <v>250.31762697305868</v>
      </c>
      <c r="X34" s="798">
        <f t="shared" si="4"/>
        <v>-66.659931742389546</v>
      </c>
      <c r="Y34" s="799">
        <f t="shared" si="5"/>
        <v>-0.26630138895318012</v>
      </c>
      <c r="Z34" s="925">
        <f>Drivers!FD203</f>
        <v>216.18548619846416</v>
      </c>
      <c r="AA34" s="925">
        <v>298.00599445640199</v>
      </c>
      <c r="AB34" s="798">
        <f t="shared" si="6"/>
        <v>-81.820508257937831</v>
      </c>
      <c r="AC34" s="799">
        <f t="shared" si="7"/>
        <v>-0.27455994100785819</v>
      </c>
    </row>
    <row r="35" spans="1:29" hidden="1" x14ac:dyDescent="0.3">
      <c r="A35" s="108" t="s">
        <v>3617</v>
      </c>
      <c r="B35" s="925">
        <f>'Model Main'!EO129</f>
        <v>389</v>
      </c>
      <c r="C35" s="925">
        <v>295</v>
      </c>
      <c r="D35" s="798">
        <f t="shared" ref="D35:D37" si="13">B35-C35</f>
        <v>94</v>
      </c>
      <c r="E35" s="799">
        <f t="shared" ref="E35" si="14">B35/C35-1</f>
        <v>0.31864406779661025</v>
      </c>
      <c r="F35" s="120">
        <f>F37-F36</f>
        <v>264</v>
      </c>
      <c r="G35" s="798">
        <f>C35-F35</f>
        <v>31</v>
      </c>
      <c r="H35" s="799">
        <f>C35/F35-1</f>
        <v>0.11742424242424243</v>
      </c>
      <c r="M35" s="108" t="s">
        <v>3618</v>
      </c>
      <c r="N35" s="925"/>
      <c r="O35" s="925">
        <v>81.281188900000004</v>
      </c>
      <c r="P35" s="925"/>
      <c r="Q35" s="925"/>
      <c r="R35" s="925"/>
      <c r="S35" s="925">
        <v>65.906874417528897</v>
      </c>
      <c r="T35" s="925"/>
      <c r="U35" s="925"/>
      <c r="V35" s="925"/>
      <c r="W35" s="925">
        <v>55.910855266057297</v>
      </c>
      <c r="X35" s="925"/>
      <c r="Y35" s="925"/>
      <c r="Z35" s="925"/>
      <c r="AA35" s="925">
        <v>46.05401710572405</v>
      </c>
      <c r="AB35" s="925"/>
      <c r="AC35" s="925"/>
    </row>
    <row r="36" spans="1:29" x14ac:dyDescent="0.3">
      <c r="A36" s="108" t="s">
        <v>198</v>
      </c>
      <c r="B36" s="925">
        <f>'Model Main'!EO130</f>
        <v>-1154</v>
      </c>
      <c r="C36" s="925">
        <v>-873</v>
      </c>
      <c r="D36" s="798">
        <f t="shared" si="13"/>
        <v>-281</v>
      </c>
      <c r="E36" s="1281" t="s">
        <v>1330</v>
      </c>
      <c r="F36" s="120">
        <v>-809</v>
      </c>
      <c r="G36" s="798">
        <f>C36-F36</f>
        <v>-64</v>
      </c>
      <c r="H36" s="1281" t="s">
        <v>1330</v>
      </c>
      <c r="M36" s="108" t="s">
        <v>3619</v>
      </c>
      <c r="N36" s="925">
        <f>N34+Drivers!ES341</f>
        <v>236.85264000000001</v>
      </c>
      <c r="O36" s="925">
        <v>226.73135479999999</v>
      </c>
      <c r="P36" s="798">
        <f>N36-O36</f>
        <v>10.121285200000017</v>
      </c>
      <c r="Q36" s="799">
        <f>N36/O36-1</f>
        <v>4.4639989069566566E-2</v>
      </c>
      <c r="R36" s="925">
        <f>R34+Drivers!EX341</f>
        <v>237.78867000000002</v>
      </c>
      <c r="S36" s="925">
        <v>243.72270601746399</v>
      </c>
      <c r="T36" s="798">
        <f>R36-S36</f>
        <v>-5.934036017463967</v>
      </c>
      <c r="U36" s="799">
        <f>R36/S36-1</f>
        <v>-2.4347489466323147E-2</v>
      </c>
      <c r="V36" s="925">
        <f>V34+Drivers!FC341</f>
        <v>247.18581885138971</v>
      </c>
      <c r="W36" s="925">
        <v>294.29006328957001</v>
      </c>
      <c r="X36" s="798">
        <f>V36-W36</f>
        <v>-47.104244438180302</v>
      </c>
      <c r="Y36" s="799">
        <f>V36/W36-1</f>
        <v>-0.16006060113498144</v>
      </c>
      <c r="Z36" s="925">
        <f>Z34+Drivers!FD341</f>
        <v>266.57718348215235</v>
      </c>
      <c r="AA36" s="925">
        <v>344.06001156212602</v>
      </c>
      <c r="AB36" s="798">
        <f>Z36-AA36</f>
        <v>-77.482828079973672</v>
      </c>
      <c r="AC36" s="799">
        <f>Z36/AA36-1</f>
        <v>-0.22520149240296938</v>
      </c>
    </row>
    <row r="37" spans="1:29" x14ac:dyDescent="0.3">
      <c r="A37" s="108" t="s">
        <v>199</v>
      </c>
      <c r="B37" s="925">
        <f>'Model Main'!EO132</f>
        <v>-765</v>
      </c>
      <c r="C37" s="925">
        <v>-609</v>
      </c>
      <c r="D37" s="798">
        <f t="shared" si="13"/>
        <v>-156</v>
      </c>
      <c r="E37" s="1281" t="s">
        <v>1330</v>
      </c>
      <c r="F37" s="120">
        <v>-545</v>
      </c>
      <c r="G37" s="798">
        <f>C37-F37</f>
        <v>-64</v>
      </c>
      <c r="H37" s="1281" t="s">
        <v>1330</v>
      </c>
      <c r="M37" s="108" t="s">
        <v>3620</v>
      </c>
      <c r="N37" s="925"/>
      <c r="O37" s="925">
        <v>1155.3333333333301</v>
      </c>
      <c r="P37" s="925"/>
      <c r="Q37" s="925"/>
      <c r="R37" s="925"/>
      <c r="S37" s="925">
        <v>1189.9933333333299</v>
      </c>
      <c r="T37" s="925"/>
      <c r="U37" s="925"/>
      <c r="V37" s="925"/>
      <c r="W37" s="925">
        <v>1213.7932000000001</v>
      </c>
      <c r="X37" s="925"/>
      <c r="Y37" s="925"/>
      <c r="Z37" s="925"/>
      <c r="AA37" s="925">
        <v>1225.9311319999999</v>
      </c>
      <c r="AB37" s="925"/>
      <c r="AC37" s="925"/>
    </row>
    <row r="38" spans="1:29" x14ac:dyDescent="0.3">
      <c r="B38" s="925"/>
      <c r="C38" s="925"/>
      <c r="M38" s="108" t="s">
        <v>3621</v>
      </c>
      <c r="N38" s="925"/>
      <c r="O38" s="925">
        <v>513.93532666666704</v>
      </c>
      <c r="P38" s="925"/>
      <c r="Q38" s="925"/>
      <c r="R38" s="925"/>
      <c r="S38" s="925">
        <v>556.02906313425103</v>
      </c>
      <c r="T38" s="925"/>
      <c r="U38" s="925"/>
      <c r="V38" s="925"/>
      <c r="W38" s="925">
        <v>667.51211586227305</v>
      </c>
      <c r="X38" s="925"/>
      <c r="Y38" s="925"/>
      <c r="Z38" s="925"/>
      <c r="AA38" s="925">
        <v>774.06596912166299</v>
      </c>
      <c r="AB38" s="925"/>
      <c r="AC38" s="925"/>
    </row>
    <row r="39" spans="1:29" x14ac:dyDescent="0.3">
      <c r="A39" s="108" t="s">
        <v>327</v>
      </c>
      <c r="B39" s="925">
        <f>Drivers!EO87</f>
        <v>339</v>
      </c>
      <c r="C39" s="925">
        <v>294</v>
      </c>
      <c r="D39" s="798">
        <f t="shared" ref="D39:D41" si="15">B39-C39</f>
        <v>45</v>
      </c>
      <c r="E39" s="799">
        <f t="shared" ref="E39:E41" si="16">B39/C39-1</f>
        <v>0.15306122448979598</v>
      </c>
      <c r="F39" s="108">
        <v>298</v>
      </c>
      <c r="G39" s="798">
        <f>C39-F39</f>
        <v>-4</v>
      </c>
      <c r="H39" s="799">
        <f>C39/F39-1</f>
        <v>-1.3422818791946289E-2</v>
      </c>
      <c r="M39" s="108" t="s">
        <v>3622</v>
      </c>
      <c r="N39" s="925"/>
      <c r="O39" s="925">
        <v>285.91814416666699</v>
      </c>
      <c r="P39" s="925"/>
      <c r="Q39" s="925"/>
      <c r="R39" s="925"/>
      <c r="S39" s="925">
        <v>296.72550468422401</v>
      </c>
      <c r="T39" s="925"/>
      <c r="U39" s="925"/>
      <c r="V39" s="925"/>
      <c r="W39" s="925">
        <v>337.98117310835102</v>
      </c>
      <c r="X39" s="925"/>
      <c r="Y39" s="925"/>
      <c r="Z39" s="925"/>
      <c r="AA39" s="925">
        <v>376.89903280345101</v>
      </c>
      <c r="AB39" s="925"/>
      <c r="AC39" s="925"/>
    </row>
    <row r="40" spans="1:29" x14ac:dyDescent="0.3">
      <c r="A40" s="108" t="s">
        <v>3623</v>
      </c>
      <c r="B40" s="925">
        <f>Drivers!EO173</f>
        <v>88</v>
      </c>
      <c r="C40" s="925">
        <v>79</v>
      </c>
      <c r="D40" s="798">
        <f t="shared" si="15"/>
        <v>9</v>
      </c>
      <c r="E40" s="799">
        <f t="shared" si="16"/>
        <v>0.11392405063291133</v>
      </c>
      <c r="F40" s="108">
        <v>80</v>
      </c>
      <c r="G40" s="798">
        <f>C40-F40</f>
        <v>-1</v>
      </c>
      <c r="H40" s="799">
        <f>C40/F40-1</f>
        <v>-1.2499999999999956E-2</v>
      </c>
      <c r="M40" s="538" t="s">
        <v>3624</v>
      </c>
      <c r="N40" s="1303">
        <f>Drivers!ES46</f>
        <v>2579</v>
      </c>
      <c r="O40" s="1303">
        <v>2596.5298024089302</v>
      </c>
      <c r="P40" s="1133">
        <f>N40-O40</f>
        <v>-17.529802408930209</v>
      </c>
      <c r="Q40" s="1134">
        <f>N40/O40-1</f>
        <v>-6.751242520947387E-3</v>
      </c>
      <c r="R40" s="1303">
        <f>Drivers!EX46</f>
        <v>2710</v>
      </c>
      <c r="S40" s="1303">
        <v>2543.662831491215</v>
      </c>
      <c r="T40" s="1133">
        <f>R40-S40</f>
        <v>166.337168508785</v>
      </c>
      <c r="U40" s="1134">
        <f>R40/S40-1</f>
        <v>6.5392773935871951E-2</v>
      </c>
      <c r="V40" s="1303">
        <f>Drivers!FC46</f>
        <v>2702.2882000013897</v>
      </c>
      <c r="W40" s="1303">
        <v>2579.6468911618699</v>
      </c>
      <c r="X40" s="1133">
        <f>V40-W40</f>
        <v>122.64130883951975</v>
      </c>
      <c r="Y40" s="1134">
        <f>V40/W40-1</f>
        <v>4.7541897792175103E-2</v>
      </c>
      <c r="Z40" s="1303">
        <f>Drivers!FD46</f>
        <v>2697.6352130674022</v>
      </c>
      <c r="AA40" s="1303">
        <v>2585.2271881935435</v>
      </c>
      <c r="AB40" s="1133">
        <f>Z40-AA40</f>
        <v>112.40802487385872</v>
      </c>
      <c r="AC40" s="1134">
        <f>Z40/AA40-1</f>
        <v>4.348090774660518E-2</v>
      </c>
    </row>
    <row r="41" spans="1:29" x14ac:dyDescent="0.3">
      <c r="A41" s="108" t="s">
        <v>3625</v>
      </c>
      <c r="B41" s="925">
        <f>B40+Drivers!EO262+Drivers!EO307</f>
        <v>26</v>
      </c>
      <c r="C41" s="925">
        <v>22</v>
      </c>
      <c r="D41" s="798">
        <f t="shared" si="15"/>
        <v>4</v>
      </c>
      <c r="E41" s="799">
        <f t="shared" si="16"/>
        <v>0.18181818181818188</v>
      </c>
      <c r="F41" s="108">
        <v>27</v>
      </c>
      <c r="G41" s="798">
        <f>C41-F41</f>
        <v>-5</v>
      </c>
      <c r="H41" s="799">
        <f>C41/F41-1</f>
        <v>-0.18518518518518523</v>
      </c>
      <c r="M41" s="538" t="s">
        <v>3626</v>
      </c>
      <c r="N41" s="1303">
        <f>N40+N33</f>
        <v>5676</v>
      </c>
      <c r="O41" s="1303">
        <v>5709.1293036206462</v>
      </c>
      <c r="P41" s="1133">
        <f>N41-O41</f>
        <v>-33.129303620646169</v>
      </c>
      <c r="Q41" s="1134">
        <f>N41/O41-1</f>
        <v>-5.8028644752600167E-3</v>
      </c>
      <c r="R41" s="1303">
        <f>R40+R33</f>
        <v>5873</v>
      </c>
      <c r="S41" s="1303">
        <v>5794.4440443503217</v>
      </c>
      <c r="T41" s="1133">
        <f>R41-S41</f>
        <v>78.555955649678253</v>
      </c>
      <c r="U41" s="1134">
        <f>R41/S41-1</f>
        <v>1.35571169638391E-2</v>
      </c>
      <c r="V41" s="1303">
        <f>V40+V33</f>
        <v>5956.8233791249313</v>
      </c>
      <c r="W41" s="1303">
        <v>6045.7927675237852</v>
      </c>
      <c r="X41" s="1133">
        <f>V41-W41</f>
        <v>-88.96938839885388</v>
      </c>
      <c r="Y41" s="1134">
        <f>V41/W41-1</f>
        <v>-1.4715917633957187E-2</v>
      </c>
      <c r="Z41" s="1303">
        <f>Z40+Z33</f>
        <v>6162.1974527353104</v>
      </c>
      <c r="AA41" s="1303">
        <v>6246.7477165343334</v>
      </c>
      <c r="AB41" s="1133">
        <f>Z41-AA41</f>
        <v>-84.550263799023014</v>
      </c>
      <c r="AC41" s="1134">
        <f>Z41/AA41-1</f>
        <v>-1.3535085397354707E-2</v>
      </c>
    </row>
    <row r="42" spans="1:29" x14ac:dyDescent="0.3">
      <c r="M42" s="108" t="s">
        <v>3627</v>
      </c>
      <c r="N42" s="925">
        <f>Drivers!ES48</f>
        <v>75</v>
      </c>
      <c r="O42" s="925">
        <v>77.62</v>
      </c>
      <c r="P42" s="798">
        <f>N42-O42</f>
        <v>-2.6200000000000045</v>
      </c>
      <c r="Q42" s="799">
        <f>N42/O42-1</f>
        <v>-3.37541870651894E-2</v>
      </c>
      <c r="R42" s="925">
        <f>Drivers!EX48</f>
        <v>64</v>
      </c>
      <c r="S42" s="925">
        <v>76.22</v>
      </c>
      <c r="T42" s="798">
        <f>R42-S42</f>
        <v>-12.219999999999999</v>
      </c>
      <c r="U42" s="799">
        <f>R42/S42-1</f>
        <v>-0.16032537391760693</v>
      </c>
      <c r="V42" s="925">
        <f>Drivers!FC48</f>
        <v>64</v>
      </c>
      <c r="W42" s="925">
        <v>71.707835820895525</v>
      </c>
      <c r="X42" s="798">
        <f>V42-W42</f>
        <v>-7.7078358208955251</v>
      </c>
      <c r="Y42" s="799">
        <f>V42/W42-1</f>
        <v>-0.10748944983010456</v>
      </c>
      <c r="Z42" s="925">
        <f>Drivers!FD48</f>
        <v>64</v>
      </c>
      <c r="AA42" s="925">
        <v>68.205873616989663</v>
      </c>
      <c r="AB42" s="798">
        <f>Z42-AA42</f>
        <v>-4.2058736169896633</v>
      </c>
      <c r="AC42" s="799">
        <f>Z42/AA42-1</f>
        <v>-6.1664390380918865E-2</v>
      </c>
    </row>
    <row r="43" spans="1:29" x14ac:dyDescent="0.3">
      <c r="A43" s="108" t="s">
        <v>3057</v>
      </c>
      <c r="B43" s="1282">
        <f>Drivers!EO186</f>
        <v>61.44</v>
      </c>
      <c r="C43" s="1282">
        <v>61.35</v>
      </c>
      <c r="D43" s="1283">
        <f t="shared" ref="D43:D44" si="17">B43-C43</f>
        <v>8.9999999999996305E-2</v>
      </c>
      <c r="E43" s="799">
        <f t="shared" ref="E43:E44" si="18">B43/C43-1</f>
        <v>1.4669926650365817E-3</v>
      </c>
      <c r="F43" s="1284">
        <v>61.34</v>
      </c>
      <c r="G43" s="1283">
        <f>C43-F43</f>
        <v>9.9999999999980105E-3</v>
      </c>
      <c r="H43" s="799">
        <f>C43/F43-1</f>
        <v>1.6302575806981245E-4</v>
      </c>
      <c r="M43" s="538" t="s">
        <v>19</v>
      </c>
      <c r="N43" s="1303">
        <f>SUM(N41:N42)</f>
        <v>5751</v>
      </c>
      <c r="O43" s="1303">
        <v>5786.7493036206461</v>
      </c>
      <c r="P43" s="1133">
        <f>N43-O43</f>
        <v>-35.74930362064606</v>
      </c>
      <c r="Q43" s="1134">
        <f>N43/O43-1</f>
        <v>-6.177786827274212E-3</v>
      </c>
      <c r="R43" s="1303">
        <f>SUM(R41:R42)</f>
        <v>5937</v>
      </c>
      <c r="S43" s="1303">
        <v>5870.664044350322</v>
      </c>
      <c r="T43" s="1133">
        <f>R43-S43</f>
        <v>66.335955649677999</v>
      </c>
      <c r="U43" s="1134">
        <f>R43/S43-1</f>
        <v>1.1299565968779346E-2</v>
      </c>
      <c r="V43" s="1303">
        <f>SUM(V41:V42)</f>
        <v>6020.8233791249313</v>
      </c>
      <c r="W43" s="1303">
        <v>6117.5006033446798</v>
      </c>
      <c r="X43" s="1133">
        <f>V43-W43</f>
        <v>-96.677224219748496</v>
      </c>
      <c r="Y43" s="1134">
        <f>V43/W43-1</f>
        <v>-1.5803386135653352E-2</v>
      </c>
      <c r="Z43" s="1303">
        <f>SUM(Z41:Z42)</f>
        <v>6226.1974527353104</v>
      </c>
      <c r="AA43" s="1303">
        <v>6314.9535901513236</v>
      </c>
      <c r="AB43" s="1133">
        <f>Z43-AA43</f>
        <v>-88.756137416013189</v>
      </c>
      <c r="AC43" s="1134">
        <f>Z43/AA43-1</f>
        <v>-1.4054915233967069E-2</v>
      </c>
    </row>
    <row r="44" spans="1:29" x14ac:dyDescent="0.3">
      <c r="A44" s="108" t="s">
        <v>3628</v>
      </c>
      <c r="B44" s="1282">
        <f>Drivers!EO323</f>
        <v>48.88</v>
      </c>
      <c r="C44" s="1282">
        <v>48.99</v>
      </c>
      <c r="D44" s="1283">
        <f t="shared" si="17"/>
        <v>-0.10999999999999943</v>
      </c>
      <c r="E44" s="799">
        <f t="shared" si="18"/>
        <v>-2.2453561951418788E-3</v>
      </c>
      <c r="F44" s="1284">
        <v>48.85</v>
      </c>
      <c r="G44" s="1283">
        <f>C44-F44</f>
        <v>0.14000000000000057</v>
      </c>
      <c r="H44" s="799">
        <f>C44/F44-1</f>
        <v>2.865916069600738E-3</v>
      </c>
    </row>
    <row r="46" spans="1:29" x14ac:dyDescent="0.3">
      <c r="A46" s="108" t="s">
        <v>3055</v>
      </c>
      <c r="B46" s="1280">
        <f>Drivers!EO119</f>
        <v>1.2E-2</v>
      </c>
      <c r="C46" s="1280">
        <v>1.3299999999999999E-2</v>
      </c>
      <c r="D46" s="1237">
        <f t="shared" ref="D46:D47" si="19">B46-C46</f>
        <v>-1.2999999999999991E-3</v>
      </c>
      <c r="F46" s="1280">
        <v>1.2800000000000001E-2</v>
      </c>
      <c r="G46" s="1237">
        <f>C46-F46</f>
        <v>4.9999999999999871E-4</v>
      </c>
      <c r="M46" s="108" t="s">
        <v>1116</v>
      </c>
      <c r="N46" s="925">
        <f>Drivers!ES9</f>
        <v>2997</v>
      </c>
      <c r="O46" s="925">
        <v>3091.2454848539101</v>
      </c>
      <c r="P46" s="798">
        <f t="shared" ref="P46:P48" si="20">N46-O46</f>
        <v>-94.245484853910057</v>
      </c>
      <c r="Q46" s="799">
        <f t="shared" ref="Q46:Q48" si="21">N46/O46-1</f>
        <v>-3.0487868179891242E-2</v>
      </c>
      <c r="R46" s="925">
        <f>Drivers!EX9</f>
        <v>3402</v>
      </c>
      <c r="S46" s="925">
        <v>3488.4924878116649</v>
      </c>
      <c r="T46" s="798">
        <f t="shared" ref="T46:T48" si="22">R46-S46</f>
        <v>-86.492487811664887</v>
      </c>
      <c r="U46" s="799">
        <f t="shared" ref="U46:U48" si="23">R46/S46-1</f>
        <v>-2.4793657464895924E-2</v>
      </c>
      <c r="V46" s="925">
        <f>Drivers!FC9</f>
        <v>3798.9829578736626</v>
      </c>
      <c r="W46" s="925">
        <v>4006.660432095855</v>
      </c>
      <c r="X46" s="798">
        <f t="shared" ref="X46:X48" si="24">V46-W46</f>
        <v>-207.67747422219236</v>
      </c>
      <c r="Y46" s="799">
        <f t="shared" ref="Y46:Y48" si="25">V46/W46-1</f>
        <v>-5.1833060909920348E-2</v>
      </c>
      <c r="Z46" s="925">
        <f>Drivers!FD9</f>
        <v>4284.0177429424857</v>
      </c>
      <c r="AA46" s="925">
        <v>4361.1863756672901</v>
      </c>
      <c r="AB46" s="798">
        <f t="shared" ref="AB46:AB48" si="26">Z46-AA46</f>
        <v>-77.168632724804411</v>
      </c>
      <c r="AC46" s="799">
        <f t="shared" ref="AC46:AC48" si="27">Z46/AA46-1</f>
        <v>-1.7694412959592287E-2</v>
      </c>
    </row>
    <row r="47" spans="1:29" x14ac:dyDescent="0.3">
      <c r="A47" s="108" t="s">
        <v>3056</v>
      </c>
      <c r="B47" s="1280">
        <f>Drivers!EO264</f>
        <v>1.7100000000000001E-2</v>
      </c>
      <c r="C47" s="1280">
        <v>1.8200000000000001E-2</v>
      </c>
      <c r="D47" s="1237">
        <f t="shared" si="19"/>
        <v>-1.1000000000000003E-3</v>
      </c>
      <c r="F47" s="1280">
        <v>1.7000000000000001E-2</v>
      </c>
      <c r="G47" s="1237">
        <f>C47-F47</f>
        <v>1.1999999999999997E-3</v>
      </c>
      <c r="M47" s="108" t="s">
        <v>1122</v>
      </c>
      <c r="N47" s="925">
        <f>Drivers!ES10</f>
        <v>2679</v>
      </c>
      <c r="O47" s="925">
        <v>2645.8227251788949</v>
      </c>
      <c r="P47" s="798">
        <f t="shared" si="20"/>
        <v>33.177274821105129</v>
      </c>
      <c r="Q47" s="799">
        <f t="shared" si="21"/>
        <v>1.2539492727677626E-2</v>
      </c>
      <c r="R47" s="925">
        <f>Drivers!EX10</f>
        <v>2471</v>
      </c>
      <c r="S47" s="925">
        <v>2345.4289490098399</v>
      </c>
      <c r="T47" s="798">
        <f t="shared" si="22"/>
        <v>125.57105099016007</v>
      </c>
      <c r="U47" s="799">
        <f t="shared" si="23"/>
        <v>5.3538629274262117E-2</v>
      </c>
      <c r="V47" s="925">
        <f>Drivers!FC10</f>
        <v>2157.8404212512678</v>
      </c>
      <c r="W47" s="925">
        <v>2103.0057718077951</v>
      </c>
      <c r="X47" s="798">
        <f t="shared" si="24"/>
        <v>54.834649443472699</v>
      </c>
      <c r="Y47" s="799">
        <f t="shared" si="25"/>
        <v>2.6074416998074001E-2</v>
      </c>
      <c r="Z47" s="925">
        <f>Drivers!FD10</f>
        <v>1878.1797097928231</v>
      </c>
      <c r="AA47" s="925">
        <v>1914.00264934253</v>
      </c>
      <c r="AB47" s="798">
        <f t="shared" si="26"/>
        <v>-35.822939549706916</v>
      </c>
      <c r="AC47" s="799">
        <f t="shared" si="27"/>
        <v>-1.8716243450348613E-2</v>
      </c>
    </row>
    <row r="48" spans="1:29" x14ac:dyDescent="0.3">
      <c r="M48" s="108" t="s">
        <v>3626</v>
      </c>
      <c r="N48" s="1303">
        <f>SUM(N46:N47)</f>
        <v>5676</v>
      </c>
      <c r="O48" s="1303">
        <f>SUM(O46:O47)</f>
        <v>5737.0682100328049</v>
      </c>
      <c r="P48" s="1133">
        <f t="shared" si="20"/>
        <v>-61.068210032804927</v>
      </c>
      <c r="Q48" s="1134">
        <f t="shared" si="21"/>
        <v>-1.0644497816151288E-2</v>
      </c>
      <c r="R48" s="1303">
        <f>SUM(R46:R47)</f>
        <v>5873</v>
      </c>
      <c r="S48" s="1303">
        <f>SUM(S46:S47)</f>
        <v>5833.9214368215053</v>
      </c>
      <c r="T48" s="1133">
        <f t="shared" si="22"/>
        <v>39.078563178494733</v>
      </c>
      <c r="U48" s="1134">
        <f t="shared" si="23"/>
        <v>6.6985069308347356E-3</v>
      </c>
      <c r="V48" s="1303">
        <f>SUM(V46:V47)</f>
        <v>5956.8233791249304</v>
      </c>
      <c r="W48" s="1303">
        <f>SUM(W46:W47)</f>
        <v>6109.6662039036501</v>
      </c>
      <c r="X48" s="1133">
        <f t="shared" si="24"/>
        <v>-152.84282477871966</v>
      </c>
      <c r="Y48" s="1134">
        <f t="shared" si="25"/>
        <v>-2.5016558953918633E-2</v>
      </c>
      <c r="Z48" s="1303">
        <f>SUM(Z46:Z47)</f>
        <v>6162.1974527353086</v>
      </c>
      <c r="AA48" s="1303">
        <f>SUM(AA46:AA47)</f>
        <v>6275.1890250098204</v>
      </c>
      <c r="AB48" s="1133">
        <f t="shared" si="26"/>
        <v>-112.99157227451178</v>
      </c>
      <c r="AC48" s="1134">
        <f t="shared" si="27"/>
        <v>-1.8006082657300526E-2</v>
      </c>
    </row>
    <row r="49" spans="1:8" x14ac:dyDescent="0.3">
      <c r="A49" s="108" t="s">
        <v>3629</v>
      </c>
      <c r="B49" s="1282">
        <f>Drivers!EO194</f>
        <v>101.92</v>
      </c>
      <c r="C49" s="1282">
        <v>108.36</v>
      </c>
      <c r="D49" s="1283">
        <f t="shared" ref="D49:D50" si="28">B49-C49</f>
        <v>-6.4399999999999977</v>
      </c>
      <c r="E49" s="799">
        <f t="shared" ref="E49:E50" si="29">B49/C49-1</f>
        <v>-5.9431524547803649E-2</v>
      </c>
      <c r="F49" s="1284">
        <v>108.4</v>
      </c>
      <c r="G49" s="1283">
        <f>C49-F49</f>
        <v>-4.0000000000006253E-2</v>
      </c>
      <c r="H49" s="799">
        <f>C49/F49-1</f>
        <v>-3.6900369003700639E-4</v>
      </c>
    </row>
    <row r="50" spans="1:8" x14ac:dyDescent="0.3">
      <c r="A50" s="108" t="s">
        <v>3630</v>
      </c>
      <c r="B50" s="1282">
        <f>Drivers!EO329</f>
        <v>60.59</v>
      </c>
      <c r="C50" s="1282">
        <v>66.069999999999993</v>
      </c>
      <c r="D50" s="1283">
        <f t="shared" si="28"/>
        <v>-5.4799999999999898</v>
      </c>
      <c r="E50" s="799">
        <f t="shared" si="29"/>
        <v>-8.294233388830019E-2</v>
      </c>
      <c r="F50" s="1284">
        <v>65.86</v>
      </c>
      <c r="G50" s="1283">
        <f>C50-F50</f>
        <v>0.20999999999999375</v>
      </c>
      <c r="H50" s="799">
        <f>C50/F50-1</f>
        <v>3.1885818402670463E-3</v>
      </c>
    </row>
    <row r="52" spans="1:8" x14ac:dyDescent="0.3">
      <c r="A52" s="108" t="s">
        <v>3631</v>
      </c>
      <c r="B52" s="1280">
        <f>Drivers!EO142</f>
        <v>1.43E-2</v>
      </c>
      <c r="C52" s="1280">
        <v>1.26E-2</v>
      </c>
      <c r="D52" s="1237">
        <f t="shared" ref="D52:D53" si="30">B52-C52</f>
        <v>1.7000000000000001E-3</v>
      </c>
      <c r="F52" s="1280">
        <v>1.2699999999999999E-2</v>
      </c>
      <c r="G52" s="1237">
        <f>C52-F52</f>
        <v>-9.9999999999999395E-5</v>
      </c>
    </row>
    <row r="53" spans="1:8" x14ac:dyDescent="0.3">
      <c r="A53" s="108" t="s">
        <v>3632</v>
      </c>
      <c r="B53" s="1280">
        <f>Drivers!EO309</f>
        <v>1.8800000000000001E-2</v>
      </c>
      <c r="C53" s="1280">
        <v>1.7500000000000002E-2</v>
      </c>
      <c r="D53" s="1237">
        <f t="shared" si="30"/>
        <v>1.2999999999999991E-3</v>
      </c>
      <c r="F53" s="1280">
        <v>1.7399999999999999E-2</v>
      </c>
      <c r="G53" s="1237">
        <f>C53-F53</f>
        <v>1.0000000000000286E-4</v>
      </c>
    </row>
    <row r="54" spans="1:8" x14ac:dyDescent="0.3">
      <c r="A54" s="1091"/>
      <c r="B54" s="1091"/>
      <c r="C54" s="1091"/>
      <c r="D54" s="1091"/>
      <c r="E54" s="1091"/>
      <c r="F54" s="1091"/>
      <c r="G54" s="1091"/>
      <c r="H54" s="1091"/>
    </row>
  </sheetData>
  <mergeCells count="4">
    <mergeCell ref="N26:O26"/>
    <mergeCell ref="R26:S26"/>
    <mergeCell ref="V26:W26"/>
    <mergeCell ref="Z26:AA2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F5EE3-9B37-4DFC-AA4E-60A76AFD287C}">
  <sheetPr codeName="Sheet2"/>
  <dimension ref="A1:U45"/>
  <sheetViews>
    <sheetView showGridLines="0" tabSelected="1" workbookViewId="0">
      <selection activeCell="B13" sqref="B13"/>
    </sheetView>
  </sheetViews>
  <sheetFormatPr defaultRowHeight="12" x14ac:dyDescent="0.3"/>
  <cols>
    <col min="1" max="1" width="20" customWidth="1"/>
    <col min="2" max="2" width="16.6640625" customWidth="1"/>
  </cols>
  <sheetData>
    <row r="1" spans="1:21" x14ac:dyDescent="0.3">
      <c r="A1" s="301" t="s">
        <v>1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</row>
    <row r="2" spans="1:21" x14ac:dyDescent="0.3">
      <c r="A2" s="301"/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301"/>
    </row>
    <row r="3" spans="1:21" x14ac:dyDescent="0.3">
      <c r="A3" s="301"/>
      <c r="B3" s="301"/>
      <c r="C3" s="301"/>
      <c r="D3" s="301"/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R3" s="301"/>
      <c r="S3" s="301"/>
      <c r="T3" s="301"/>
      <c r="U3" s="301"/>
    </row>
    <row r="4" spans="1:21" x14ac:dyDescent="0.3">
      <c r="A4" s="301"/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1"/>
      <c r="T4" s="301"/>
      <c r="U4" s="301"/>
    </row>
    <row r="5" spans="1:21" x14ac:dyDescent="0.3">
      <c r="A5" s="301"/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301"/>
      <c r="Q5" s="301"/>
      <c r="R5" s="301"/>
      <c r="S5" s="301"/>
      <c r="T5" s="301"/>
      <c r="U5" s="301"/>
    </row>
    <row r="6" spans="1:21" x14ac:dyDescent="0.3">
      <c r="A6" s="301"/>
      <c r="B6" s="301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  <c r="O6" s="301"/>
      <c r="P6" s="301"/>
      <c r="Q6" s="301"/>
      <c r="R6" s="301"/>
      <c r="S6" s="301"/>
      <c r="T6" s="301"/>
      <c r="U6" s="301"/>
    </row>
    <row r="7" spans="1:21" x14ac:dyDescent="0.3">
      <c r="A7" s="301"/>
      <c r="B7" s="301"/>
      <c r="C7" s="301"/>
      <c r="D7" s="301"/>
      <c r="E7" s="301"/>
      <c r="F7" s="301"/>
      <c r="G7" s="301"/>
      <c r="H7" s="301"/>
      <c r="I7" s="301"/>
      <c r="J7" s="301"/>
      <c r="K7" s="301"/>
      <c r="L7" s="301"/>
      <c r="M7" s="301"/>
      <c r="N7" s="301"/>
      <c r="O7" s="301"/>
      <c r="P7" s="301"/>
      <c r="Q7" s="301"/>
      <c r="R7" s="301"/>
      <c r="S7" s="301"/>
      <c r="T7" s="301"/>
      <c r="U7" s="301"/>
    </row>
    <row r="8" spans="1:21" ht="13.5" thickBot="1" x14ac:dyDescent="0.35">
      <c r="A8" s="302"/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1"/>
    </row>
    <row r="9" spans="1:21" x14ac:dyDescent="0.3">
      <c r="A9" s="301"/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</row>
    <row r="10" spans="1:21" x14ac:dyDescent="0.3">
      <c r="A10" s="301"/>
      <c r="B10" s="301"/>
      <c r="C10" s="301"/>
      <c r="D10" s="301"/>
      <c r="E10" s="301"/>
      <c r="F10" s="301"/>
      <c r="G10" s="301"/>
      <c r="H10" s="301"/>
      <c r="I10" s="301"/>
      <c r="J10" s="301"/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</row>
    <row r="11" spans="1:21" x14ac:dyDescent="0.3">
      <c r="A11" s="301"/>
      <c r="B11" s="301"/>
      <c r="C11" s="301"/>
      <c r="D11" s="301"/>
      <c r="E11" s="301"/>
      <c r="F11" s="301"/>
      <c r="G11" s="301"/>
      <c r="H11" s="301"/>
      <c r="I11" s="301"/>
      <c r="J11" s="301"/>
      <c r="K11" s="301"/>
      <c r="L11" s="301"/>
      <c r="M11" s="301"/>
      <c r="N11" s="301"/>
      <c r="O11" s="301"/>
      <c r="P11" s="301"/>
      <c r="Q11" s="301"/>
      <c r="R11" s="301"/>
      <c r="S11" s="301"/>
      <c r="T11" s="301"/>
      <c r="U11" s="301"/>
    </row>
    <row r="12" spans="1:21" x14ac:dyDescent="0.3">
      <c r="A12" s="301"/>
      <c r="B12" s="301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1"/>
      <c r="N12" s="301"/>
      <c r="O12" s="301"/>
      <c r="P12" s="301"/>
      <c r="Q12" s="301"/>
      <c r="R12" s="301"/>
      <c r="S12" s="301"/>
      <c r="T12" s="301"/>
      <c r="U12" s="301"/>
    </row>
    <row r="13" spans="1:21" ht="21" x14ac:dyDescent="0.5">
      <c r="A13" s="304"/>
      <c r="B13" s="305" t="s">
        <v>2</v>
      </c>
      <c r="C13" s="304"/>
      <c r="D13" s="304"/>
      <c r="E13" s="304"/>
      <c r="F13" s="304"/>
      <c r="G13" s="304"/>
      <c r="H13" s="304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</row>
    <row r="14" spans="1:21" x14ac:dyDescent="0.3">
      <c r="A14" s="304"/>
      <c r="B14" s="304"/>
      <c r="C14" s="304"/>
      <c r="D14" s="304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</row>
    <row r="15" spans="1:21" x14ac:dyDescent="0.3">
      <c r="A15" s="304"/>
      <c r="B15" s="304"/>
      <c r="C15" s="304"/>
      <c r="D15" s="304"/>
      <c r="E15" s="304"/>
      <c r="F15" s="304"/>
      <c r="G15" s="304"/>
      <c r="H15" s="304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</row>
    <row r="16" spans="1:21" x14ac:dyDescent="0.3">
      <c r="A16" s="304"/>
      <c r="B16" s="306">
        <f ca="1">+TODAY()</f>
        <v>45709</v>
      </c>
      <c r="C16" s="304"/>
      <c r="D16" s="304"/>
      <c r="E16" s="304"/>
      <c r="F16" s="304"/>
      <c r="G16" s="304"/>
      <c r="H16" s="304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</row>
    <row r="17" spans="1:21" ht="13" x14ac:dyDescent="0.3">
      <c r="A17" s="304"/>
      <c r="B17" s="307"/>
      <c r="C17" s="304"/>
      <c r="D17" s="304"/>
      <c r="E17" s="304"/>
      <c r="F17" s="304"/>
      <c r="G17" s="304"/>
      <c r="H17" s="304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</row>
    <row r="18" spans="1:21" ht="13" x14ac:dyDescent="0.3">
      <c r="A18" s="304"/>
      <c r="B18" s="307"/>
      <c r="C18" s="304"/>
      <c r="D18" s="304"/>
      <c r="E18" s="304"/>
      <c r="F18" s="304"/>
      <c r="G18" s="304"/>
      <c r="H18" s="304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817"/>
    </row>
    <row r="19" spans="1:21" ht="13" x14ac:dyDescent="0.3">
      <c r="A19" s="304"/>
      <c r="B19" s="308" t="s">
        <v>3</v>
      </c>
      <c r="C19" s="307"/>
      <c r="D19" s="307"/>
      <c r="E19" s="304"/>
      <c r="F19" s="304"/>
      <c r="G19" s="304"/>
      <c r="H19" s="304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</row>
    <row r="20" spans="1:21" ht="13" x14ac:dyDescent="0.3">
      <c r="A20" s="304"/>
      <c r="B20" s="309" t="s">
        <v>4</v>
      </c>
      <c r="C20" s="307"/>
      <c r="D20" s="307"/>
      <c r="E20" s="304"/>
      <c r="F20" s="304"/>
      <c r="G20" s="304"/>
      <c r="H20" s="304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</row>
    <row r="21" spans="1:21" x14ac:dyDescent="0.3">
      <c r="A21" s="241"/>
      <c r="B21" s="310" t="s">
        <v>5</v>
      </c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</row>
    <row r="22" spans="1:21" ht="13" x14ac:dyDescent="0.3">
      <c r="A22" s="304"/>
      <c r="B22" s="311" t="s">
        <v>6</v>
      </c>
      <c r="C22" s="307"/>
      <c r="D22" s="307"/>
      <c r="E22" s="304"/>
      <c r="F22" s="304"/>
      <c r="G22" s="304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</row>
    <row r="23" spans="1:21" ht="13" x14ac:dyDescent="0.3">
      <c r="A23" s="304"/>
      <c r="B23" s="312"/>
      <c r="C23" s="307"/>
      <c r="D23" s="307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</row>
    <row r="24" spans="1:21" ht="13" x14ac:dyDescent="0.3">
      <c r="A24" s="304"/>
      <c r="B24" s="312"/>
      <c r="C24" s="307"/>
      <c r="D24" s="307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</row>
    <row r="25" spans="1:21" x14ac:dyDescent="0.3">
      <c r="A25" s="304"/>
      <c r="B25" s="241" t="s">
        <v>7</v>
      </c>
      <c r="C25" s="313" t="s">
        <v>8</v>
      </c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</row>
    <row r="26" spans="1:21" x14ac:dyDescent="0.3">
      <c r="A26" s="304"/>
      <c r="B26" s="241" t="s">
        <v>9</v>
      </c>
      <c r="C26" s="313" t="s">
        <v>10</v>
      </c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14"/>
      <c r="P26" s="304"/>
      <c r="Q26" s="304"/>
      <c r="R26" s="304"/>
      <c r="S26" s="304"/>
      <c r="T26" s="304"/>
      <c r="U26" s="304"/>
    </row>
    <row r="27" spans="1:21" x14ac:dyDescent="0.3">
      <c r="A27" s="304"/>
      <c r="B27" s="241" t="s">
        <v>11</v>
      </c>
      <c r="C27" s="315">
        <f>+Valuation!$B$6</f>
        <v>35.78</v>
      </c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</row>
    <row r="28" spans="1:21" x14ac:dyDescent="0.3">
      <c r="A28" s="304"/>
      <c r="B28" s="241" t="s">
        <v>12</v>
      </c>
      <c r="C28" s="315">
        <f>+Valuation!$B$15</f>
        <v>38.5</v>
      </c>
      <c r="E28" s="767"/>
      <c r="F28" s="316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</row>
    <row r="29" spans="1:21" x14ac:dyDescent="0.3">
      <c r="A29" s="304"/>
      <c r="B29" s="317"/>
      <c r="C29" s="318"/>
      <c r="E29" s="304"/>
      <c r="F29" s="304"/>
      <c r="G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</row>
    <row r="30" spans="1:21" x14ac:dyDescent="0.3">
      <c r="A30" s="304"/>
      <c r="B30" s="317"/>
      <c r="C30" s="318"/>
      <c r="F30" s="304"/>
      <c r="G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</row>
    <row r="31" spans="1:21" x14ac:dyDescent="0.3">
      <c r="A31" s="304"/>
      <c r="B31" s="317"/>
      <c r="C31" s="318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</row>
    <row r="32" spans="1:21" x14ac:dyDescent="0.3">
      <c r="A32" s="304"/>
      <c r="B32" s="317"/>
      <c r="C32" s="318"/>
      <c r="D32" s="108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</row>
    <row r="33" spans="1:21" x14ac:dyDescent="0.3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</row>
    <row r="34" spans="1:21" x14ac:dyDescent="0.3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</row>
    <row r="35" spans="1:21" x14ac:dyDescent="0.3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</row>
    <row r="36" spans="1:21" x14ac:dyDescent="0.3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</row>
    <row r="37" spans="1:21" x14ac:dyDescent="0.3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</row>
    <row r="38" spans="1:21" x14ac:dyDescent="0.3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</row>
    <row r="39" spans="1:21" x14ac:dyDescent="0.3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</row>
    <row r="40" spans="1:21" ht="12.5" thickBot="1" x14ac:dyDescent="0.35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04"/>
    </row>
    <row r="41" spans="1:21" x14ac:dyDescent="0.3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</row>
    <row r="42" spans="1:21" x14ac:dyDescent="0.3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</row>
    <row r="43" spans="1:21" x14ac:dyDescent="0.3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</row>
    <row r="44" spans="1:21" x14ac:dyDescent="0.3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</row>
    <row r="45" spans="1:21" x14ac:dyDescent="0.3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67009-BC8E-4A8D-8A66-9CA92878F02E}">
  <sheetPr>
    <tabColor rgb="FF0000FF"/>
  </sheetPr>
  <dimension ref="A1:R463"/>
  <sheetViews>
    <sheetView showGridLines="0" topLeftCell="A192" workbookViewId="0">
      <selection activeCell="L244" sqref="L244"/>
    </sheetView>
  </sheetViews>
  <sheetFormatPr defaultRowHeight="12" outlineLevelRow="1" x14ac:dyDescent="0.3"/>
  <cols>
    <col min="1" max="1" width="40.77734375" customWidth="1"/>
    <col min="2" max="3" width="9.33203125" customWidth="1"/>
    <col min="5" max="6" width="10.44140625" bestFit="1" customWidth="1"/>
  </cols>
  <sheetData>
    <row r="1" spans="1:18" ht="21.5" thickBot="1" x14ac:dyDescent="0.55000000000000004">
      <c r="A1" s="38" t="s">
        <v>13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</row>
    <row r="2" spans="1:18" x14ac:dyDescent="0.3">
      <c r="A2" s="39" t="s">
        <v>1336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x14ac:dyDescent="0.3">
      <c r="A3" s="40" t="s">
        <v>15</v>
      </c>
      <c r="B3" s="481"/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</row>
    <row r="4" spans="1:18" x14ac:dyDescent="0.3">
      <c r="A4" s="1124"/>
    </row>
    <row r="5" spans="1:18" hidden="1" x14ac:dyDescent="0.3">
      <c r="A5" s="200" t="s">
        <v>3184</v>
      </c>
      <c r="B5" s="201"/>
      <c r="C5" s="220"/>
      <c r="D5" s="201"/>
      <c r="E5" s="201"/>
      <c r="F5" s="201"/>
    </row>
    <row r="6" spans="1:18" hidden="1" x14ac:dyDescent="0.3"/>
    <row r="7" spans="1:18" hidden="1" x14ac:dyDescent="0.3"/>
    <row r="8" spans="1:18" hidden="1" x14ac:dyDescent="0.3">
      <c r="A8" s="725" t="s">
        <v>1258</v>
      </c>
      <c r="C8">
        <v>10000</v>
      </c>
      <c r="E8" s="885">
        <v>12000</v>
      </c>
      <c r="F8" s="885">
        <v>10000</v>
      </c>
    </row>
    <row r="9" spans="1:18" hidden="1" x14ac:dyDescent="0.3">
      <c r="A9" s="995" t="s">
        <v>1259</v>
      </c>
      <c r="C9">
        <v>4000</v>
      </c>
      <c r="E9" s="885">
        <v>3500</v>
      </c>
      <c r="F9" s="885">
        <f>E9</f>
        <v>3500</v>
      </c>
    </row>
    <row r="10" spans="1:18" hidden="1" x14ac:dyDescent="0.3">
      <c r="A10" s="998" t="s">
        <v>1260</v>
      </c>
      <c r="C10" s="886">
        <f>C8*C9/1000</f>
        <v>40000</v>
      </c>
      <c r="E10" s="886">
        <f>E8*E9/1000</f>
        <v>42000</v>
      </c>
      <c r="F10" s="886">
        <f>F8*F9/1000</f>
        <v>35000</v>
      </c>
      <c r="G10" s="887"/>
    </row>
    <row r="11" spans="1:18" hidden="1" x14ac:dyDescent="0.3">
      <c r="A11" s="994" t="s">
        <v>1261</v>
      </c>
      <c r="E11" s="885"/>
      <c r="F11" s="885"/>
    </row>
    <row r="12" spans="1:18" hidden="1" x14ac:dyDescent="0.3">
      <c r="A12" s="998"/>
      <c r="E12" s="885"/>
      <c r="F12" s="885"/>
    </row>
    <row r="13" spans="1:18" hidden="1" x14ac:dyDescent="0.3">
      <c r="A13" s="725" t="s">
        <v>1262</v>
      </c>
      <c r="E13" s="885">
        <f>15400-E8</f>
        <v>3400</v>
      </c>
      <c r="F13" s="885">
        <f>15400-F8</f>
        <v>5400</v>
      </c>
    </row>
    <row r="14" spans="1:18" hidden="1" x14ac:dyDescent="0.3">
      <c r="A14" s="995" t="s">
        <v>1259</v>
      </c>
      <c r="E14" s="885">
        <v>250</v>
      </c>
      <c r="F14" s="885">
        <f>E14</f>
        <v>250</v>
      </c>
    </row>
    <row r="15" spans="1:18" hidden="1" x14ac:dyDescent="0.3">
      <c r="A15" s="998" t="s">
        <v>1263</v>
      </c>
      <c r="E15" s="886">
        <f>E13*E14/1000</f>
        <v>850</v>
      </c>
      <c r="F15" s="886">
        <f>F13*F14/1000</f>
        <v>1350</v>
      </c>
    </row>
    <row r="16" spans="1:18" hidden="1" x14ac:dyDescent="0.3">
      <c r="A16" s="994" t="s">
        <v>1261</v>
      </c>
      <c r="E16" s="885"/>
      <c r="F16" s="885"/>
    </row>
    <row r="17" spans="1:7" hidden="1" x14ac:dyDescent="0.3">
      <c r="A17" s="994"/>
      <c r="E17" s="885"/>
      <c r="F17" s="885"/>
    </row>
    <row r="18" spans="1:7" hidden="1" x14ac:dyDescent="0.3">
      <c r="A18" s="995" t="s">
        <v>1264</v>
      </c>
      <c r="C18" s="887">
        <f>C10</f>
        <v>40000</v>
      </c>
      <c r="E18" s="885">
        <f>E10</f>
        <v>42000</v>
      </c>
      <c r="F18" s="885">
        <f>F10</f>
        <v>35000</v>
      </c>
    </row>
    <row r="19" spans="1:7" hidden="1" x14ac:dyDescent="0.3">
      <c r="A19" s="995" t="s">
        <v>1265</v>
      </c>
      <c r="C19" s="887">
        <f>C15</f>
        <v>0</v>
      </c>
      <c r="E19" s="885">
        <f>E15</f>
        <v>850</v>
      </c>
      <c r="F19" s="885">
        <f>F15</f>
        <v>1350</v>
      </c>
    </row>
    <row r="20" spans="1:7" hidden="1" x14ac:dyDescent="0.3">
      <c r="A20" s="998" t="s">
        <v>1266</v>
      </c>
      <c r="C20" s="921">
        <f>SUM(C18:C19)</f>
        <v>40000</v>
      </c>
      <c r="E20" s="886">
        <f>SUM(E18:E19)</f>
        <v>42850</v>
      </c>
      <c r="F20" s="886">
        <f>SUM(F18:F19)</f>
        <v>36350</v>
      </c>
      <c r="G20" s="887"/>
    </row>
    <row r="21" spans="1:7" hidden="1" x14ac:dyDescent="0.3">
      <c r="A21" s="998"/>
    </row>
    <row r="22" spans="1:7" hidden="1" x14ac:dyDescent="0.3">
      <c r="A22" s="995" t="s">
        <v>1267</v>
      </c>
      <c r="C22" s="76" t="e">
        <f>#REF!</f>
        <v>#REF!</v>
      </c>
      <c r="E22" s="76" t="e">
        <f>C22</f>
        <v>#REF!</v>
      </c>
      <c r="F22" s="76" t="e">
        <f>E22</f>
        <v>#REF!</v>
      </c>
    </row>
    <row r="23" spans="1:7" hidden="1" x14ac:dyDescent="0.3">
      <c r="A23" s="995" t="s">
        <v>1268</v>
      </c>
      <c r="C23" s="887" t="e">
        <f>#REF!</f>
        <v>#REF!</v>
      </c>
      <c r="E23" s="887">
        <f>SUM('Model Main'!ES132:FE132)-'Model Main'!EO132-'Model Main'!EP132-(E8-Drivers!FE90)*1100/1000</f>
        <v>-11146.225507571389</v>
      </c>
      <c r="F23" s="887">
        <f>SUM('Model Main'!ES132:FD132)-SUM('Model Main'!EO132:EP132)</f>
        <v>-8879.161983190892</v>
      </c>
      <c r="G23" s="887"/>
    </row>
    <row r="24" spans="1:7" hidden="1" x14ac:dyDescent="0.3">
      <c r="A24" s="998"/>
    </row>
    <row r="25" spans="1:7" hidden="1" x14ac:dyDescent="0.3">
      <c r="A25" s="998" t="s">
        <v>1269</v>
      </c>
      <c r="C25" s="921" t="e">
        <f>C20+C22+C23</f>
        <v>#REF!</v>
      </c>
      <c r="E25" s="921" t="e">
        <f>E20+E22+E23</f>
        <v>#REF!</v>
      </c>
      <c r="F25" s="921" t="e">
        <f>F20+F22+F23</f>
        <v>#REF!</v>
      </c>
      <c r="G25" s="887"/>
    </row>
    <row r="26" spans="1:7" hidden="1" x14ac:dyDescent="0.3">
      <c r="A26" s="998"/>
    </row>
    <row r="27" spans="1:7" hidden="1" x14ac:dyDescent="0.3">
      <c r="A27" s="995" t="s">
        <v>104</v>
      </c>
      <c r="C27" s="76" t="e">
        <f>#REF!</f>
        <v>#REF!</v>
      </c>
      <c r="E27" s="76" t="e">
        <f>C27</f>
        <v>#REF!</v>
      </c>
      <c r="F27" s="76" t="e">
        <f>E27</f>
        <v>#REF!</v>
      </c>
    </row>
    <row r="28" spans="1:7" hidden="1" x14ac:dyDescent="0.3">
      <c r="A28" s="998" t="s">
        <v>1270</v>
      </c>
      <c r="C28" s="1084" t="e">
        <f>C25/C27</f>
        <v>#REF!</v>
      </c>
      <c r="E28" s="1084" t="e">
        <f>E25/E27</f>
        <v>#REF!</v>
      </c>
      <c r="F28" s="1084" t="e">
        <f>F25/F27</f>
        <v>#REF!</v>
      </c>
    </row>
    <row r="29" spans="1:7" hidden="1" x14ac:dyDescent="0.3">
      <c r="E29" s="146" t="e">
        <f>E28/#REF!-1</f>
        <v>#REF!</v>
      </c>
      <c r="F29" s="146" t="e">
        <f>F28/#REF!-1</f>
        <v>#REF!</v>
      </c>
    </row>
    <row r="30" spans="1:7" hidden="1" outlineLevel="1" x14ac:dyDescent="0.3">
      <c r="A30" t="s">
        <v>3185</v>
      </c>
    </row>
    <row r="31" spans="1:7" hidden="1" outlineLevel="1" x14ac:dyDescent="0.3">
      <c r="A31" s="177" t="s">
        <v>3186</v>
      </c>
    </row>
    <row r="32" spans="1:7" hidden="1" outlineLevel="1" x14ac:dyDescent="0.3">
      <c r="A32" s="298" t="s">
        <v>3187</v>
      </c>
    </row>
    <row r="33" spans="1:2" hidden="1" outlineLevel="1" x14ac:dyDescent="0.3">
      <c r="A33" s="177" t="s">
        <v>881</v>
      </c>
    </row>
    <row r="34" spans="1:2" hidden="1" outlineLevel="1" x14ac:dyDescent="0.3">
      <c r="A34" s="298" t="s">
        <v>3188</v>
      </c>
    </row>
    <row r="35" spans="1:2" hidden="1" outlineLevel="1" x14ac:dyDescent="0.3"/>
    <row r="36" spans="1:2" hidden="1" outlineLevel="1" x14ac:dyDescent="0.3">
      <c r="A36" t="s">
        <v>3189</v>
      </c>
    </row>
    <row r="37" spans="1:2" hidden="1" outlineLevel="1" x14ac:dyDescent="0.3">
      <c r="A37" s="177" t="s">
        <v>881</v>
      </c>
    </row>
    <row r="38" spans="1:2" hidden="1" outlineLevel="1" x14ac:dyDescent="0.3">
      <c r="A38" s="298" t="s">
        <v>1777</v>
      </c>
      <c r="B38" s="76"/>
    </row>
    <row r="39" spans="1:2" hidden="1" outlineLevel="1" x14ac:dyDescent="0.3">
      <c r="A39" s="298"/>
    </row>
    <row r="40" spans="1:2" hidden="1" outlineLevel="1" x14ac:dyDescent="0.3">
      <c r="A40" s="177" t="s">
        <v>3190</v>
      </c>
    </row>
    <row r="41" spans="1:2" hidden="1" outlineLevel="1" x14ac:dyDescent="0.3">
      <c r="A41" s="177" t="s">
        <v>3191</v>
      </c>
    </row>
    <row r="42" spans="1:2" hidden="1" outlineLevel="1" x14ac:dyDescent="0.3">
      <c r="A42" s="177" t="s">
        <v>3192</v>
      </c>
    </row>
    <row r="43" spans="1:2" hidden="1" outlineLevel="1" x14ac:dyDescent="0.3">
      <c r="A43" s="298" t="s">
        <v>1631</v>
      </c>
    </row>
    <row r="44" spans="1:2" hidden="1" outlineLevel="1" x14ac:dyDescent="0.3">
      <c r="A44" s="177" t="s">
        <v>1267</v>
      </c>
    </row>
    <row r="45" spans="1:2" hidden="1" outlineLevel="1" x14ac:dyDescent="0.3">
      <c r="A45" s="298" t="s">
        <v>744</v>
      </c>
    </row>
    <row r="46" spans="1:2" hidden="1" outlineLevel="1" x14ac:dyDescent="0.3">
      <c r="A46" s="177" t="s">
        <v>104</v>
      </c>
    </row>
    <row r="47" spans="1:2" hidden="1" outlineLevel="1" x14ac:dyDescent="0.3">
      <c r="A47" s="298" t="s">
        <v>3193</v>
      </c>
    </row>
    <row r="48" spans="1:2" hidden="1" outlineLevel="1" x14ac:dyDescent="0.3">
      <c r="A48" s="465" t="s">
        <v>3194</v>
      </c>
    </row>
    <row r="49" spans="1:12" hidden="1" outlineLevel="1" x14ac:dyDescent="0.3">
      <c r="A49" s="516"/>
    </row>
    <row r="50" spans="1:12" hidden="1" outlineLevel="1" x14ac:dyDescent="0.3">
      <c r="A50" s="200" t="s">
        <v>3195</v>
      </c>
      <c r="B50" s="201"/>
      <c r="C50" s="220"/>
      <c r="D50" s="201"/>
      <c r="E50" s="201"/>
      <c r="F50" s="201"/>
      <c r="G50" s="201"/>
      <c r="H50" s="201"/>
      <c r="I50" s="201"/>
      <c r="J50" s="201"/>
      <c r="K50" s="201"/>
      <c r="L50" s="201"/>
    </row>
    <row r="51" spans="1:12" hidden="1" outlineLevel="1" x14ac:dyDescent="0.3">
      <c r="A51" s="223"/>
      <c r="B51" s="225" t="e">
        <f>#REF!+1</f>
        <v>#REF!</v>
      </c>
      <c r="C51" s="226" t="e">
        <f t="shared" ref="C51:I51" si="0">B51+1</f>
        <v>#REF!</v>
      </c>
      <c r="D51" s="225" t="e">
        <f t="shared" si="0"/>
        <v>#REF!</v>
      </c>
      <c r="E51" s="225" t="e">
        <f t="shared" si="0"/>
        <v>#REF!</v>
      </c>
      <c r="F51" s="225" t="e">
        <f t="shared" si="0"/>
        <v>#REF!</v>
      </c>
      <c r="G51" s="225" t="e">
        <f t="shared" si="0"/>
        <v>#REF!</v>
      </c>
      <c r="H51" s="225" t="e">
        <f t="shared" si="0"/>
        <v>#REF!</v>
      </c>
      <c r="I51" s="225" t="e">
        <f t="shared" si="0"/>
        <v>#REF!</v>
      </c>
      <c r="J51" s="225" t="e">
        <f t="shared" ref="J51" si="1">I51+1</f>
        <v>#REF!</v>
      </c>
      <c r="K51" s="225" t="e">
        <f t="shared" ref="K51" si="2">J51+1</f>
        <v>#REF!</v>
      </c>
      <c r="L51" s="225" t="e">
        <f>I51+1</f>
        <v>#REF!</v>
      </c>
    </row>
    <row r="52" spans="1:12" hidden="1" outlineLevel="1" x14ac:dyDescent="0.3">
      <c r="A52" t="s">
        <v>3196</v>
      </c>
      <c r="B52" s="365">
        <f t="shared" ref="B52:F52" si="3">+B61-B56-B59</f>
        <v>989.5251305899593</v>
      </c>
      <c r="C52" s="365">
        <f t="shared" si="3"/>
        <v>965.87268443500739</v>
      </c>
      <c r="D52" s="365">
        <f t="shared" si="3"/>
        <v>954.44598302855707</v>
      </c>
      <c r="E52" s="365">
        <f t="shared" si="3"/>
        <v>902.71222646268268</v>
      </c>
      <c r="F52" s="365">
        <f t="shared" si="3"/>
        <v>882.97512839353715</v>
      </c>
      <c r="G52" s="365">
        <f>+G61-G56-G59</f>
        <v>862.67186665335464</v>
      </c>
      <c r="H52" s="365">
        <f>+H61-H56-H59</f>
        <v>755.48559636242794</v>
      </c>
      <c r="I52" s="365">
        <f>+I61-I56-I59</f>
        <v>594.56972767058528</v>
      </c>
      <c r="J52" s="365">
        <f t="shared" ref="J52:K52" si="4">+J61-J56-J59</f>
        <v>413.850864149053</v>
      </c>
      <c r="K52" s="365">
        <f t="shared" si="4"/>
        <v>-13.513531380175209</v>
      </c>
      <c r="L52" s="365">
        <f>+L61-L56-L59</f>
        <v>413.850864149053</v>
      </c>
    </row>
    <row r="53" spans="1:12" hidden="1" outlineLevel="1" x14ac:dyDescent="0.3">
      <c r="A53" s="177" t="s">
        <v>881</v>
      </c>
      <c r="B53" s="299" t="e">
        <f>+#REF!</f>
        <v>#REF!</v>
      </c>
      <c r="C53" s="299" t="e">
        <f t="shared" ref="C53:I53" si="5">+B53</f>
        <v>#REF!</v>
      </c>
      <c r="D53" s="299" t="e">
        <f t="shared" si="5"/>
        <v>#REF!</v>
      </c>
      <c r="E53" s="299" t="e">
        <f t="shared" si="5"/>
        <v>#REF!</v>
      </c>
      <c r="F53" s="299" t="e">
        <f t="shared" si="5"/>
        <v>#REF!</v>
      </c>
      <c r="G53" s="299" t="e">
        <f t="shared" si="5"/>
        <v>#REF!</v>
      </c>
      <c r="H53" s="299" t="e">
        <f t="shared" si="5"/>
        <v>#REF!</v>
      </c>
      <c r="I53" s="299" t="e">
        <f t="shared" si="5"/>
        <v>#REF!</v>
      </c>
      <c r="J53" s="299" t="e">
        <f t="shared" ref="J53" si="6">+I53</f>
        <v>#REF!</v>
      </c>
      <c r="K53" s="299" t="e">
        <f t="shared" ref="K53" si="7">+J53</f>
        <v>#REF!</v>
      </c>
      <c r="L53" s="299" t="e">
        <f>+I53</f>
        <v>#REF!</v>
      </c>
    </row>
    <row r="54" spans="1:12" hidden="1" outlineLevel="1" x14ac:dyDescent="0.3">
      <c r="A54" s="298" t="s">
        <v>3197</v>
      </c>
      <c r="B54" s="850" t="e">
        <f t="shared" ref="B54:F54" si="8">+B52*B53</f>
        <v>#REF!</v>
      </c>
      <c r="C54" s="850" t="e">
        <f t="shared" si="8"/>
        <v>#REF!</v>
      </c>
      <c r="D54" s="850" t="e">
        <f t="shared" si="8"/>
        <v>#REF!</v>
      </c>
      <c r="E54" s="850" t="e">
        <f t="shared" si="8"/>
        <v>#REF!</v>
      </c>
      <c r="F54" s="850" t="e">
        <f t="shared" si="8"/>
        <v>#REF!</v>
      </c>
      <c r="G54" s="850" t="e">
        <f>+G52*G53</f>
        <v>#REF!</v>
      </c>
      <c r="H54" s="850" t="e">
        <f>+H52*H53</f>
        <v>#REF!</v>
      </c>
      <c r="I54" s="850" t="e">
        <f>+I52*I53</f>
        <v>#REF!</v>
      </c>
      <c r="J54" s="850" t="e">
        <f t="shared" ref="J54:K54" si="9">+J52*J53</f>
        <v>#REF!</v>
      </c>
      <c r="K54" s="850" t="e">
        <f t="shared" si="9"/>
        <v>#REF!</v>
      </c>
      <c r="L54" s="850" t="e">
        <f>+L52*L53</f>
        <v>#REF!</v>
      </c>
    </row>
    <row r="55" spans="1:12" hidden="1" outlineLevel="1" x14ac:dyDescent="0.3">
      <c r="A55" s="177"/>
      <c r="B55" s="544"/>
      <c r="C55" s="545"/>
      <c r="D55" s="544"/>
      <c r="E55" s="544"/>
      <c r="F55" s="544"/>
      <c r="G55" s="544"/>
      <c r="H55" s="544"/>
      <c r="I55" s="544"/>
      <c r="J55" s="544"/>
      <c r="K55" s="544"/>
      <c r="L55" s="544"/>
    </row>
    <row r="56" spans="1:12" hidden="1" outlineLevel="1" x14ac:dyDescent="0.3">
      <c r="A56" t="s">
        <v>3198</v>
      </c>
      <c r="B56" s="79">
        <f>+Analysis!E4876</f>
        <v>1074.3548319618569</v>
      </c>
      <c r="C56" s="79">
        <f>+Analysis!F4876</f>
        <v>1097.2934934899999</v>
      </c>
      <c r="D56" s="79">
        <f>+Analysis!G4876</f>
        <v>1132.0492428767229</v>
      </c>
      <c r="E56" s="79">
        <f>+Analysis!H4876</f>
        <v>1184.2006288978687</v>
      </c>
      <c r="F56" s="79">
        <f>+Analysis!I4876</f>
        <v>1238.1702444565246</v>
      </c>
      <c r="G56" s="79">
        <f>+Analysis!J4876</f>
        <v>1294.0260581739842</v>
      </c>
      <c r="H56" s="79">
        <f>+Analysis!K4876</f>
        <v>1351.8386606990343</v>
      </c>
      <c r="I56" s="79">
        <f>+Analysis!L4876</f>
        <v>1411.6813668192572</v>
      </c>
      <c r="J56" s="79">
        <f>+Analysis!M4876</f>
        <v>1473.6303215447447</v>
      </c>
      <c r="K56" s="79">
        <f>+Analysis!N4876</f>
        <v>1537.7646103179541</v>
      </c>
      <c r="L56" s="79">
        <f>+Analysis!M4876</f>
        <v>1473.6303215447447</v>
      </c>
    </row>
    <row r="57" spans="1:12" hidden="1" outlineLevel="1" x14ac:dyDescent="0.3">
      <c r="A57" s="177" t="s">
        <v>881</v>
      </c>
      <c r="B57" s="299" t="e">
        <f>+#REF!</f>
        <v>#REF!</v>
      </c>
      <c r="C57" s="299" t="e">
        <f t="shared" ref="C57:I57" si="10">+B57</f>
        <v>#REF!</v>
      </c>
      <c r="D57" s="299" t="e">
        <f t="shared" si="10"/>
        <v>#REF!</v>
      </c>
      <c r="E57" s="299" t="e">
        <f t="shared" si="10"/>
        <v>#REF!</v>
      </c>
      <c r="F57" s="299" t="e">
        <f t="shared" si="10"/>
        <v>#REF!</v>
      </c>
      <c r="G57" s="299" t="e">
        <f t="shared" si="10"/>
        <v>#REF!</v>
      </c>
      <c r="H57" s="299" t="e">
        <f t="shared" si="10"/>
        <v>#REF!</v>
      </c>
      <c r="I57" s="299" t="e">
        <f t="shared" si="10"/>
        <v>#REF!</v>
      </c>
      <c r="J57" s="299" t="e">
        <f t="shared" ref="J57" si="11">+I57</f>
        <v>#REF!</v>
      </c>
      <c r="K57" s="299" t="e">
        <f t="shared" ref="K57" si="12">+J57</f>
        <v>#REF!</v>
      </c>
      <c r="L57" s="299" t="e">
        <f>+I57</f>
        <v>#REF!</v>
      </c>
    </row>
    <row r="58" spans="1:12" hidden="1" outlineLevel="1" x14ac:dyDescent="0.3">
      <c r="A58" s="298" t="s">
        <v>3199</v>
      </c>
      <c r="B58" s="850" t="e">
        <f t="shared" ref="B58:L58" si="13">+B56*B57</f>
        <v>#REF!</v>
      </c>
      <c r="C58" s="850" t="e">
        <f t="shared" si="13"/>
        <v>#REF!</v>
      </c>
      <c r="D58" s="850" t="e">
        <f t="shared" si="13"/>
        <v>#REF!</v>
      </c>
      <c r="E58" s="850" t="e">
        <f t="shared" si="13"/>
        <v>#REF!</v>
      </c>
      <c r="F58" s="850" t="e">
        <f t="shared" si="13"/>
        <v>#REF!</v>
      </c>
      <c r="G58" s="850" t="e">
        <f t="shared" si="13"/>
        <v>#REF!</v>
      </c>
      <c r="H58" s="850" t="e">
        <f t="shared" si="13"/>
        <v>#REF!</v>
      </c>
      <c r="I58" s="850" t="e">
        <f t="shared" si="13"/>
        <v>#REF!</v>
      </c>
      <c r="J58" s="850" t="e">
        <f t="shared" ref="J58:K58" si="14">+J56*J57</f>
        <v>#REF!</v>
      </c>
      <c r="K58" s="850" t="e">
        <f t="shared" si="14"/>
        <v>#REF!</v>
      </c>
      <c r="L58" s="850" t="e">
        <f t="shared" si="13"/>
        <v>#REF!</v>
      </c>
    </row>
    <row r="59" spans="1:12" hidden="1" outlineLevel="1" x14ac:dyDescent="0.3">
      <c r="A59" s="177" t="s">
        <v>3200</v>
      </c>
      <c r="B59" s="80">
        <f>+Analysis!E4459</f>
        <v>16.12003744818378</v>
      </c>
      <c r="C59" s="80">
        <f>+Analysis!F4459</f>
        <v>63.833822074992639</v>
      </c>
      <c r="D59" s="80">
        <f>+Analysis!G4459</f>
        <v>164.50477409471998</v>
      </c>
      <c r="E59" s="80">
        <f>+Analysis!H4459</f>
        <v>329.54174155114299</v>
      </c>
      <c r="F59" s="80">
        <f>+Analysis!I4459</f>
        <v>555.86766612619806</v>
      </c>
      <c r="G59" s="80">
        <f>+Analysis!J4459</f>
        <v>837.17839965915698</v>
      </c>
      <c r="H59" s="80">
        <f>+Analysis!K4459</f>
        <v>1164.6795715857704</v>
      </c>
      <c r="I59" s="80">
        <f>+Analysis!L4459</f>
        <v>1527.4283526046154</v>
      </c>
      <c r="J59" s="80">
        <f>+Analysis!M4459</f>
        <v>1891.0220051823994</v>
      </c>
      <c r="K59" s="80">
        <f>+Analysis!N4459</f>
        <v>2477.7136097887355</v>
      </c>
      <c r="L59" s="80">
        <f>+Analysis!M4459</f>
        <v>1891.0220051823994</v>
      </c>
    </row>
    <row r="60" spans="1:12" hidden="1" outlineLevel="1" x14ac:dyDescent="0.3">
      <c r="A60" s="298"/>
      <c r="B60" s="544"/>
      <c r="C60" s="545"/>
      <c r="D60" s="544"/>
      <c r="E60" s="544"/>
      <c r="F60" s="544"/>
      <c r="G60" s="544"/>
      <c r="H60" s="544"/>
      <c r="I60" s="544"/>
      <c r="J60" s="544"/>
      <c r="K60" s="544"/>
      <c r="L60" s="544"/>
    </row>
    <row r="61" spans="1:12" hidden="1" outlineLevel="1" x14ac:dyDescent="0.3">
      <c r="A61" t="s">
        <v>3201</v>
      </c>
      <c r="B61" s="79">
        <f>+'Model Main'!EN48</f>
        <v>2080</v>
      </c>
      <c r="C61" s="79">
        <f>+'Model Main'!ES48</f>
        <v>2127</v>
      </c>
      <c r="D61" s="79">
        <f>+'Model Main'!EX48</f>
        <v>2251</v>
      </c>
      <c r="E61" s="79">
        <f>+'Model Main'!FC48</f>
        <v>2416.4545969116944</v>
      </c>
      <c r="F61" s="79">
        <f>+'Model Main'!FD48</f>
        <v>2677.0130389762598</v>
      </c>
      <c r="G61" s="79">
        <f>+'Model Main'!FE48</f>
        <v>2993.8763244864958</v>
      </c>
      <c r="H61" s="79">
        <f>+'Model Main'!FF48</f>
        <v>3272.0038286472327</v>
      </c>
      <c r="I61" s="79">
        <f>+'Model Main'!FG48</f>
        <v>3533.6794470944578</v>
      </c>
      <c r="J61" s="79">
        <f>+'Model Main'!FH48</f>
        <v>3778.5031908761971</v>
      </c>
      <c r="K61" s="79">
        <f>+'Model Main'!FI48</f>
        <v>4001.9646887265144</v>
      </c>
      <c r="L61" s="79">
        <f>+'Model Main'!FH48</f>
        <v>3778.5031908761971</v>
      </c>
    </row>
    <row r="62" spans="1:12" hidden="1" outlineLevel="1" x14ac:dyDescent="0.3">
      <c r="A62" s="177" t="s">
        <v>881</v>
      </c>
      <c r="B62" s="549" t="e">
        <f t="shared" ref="B62:L62" si="15">+B63/B61</f>
        <v>#REF!</v>
      </c>
      <c r="C62" s="549" t="e">
        <f t="shared" si="15"/>
        <v>#REF!</v>
      </c>
      <c r="D62" s="549" t="e">
        <f t="shared" si="15"/>
        <v>#REF!</v>
      </c>
      <c r="E62" s="549" t="e">
        <f t="shared" si="15"/>
        <v>#REF!</v>
      </c>
      <c r="F62" s="549" t="e">
        <f t="shared" si="15"/>
        <v>#REF!</v>
      </c>
      <c r="G62" s="549" t="e">
        <f t="shared" si="15"/>
        <v>#REF!</v>
      </c>
      <c r="H62" s="549" t="e">
        <f t="shared" si="15"/>
        <v>#REF!</v>
      </c>
      <c r="I62" s="549" t="e">
        <f t="shared" si="15"/>
        <v>#REF!</v>
      </c>
      <c r="J62" s="549" t="e">
        <f t="shared" ref="J62:K62" si="16">+J63/J61</f>
        <v>#REF!</v>
      </c>
      <c r="K62" s="549" t="e">
        <f t="shared" si="16"/>
        <v>#REF!</v>
      </c>
      <c r="L62" s="549" t="e">
        <f t="shared" si="15"/>
        <v>#REF!</v>
      </c>
    </row>
    <row r="63" spans="1:12" hidden="1" outlineLevel="1" x14ac:dyDescent="0.3">
      <c r="A63" s="298" t="s">
        <v>3202</v>
      </c>
      <c r="B63" s="850" t="e">
        <f t="shared" ref="B63:F63" si="17">+SUM(B58,B54)</f>
        <v>#REF!</v>
      </c>
      <c r="C63" s="850" t="e">
        <f t="shared" si="17"/>
        <v>#REF!</v>
      </c>
      <c r="D63" s="850" t="e">
        <f t="shared" si="17"/>
        <v>#REF!</v>
      </c>
      <c r="E63" s="850" t="e">
        <f t="shared" si="17"/>
        <v>#REF!</v>
      </c>
      <c r="F63" s="850" t="e">
        <f t="shared" si="17"/>
        <v>#REF!</v>
      </c>
      <c r="G63" s="850" t="e">
        <f>+SUM(G58,G54)</f>
        <v>#REF!</v>
      </c>
      <c r="H63" s="850" t="e">
        <f>+SUM(H58,H54)</f>
        <v>#REF!</v>
      </c>
      <c r="I63" s="850" t="e">
        <f>+SUM(I58,I54)</f>
        <v>#REF!</v>
      </c>
      <c r="J63" s="850" t="e">
        <f t="shared" ref="J63:K63" si="18">+SUM(J58,J54)</f>
        <v>#REF!</v>
      </c>
      <c r="K63" s="850" t="e">
        <f t="shared" si="18"/>
        <v>#REF!</v>
      </c>
      <c r="L63" s="850" t="e">
        <f>+SUM(L58,L54)</f>
        <v>#REF!</v>
      </c>
    </row>
    <row r="64" spans="1:12" hidden="1" outlineLevel="1" x14ac:dyDescent="0.3">
      <c r="A64" s="177" t="s">
        <v>3203</v>
      </c>
      <c r="B64" s="365" t="e">
        <f>+#REF!</f>
        <v>#REF!</v>
      </c>
      <c r="C64" s="365" t="e">
        <f t="shared" ref="C64:I64" si="19">+B64</f>
        <v>#REF!</v>
      </c>
      <c r="D64" s="365" t="e">
        <f t="shared" si="19"/>
        <v>#REF!</v>
      </c>
      <c r="E64" s="365" t="e">
        <f t="shared" si="19"/>
        <v>#REF!</v>
      </c>
      <c r="F64" s="365" t="e">
        <f t="shared" si="19"/>
        <v>#REF!</v>
      </c>
      <c r="G64" s="365" t="e">
        <f t="shared" si="19"/>
        <v>#REF!</v>
      </c>
      <c r="H64" s="365" t="e">
        <f t="shared" si="19"/>
        <v>#REF!</v>
      </c>
      <c r="I64" s="365" t="e">
        <f t="shared" si="19"/>
        <v>#REF!</v>
      </c>
      <c r="J64" s="365" t="e">
        <f t="shared" ref="J64" si="20">+I64</f>
        <v>#REF!</v>
      </c>
      <c r="K64" s="365" t="e">
        <f t="shared" ref="K64" si="21">+J64</f>
        <v>#REF!</v>
      </c>
      <c r="L64" s="365" t="e">
        <f>+I64</f>
        <v>#REF!</v>
      </c>
    </row>
    <row r="65" spans="1:16" hidden="1" outlineLevel="1" x14ac:dyDescent="0.3">
      <c r="A65" s="298" t="s">
        <v>1631</v>
      </c>
      <c r="B65" s="850" t="e">
        <f t="shared" ref="B65:F65" si="22">+B63+B64</f>
        <v>#REF!</v>
      </c>
      <c r="C65" s="850" t="e">
        <f t="shared" si="22"/>
        <v>#REF!</v>
      </c>
      <c r="D65" s="850" t="e">
        <f t="shared" si="22"/>
        <v>#REF!</v>
      </c>
      <c r="E65" s="850" t="e">
        <f t="shared" si="22"/>
        <v>#REF!</v>
      </c>
      <c r="F65" s="850" t="e">
        <f t="shared" si="22"/>
        <v>#REF!</v>
      </c>
      <c r="G65" s="850" t="e">
        <f>+G63+G64</f>
        <v>#REF!</v>
      </c>
      <c r="H65" s="850" t="e">
        <f>+H63+H64</f>
        <v>#REF!</v>
      </c>
      <c r="I65" s="850" t="e">
        <f>+I63+I64</f>
        <v>#REF!</v>
      </c>
      <c r="J65" s="850" t="e">
        <f t="shared" ref="J65:K65" si="23">+J63+J64</f>
        <v>#REF!</v>
      </c>
      <c r="K65" s="850" t="e">
        <f t="shared" si="23"/>
        <v>#REF!</v>
      </c>
      <c r="L65" s="850" t="e">
        <f>+L63+L64</f>
        <v>#REF!</v>
      </c>
    </row>
    <row r="66" spans="1:16" hidden="1" outlineLevel="1" x14ac:dyDescent="0.3">
      <c r="A66" s="177" t="s">
        <v>3204</v>
      </c>
      <c r="B66" s="365" t="e">
        <f>+#REF!-#REF!</f>
        <v>#REF!</v>
      </c>
      <c r="C66" s="365" t="e">
        <f>+#REF!-#REF!</f>
        <v>#REF!</v>
      </c>
      <c r="D66" s="365" t="e">
        <f>+#REF!-#REF!</f>
        <v>#REF!</v>
      </c>
      <c r="E66" s="365" t="e">
        <f>+#REF!-#REF!</f>
        <v>#REF!</v>
      </c>
      <c r="F66" s="365" t="e">
        <f>+#REF!-#REF!</f>
        <v>#REF!</v>
      </c>
      <c r="G66" s="365" t="e">
        <f>+#REF!-#REF!</f>
        <v>#REF!</v>
      </c>
      <c r="H66" s="365" t="e">
        <f>+#REF!-#REF!</f>
        <v>#REF!</v>
      </c>
      <c r="I66" s="365" t="e">
        <f>+#REF!-#REF!</f>
        <v>#REF!</v>
      </c>
      <c r="J66" s="365" t="e">
        <f>+#REF!-#REF!</f>
        <v>#REF!</v>
      </c>
      <c r="K66" s="365" t="e">
        <f>+#REF!-#REF!</f>
        <v>#REF!</v>
      </c>
      <c r="L66" s="365" t="e">
        <f>+#REF!-#REF!</f>
        <v>#REF!</v>
      </c>
    </row>
    <row r="67" spans="1:16" hidden="1" outlineLevel="1" x14ac:dyDescent="0.3">
      <c r="A67" s="177" t="s">
        <v>3205</v>
      </c>
      <c r="B67" s="365" t="e">
        <f>+#REF!</f>
        <v>#REF!</v>
      </c>
      <c r="C67" s="365" t="e">
        <f t="shared" ref="C67:I67" si="24">+B67</f>
        <v>#REF!</v>
      </c>
      <c r="D67" s="365" t="e">
        <f t="shared" si="24"/>
        <v>#REF!</v>
      </c>
      <c r="E67" s="365" t="e">
        <f t="shared" si="24"/>
        <v>#REF!</v>
      </c>
      <c r="F67" s="365" t="e">
        <f t="shared" si="24"/>
        <v>#REF!</v>
      </c>
      <c r="G67" s="365" t="e">
        <f t="shared" si="24"/>
        <v>#REF!</v>
      </c>
      <c r="H67" s="365" t="e">
        <f t="shared" si="24"/>
        <v>#REF!</v>
      </c>
      <c r="I67" s="365" t="e">
        <f t="shared" si="24"/>
        <v>#REF!</v>
      </c>
      <c r="J67" s="365" t="e">
        <f t="shared" ref="J67" si="25">+I67</f>
        <v>#REF!</v>
      </c>
      <c r="K67" s="365" t="e">
        <f t="shared" ref="K67" si="26">+J67</f>
        <v>#REF!</v>
      </c>
      <c r="L67" s="365" t="e">
        <f>+I67</f>
        <v>#REF!</v>
      </c>
    </row>
    <row r="68" spans="1:16" hidden="1" outlineLevel="1" x14ac:dyDescent="0.3">
      <c r="A68" s="298" t="s">
        <v>744</v>
      </c>
      <c r="B68" s="850" t="e">
        <f t="shared" ref="B68:F68" si="27">+B65-B66-B67</f>
        <v>#REF!</v>
      </c>
      <c r="C68" s="850" t="e">
        <f t="shared" si="27"/>
        <v>#REF!</v>
      </c>
      <c r="D68" s="850" t="e">
        <f t="shared" si="27"/>
        <v>#REF!</v>
      </c>
      <c r="E68" s="850" t="e">
        <f t="shared" si="27"/>
        <v>#REF!</v>
      </c>
      <c r="F68" s="850" t="e">
        <f t="shared" si="27"/>
        <v>#REF!</v>
      </c>
      <c r="G68" s="850" t="e">
        <f>+G65-G66-G67</f>
        <v>#REF!</v>
      </c>
      <c r="H68" s="850" t="e">
        <f>+H65-H66-H67</f>
        <v>#REF!</v>
      </c>
      <c r="I68" s="850" t="e">
        <f>+I65-I66-I67</f>
        <v>#REF!</v>
      </c>
      <c r="J68" s="850" t="e">
        <f t="shared" ref="J68:K68" si="28">+J65-J66-J67</f>
        <v>#REF!</v>
      </c>
      <c r="K68" s="850" t="e">
        <f t="shared" si="28"/>
        <v>#REF!</v>
      </c>
      <c r="L68" s="850" t="e">
        <f>+L65-L66-L67</f>
        <v>#REF!</v>
      </c>
    </row>
    <row r="69" spans="1:16" hidden="1" outlineLevel="1" x14ac:dyDescent="0.3">
      <c r="A69" s="177"/>
      <c r="B69" s="365"/>
      <c r="C69" s="365"/>
      <c r="D69" s="365"/>
      <c r="E69" s="365"/>
      <c r="F69" s="365"/>
      <c r="G69" s="365"/>
      <c r="H69" s="365"/>
      <c r="I69" s="365"/>
      <c r="J69" s="365"/>
      <c r="K69" s="365"/>
      <c r="L69" s="365"/>
    </row>
    <row r="70" spans="1:16" hidden="1" outlineLevel="1" x14ac:dyDescent="0.3">
      <c r="A70" t="s">
        <v>299</v>
      </c>
      <c r="B70" s="365">
        <f t="shared" ref="B70:L70" si="29">+B52</f>
        <v>989.5251305899593</v>
      </c>
      <c r="C70" s="365">
        <f t="shared" si="29"/>
        <v>965.87268443500739</v>
      </c>
      <c r="D70" s="365">
        <f t="shared" si="29"/>
        <v>954.44598302855707</v>
      </c>
      <c r="E70" s="365">
        <f t="shared" si="29"/>
        <v>902.71222646268268</v>
      </c>
      <c r="F70" s="365">
        <f t="shared" si="29"/>
        <v>882.97512839353715</v>
      </c>
      <c r="G70" s="365">
        <f t="shared" si="29"/>
        <v>862.67186665335464</v>
      </c>
      <c r="H70" s="365">
        <f t="shared" si="29"/>
        <v>755.48559636242794</v>
      </c>
      <c r="I70" s="365">
        <f t="shared" si="29"/>
        <v>594.56972767058528</v>
      </c>
      <c r="J70" s="365">
        <f t="shared" ref="J70:K70" si="30">+J52</f>
        <v>413.850864149053</v>
      </c>
      <c r="K70" s="365">
        <f t="shared" si="30"/>
        <v>-13.513531380175209</v>
      </c>
      <c r="L70" s="365">
        <f t="shared" si="29"/>
        <v>413.850864149053</v>
      </c>
    </row>
    <row r="71" spans="1:16" hidden="1" outlineLevel="1" x14ac:dyDescent="0.3">
      <c r="A71" s="177" t="s">
        <v>298</v>
      </c>
      <c r="B71" s="365">
        <f t="shared" ref="B71:L71" si="31">+B72-B70</f>
        <v>1090.4748694100408</v>
      </c>
      <c r="C71" s="365">
        <f t="shared" si="31"/>
        <v>1161.1273155649926</v>
      </c>
      <c r="D71" s="365">
        <f t="shared" si="31"/>
        <v>1296.5540169714429</v>
      </c>
      <c r="E71" s="365">
        <f t="shared" si="31"/>
        <v>1513.7423704490116</v>
      </c>
      <c r="F71" s="365">
        <f t="shared" si="31"/>
        <v>1794.0379105827228</v>
      </c>
      <c r="G71" s="365">
        <f t="shared" si="31"/>
        <v>2131.2044578331411</v>
      </c>
      <c r="H71" s="365">
        <f t="shared" si="31"/>
        <v>2516.518232284805</v>
      </c>
      <c r="I71" s="365">
        <f t="shared" si="31"/>
        <v>2939.1097194238728</v>
      </c>
      <c r="J71" s="365">
        <f t="shared" ref="J71:K71" si="32">+J72-J70</f>
        <v>3364.6523267271441</v>
      </c>
      <c r="K71" s="365">
        <f t="shared" si="32"/>
        <v>4015.4782201066896</v>
      </c>
      <c r="L71" s="365">
        <f t="shared" si="31"/>
        <v>3364.6523267271441</v>
      </c>
    </row>
    <row r="72" spans="1:16" hidden="1" outlineLevel="1" x14ac:dyDescent="0.3">
      <c r="A72" s="298" t="s">
        <v>301</v>
      </c>
      <c r="B72" s="365">
        <f>+'Model Main'!EN48</f>
        <v>2080</v>
      </c>
      <c r="C72" s="365">
        <f>+'Model Main'!ES48</f>
        <v>2127</v>
      </c>
      <c r="D72" s="365">
        <f>+'Model Main'!EX48</f>
        <v>2251</v>
      </c>
      <c r="E72" s="365">
        <f>+'Model Main'!FC48</f>
        <v>2416.4545969116944</v>
      </c>
      <c r="F72" s="365">
        <f>+'Model Main'!FD48</f>
        <v>2677.0130389762598</v>
      </c>
      <c r="G72" s="365">
        <f>+'Model Main'!FE48</f>
        <v>2993.8763244864958</v>
      </c>
      <c r="H72" s="365">
        <f>+'Model Main'!FF48</f>
        <v>3272.0038286472327</v>
      </c>
      <c r="I72" s="365">
        <f>+'Model Main'!FG48</f>
        <v>3533.6794470944578</v>
      </c>
      <c r="J72" s="365">
        <f>+'Model Main'!FH48</f>
        <v>3778.5031908761971</v>
      </c>
      <c r="K72" s="365">
        <f>+'Model Main'!FI48</f>
        <v>4001.9646887265144</v>
      </c>
      <c r="L72" s="365">
        <f>+'Model Main'!FH48</f>
        <v>3778.5031908761971</v>
      </c>
    </row>
    <row r="73" spans="1:16" hidden="1" outlineLevel="1" x14ac:dyDescent="0.3">
      <c r="A73" s="298"/>
      <c r="B73" s="475"/>
      <c r="C73" s="475"/>
      <c r="D73" s="475"/>
      <c r="E73" s="475"/>
      <c r="F73" s="475"/>
      <c r="G73" s="475"/>
      <c r="H73" s="475"/>
      <c r="I73" s="475"/>
      <c r="J73" s="475"/>
      <c r="K73" s="475"/>
      <c r="L73" s="475"/>
    </row>
    <row r="74" spans="1:16" hidden="1" outlineLevel="1" x14ac:dyDescent="0.3">
      <c r="A74" s="177" t="s">
        <v>865</v>
      </c>
      <c r="B74" s="365" t="e">
        <f t="shared" ref="B74:L74" si="33">+B70*B53+B71*B57</f>
        <v>#REF!</v>
      </c>
      <c r="C74" s="365" t="e">
        <f t="shared" si="33"/>
        <v>#REF!</v>
      </c>
      <c r="D74" s="365" t="e">
        <f t="shared" si="33"/>
        <v>#REF!</v>
      </c>
      <c r="E74" s="365" t="e">
        <f t="shared" si="33"/>
        <v>#REF!</v>
      </c>
      <c r="F74" s="365" t="e">
        <f t="shared" si="33"/>
        <v>#REF!</v>
      </c>
      <c r="G74" s="365" t="e">
        <f t="shared" si="33"/>
        <v>#REF!</v>
      </c>
      <c r="H74" s="365" t="e">
        <f t="shared" si="33"/>
        <v>#REF!</v>
      </c>
      <c r="I74" s="365" t="e">
        <f t="shared" si="33"/>
        <v>#REF!</v>
      </c>
      <c r="J74" s="365" t="e">
        <f t="shared" ref="J74:K74" si="34">+J70*J53+J71*J57</f>
        <v>#REF!</v>
      </c>
      <c r="K74" s="365" t="e">
        <f t="shared" si="34"/>
        <v>#REF!</v>
      </c>
      <c r="L74" s="365" t="e">
        <f t="shared" si="33"/>
        <v>#REF!</v>
      </c>
    </row>
    <row r="75" spans="1:16" hidden="1" outlineLevel="1" x14ac:dyDescent="0.3">
      <c r="A75" s="177" t="s">
        <v>148</v>
      </c>
      <c r="B75" s="365">
        <f>+'Model Main'!EN198</f>
        <v>7053</v>
      </c>
      <c r="C75" s="365">
        <f>+'Model Main'!ES198</f>
        <v>9061</v>
      </c>
      <c r="D75" s="365">
        <f>+'Model Main'!EX198</f>
        <v>10811</v>
      </c>
      <c r="E75" s="365">
        <f>+'Model Main'!FC198</f>
        <v>12678.206734041809</v>
      </c>
      <c r="F75" s="365">
        <f>+'Model Main'!FD198</f>
        <v>14286.955249149083</v>
      </c>
      <c r="G75" s="365">
        <f>+'Model Main'!FE198</f>
        <v>14518.571773529582</v>
      </c>
      <c r="H75" s="365">
        <f>+'Model Main'!FF198</f>
        <v>14157.400706661409</v>
      </c>
      <c r="I75" s="365">
        <f>+'Model Main'!FG198</f>
        <v>13594.7525473368</v>
      </c>
      <c r="J75" s="365">
        <f>+'Model Main'!FH198</f>
        <v>13224.761168066691</v>
      </c>
      <c r="K75" s="365">
        <f>+'Model Main'!FI198</f>
        <v>14006.8764105428</v>
      </c>
      <c r="L75" s="365">
        <f>+'Model Main'!FH198</f>
        <v>13224.761168066691</v>
      </c>
    </row>
    <row r="76" spans="1:16" hidden="1" outlineLevel="1" x14ac:dyDescent="0.3">
      <c r="A76" s="298" t="s">
        <v>754</v>
      </c>
      <c r="B76" s="850" t="e">
        <f t="shared" ref="B76:L76" si="35">+B74-B75</f>
        <v>#REF!</v>
      </c>
      <c r="C76" s="850" t="e">
        <f t="shared" si="35"/>
        <v>#REF!</v>
      </c>
      <c r="D76" s="850" t="e">
        <f t="shared" si="35"/>
        <v>#REF!</v>
      </c>
      <c r="E76" s="850" t="e">
        <f t="shared" si="35"/>
        <v>#REF!</v>
      </c>
      <c r="F76" s="850" t="e">
        <f t="shared" si="35"/>
        <v>#REF!</v>
      </c>
      <c r="G76" s="850" t="e">
        <f t="shared" si="35"/>
        <v>#REF!</v>
      </c>
      <c r="H76" s="850" t="e">
        <f t="shared" si="35"/>
        <v>#REF!</v>
      </c>
      <c r="I76" s="850" t="e">
        <f t="shared" si="35"/>
        <v>#REF!</v>
      </c>
      <c r="J76" s="850" t="e">
        <f t="shared" ref="J76:K76" si="36">+J74-J75</f>
        <v>#REF!</v>
      </c>
      <c r="K76" s="850" t="e">
        <f t="shared" si="36"/>
        <v>#REF!</v>
      </c>
      <c r="L76" s="850" t="e">
        <f t="shared" si="35"/>
        <v>#REF!</v>
      </c>
    </row>
    <row r="77" spans="1:16" hidden="1" outlineLevel="1" x14ac:dyDescent="0.3">
      <c r="A77" s="177" t="s">
        <v>104</v>
      </c>
      <c r="B77" s="365" t="e">
        <f>+#REF!</f>
        <v>#REF!</v>
      </c>
      <c r="C77" s="365" t="e">
        <f>+#REF!</f>
        <v>#REF!</v>
      </c>
      <c r="D77" s="365" t="e">
        <f>+#REF!</f>
        <v>#REF!</v>
      </c>
      <c r="E77" s="365" t="e">
        <f>+#REF!</f>
        <v>#REF!</v>
      </c>
      <c r="F77" s="365" t="e">
        <f>+#REF!</f>
        <v>#REF!</v>
      </c>
      <c r="G77" s="365" t="e">
        <f>+#REF!</f>
        <v>#REF!</v>
      </c>
      <c r="H77" s="365" t="e">
        <f>+#REF!</f>
        <v>#REF!</v>
      </c>
      <c r="I77" s="365" t="e">
        <f>+#REF!</f>
        <v>#REF!</v>
      </c>
      <c r="J77" s="365" t="e">
        <f>+#REF!</f>
        <v>#REF!</v>
      </c>
      <c r="K77" s="365" t="e">
        <f>+#REF!</f>
        <v>#REF!</v>
      </c>
      <c r="L77" s="365" t="e">
        <f>+#REF!</f>
        <v>#REF!</v>
      </c>
    </row>
    <row r="78" spans="1:16" hidden="1" outlineLevel="1" x14ac:dyDescent="0.3">
      <c r="A78" s="298" t="s">
        <v>3206</v>
      </c>
      <c r="B78" s="859" t="e">
        <f t="shared" ref="B78:L78" si="37">+B76/B77</f>
        <v>#REF!</v>
      </c>
      <c r="C78" s="859" t="e">
        <f t="shared" si="37"/>
        <v>#REF!</v>
      </c>
      <c r="D78" s="859" t="e">
        <f t="shared" si="37"/>
        <v>#REF!</v>
      </c>
      <c r="E78" s="859" t="e">
        <f t="shared" si="37"/>
        <v>#REF!</v>
      </c>
      <c r="F78" s="859" t="e">
        <f t="shared" si="37"/>
        <v>#REF!</v>
      </c>
      <c r="G78" s="859" t="e">
        <f t="shared" si="37"/>
        <v>#REF!</v>
      </c>
      <c r="H78" s="859" t="e">
        <f t="shared" si="37"/>
        <v>#REF!</v>
      </c>
      <c r="I78" s="859" t="e">
        <f t="shared" si="37"/>
        <v>#REF!</v>
      </c>
      <c r="J78" s="859" t="e">
        <f t="shared" ref="J78:K78" si="38">+J76/J77</f>
        <v>#REF!</v>
      </c>
      <c r="K78" s="859" t="e">
        <f t="shared" si="38"/>
        <v>#REF!</v>
      </c>
      <c r="L78" s="859" t="e">
        <f t="shared" si="37"/>
        <v>#REF!</v>
      </c>
    </row>
    <row r="79" spans="1:16" hidden="1" collapsed="1" x14ac:dyDescent="0.3">
      <c r="E79" s="899" t="e">
        <f>E28/#REF!</f>
        <v>#REF!</v>
      </c>
      <c r="F79" s="899" t="e">
        <f>F28/#REF!</f>
        <v>#REF!</v>
      </c>
    </row>
    <row r="80" spans="1:16" x14ac:dyDescent="0.3">
      <c r="A80" s="588" t="s">
        <v>3207</v>
      </c>
      <c r="B80" s="589"/>
      <c r="C80" s="589"/>
      <c r="D80" s="589"/>
      <c r="E80" s="589"/>
      <c r="F80" s="589"/>
      <c r="G80" s="1184"/>
      <c r="H80" s="1184"/>
      <c r="I80" s="589"/>
      <c r="J80" s="589"/>
      <c r="K80" s="589"/>
      <c r="L80" s="589"/>
      <c r="M80" s="201"/>
      <c r="N80" s="201"/>
      <c r="O80" s="201"/>
      <c r="P80" s="164"/>
    </row>
    <row r="81" spans="1:12" x14ac:dyDescent="0.3">
      <c r="A81" s="653"/>
      <c r="B81" s="654">
        <v>2024</v>
      </c>
      <c r="C81" s="654">
        <f t="shared" ref="C81:I81" si="39">B81+1</f>
        <v>2025</v>
      </c>
      <c r="D81" s="654">
        <f t="shared" si="39"/>
        <v>2026</v>
      </c>
      <c r="E81" s="654">
        <f t="shared" si="39"/>
        <v>2027</v>
      </c>
      <c r="F81" s="654">
        <f t="shared" si="39"/>
        <v>2028</v>
      </c>
      <c r="G81" s="654">
        <f t="shared" si="39"/>
        <v>2029</v>
      </c>
      <c r="H81" s="654">
        <f t="shared" si="39"/>
        <v>2030</v>
      </c>
      <c r="I81" s="654">
        <f t="shared" si="39"/>
        <v>2031</v>
      </c>
      <c r="J81" s="654">
        <f t="shared" ref="J81" si="40">I81+1</f>
        <v>2032</v>
      </c>
      <c r="K81" s="654">
        <f t="shared" ref="K81" si="41">J81+1</f>
        <v>2033</v>
      </c>
      <c r="L81" s="654" t="s">
        <v>245</v>
      </c>
    </row>
    <row r="82" spans="1:12" x14ac:dyDescent="0.3">
      <c r="A82" s="551" t="s">
        <v>284</v>
      </c>
      <c r="B82" s="1765">
        <f>Analysis!B271</f>
        <v>5876</v>
      </c>
      <c r="C82" s="272">
        <f>Analysis!C271</f>
        <v>5967</v>
      </c>
      <c r="D82" s="272">
        <f>Analysis!D271</f>
        <v>6185</v>
      </c>
      <c r="E82" s="272">
        <f>Analysis!E271</f>
        <v>6390</v>
      </c>
      <c r="F82" s="272">
        <f>Analysis!F271</f>
        <v>6576</v>
      </c>
      <c r="G82" s="272">
        <f>Analysis!G271</f>
        <v>6774</v>
      </c>
      <c r="H82" s="272">
        <f>Analysis!H271</f>
        <v>6971</v>
      </c>
      <c r="I82" s="272">
        <f>Analysis!I271</f>
        <v>7173</v>
      </c>
      <c r="J82" s="272">
        <f>Analysis!J271</f>
        <v>7369</v>
      </c>
      <c r="K82" s="272">
        <f>Analysis!K271</f>
        <v>7585</v>
      </c>
      <c r="L82" s="551">
        <f>+K82*(1+G121)</f>
        <v>7717.7375000000002</v>
      </c>
    </row>
    <row r="83" spans="1:12" x14ac:dyDescent="0.3">
      <c r="A83" s="551" t="s">
        <v>2900</v>
      </c>
      <c r="B83" s="1766">
        <f t="shared" ref="B83" si="42">+B82-B84</f>
        <v>3626</v>
      </c>
      <c r="C83" s="553">
        <f t="shared" ref="C83:K83" si="43">+C82-C84</f>
        <v>3574</v>
      </c>
      <c r="D83" s="553">
        <f t="shared" si="43"/>
        <v>3548</v>
      </c>
      <c r="E83" s="553">
        <f t="shared" si="43"/>
        <v>3402</v>
      </c>
      <c r="F83" s="553">
        <f t="shared" si="43"/>
        <v>3293</v>
      </c>
      <c r="G83" s="553">
        <f t="shared" si="43"/>
        <v>3260</v>
      </c>
      <c r="H83" s="553">
        <f t="shared" si="43"/>
        <v>3236</v>
      </c>
      <c r="I83" s="553">
        <f t="shared" si="43"/>
        <v>3218</v>
      </c>
      <c r="J83" s="553">
        <f t="shared" si="43"/>
        <v>3211</v>
      </c>
      <c r="K83" s="553">
        <f t="shared" si="43"/>
        <v>3203</v>
      </c>
      <c r="L83" s="554">
        <f>L82-L84</f>
        <v>3259.0524999999998</v>
      </c>
    </row>
    <row r="84" spans="1:12" x14ac:dyDescent="0.3">
      <c r="A84" s="551" t="s">
        <v>44</v>
      </c>
      <c r="B84" s="1765">
        <f>Analysis!B272</f>
        <v>2250</v>
      </c>
      <c r="C84" s="272">
        <f>Analysis!C272</f>
        <v>2393</v>
      </c>
      <c r="D84" s="272">
        <f>Analysis!D272</f>
        <v>2637</v>
      </c>
      <c r="E84" s="272">
        <f>Analysis!E272</f>
        <v>2988</v>
      </c>
      <c r="F84" s="272">
        <f>Analysis!F272</f>
        <v>3283</v>
      </c>
      <c r="G84" s="272">
        <f>Analysis!G272</f>
        <v>3514</v>
      </c>
      <c r="H84" s="272">
        <f>Analysis!H272</f>
        <v>3735</v>
      </c>
      <c r="I84" s="272">
        <f>Analysis!I272</f>
        <v>3955</v>
      </c>
      <c r="J84" s="272">
        <f>Analysis!J272</f>
        <v>4158</v>
      </c>
      <c r="K84" s="272">
        <f>Analysis!K272</f>
        <v>4382</v>
      </c>
      <c r="L84" s="1824">
        <f>L82*(K84/K82)</f>
        <v>4458.6850000000004</v>
      </c>
    </row>
    <row r="85" spans="1:12" x14ac:dyDescent="0.3">
      <c r="A85" s="551" t="s">
        <v>2552</v>
      </c>
      <c r="B85" s="1767">
        <v>1186.0000000000014</v>
      </c>
      <c r="C85" s="260">
        <v>1649.0000000000007</v>
      </c>
      <c r="D85" s="260">
        <v>933</v>
      </c>
      <c r="E85" s="260">
        <v>1040</v>
      </c>
      <c r="F85" s="260">
        <v>987</v>
      </c>
      <c r="G85" s="260">
        <v>934</v>
      </c>
      <c r="H85" s="260">
        <v>887</v>
      </c>
      <c r="I85" s="260">
        <v>851</v>
      </c>
      <c r="J85" s="260">
        <v>830</v>
      </c>
      <c r="K85" s="260">
        <v>806</v>
      </c>
      <c r="L85" s="554">
        <f>L89</f>
        <v>1524.2149999999999</v>
      </c>
    </row>
    <row r="86" spans="1:12" x14ac:dyDescent="0.3">
      <c r="A86" s="551" t="s">
        <v>2901</v>
      </c>
      <c r="B86" s="1825">
        <f t="shared" ref="B86:L86" si="44">B84-B85</f>
        <v>1063.9999999999986</v>
      </c>
      <c r="C86" s="1824">
        <f t="shared" si="44"/>
        <v>743.99999999999932</v>
      </c>
      <c r="D86" s="1824">
        <f t="shared" si="44"/>
        <v>1704</v>
      </c>
      <c r="E86" s="1824">
        <f t="shared" si="44"/>
        <v>1948</v>
      </c>
      <c r="F86" s="1824">
        <f t="shared" si="44"/>
        <v>2296</v>
      </c>
      <c r="G86" s="1824">
        <f t="shared" si="44"/>
        <v>2580</v>
      </c>
      <c r="H86" s="1824">
        <f t="shared" si="44"/>
        <v>2848</v>
      </c>
      <c r="I86" s="1824">
        <f t="shared" si="44"/>
        <v>3104</v>
      </c>
      <c r="J86" s="1824">
        <f t="shared" ref="J86:K86" si="45">J84-J85</f>
        <v>3328</v>
      </c>
      <c r="K86" s="1824">
        <f t="shared" si="45"/>
        <v>3576</v>
      </c>
      <c r="L86" s="1824">
        <f t="shared" si="44"/>
        <v>2934.4700000000003</v>
      </c>
    </row>
    <row r="87" spans="1:12" x14ac:dyDescent="0.3">
      <c r="A87" s="551" t="s">
        <v>2556</v>
      </c>
      <c r="B87" s="1766">
        <f t="shared" ref="B87:L87" si="46">IF(B86&gt;0,B86*$G$120,0)</f>
        <v>265.99999999999966</v>
      </c>
      <c r="C87" s="553">
        <f t="shared" si="46"/>
        <v>185.99999999999983</v>
      </c>
      <c r="D87" s="553">
        <f t="shared" si="46"/>
        <v>426</v>
      </c>
      <c r="E87" s="553">
        <f t="shared" si="46"/>
        <v>487</v>
      </c>
      <c r="F87" s="553">
        <f t="shared" si="46"/>
        <v>574</v>
      </c>
      <c r="G87" s="553">
        <f t="shared" si="46"/>
        <v>645</v>
      </c>
      <c r="H87" s="553">
        <f t="shared" si="46"/>
        <v>712</v>
      </c>
      <c r="I87" s="553">
        <f t="shared" si="46"/>
        <v>776</v>
      </c>
      <c r="J87" s="553">
        <f t="shared" si="46"/>
        <v>832</v>
      </c>
      <c r="K87" s="553">
        <f t="shared" si="46"/>
        <v>894</v>
      </c>
      <c r="L87" s="553">
        <f t="shared" si="46"/>
        <v>733.61750000000006</v>
      </c>
    </row>
    <row r="88" spans="1:12" x14ac:dyDescent="0.3">
      <c r="A88" s="551" t="s">
        <v>2902</v>
      </c>
      <c r="B88" s="1768">
        <f t="shared" ref="B88:L88" si="47">B86-B87</f>
        <v>797.99999999999898</v>
      </c>
      <c r="C88" s="551">
        <f t="shared" si="47"/>
        <v>557.99999999999955</v>
      </c>
      <c r="D88" s="551">
        <f t="shared" si="47"/>
        <v>1278</v>
      </c>
      <c r="E88" s="551">
        <f t="shared" si="47"/>
        <v>1461</v>
      </c>
      <c r="F88" s="551">
        <f t="shared" si="47"/>
        <v>1722</v>
      </c>
      <c r="G88" s="551">
        <f t="shared" si="47"/>
        <v>1935</v>
      </c>
      <c r="H88" s="551">
        <f t="shared" si="47"/>
        <v>2136</v>
      </c>
      <c r="I88" s="551">
        <f t="shared" si="47"/>
        <v>2328</v>
      </c>
      <c r="J88" s="551">
        <f t="shared" ref="J88:K88" si="48">J86-J87</f>
        <v>2496</v>
      </c>
      <c r="K88" s="551">
        <f t="shared" si="48"/>
        <v>2682</v>
      </c>
      <c r="L88" s="551">
        <f t="shared" si="47"/>
        <v>2200.8525</v>
      </c>
    </row>
    <row r="89" spans="1:12" x14ac:dyDescent="0.3">
      <c r="A89" s="551" t="s">
        <v>198</v>
      </c>
      <c r="B89" s="1765">
        <f>Analysis!B273</f>
        <v>3190</v>
      </c>
      <c r="C89" s="272">
        <f>Analysis!C273</f>
        <v>3185</v>
      </c>
      <c r="D89" s="272">
        <f>Analysis!D273</f>
        <v>3080</v>
      </c>
      <c r="E89" s="272">
        <f>Analysis!E273</f>
        <v>1937</v>
      </c>
      <c r="F89" s="272">
        <f>Analysis!F273</f>
        <v>1612</v>
      </c>
      <c r="G89" s="272">
        <f>Analysis!G273</f>
        <v>1538</v>
      </c>
      <c r="H89" s="272">
        <f>Analysis!H273</f>
        <v>1520</v>
      </c>
      <c r="I89" s="272">
        <f>Analysis!I273</f>
        <v>1511</v>
      </c>
      <c r="J89" s="272">
        <f>Analysis!J273</f>
        <v>1510</v>
      </c>
      <c r="K89" s="272">
        <f>Analysis!K273</f>
        <v>1498</v>
      </c>
      <c r="L89" s="551">
        <f>L97*L82</f>
        <v>1524.2149999999999</v>
      </c>
    </row>
    <row r="90" spans="1:12" x14ac:dyDescent="0.3">
      <c r="A90" s="551" t="s">
        <v>2552</v>
      </c>
      <c r="B90" s="1768">
        <f t="shared" ref="B90:I90" si="49">B85</f>
        <v>1186.0000000000014</v>
      </c>
      <c r="C90" s="551">
        <f t="shared" si="49"/>
        <v>1649.0000000000007</v>
      </c>
      <c r="D90" s="551">
        <f t="shared" si="49"/>
        <v>933</v>
      </c>
      <c r="E90" s="551">
        <f t="shared" si="49"/>
        <v>1040</v>
      </c>
      <c r="F90" s="551">
        <f t="shared" si="49"/>
        <v>987</v>
      </c>
      <c r="G90" s="551">
        <f t="shared" si="49"/>
        <v>934</v>
      </c>
      <c r="H90" s="551">
        <f t="shared" si="49"/>
        <v>887</v>
      </c>
      <c r="I90" s="551">
        <f t="shared" si="49"/>
        <v>851</v>
      </c>
      <c r="J90" s="551">
        <f t="shared" ref="J90:K90" si="50">J85</f>
        <v>830</v>
      </c>
      <c r="K90" s="551">
        <f t="shared" si="50"/>
        <v>806</v>
      </c>
      <c r="L90" s="260">
        <f>L89</f>
        <v>1524.2149999999999</v>
      </c>
    </row>
    <row r="91" spans="1:12" ht="12.5" thickBot="1" x14ac:dyDescent="0.35">
      <c r="A91" s="551" t="s">
        <v>725</v>
      </c>
      <c r="B91" s="1763">
        <v>-464</v>
      </c>
      <c r="C91" s="1763">
        <v>-978</v>
      </c>
      <c r="D91" s="1763">
        <v>-869</v>
      </c>
      <c r="E91" s="1763">
        <v>564</v>
      </c>
      <c r="F91" s="1763">
        <v>1097</v>
      </c>
      <c r="G91" s="1763">
        <v>1331</v>
      </c>
      <c r="H91" s="1763">
        <v>1503</v>
      </c>
      <c r="I91" s="1763">
        <v>1668</v>
      </c>
      <c r="J91" s="1763">
        <v>1816</v>
      </c>
      <c r="K91" s="1763">
        <v>1990</v>
      </c>
      <c r="L91" s="556">
        <f t="shared" ref="L91" si="51">L88-L89+L90</f>
        <v>2200.8525</v>
      </c>
    </row>
    <row r="92" spans="1:12" ht="12.5" hidden="1" outlineLevel="1" thickTop="1" x14ac:dyDescent="0.3">
      <c r="A92" s="557"/>
      <c r="B92" s="1183"/>
      <c r="C92" s="1183"/>
      <c r="D92" s="1183"/>
      <c r="E92" s="1183"/>
      <c r="F92" s="1183"/>
      <c r="G92" s="1183"/>
      <c r="H92" s="1183"/>
      <c r="I92" s="1183"/>
      <c r="J92" s="1183"/>
      <c r="K92" s="1183"/>
      <c r="L92" s="559"/>
    </row>
    <row r="93" spans="1:12" hidden="1" outlineLevel="1" x14ac:dyDescent="0.3">
      <c r="A93" s="560" t="s">
        <v>2904</v>
      </c>
      <c r="B93" s="144"/>
      <c r="C93" s="144"/>
      <c r="D93" s="144"/>
      <c r="E93" s="144"/>
      <c r="F93" s="144"/>
      <c r="G93" s="144"/>
      <c r="H93" s="144"/>
      <c r="I93" s="144"/>
      <c r="J93" s="144"/>
      <c r="K93" s="144"/>
      <c r="L93" s="561"/>
    </row>
    <row r="94" spans="1:12" hidden="1" outlineLevel="1" x14ac:dyDescent="0.3">
      <c r="A94" s="551" t="s">
        <v>2905</v>
      </c>
      <c r="B94" s="562"/>
      <c r="C94" s="562">
        <f t="shared" ref="C94:K94" si="52">C82/B82-1</f>
        <v>1.5486725663716783E-2</v>
      </c>
      <c r="D94" s="562">
        <f t="shared" si="52"/>
        <v>3.653427182838942E-2</v>
      </c>
      <c r="E94" s="562">
        <f t="shared" si="52"/>
        <v>3.3144704931285407E-2</v>
      </c>
      <c r="F94" s="562">
        <f t="shared" si="52"/>
        <v>2.9107981220657386E-2</v>
      </c>
      <c r="G94" s="562">
        <f t="shared" si="52"/>
        <v>3.0109489051094895E-2</v>
      </c>
      <c r="H94" s="562">
        <f t="shared" si="52"/>
        <v>2.9081783289046426E-2</v>
      </c>
      <c r="I94" s="562">
        <f t="shared" si="52"/>
        <v>2.8977191220771692E-2</v>
      </c>
      <c r="J94" s="562">
        <f t="shared" si="52"/>
        <v>2.7324689809006042E-2</v>
      </c>
      <c r="K94" s="562">
        <f t="shared" si="52"/>
        <v>2.9311982629936173E-2</v>
      </c>
      <c r="L94" s="562">
        <f>L82/I82-1</f>
        <v>7.5942771504251994E-2</v>
      </c>
    </row>
    <row r="95" spans="1:12" hidden="1" outlineLevel="1" x14ac:dyDescent="0.3">
      <c r="A95" s="551" t="s">
        <v>673</v>
      </c>
      <c r="B95" s="562">
        <f t="shared" ref="B95:L95" si="53">B84/B82</f>
        <v>0.38291354663036081</v>
      </c>
      <c r="C95" s="562">
        <f t="shared" si="53"/>
        <v>0.40103904809787161</v>
      </c>
      <c r="D95" s="562">
        <f t="shared" si="53"/>
        <v>0.42635408245755863</v>
      </c>
      <c r="E95" s="562">
        <f t="shared" si="53"/>
        <v>0.46760563380281689</v>
      </c>
      <c r="F95" s="562">
        <f t="shared" si="53"/>
        <v>0.49923965936739662</v>
      </c>
      <c r="G95" s="562">
        <f t="shared" si="53"/>
        <v>0.51874815470918212</v>
      </c>
      <c r="H95" s="562">
        <f t="shared" si="53"/>
        <v>0.53579113470090378</v>
      </c>
      <c r="I95" s="562">
        <f t="shared" si="53"/>
        <v>0.5513732050745852</v>
      </c>
      <c r="J95" s="562">
        <f t="shared" si="53"/>
        <v>0.56425566562627227</v>
      </c>
      <c r="K95" s="562">
        <f t="shared" si="53"/>
        <v>0.57771918259723143</v>
      </c>
      <c r="L95" s="562">
        <f t="shared" si="53"/>
        <v>0.57771918259723143</v>
      </c>
    </row>
    <row r="96" spans="1:12" hidden="1" outlineLevel="1" x14ac:dyDescent="0.3">
      <c r="A96" s="551" t="s">
        <v>2906</v>
      </c>
      <c r="B96" s="562">
        <f t="shared" ref="B96:L96" si="54">+(B84-B89)/B82</f>
        <v>-0.15997277059223963</v>
      </c>
      <c r="C96" s="562">
        <f t="shared" si="54"/>
        <v>-0.13273001508295626</v>
      </c>
      <c r="D96" s="562">
        <f t="shared" si="54"/>
        <v>-7.1624898949070329E-2</v>
      </c>
      <c r="E96" s="562">
        <f t="shared" si="54"/>
        <v>0.16447574334898279</v>
      </c>
      <c r="F96" s="562">
        <f t="shared" si="54"/>
        <v>0.25410583941605841</v>
      </c>
      <c r="G96" s="562">
        <f t="shared" si="54"/>
        <v>0.29170357248302331</v>
      </c>
      <c r="H96" s="562">
        <f t="shared" si="54"/>
        <v>0.31774494333668052</v>
      </c>
      <c r="I96" s="562">
        <f t="shared" si="54"/>
        <v>0.34072215251638088</v>
      </c>
      <c r="J96" s="562">
        <f t="shared" si="54"/>
        <v>0.35934319446329216</v>
      </c>
      <c r="K96" s="562">
        <f t="shared" si="54"/>
        <v>0.38022412656558996</v>
      </c>
      <c r="L96" s="562">
        <f t="shared" si="54"/>
        <v>0.38022412656559001</v>
      </c>
    </row>
    <row r="97" spans="1:16" hidden="1" outlineLevel="1" x14ac:dyDescent="0.3">
      <c r="A97" s="551" t="s">
        <v>2907</v>
      </c>
      <c r="B97" s="562">
        <f t="shared" ref="B97:K97" si="55">B89/B82</f>
        <v>0.54288631722260039</v>
      </c>
      <c r="C97" s="562">
        <f t="shared" si="55"/>
        <v>0.53376906318082784</v>
      </c>
      <c r="D97" s="562">
        <f t="shared" si="55"/>
        <v>0.49797898140662894</v>
      </c>
      <c r="E97" s="562">
        <f t="shared" si="55"/>
        <v>0.30312989045383409</v>
      </c>
      <c r="F97" s="562">
        <f t="shared" si="55"/>
        <v>0.24513381995133821</v>
      </c>
      <c r="G97" s="562">
        <f t="shared" si="55"/>
        <v>0.22704458222615884</v>
      </c>
      <c r="H97" s="562">
        <f t="shared" si="55"/>
        <v>0.21804619136422321</v>
      </c>
      <c r="I97" s="562">
        <f t="shared" si="55"/>
        <v>0.21065105255820438</v>
      </c>
      <c r="J97" s="562">
        <f t="shared" si="55"/>
        <v>0.20491247116298006</v>
      </c>
      <c r="K97" s="562">
        <f t="shared" si="55"/>
        <v>0.19749505603164139</v>
      </c>
      <c r="L97" s="261">
        <f>K97</f>
        <v>0.19749505603164139</v>
      </c>
    </row>
    <row r="98" spans="1:16" hidden="1" outlineLevel="1" x14ac:dyDescent="0.3">
      <c r="A98" s="551" t="s">
        <v>2908</v>
      </c>
      <c r="B98" s="562">
        <f t="shared" ref="B98:L98" si="56">B85/B89</f>
        <v>0.3717868338557998</v>
      </c>
      <c r="C98" s="562">
        <f t="shared" si="56"/>
        <v>0.51773940345368941</v>
      </c>
      <c r="D98" s="562">
        <f t="shared" si="56"/>
        <v>0.30292207792207793</v>
      </c>
      <c r="E98" s="562">
        <f t="shared" si="56"/>
        <v>0.53691275167785235</v>
      </c>
      <c r="F98" s="562">
        <f t="shared" si="56"/>
        <v>0.61228287841191065</v>
      </c>
      <c r="G98" s="562">
        <f t="shared" si="56"/>
        <v>0.60728218465539663</v>
      </c>
      <c r="H98" s="562">
        <f t="shared" si="56"/>
        <v>0.58355263157894732</v>
      </c>
      <c r="I98" s="562">
        <f t="shared" si="56"/>
        <v>0.56320317670416942</v>
      </c>
      <c r="J98" s="562">
        <f t="shared" si="56"/>
        <v>0.54966887417218546</v>
      </c>
      <c r="K98" s="562">
        <f t="shared" si="56"/>
        <v>0.53805073431241657</v>
      </c>
      <c r="L98" s="562">
        <f t="shared" si="56"/>
        <v>1</v>
      </c>
    </row>
    <row r="99" spans="1:16" hidden="1" outlineLevel="1" x14ac:dyDescent="0.3">
      <c r="A99" s="551"/>
      <c r="B99" s="144"/>
      <c r="C99" s="144"/>
      <c r="D99" s="144"/>
      <c r="E99" s="144"/>
      <c r="F99" s="144"/>
      <c r="G99" s="144"/>
      <c r="H99" s="144"/>
      <c r="I99" s="144"/>
      <c r="J99" s="144"/>
      <c r="K99" s="144"/>
      <c r="L99" s="563"/>
    </row>
    <row r="100" spans="1:16" hidden="1" outlineLevel="1" x14ac:dyDescent="0.3">
      <c r="A100" s="551" t="s">
        <v>2909</v>
      </c>
      <c r="B100" s="263">
        <v>0.5</v>
      </c>
      <c r="C100" s="564">
        <f t="shared" ref="C100:I100" si="57">+B100+1</f>
        <v>1.5</v>
      </c>
      <c r="D100" s="564">
        <f t="shared" si="57"/>
        <v>2.5</v>
      </c>
      <c r="E100" s="564">
        <f t="shared" si="57"/>
        <v>3.5</v>
      </c>
      <c r="F100" s="564">
        <f t="shared" si="57"/>
        <v>4.5</v>
      </c>
      <c r="G100" s="564">
        <f t="shared" si="57"/>
        <v>5.5</v>
      </c>
      <c r="H100" s="564">
        <f t="shared" si="57"/>
        <v>6.5</v>
      </c>
      <c r="I100" s="564">
        <f t="shared" si="57"/>
        <v>7.5</v>
      </c>
      <c r="J100" s="564">
        <f t="shared" ref="J100" si="58">+I100+1</f>
        <v>8.5</v>
      </c>
      <c r="K100" s="564">
        <f t="shared" ref="K100:L100" si="59">+J100+1</f>
        <v>9.5</v>
      </c>
      <c r="L100" s="564">
        <f t="shared" si="59"/>
        <v>10.5</v>
      </c>
    </row>
    <row r="101" spans="1:16" hidden="1" outlineLevel="1" x14ac:dyDescent="0.3">
      <c r="A101" s="551" t="s">
        <v>725</v>
      </c>
      <c r="B101" s="551">
        <f t="shared" ref="B101:K101" si="60">+B91</f>
        <v>-464</v>
      </c>
      <c r="C101" s="551">
        <f t="shared" si="60"/>
        <v>-978</v>
      </c>
      <c r="D101" s="551">
        <f t="shared" si="60"/>
        <v>-869</v>
      </c>
      <c r="E101" s="551">
        <f t="shared" si="60"/>
        <v>564</v>
      </c>
      <c r="F101" s="551">
        <f t="shared" si="60"/>
        <v>1097</v>
      </c>
      <c r="G101" s="551">
        <f t="shared" si="60"/>
        <v>1331</v>
      </c>
      <c r="H101" s="551">
        <f t="shared" si="60"/>
        <v>1503</v>
      </c>
      <c r="I101" s="551">
        <f t="shared" si="60"/>
        <v>1668</v>
      </c>
      <c r="J101" s="551">
        <f t="shared" si="60"/>
        <v>1816</v>
      </c>
      <c r="K101" s="551">
        <f t="shared" si="60"/>
        <v>1990</v>
      </c>
      <c r="L101" s="563"/>
    </row>
    <row r="102" spans="1:16" hidden="1" outlineLevel="1" x14ac:dyDescent="0.3">
      <c r="A102" s="551" t="s">
        <v>165</v>
      </c>
      <c r="B102" s="565">
        <f t="shared" ref="B102:I102" si="61">+(1+$G$117)^B100</f>
        <v>1.0380269746013346</v>
      </c>
      <c r="C102" s="565">
        <f t="shared" si="61"/>
        <v>1.1184740651329381</v>
      </c>
      <c r="D102" s="565">
        <f t="shared" si="61"/>
        <v>1.2051558051807405</v>
      </c>
      <c r="E102" s="565">
        <f t="shared" si="61"/>
        <v>1.2985553800822478</v>
      </c>
      <c r="F102" s="565">
        <f t="shared" si="61"/>
        <v>1.399193422038622</v>
      </c>
      <c r="G102" s="565">
        <f t="shared" si="61"/>
        <v>1.5076309122466149</v>
      </c>
      <c r="H102" s="565">
        <f t="shared" si="61"/>
        <v>1.6244723079457275</v>
      </c>
      <c r="I102" s="565">
        <f t="shared" si="61"/>
        <v>1.7503689118115213</v>
      </c>
      <c r="J102" s="565">
        <f t="shared" ref="J102:K102" si="62">+(1+$G$117)^J100</f>
        <v>1.8860225024769139</v>
      </c>
      <c r="K102" s="565">
        <f t="shared" si="62"/>
        <v>2.0321892464188744</v>
      </c>
      <c r="L102" s="565">
        <f>+(1+$G$117)^L100</f>
        <v>2.1896839130163372</v>
      </c>
    </row>
    <row r="103" spans="1:16" hidden="1" outlineLevel="1" x14ac:dyDescent="0.3">
      <c r="A103" s="551" t="s">
        <v>2910</v>
      </c>
      <c r="B103" s="1824">
        <f t="shared" ref="B103:I103" si="63">B101/B102</f>
        <v>-447.00187119723375</v>
      </c>
      <c r="C103" s="1824">
        <f t="shared" si="63"/>
        <v>-874.40561251078998</v>
      </c>
      <c r="D103" s="1824">
        <f t="shared" si="63"/>
        <v>-721.0685923465918</v>
      </c>
      <c r="E103" s="1824">
        <f t="shared" si="63"/>
        <v>434.32880002720981</v>
      </c>
      <c r="F103" s="1824">
        <f t="shared" si="63"/>
        <v>784.02312555305843</v>
      </c>
      <c r="G103" s="1824">
        <f t="shared" si="63"/>
        <v>882.8420730751626</v>
      </c>
      <c r="H103" s="1824">
        <f t="shared" si="63"/>
        <v>925.22352806411413</v>
      </c>
      <c r="I103" s="1824">
        <f t="shared" si="63"/>
        <v>952.94197054364122</v>
      </c>
      <c r="J103" s="1824">
        <f t="shared" ref="J103:K103" si="64">J101/J102</f>
        <v>962.87292310407042</v>
      </c>
      <c r="K103" s="1824">
        <f t="shared" si="64"/>
        <v>979.23950906972846</v>
      </c>
    </row>
    <row r="104" spans="1:16" ht="12.5" collapsed="1" thickTop="1" x14ac:dyDescent="0.3">
      <c r="A104" s="551"/>
      <c r="B104" s="551"/>
      <c r="C104" s="551"/>
      <c r="D104" s="563"/>
      <c r="E104" s="566"/>
      <c r="F104" s="563"/>
      <c r="G104" s="144"/>
      <c r="H104" s="563"/>
      <c r="I104" s="563"/>
      <c r="J104" s="563"/>
      <c r="K104" s="563"/>
      <c r="L104" s="563"/>
      <c r="M104" s="239"/>
      <c r="N104" s="239"/>
      <c r="O104" s="239"/>
      <c r="P104" s="239"/>
    </row>
    <row r="105" spans="1:16" x14ac:dyDescent="0.3">
      <c r="A105" s="567" t="s">
        <v>2911</v>
      </c>
      <c r="B105" s="551">
        <f>IF(L91&gt;0,L91,0)</f>
        <v>2200.8525</v>
      </c>
      <c r="C105" s="551"/>
      <c r="D105" s="560"/>
      <c r="E105" s="551"/>
      <c r="F105" s="551"/>
      <c r="G105" s="551"/>
      <c r="H105" s="551"/>
      <c r="I105" s="551"/>
      <c r="J105" s="551"/>
      <c r="K105" s="551"/>
      <c r="L105" s="551"/>
      <c r="M105" s="264"/>
      <c r="N105" s="264"/>
      <c r="O105" s="264"/>
      <c r="P105" s="262"/>
    </row>
    <row r="106" spans="1:16" x14ac:dyDescent="0.3">
      <c r="A106" s="568" t="s">
        <v>2913</v>
      </c>
      <c r="B106" s="1773">
        <f>G117-G121</f>
        <v>0.06</v>
      </c>
      <c r="C106" s="551"/>
      <c r="D106" s="570"/>
      <c r="E106" s="574"/>
      <c r="F106" s="574"/>
      <c r="G106" s="574"/>
      <c r="H106" s="570"/>
      <c r="I106" s="264"/>
      <c r="J106" s="264"/>
      <c r="K106" s="262"/>
      <c r="L106" s="265"/>
    </row>
    <row r="107" spans="1:16" x14ac:dyDescent="0.3">
      <c r="A107" s="571" t="s">
        <v>254</v>
      </c>
      <c r="B107" s="572">
        <f>B105/B106</f>
        <v>36680.875</v>
      </c>
      <c r="C107" s="551"/>
      <c r="D107" s="563"/>
      <c r="E107" s="563"/>
      <c r="F107" s="563"/>
      <c r="G107" s="563"/>
      <c r="H107" s="563"/>
      <c r="I107" s="262"/>
      <c r="J107" s="262"/>
      <c r="K107" s="262"/>
      <c r="L107" s="267"/>
    </row>
    <row r="108" spans="1:16" x14ac:dyDescent="0.3">
      <c r="A108" s="568" t="s">
        <v>255</v>
      </c>
      <c r="B108" s="573">
        <f>L102</f>
        <v>2.1896839130163372</v>
      </c>
      <c r="C108" s="551"/>
      <c r="D108" s="563"/>
      <c r="E108" s="563"/>
      <c r="F108" s="563"/>
      <c r="G108" s="563"/>
      <c r="H108" s="563"/>
      <c r="I108" s="262"/>
      <c r="J108" s="262"/>
      <c r="K108" s="262"/>
      <c r="L108" s="268"/>
    </row>
    <row r="109" spans="1:16" x14ac:dyDescent="0.3">
      <c r="A109" s="571" t="s">
        <v>256</v>
      </c>
      <c r="B109" s="572">
        <f>B107/B108</f>
        <v>16751.675793001235</v>
      </c>
      <c r="C109" s="551"/>
      <c r="D109" s="563"/>
      <c r="E109" s="563"/>
      <c r="F109" s="563"/>
      <c r="G109" s="563"/>
      <c r="H109" s="563"/>
      <c r="I109" s="262"/>
      <c r="J109" s="262"/>
      <c r="K109" s="262"/>
      <c r="L109" s="269"/>
    </row>
    <row r="110" spans="1:16" x14ac:dyDescent="0.3">
      <c r="A110" s="568" t="s">
        <v>257</v>
      </c>
      <c r="B110" s="551">
        <f>SUM(B103:K103)</f>
        <v>3878.9958533823692</v>
      </c>
      <c r="C110" s="551"/>
      <c r="D110" s="1255"/>
      <c r="E110" s="563"/>
      <c r="F110" s="563"/>
      <c r="G110" s="563"/>
      <c r="H110" s="563"/>
      <c r="I110" s="262"/>
      <c r="J110" s="262"/>
      <c r="K110" s="262"/>
      <c r="L110" s="269"/>
    </row>
    <row r="111" spans="1:16" x14ac:dyDescent="0.3">
      <c r="A111" s="568" t="s">
        <v>2919</v>
      </c>
      <c r="B111" s="1764">
        <v>1465</v>
      </c>
      <c r="C111" s="565"/>
      <c r="D111" s="578"/>
      <c r="E111" s="574"/>
      <c r="F111" s="574"/>
      <c r="G111" s="574"/>
      <c r="H111" s="574"/>
      <c r="I111" s="266"/>
      <c r="J111" s="266"/>
      <c r="K111" s="262"/>
      <c r="L111" s="269"/>
    </row>
    <row r="112" spans="1:16" x14ac:dyDescent="0.3">
      <c r="A112" s="571" t="s">
        <v>2921</v>
      </c>
      <c r="B112" s="1826">
        <f>+B109+B110+B111</f>
        <v>22095.671646383606</v>
      </c>
      <c r="C112" s="551"/>
      <c r="D112" s="563"/>
      <c r="E112" s="563"/>
      <c r="F112" s="563"/>
      <c r="G112" s="563"/>
      <c r="H112" s="563"/>
      <c r="I112" s="262"/>
      <c r="J112" s="262"/>
      <c r="K112" s="262"/>
      <c r="L112" s="269"/>
    </row>
    <row r="113" spans="1:16" x14ac:dyDescent="0.3">
      <c r="A113" s="568" t="s">
        <v>1267</v>
      </c>
      <c r="B113" s="260">
        <v>10027</v>
      </c>
      <c r="C113" s="144"/>
      <c r="D113" s="563"/>
      <c r="E113" s="563"/>
      <c r="F113" s="563"/>
      <c r="G113" s="563"/>
      <c r="H113" s="563"/>
      <c r="I113" s="262"/>
      <c r="J113" s="262"/>
      <c r="K113" s="262"/>
      <c r="L113" s="265"/>
    </row>
    <row r="114" spans="1:16" x14ac:dyDescent="0.3">
      <c r="A114" s="568" t="s">
        <v>3208</v>
      </c>
      <c r="B114" s="260">
        <v>209</v>
      </c>
      <c r="C114" s="144"/>
      <c r="D114" s="563"/>
      <c r="E114" s="563"/>
      <c r="F114" s="563"/>
      <c r="G114" s="563"/>
      <c r="H114" s="563"/>
      <c r="I114" s="262"/>
      <c r="J114" s="262"/>
      <c r="K114" s="262"/>
      <c r="L114" s="262"/>
    </row>
    <row r="115" spans="1:16" x14ac:dyDescent="0.3">
      <c r="A115" s="568" t="s">
        <v>2924</v>
      </c>
      <c r="B115" s="551">
        <v>0</v>
      </c>
      <c r="C115" s="551"/>
      <c r="D115" s="563"/>
      <c r="E115" s="563"/>
      <c r="F115" s="563"/>
      <c r="G115" s="563"/>
      <c r="H115" s="563"/>
      <c r="I115" s="262"/>
      <c r="J115" s="262"/>
      <c r="K115" s="262"/>
      <c r="L115" s="262"/>
    </row>
    <row r="116" spans="1:16" ht="12.5" thickBot="1" x14ac:dyDescent="0.35">
      <c r="A116" s="571" t="s">
        <v>2926</v>
      </c>
      <c r="B116" s="1826">
        <f>B112-B113+B115-B114</f>
        <v>11859.671646383606</v>
      </c>
      <c r="C116" s="570"/>
      <c r="D116" s="563"/>
      <c r="E116" s="563"/>
      <c r="F116" s="563"/>
      <c r="G116" s="563"/>
      <c r="H116" s="563"/>
      <c r="I116" s="266"/>
      <c r="J116" s="266"/>
      <c r="K116" s="266"/>
      <c r="L116" s="262"/>
    </row>
    <row r="117" spans="1:16" ht="12.5" thickBot="1" x14ac:dyDescent="0.35">
      <c r="A117" s="568" t="s">
        <v>259</v>
      </c>
      <c r="B117" s="260">
        <f>248.754+0.629+0.149</f>
        <v>249.53199999999998</v>
      </c>
      <c r="C117" s="570"/>
      <c r="D117" s="551" t="s">
        <v>2929</v>
      </c>
      <c r="E117" s="144"/>
      <c r="F117" s="551"/>
      <c r="G117" s="1770">
        <v>7.7499999999999999E-2</v>
      </c>
      <c r="H117" s="144"/>
      <c r="I117" s="563"/>
      <c r="J117" s="563"/>
      <c r="K117" s="563"/>
      <c r="L117" s="563"/>
      <c r="M117" s="262"/>
      <c r="N117" s="262"/>
      <c r="O117" s="262"/>
      <c r="P117" s="262"/>
    </row>
    <row r="118" spans="1:16" ht="12.5" thickBot="1" x14ac:dyDescent="0.35">
      <c r="A118" s="568" t="s">
        <v>873</v>
      </c>
      <c r="B118" s="579">
        <f>B116/B117</f>
        <v>47.527658361988067</v>
      </c>
      <c r="C118" s="570"/>
      <c r="D118" s="551"/>
      <c r="E118" s="144"/>
      <c r="F118" s="551"/>
      <c r="G118" s="551"/>
      <c r="H118" s="563"/>
      <c r="I118" s="563"/>
      <c r="J118" s="563"/>
      <c r="K118" s="563"/>
      <c r="L118" s="563"/>
      <c r="M118" s="262"/>
      <c r="N118" s="262"/>
      <c r="O118" s="262"/>
      <c r="P118" s="262"/>
    </row>
    <row r="119" spans="1:16" ht="13" thickTop="1" thickBot="1" x14ac:dyDescent="0.35">
      <c r="A119" s="557" t="s">
        <v>2930</v>
      </c>
      <c r="B119" s="581">
        <f>+B118/Valuation!$B$6-1</f>
        <v>0.32833030637194138</v>
      </c>
      <c r="C119" s="551"/>
      <c r="D119" s="560"/>
      <c r="E119" s="144"/>
      <c r="F119" s="563"/>
      <c r="G119" s="551"/>
      <c r="H119" s="563"/>
      <c r="I119" s="574"/>
      <c r="J119" s="574"/>
      <c r="K119" s="574"/>
      <c r="L119" s="574"/>
      <c r="M119" s="262"/>
      <c r="N119" s="262"/>
      <c r="O119" s="262"/>
      <c r="P119" s="262"/>
    </row>
    <row r="120" spans="1:16" x14ac:dyDescent="0.3">
      <c r="A120" s="557" t="s">
        <v>2931</v>
      </c>
      <c r="B120" s="558">
        <f>+(SUM(B113:B113)-B115)/L84</f>
        <v>2.2488693415210985</v>
      </c>
      <c r="C120" s="551"/>
      <c r="D120" s="551" t="s">
        <v>124</v>
      </c>
      <c r="E120" s="144"/>
      <c r="F120" s="563"/>
      <c r="G120" s="1771">
        <v>0.25</v>
      </c>
      <c r="H120" s="563"/>
      <c r="I120" s="574"/>
      <c r="J120" s="574"/>
      <c r="K120" s="574"/>
      <c r="L120" s="574"/>
      <c r="M120" s="262"/>
      <c r="N120" s="262"/>
      <c r="O120" s="262"/>
      <c r="P120" s="262"/>
    </row>
    <row r="121" spans="1:16" ht="12.5" thickBot="1" x14ac:dyDescent="0.35">
      <c r="A121" s="557" t="s">
        <v>2933</v>
      </c>
      <c r="B121" s="558">
        <f>B107/L84</f>
        <v>8.2268370607028753</v>
      </c>
      <c r="C121" s="570"/>
      <c r="D121" s="551" t="s">
        <v>2934</v>
      </c>
      <c r="E121" s="144"/>
      <c r="F121" s="563"/>
      <c r="G121" s="1772">
        <v>1.7500000000000002E-2</v>
      </c>
      <c r="H121" s="563"/>
      <c r="I121" s="1183"/>
      <c r="J121" s="1183"/>
      <c r="K121" s="1183"/>
      <c r="L121" s="1183"/>
      <c r="M121" s="262"/>
      <c r="N121" s="262"/>
      <c r="O121" s="262"/>
      <c r="P121" s="262"/>
    </row>
    <row r="122" spans="1:16" x14ac:dyDescent="0.3">
      <c r="A122" s="494"/>
      <c r="B122" s="553"/>
      <c r="C122" s="494"/>
      <c r="D122" s="494"/>
      <c r="E122" s="494"/>
      <c r="F122" s="494"/>
      <c r="G122" s="587"/>
      <c r="H122" s="587"/>
      <c r="I122" s="587"/>
      <c r="J122" s="587"/>
      <c r="K122" s="587"/>
      <c r="L122" s="587"/>
      <c r="M122" s="1220"/>
      <c r="N122" s="1220"/>
      <c r="O122" s="1220"/>
      <c r="P122" s="262"/>
    </row>
    <row r="123" spans="1:16" x14ac:dyDescent="0.3">
      <c r="B123" s="259"/>
      <c r="G123" s="262"/>
      <c r="H123" s="262"/>
      <c r="I123" s="262"/>
      <c r="J123" s="262"/>
      <c r="K123" s="262"/>
      <c r="L123" s="262"/>
      <c r="M123" s="262"/>
      <c r="N123" s="262"/>
      <c r="O123" s="262"/>
      <c r="P123" s="262"/>
    </row>
    <row r="124" spans="1:16" x14ac:dyDescent="0.3">
      <c r="A124" s="588" t="s">
        <v>3209</v>
      </c>
      <c r="B124" s="589"/>
      <c r="C124" s="589"/>
      <c r="D124" s="589"/>
      <c r="E124" s="589"/>
      <c r="F124" s="589"/>
      <c r="G124" s="1184"/>
      <c r="H124" s="1184"/>
      <c r="I124" s="589"/>
      <c r="J124" s="589"/>
      <c r="K124" s="589"/>
      <c r="L124" s="589"/>
      <c r="M124" s="201"/>
      <c r="N124" s="201"/>
      <c r="O124" s="201"/>
    </row>
    <row r="125" spans="1:16" x14ac:dyDescent="0.3">
      <c r="A125" s="653"/>
      <c r="B125" s="654">
        <v>2024</v>
      </c>
      <c r="C125" s="654">
        <f t="shared" ref="C125" si="65">B125+1</f>
        <v>2025</v>
      </c>
      <c r="D125" s="654">
        <f t="shared" ref="D125" si="66">C125+1</f>
        <v>2026</v>
      </c>
      <c r="E125" s="654">
        <f t="shared" ref="E125" si="67">D125+1</f>
        <v>2027</v>
      </c>
      <c r="F125" s="654">
        <f t="shared" ref="F125" si="68">E125+1</f>
        <v>2028</v>
      </c>
      <c r="G125" s="654">
        <f t="shared" ref="G125" si="69">F125+1</f>
        <v>2029</v>
      </c>
      <c r="H125" s="654">
        <f t="shared" ref="H125" si="70">G125+1</f>
        <v>2030</v>
      </c>
      <c r="I125" s="654">
        <f t="shared" ref="I125" si="71">H125+1</f>
        <v>2031</v>
      </c>
      <c r="J125" s="654">
        <f t="shared" ref="J125" si="72">I125+1</f>
        <v>2032</v>
      </c>
      <c r="K125" s="654">
        <f t="shared" ref="K125" si="73">J125+1</f>
        <v>2033</v>
      </c>
      <c r="L125" s="654" t="s">
        <v>245</v>
      </c>
    </row>
    <row r="126" spans="1:16" x14ac:dyDescent="0.3">
      <c r="A126" s="551" t="s">
        <v>284</v>
      </c>
      <c r="B126" s="1765">
        <f>B82</f>
        <v>5876</v>
      </c>
      <c r="C126" s="1769">
        <f t="shared" ref="C126:K126" si="74">C82</f>
        <v>5967</v>
      </c>
      <c r="D126" s="1769">
        <f t="shared" si="74"/>
        <v>6185</v>
      </c>
      <c r="E126" s="1769">
        <f t="shared" si="74"/>
        <v>6390</v>
      </c>
      <c r="F126" s="1769">
        <f t="shared" si="74"/>
        <v>6576</v>
      </c>
      <c r="G126" s="1769">
        <f t="shared" si="74"/>
        <v>6774</v>
      </c>
      <c r="H126" s="1769">
        <f t="shared" si="74"/>
        <v>6971</v>
      </c>
      <c r="I126" s="1769">
        <f t="shared" si="74"/>
        <v>7173</v>
      </c>
      <c r="J126" s="1769">
        <f t="shared" si="74"/>
        <v>7369</v>
      </c>
      <c r="K126" s="1769">
        <f t="shared" si="74"/>
        <v>7585</v>
      </c>
      <c r="L126" s="551">
        <f>+K126*(1+G165)</f>
        <v>7679.8125</v>
      </c>
    </row>
    <row r="127" spans="1:16" x14ac:dyDescent="0.3">
      <c r="A127" s="551" t="s">
        <v>2900</v>
      </c>
      <c r="B127" s="1766">
        <f t="shared" ref="B127:K127" si="75">+B126-B128</f>
        <v>3626</v>
      </c>
      <c r="C127" s="1589">
        <f t="shared" si="75"/>
        <v>3574</v>
      </c>
      <c r="D127" s="1589">
        <f t="shared" si="75"/>
        <v>3548</v>
      </c>
      <c r="E127" s="1589">
        <f t="shared" si="75"/>
        <v>3402</v>
      </c>
      <c r="F127" s="1589">
        <f t="shared" si="75"/>
        <v>3293</v>
      </c>
      <c r="G127" s="1589">
        <f t="shared" si="75"/>
        <v>3260</v>
      </c>
      <c r="H127" s="1589">
        <f t="shared" si="75"/>
        <v>3236</v>
      </c>
      <c r="I127" s="1589">
        <f t="shared" si="75"/>
        <v>3218</v>
      </c>
      <c r="J127" s="1589">
        <f t="shared" si="75"/>
        <v>3211</v>
      </c>
      <c r="K127" s="1589">
        <f t="shared" si="75"/>
        <v>3203</v>
      </c>
      <c r="L127" s="554">
        <f>L126-L128</f>
        <v>3243.0374999999995</v>
      </c>
    </row>
    <row r="128" spans="1:16" x14ac:dyDescent="0.3">
      <c r="A128" s="551" t="s">
        <v>44</v>
      </c>
      <c r="B128" s="1765">
        <f>B84</f>
        <v>2250</v>
      </c>
      <c r="C128" s="1769">
        <f t="shared" ref="C128:K128" si="76">C84</f>
        <v>2393</v>
      </c>
      <c r="D128" s="1769">
        <f t="shared" si="76"/>
        <v>2637</v>
      </c>
      <c r="E128" s="1769">
        <f t="shared" si="76"/>
        <v>2988</v>
      </c>
      <c r="F128" s="1769">
        <f t="shared" si="76"/>
        <v>3283</v>
      </c>
      <c r="G128" s="1769">
        <f t="shared" si="76"/>
        <v>3514</v>
      </c>
      <c r="H128" s="1769">
        <f t="shared" si="76"/>
        <v>3735</v>
      </c>
      <c r="I128" s="1769">
        <f t="shared" si="76"/>
        <v>3955</v>
      </c>
      <c r="J128" s="1769">
        <f t="shared" si="76"/>
        <v>4158</v>
      </c>
      <c r="K128" s="1769">
        <f t="shared" si="76"/>
        <v>4382</v>
      </c>
      <c r="L128" s="1824">
        <f>L126*(K128/K126)</f>
        <v>4436.7750000000005</v>
      </c>
    </row>
    <row r="129" spans="1:12" x14ac:dyDescent="0.3">
      <c r="A129" s="551" t="s">
        <v>2552</v>
      </c>
      <c r="B129" s="1767">
        <v>1186.0000000000014</v>
      </c>
      <c r="C129" s="1764">
        <v>1649.0000000000007</v>
      </c>
      <c r="D129" s="1764">
        <v>933</v>
      </c>
      <c r="E129" s="1764">
        <v>1040</v>
      </c>
      <c r="F129" s="1764">
        <v>987</v>
      </c>
      <c r="G129" s="1764">
        <v>934</v>
      </c>
      <c r="H129" s="1764">
        <v>887</v>
      </c>
      <c r="I129" s="1764">
        <v>851</v>
      </c>
      <c r="J129" s="1764">
        <v>830</v>
      </c>
      <c r="K129" s="1764">
        <v>806</v>
      </c>
      <c r="L129" s="554">
        <f>L133</f>
        <v>1516.7249999999999</v>
      </c>
    </row>
    <row r="130" spans="1:12" x14ac:dyDescent="0.3">
      <c r="A130" s="551" t="s">
        <v>2901</v>
      </c>
      <c r="B130" s="1825">
        <f t="shared" ref="B130:L130" si="77">B128-B129</f>
        <v>1063.9999999999986</v>
      </c>
      <c r="C130" s="1822">
        <f t="shared" si="77"/>
        <v>743.99999999999932</v>
      </c>
      <c r="D130" s="1822">
        <f t="shared" si="77"/>
        <v>1704</v>
      </c>
      <c r="E130" s="1822">
        <f t="shared" si="77"/>
        <v>1948</v>
      </c>
      <c r="F130" s="1822">
        <f t="shared" si="77"/>
        <v>2296</v>
      </c>
      <c r="G130" s="1822">
        <f t="shared" si="77"/>
        <v>2580</v>
      </c>
      <c r="H130" s="1822">
        <f t="shared" si="77"/>
        <v>2848</v>
      </c>
      <c r="I130" s="1822">
        <f t="shared" si="77"/>
        <v>3104</v>
      </c>
      <c r="J130" s="1822">
        <f t="shared" si="77"/>
        <v>3328</v>
      </c>
      <c r="K130" s="1822">
        <f t="shared" si="77"/>
        <v>3576</v>
      </c>
      <c r="L130" s="1824">
        <f t="shared" si="77"/>
        <v>2920.0500000000006</v>
      </c>
    </row>
    <row r="131" spans="1:12" x14ac:dyDescent="0.3">
      <c r="A131" s="551" t="s">
        <v>2556</v>
      </c>
      <c r="B131" s="1766">
        <f t="shared" ref="B131:L131" si="78">IF(B130&gt;0,B130*$G$120,0)</f>
        <v>265.99999999999966</v>
      </c>
      <c r="C131" s="1589">
        <f t="shared" si="78"/>
        <v>185.99999999999983</v>
      </c>
      <c r="D131" s="1589">
        <f t="shared" si="78"/>
        <v>426</v>
      </c>
      <c r="E131" s="1589">
        <f t="shared" si="78"/>
        <v>487</v>
      </c>
      <c r="F131" s="1589">
        <f t="shared" si="78"/>
        <v>574</v>
      </c>
      <c r="G131" s="1589">
        <f t="shared" si="78"/>
        <v>645</v>
      </c>
      <c r="H131" s="1589">
        <f t="shared" si="78"/>
        <v>712</v>
      </c>
      <c r="I131" s="1589">
        <f t="shared" si="78"/>
        <v>776</v>
      </c>
      <c r="J131" s="1589">
        <f t="shared" si="78"/>
        <v>832</v>
      </c>
      <c r="K131" s="1589">
        <f t="shared" si="78"/>
        <v>894</v>
      </c>
      <c r="L131" s="553">
        <f t="shared" si="78"/>
        <v>730.01250000000016</v>
      </c>
    </row>
    <row r="132" spans="1:12" x14ac:dyDescent="0.3">
      <c r="A132" s="551" t="s">
        <v>2902</v>
      </c>
      <c r="B132" s="1768">
        <f t="shared" ref="B132:L132" si="79">B130-B131</f>
        <v>797.99999999999898</v>
      </c>
      <c r="C132" s="575">
        <f t="shared" si="79"/>
        <v>557.99999999999955</v>
      </c>
      <c r="D132" s="575">
        <f t="shared" si="79"/>
        <v>1278</v>
      </c>
      <c r="E132" s="575">
        <f t="shared" si="79"/>
        <v>1461</v>
      </c>
      <c r="F132" s="575">
        <f t="shared" si="79"/>
        <v>1722</v>
      </c>
      <c r="G132" s="575">
        <f t="shared" si="79"/>
        <v>1935</v>
      </c>
      <c r="H132" s="575">
        <f t="shared" si="79"/>
        <v>2136</v>
      </c>
      <c r="I132" s="575">
        <f t="shared" si="79"/>
        <v>2328</v>
      </c>
      <c r="J132" s="575">
        <f t="shared" si="79"/>
        <v>2496</v>
      </c>
      <c r="K132" s="575">
        <f t="shared" si="79"/>
        <v>2682</v>
      </c>
      <c r="L132" s="551">
        <f t="shared" si="79"/>
        <v>2190.0375000000004</v>
      </c>
    </row>
    <row r="133" spans="1:12" x14ac:dyDescent="0.3">
      <c r="A133" s="551" t="s">
        <v>198</v>
      </c>
      <c r="B133" s="1765">
        <f>B89</f>
        <v>3190</v>
      </c>
      <c r="C133" s="1769">
        <f t="shared" ref="C133:K133" si="80">C89</f>
        <v>3185</v>
      </c>
      <c r="D133" s="1769">
        <f t="shared" si="80"/>
        <v>3080</v>
      </c>
      <c r="E133" s="1769">
        <f t="shared" si="80"/>
        <v>1937</v>
      </c>
      <c r="F133" s="1769">
        <f t="shared" si="80"/>
        <v>1612</v>
      </c>
      <c r="G133" s="1769">
        <f t="shared" si="80"/>
        <v>1538</v>
      </c>
      <c r="H133" s="1769">
        <f t="shared" si="80"/>
        <v>1520</v>
      </c>
      <c r="I133" s="1769">
        <f t="shared" si="80"/>
        <v>1511</v>
      </c>
      <c r="J133" s="1769">
        <f t="shared" si="80"/>
        <v>1510</v>
      </c>
      <c r="K133" s="1769">
        <f t="shared" si="80"/>
        <v>1498</v>
      </c>
      <c r="L133" s="551">
        <f>L141*L126</f>
        <v>1516.7249999999999</v>
      </c>
    </row>
    <row r="134" spans="1:12" x14ac:dyDescent="0.3">
      <c r="A134" s="551" t="s">
        <v>2552</v>
      </c>
      <c r="B134" s="1768">
        <f t="shared" ref="B134:K134" si="81">B129</f>
        <v>1186.0000000000014</v>
      </c>
      <c r="C134" s="575">
        <f t="shared" si="81"/>
        <v>1649.0000000000007</v>
      </c>
      <c r="D134" s="575">
        <f t="shared" si="81"/>
        <v>933</v>
      </c>
      <c r="E134" s="575">
        <f t="shared" si="81"/>
        <v>1040</v>
      </c>
      <c r="F134" s="575">
        <f t="shared" si="81"/>
        <v>987</v>
      </c>
      <c r="G134" s="575">
        <f t="shared" si="81"/>
        <v>934</v>
      </c>
      <c r="H134" s="575">
        <f t="shared" si="81"/>
        <v>887</v>
      </c>
      <c r="I134" s="575">
        <f t="shared" si="81"/>
        <v>851</v>
      </c>
      <c r="J134" s="575">
        <f t="shared" si="81"/>
        <v>830</v>
      </c>
      <c r="K134" s="575">
        <f t="shared" si="81"/>
        <v>806</v>
      </c>
      <c r="L134" s="260">
        <f>L133</f>
        <v>1516.7249999999999</v>
      </c>
    </row>
    <row r="135" spans="1:12" ht="12.5" thickBot="1" x14ac:dyDescent="0.35">
      <c r="A135" s="551" t="s">
        <v>725</v>
      </c>
      <c r="B135" s="1763">
        <f>B91</f>
        <v>-464</v>
      </c>
      <c r="C135" s="1763">
        <f t="shared" ref="C135:K135" si="82">C91</f>
        <v>-978</v>
      </c>
      <c r="D135" s="1763">
        <f t="shared" si="82"/>
        <v>-869</v>
      </c>
      <c r="E135" s="1763">
        <f t="shared" si="82"/>
        <v>564</v>
      </c>
      <c r="F135" s="1763">
        <f t="shared" si="82"/>
        <v>1097</v>
      </c>
      <c r="G135" s="1763">
        <f t="shared" si="82"/>
        <v>1331</v>
      </c>
      <c r="H135" s="1763">
        <f t="shared" si="82"/>
        <v>1503</v>
      </c>
      <c r="I135" s="1763">
        <f t="shared" si="82"/>
        <v>1668</v>
      </c>
      <c r="J135" s="1763">
        <f t="shared" si="82"/>
        <v>1816</v>
      </c>
      <c r="K135" s="1763">
        <f t="shared" si="82"/>
        <v>1990</v>
      </c>
      <c r="L135" s="556">
        <f t="shared" ref="L135" si="83">L132-L133+L134</f>
        <v>2190.0375000000004</v>
      </c>
    </row>
    <row r="136" spans="1:12" ht="12.5" thickTop="1" x14ac:dyDescent="0.3">
      <c r="A136" s="557"/>
      <c r="B136" s="1183"/>
      <c r="C136" s="1183"/>
      <c r="D136" s="1183"/>
      <c r="E136" s="1183"/>
      <c r="F136" s="1183"/>
      <c r="G136" s="1183"/>
      <c r="H136" s="1183"/>
      <c r="I136" s="1183"/>
      <c r="J136" s="1183"/>
      <c r="K136" s="1183"/>
      <c r="L136" s="559"/>
    </row>
    <row r="137" spans="1:12" hidden="1" outlineLevel="1" x14ac:dyDescent="0.3">
      <c r="A137" s="560" t="s">
        <v>2904</v>
      </c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561"/>
    </row>
    <row r="138" spans="1:12" hidden="1" outlineLevel="1" x14ac:dyDescent="0.3">
      <c r="A138" s="551" t="s">
        <v>2905</v>
      </c>
      <c r="B138" s="562"/>
      <c r="C138" s="562">
        <f t="shared" ref="C138:K138" si="84">C126/B126-1</f>
        <v>1.5486725663716783E-2</v>
      </c>
      <c r="D138" s="562">
        <f t="shared" si="84"/>
        <v>3.653427182838942E-2</v>
      </c>
      <c r="E138" s="562">
        <f t="shared" si="84"/>
        <v>3.3144704931285407E-2</v>
      </c>
      <c r="F138" s="562">
        <f t="shared" si="84"/>
        <v>2.9107981220657386E-2</v>
      </c>
      <c r="G138" s="562">
        <f t="shared" si="84"/>
        <v>3.0109489051094895E-2</v>
      </c>
      <c r="H138" s="562">
        <f t="shared" si="84"/>
        <v>2.9081783289046426E-2</v>
      </c>
      <c r="I138" s="562">
        <f t="shared" si="84"/>
        <v>2.8977191220771692E-2</v>
      </c>
      <c r="J138" s="562">
        <f t="shared" si="84"/>
        <v>2.7324689809006042E-2</v>
      </c>
      <c r="K138" s="562">
        <f t="shared" si="84"/>
        <v>2.9311982629936173E-2</v>
      </c>
      <c r="L138" s="562">
        <f>L126/I126-1</f>
        <v>7.0655583437892133E-2</v>
      </c>
    </row>
    <row r="139" spans="1:12" hidden="1" outlineLevel="1" x14ac:dyDescent="0.3">
      <c r="A139" s="551" t="s">
        <v>673</v>
      </c>
      <c r="B139" s="562">
        <f t="shared" ref="B139:L139" si="85">B128/B126</f>
        <v>0.38291354663036081</v>
      </c>
      <c r="C139" s="562">
        <f t="shared" si="85"/>
        <v>0.40103904809787161</v>
      </c>
      <c r="D139" s="562">
        <f t="shared" si="85"/>
        <v>0.42635408245755863</v>
      </c>
      <c r="E139" s="562">
        <f t="shared" si="85"/>
        <v>0.46760563380281689</v>
      </c>
      <c r="F139" s="562">
        <f t="shared" si="85"/>
        <v>0.49923965936739662</v>
      </c>
      <c r="G139" s="562">
        <f t="shared" si="85"/>
        <v>0.51874815470918212</v>
      </c>
      <c r="H139" s="562">
        <f t="shared" si="85"/>
        <v>0.53579113470090378</v>
      </c>
      <c r="I139" s="562">
        <f t="shared" si="85"/>
        <v>0.5513732050745852</v>
      </c>
      <c r="J139" s="562">
        <f t="shared" si="85"/>
        <v>0.56425566562627227</v>
      </c>
      <c r="K139" s="562">
        <f t="shared" si="85"/>
        <v>0.57771918259723143</v>
      </c>
      <c r="L139" s="562">
        <f t="shared" si="85"/>
        <v>0.57771918259723143</v>
      </c>
    </row>
    <row r="140" spans="1:12" hidden="1" outlineLevel="1" x14ac:dyDescent="0.3">
      <c r="A140" s="551" t="s">
        <v>2906</v>
      </c>
      <c r="B140" s="562">
        <f t="shared" ref="B140:L140" si="86">+(B128-B133)/B126</f>
        <v>-0.15997277059223963</v>
      </c>
      <c r="C140" s="562">
        <f t="shared" si="86"/>
        <v>-0.13273001508295626</v>
      </c>
      <c r="D140" s="562">
        <f t="shared" si="86"/>
        <v>-7.1624898949070329E-2</v>
      </c>
      <c r="E140" s="562">
        <f t="shared" si="86"/>
        <v>0.16447574334898279</v>
      </c>
      <c r="F140" s="562">
        <f t="shared" si="86"/>
        <v>0.25410583941605841</v>
      </c>
      <c r="G140" s="562">
        <f t="shared" si="86"/>
        <v>0.29170357248302331</v>
      </c>
      <c r="H140" s="562">
        <f t="shared" si="86"/>
        <v>0.31774494333668052</v>
      </c>
      <c r="I140" s="562">
        <f t="shared" si="86"/>
        <v>0.34072215251638088</v>
      </c>
      <c r="J140" s="562">
        <f t="shared" si="86"/>
        <v>0.35934319446329216</v>
      </c>
      <c r="K140" s="562">
        <f t="shared" si="86"/>
        <v>0.38022412656558996</v>
      </c>
      <c r="L140" s="562">
        <f t="shared" si="86"/>
        <v>0.38022412656559007</v>
      </c>
    </row>
    <row r="141" spans="1:12" hidden="1" outlineLevel="1" x14ac:dyDescent="0.3">
      <c r="A141" s="551" t="s">
        <v>2907</v>
      </c>
      <c r="B141" s="562">
        <f t="shared" ref="B141:K141" si="87">B133/B126</f>
        <v>0.54288631722260039</v>
      </c>
      <c r="C141" s="562">
        <f t="shared" si="87"/>
        <v>0.53376906318082784</v>
      </c>
      <c r="D141" s="562">
        <f t="shared" si="87"/>
        <v>0.49797898140662894</v>
      </c>
      <c r="E141" s="562">
        <f t="shared" si="87"/>
        <v>0.30312989045383409</v>
      </c>
      <c r="F141" s="562">
        <f t="shared" si="87"/>
        <v>0.24513381995133821</v>
      </c>
      <c r="G141" s="562">
        <f t="shared" si="87"/>
        <v>0.22704458222615884</v>
      </c>
      <c r="H141" s="562">
        <f t="shared" si="87"/>
        <v>0.21804619136422321</v>
      </c>
      <c r="I141" s="562">
        <f t="shared" si="87"/>
        <v>0.21065105255820438</v>
      </c>
      <c r="J141" s="562">
        <f t="shared" si="87"/>
        <v>0.20491247116298006</v>
      </c>
      <c r="K141" s="562">
        <f t="shared" si="87"/>
        <v>0.19749505603164139</v>
      </c>
      <c r="L141" s="261">
        <f>K141</f>
        <v>0.19749505603164139</v>
      </c>
    </row>
    <row r="142" spans="1:12" hidden="1" outlineLevel="1" x14ac:dyDescent="0.3">
      <c r="A142" s="551" t="s">
        <v>2908</v>
      </c>
      <c r="B142" s="562">
        <f t="shared" ref="B142:L142" si="88">B129/B133</f>
        <v>0.3717868338557998</v>
      </c>
      <c r="C142" s="562">
        <f t="shared" si="88"/>
        <v>0.51773940345368941</v>
      </c>
      <c r="D142" s="562">
        <f t="shared" si="88"/>
        <v>0.30292207792207793</v>
      </c>
      <c r="E142" s="562">
        <f t="shared" si="88"/>
        <v>0.53691275167785235</v>
      </c>
      <c r="F142" s="562">
        <f t="shared" si="88"/>
        <v>0.61228287841191065</v>
      </c>
      <c r="G142" s="562">
        <f t="shared" si="88"/>
        <v>0.60728218465539663</v>
      </c>
      <c r="H142" s="562">
        <f t="shared" si="88"/>
        <v>0.58355263157894732</v>
      </c>
      <c r="I142" s="562">
        <f t="shared" si="88"/>
        <v>0.56320317670416942</v>
      </c>
      <c r="J142" s="562">
        <f t="shared" si="88"/>
        <v>0.54966887417218546</v>
      </c>
      <c r="K142" s="562">
        <f t="shared" si="88"/>
        <v>0.53805073431241657</v>
      </c>
      <c r="L142" s="562">
        <f t="shared" si="88"/>
        <v>1</v>
      </c>
    </row>
    <row r="143" spans="1:12" hidden="1" outlineLevel="1" x14ac:dyDescent="0.3">
      <c r="A143" s="551"/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563"/>
    </row>
    <row r="144" spans="1:12" hidden="1" outlineLevel="1" x14ac:dyDescent="0.3">
      <c r="A144" s="551" t="s">
        <v>2909</v>
      </c>
      <c r="B144" s="263">
        <v>0.5</v>
      </c>
      <c r="C144" s="564">
        <f t="shared" ref="C144" si="89">+B144+1</f>
        <v>1.5</v>
      </c>
      <c r="D144" s="564">
        <f t="shared" ref="D144" si="90">+C144+1</f>
        <v>2.5</v>
      </c>
      <c r="E144" s="564">
        <f t="shared" ref="E144" si="91">+D144+1</f>
        <v>3.5</v>
      </c>
      <c r="F144" s="564">
        <f t="shared" ref="F144" si="92">+E144+1</f>
        <v>4.5</v>
      </c>
      <c r="G144" s="564">
        <f t="shared" ref="G144" si="93">+F144+1</f>
        <v>5.5</v>
      </c>
      <c r="H144" s="564">
        <f t="shared" ref="H144" si="94">+G144+1</f>
        <v>6.5</v>
      </c>
      <c r="I144" s="564">
        <f t="shared" ref="I144" si="95">+H144+1</f>
        <v>7.5</v>
      </c>
      <c r="J144" s="564">
        <f t="shared" ref="J144" si="96">+I144+1</f>
        <v>8.5</v>
      </c>
      <c r="K144" s="564">
        <f t="shared" ref="K144" si="97">+J144+1</f>
        <v>9.5</v>
      </c>
      <c r="L144" s="564">
        <f t="shared" ref="L144" si="98">+K144+1</f>
        <v>10.5</v>
      </c>
    </row>
    <row r="145" spans="1:15" hidden="1" outlineLevel="1" x14ac:dyDescent="0.3">
      <c r="A145" s="551" t="s">
        <v>725</v>
      </c>
      <c r="B145" s="551">
        <f t="shared" ref="B145:K145" si="99">+B135</f>
        <v>-464</v>
      </c>
      <c r="C145" s="551">
        <f t="shared" si="99"/>
        <v>-978</v>
      </c>
      <c r="D145" s="551">
        <f t="shared" si="99"/>
        <v>-869</v>
      </c>
      <c r="E145" s="551">
        <f t="shared" si="99"/>
        <v>564</v>
      </c>
      <c r="F145" s="551">
        <f t="shared" si="99"/>
        <v>1097</v>
      </c>
      <c r="G145" s="551">
        <f t="shared" si="99"/>
        <v>1331</v>
      </c>
      <c r="H145" s="551">
        <f t="shared" si="99"/>
        <v>1503</v>
      </c>
      <c r="I145" s="551">
        <f t="shared" si="99"/>
        <v>1668</v>
      </c>
      <c r="J145" s="551">
        <f t="shared" si="99"/>
        <v>1816</v>
      </c>
      <c r="K145" s="551">
        <f t="shared" si="99"/>
        <v>1990</v>
      </c>
      <c r="L145" s="563"/>
    </row>
    <row r="146" spans="1:15" hidden="1" outlineLevel="1" x14ac:dyDescent="0.3">
      <c r="A146" s="551" t="s">
        <v>165</v>
      </c>
      <c r="B146" s="565">
        <f>+(1+$G$161)^B144</f>
        <v>1.0428326807307104</v>
      </c>
      <c r="C146" s="565">
        <f t="shared" ref="C146:L146" si="100">+(1+$G$161)^C144</f>
        <v>1.1340805402946474</v>
      </c>
      <c r="D146" s="565">
        <f t="shared" si="100"/>
        <v>1.2333125875704292</v>
      </c>
      <c r="E146" s="565">
        <f t="shared" si="100"/>
        <v>1.3412274389828416</v>
      </c>
      <c r="F146" s="565">
        <f t="shared" si="100"/>
        <v>1.4585848398938401</v>
      </c>
      <c r="G146" s="565">
        <f t="shared" si="100"/>
        <v>1.5862110133845508</v>
      </c>
      <c r="H146" s="565">
        <f t="shared" si="100"/>
        <v>1.7250044770556989</v>
      </c>
      <c r="I146" s="565">
        <f t="shared" si="100"/>
        <v>1.8759423687980725</v>
      </c>
      <c r="J146" s="565">
        <f t="shared" si="100"/>
        <v>2.0400873260679036</v>
      </c>
      <c r="K146" s="565">
        <f t="shared" si="100"/>
        <v>2.2185949670988454</v>
      </c>
      <c r="L146" s="565">
        <f t="shared" si="100"/>
        <v>2.4127220267199938</v>
      </c>
    </row>
    <row r="147" spans="1:15" hidden="1" outlineLevel="1" x14ac:dyDescent="0.3">
      <c r="A147" s="551" t="s">
        <v>2910</v>
      </c>
      <c r="B147" s="1824">
        <f t="shared" ref="B147:K147" si="101">B145/B146</f>
        <v>-444.9419437784365</v>
      </c>
      <c r="C147" s="1824">
        <f t="shared" si="101"/>
        <v>-862.37261398198768</v>
      </c>
      <c r="D147" s="1824">
        <f t="shared" si="101"/>
        <v>-704.60644670131137</v>
      </c>
      <c r="E147" s="1824">
        <f t="shared" si="101"/>
        <v>420.51033524017794</v>
      </c>
      <c r="F147" s="1824">
        <f t="shared" si="101"/>
        <v>752.0988632240568</v>
      </c>
      <c r="G147" s="1824">
        <f t="shared" si="101"/>
        <v>839.10651783964181</v>
      </c>
      <c r="H147" s="1824">
        <f t="shared" si="101"/>
        <v>871.30208645334972</v>
      </c>
      <c r="I147" s="1824">
        <f t="shared" si="101"/>
        <v>889.15311458565623</v>
      </c>
      <c r="J147" s="1824">
        <f t="shared" si="101"/>
        <v>890.15797353154824</v>
      </c>
      <c r="K147" s="1824">
        <f t="shared" si="101"/>
        <v>896.96408290433988</v>
      </c>
    </row>
    <row r="148" spans="1:15" collapsed="1" x14ac:dyDescent="0.3">
      <c r="A148" s="551"/>
      <c r="B148" s="551"/>
      <c r="C148" s="551"/>
      <c r="D148" s="563"/>
      <c r="E148" s="566"/>
      <c r="F148" s="563"/>
      <c r="G148" s="144"/>
      <c r="H148" s="563"/>
      <c r="I148" s="563"/>
      <c r="J148" s="563"/>
      <c r="K148" s="563"/>
      <c r="L148" s="563"/>
      <c r="M148" s="239"/>
      <c r="N148" s="239"/>
      <c r="O148" s="239"/>
    </row>
    <row r="149" spans="1:15" x14ac:dyDescent="0.3">
      <c r="A149" s="567" t="s">
        <v>2911</v>
      </c>
      <c r="B149" s="551">
        <f>IF(L135&gt;0,L135,0)</f>
        <v>2190.0375000000004</v>
      </c>
      <c r="C149" s="551"/>
      <c r="D149" s="560"/>
      <c r="E149" s="551"/>
      <c r="F149" s="551"/>
      <c r="G149" s="551"/>
      <c r="H149" s="551"/>
      <c r="I149" s="551"/>
      <c r="J149" s="551"/>
      <c r="K149" s="551"/>
      <c r="L149" s="551"/>
      <c r="M149" s="264"/>
      <c r="N149" s="264"/>
      <c r="O149" s="264"/>
    </row>
    <row r="150" spans="1:15" x14ac:dyDescent="0.3">
      <c r="A150" s="568" t="s">
        <v>2913</v>
      </c>
      <c r="B150" s="1773">
        <f>G161-G165</f>
        <v>7.4999999999999997E-2</v>
      </c>
      <c r="C150" s="551"/>
      <c r="D150" s="570"/>
      <c r="E150" s="574"/>
      <c r="F150" s="574"/>
      <c r="G150" s="574"/>
      <c r="H150" s="570"/>
      <c r="I150" s="574"/>
      <c r="J150" s="574"/>
      <c r="K150" s="574"/>
      <c r="L150" s="570"/>
      <c r="M150" s="264"/>
      <c r="N150" s="264"/>
      <c r="O150" s="262"/>
    </row>
    <row r="151" spans="1:15" x14ac:dyDescent="0.3">
      <c r="A151" s="571" t="s">
        <v>254</v>
      </c>
      <c r="B151" s="572">
        <f>B149/B150</f>
        <v>29200.500000000007</v>
      </c>
      <c r="C151" s="551"/>
      <c r="D151" s="563"/>
      <c r="E151" s="563"/>
      <c r="F151" s="563"/>
      <c r="G151" s="563"/>
      <c r="H151" s="563"/>
      <c r="I151" s="563"/>
      <c r="J151" s="563"/>
      <c r="K151" s="563"/>
      <c r="L151" s="563"/>
      <c r="M151" s="262"/>
      <c r="N151" s="262"/>
      <c r="O151" s="262"/>
    </row>
    <row r="152" spans="1:15" x14ac:dyDescent="0.3">
      <c r="A152" s="568" t="s">
        <v>255</v>
      </c>
      <c r="B152" s="573">
        <f>L146</f>
        <v>2.4127220267199938</v>
      </c>
      <c r="C152" s="551"/>
      <c r="D152" s="563"/>
      <c r="E152" s="563"/>
      <c r="F152" s="563"/>
      <c r="G152" s="563"/>
      <c r="H152" s="563"/>
      <c r="I152" s="563"/>
      <c r="J152" s="563"/>
      <c r="K152" s="563"/>
      <c r="L152" s="563"/>
      <c r="M152" s="262"/>
      <c r="N152" s="262"/>
      <c r="O152" s="262"/>
    </row>
    <row r="153" spans="1:15" x14ac:dyDescent="0.3">
      <c r="A153" s="571" t="s">
        <v>256</v>
      </c>
      <c r="B153" s="572">
        <f>B151/B152</f>
        <v>12102.720361738897</v>
      </c>
      <c r="C153" s="551"/>
      <c r="D153" s="563"/>
      <c r="E153" s="563"/>
      <c r="F153" s="563"/>
      <c r="G153" s="563"/>
      <c r="H153" s="563"/>
      <c r="I153" s="563"/>
      <c r="J153" s="563"/>
      <c r="K153" s="563"/>
      <c r="L153" s="563"/>
      <c r="M153" s="262"/>
      <c r="N153" s="262"/>
      <c r="O153" s="262"/>
    </row>
    <row r="154" spans="1:15" x14ac:dyDescent="0.3">
      <c r="A154" s="568" t="s">
        <v>257</v>
      </c>
      <c r="B154" s="551">
        <f>SUM(B147:K147)</f>
        <v>3547.3719693170351</v>
      </c>
      <c r="C154" s="551"/>
      <c r="D154" s="1255"/>
      <c r="E154" s="563"/>
      <c r="F154" s="563"/>
      <c r="G154" s="563"/>
      <c r="H154" s="1255"/>
      <c r="I154" s="563"/>
      <c r="J154" s="563"/>
      <c r="K154" s="563"/>
      <c r="L154" s="563"/>
      <c r="M154" s="262"/>
      <c r="N154" s="262"/>
      <c r="O154" s="262"/>
    </row>
    <row r="155" spans="1:15" x14ac:dyDescent="0.3">
      <c r="A155" s="568" t="s">
        <v>2919</v>
      </c>
      <c r="B155" s="1764">
        <v>1425</v>
      </c>
      <c r="C155" s="565"/>
      <c r="D155" s="578"/>
      <c r="E155" s="574"/>
      <c r="F155" s="574"/>
      <c r="G155" s="574"/>
      <c r="H155" s="578"/>
      <c r="I155" s="574"/>
      <c r="J155" s="574"/>
      <c r="K155" s="574"/>
      <c r="L155" s="574"/>
      <c r="M155" s="266"/>
      <c r="N155" s="266"/>
      <c r="O155" s="262"/>
    </row>
    <row r="156" spans="1:15" x14ac:dyDescent="0.3">
      <c r="A156" s="571" t="s">
        <v>2921</v>
      </c>
      <c r="B156" s="1826">
        <f>+B153+B154+B155</f>
        <v>17075.09233105593</v>
      </c>
      <c r="C156" s="551"/>
      <c r="D156" s="563"/>
      <c r="E156" s="563"/>
      <c r="F156" s="563"/>
      <c r="G156" s="563"/>
      <c r="H156" s="563"/>
      <c r="I156" s="563"/>
      <c r="J156" s="563"/>
      <c r="K156" s="563"/>
      <c r="L156" s="563"/>
      <c r="M156" s="262"/>
      <c r="N156" s="262"/>
      <c r="O156" s="262"/>
    </row>
    <row r="157" spans="1:15" x14ac:dyDescent="0.3">
      <c r="A157" s="568" t="s">
        <v>1267</v>
      </c>
      <c r="B157" s="259">
        <f>B113</f>
        <v>10027</v>
      </c>
      <c r="C157" s="144"/>
      <c r="D157" s="563"/>
      <c r="E157" s="563"/>
      <c r="F157" s="563"/>
      <c r="G157" s="563"/>
      <c r="H157" s="563"/>
      <c r="I157" s="563"/>
      <c r="J157" s="563"/>
      <c r="K157" s="563"/>
      <c r="L157" s="563"/>
      <c r="M157" s="262"/>
      <c r="N157" s="262"/>
      <c r="O157" s="262"/>
    </row>
    <row r="158" spans="1:15" x14ac:dyDescent="0.3">
      <c r="A158" s="568" t="s">
        <v>3208</v>
      </c>
      <c r="B158" s="259">
        <f>B114</f>
        <v>209</v>
      </c>
      <c r="C158" s="144"/>
      <c r="D158" s="563"/>
      <c r="E158" s="563"/>
      <c r="F158" s="563"/>
      <c r="G158" s="563"/>
      <c r="H158" s="563"/>
      <c r="I158" s="563"/>
      <c r="J158" s="563"/>
      <c r="K158" s="563"/>
      <c r="L158" s="563"/>
      <c r="M158" s="262"/>
      <c r="N158" s="262"/>
      <c r="O158" s="262"/>
    </row>
    <row r="159" spans="1:15" x14ac:dyDescent="0.3">
      <c r="A159" s="568" t="s">
        <v>2924</v>
      </c>
      <c r="B159" s="551">
        <v>0</v>
      </c>
      <c r="C159" s="551"/>
      <c r="D159" s="563"/>
      <c r="E159" s="563"/>
      <c r="F159" s="563"/>
      <c r="G159" s="563"/>
      <c r="H159" s="563"/>
      <c r="I159" s="563"/>
      <c r="J159" s="563"/>
      <c r="K159" s="563"/>
      <c r="L159" s="563"/>
      <c r="M159" s="262"/>
      <c r="N159" s="262"/>
      <c r="O159" s="262"/>
    </row>
    <row r="160" spans="1:15" ht="12.5" thickBot="1" x14ac:dyDescent="0.35">
      <c r="A160" s="571" t="s">
        <v>2926</v>
      </c>
      <c r="B160" s="1826">
        <f>B156-B157+B159-B158</f>
        <v>6839.0923310559301</v>
      </c>
      <c r="C160" s="570"/>
      <c r="D160" s="563"/>
      <c r="E160" s="563"/>
      <c r="F160" s="563"/>
      <c r="G160" s="563"/>
      <c r="H160" s="563"/>
      <c r="I160" s="563"/>
      <c r="J160" s="563"/>
      <c r="K160" s="563"/>
      <c r="L160" s="563"/>
      <c r="M160" s="266"/>
      <c r="N160" s="266"/>
      <c r="O160" s="266"/>
    </row>
    <row r="161" spans="1:15" ht="12.5" thickBot="1" x14ac:dyDescent="0.35">
      <c r="A161" s="568" t="s">
        <v>259</v>
      </c>
      <c r="B161" s="551">
        <f>B117</f>
        <v>249.53199999999998</v>
      </c>
      <c r="C161" s="570"/>
      <c r="D161" s="551" t="s">
        <v>2929</v>
      </c>
      <c r="E161" s="144"/>
      <c r="F161" s="551"/>
      <c r="G161" s="1770">
        <v>8.7499999999999994E-2</v>
      </c>
      <c r="H161" s="144"/>
      <c r="I161" s="563"/>
      <c r="J161" s="563"/>
      <c r="K161" s="563"/>
      <c r="L161" s="563"/>
      <c r="M161" s="262"/>
      <c r="N161" s="262"/>
      <c r="O161" s="262"/>
    </row>
    <row r="162" spans="1:15" ht="12.5" thickBot="1" x14ac:dyDescent="0.35">
      <c r="A162" s="568" t="s">
        <v>873</v>
      </c>
      <c r="B162" s="579">
        <f>B160/B161</f>
        <v>27.407676494621654</v>
      </c>
      <c r="C162" s="570"/>
      <c r="D162" s="551"/>
      <c r="E162" s="144"/>
      <c r="F162" s="551"/>
      <c r="G162" s="551"/>
      <c r="H162" s="563"/>
      <c r="I162" s="563"/>
      <c r="J162" s="563"/>
      <c r="K162" s="563"/>
      <c r="L162" s="563"/>
      <c r="M162" s="262"/>
      <c r="N162" s="262"/>
      <c r="O162" s="262"/>
    </row>
    <row r="163" spans="1:15" ht="13" thickTop="1" thickBot="1" x14ac:dyDescent="0.35">
      <c r="A163" s="557" t="s">
        <v>2930</v>
      </c>
      <c r="B163" s="581">
        <f>+B162/Valuation!$B$6-1</f>
        <v>-0.2339945082554038</v>
      </c>
      <c r="C163" s="551"/>
      <c r="D163" s="560"/>
      <c r="E163" s="144"/>
      <c r="F163" s="563"/>
      <c r="G163" s="551"/>
      <c r="H163" s="563"/>
      <c r="I163" s="574"/>
      <c r="J163" s="574"/>
      <c r="K163" s="574"/>
      <c r="L163" s="574"/>
      <c r="M163" s="262"/>
      <c r="N163" s="262"/>
      <c r="O163" s="262"/>
    </row>
    <row r="164" spans="1:15" x14ac:dyDescent="0.3">
      <c r="A164" s="557" t="s">
        <v>2931</v>
      </c>
      <c r="B164" s="558">
        <f>+(SUM(B157:B157)-B159)/L128</f>
        <v>2.2599748691335484</v>
      </c>
      <c r="C164" s="551"/>
      <c r="D164" s="551" t="s">
        <v>124</v>
      </c>
      <c r="E164" s="144"/>
      <c r="F164" s="563"/>
      <c r="G164" s="1771">
        <v>0.25</v>
      </c>
      <c r="H164" s="563"/>
      <c r="I164" s="574"/>
      <c r="J164" s="574"/>
      <c r="K164" s="574"/>
      <c r="L164" s="574"/>
      <c r="M164" s="262"/>
      <c r="N164" s="262"/>
      <c r="O164" s="262"/>
    </row>
    <row r="165" spans="1:15" ht="12.5" thickBot="1" x14ac:dyDescent="0.35">
      <c r="A165" s="557" t="s">
        <v>2933</v>
      </c>
      <c r="B165" s="558">
        <f>B151/L128</f>
        <v>6.581469648562301</v>
      </c>
      <c r="C165" s="570"/>
      <c r="D165" s="551" t="s">
        <v>2934</v>
      </c>
      <c r="E165" s="144"/>
      <c r="F165" s="563"/>
      <c r="G165" s="1772">
        <v>1.2500000000000001E-2</v>
      </c>
      <c r="H165" s="563"/>
      <c r="I165" s="1183"/>
      <c r="J165" s="1183"/>
      <c r="K165" s="1183"/>
      <c r="L165" s="1183"/>
      <c r="M165" s="262"/>
      <c r="N165" s="262"/>
      <c r="O165" s="262"/>
    </row>
    <row r="166" spans="1:15" x14ac:dyDescent="0.3">
      <c r="A166" s="494"/>
      <c r="B166" s="553"/>
      <c r="C166" s="494"/>
      <c r="D166" s="494"/>
      <c r="E166" s="494"/>
      <c r="F166" s="494"/>
      <c r="G166" s="587"/>
      <c r="H166" s="587"/>
      <c r="I166" s="587"/>
      <c r="J166" s="587"/>
      <c r="K166" s="587"/>
      <c r="L166" s="587"/>
      <c r="M166" s="1220"/>
      <c r="N166" s="1220"/>
      <c r="O166" s="1220"/>
    </row>
    <row r="168" spans="1:15" x14ac:dyDescent="0.3">
      <c r="A168" s="588" t="s">
        <v>3210</v>
      </c>
      <c r="B168" s="589"/>
      <c r="C168" s="589"/>
      <c r="D168" s="589"/>
      <c r="E168" s="589"/>
      <c r="F168" s="589"/>
      <c r="G168" s="1184"/>
      <c r="H168" s="1184"/>
      <c r="I168" s="589"/>
      <c r="J168" s="589"/>
      <c r="K168" s="589"/>
      <c r="L168" s="589"/>
      <c r="M168" s="201"/>
      <c r="N168" s="201"/>
      <c r="O168" s="201"/>
    </row>
    <row r="169" spans="1:15" x14ac:dyDescent="0.3">
      <c r="A169" s="653"/>
      <c r="B169" s="654">
        <v>2024</v>
      </c>
      <c r="C169" s="654">
        <f t="shared" ref="C169" si="102">B169+1</f>
        <v>2025</v>
      </c>
      <c r="D169" s="654">
        <f t="shared" ref="D169" si="103">C169+1</f>
        <v>2026</v>
      </c>
      <c r="E169" s="654">
        <f t="shared" ref="E169" si="104">D169+1</f>
        <v>2027</v>
      </c>
      <c r="F169" s="654">
        <f t="shared" ref="F169" si="105">E169+1</f>
        <v>2028</v>
      </c>
      <c r="G169" s="654">
        <f t="shared" ref="G169" si="106">F169+1</f>
        <v>2029</v>
      </c>
      <c r="H169" s="654">
        <f t="shared" ref="H169" si="107">G169+1</f>
        <v>2030</v>
      </c>
      <c r="I169" s="654">
        <f t="shared" ref="I169" si="108">H169+1</f>
        <v>2031</v>
      </c>
      <c r="J169" s="654">
        <f t="shared" ref="J169" si="109">I169+1</f>
        <v>2032</v>
      </c>
      <c r="K169" s="654">
        <f t="shared" ref="K169" si="110">J169+1</f>
        <v>2033</v>
      </c>
      <c r="L169" s="654" t="s">
        <v>245</v>
      </c>
    </row>
    <row r="170" spans="1:15" x14ac:dyDescent="0.3">
      <c r="A170" s="551" t="s">
        <v>284</v>
      </c>
      <c r="B170" s="1765">
        <f>B126</f>
        <v>5876</v>
      </c>
      <c r="C170" s="1769">
        <f t="shared" ref="C170:K170" si="111">C126</f>
        <v>5967</v>
      </c>
      <c r="D170" s="1769">
        <f t="shared" si="111"/>
        <v>6185</v>
      </c>
      <c r="E170" s="1769">
        <f t="shared" si="111"/>
        <v>6390</v>
      </c>
      <c r="F170" s="1769">
        <f t="shared" si="111"/>
        <v>6576</v>
      </c>
      <c r="G170" s="1769">
        <f t="shared" si="111"/>
        <v>6774</v>
      </c>
      <c r="H170" s="1769">
        <f t="shared" si="111"/>
        <v>6971</v>
      </c>
      <c r="I170" s="1769">
        <f t="shared" si="111"/>
        <v>7173</v>
      </c>
      <c r="J170" s="1769">
        <f t="shared" si="111"/>
        <v>7369</v>
      </c>
      <c r="K170" s="1769">
        <f t="shared" si="111"/>
        <v>7585</v>
      </c>
      <c r="L170" s="551">
        <f>+K170*(1+G209)</f>
        <v>7679.8125</v>
      </c>
    </row>
    <row r="171" spans="1:15" x14ac:dyDescent="0.3">
      <c r="A171" s="551" t="s">
        <v>2900</v>
      </c>
      <c r="B171" s="1766">
        <f t="shared" ref="B171:K171" si="112">+B170-B172</f>
        <v>3626</v>
      </c>
      <c r="C171" s="1589">
        <f t="shared" si="112"/>
        <v>3574</v>
      </c>
      <c r="D171" s="1589">
        <f t="shared" si="112"/>
        <v>3548</v>
      </c>
      <c r="E171" s="1589">
        <f t="shared" si="112"/>
        <v>3402</v>
      </c>
      <c r="F171" s="1589">
        <f t="shared" si="112"/>
        <v>3293</v>
      </c>
      <c r="G171" s="1589">
        <f t="shared" si="112"/>
        <v>3260</v>
      </c>
      <c r="H171" s="1589">
        <f t="shared" si="112"/>
        <v>3236</v>
      </c>
      <c r="I171" s="1589">
        <f t="shared" si="112"/>
        <v>3218</v>
      </c>
      <c r="J171" s="1589">
        <f t="shared" si="112"/>
        <v>3211</v>
      </c>
      <c r="K171" s="1589">
        <f t="shared" si="112"/>
        <v>3203</v>
      </c>
      <c r="L171" s="554">
        <f>L170-L172</f>
        <v>3243.0374999999995</v>
      </c>
    </row>
    <row r="172" spans="1:15" x14ac:dyDescent="0.3">
      <c r="A172" s="551" t="s">
        <v>44</v>
      </c>
      <c r="B172" s="1765">
        <f>B128</f>
        <v>2250</v>
      </c>
      <c r="C172" s="1769">
        <f t="shared" ref="C172:K172" si="113">C128</f>
        <v>2393</v>
      </c>
      <c r="D172" s="1769">
        <f t="shared" si="113"/>
        <v>2637</v>
      </c>
      <c r="E172" s="1769">
        <f t="shared" si="113"/>
        <v>2988</v>
      </c>
      <c r="F172" s="1769">
        <f t="shared" si="113"/>
        <v>3283</v>
      </c>
      <c r="G172" s="1769">
        <f t="shared" si="113"/>
        <v>3514</v>
      </c>
      <c r="H172" s="1769">
        <f t="shared" si="113"/>
        <v>3735</v>
      </c>
      <c r="I172" s="1769">
        <f t="shared" si="113"/>
        <v>3955</v>
      </c>
      <c r="J172" s="1769">
        <f t="shared" si="113"/>
        <v>4158</v>
      </c>
      <c r="K172" s="1769">
        <f t="shared" si="113"/>
        <v>4382</v>
      </c>
      <c r="L172" s="1824">
        <f>L170*(K172/K170)</f>
        <v>4436.7750000000005</v>
      </c>
    </row>
    <row r="173" spans="1:15" x14ac:dyDescent="0.3">
      <c r="A173" s="551" t="s">
        <v>2552</v>
      </c>
      <c r="B173" s="1767">
        <v>1186.0000000000014</v>
      </c>
      <c r="C173" s="1764">
        <v>1649.0000000000007</v>
      </c>
      <c r="D173" s="1764">
        <v>933</v>
      </c>
      <c r="E173" s="1764">
        <v>1040</v>
      </c>
      <c r="F173" s="1764">
        <v>987</v>
      </c>
      <c r="G173" s="1764">
        <v>934</v>
      </c>
      <c r="H173" s="1764">
        <v>887</v>
      </c>
      <c r="I173" s="1764">
        <v>851</v>
      </c>
      <c r="J173" s="1764">
        <v>830</v>
      </c>
      <c r="K173" s="1764">
        <v>806</v>
      </c>
      <c r="L173" s="554">
        <f>L177</f>
        <v>1516.7249999999999</v>
      </c>
    </row>
    <row r="174" spans="1:15" x14ac:dyDescent="0.3">
      <c r="A174" s="551" t="s">
        <v>2901</v>
      </c>
      <c r="B174" s="1825">
        <f t="shared" ref="B174:L174" si="114">B172-B173</f>
        <v>1063.9999999999986</v>
      </c>
      <c r="C174" s="1822">
        <f t="shared" si="114"/>
        <v>743.99999999999932</v>
      </c>
      <c r="D174" s="1822">
        <f t="shared" si="114"/>
        <v>1704</v>
      </c>
      <c r="E174" s="1822">
        <f t="shared" si="114"/>
        <v>1948</v>
      </c>
      <c r="F174" s="1822">
        <f t="shared" si="114"/>
        <v>2296</v>
      </c>
      <c r="G174" s="1822">
        <f t="shared" si="114"/>
        <v>2580</v>
      </c>
      <c r="H174" s="1822">
        <f t="shared" si="114"/>
        <v>2848</v>
      </c>
      <c r="I174" s="1822">
        <f t="shared" si="114"/>
        <v>3104</v>
      </c>
      <c r="J174" s="1822">
        <f t="shared" si="114"/>
        <v>3328</v>
      </c>
      <c r="K174" s="1822">
        <f t="shared" si="114"/>
        <v>3576</v>
      </c>
      <c r="L174" s="1824">
        <f t="shared" si="114"/>
        <v>2920.0500000000006</v>
      </c>
    </row>
    <row r="175" spans="1:15" x14ac:dyDescent="0.3">
      <c r="A175" s="551" t="s">
        <v>2556</v>
      </c>
      <c r="B175" s="1766">
        <f t="shared" ref="B175:L175" si="115">IF(B174&gt;0,B174*$G$120,0)</f>
        <v>265.99999999999966</v>
      </c>
      <c r="C175" s="1589">
        <f t="shared" si="115"/>
        <v>185.99999999999983</v>
      </c>
      <c r="D175" s="1589">
        <f t="shared" si="115"/>
        <v>426</v>
      </c>
      <c r="E175" s="1589">
        <f t="shared" si="115"/>
        <v>487</v>
      </c>
      <c r="F175" s="1589">
        <f t="shared" si="115"/>
        <v>574</v>
      </c>
      <c r="G175" s="1589">
        <f t="shared" si="115"/>
        <v>645</v>
      </c>
      <c r="H175" s="1589">
        <f t="shared" si="115"/>
        <v>712</v>
      </c>
      <c r="I175" s="1589">
        <f t="shared" si="115"/>
        <v>776</v>
      </c>
      <c r="J175" s="1589">
        <f t="shared" si="115"/>
        <v>832</v>
      </c>
      <c r="K175" s="1589">
        <f t="shared" si="115"/>
        <v>894</v>
      </c>
      <c r="L175" s="553">
        <f t="shared" si="115"/>
        <v>730.01250000000016</v>
      </c>
    </row>
    <row r="176" spans="1:15" x14ac:dyDescent="0.3">
      <c r="A176" s="551" t="s">
        <v>2902</v>
      </c>
      <c r="B176" s="1768">
        <f t="shared" ref="B176:L176" si="116">B174-B175</f>
        <v>797.99999999999898</v>
      </c>
      <c r="C176" s="575">
        <f t="shared" si="116"/>
        <v>557.99999999999955</v>
      </c>
      <c r="D176" s="575">
        <f t="shared" si="116"/>
        <v>1278</v>
      </c>
      <c r="E176" s="575">
        <f t="shared" si="116"/>
        <v>1461</v>
      </c>
      <c r="F176" s="575">
        <f t="shared" si="116"/>
        <v>1722</v>
      </c>
      <c r="G176" s="575">
        <f t="shared" si="116"/>
        <v>1935</v>
      </c>
      <c r="H176" s="575">
        <f t="shared" si="116"/>
        <v>2136</v>
      </c>
      <c r="I176" s="575">
        <f t="shared" si="116"/>
        <v>2328</v>
      </c>
      <c r="J176" s="575">
        <f t="shared" si="116"/>
        <v>2496</v>
      </c>
      <c r="K176" s="575">
        <f t="shared" si="116"/>
        <v>2682</v>
      </c>
      <c r="L176" s="551">
        <f t="shared" si="116"/>
        <v>2190.0375000000004</v>
      </c>
    </row>
    <row r="177" spans="1:15" x14ac:dyDescent="0.3">
      <c r="A177" s="551" t="s">
        <v>198</v>
      </c>
      <c r="B177" s="1765">
        <f>B133</f>
        <v>3190</v>
      </c>
      <c r="C177" s="1769">
        <f t="shared" ref="C177:K177" si="117">C133</f>
        <v>3185</v>
      </c>
      <c r="D177" s="1769">
        <f t="shared" si="117"/>
        <v>3080</v>
      </c>
      <c r="E177" s="1769">
        <f t="shared" si="117"/>
        <v>1937</v>
      </c>
      <c r="F177" s="1769">
        <f t="shared" si="117"/>
        <v>1612</v>
      </c>
      <c r="G177" s="1769">
        <f t="shared" si="117"/>
        <v>1538</v>
      </c>
      <c r="H177" s="1769">
        <f t="shared" si="117"/>
        <v>1520</v>
      </c>
      <c r="I177" s="1769">
        <f t="shared" si="117"/>
        <v>1511</v>
      </c>
      <c r="J177" s="1769">
        <f t="shared" si="117"/>
        <v>1510</v>
      </c>
      <c r="K177" s="1769">
        <f t="shared" si="117"/>
        <v>1498</v>
      </c>
      <c r="L177" s="551">
        <f>L185*L170</f>
        <v>1516.7249999999999</v>
      </c>
    </row>
    <row r="178" spans="1:15" x14ac:dyDescent="0.3">
      <c r="A178" s="551" t="s">
        <v>2552</v>
      </c>
      <c r="B178" s="1768">
        <f t="shared" ref="B178:K178" si="118">B173</f>
        <v>1186.0000000000014</v>
      </c>
      <c r="C178" s="575">
        <f t="shared" si="118"/>
        <v>1649.0000000000007</v>
      </c>
      <c r="D178" s="575">
        <f t="shared" si="118"/>
        <v>933</v>
      </c>
      <c r="E178" s="575">
        <f t="shared" si="118"/>
        <v>1040</v>
      </c>
      <c r="F178" s="575">
        <f t="shared" si="118"/>
        <v>987</v>
      </c>
      <c r="G178" s="575">
        <f t="shared" si="118"/>
        <v>934</v>
      </c>
      <c r="H178" s="575">
        <f t="shared" si="118"/>
        <v>887</v>
      </c>
      <c r="I178" s="575">
        <f t="shared" si="118"/>
        <v>851</v>
      </c>
      <c r="J178" s="575">
        <f t="shared" si="118"/>
        <v>830</v>
      </c>
      <c r="K178" s="575">
        <f t="shared" si="118"/>
        <v>806</v>
      </c>
      <c r="L178" s="260">
        <f>L177</f>
        <v>1516.7249999999999</v>
      </c>
    </row>
    <row r="179" spans="1:15" ht="12.5" thickBot="1" x14ac:dyDescent="0.35">
      <c r="A179" s="551" t="s">
        <v>725</v>
      </c>
      <c r="B179" s="1763">
        <f>B135</f>
        <v>-464</v>
      </c>
      <c r="C179" s="1763">
        <f t="shared" ref="C179:K179" si="119">C135</f>
        <v>-978</v>
      </c>
      <c r="D179" s="1763">
        <f t="shared" si="119"/>
        <v>-869</v>
      </c>
      <c r="E179" s="1763">
        <f t="shared" si="119"/>
        <v>564</v>
      </c>
      <c r="F179" s="1763">
        <f t="shared" si="119"/>
        <v>1097</v>
      </c>
      <c r="G179" s="1763">
        <f t="shared" si="119"/>
        <v>1331</v>
      </c>
      <c r="H179" s="1763">
        <f t="shared" si="119"/>
        <v>1503</v>
      </c>
      <c r="I179" s="1763">
        <f t="shared" si="119"/>
        <v>1668</v>
      </c>
      <c r="J179" s="1763">
        <f t="shared" si="119"/>
        <v>1816</v>
      </c>
      <c r="K179" s="1763">
        <f t="shared" si="119"/>
        <v>1990</v>
      </c>
      <c r="L179" s="556">
        <f t="shared" ref="L179" si="120">L176-L177+L178</f>
        <v>2190.0375000000004</v>
      </c>
    </row>
    <row r="180" spans="1:15" ht="12.5" thickTop="1" x14ac:dyDescent="0.3">
      <c r="A180" s="557"/>
      <c r="B180" s="1183"/>
      <c r="C180" s="1183"/>
      <c r="D180" s="1183"/>
      <c r="E180" s="1183"/>
      <c r="F180" s="1183"/>
      <c r="G180" s="1183"/>
      <c r="H180" s="1183"/>
      <c r="I180" s="1183"/>
      <c r="J180" s="1183"/>
      <c r="K180" s="1183"/>
      <c r="L180" s="559"/>
    </row>
    <row r="181" spans="1:15" hidden="1" outlineLevel="1" x14ac:dyDescent="0.3">
      <c r="A181" s="560" t="s">
        <v>2904</v>
      </c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561"/>
    </row>
    <row r="182" spans="1:15" hidden="1" outlineLevel="1" x14ac:dyDescent="0.3">
      <c r="A182" s="551" t="s">
        <v>2905</v>
      </c>
      <c r="B182" s="562"/>
      <c r="C182" s="562">
        <f t="shared" ref="C182:K182" si="121">C170/B170-1</f>
        <v>1.5486725663716783E-2</v>
      </c>
      <c r="D182" s="562">
        <f t="shared" si="121"/>
        <v>3.653427182838942E-2</v>
      </c>
      <c r="E182" s="562">
        <f t="shared" si="121"/>
        <v>3.3144704931285407E-2</v>
      </c>
      <c r="F182" s="562">
        <f t="shared" si="121"/>
        <v>2.9107981220657386E-2</v>
      </c>
      <c r="G182" s="562">
        <f t="shared" si="121"/>
        <v>3.0109489051094895E-2</v>
      </c>
      <c r="H182" s="562">
        <f t="shared" si="121"/>
        <v>2.9081783289046426E-2</v>
      </c>
      <c r="I182" s="562">
        <f t="shared" si="121"/>
        <v>2.8977191220771692E-2</v>
      </c>
      <c r="J182" s="562">
        <f t="shared" si="121"/>
        <v>2.7324689809006042E-2</v>
      </c>
      <c r="K182" s="562">
        <f t="shared" si="121"/>
        <v>2.9311982629936173E-2</v>
      </c>
      <c r="L182" s="562">
        <f>L170/I170-1</f>
        <v>7.0655583437892133E-2</v>
      </c>
    </row>
    <row r="183" spans="1:15" hidden="1" outlineLevel="1" x14ac:dyDescent="0.3">
      <c r="A183" s="551" t="s">
        <v>673</v>
      </c>
      <c r="B183" s="562">
        <f t="shared" ref="B183:L183" si="122">B172/B170</f>
        <v>0.38291354663036081</v>
      </c>
      <c r="C183" s="562">
        <f t="shared" si="122"/>
        <v>0.40103904809787161</v>
      </c>
      <c r="D183" s="562">
        <f t="shared" si="122"/>
        <v>0.42635408245755863</v>
      </c>
      <c r="E183" s="562">
        <f t="shared" si="122"/>
        <v>0.46760563380281689</v>
      </c>
      <c r="F183" s="562">
        <f t="shared" si="122"/>
        <v>0.49923965936739662</v>
      </c>
      <c r="G183" s="562">
        <f t="shared" si="122"/>
        <v>0.51874815470918212</v>
      </c>
      <c r="H183" s="562">
        <f t="shared" si="122"/>
        <v>0.53579113470090378</v>
      </c>
      <c r="I183" s="562">
        <f t="shared" si="122"/>
        <v>0.5513732050745852</v>
      </c>
      <c r="J183" s="562">
        <f t="shared" si="122"/>
        <v>0.56425566562627227</v>
      </c>
      <c r="K183" s="562">
        <f t="shared" si="122"/>
        <v>0.57771918259723143</v>
      </c>
      <c r="L183" s="562">
        <f t="shared" si="122"/>
        <v>0.57771918259723143</v>
      </c>
    </row>
    <row r="184" spans="1:15" hidden="1" outlineLevel="1" x14ac:dyDescent="0.3">
      <c r="A184" s="551" t="s">
        <v>2906</v>
      </c>
      <c r="B184" s="562">
        <f t="shared" ref="B184:L184" si="123">+(B172-B177)/B170</f>
        <v>-0.15997277059223963</v>
      </c>
      <c r="C184" s="562">
        <f t="shared" si="123"/>
        <v>-0.13273001508295626</v>
      </c>
      <c r="D184" s="562">
        <f t="shared" si="123"/>
        <v>-7.1624898949070329E-2</v>
      </c>
      <c r="E184" s="562">
        <f t="shared" si="123"/>
        <v>0.16447574334898279</v>
      </c>
      <c r="F184" s="562">
        <f t="shared" si="123"/>
        <v>0.25410583941605841</v>
      </c>
      <c r="G184" s="562">
        <f t="shared" si="123"/>
        <v>0.29170357248302331</v>
      </c>
      <c r="H184" s="562">
        <f t="shared" si="123"/>
        <v>0.31774494333668052</v>
      </c>
      <c r="I184" s="562">
        <f t="shared" si="123"/>
        <v>0.34072215251638088</v>
      </c>
      <c r="J184" s="562">
        <f t="shared" si="123"/>
        <v>0.35934319446329216</v>
      </c>
      <c r="K184" s="562">
        <f t="shared" si="123"/>
        <v>0.38022412656558996</v>
      </c>
      <c r="L184" s="562">
        <f t="shared" si="123"/>
        <v>0.38022412656559007</v>
      </c>
    </row>
    <row r="185" spans="1:15" hidden="1" outlineLevel="1" x14ac:dyDescent="0.3">
      <c r="A185" s="551" t="s">
        <v>2907</v>
      </c>
      <c r="B185" s="562">
        <f t="shared" ref="B185:K185" si="124">B177/B170</f>
        <v>0.54288631722260039</v>
      </c>
      <c r="C185" s="562">
        <f t="shared" si="124"/>
        <v>0.53376906318082784</v>
      </c>
      <c r="D185" s="562">
        <f t="shared" si="124"/>
        <v>0.49797898140662894</v>
      </c>
      <c r="E185" s="562">
        <f t="shared" si="124"/>
        <v>0.30312989045383409</v>
      </c>
      <c r="F185" s="562">
        <f t="shared" si="124"/>
        <v>0.24513381995133821</v>
      </c>
      <c r="G185" s="562">
        <f t="shared" si="124"/>
        <v>0.22704458222615884</v>
      </c>
      <c r="H185" s="562">
        <f t="shared" si="124"/>
        <v>0.21804619136422321</v>
      </c>
      <c r="I185" s="562">
        <f t="shared" si="124"/>
        <v>0.21065105255820438</v>
      </c>
      <c r="J185" s="562">
        <f t="shared" si="124"/>
        <v>0.20491247116298006</v>
      </c>
      <c r="K185" s="562">
        <f t="shared" si="124"/>
        <v>0.19749505603164139</v>
      </c>
      <c r="L185" s="261">
        <f>K185</f>
        <v>0.19749505603164139</v>
      </c>
    </row>
    <row r="186" spans="1:15" hidden="1" outlineLevel="1" x14ac:dyDescent="0.3">
      <c r="A186" s="551" t="s">
        <v>2908</v>
      </c>
      <c r="B186" s="562">
        <f t="shared" ref="B186:L186" si="125">B173/B177</f>
        <v>0.3717868338557998</v>
      </c>
      <c r="C186" s="562">
        <f t="shared" si="125"/>
        <v>0.51773940345368941</v>
      </c>
      <c r="D186" s="562">
        <f t="shared" si="125"/>
        <v>0.30292207792207793</v>
      </c>
      <c r="E186" s="562">
        <f t="shared" si="125"/>
        <v>0.53691275167785235</v>
      </c>
      <c r="F186" s="562">
        <f t="shared" si="125"/>
        <v>0.61228287841191065</v>
      </c>
      <c r="G186" s="562">
        <f t="shared" si="125"/>
        <v>0.60728218465539663</v>
      </c>
      <c r="H186" s="562">
        <f t="shared" si="125"/>
        <v>0.58355263157894732</v>
      </c>
      <c r="I186" s="562">
        <f t="shared" si="125"/>
        <v>0.56320317670416942</v>
      </c>
      <c r="J186" s="562">
        <f t="shared" si="125"/>
        <v>0.54966887417218546</v>
      </c>
      <c r="K186" s="562">
        <f t="shared" si="125"/>
        <v>0.53805073431241657</v>
      </c>
      <c r="L186" s="562">
        <f t="shared" si="125"/>
        <v>1</v>
      </c>
    </row>
    <row r="187" spans="1:15" hidden="1" outlineLevel="1" x14ac:dyDescent="0.3">
      <c r="A187" s="551"/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563"/>
    </row>
    <row r="188" spans="1:15" hidden="1" outlineLevel="1" x14ac:dyDescent="0.3">
      <c r="A188" s="551" t="s">
        <v>2909</v>
      </c>
      <c r="B188" s="263">
        <v>0.5</v>
      </c>
      <c r="C188" s="564">
        <f t="shared" ref="C188" si="126">+B188+1</f>
        <v>1.5</v>
      </c>
      <c r="D188" s="564">
        <f t="shared" ref="D188" si="127">+C188+1</f>
        <v>2.5</v>
      </c>
      <c r="E188" s="564">
        <f t="shared" ref="E188" si="128">+D188+1</f>
        <v>3.5</v>
      </c>
      <c r="F188" s="564">
        <f t="shared" ref="F188" si="129">+E188+1</f>
        <v>4.5</v>
      </c>
      <c r="G188" s="564">
        <f t="shared" ref="G188" si="130">+F188+1</f>
        <v>5.5</v>
      </c>
      <c r="H188" s="564">
        <f t="shared" ref="H188" si="131">+G188+1</f>
        <v>6.5</v>
      </c>
      <c r="I188" s="564">
        <f t="shared" ref="I188" si="132">+H188+1</f>
        <v>7.5</v>
      </c>
      <c r="J188" s="564">
        <f t="shared" ref="J188" si="133">+I188+1</f>
        <v>8.5</v>
      </c>
      <c r="K188" s="564">
        <f t="shared" ref="K188" si="134">+J188+1</f>
        <v>9.5</v>
      </c>
      <c r="L188" s="564">
        <f t="shared" ref="L188" si="135">+K188+1</f>
        <v>10.5</v>
      </c>
    </row>
    <row r="189" spans="1:15" hidden="1" outlineLevel="1" x14ac:dyDescent="0.3">
      <c r="A189" s="551" t="s">
        <v>725</v>
      </c>
      <c r="B189" s="551">
        <f t="shared" ref="B189:K189" si="136">+B179</f>
        <v>-464</v>
      </c>
      <c r="C189" s="551">
        <f t="shared" si="136"/>
        <v>-978</v>
      </c>
      <c r="D189" s="551">
        <f t="shared" si="136"/>
        <v>-869</v>
      </c>
      <c r="E189" s="551">
        <f t="shared" si="136"/>
        <v>564</v>
      </c>
      <c r="F189" s="551">
        <f t="shared" si="136"/>
        <v>1097</v>
      </c>
      <c r="G189" s="551">
        <f t="shared" si="136"/>
        <v>1331</v>
      </c>
      <c r="H189" s="551">
        <f t="shared" si="136"/>
        <v>1503</v>
      </c>
      <c r="I189" s="551">
        <f t="shared" si="136"/>
        <v>1668</v>
      </c>
      <c r="J189" s="551">
        <f t="shared" si="136"/>
        <v>1816</v>
      </c>
      <c r="K189" s="551">
        <f t="shared" si="136"/>
        <v>1990</v>
      </c>
      <c r="L189" s="563"/>
    </row>
    <row r="190" spans="1:15" hidden="1" outlineLevel="1" x14ac:dyDescent="0.3">
      <c r="A190" s="551" t="s">
        <v>165</v>
      </c>
      <c r="B190" s="565">
        <f>+(1+$G$205)^B188</f>
        <v>1.036822067666386</v>
      </c>
      <c r="C190" s="565">
        <f t="shared" ref="C190:L190" si="137">+(1+$G$205)^C188</f>
        <v>1.1145837227413649</v>
      </c>
      <c r="D190" s="565">
        <f t="shared" si="137"/>
        <v>1.1981775019469671</v>
      </c>
      <c r="E190" s="565">
        <f t="shared" si="137"/>
        <v>1.2880408145929898</v>
      </c>
      <c r="F190" s="565">
        <f t="shared" si="137"/>
        <v>1.3846438756874639</v>
      </c>
      <c r="G190" s="565">
        <f t="shared" si="137"/>
        <v>1.4884921663640236</v>
      </c>
      <c r="H190" s="565">
        <f t="shared" si="137"/>
        <v>1.6001290788413254</v>
      </c>
      <c r="I190" s="565">
        <f t="shared" si="137"/>
        <v>1.7201387597544247</v>
      </c>
      <c r="J190" s="565">
        <f t="shared" si="137"/>
        <v>1.8491491667360065</v>
      </c>
      <c r="K190" s="565">
        <f t="shared" si="137"/>
        <v>1.9878353542412068</v>
      </c>
      <c r="L190" s="565">
        <f t="shared" si="137"/>
        <v>2.1369230058092974</v>
      </c>
    </row>
    <row r="191" spans="1:15" hidden="1" outlineLevel="1" x14ac:dyDescent="0.3">
      <c r="A191" s="551" t="s">
        <v>2910</v>
      </c>
      <c r="B191" s="1824">
        <f t="shared" ref="B191:K191" si="138">B189/B190</f>
        <v>-447.52133897414245</v>
      </c>
      <c r="C191" s="1824">
        <f t="shared" si="138"/>
        <v>-877.45763736309414</v>
      </c>
      <c r="D191" s="1824">
        <f t="shared" si="138"/>
        <v>-725.26816651783793</v>
      </c>
      <c r="E191" s="1824">
        <f t="shared" si="138"/>
        <v>437.87432324356843</v>
      </c>
      <c r="F191" s="1824">
        <f t="shared" si="138"/>
        <v>792.26147550419694</v>
      </c>
      <c r="G191" s="1824">
        <f t="shared" si="138"/>
        <v>894.19348658801903</v>
      </c>
      <c r="H191" s="1824">
        <f t="shared" si="138"/>
        <v>939.29922271542125</v>
      </c>
      <c r="I191" s="1824">
        <f t="shared" si="138"/>
        <v>969.68921288543709</v>
      </c>
      <c r="J191" s="1824">
        <f t="shared" si="138"/>
        <v>982.07328682167963</v>
      </c>
      <c r="K191" s="1824">
        <f t="shared" si="138"/>
        <v>1001.0889462017942</v>
      </c>
    </row>
    <row r="192" spans="1:15" collapsed="1" x14ac:dyDescent="0.3">
      <c r="A192" s="551"/>
      <c r="B192" s="551"/>
      <c r="C192" s="551"/>
      <c r="D192" s="563"/>
      <c r="E192" s="566"/>
      <c r="F192" s="563"/>
      <c r="G192" s="144"/>
      <c r="H192" s="563"/>
      <c r="I192" s="563"/>
      <c r="J192" s="563"/>
      <c r="K192" s="563"/>
      <c r="L192" s="563"/>
      <c r="M192" s="239"/>
      <c r="N192" s="239"/>
      <c r="O192" s="239"/>
    </row>
    <row r="193" spans="1:15" x14ac:dyDescent="0.3">
      <c r="A193" s="567" t="s">
        <v>2911</v>
      </c>
      <c r="B193" s="551">
        <f>IF(L179&gt;0,L179,0)</f>
        <v>2190.0375000000004</v>
      </c>
      <c r="C193" s="551"/>
      <c r="D193" s="560"/>
      <c r="E193" s="551"/>
      <c r="F193" s="551"/>
      <c r="G193" s="551"/>
      <c r="H193" s="551"/>
      <c r="I193" s="551"/>
      <c r="J193" s="551"/>
      <c r="K193" s="551"/>
      <c r="L193" s="551"/>
      <c r="M193" s="264"/>
      <c r="N193" s="264"/>
      <c r="O193" s="264"/>
    </row>
    <row r="194" spans="1:15" x14ac:dyDescent="0.3">
      <c r="A194" s="568" t="s">
        <v>2913</v>
      </c>
      <c r="B194" s="1773">
        <f>G205-G209</f>
        <v>6.25E-2</v>
      </c>
      <c r="C194" s="551"/>
      <c r="D194" s="570"/>
      <c r="E194" s="574"/>
      <c r="F194" s="574"/>
      <c r="G194" s="574"/>
      <c r="H194" s="570"/>
      <c r="I194" s="574"/>
      <c r="J194" s="574"/>
      <c r="K194" s="574"/>
      <c r="L194" s="570"/>
      <c r="M194" s="264"/>
      <c r="N194" s="264"/>
      <c r="O194" s="262"/>
    </row>
    <row r="195" spans="1:15" x14ac:dyDescent="0.3">
      <c r="A195" s="571" t="s">
        <v>254</v>
      </c>
      <c r="B195" s="572">
        <f>B193/B194</f>
        <v>35040.600000000006</v>
      </c>
      <c r="C195" s="551"/>
      <c r="D195" s="563"/>
      <c r="E195" s="563"/>
      <c r="F195" s="563"/>
      <c r="G195" s="563"/>
      <c r="H195" s="563"/>
      <c r="I195" s="563"/>
      <c r="J195" s="563"/>
      <c r="K195" s="563"/>
      <c r="L195" s="563"/>
      <c r="M195" s="262"/>
      <c r="N195" s="262"/>
      <c r="O195" s="262"/>
    </row>
    <row r="196" spans="1:15" x14ac:dyDescent="0.3">
      <c r="A196" s="568" t="s">
        <v>255</v>
      </c>
      <c r="B196" s="573">
        <f>L190</f>
        <v>2.1369230058092974</v>
      </c>
      <c r="C196" s="551"/>
      <c r="D196" s="563"/>
      <c r="E196" s="563"/>
      <c r="F196" s="563"/>
      <c r="G196" s="563"/>
      <c r="H196" s="563"/>
      <c r="I196" s="563"/>
      <c r="J196" s="563"/>
      <c r="K196" s="563"/>
      <c r="L196" s="563"/>
      <c r="M196" s="262"/>
      <c r="N196" s="262"/>
      <c r="O196" s="262"/>
    </row>
    <row r="197" spans="1:15" x14ac:dyDescent="0.3">
      <c r="A197" s="571" t="s">
        <v>256</v>
      </c>
      <c r="B197" s="572">
        <f>B195/B196</f>
        <v>16397.689530573141</v>
      </c>
      <c r="C197" s="551"/>
      <c r="D197" s="563"/>
      <c r="E197" s="563"/>
      <c r="F197" s="563"/>
      <c r="G197" s="563"/>
      <c r="H197" s="563"/>
      <c r="I197" s="563"/>
      <c r="J197" s="563"/>
      <c r="K197" s="563"/>
      <c r="L197" s="563"/>
      <c r="M197" s="262"/>
      <c r="N197" s="262"/>
      <c r="O197" s="262"/>
    </row>
    <row r="198" spans="1:15" x14ac:dyDescent="0.3">
      <c r="A198" s="568" t="s">
        <v>257</v>
      </c>
      <c r="B198" s="551">
        <f>SUM(B191:K191)</f>
        <v>3966.2328111050419</v>
      </c>
      <c r="C198" s="551"/>
      <c r="D198" s="1255"/>
      <c r="E198" s="563"/>
      <c r="F198" s="563"/>
      <c r="G198" s="563"/>
      <c r="H198" s="1255"/>
      <c r="I198" s="563"/>
      <c r="J198" s="563"/>
      <c r="K198" s="563"/>
      <c r="L198" s="563"/>
      <c r="M198" s="262"/>
      <c r="N198" s="262"/>
      <c r="O198" s="262"/>
    </row>
    <row r="199" spans="1:15" x14ac:dyDescent="0.3">
      <c r="A199" s="568" t="s">
        <v>2919</v>
      </c>
      <c r="B199" s="1764">
        <v>1395</v>
      </c>
      <c r="C199" s="565"/>
      <c r="D199" s="578"/>
      <c r="E199" s="574"/>
      <c r="F199" s="574"/>
      <c r="G199" s="574"/>
      <c r="H199" s="578"/>
      <c r="I199" s="574"/>
      <c r="J199" s="574"/>
      <c r="K199" s="574"/>
      <c r="L199" s="574"/>
      <c r="M199" s="266"/>
      <c r="N199" s="266"/>
      <c r="O199" s="262"/>
    </row>
    <row r="200" spans="1:15" x14ac:dyDescent="0.3">
      <c r="A200" s="571" t="s">
        <v>2921</v>
      </c>
      <c r="B200" s="1826">
        <f>+B197+B198+B199</f>
        <v>21758.922341678182</v>
      </c>
      <c r="C200" s="551"/>
      <c r="D200" s="563"/>
      <c r="E200" s="563"/>
      <c r="F200" s="563"/>
      <c r="G200" s="563"/>
      <c r="H200" s="563"/>
      <c r="I200" s="563"/>
      <c r="J200" s="563"/>
      <c r="K200" s="563"/>
      <c r="L200" s="563"/>
      <c r="M200" s="262"/>
      <c r="N200" s="262"/>
      <c r="O200" s="262"/>
    </row>
    <row r="201" spans="1:15" x14ac:dyDescent="0.3">
      <c r="A201" s="568" t="s">
        <v>1267</v>
      </c>
      <c r="B201" s="259">
        <f>B157</f>
        <v>10027</v>
      </c>
      <c r="C201" s="144"/>
      <c r="D201" s="563"/>
      <c r="E201" s="563"/>
      <c r="F201" s="563"/>
      <c r="G201" s="563"/>
      <c r="H201" s="563"/>
      <c r="I201" s="563"/>
      <c r="J201" s="563"/>
      <c r="K201" s="563"/>
      <c r="L201" s="563"/>
      <c r="M201" s="262"/>
      <c r="N201" s="262"/>
      <c r="O201" s="262"/>
    </row>
    <row r="202" spans="1:15" x14ac:dyDescent="0.3">
      <c r="A202" s="568" t="s">
        <v>3208</v>
      </c>
      <c r="B202" s="259">
        <f>B158</f>
        <v>209</v>
      </c>
      <c r="C202" s="144"/>
      <c r="D202" s="563"/>
      <c r="E202" s="563"/>
      <c r="F202" s="563"/>
      <c r="G202" s="563"/>
      <c r="H202" s="563"/>
      <c r="I202" s="563"/>
      <c r="J202" s="563"/>
      <c r="K202" s="563"/>
      <c r="L202" s="563"/>
      <c r="M202" s="262"/>
      <c r="N202" s="262"/>
      <c r="O202" s="262"/>
    </row>
    <row r="203" spans="1:15" x14ac:dyDescent="0.3">
      <c r="A203" s="568" t="s">
        <v>2924</v>
      </c>
      <c r="B203" s="551">
        <v>0</v>
      </c>
      <c r="C203" s="551"/>
      <c r="D203" s="563"/>
      <c r="E203" s="563"/>
      <c r="F203" s="563"/>
      <c r="G203" s="563"/>
      <c r="H203" s="563"/>
      <c r="I203" s="563"/>
      <c r="J203" s="563"/>
      <c r="K203" s="563"/>
      <c r="L203" s="563"/>
      <c r="M203" s="262"/>
      <c r="N203" s="262"/>
      <c r="O203" s="262"/>
    </row>
    <row r="204" spans="1:15" ht="12.5" thickBot="1" x14ac:dyDescent="0.35">
      <c r="A204" s="571" t="s">
        <v>2926</v>
      </c>
      <c r="B204" s="1826">
        <f>B200-B201+B203-B202</f>
        <v>11522.922341678182</v>
      </c>
      <c r="C204" s="570"/>
      <c r="D204" s="563"/>
      <c r="E204" s="563"/>
      <c r="F204" s="563"/>
      <c r="G204" s="563"/>
      <c r="H204" s="563"/>
      <c r="I204" s="563"/>
      <c r="J204" s="563"/>
      <c r="K204" s="563"/>
      <c r="L204" s="563"/>
      <c r="M204" s="266"/>
      <c r="N204" s="266"/>
      <c r="O204" s="266"/>
    </row>
    <row r="205" spans="1:15" ht="12.5" thickBot="1" x14ac:dyDescent="0.35">
      <c r="A205" s="568" t="s">
        <v>259</v>
      </c>
      <c r="B205" s="551">
        <f>B161</f>
        <v>249.53199999999998</v>
      </c>
      <c r="C205" s="570"/>
      <c r="D205" s="551" t="s">
        <v>2929</v>
      </c>
      <c r="E205" s="144"/>
      <c r="F205" s="551"/>
      <c r="G205" s="1770">
        <v>7.4999999999999997E-2</v>
      </c>
      <c r="H205" s="144"/>
      <c r="I205" s="563"/>
      <c r="J205" s="563"/>
      <c r="K205" s="563"/>
      <c r="L205" s="563"/>
      <c r="M205" s="262"/>
      <c r="N205" s="262"/>
      <c r="O205" s="262"/>
    </row>
    <row r="206" spans="1:15" ht="12.5" thickBot="1" x14ac:dyDescent="0.35">
      <c r="A206" s="568" t="s">
        <v>873</v>
      </c>
      <c r="B206" s="579">
        <f>B204/B205</f>
        <v>46.178134835124084</v>
      </c>
      <c r="C206" s="570"/>
      <c r="D206" s="551"/>
      <c r="E206" s="144"/>
      <c r="F206" s="551"/>
      <c r="G206" s="551"/>
      <c r="H206" s="563"/>
      <c r="I206" s="563"/>
      <c r="J206" s="563"/>
      <c r="K206" s="563"/>
      <c r="L206" s="563"/>
      <c r="M206" s="262"/>
      <c r="N206" s="262"/>
      <c r="O206" s="262"/>
    </row>
    <row r="207" spans="1:15" ht="13" thickTop="1" thickBot="1" x14ac:dyDescent="0.35">
      <c r="A207" s="557" t="s">
        <v>2930</v>
      </c>
      <c r="B207" s="581">
        <f>+B206/Valuation!$B$6-1</f>
        <v>0.290613047376302</v>
      </c>
      <c r="C207" s="551"/>
      <c r="D207" s="560"/>
      <c r="E207" s="144"/>
      <c r="F207" s="563"/>
      <c r="G207" s="551"/>
      <c r="H207" s="563"/>
      <c r="I207" s="574"/>
      <c r="J207" s="574"/>
      <c r="K207" s="574"/>
      <c r="L207" s="574"/>
      <c r="M207" s="262"/>
      <c r="N207" s="262"/>
      <c r="O207" s="262"/>
    </row>
    <row r="208" spans="1:15" x14ac:dyDescent="0.3">
      <c r="A208" s="557" t="s">
        <v>2931</v>
      </c>
      <c r="B208" s="558">
        <f>+(SUM(B201:B201)-B203)/L172</f>
        <v>2.2599748691335484</v>
      </c>
      <c r="C208" s="551"/>
      <c r="D208" s="551" t="s">
        <v>124</v>
      </c>
      <c r="E208" s="144"/>
      <c r="F208" s="563"/>
      <c r="G208" s="1771">
        <v>0.25</v>
      </c>
      <c r="H208" s="563"/>
      <c r="I208" s="574"/>
      <c r="J208" s="574"/>
      <c r="K208" s="574"/>
      <c r="L208" s="574"/>
      <c r="M208" s="262"/>
      <c r="N208" s="262"/>
      <c r="O208" s="262"/>
    </row>
    <row r="209" spans="1:15" ht="12.5" thickBot="1" x14ac:dyDescent="0.35">
      <c r="A209" s="557" t="s">
        <v>2933</v>
      </c>
      <c r="B209" s="558">
        <f>B195/L172</f>
        <v>7.8977635782747608</v>
      </c>
      <c r="C209" s="570"/>
      <c r="D209" s="551" t="s">
        <v>2934</v>
      </c>
      <c r="E209" s="144"/>
      <c r="F209" s="563"/>
      <c r="G209" s="1772">
        <v>1.2500000000000001E-2</v>
      </c>
      <c r="H209" s="563"/>
      <c r="I209" s="1183"/>
      <c r="J209" s="1183"/>
      <c r="K209" s="1183"/>
      <c r="L209" s="1183"/>
      <c r="M209" s="262"/>
      <c r="N209" s="262"/>
      <c r="O209" s="262"/>
    </row>
    <row r="210" spans="1:15" x14ac:dyDescent="0.3">
      <c r="A210" s="494"/>
      <c r="B210" s="553"/>
      <c r="C210" s="494"/>
      <c r="D210" s="494"/>
      <c r="E210" s="494"/>
      <c r="F210" s="494"/>
      <c r="G210" s="587"/>
      <c r="H210" s="587"/>
      <c r="I210" s="587"/>
      <c r="J210" s="587"/>
      <c r="K210" s="587"/>
      <c r="L210" s="587"/>
      <c r="M210" s="1220"/>
      <c r="N210" s="1220"/>
      <c r="O210" s="1220"/>
    </row>
    <row r="212" spans="1:15" x14ac:dyDescent="0.3">
      <c r="A212" s="588" t="s">
        <v>3211</v>
      </c>
      <c r="B212" s="589"/>
      <c r="C212" s="589"/>
      <c r="D212" s="589"/>
      <c r="E212" s="589"/>
      <c r="F212" s="589"/>
      <c r="G212" s="1184"/>
      <c r="H212" s="1184"/>
      <c r="I212" s="589"/>
      <c r="J212" s="589"/>
      <c r="K212" s="589"/>
      <c r="L212" s="589"/>
      <c r="M212" s="201"/>
      <c r="N212" s="201"/>
      <c r="O212" s="201"/>
    </row>
    <row r="213" spans="1:15" x14ac:dyDescent="0.3">
      <c r="A213" s="653"/>
      <c r="B213" s="654">
        <v>2024</v>
      </c>
      <c r="C213" s="654">
        <f t="shared" ref="C213" si="139">B213+1</f>
        <v>2025</v>
      </c>
      <c r="D213" s="654">
        <f t="shared" ref="D213" si="140">C213+1</f>
        <v>2026</v>
      </c>
      <c r="E213" s="654">
        <f t="shared" ref="E213" si="141">D213+1</f>
        <v>2027</v>
      </c>
      <c r="F213" s="654">
        <f t="shared" ref="F213" si="142">E213+1</f>
        <v>2028</v>
      </c>
      <c r="G213" s="654">
        <f t="shared" ref="G213" si="143">F213+1</f>
        <v>2029</v>
      </c>
      <c r="H213" s="654">
        <f t="shared" ref="H213" si="144">G213+1</f>
        <v>2030</v>
      </c>
      <c r="I213" s="654">
        <f t="shared" ref="I213" si="145">H213+1</f>
        <v>2031</v>
      </c>
      <c r="J213" s="654">
        <f t="shared" ref="J213" si="146">I213+1</f>
        <v>2032</v>
      </c>
      <c r="K213" s="654">
        <f t="shared" ref="K213" si="147">J213+1</f>
        <v>2033</v>
      </c>
      <c r="L213" s="654" t="s">
        <v>245</v>
      </c>
    </row>
    <row r="214" spans="1:15" x14ac:dyDescent="0.3">
      <c r="A214" s="551" t="s">
        <v>284</v>
      </c>
      <c r="B214" s="1765">
        <f>B170</f>
        <v>5876</v>
      </c>
      <c r="C214" s="1769">
        <f t="shared" ref="C214:K214" si="148">C170</f>
        <v>5967</v>
      </c>
      <c r="D214" s="1769">
        <f t="shared" si="148"/>
        <v>6185</v>
      </c>
      <c r="E214" s="1769">
        <f t="shared" si="148"/>
        <v>6390</v>
      </c>
      <c r="F214" s="1769">
        <f t="shared" si="148"/>
        <v>6576</v>
      </c>
      <c r="G214" s="1769">
        <f t="shared" si="148"/>
        <v>6774</v>
      </c>
      <c r="H214" s="1769">
        <f t="shared" si="148"/>
        <v>6971</v>
      </c>
      <c r="I214" s="1769">
        <f t="shared" si="148"/>
        <v>7173</v>
      </c>
      <c r="J214" s="1769">
        <f t="shared" si="148"/>
        <v>7369</v>
      </c>
      <c r="K214" s="1769">
        <f t="shared" si="148"/>
        <v>7585</v>
      </c>
      <c r="L214" s="551">
        <f>+K214*(1+G253)</f>
        <v>7641.8875000000007</v>
      </c>
    </row>
    <row r="215" spans="1:15" x14ac:dyDescent="0.3">
      <c r="A215" s="551" t="s">
        <v>2900</v>
      </c>
      <c r="B215" s="1766">
        <f t="shared" ref="B215:K215" si="149">+B214-B216</f>
        <v>3626</v>
      </c>
      <c r="C215" s="1589">
        <f t="shared" si="149"/>
        <v>3574</v>
      </c>
      <c r="D215" s="1589">
        <f t="shared" si="149"/>
        <v>3548</v>
      </c>
      <c r="E215" s="1589">
        <f t="shared" si="149"/>
        <v>3402</v>
      </c>
      <c r="F215" s="1589">
        <f t="shared" si="149"/>
        <v>3293</v>
      </c>
      <c r="G215" s="1589">
        <f t="shared" si="149"/>
        <v>3260</v>
      </c>
      <c r="H215" s="1589">
        <f t="shared" si="149"/>
        <v>3236</v>
      </c>
      <c r="I215" s="1589">
        <f t="shared" si="149"/>
        <v>3218</v>
      </c>
      <c r="J215" s="1589">
        <f t="shared" si="149"/>
        <v>3211</v>
      </c>
      <c r="K215" s="1589">
        <f t="shared" si="149"/>
        <v>3203</v>
      </c>
      <c r="L215" s="554">
        <f>L214-L216</f>
        <v>3227.0225</v>
      </c>
    </row>
    <row r="216" spans="1:15" x14ac:dyDescent="0.3">
      <c r="A216" s="551" t="s">
        <v>44</v>
      </c>
      <c r="B216" s="1765">
        <f>B172</f>
        <v>2250</v>
      </c>
      <c r="C216" s="1769">
        <f t="shared" ref="C216:K216" si="150">C172</f>
        <v>2393</v>
      </c>
      <c r="D216" s="1769">
        <f t="shared" si="150"/>
        <v>2637</v>
      </c>
      <c r="E216" s="1769">
        <f t="shared" si="150"/>
        <v>2988</v>
      </c>
      <c r="F216" s="1769">
        <f t="shared" si="150"/>
        <v>3283</v>
      </c>
      <c r="G216" s="1769">
        <f t="shared" si="150"/>
        <v>3514</v>
      </c>
      <c r="H216" s="1769">
        <f t="shared" si="150"/>
        <v>3735</v>
      </c>
      <c r="I216" s="1769">
        <f t="shared" si="150"/>
        <v>3955</v>
      </c>
      <c r="J216" s="1769">
        <f t="shared" si="150"/>
        <v>4158</v>
      </c>
      <c r="K216" s="1769">
        <f t="shared" si="150"/>
        <v>4382</v>
      </c>
      <c r="L216" s="1824">
        <f>L214*(K216/K214)</f>
        <v>4414.8650000000007</v>
      </c>
    </row>
    <row r="217" spans="1:15" x14ac:dyDescent="0.3">
      <c r="A217" s="551" t="s">
        <v>2552</v>
      </c>
      <c r="B217" s="1767">
        <v>1186.0000000000014</v>
      </c>
      <c r="C217" s="1764">
        <v>1649.0000000000007</v>
      </c>
      <c r="D217" s="1764">
        <v>933</v>
      </c>
      <c r="E217" s="1764">
        <v>1040</v>
      </c>
      <c r="F217" s="1764">
        <v>987</v>
      </c>
      <c r="G217" s="1764">
        <v>934</v>
      </c>
      <c r="H217" s="1764">
        <v>887</v>
      </c>
      <c r="I217" s="1764">
        <v>851</v>
      </c>
      <c r="J217" s="1764">
        <v>830</v>
      </c>
      <c r="K217" s="1764">
        <v>806</v>
      </c>
      <c r="L217" s="554">
        <f>L221</f>
        <v>1509.2350000000001</v>
      </c>
    </row>
    <row r="218" spans="1:15" x14ac:dyDescent="0.3">
      <c r="A218" s="551" t="s">
        <v>2901</v>
      </c>
      <c r="B218" s="1825">
        <f t="shared" ref="B218:L218" si="151">B216-B217</f>
        <v>1063.9999999999986</v>
      </c>
      <c r="C218" s="1822">
        <f t="shared" si="151"/>
        <v>743.99999999999932</v>
      </c>
      <c r="D218" s="1822">
        <f t="shared" si="151"/>
        <v>1704</v>
      </c>
      <c r="E218" s="1822">
        <f t="shared" si="151"/>
        <v>1948</v>
      </c>
      <c r="F218" s="1822">
        <f t="shared" si="151"/>
        <v>2296</v>
      </c>
      <c r="G218" s="1822">
        <f t="shared" si="151"/>
        <v>2580</v>
      </c>
      <c r="H218" s="1822">
        <f t="shared" si="151"/>
        <v>2848</v>
      </c>
      <c r="I218" s="1822">
        <f t="shared" si="151"/>
        <v>3104</v>
      </c>
      <c r="J218" s="1822">
        <f t="shared" si="151"/>
        <v>3328</v>
      </c>
      <c r="K218" s="1822">
        <f t="shared" si="151"/>
        <v>3576</v>
      </c>
      <c r="L218" s="1824">
        <f t="shared" si="151"/>
        <v>2905.6300000000006</v>
      </c>
    </row>
    <row r="219" spans="1:15" x14ac:dyDescent="0.3">
      <c r="A219" s="551" t="s">
        <v>2556</v>
      </c>
      <c r="B219" s="1766">
        <f t="shared" ref="B219:L219" si="152">IF(B218&gt;0,B218*$G$120,0)</f>
        <v>265.99999999999966</v>
      </c>
      <c r="C219" s="1589">
        <f t="shared" si="152"/>
        <v>185.99999999999983</v>
      </c>
      <c r="D219" s="1589">
        <f t="shared" si="152"/>
        <v>426</v>
      </c>
      <c r="E219" s="1589">
        <f t="shared" si="152"/>
        <v>487</v>
      </c>
      <c r="F219" s="1589">
        <f t="shared" si="152"/>
        <v>574</v>
      </c>
      <c r="G219" s="1589">
        <f t="shared" si="152"/>
        <v>645</v>
      </c>
      <c r="H219" s="1589">
        <f t="shared" si="152"/>
        <v>712</v>
      </c>
      <c r="I219" s="1589">
        <f t="shared" si="152"/>
        <v>776</v>
      </c>
      <c r="J219" s="1589">
        <f t="shared" si="152"/>
        <v>832</v>
      </c>
      <c r="K219" s="1589">
        <f t="shared" si="152"/>
        <v>894</v>
      </c>
      <c r="L219" s="553">
        <f t="shared" si="152"/>
        <v>726.40750000000014</v>
      </c>
    </row>
    <row r="220" spans="1:15" x14ac:dyDescent="0.3">
      <c r="A220" s="551" t="s">
        <v>2902</v>
      </c>
      <c r="B220" s="1768">
        <f t="shared" ref="B220:L220" si="153">B218-B219</f>
        <v>797.99999999999898</v>
      </c>
      <c r="C220" s="575">
        <f t="shared" si="153"/>
        <v>557.99999999999955</v>
      </c>
      <c r="D220" s="575">
        <f t="shared" si="153"/>
        <v>1278</v>
      </c>
      <c r="E220" s="575">
        <f t="shared" si="153"/>
        <v>1461</v>
      </c>
      <c r="F220" s="575">
        <f t="shared" si="153"/>
        <v>1722</v>
      </c>
      <c r="G220" s="575">
        <f t="shared" si="153"/>
        <v>1935</v>
      </c>
      <c r="H220" s="575">
        <f t="shared" si="153"/>
        <v>2136</v>
      </c>
      <c r="I220" s="575">
        <f t="shared" si="153"/>
        <v>2328</v>
      </c>
      <c r="J220" s="575">
        <f t="shared" si="153"/>
        <v>2496</v>
      </c>
      <c r="K220" s="575">
        <f t="shared" si="153"/>
        <v>2682</v>
      </c>
      <c r="L220" s="551">
        <f t="shared" si="153"/>
        <v>2179.2225000000003</v>
      </c>
    </row>
    <row r="221" spans="1:15" x14ac:dyDescent="0.3">
      <c r="A221" s="551" t="s">
        <v>198</v>
      </c>
      <c r="B221" s="1765">
        <f>B177</f>
        <v>3190</v>
      </c>
      <c r="C221" s="1769">
        <f t="shared" ref="C221:K221" si="154">C177</f>
        <v>3185</v>
      </c>
      <c r="D221" s="1769">
        <f t="shared" si="154"/>
        <v>3080</v>
      </c>
      <c r="E221" s="1769">
        <f t="shared" si="154"/>
        <v>1937</v>
      </c>
      <c r="F221" s="1769">
        <f t="shared" si="154"/>
        <v>1612</v>
      </c>
      <c r="G221" s="1769">
        <f t="shared" si="154"/>
        <v>1538</v>
      </c>
      <c r="H221" s="1769">
        <f t="shared" si="154"/>
        <v>1520</v>
      </c>
      <c r="I221" s="1769">
        <f t="shared" si="154"/>
        <v>1511</v>
      </c>
      <c r="J221" s="1769">
        <f t="shared" si="154"/>
        <v>1510</v>
      </c>
      <c r="K221" s="1769">
        <f t="shared" si="154"/>
        <v>1498</v>
      </c>
      <c r="L221" s="551">
        <f>L229*L214</f>
        <v>1509.2350000000001</v>
      </c>
    </row>
    <row r="222" spans="1:15" x14ac:dyDescent="0.3">
      <c r="A222" s="551" t="s">
        <v>2552</v>
      </c>
      <c r="B222" s="1768">
        <f t="shared" ref="B222:K222" si="155">B217</f>
        <v>1186.0000000000014</v>
      </c>
      <c r="C222" s="575">
        <f t="shared" si="155"/>
        <v>1649.0000000000007</v>
      </c>
      <c r="D222" s="575">
        <f t="shared" si="155"/>
        <v>933</v>
      </c>
      <c r="E222" s="575">
        <f t="shared" si="155"/>
        <v>1040</v>
      </c>
      <c r="F222" s="575">
        <f t="shared" si="155"/>
        <v>987</v>
      </c>
      <c r="G222" s="575">
        <f t="shared" si="155"/>
        <v>934</v>
      </c>
      <c r="H222" s="575">
        <f t="shared" si="155"/>
        <v>887</v>
      </c>
      <c r="I222" s="575">
        <f t="shared" si="155"/>
        <v>851</v>
      </c>
      <c r="J222" s="575">
        <f t="shared" si="155"/>
        <v>830</v>
      </c>
      <c r="K222" s="575">
        <f t="shared" si="155"/>
        <v>806</v>
      </c>
      <c r="L222" s="260">
        <f>L221</f>
        <v>1509.2350000000001</v>
      </c>
    </row>
    <row r="223" spans="1:15" ht="12.5" thickBot="1" x14ac:dyDescent="0.35">
      <c r="A223" s="551" t="s">
        <v>725</v>
      </c>
      <c r="B223" s="1763">
        <f>B179</f>
        <v>-464</v>
      </c>
      <c r="C223" s="1763">
        <f t="shared" ref="C223:K223" si="156">C179</f>
        <v>-978</v>
      </c>
      <c r="D223" s="1763">
        <f t="shared" si="156"/>
        <v>-869</v>
      </c>
      <c r="E223" s="1763">
        <f t="shared" si="156"/>
        <v>564</v>
      </c>
      <c r="F223" s="1763">
        <f t="shared" si="156"/>
        <v>1097</v>
      </c>
      <c r="G223" s="1763">
        <f t="shared" si="156"/>
        <v>1331</v>
      </c>
      <c r="H223" s="1763">
        <f t="shared" si="156"/>
        <v>1503</v>
      </c>
      <c r="I223" s="1763">
        <f t="shared" si="156"/>
        <v>1668</v>
      </c>
      <c r="J223" s="1763">
        <f t="shared" si="156"/>
        <v>1816</v>
      </c>
      <c r="K223" s="1763">
        <f t="shared" si="156"/>
        <v>1990</v>
      </c>
      <c r="L223" s="556">
        <f t="shared" ref="L223" si="157">L220-L221+L222</f>
        <v>2179.2225000000003</v>
      </c>
    </row>
    <row r="224" spans="1:15" ht="12.5" thickTop="1" x14ac:dyDescent="0.3">
      <c r="A224" s="557"/>
      <c r="B224" s="1183"/>
      <c r="C224" s="1183"/>
      <c r="D224" s="1183"/>
      <c r="E224" s="1183"/>
      <c r="F224" s="1183"/>
      <c r="G224" s="1183"/>
      <c r="H224" s="1183"/>
      <c r="I224" s="1183"/>
      <c r="J224" s="1183"/>
      <c r="K224" s="1183"/>
      <c r="L224" s="559"/>
    </row>
    <row r="225" spans="1:15" hidden="1" outlineLevel="1" x14ac:dyDescent="0.3">
      <c r="A225" s="560" t="s">
        <v>2904</v>
      </c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561"/>
    </row>
    <row r="226" spans="1:15" hidden="1" outlineLevel="1" x14ac:dyDescent="0.3">
      <c r="A226" s="551" t="s">
        <v>2905</v>
      </c>
      <c r="B226" s="562"/>
      <c r="C226" s="562">
        <f t="shared" ref="C226:K226" si="158">C214/B214-1</f>
        <v>1.5486725663716783E-2</v>
      </c>
      <c r="D226" s="562">
        <f t="shared" si="158"/>
        <v>3.653427182838942E-2</v>
      </c>
      <c r="E226" s="562">
        <f t="shared" si="158"/>
        <v>3.3144704931285407E-2</v>
      </c>
      <c r="F226" s="562">
        <f t="shared" si="158"/>
        <v>2.9107981220657386E-2</v>
      </c>
      <c r="G226" s="562">
        <f t="shared" si="158"/>
        <v>3.0109489051094895E-2</v>
      </c>
      <c r="H226" s="562">
        <f t="shared" si="158"/>
        <v>2.9081783289046426E-2</v>
      </c>
      <c r="I226" s="562">
        <f t="shared" si="158"/>
        <v>2.8977191220771692E-2</v>
      </c>
      <c r="J226" s="562">
        <f t="shared" si="158"/>
        <v>2.7324689809006042E-2</v>
      </c>
      <c r="K226" s="562">
        <f t="shared" si="158"/>
        <v>2.9311982629936173E-2</v>
      </c>
      <c r="L226" s="562">
        <f>L214/I214-1</f>
        <v>6.5368395371532273E-2</v>
      </c>
    </row>
    <row r="227" spans="1:15" hidden="1" outlineLevel="1" x14ac:dyDescent="0.3">
      <c r="A227" s="551" t="s">
        <v>673</v>
      </c>
      <c r="B227" s="562">
        <f t="shared" ref="B227:L227" si="159">B216/B214</f>
        <v>0.38291354663036081</v>
      </c>
      <c r="C227" s="562">
        <f t="shared" si="159"/>
        <v>0.40103904809787161</v>
      </c>
      <c r="D227" s="562">
        <f t="shared" si="159"/>
        <v>0.42635408245755863</v>
      </c>
      <c r="E227" s="562">
        <f t="shared" si="159"/>
        <v>0.46760563380281689</v>
      </c>
      <c r="F227" s="562">
        <f t="shared" si="159"/>
        <v>0.49923965936739662</v>
      </c>
      <c r="G227" s="562">
        <f t="shared" si="159"/>
        <v>0.51874815470918212</v>
      </c>
      <c r="H227" s="562">
        <f t="shared" si="159"/>
        <v>0.53579113470090378</v>
      </c>
      <c r="I227" s="562">
        <f t="shared" si="159"/>
        <v>0.5513732050745852</v>
      </c>
      <c r="J227" s="562">
        <f t="shared" si="159"/>
        <v>0.56425566562627227</v>
      </c>
      <c r="K227" s="562">
        <f t="shared" si="159"/>
        <v>0.57771918259723143</v>
      </c>
      <c r="L227" s="562">
        <f t="shared" si="159"/>
        <v>0.57771918259723143</v>
      </c>
    </row>
    <row r="228" spans="1:15" hidden="1" outlineLevel="1" x14ac:dyDescent="0.3">
      <c r="A228" s="551" t="s">
        <v>2906</v>
      </c>
      <c r="B228" s="562">
        <f t="shared" ref="B228:L228" si="160">+(B216-B221)/B214</f>
        <v>-0.15997277059223963</v>
      </c>
      <c r="C228" s="562">
        <f t="shared" si="160"/>
        <v>-0.13273001508295626</v>
      </c>
      <c r="D228" s="562">
        <f t="shared" si="160"/>
        <v>-7.1624898949070329E-2</v>
      </c>
      <c r="E228" s="562">
        <f t="shared" si="160"/>
        <v>0.16447574334898279</v>
      </c>
      <c r="F228" s="562">
        <f t="shared" si="160"/>
        <v>0.25410583941605841</v>
      </c>
      <c r="G228" s="562">
        <f t="shared" si="160"/>
        <v>0.29170357248302331</v>
      </c>
      <c r="H228" s="562">
        <f t="shared" si="160"/>
        <v>0.31774494333668052</v>
      </c>
      <c r="I228" s="562">
        <f t="shared" si="160"/>
        <v>0.34072215251638088</v>
      </c>
      <c r="J228" s="562">
        <f t="shared" si="160"/>
        <v>0.35934319446329216</v>
      </c>
      <c r="K228" s="562">
        <f t="shared" si="160"/>
        <v>0.38022412656558996</v>
      </c>
      <c r="L228" s="562">
        <f t="shared" si="160"/>
        <v>0.38022412656559001</v>
      </c>
    </row>
    <row r="229" spans="1:15" hidden="1" outlineLevel="1" x14ac:dyDescent="0.3">
      <c r="A229" s="551" t="s">
        <v>2907</v>
      </c>
      <c r="B229" s="562">
        <f t="shared" ref="B229:K229" si="161">B221/B214</f>
        <v>0.54288631722260039</v>
      </c>
      <c r="C229" s="562">
        <f t="shared" si="161"/>
        <v>0.53376906318082784</v>
      </c>
      <c r="D229" s="562">
        <f t="shared" si="161"/>
        <v>0.49797898140662894</v>
      </c>
      <c r="E229" s="562">
        <f t="shared" si="161"/>
        <v>0.30312989045383409</v>
      </c>
      <c r="F229" s="562">
        <f t="shared" si="161"/>
        <v>0.24513381995133821</v>
      </c>
      <c r="G229" s="562">
        <f t="shared" si="161"/>
        <v>0.22704458222615884</v>
      </c>
      <c r="H229" s="562">
        <f t="shared" si="161"/>
        <v>0.21804619136422321</v>
      </c>
      <c r="I229" s="562">
        <f t="shared" si="161"/>
        <v>0.21065105255820438</v>
      </c>
      <c r="J229" s="562">
        <f t="shared" si="161"/>
        <v>0.20491247116298006</v>
      </c>
      <c r="K229" s="562">
        <f t="shared" si="161"/>
        <v>0.19749505603164139</v>
      </c>
      <c r="L229" s="261">
        <f>K229</f>
        <v>0.19749505603164139</v>
      </c>
    </row>
    <row r="230" spans="1:15" hidden="1" outlineLevel="1" x14ac:dyDescent="0.3">
      <c r="A230" s="551" t="s">
        <v>2908</v>
      </c>
      <c r="B230" s="562">
        <f t="shared" ref="B230:L230" si="162">B217/B221</f>
        <v>0.3717868338557998</v>
      </c>
      <c r="C230" s="562">
        <f t="shared" si="162"/>
        <v>0.51773940345368941</v>
      </c>
      <c r="D230" s="562">
        <f t="shared" si="162"/>
        <v>0.30292207792207793</v>
      </c>
      <c r="E230" s="562">
        <f t="shared" si="162"/>
        <v>0.53691275167785235</v>
      </c>
      <c r="F230" s="562">
        <f t="shared" si="162"/>
        <v>0.61228287841191065</v>
      </c>
      <c r="G230" s="562">
        <f t="shared" si="162"/>
        <v>0.60728218465539663</v>
      </c>
      <c r="H230" s="562">
        <f t="shared" si="162"/>
        <v>0.58355263157894732</v>
      </c>
      <c r="I230" s="562">
        <f t="shared" si="162"/>
        <v>0.56320317670416942</v>
      </c>
      <c r="J230" s="562">
        <f t="shared" si="162"/>
        <v>0.54966887417218546</v>
      </c>
      <c r="K230" s="562">
        <f t="shared" si="162"/>
        <v>0.53805073431241657</v>
      </c>
      <c r="L230" s="562">
        <f t="shared" si="162"/>
        <v>1</v>
      </c>
    </row>
    <row r="231" spans="1:15" hidden="1" outlineLevel="1" x14ac:dyDescent="0.3">
      <c r="A231" s="551"/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563"/>
    </row>
    <row r="232" spans="1:15" hidden="1" outlineLevel="1" x14ac:dyDescent="0.3">
      <c r="A232" s="551" t="s">
        <v>2909</v>
      </c>
      <c r="B232" s="263">
        <v>0.5</v>
      </c>
      <c r="C232" s="564">
        <f t="shared" ref="C232" si="163">+B232+1</f>
        <v>1.5</v>
      </c>
      <c r="D232" s="564">
        <f t="shared" ref="D232" si="164">+C232+1</f>
        <v>2.5</v>
      </c>
      <c r="E232" s="564">
        <f t="shared" ref="E232" si="165">+D232+1</f>
        <v>3.5</v>
      </c>
      <c r="F232" s="564">
        <f t="shared" ref="F232" si="166">+E232+1</f>
        <v>4.5</v>
      </c>
      <c r="G232" s="564">
        <f t="shared" ref="G232" si="167">+F232+1</f>
        <v>5.5</v>
      </c>
      <c r="H232" s="564">
        <f t="shared" ref="H232" si="168">+G232+1</f>
        <v>6.5</v>
      </c>
      <c r="I232" s="564">
        <f t="shared" ref="I232" si="169">+H232+1</f>
        <v>7.5</v>
      </c>
      <c r="J232" s="564">
        <f t="shared" ref="J232" si="170">+I232+1</f>
        <v>8.5</v>
      </c>
      <c r="K232" s="564">
        <f t="shared" ref="K232" si="171">+J232+1</f>
        <v>9.5</v>
      </c>
      <c r="L232" s="564">
        <f t="shared" ref="L232" si="172">+K232+1</f>
        <v>10.5</v>
      </c>
    </row>
    <row r="233" spans="1:15" hidden="1" outlineLevel="1" x14ac:dyDescent="0.3">
      <c r="A233" s="551" t="s">
        <v>725</v>
      </c>
      <c r="B233" s="551">
        <f t="shared" ref="B233:K233" si="173">+B223</f>
        <v>-464</v>
      </c>
      <c r="C233" s="551">
        <f t="shared" si="173"/>
        <v>-978</v>
      </c>
      <c r="D233" s="551">
        <f t="shared" si="173"/>
        <v>-869</v>
      </c>
      <c r="E233" s="551">
        <f t="shared" si="173"/>
        <v>564</v>
      </c>
      <c r="F233" s="551">
        <f t="shared" si="173"/>
        <v>1097</v>
      </c>
      <c r="G233" s="551">
        <f t="shared" si="173"/>
        <v>1331</v>
      </c>
      <c r="H233" s="551">
        <f t="shared" si="173"/>
        <v>1503</v>
      </c>
      <c r="I233" s="551">
        <f t="shared" si="173"/>
        <v>1668</v>
      </c>
      <c r="J233" s="551">
        <f t="shared" si="173"/>
        <v>1816</v>
      </c>
      <c r="K233" s="551">
        <f t="shared" si="173"/>
        <v>1990</v>
      </c>
      <c r="L233" s="563"/>
    </row>
    <row r="234" spans="1:15" hidden="1" outlineLevel="1" x14ac:dyDescent="0.3">
      <c r="A234" s="551" t="s">
        <v>165</v>
      </c>
      <c r="B234" s="565">
        <f>+(1+$G$249)^B232</f>
        <v>1.0416333327999829</v>
      </c>
      <c r="C234" s="565">
        <f t="shared" ref="C234:L234" si="174">+(1+$G$249)^C232</f>
        <v>1.1301721660879813</v>
      </c>
      <c r="D234" s="565">
        <f t="shared" si="174"/>
        <v>1.2262368002054598</v>
      </c>
      <c r="E234" s="565">
        <f t="shared" si="174"/>
        <v>1.3304669282229238</v>
      </c>
      <c r="F234" s="565">
        <f t="shared" si="174"/>
        <v>1.4435566171218723</v>
      </c>
      <c r="G234" s="565">
        <f t="shared" si="174"/>
        <v>1.5662589295772316</v>
      </c>
      <c r="H234" s="565">
        <f t="shared" si="174"/>
        <v>1.6993909385912962</v>
      </c>
      <c r="I234" s="565">
        <f t="shared" si="174"/>
        <v>1.8438391683715563</v>
      </c>
      <c r="J234" s="565">
        <f t="shared" si="174"/>
        <v>2.0005654976831382</v>
      </c>
      <c r="K234" s="565">
        <f t="shared" si="174"/>
        <v>2.1706135649862048</v>
      </c>
      <c r="L234" s="565">
        <f t="shared" si="174"/>
        <v>2.3551157180100324</v>
      </c>
    </row>
    <row r="235" spans="1:15" hidden="1" outlineLevel="1" x14ac:dyDescent="0.3">
      <c r="A235" s="551" t="s">
        <v>2910</v>
      </c>
      <c r="B235" s="1824">
        <f t="shared" ref="B235:K235" si="175">B233/B234</f>
        <v>-445.4542547642323</v>
      </c>
      <c r="C235" s="1824">
        <f t="shared" si="175"/>
        <v>-865.35488073935187</v>
      </c>
      <c r="D235" s="1824">
        <f t="shared" si="175"/>
        <v>-708.67225633286841</v>
      </c>
      <c r="E235" s="1824">
        <f t="shared" si="175"/>
        <v>423.91132619382182</v>
      </c>
      <c r="F235" s="1824">
        <f t="shared" si="175"/>
        <v>759.92862835347023</v>
      </c>
      <c r="G235" s="1824">
        <f t="shared" si="175"/>
        <v>849.79563395642811</v>
      </c>
      <c r="H235" s="1824">
        <f t="shared" si="175"/>
        <v>884.43451466553438</v>
      </c>
      <c r="I235" s="1824">
        <f t="shared" si="175"/>
        <v>904.63421572346022</v>
      </c>
      <c r="J235" s="1824">
        <f t="shared" si="175"/>
        <v>907.74333662312779</v>
      </c>
      <c r="K235" s="1824">
        <f t="shared" si="175"/>
        <v>916.79146951827295</v>
      </c>
    </row>
    <row r="236" spans="1:15" collapsed="1" x14ac:dyDescent="0.3">
      <c r="A236" s="551"/>
      <c r="B236" s="551"/>
      <c r="C236" s="551"/>
      <c r="D236" s="563"/>
      <c r="E236" s="566"/>
      <c r="F236" s="563"/>
      <c r="G236" s="144"/>
      <c r="H236" s="563"/>
      <c r="I236" s="563"/>
      <c r="J236" s="563"/>
      <c r="K236" s="563"/>
      <c r="L236" s="563"/>
      <c r="M236" s="239"/>
      <c r="N236" s="239"/>
      <c r="O236" s="239"/>
    </row>
    <row r="237" spans="1:15" x14ac:dyDescent="0.3">
      <c r="A237" s="567" t="s">
        <v>2911</v>
      </c>
      <c r="B237" s="551">
        <f>IF(L223&gt;0,L223,0)</f>
        <v>2179.2225000000003</v>
      </c>
      <c r="C237" s="551"/>
      <c r="D237" s="560"/>
      <c r="E237" s="551"/>
      <c r="F237" s="551"/>
      <c r="G237" s="551"/>
      <c r="H237" s="551"/>
      <c r="I237" s="551"/>
      <c r="J237" s="551"/>
      <c r="K237" s="551"/>
      <c r="L237" s="551"/>
      <c r="M237" s="264"/>
      <c r="N237" s="264"/>
      <c r="O237" s="264"/>
    </row>
    <row r="238" spans="1:15" x14ac:dyDescent="0.3">
      <c r="A238" s="568" t="s">
        <v>2913</v>
      </c>
      <c r="B238" s="1773">
        <f>G249-G253</f>
        <v>7.7500000000000013E-2</v>
      </c>
      <c r="C238" s="551"/>
      <c r="D238" s="570"/>
      <c r="E238" s="574"/>
      <c r="F238" s="574"/>
      <c r="G238" s="574"/>
      <c r="H238" s="570"/>
      <c r="I238" s="574"/>
      <c r="J238" s="574"/>
      <c r="K238" s="574"/>
      <c r="L238" s="570"/>
      <c r="M238" s="264"/>
      <c r="N238" s="264"/>
      <c r="O238" s="262"/>
    </row>
    <row r="239" spans="1:15" x14ac:dyDescent="0.3">
      <c r="A239" s="571" t="s">
        <v>254</v>
      </c>
      <c r="B239" s="572">
        <f>B237/B238</f>
        <v>28119</v>
      </c>
      <c r="C239" s="551"/>
      <c r="D239" s="563"/>
      <c r="E239" s="563"/>
      <c r="F239" s="563"/>
      <c r="G239" s="563"/>
      <c r="H239" s="563"/>
      <c r="I239" s="563"/>
      <c r="J239" s="563"/>
      <c r="K239" s="563"/>
      <c r="L239" s="563"/>
      <c r="M239" s="262"/>
      <c r="N239" s="262"/>
      <c r="O239" s="262"/>
    </row>
    <row r="240" spans="1:15" x14ac:dyDescent="0.3">
      <c r="A240" s="568" t="s">
        <v>255</v>
      </c>
      <c r="B240" s="573">
        <f>L234</f>
        <v>2.3551157180100324</v>
      </c>
      <c r="C240" s="551"/>
      <c r="D240" s="563"/>
      <c r="E240" s="563"/>
      <c r="F240" s="563"/>
      <c r="G240" s="563"/>
      <c r="H240" s="563"/>
      <c r="I240" s="563"/>
      <c r="J240" s="563"/>
      <c r="K240" s="563"/>
      <c r="L240" s="563"/>
      <c r="M240" s="262"/>
      <c r="N240" s="262"/>
      <c r="O240" s="262"/>
    </row>
    <row r="241" spans="1:15" x14ac:dyDescent="0.3">
      <c r="A241" s="571" t="s">
        <v>256</v>
      </c>
      <c r="B241" s="572">
        <f>B239/B240</f>
        <v>11939.540713421631</v>
      </c>
      <c r="C241" s="551"/>
      <c r="D241" s="563"/>
      <c r="E241" s="563"/>
      <c r="F241" s="563"/>
      <c r="G241" s="563"/>
      <c r="H241" s="563"/>
      <c r="I241" s="563"/>
      <c r="J241" s="563"/>
      <c r="K241" s="563"/>
      <c r="L241" s="563"/>
      <c r="M241" s="262"/>
      <c r="N241" s="262"/>
      <c r="O241" s="262"/>
    </row>
    <row r="242" spans="1:15" x14ac:dyDescent="0.3">
      <c r="A242" s="568" t="s">
        <v>257</v>
      </c>
      <c r="B242" s="551">
        <f>SUM(B235:K235)</f>
        <v>3627.7577331976631</v>
      </c>
      <c r="C242" s="551"/>
      <c r="D242" s="1255"/>
      <c r="E242" s="563"/>
      <c r="F242" s="563"/>
      <c r="G242" s="563"/>
      <c r="H242" s="1255"/>
      <c r="I242" s="563"/>
      <c r="J242" s="563"/>
      <c r="K242" s="563"/>
      <c r="L242" s="563"/>
      <c r="M242" s="262"/>
      <c r="N242" s="262"/>
      <c r="O242" s="262"/>
    </row>
    <row r="243" spans="1:15" x14ac:dyDescent="0.3">
      <c r="A243" s="568" t="s">
        <v>2919</v>
      </c>
      <c r="B243" s="1764">
        <v>1375</v>
      </c>
      <c r="C243" s="565"/>
      <c r="D243" s="578"/>
      <c r="E243" s="574"/>
      <c r="F243" s="574"/>
      <c r="G243" s="574"/>
      <c r="H243" s="578"/>
      <c r="I243" s="574"/>
      <c r="J243" s="574"/>
      <c r="K243" s="574"/>
      <c r="L243" s="574"/>
      <c r="M243" s="266"/>
      <c r="N243" s="266"/>
      <c r="O243" s="262"/>
    </row>
    <row r="244" spans="1:15" x14ac:dyDescent="0.3">
      <c r="A244" s="571" t="s">
        <v>2921</v>
      </c>
      <c r="B244" s="1826">
        <f>+B241+B242+B243</f>
        <v>16942.298446619294</v>
      </c>
      <c r="C244" s="551"/>
      <c r="D244" s="563"/>
      <c r="E244" s="563"/>
      <c r="F244" s="563"/>
      <c r="G244" s="563"/>
      <c r="H244" s="563"/>
      <c r="I244" s="563"/>
      <c r="J244" s="563"/>
      <c r="K244" s="563"/>
      <c r="L244" s="563"/>
      <c r="M244" s="262"/>
      <c r="N244" s="262"/>
      <c r="O244" s="262"/>
    </row>
    <row r="245" spans="1:15" x14ac:dyDescent="0.3">
      <c r="A245" s="568" t="s">
        <v>1267</v>
      </c>
      <c r="B245" s="259">
        <f>B201</f>
        <v>10027</v>
      </c>
      <c r="C245" s="144"/>
      <c r="D245" s="563"/>
      <c r="E245" s="563"/>
      <c r="F245" s="563"/>
      <c r="G245" s="563"/>
      <c r="H245" s="563"/>
      <c r="I245" s="563"/>
      <c r="J245" s="563"/>
      <c r="K245" s="563"/>
      <c r="L245" s="563"/>
      <c r="M245" s="262"/>
      <c r="N245" s="262"/>
      <c r="O245" s="262"/>
    </row>
    <row r="246" spans="1:15" x14ac:dyDescent="0.3">
      <c r="A246" s="568" t="s">
        <v>3208</v>
      </c>
      <c r="B246" s="259">
        <f>B202</f>
        <v>209</v>
      </c>
      <c r="C246" s="144"/>
      <c r="D246" s="563"/>
      <c r="E246" s="563"/>
      <c r="F246" s="563"/>
      <c r="G246" s="563"/>
      <c r="H246" s="563"/>
      <c r="I246" s="563"/>
      <c r="J246" s="563"/>
      <c r="K246" s="563"/>
      <c r="L246" s="563"/>
      <c r="M246" s="262"/>
      <c r="N246" s="262"/>
      <c r="O246" s="262"/>
    </row>
    <row r="247" spans="1:15" x14ac:dyDescent="0.3">
      <c r="A247" s="568" t="s">
        <v>2924</v>
      </c>
      <c r="B247" s="551">
        <v>0</v>
      </c>
      <c r="C247" s="551"/>
      <c r="D247" s="563"/>
      <c r="E247" s="563"/>
      <c r="F247" s="563"/>
      <c r="G247" s="563"/>
      <c r="H247" s="563"/>
      <c r="I247" s="563"/>
      <c r="J247" s="563"/>
      <c r="K247" s="563"/>
      <c r="L247" s="563"/>
      <c r="M247" s="262"/>
      <c r="N247" s="262"/>
      <c r="O247" s="262"/>
    </row>
    <row r="248" spans="1:15" ht="12.5" thickBot="1" x14ac:dyDescent="0.35">
      <c r="A248" s="571" t="s">
        <v>2926</v>
      </c>
      <c r="B248" s="1826">
        <f>B244-B245+B247-B246</f>
        <v>6706.2984466192938</v>
      </c>
      <c r="C248" s="570"/>
      <c r="D248" s="563"/>
      <c r="E248" s="563"/>
      <c r="F248" s="563"/>
      <c r="G248" s="563"/>
      <c r="H248" s="563"/>
      <c r="I248" s="563"/>
      <c r="J248" s="563"/>
      <c r="K248" s="563"/>
      <c r="L248" s="563"/>
      <c r="M248" s="266"/>
      <c r="N248" s="266"/>
      <c r="O248" s="266"/>
    </row>
    <row r="249" spans="1:15" ht="12.5" thickBot="1" x14ac:dyDescent="0.35">
      <c r="A249" s="568" t="s">
        <v>259</v>
      </c>
      <c r="B249" s="551">
        <f>B205</f>
        <v>249.53199999999998</v>
      </c>
      <c r="C249" s="570"/>
      <c r="D249" s="551" t="s">
        <v>2929</v>
      </c>
      <c r="E249" s="144"/>
      <c r="F249" s="551"/>
      <c r="G249" s="1770">
        <v>8.5000000000000006E-2</v>
      </c>
      <c r="H249" s="144"/>
      <c r="I249" s="563"/>
      <c r="J249" s="563"/>
      <c r="K249" s="563"/>
      <c r="L249" s="563"/>
      <c r="M249" s="262"/>
      <c r="N249" s="262"/>
      <c r="O249" s="262"/>
    </row>
    <row r="250" spans="1:15" ht="12.5" thickBot="1" x14ac:dyDescent="0.35">
      <c r="A250" s="568" t="s">
        <v>873</v>
      </c>
      <c r="B250" s="579">
        <f>B248/B249</f>
        <v>26.875504731334235</v>
      </c>
      <c r="C250" s="570"/>
      <c r="D250" s="551"/>
      <c r="E250" s="144"/>
      <c r="F250" s="551"/>
      <c r="G250" s="551"/>
      <c r="H250" s="563"/>
      <c r="I250" s="563"/>
      <c r="J250" s="563"/>
      <c r="K250" s="563"/>
      <c r="L250" s="563"/>
      <c r="M250" s="262"/>
      <c r="N250" s="262"/>
      <c r="O250" s="262"/>
    </row>
    <row r="251" spans="1:15" ht="13" thickTop="1" thickBot="1" x14ac:dyDescent="0.35">
      <c r="A251" s="557" t="s">
        <v>2930</v>
      </c>
      <c r="B251" s="581">
        <f>+B250/Valuation!$B$6-1</f>
        <v>-0.248867950493733</v>
      </c>
      <c r="C251" s="551"/>
      <c r="D251" s="560"/>
      <c r="E251" s="144"/>
      <c r="F251" s="563"/>
      <c r="G251" s="551"/>
      <c r="H251" s="563"/>
      <c r="I251" s="574"/>
      <c r="J251" s="574"/>
      <c r="K251" s="574"/>
      <c r="L251" s="574"/>
      <c r="M251" s="262"/>
      <c r="N251" s="262"/>
      <c r="O251" s="262"/>
    </row>
    <row r="252" spans="1:15" x14ac:dyDescent="0.3">
      <c r="A252" s="557" t="s">
        <v>2931</v>
      </c>
      <c r="B252" s="558">
        <f>+(SUM(B245:B245)-B247)/L216</f>
        <v>2.2711906253079084</v>
      </c>
      <c r="C252" s="551"/>
      <c r="D252" s="551" t="s">
        <v>124</v>
      </c>
      <c r="E252" s="144"/>
      <c r="F252" s="563"/>
      <c r="G252" s="1771">
        <v>0.25</v>
      </c>
      <c r="H252" s="563"/>
      <c r="I252" s="574"/>
      <c r="J252" s="574"/>
      <c r="K252" s="574"/>
      <c r="L252" s="574"/>
      <c r="M252" s="262"/>
      <c r="N252" s="262"/>
      <c r="O252" s="262"/>
    </row>
    <row r="253" spans="1:15" ht="12.5" thickBot="1" x14ac:dyDescent="0.35">
      <c r="A253" s="557" t="s">
        <v>2933</v>
      </c>
      <c r="B253" s="558">
        <f>B239/L216</f>
        <v>6.3691641760280318</v>
      </c>
      <c r="C253" s="570"/>
      <c r="D253" s="551" t="s">
        <v>2934</v>
      </c>
      <c r="E253" s="144"/>
      <c r="F253" s="563"/>
      <c r="G253" s="1772">
        <v>7.4999999999999997E-3</v>
      </c>
      <c r="H253" s="563"/>
      <c r="I253" s="1183"/>
      <c r="J253" s="1183"/>
      <c r="K253" s="1183"/>
      <c r="L253" s="1183"/>
      <c r="M253" s="262"/>
      <c r="N253" s="262"/>
      <c r="O253" s="262"/>
    </row>
    <row r="254" spans="1:15" x14ac:dyDescent="0.3">
      <c r="A254" s="494"/>
      <c r="B254" s="553"/>
      <c r="C254" s="494"/>
      <c r="D254" s="494"/>
      <c r="E254" s="494"/>
      <c r="F254" s="494"/>
      <c r="G254" s="587"/>
      <c r="H254" s="587"/>
      <c r="I254" s="587"/>
      <c r="J254" s="587"/>
      <c r="K254" s="587"/>
      <c r="L254" s="587"/>
      <c r="M254" s="1220"/>
      <c r="N254" s="1220"/>
      <c r="O254" s="1220"/>
    </row>
    <row r="261" spans="1:4" x14ac:dyDescent="0.3">
      <c r="A261" s="551" t="s">
        <v>2914</v>
      </c>
      <c r="B261" s="144"/>
      <c r="C261" s="551"/>
      <c r="D261" s="582">
        <v>3.8699999999999998E-2</v>
      </c>
    </row>
    <row r="262" spans="1:4" x14ac:dyDescent="0.3">
      <c r="A262" s="551" t="s">
        <v>2915</v>
      </c>
      <c r="B262" s="144"/>
      <c r="C262" s="551"/>
      <c r="D262" s="583">
        <v>3.9600000000000003E-2</v>
      </c>
    </row>
    <row r="263" spans="1:4" x14ac:dyDescent="0.3">
      <c r="A263" s="551" t="s">
        <v>2916</v>
      </c>
      <c r="B263" s="144"/>
      <c r="C263" s="551"/>
      <c r="D263" s="584">
        <v>1.1000000000000001</v>
      </c>
    </row>
    <row r="264" spans="1:4" x14ac:dyDescent="0.3">
      <c r="A264" s="551" t="s">
        <v>2917</v>
      </c>
      <c r="B264" s="144"/>
      <c r="C264" s="551"/>
      <c r="D264" s="574">
        <f>D261+D262*D263</f>
        <v>8.226E-2</v>
      </c>
    </row>
    <row r="265" spans="1:4" x14ac:dyDescent="0.3">
      <c r="A265" s="551" t="s">
        <v>2918</v>
      </c>
      <c r="B265" s="144"/>
      <c r="C265" s="551"/>
      <c r="D265" s="270">
        <v>0.4</v>
      </c>
    </row>
    <row r="266" spans="1:4" x14ac:dyDescent="0.3">
      <c r="A266" s="551" t="s">
        <v>2920</v>
      </c>
      <c r="B266" s="144"/>
      <c r="C266" s="576"/>
      <c r="D266" s="577">
        <f>D264*D265</f>
        <v>3.2904000000000003E-2</v>
      </c>
    </row>
    <row r="267" spans="1:4" x14ac:dyDescent="0.3">
      <c r="A267" s="551"/>
      <c r="B267" s="144"/>
      <c r="C267" s="551"/>
      <c r="D267" s="551"/>
    </row>
    <row r="268" spans="1:4" x14ac:dyDescent="0.3">
      <c r="A268" s="551" t="s">
        <v>2923</v>
      </c>
      <c r="B268" s="144"/>
      <c r="C268" s="551"/>
      <c r="D268" s="270">
        <v>7.3999999999999996E-2</v>
      </c>
    </row>
    <row r="269" spans="1:4" x14ac:dyDescent="0.3">
      <c r="A269" s="551" t="s">
        <v>2925</v>
      </c>
      <c r="B269" s="144"/>
      <c r="C269" s="144"/>
      <c r="D269" s="1083">
        <f>D268*(1-D275)</f>
        <v>5.5499999999999994E-2</v>
      </c>
    </row>
    <row r="270" spans="1:4" x14ac:dyDescent="0.3">
      <c r="A270" s="551" t="s">
        <v>2927</v>
      </c>
      <c r="B270" s="144"/>
      <c r="C270" s="559"/>
      <c r="D270" s="574">
        <f>1-D265</f>
        <v>0.6</v>
      </c>
    </row>
    <row r="271" spans="1:4" x14ac:dyDescent="0.3">
      <c r="A271" s="551" t="s">
        <v>2928</v>
      </c>
      <c r="B271" s="144"/>
      <c r="C271" s="551"/>
      <c r="D271" s="577">
        <f>D269*D270</f>
        <v>3.3299999999999996E-2</v>
      </c>
    </row>
    <row r="272" spans="1:4" ht="12.5" thickBot="1" x14ac:dyDescent="0.35">
      <c r="A272" s="551" t="s">
        <v>2929</v>
      </c>
      <c r="B272" s="144"/>
      <c r="C272" s="551"/>
      <c r="D272" s="580">
        <f>+D271+D266</f>
        <v>6.6203999999999999E-2</v>
      </c>
    </row>
    <row r="273" spans="1:5" ht="12.5" thickTop="1" x14ac:dyDescent="0.3">
      <c r="A273" s="551"/>
      <c r="B273" s="144"/>
      <c r="C273" s="551"/>
      <c r="D273" s="551"/>
    </row>
    <row r="274" spans="1:5" x14ac:dyDescent="0.3">
      <c r="A274" s="560" t="s">
        <v>2932</v>
      </c>
      <c r="B274" s="144"/>
      <c r="C274" s="563"/>
      <c r="D274" s="551"/>
    </row>
    <row r="275" spans="1:5" x14ac:dyDescent="0.3">
      <c r="A275" s="551" t="s">
        <v>124</v>
      </c>
      <c r="B275" s="144"/>
      <c r="C275" s="563"/>
      <c r="D275" s="582">
        <v>0.25</v>
      </c>
    </row>
    <row r="276" spans="1:5" x14ac:dyDescent="0.3">
      <c r="A276" s="551" t="s">
        <v>2934</v>
      </c>
      <c r="B276" s="144"/>
      <c r="C276" s="563"/>
      <c r="D276" s="585">
        <v>0.01</v>
      </c>
    </row>
    <row r="286" spans="1:5" ht="13" x14ac:dyDescent="0.3">
      <c r="A286" s="1774">
        <v>45292</v>
      </c>
      <c r="B286" s="1775"/>
      <c r="D286" s="1777" t="s">
        <v>3212</v>
      </c>
      <c r="E286" s="1778">
        <f>AVERAGE(B286:B308)</f>
        <v>4.0580952380952384</v>
      </c>
    </row>
    <row r="287" spans="1:5" ht="13" x14ac:dyDescent="0.3">
      <c r="A287" s="1774">
        <v>45293</v>
      </c>
      <c r="B287" s="1776">
        <v>3.95</v>
      </c>
      <c r="D287" s="1777" t="s">
        <v>3213</v>
      </c>
      <c r="E287" s="1778">
        <f>AVERAGE(B309:B329)</f>
        <v>4.2075000000000005</v>
      </c>
    </row>
    <row r="288" spans="1:5" ht="13" x14ac:dyDescent="0.3">
      <c r="A288" s="1774">
        <v>45294</v>
      </c>
      <c r="B288" s="1776">
        <v>3.91</v>
      </c>
      <c r="D288" s="1777" t="s">
        <v>3214</v>
      </c>
      <c r="E288" s="1778">
        <f>AVERAGE(B330:B350)</f>
        <v>4.208499999999999</v>
      </c>
    </row>
    <row r="289" spans="1:5" ht="13" x14ac:dyDescent="0.3">
      <c r="A289" s="1774">
        <v>45295</v>
      </c>
      <c r="B289" s="1776">
        <v>3.99</v>
      </c>
      <c r="D289" s="1777" t="s">
        <v>3215</v>
      </c>
      <c r="E289" s="1778">
        <f>AVERAGE(B351:B372)</f>
        <v>4.53909090909091</v>
      </c>
    </row>
    <row r="290" spans="1:5" ht="13" x14ac:dyDescent="0.3">
      <c r="A290" s="1774">
        <v>45296</v>
      </c>
      <c r="B290" s="1776">
        <v>4.05</v>
      </c>
      <c r="D290" s="1777" t="s">
        <v>3216</v>
      </c>
      <c r="E290" s="1778">
        <f>AVERAGE(B373:B395)</f>
        <v>4.4822727272727274</v>
      </c>
    </row>
    <row r="291" spans="1:5" ht="13" x14ac:dyDescent="0.3">
      <c r="A291" s="1774">
        <v>45299</v>
      </c>
      <c r="B291" s="1776">
        <v>4.01</v>
      </c>
      <c r="D291" s="1777" t="s">
        <v>3217</v>
      </c>
      <c r="E291" s="1778">
        <f>AVERAGE(B396:B415)</f>
        <v>4.3052631578947373</v>
      </c>
    </row>
    <row r="292" spans="1:5" ht="13" x14ac:dyDescent="0.3">
      <c r="A292" s="1774">
        <v>45300</v>
      </c>
      <c r="B292" s="1776">
        <v>4.0199999999999996</v>
      </c>
      <c r="D292" s="1777" t="s">
        <v>3218</v>
      </c>
      <c r="E292" s="1778">
        <f>AVERAGE(B416:B438)</f>
        <v>4.2486363636363649</v>
      </c>
    </row>
    <row r="293" spans="1:5" ht="13" x14ac:dyDescent="0.3">
      <c r="A293" s="1774">
        <v>45301</v>
      </c>
      <c r="B293" s="1776">
        <v>4.04</v>
      </c>
      <c r="D293" s="1777" t="s">
        <v>3219</v>
      </c>
      <c r="E293" s="1778">
        <f>AVERAGE(B439:B460)</f>
        <v>3.8709090909090906</v>
      </c>
    </row>
    <row r="294" spans="1:5" ht="13" x14ac:dyDescent="0.3">
      <c r="A294" s="1774">
        <v>45302</v>
      </c>
      <c r="B294" s="1776">
        <v>3.98</v>
      </c>
    </row>
    <row r="295" spans="1:5" ht="13" x14ac:dyDescent="0.3">
      <c r="A295" s="1774">
        <v>45303</v>
      </c>
      <c r="B295" s="1776">
        <v>3.96</v>
      </c>
    </row>
    <row r="296" spans="1:5" ht="13" x14ac:dyDescent="0.3">
      <c r="A296" s="1774">
        <v>45306</v>
      </c>
      <c r="B296" s="1775"/>
    </row>
    <row r="297" spans="1:5" ht="13" x14ac:dyDescent="0.3">
      <c r="A297" s="1774">
        <v>45307</v>
      </c>
      <c r="B297" s="1776">
        <v>4.07</v>
      </c>
    </row>
    <row r="298" spans="1:5" ht="13" x14ac:dyDescent="0.3">
      <c r="A298" s="1774">
        <v>45308</v>
      </c>
      <c r="B298" s="1776">
        <v>4.0999999999999996</v>
      </c>
    </row>
    <row r="299" spans="1:5" ht="13" x14ac:dyDescent="0.3">
      <c r="A299" s="1774">
        <v>45309</v>
      </c>
      <c r="B299" s="1776">
        <v>4.1399999999999997</v>
      </c>
    </row>
    <row r="300" spans="1:5" ht="13" x14ac:dyDescent="0.3">
      <c r="A300" s="1774">
        <v>45310</v>
      </c>
      <c r="B300" s="1776">
        <v>4.1500000000000004</v>
      </c>
    </row>
    <row r="301" spans="1:5" ht="13" x14ac:dyDescent="0.3">
      <c r="A301" s="1774">
        <v>45313</v>
      </c>
      <c r="B301" s="1776">
        <v>4.1100000000000003</v>
      </c>
    </row>
    <row r="302" spans="1:5" ht="13" x14ac:dyDescent="0.3">
      <c r="A302" s="1774">
        <v>45314</v>
      </c>
      <c r="B302" s="1776">
        <v>4.1399999999999997</v>
      </c>
    </row>
    <row r="303" spans="1:5" ht="13" x14ac:dyDescent="0.3">
      <c r="A303" s="1774">
        <v>45315</v>
      </c>
      <c r="B303" s="1776">
        <v>4.18</v>
      </c>
    </row>
    <row r="304" spans="1:5" ht="13" x14ac:dyDescent="0.3">
      <c r="A304" s="1774">
        <v>45316</v>
      </c>
      <c r="B304" s="1776">
        <v>4.1399999999999997</v>
      </c>
    </row>
    <row r="305" spans="1:2" ht="13" x14ac:dyDescent="0.3">
      <c r="A305" s="1774">
        <v>45317</v>
      </c>
      <c r="B305" s="1776">
        <v>4.1500000000000004</v>
      </c>
    </row>
    <row r="306" spans="1:2" ht="13" x14ac:dyDescent="0.3">
      <c r="A306" s="1774">
        <v>45320</v>
      </c>
      <c r="B306" s="1776">
        <v>4.08</v>
      </c>
    </row>
    <row r="307" spans="1:2" ht="13" x14ac:dyDescent="0.3">
      <c r="A307" s="1774">
        <v>45321</v>
      </c>
      <c r="B307" s="1776">
        <v>4.0599999999999996</v>
      </c>
    </row>
    <row r="308" spans="1:2" ht="13" x14ac:dyDescent="0.3">
      <c r="A308" s="1774">
        <v>45322</v>
      </c>
      <c r="B308" s="1776">
        <v>3.99</v>
      </c>
    </row>
    <row r="309" spans="1:2" ht="13" x14ac:dyDescent="0.3">
      <c r="A309" s="1774">
        <v>45323</v>
      </c>
      <c r="B309" s="1776">
        <v>3.87</v>
      </c>
    </row>
    <row r="310" spans="1:2" ht="13" x14ac:dyDescent="0.3">
      <c r="A310" s="1774">
        <v>45324</v>
      </c>
      <c r="B310" s="1776">
        <v>4.03</v>
      </c>
    </row>
    <row r="311" spans="1:2" ht="13" x14ac:dyDescent="0.3">
      <c r="A311" s="1774">
        <v>45327</v>
      </c>
      <c r="B311" s="1776">
        <v>4.17</v>
      </c>
    </row>
    <row r="312" spans="1:2" ht="13" x14ac:dyDescent="0.3">
      <c r="A312" s="1774">
        <v>45328</v>
      </c>
      <c r="B312" s="1776">
        <v>4.09</v>
      </c>
    </row>
    <row r="313" spans="1:2" ht="13" x14ac:dyDescent="0.3">
      <c r="A313" s="1774">
        <v>45329</v>
      </c>
      <c r="B313" s="1776">
        <v>4.09</v>
      </c>
    </row>
    <row r="314" spans="1:2" ht="13" x14ac:dyDescent="0.3">
      <c r="A314" s="1774">
        <v>45330</v>
      </c>
      <c r="B314" s="1776">
        <v>4.1500000000000004</v>
      </c>
    </row>
    <row r="315" spans="1:2" ht="13" x14ac:dyDescent="0.3">
      <c r="A315" s="1774">
        <v>45331</v>
      </c>
      <c r="B315" s="1776">
        <v>4.17</v>
      </c>
    </row>
    <row r="316" spans="1:2" ht="13" x14ac:dyDescent="0.3">
      <c r="A316" s="1774">
        <v>45334</v>
      </c>
      <c r="B316" s="1776">
        <v>4.17</v>
      </c>
    </row>
    <row r="317" spans="1:2" ht="13" x14ac:dyDescent="0.3">
      <c r="A317" s="1774">
        <v>45335</v>
      </c>
      <c r="B317" s="1776">
        <v>4.3099999999999996</v>
      </c>
    </row>
    <row r="318" spans="1:2" ht="13" x14ac:dyDescent="0.3">
      <c r="A318" s="1774">
        <v>45336</v>
      </c>
      <c r="B318" s="1776">
        <v>4.2699999999999996</v>
      </c>
    </row>
    <row r="319" spans="1:2" ht="13" x14ac:dyDescent="0.3">
      <c r="A319" s="1774">
        <v>45337</v>
      </c>
      <c r="B319" s="1776">
        <v>4.24</v>
      </c>
    </row>
    <row r="320" spans="1:2" ht="13" x14ac:dyDescent="0.3">
      <c r="A320" s="1774">
        <v>45338</v>
      </c>
      <c r="B320" s="1776">
        <v>4.3</v>
      </c>
    </row>
    <row r="321" spans="1:2" ht="13" x14ac:dyDescent="0.3">
      <c r="A321" s="1774">
        <v>45341</v>
      </c>
      <c r="B321" s="1775"/>
    </row>
    <row r="322" spans="1:2" ht="13" x14ac:dyDescent="0.3">
      <c r="A322" s="1774">
        <v>45342</v>
      </c>
      <c r="B322" s="1776">
        <v>4.2699999999999996</v>
      </c>
    </row>
    <row r="323" spans="1:2" ht="13" x14ac:dyDescent="0.3">
      <c r="A323" s="1774">
        <v>45343</v>
      </c>
      <c r="B323" s="1776">
        <v>4.32</v>
      </c>
    </row>
    <row r="324" spans="1:2" ht="13" x14ac:dyDescent="0.3">
      <c r="A324" s="1774">
        <v>45344</v>
      </c>
      <c r="B324" s="1776">
        <v>4.33</v>
      </c>
    </row>
    <row r="325" spans="1:2" ht="13" x14ac:dyDescent="0.3">
      <c r="A325" s="1774">
        <v>45345</v>
      </c>
      <c r="B325" s="1776">
        <v>4.26</v>
      </c>
    </row>
    <row r="326" spans="1:2" ht="13" x14ac:dyDescent="0.3">
      <c r="A326" s="1774">
        <v>45348</v>
      </c>
      <c r="B326" s="1776">
        <v>4.28</v>
      </c>
    </row>
    <row r="327" spans="1:2" ht="13" x14ac:dyDescent="0.3">
      <c r="A327" s="1774">
        <v>45349</v>
      </c>
      <c r="B327" s="1776">
        <v>4.3099999999999996</v>
      </c>
    </row>
    <row r="328" spans="1:2" ht="13" x14ac:dyDescent="0.3">
      <c r="A328" s="1774">
        <v>45350</v>
      </c>
      <c r="B328" s="1776">
        <v>4.2699999999999996</v>
      </c>
    </row>
    <row r="329" spans="1:2" ht="13" x14ac:dyDescent="0.3">
      <c r="A329" s="1774">
        <v>45351</v>
      </c>
      <c r="B329" s="1776">
        <v>4.25</v>
      </c>
    </row>
    <row r="330" spans="1:2" ht="13" x14ac:dyDescent="0.3">
      <c r="A330" s="1774">
        <v>45352</v>
      </c>
      <c r="B330" s="1776">
        <v>4.1900000000000004</v>
      </c>
    </row>
    <row r="331" spans="1:2" ht="13" x14ac:dyDescent="0.3">
      <c r="A331" s="1774">
        <v>45355</v>
      </c>
      <c r="B331" s="1776">
        <v>4.22</v>
      </c>
    </row>
    <row r="332" spans="1:2" ht="13" x14ac:dyDescent="0.3">
      <c r="A332" s="1774">
        <v>45356</v>
      </c>
      <c r="B332" s="1776">
        <v>4.13</v>
      </c>
    </row>
    <row r="333" spans="1:2" ht="13" x14ac:dyDescent="0.3">
      <c r="A333" s="1774">
        <v>45357</v>
      </c>
      <c r="B333" s="1776">
        <v>4.1100000000000003</v>
      </c>
    </row>
    <row r="334" spans="1:2" ht="13" x14ac:dyDescent="0.3">
      <c r="A334" s="1774">
        <v>45358</v>
      </c>
      <c r="B334" s="1776">
        <v>4.09</v>
      </c>
    </row>
    <row r="335" spans="1:2" ht="13" x14ac:dyDescent="0.3">
      <c r="A335" s="1774">
        <v>45359</v>
      </c>
      <c r="B335" s="1776">
        <v>4.09</v>
      </c>
    </row>
    <row r="336" spans="1:2" ht="13" x14ac:dyDescent="0.3">
      <c r="A336" s="1774">
        <v>45362</v>
      </c>
      <c r="B336" s="1776">
        <v>4.0999999999999996</v>
      </c>
    </row>
    <row r="337" spans="1:2" ht="13" x14ac:dyDescent="0.3">
      <c r="A337" s="1774">
        <v>45363</v>
      </c>
      <c r="B337" s="1776">
        <v>4.16</v>
      </c>
    </row>
    <row r="338" spans="1:2" ht="13" x14ac:dyDescent="0.3">
      <c r="A338" s="1774">
        <v>45364</v>
      </c>
      <c r="B338" s="1776">
        <v>4.1900000000000004</v>
      </c>
    </row>
    <row r="339" spans="1:2" ht="13" x14ac:dyDescent="0.3">
      <c r="A339" s="1774">
        <v>45365</v>
      </c>
      <c r="B339" s="1776">
        <v>4.29</v>
      </c>
    </row>
    <row r="340" spans="1:2" ht="13" x14ac:dyDescent="0.3">
      <c r="A340" s="1774">
        <v>45366</v>
      </c>
      <c r="B340" s="1776">
        <v>4.3099999999999996</v>
      </c>
    </row>
    <row r="341" spans="1:2" ht="13" x14ac:dyDescent="0.3">
      <c r="A341" s="1774">
        <v>45369</v>
      </c>
      <c r="B341" s="1776">
        <v>4.34</v>
      </c>
    </row>
    <row r="342" spans="1:2" ht="13" x14ac:dyDescent="0.3">
      <c r="A342" s="1774">
        <v>45370</v>
      </c>
      <c r="B342" s="1776">
        <v>4.3</v>
      </c>
    </row>
    <row r="343" spans="1:2" ht="13" x14ac:dyDescent="0.3">
      <c r="A343" s="1774">
        <v>45371</v>
      </c>
      <c r="B343" s="1776">
        <v>4.2699999999999996</v>
      </c>
    </row>
    <row r="344" spans="1:2" ht="13" x14ac:dyDescent="0.3">
      <c r="A344" s="1774">
        <v>45372</v>
      </c>
      <c r="B344" s="1776">
        <v>4.2699999999999996</v>
      </c>
    </row>
    <row r="345" spans="1:2" ht="13" x14ac:dyDescent="0.3">
      <c r="A345" s="1774">
        <v>45373</v>
      </c>
      <c r="B345" s="1776">
        <v>4.22</v>
      </c>
    </row>
    <row r="346" spans="1:2" ht="13" x14ac:dyDescent="0.3">
      <c r="A346" s="1774">
        <v>45376</v>
      </c>
      <c r="B346" s="1776">
        <v>4.25</v>
      </c>
    </row>
    <row r="347" spans="1:2" ht="13" x14ac:dyDescent="0.3">
      <c r="A347" s="1774">
        <v>45377</v>
      </c>
      <c r="B347" s="1776">
        <v>4.24</v>
      </c>
    </row>
    <row r="348" spans="1:2" ht="13" x14ac:dyDescent="0.3">
      <c r="A348" s="1774">
        <v>45378</v>
      </c>
      <c r="B348" s="1776">
        <v>4.2</v>
      </c>
    </row>
    <row r="349" spans="1:2" ht="13" x14ac:dyDescent="0.3">
      <c r="A349" s="1774">
        <v>45379</v>
      </c>
      <c r="B349" s="1776">
        <v>4.2</v>
      </c>
    </row>
    <row r="350" spans="1:2" ht="13" x14ac:dyDescent="0.3">
      <c r="A350" s="1774">
        <v>45380</v>
      </c>
      <c r="B350" s="1775"/>
    </row>
    <row r="351" spans="1:2" ht="13" x14ac:dyDescent="0.3">
      <c r="A351" s="1774">
        <v>45383</v>
      </c>
      <c r="B351" s="1776">
        <v>4.33</v>
      </c>
    </row>
    <row r="352" spans="1:2" ht="13" x14ac:dyDescent="0.3">
      <c r="A352" s="1774">
        <v>45384</v>
      </c>
      <c r="B352" s="1776">
        <v>4.3600000000000003</v>
      </c>
    </row>
    <row r="353" spans="1:2" ht="13" x14ac:dyDescent="0.3">
      <c r="A353" s="1774">
        <v>45385</v>
      </c>
      <c r="B353" s="1776">
        <v>4.3600000000000003</v>
      </c>
    </row>
    <row r="354" spans="1:2" ht="13" x14ac:dyDescent="0.3">
      <c r="A354" s="1774">
        <v>45386</v>
      </c>
      <c r="B354" s="1776">
        <v>4.3099999999999996</v>
      </c>
    </row>
    <row r="355" spans="1:2" ht="13" x14ac:dyDescent="0.3">
      <c r="A355" s="1774">
        <v>45387</v>
      </c>
      <c r="B355" s="1776">
        <v>4.3899999999999997</v>
      </c>
    </row>
    <row r="356" spans="1:2" ht="13" x14ac:dyDescent="0.3">
      <c r="A356" s="1774">
        <v>45390</v>
      </c>
      <c r="B356" s="1776">
        <v>4.42</v>
      </c>
    </row>
    <row r="357" spans="1:2" ht="13" x14ac:dyDescent="0.3">
      <c r="A357" s="1774">
        <v>45391</v>
      </c>
      <c r="B357" s="1776">
        <v>4.3600000000000003</v>
      </c>
    </row>
    <row r="358" spans="1:2" ht="13" x14ac:dyDescent="0.3">
      <c r="A358" s="1774">
        <v>45392</v>
      </c>
      <c r="B358" s="1776">
        <v>4.55</v>
      </c>
    </row>
    <row r="359" spans="1:2" ht="13" x14ac:dyDescent="0.3">
      <c r="A359" s="1774">
        <v>45393</v>
      </c>
      <c r="B359" s="1776">
        <v>4.5599999999999996</v>
      </c>
    </row>
    <row r="360" spans="1:2" ht="13" x14ac:dyDescent="0.3">
      <c r="A360" s="1774">
        <v>45394</v>
      </c>
      <c r="B360" s="1776">
        <v>4.5</v>
      </c>
    </row>
    <row r="361" spans="1:2" ht="13" x14ac:dyDescent="0.3">
      <c r="A361" s="1774">
        <v>45397</v>
      </c>
      <c r="B361" s="1776">
        <v>4.63</v>
      </c>
    </row>
    <row r="362" spans="1:2" ht="13" x14ac:dyDescent="0.3">
      <c r="A362" s="1774">
        <v>45398</v>
      </c>
      <c r="B362" s="1776">
        <v>4.67</v>
      </c>
    </row>
    <row r="363" spans="1:2" ht="13" x14ac:dyDescent="0.3">
      <c r="A363" s="1774">
        <v>45399</v>
      </c>
      <c r="B363" s="1776">
        <v>4.59</v>
      </c>
    </row>
    <row r="364" spans="1:2" ht="13" x14ac:dyDescent="0.3">
      <c r="A364" s="1774">
        <v>45400</v>
      </c>
      <c r="B364" s="1776">
        <v>4.6399999999999997</v>
      </c>
    </row>
    <row r="365" spans="1:2" ht="13" x14ac:dyDescent="0.3">
      <c r="A365" s="1774">
        <v>45401</v>
      </c>
      <c r="B365" s="1776">
        <v>4.62</v>
      </c>
    </row>
    <row r="366" spans="1:2" ht="13" x14ac:dyDescent="0.3">
      <c r="A366" s="1774">
        <v>45404</v>
      </c>
      <c r="B366" s="1776">
        <v>4.62</v>
      </c>
    </row>
    <row r="367" spans="1:2" ht="13" x14ac:dyDescent="0.3">
      <c r="A367" s="1774">
        <v>45405</v>
      </c>
      <c r="B367" s="1776">
        <v>4.6100000000000003</v>
      </c>
    </row>
    <row r="368" spans="1:2" ht="13" x14ac:dyDescent="0.3">
      <c r="A368" s="1774">
        <v>45406</v>
      </c>
      <c r="B368" s="1776">
        <v>4.6500000000000004</v>
      </c>
    </row>
    <row r="369" spans="1:2" ht="13" x14ac:dyDescent="0.3">
      <c r="A369" s="1774">
        <v>45407</v>
      </c>
      <c r="B369" s="1776">
        <v>4.7</v>
      </c>
    </row>
    <row r="370" spans="1:2" ht="13" x14ac:dyDescent="0.3">
      <c r="A370" s="1774">
        <v>45408</v>
      </c>
      <c r="B370" s="1776">
        <v>4.67</v>
      </c>
    </row>
    <row r="371" spans="1:2" ht="13" x14ac:dyDescent="0.3">
      <c r="A371" s="1774">
        <v>45411</v>
      </c>
      <c r="B371" s="1776">
        <v>4.63</v>
      </c>
    </row>
    <row r="372" spans="1:2" ht="13" x14ac:dyDescent="0.3">
      <c r="A372" s="1774">
        <v>45412</v>
      </c>
      <c r="B372" s="1776">
        <v>4.6900000000000004</v>
      </c>
    </row>
    <row r="373" spans="1:2" ht="13" x14ac:dyDescent="0.3">
      <c r="A373" s="1774">
        <v>45413</v>
      </c>
      <c r="B373" s="1776">
        <v>4.63</v>
      </c>
    </row>
    <row r="374" spans="1:2" ht="13" x14ac:dyDescent="0.3">
      <c r="A374" s="1774">
        <v>45414</v>
      </c>
      <c r="B374" s="1776">
        <v>4.58</v>
      </c>
    </row>
    <row r="375" spans="1:2" ht="13" x14ac:dyDescent="0.3">
      <c r="A375" s="1774">
        <v>45415</v>
      </c>
      <c r="B375" s="1776">
        <v>4.5</v>
      </c>
    </row>
    <row r="376" spans="1:2" ht="13" x14ac:dyDescent="0.3">
      <c r="A376" s="1774">
        <v>45418</v>
      </c>
      <c r="B376" s="1776">
        <v>4.49</v>
      </c>
    </row>
    <row r="377" spans="1:2" ht="13" x14ac:dyDescent="0.3">
      <c r="A377" s="1774">
        <v>45419</v>
      </c>
      <c r="B377" s="1776">
        <v>4.47</v>
      </c>
    </row>
    <row r="378" spans="1:2" ht="13" x14ac:dyDescent="0.3">
      <c r="A378" s="1774">
        <v>45420</v>
      </c>
      <c r="B378" s="1776">
        <v>4.4800000000000004</v>
      </c>
    </row>
    <row r="379" spans="1:2" ht="13" x14ac:dyDescent="0.3">
      <c r="A379" s="1774">
        <v>45421</v>
      </c>
      <c r="B379" s="1776">
        <v>4.45</v>
      </c>
    </row>
    <row r="380" spans="1:2" ht="13" x14ac:dyDescent="0.3">
      <c r="A380" s="1774">
        <v>45422</v>
      </c>
      <c r="B380" s="1776">
        <v>4.5</v>
      </c>
    </row>
    <row r="381" spans="1:2" ht="13" x14ac:dyDescent="0.3">
      <c r="A381" s="1774">
        <v>45425</v>
      </c>
      <c r="B381" s="1776">
        <v>4.4800000000000004</v>
      </c>
    </row>
    <row r="382" spans="1:2" ht="13" x14ac:dyDescent="0.3">
      <c r="A382" s="1774">
        <v>45426</v>
      </c>
      <c r="B382" s="1776">
        <v>4.45</v>
      </c>
    </row>
    <row r="383" spans="1:2" ht="13" x14ac:dyDescent="0.3">
      <c r="A383" s="1774">
        <v>45427</v>
      </c>
      <c r="B383" s="1776">
        <v>4.3600000000000003</v>
      </c>
    </row>
    <row r="384" spans="1:2" ht="13" x14ac:dyDescent="0.3">
      <c r="A384" s="1774">
        <v>45428</v>
      </c>
      <c r="B384" s="1776">
        <v>4.38</v>
      </c>
    </row>
    <row r="385" spans="1:2" ht="13" x14ac:dyDescent="0.3">
      <c r="A385" s="1774">
        <v>45429</v>
      </c>
      <c r="B385" s="1776">
        <v>4.42</v>
      </c>
    </row>
    <row r="386" spans="1:2" ht="13" x14ac:dyDescent="0.3">
      <c r="A386" s="1774">
        <v>45432</v>
      </c>
      <c r="B386" s="1776">
        <v>4.4400000000000004</v>
      </c>
    </row>
    <row r="387" spans="1:2" ht="13" x14ac:dyDescent="0.3">
      <c r="A387" s="1774">
        <v>45433</v>
      </c>
      <c r="B387" s="1776">
        <v>4.41</v>
      </c>
    </row>
    <row r="388" spans="1:2" ht="13" x14ac:dyDescent="0.3">
      <c r="A388" s="1774">
        <v>45434</v>
      </c>
      <c r="B388" s="1776">
        <v>4.43</v>
      </c>
    </row>
    <row r="389" spans="1:2" ht="13" x14ac:dyDescent="0.3">
      <c r="A389" s="1774">
        <v>45435</v>
      </c>
      <c r="B389" s="1776">
        <v>4.47</v>
      </c>
    </row>
    <row r="390" spans="1:2" ht="13" x14ac:dyDescent="0.3">
      <c r="A390" s="1774">
        <v>45436</v>
      </c>
      <c r="B390" s="1776">
        <v>4.46</v>
      </c>
    </row>
    <row r="391" spans="1:2" ht="13" x14ac:dyDescent="0.3">
      <c r="A391" s="1774">
        <v>45439</v>
      </c>
      <c r="B391" s="1775"/>
    </row>
    <row r="392" spans="1:2" ht="13" x14ac:dyDescent="0.3">
      <c r="A392" s="1774">
        <v>45440</v>
      </c>
      <c r="B392" s="1776">
        <v>4.54</v>
      </c>
    </row>
    <row r="393" spans="1:2" ht="13" x14ac:dyDescent="0.3">
      <c r="A393" s="1774">
        <v>45441</v>
      </c>
      <c r="B393" s="1776">
        <v>4.6100000000000003</v>
      </c>
    </row>
    <row r="394" spans="1:2" ht="13" x14ac:dyDescent="0.3">
      <c r="A394" s="1774">
        <v>45442</v>
      </c>
      <c r="B394" s="1776">
        <v>4.55</v>
      </c>
    </row>
    <row r="395" spans="1:2" ht="13" x14ac:dyDescent="0.3">
      <c r="A395" s="1774">
        <v>45443</v>
      </c>
      <c r="B395" s="1776">
        <v>4.51</v>
      </c>
    </row>
    <row r="396" spans="1:2" ht="13" x14ac:dyDescent="0.3">
      <c r="A396" s="1774">
        <v>45446</v>
      </c>
      <c r="B396" s="1776">
        <v>4.41</v>
      </c>
    </row>
    <row r="397" spans="1:2" ht="13" x14ac:dyDescent="0.3">
      <c r="A397" s="1774">
        <v>45447</v>
      </c>
      <c r="B397" s="1776">
        <v>4.33</v>
      </c>
    </row>
    <row r="398" spans="1:2" ht="13" x14ac:dyDescent="0.3">
      <c r="A398" s="1774">
        <v>45448</v>
      </c>
      <c r="B398" s="1776">
        <v>4.29</v>
      </c>
    </row>
    <row r="399" spans="1:2" ht="13" x14ac:dyDescent="0.3">
      <c r="A399" s="1774">
        <v>45449</v>
      </c>
      <c r="B399" s="1776">
        <v>4.28</v>
      </c>
    </row>
    <row r="400" spans="1:2" ht="13" x14ac:dyDescent="0.3">
      <c r="A400" s="1774">
        <v>45450</v>
      </c>
      <c r="B400" s="1776">
        <v>4.43</v>
      </c>
    </row>
    <row r="401" spans="1:2" ht="13" x14ac:dyDescent="0.3">
      <c r="A401" s="1774">
        <v>45453</v>
      </c>
      <c r="B401" s="1776">
        <v>4.47</v>
      </c>
    </row>
    <row r="402" spans="1:2" ht="13" x14ac:dyDescent="0.3">
      <c r="A402" s="1774">
        <v>45454</v>
      </c>
      <c r="B402" s="1776">
        <v>4.3899999999999997</v>
      </c>
    </row>
    <row r="403" spans="1:2" ht="13" x14ac:dyDescent="0.3">
      <c r="A403" s="1774">
        <v>45455</v>
      </c>
      <c r="B403" s="1776">
        <v>4.3099999999999996</v>
      </c>
    </row>
    <row r="404" spans="1:2" ht="13" x14ac:dyDescent="0.3">
      <c r="A404" s="1774">
        <v>45456</v>
      </c>
      <c r="B404" s="1776">
        <v>4.24</v>
      </c>
    </row>
    <row r="405" spans="1:2" ht="13" x14ac:dyDescent="0.3">
      <c r="A405" s="1774">
        <v>45457</v>
      </c>
      <c r="B405" s="1776">
        <v>4.2</v>
      </c>
    </row>
    <row r="406" spans="1:2" ht="13" x14ac:dyDescent="0.3">
      <c r="A406" s="1774">
        <v>45460</v>
      </c>
      <c r="B406" s="1776">
        <v>4.28</v>
      </c>
    </row>
    <row r="407" spans="1:2" ht="13" x14ac:dyDescent="0.3">
      <c r="A407" s="1774">
        <v>45461</v>
      </c>
      <c r="B407" s="1776">
        <v>4.22</v>
      </c>
    </row>
    <row r="408" spans="1:2" ht="13" x14ac:dyDescent="0.3">
      <c r="A408" s="1774">
        <v>45462</v>
      </c>
      <c r="B408" s="1775"/>
    </row>
    <row r="409" spans="1:2" ht="13" x14ac:dyDescent="0.3">
      <c r="A409" s="1774">
        <v>45463</v>
      </c>
      <c r="B409" s="1776">
        <v>4.25</v>
      </c>
    </row>
    <row r="410" spans="1:2" ht="13" x14ac:dyDescent="0.3">
      <c r="A410" s="1774">
        <v>45464</v>
      </c>
      <c r="B410" s="1776">
        <v>4.25</v>
      </c>
    </row>
    <row r="411" spans="1:2" ht="13" x14ac:dyDescent="0.3">
      <c r="A411" s="1774">
        <v>45467</v>
      </c>
      <c r="B411" s="1776">
        <v>4.25</v>
      </c>
    </row>
    <row r="412" spans="1:2" ht="13" x14ac:dyDescent="0.3">
      <c r="A412" s="1774">
        <v>45468</v>
      </c>
      <c r="B412" s="1776">
        <v>4.2300000000000004</v>
      </c>
    </row>
    <row r="413" spans="1:2" ht="13" x14ac:dyDescent="0.3">
      <c r="A413" s="1774">
        <v>45469</v>
      </c>
      <c r="B413" s="1776">
        <v>4.32</v>
      </c>
    </row>
    <row r="414" spans="1:2" ht="13" x14ac:dyDescent="0.3">
      <c r="A414" s="1774">
        <v>45470</v>
      </c>
      <c r="B414" s="1776">
        <v>4.29</v>
      </c>
    </row>
    <row r="415" spans="1:2" ht="13" x14ac:dyDescent="0.3">
      <c r="A415" s="1774">
        <v>45471</v>
      </c>
      <c r="B415" s="1776">
        <v>4.3600000000000003</v>
      </c>
    </row>
    <row r="416" spans="1:2" ht="13" x14ac:dyDescent="0.3">
      <c r="A416" s="1774">
        <v>45474</v>
      </c>
      <c r="B416" s="1776">
        <v>4.4800000000000004</v>
      </c>
    </row>
    <row r="417" spans="1:2" ht="13" x14ac:dyDescent="0.3">
      <c r="A417" s="1774">
        <v>45475</v>
      </c>
      <c r="B417" s="1776">
        <v>4.43</v>
      </c>
    </row>
    <row r="418" spans="1:2" ht="13" x14ac:dyDescent="0.3">
      <c r="A418" s="1774">
        <v>45476</v>
      </c>
      <c r="B418" s="1776">
        <v>4.3600000000000003</v>
      </c>
    </row>
    <row r="419" spans="1:2" ht="13" x14ac:dyDescent="0.3">
      <c r="A419" s="1774">
        <v>45477</v>
      </c>
      <c r="B419" s="1775"/>
    </row>
    <row r="420" spans="1:2" ht="13" x14ac:dyDescent="0.3">
      <c r="A420" s="1774">
        <v>45478</v>
      </c>
      <c r="B420" s="1776">
        <v>4.28</v>
      </c>
    </row>
    <row r="421" spans="1:2" ht="13" x14ac:dyDescent="0.3">
      <c r="A421" s="1774">
        <v>45481</v>
      </c>
      <c r="B421" s="1776">
        <v>4.28</v>
      </c>
    </row>
    <row r="422" spans="1:2" ht="13" x14ac:dyDescent="0.3">
      <c r="A422" s="1774">
        <v>45482</v>
      </c>
      <c r="B422" s="1776">
        <v>4.3</v>
      </c>
    </row>
    <row r="423" spans="1:2" ht="13" x14ac:dyDescent="0.3">
      <c r="A423" s="1774">
        <v>45483</v>
      </c>
      <c r="B423" s="1776">
        <v>4.28</v>
      </c>
    </row>
    <row r="424" spans="1:2" ht="13" x14ac:dyDescent="0.3">
      <c r="A424" s="1774">
        <v>45484</v>
      </c>
      <c r="B424" s="1776">
        <v>4.2</v>
      </c>
    </row>
    <row r="425" spans="1:2" ht="13" x14ac:dyDescent="0.3">
      <c r="A425" s="1774">
        <v>45485</v>
      </c>
      <c r="B425" s="1776">
        <v>4.18</v>
      </c>
    </row>
    <row r="426" spans="1:2" ht="13" x14ac:dyDescent="0.3">
      <c r="A426" s="1774">
        <v>45488</v>
      </c>
      <c r="B426" s="1776">
        <v>4.2300000000000004</v>
      </c>
    </row>
    <row r="427" spans="1:2" ht="13" x14ac:dyDescent="0.3">
      <c r="A427" s="1774">
        <v>45489</v>
      </c>
      <c r="B427" s="1776">
        <v>4.17</v>
      </c>
    </row>
    <row r="428" spans="1:2" ht="13" x14ac:dyDescent="0.3">
      <c r="A428" s="1774">
        <v>45490</v>
      </c>
      <c r="B428" s="1776">
        <v>4.16</v>
      </c>
    </row>
    <row r="429" spans="1:2" ht="13" x14ac:dyDescent="0.3">
      <c r="A429" s="1774">
        <v>45491</v>
      </c>
      <c r="B429" s="1776">
        <v>4.2</v>
      </c>
    </row>
    <row r="430" spans="1:2" ht="13" x14ac:dyDescent="0.3">
      <c r="A430" s="1774">
        <v>45492</v>
      </c>
      <c r="B430" s="1776">
        <v>4.25</v>
      </c>
    </row>
    <row r="431" spans="1:2" ht="13" x14ac:dyDescent="0.3">
      <c r="A431" s="1774">
        <v>45495</v>
      </c>
      <c r="B431" s="1776">
        <v>4.26</v>
      </c>
    </row>
    <row r="432" spans="1:2" ht="13" x14ac:dyDescent="0.3">
      <c r="A432" s="1774">
        <v>45496</v>
      </c>
      <c r="B432" s="1776">
        <v>4.25</v>
      </c>
    </row>
    <row r="433" spans="1:2" ht="13" x14ac:dyDescent="0.3">
      <c r="A433" s="1774">
        <v>45497</v>
      </c>
      <c r="B433" s="1776">
        <v>4.28</v>
      </c>
    </row>
    <row r="434" spans="1:2" ht="13" x14ac:dyDescent="0.3">
      <c r="A434" s="1774">
        <v>45498</v>
      </c>
      <c r="B434" s="1776">
        <v>4.2699999999999996</v>
      </c>
    </row>
    <row r="435" spans="1:2" ht="13" x14ac:dyDescent="0.3">
      <c r="A435" s="1774">
        <v>45499</v>
      </c>
      <c r="B435" s="1776">
        <v>4.2</v>
      </c>
    </row>
    <row r="436" spans="1:2" ht="13" x14ac:dyDescent="0.3">
      <c r="A436" s="1774">
        <v>45502</v>
      </c>
      <c r="B436" s="1776">
        <v>4.17</v>
      </c>
    </row>
    <row r="437" spans="1:2" ht="13" x14ac:dyDescent="0.3">
      <c r="A437" s="1774">
        <v>45503</v>
      </c>
      <c r="B437" s="1776">
        <v>4.1500000000000004</v>
      </c>
    </row>
    <row r="438" spans="1:2" ht="13" x14ac:dyDescent="0.3">
      <c r="A438" s="1774">
        <v>45504</v>
      </c>
      <c r="B438" s="1776">
        <v>4.09</v>
      </c>
    </row>
    <row r="439" spans="1:2" ht="13" x14ac:dyDescent="0.3">
      <c r="A439" s="1774">
        <v>45505</v>
      </c>
      <c r="B439" s="1776">
        <v>3.99</v>
      </c>
    </row>
    <row r="440" spans="1:2" ht="13" x14ac:dyDescent="0.3">
      <c r="A440" s="1774">
        <v>45506</v>
      </c>
      <c r="B440" s="1776">
        <v>3.8</v>
      </c>
    </row>
    <row r="441" spans="1:2" ht="13" x14ac:dyDescent="0.3">
      <c r="A441" s="1774">
        <v>45509</v>
      </c>
      <c r="B441" s="1776">
        <v>3.78</v>
      </c>
    </row>
    <row r="442" spans="1:2" ht="13" x14ac:dyDescent="0.3">
      <c r="A442" s="1774">
        <v>45510</v>
      </c>
      <c r="B442" s="1776">
        <v>3.9</v>
      </c>
    </row>
    <row r="443" spans="1:2" ht="13" x14ac:dyDescent="0.3">
      <c r="A443" s="1774">
        <v>45511</v>
      </c>
      <c r="B443" s="1776">
        <v>3.96</v>
      </c>
    </row>
    <row r="444" spans="1:2" ht="13" x14ac:dyDescent="0.3">
      <c r="A444" s="1774">
        <v>45512</v>
      </c>
      <c r="B444" s="1776">
        <v>3.99</v>
      </c>
    </row>
    <row r="445" spans="1:2" ht="13" x14ac:dyDescent="0.3">
      <c r="A445" s="1774">
        <v>45513</v>
      </c>
      <c r="B445" s="1776">
        <v>3.94</v>
      </c>
    </row>
    <row r="446" spans="1:2" ht="13" x14ac:dyDescent="0.3">
      <c r="A446" s="1774">
        <v>45516</v>
      </c>
      <c r="B446" s="1776">
        <v>3.9</v>
      </c>
    </row>
    <row r="447" spans="1:2" ht="13" x14ac:dyDescent="0.3">
      <c r="A447" s="1774">
        <v>45517</v>
      </c>
      <c r="B447" s="1776">
        <v>3.85</v>
      </c>
    </row>
    <row r="448" spans="1:2" ht="13" x14ac:dyDescent="0.3">
      <c r="A448" s="1774">
        <v>45518</v>
      </c>
      <c r="B448" s="1776">
        <v>3.83</v>
      </c>
    </row>
    <row r="449" spans="1:2" ht="13" x14ac:dyDescent="0.3">
      <c r="A449" s="1774">
        <v>45519</v>
      </c>
      <c r="B449" s="1776">
        <v>3.92</v>
      </c>
    </row>
    <row r="450" spans="1:2" ht="13" x14ac:dyDescent="0.3">
      <c r="A450" s="1774">
        <v>45520</v>
      </c>
      <c r="B450" s="1776">
        <v>3.89</v>
      </c>
    </row>
    <row r="451" spans="1:2" ht="13" x14ac:dyDescent="0.3">
      <c r="A451" s="1774">
        <v>45523</v>
      </c>
      <c r="B451" s="1776">
        <v>3.86</v>
      </c>
    </row>
    <row r="452" spans="1:2" ht="13" x14ac:dyDescent="0.3">
      <c r="A452" s="1774">
        <v>45524</v>
      </c>
      <c r="B452" s="1776">
        <v>3.82</v>
      </c>
    </row>
    <row r="453" spans="1:2" ht="13" x14ac:dyDescent="0.3">
      <c r="A453" s="1774">
        <v>45525</v>
      </c>
      <c r="B453" s="1776">
        <v>3.79</v>
      </c>
    </row>
    <row r="454" spans="1:2" ht="13" x14ac:dyDescent="0.3">
      <c r="A454" s="1774">
        <v>45526</v>
      </c>
      <c r="B454" s="1776">
        <v>3.86</v>
      </c>
    </row>
    <row r="455" spans="1:2" ht="13" x14ac:dyDescent="0.3">
      <c r="A455" s="1774">
        <v>45527</v>
      </c>
      <c r="B455" s="1776">
        <v>3.81</v>
      </c>
    </row>
    <row r="456" spans="1:2" ht="13" x14ac:dyDescent="0.3">
      <c r="A456" s="1774">
        <v>45530</v>
      </c>
      <c r="B456" s="1776">
        <v>3.82</v>
      </c>
    </row>
    <row r="457" spans="1:2" ht="13" x14ac:dyDescent="0.3">
      <c r="A457" s="1774">
        <v>45531</v>
      </c>
      <c r="B457" s="1776">
        <v>3.83</v>
      </c>
    </row>
    <row r="458" spans="1:2" ht="13" x14ac:dyDescent="0.3">
      <c r="A458" s="1774">
        <v>45532</v>
      </c>
      <c r="B458" s="1776">
        <v>3.84</v>
      </c>
    </row>
    <row r="459" spans="1:2" ht="13" x14ac:dyDescent="0.3">
      <c r="A459" s="1774">
        <v>45533</v>
      </c>
      <c r="B459" s="1776">
        <v>3.87</v>
      </c>
    </row>
    <row r="460" spans="1:2" ht="13" x14ac:dyDescent="0.3">
      <c r="A460" s="1774">
        <v>45534</v>
      </c>
      <c r="B460" s="1776">
        <v>3.91</v>
      </c>
    </row>
    <row r="461" spans="1:2" ht="13" x14ac:dyDescent="0.3">
      <c r="A461" s="1774">
        <v>45537</v>
      </c>
      <c r="B461" s="1775"/>
    </row>
    <row r="462" spans="1:2" ht="13" x14ac:dyDescent="0.3">
      <c r="A462" s="1774">
        <v>45538</v>
      </c>
      <c r="B462" s="1776">
        <v>3.84</v>
      </c>
    </row>
    <row r="463" spans="1:2" ht="13" x14ac:dyDescent="0.3">
      <c r="A463" s="1774">
        <v>45539</v>
      </c>
      <c r="B463" s="1776">
        <v>3.77</v>
      </c>
    </row>
  </sheetData>
  <pageMargins left="0.7" right="0.7" top="0.75" bottom="0.75" header="0.3" footer="0.3"/>
  <pageSetup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F5B07-AB6D-402E-8DFB-7C944D5EBF30}">
  <sheetPr codeName="Sheet8"/>
  <dimension ref="A1:FI1070"/>
  <sheetViews>
    <sheetView showGridLines="0" workbookViewId="0">
      <pane xSplit="3" ySplit="5" topLeftCell="EH6" activePane="bottomRight" state="frozen"/>
      <selection pane="topRight" activeCell="D1" sqref="D1"/>
      <selection pane="bottomLeft" activeCell="A6" sqref="A6"/>
      <selection pane="bottomRight" activeCell="FB100" sqref="FB100"/>
    </sheetView>
  </sheetViews>
  <sheetFormatPr defaultRowHeight="12" outlineLevelRow="1" x14ac:dyDescent="0.3"/>
  <cols>
    <col min="1" max="1" width="45.6640625" bestFit="1" customWidth="1"/>
    <col min="2" max="4" width="2.44140625" customWidth="1"/>
    <col min="5" max="123" width="0" hidden="1" customWidth="1"/>
    <col min="125" max="158" width="9.44140625" bestFit="1" customWidth="1"/>
    <col min="159" max="165" width="10.44140625" bestFit="1" customWidth="1"/>
  </cols>
  <sheetData>
    <row r="1" spans="1:165" ht="21.5" thickBot="1" x14ac:dyDescent="0.55000000000000004">
      <c r="A1" s="38" t="s">
        <v>13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</row>
    <row r="2" spans="1:165" x14ac:dyDescent="0.3">
      <c r="A2" s="39" t="s">
        <v>173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</row>
    <row r="3" spans="1:165" x14ac:dyDescent="0.3">
      <c r="A3" s="40" t="s">
        <v>15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</row>
    <row r="4" spans="1:165" x14ac:dyDescent="0.3">
      <c r="A4" s="1124"/>
      <c r="B4" s="1124"/>
      <c r="C4" s="1124"/>
      <c r="D4" s="1124"/>
      <c r="E4" s="1124"/>
      <c r="F4" s="1124"/>
      <c r="G4" s="1124"/>
      <c r="H4" s="1124"/>
      <c r="I4" s="1124"/>
      <c r="J4" s="1124"/>
      <c r="K4" s="1124"/>
      <c r="L4" s="1124"/>
      <c r="M4" s="1124"/>
      <c r="N4" s="1124"/>
      <c r="O4" s="1124"/>
      <c r="P4" s="1124"/>
      <c r="Q4" s="1124"/>
      <c r="R4" s="1124"/>
      <c r="S4" s="1124"/>
      <c r="T4" s="1124"/>
      <c r="U4" s="1124"/>
      <c r="V4" s="1124"/>
      <c r="W4" s="1124"/>
      <c r="X4" s="1124"/>
      <c r="Y4" s="1124"/>
      <c r="Z4" s="1124"/>
      <c r="AA4" s="1124"/>
      <c r="AB4" s="1124"/>
      <c r="AC4" s="1124"/>
      <c r="AD4" s="1124"/>
      <c r="AE4" s="1124"/>
      <c r="AF4" s="1124"/>
      <c r="AG4" s="1124"/>
      <c r="AH4" s="1124"/>
      <c r="AI4" s="1124"/>
      <c r="AJ4" s="1124"/>
      <c r="AK4" s="1124"/>
      <c r="AL4" s="1124"/>
      <c r="AM4" s="1124"/>
      <c r="AN4" s="1124"/>
      <c r="AO4" s="1124"/>
      <c r="AP4" s="1124"/>
      <c r="AQ4" s="1124"/>
      <c r="AR4" s="1124"/>
      <c r="AS4" s="1124"/>
      <c r="AT4" s="1124"/>
      <c r="AU4" s="1124"/>
      <c r="AV4" s="1124"/>
      <c r="AW4" s="1124"/>
      <c r="AX4" s="1124"/>
      <c r="AY4" s="1124"/>
      <c r="AZ4" s="1124"/>
      <c r="BA4" s="1124"/>
      <c r="BB4" s="1124"/>
      <c r="BC4" s="1124"/>
      <c r="BD4" s="1124"/>
      <c r="BE4" s="1124"/>
      <c r="BF4" s="1124"/>
      <c r="BG4" s="1124"/>
      <c r="BH4" s="1124"/>
      <c r="BI4" s="1124"/>
      <c r="BJ4" s="1124"/>
      <c r="BK4" s="1124"/>
      <c r="BL4" s="1124"/>
      <c r="BM4" s="1124"/>
      <c r="BN4" s="1124"/>
      <c r="BO4" s="1124"/>
      <c r="BP4" s="1124"/>
      <c r="BQ4" s="1124"/>
      <c r="BR4" s="1124"/>
      <c r="BS4" s="1124"/>
      <c r="BT4" s="1124"/>
      <c r="BU4" s="1124"/>
      <c r="BV4" s="1124"/>
      <c r="BW4" s="1124"/>
      <c r="BX4" s="1124"/>
      <c r="BY4" s="1124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4"/>
      <c r="CK4" s="1124"/>
      <c r="CL4" s="1124"/>
      <c r="CM4" s="1124"/>
      <c r="CN4" s="1124"/>
      <c r="CO4" s="1124"/>
      <c r="CP4" s="1124"/>
      <c r="CQ4" s="1124"/>
      <c r="CR4" s="1124"/>
      <c r="CS4" s="1124"/>
      <c r="CT4" s="1124"/>
      <c r="CU4" s="1124"/>
      <c r="CV4" s="1124"/>
      <c r="CW4" s="1124"/>
      <c r="CX4" s="1124"/>
      <c r="CY4" s="1124"/>
      <c r="CZ4" s="1124"/>
      <c r="DA4" s="1124"/>
      <c r="DB4" s="1124"/>
      <c r="DC4" s="1124"/>
      <c r="DD4" s="1124"/>
      <c r="DE4" s="1124"/>
      <c r="DF4" s="1124"/>
      <c r="DG4" s="1124"/>
      <c r="DH4" s="1124"/>
      <c r="DI4" s="1124"/>
      <c r="DJ4" s="1124"/>
      <c r="DK4" s="1124"/>
      <c r="DL4" s="1124"/>
      <c r="DM4" s="1124"/>
      <c r="DN4" s="1124"/>
      <c r="DO4" s="1124"/>
      <c r="DP4" s="1124"/>
      <c r="DQ4" s="1124"/>
      <c r="DR4" s="1124"/>
      <c r="DS4" s="1124"/>
      <c r="DT4" s="1124"/>
      <c r="DU4" s="1124"/>
      <c r="DV4" s="1124"/>
      <c r="DW4" s="1124"/>
      <c r="DX4" s="1124"/>
      <c r="DY4" s="1124"/>
      <c r="DZ4" s="1124"/>
      <c r="EA4" s="1124"/>
      <c r="EB4" s="1124"/>
      <c r="EC4" s="1124"/>
      <c r="ED4" s="1124"/>
      <c r="EE4" s="1124"/>
      <c r="EF4" s="1124"/>
      <c r="EG4" s="1124"/>
      <c r="EH4" s="1124"/>
      <c r="EI4" s="1124"/>
      <c r="EJ4" s="1124"/>
      <c r="EK4" s="1124"/>
      <c r="EL4" s="1124"/>
      <c r="EM4" s="1124"/>
      <c r="EN4" s="1124"/>
      <c r="EO4" s="1124"/>
      <c r="EP4" s="1124"/>
      <c r="EQ4" s="1124"/>
      <c r="ER4" s="1124"/>
      <c r="ES4" s="1124"/>
      <c r="ET4" s="1124"/>
      <c r="EU4" s="1124"/>
      <c r="EV4" s="1124"/>
      <c r="EW4" s="1124"/>
      <c r="EX4" s="1124"/>
      <c r="EY4" s="1124"/>
      <c r="EZ4" s="1124"/>
      <c r="FA4" s="1124"/>
      <c r="FB4" s="1124"/>
      <c r="FC4" s="1124"/>
      <c r="FD4" s="1124"/>
      <c r="FE4" s="1124"/>
      <c r="FF4" s="1124"/>
      <c r="FG4" s="1124"/>
      <c r="FH4" s="1124"/>
      <c r="FI4" s="1124"/>
    </row>
    <row r="5" spans="1:165" x14ac:dyDescent="0.3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2" t="str">
        <f>+Inputs!BC5</f>
        <v>1Q05</v>
      </c>
      <c r="BD5" s="42" t="str">
        <f>+Inputs!BD5</f>
        <v>2Q05</v>
      </c>
      <c r="BE5" s="42" t="str">
        <f>+Inputs!BE5</f>
        <v>3Q05</v>
      </c>
      <c r="BF5" s="42" t="str">
        <f>+Inputs!BF5</f>
        <v>4Q05</v>
      </c>
      <c r="BG5" s="42">
        <f>+Inputs!BG5</f>
        <v>2005</v>
      </c>
      <c r="BH5" s="42" t="str">
        <f>+Inputs!BH5</f>
        <v>1Q06</v>
      </c>
      <c r="BI5" s="42" t="str">
        <f>+Inputs!BI5</f>
        <v>2Q06</v>
      </c>
      <c r="BJ5" s="42" t="str">
        <f>+Inputs!BJ5</f>
        <v>3Q06</v>
      </c>
      <c r="BK5" s="42" t="str">
        <f>+Inputs!BK5</f>
        <v>4Q06</v>
      </c>
      <c r="BL5" s="42">
        <f>+Inputs!BL5</f>
        <v>2006</v>
      </c>
      <c r="BM5" s="42" t="str">
        <f>+Inputs!BM5</f>
        <v>1Q07</v>
      </c>
      <c r="BN5" s="42" t="str">
        <f>+Inputs!BN5</f>
        <v>2Q07</v>
      </c>
      <c r="BO5" s="42" t="str">
        <f>+Inputs!BO5</f>
        <v>3Q07</v>
      </c>
      <c r="BP5" s="42" t="str">
        <f>+Inputs!BP5</f>
        <v>4Q07</v>
      </c>
      <c r="BQ5" s="42">
        <f>+Inputs!BQ5</f>
        <v>2007</v>
      </c>
      <c r="BR5" s="42" t="str">
        <f>+Inputs!BR5</f>
        <v>1Q08</v>
      </c>
      <c r="BS5" s="42" t="str">
        <f>+Inputs!BS5</f>
        <v>2Q08</v>
      </c>
      <c r="BT5" s="42" t="str">
        <f>+Inputs!BT5</f>
        <v>3Q08</v>
      </c>
      <c r="BU5" s="42" t="str">
        <f>+Inputs!BU5</f>
        <v>4Q08</v>
      </c>
      <c r="BV5" s="42">
        <f>+Inputs!BV5</f>
        <v>2008</v>
      </c>
      <c r="BW5" s="42" t="str">
        <f>+Inputs!BW5</f>
        <v>1Q09</v>
      </c>
      <c r="BX5" s="42" t="str">
        <f>+Inputs!BX5</f>
        <v>2Q09</v>
      </c>
      <c r="BY5" s="42" t="str">
        <f>+Inputs!BY5</f>
        <v>3Q09</v>
      </c>
      <c r="BZ5" s="42" t="str">
        <f>+Inputs!BZ5</f>
        <v>4Q09</v>
      </c>
      <c r="CA5" s="42">
        <f>+Inputs!CA5</f>
        <v>2009</v>
      </c>
      <c r="CB5" s="42" t="str">
        <f>+Inputs!CB5</f>
        <v>1Q10</v>
      </c>
      <c r="CC5" s="42" t="str">
        <f>+Inputs!CC5</f>
        <v>2Q10</v>
      </c>
      <c r="CD5" s="42" t="str">
        <f>+Inputs!CD5</f>
        <v>3Q10</v>
      </c>
      <c r="CE5" s="42" t="str">
        <f>+Inputs!CE5</f>
        <v>4Q10</v>
      </c>
      <c r="CF5" s="42">
        <f>+Inputs!CF5</f>
        <v>2010</v>
      </c>
      <c r="CG5" s="42" t="str">
        <f>+Inputs!CG5</f>
        <v>1Q11</v>
      </c>
      <c r="CH5" s="42" t="str">
        <f>+Inputs!CH5</f>
        <v>2Q11</v>
      </c>
      <c r="CI5" s="42" t="str">
        <f>+Inputs!CI5</f>
        <v>3Q11</v>
      </c>
      <c r="CJ5" s="42" t="str">
        <f>+Inputs!CJ5</f>
        <v>4Q11</v>
      </c>
      <c r="CK5" s="42">
        <f>+Inputs!CK5</f>
        <v>2011</v>
      </c>
      <c r="CL5" s="42" t="str">
        <f>+Inputs!CL5</f>
        <v>1Q12</v>
      </c>
      <c r="CM5" s="42" t="str">
        <f>+Inputs!CM5</f>
        <v>2Q12</v>
      </c>
      <c r="CN5" s="42" t="str">
        <f>+Inputs!CN5</f>
        <v>3Q12</v>
      </c>
      <c r="CO5" s="42" t="str">
        <f>+Inputs!CO5</f>
        <v>4Q12</v>
      </c>
      <c r="CP5" s="42">
        <f>+Inputs!CP5</f>
        <v>2012</v>
      </c>
      <c r="CQ5" s="42" t="str">
        <f>+Inputs!CQ5</f>
        <v>1Q13</v>
      </c>
      <c r="CR5" s="42" t="str">
        <f>+Inputs!CR5</f>
        <v>2Q13</v>
      </c>
      <c r="CS5" s="42" t="str">
        <f>+Inputs!CS5</f>
        <v>3Q13</v>
      </c>
      <c r="CT5" s="42" t="str">
        <f>+Inputs!CT5</f>
        <v>4Q13</v>
      </c>
      <c r="CU5" s="42">
        <f>+Inputs!CU5</f>
        <v>2013</v>
      </c>
      <c r="CV5" s="42" t="str">
        <f>+Inputs!CV5</f>
        <v>1Q14</v>
      </c>
      <c r="CW5" s="42" t="str">
        <f>+Inputs!CW5</f>
        <v>2Q14</v>
      </c>
      <c r="CX5" s="42" t="str">
        <f>+Inputs!CX5</f>
        <v>3Q14</v>
      </c>
      <c r="CY5" s="42" t="str">
        <f>+Inputs!CY5</f>
        <v>4Q14</v>
      </c>
      <c r="CZ5" s="42">
        <f>+Inputs!CZ5</f>
        <v>2014</v>
      </c>
      <c r="DA5" s="42" t="str">
        <f>+Inputs!DA5</f>
        <v>1Q15</v>
      </c>
      <c r="DB5" s="42" t="str">
        <f>+Inputs!DB5</f>
        <v>2Q15</v>
      </c>
      <c r="DC5" s="42" t="str">
        <f>+Inputs!DC5</f>
        <v>3Q15</v>
      </c>
      <c r="DD5" s="42" t="str">
        <f>+Inputs!DD5</f>
        <v>4Q15</v>
      </c>
      <c r="DE5" s="42">
        <f>+Inputs!DE5</f>
        <v>2015</v>
      </c>
      <c r="DF5" s="42" t="str">
        <f>+Inputs!DF5</f>
        <v>1Q16</v>
      </c>
      <c r="DG5" s="42" t="str">
        <f>+Inputs!DG5</f>
        <v>2Q16</v>
      </c>
      <c r="DH5" s="42" t="str">
        <f>+Inputs!DH5</f>
        <v>3Q16</v>
      </c>
      <c r="DI5" s="42" t="str">
        <f>+Inputs!DI5</f>
        <v>4Q16</v>
      </c>
      <c r="DJ5" s="42">
        <f>+Inputs!DJ5</f>
        <v>2016</v>
      </c>
      <c r="DK5" s="42" t="str">
        <f>+Inputs!DK5</f>
        <v>1Q17</v>
      </c>
      <c r="DL5" s="42" t="str">
        <f>+Inputs!DL5</f>
        <v>2Q17</v>
      </c>
      <c r="DM5" s="42" t="str">
        <f>+Inputs!DM5</f>
        <v>3Q17</v>
      </c>
      <c r="DN5" s="42" t="str">
        <f>+Inputs!DN5</f>
        <v>4Q17</v>
      </c>
      <c r="DO5" s="42">
        <f>+Inputs!DO5</f>
        <v>2017</v>
      </c>
      <c r="DP5" s="42" t="str">
        <f>+Inputs!DP5</f>
        <v>1Q18</v>
      </c>
      <c r="DQ5" s="42" t="str">
        <f>+Inputs!DQ5</f>
        <v>2Q18</v>
      </c>
      <c r="DR5" s="42" t="str">
        <f>+Inputs!DR5</f>
        <v>3Q18</v>
      </c>
      <c r="DS5" s="42" t="str">
        <f>+Inputs!DS5</f>
        <v>4Q18</v>
      </c>
      <c r="DT5" s="42">
        <f>+Inputs!DT5</f>
        <v>2018</v>
      </c>
      <c r="DU5" s="42" t="str">
        <f>+Inputs!DU5</f>
        <v>1Q19</v>
      </c>
      <c r="DV5" s="42" t="str">
        <f>+Inputs!DV5</f>
        <v>2Q19</v>
      </c>
      <c r="DW5" s="42" t="str">
        <f>+Inputs!DW5</f>
        <v>3Q19</v>
      </c>
      <c r="DX5" s="42" t="str">
        <f>+Inputs!DX5</f>
        <v>4Q19</v>
      </c>
      <c r="DY5" s="42">
        <f>+Inputs!DY5</f>
        <v>2019</v>
      </c>
      <c r="DZ5" s="42" t="str">
        <f>+Inputs!DZ5</f>
        <v>1Q20</v>
      </c>
      <c r="EA5" s="42" t="str">
        <f>+Inputs!EA5</f>
        <v>2Q20</v>
      </c>
      <c r="EB5" s="42" t="str">
        <f>+Inputs!EB5</f>
        <v>3Q20</v>
      </c>
      <c r="EC5" s="42" t="str">
        <f>+Inputs!EC5</f>
        <v>4Q20</v>
      </c>
      <c r="ED5" s="42">
        <f>+Inputs!ED5</f>
        <v>2020</v>
      </c>
      <c r="EE5" s="42" t="str">
        <f>+Inputs!EE5</f>
        <v>1Q21</v>
      </c>
      <c r="EF5" s="42" t="str">
        <f>+Inputs!EF5</f>
        <v>2Q21</v>
      </c>
      <c r="EG5" s="42" t="str">
        <f>+Inputs!EG5</f>
        <v>3Q21</v>
      </c>
      <c r="EH5" s="42" t="str">
        <f>+Inputs!EH5</f>
        <v>4Q21</v>
      </c>
      <c r="EI5" s="42">
        <f>+Inputs!EI5</f>
        <v>2021</v>
      </c>
      <c r="EJ5" s="42" t="str">
        <f>+Inputs!EJ5</f>
        <v>1Q22</v>
      </c>
      <c r="EK5" s="42" t="str">
        <f>+Inputs!EK5</f>
        <v>2Q22</v>
      </c>
      <c r="EL5" s="42" t="str">
        <f>+Inputs!EL5</f>
        <v>3Q22</v>
      </c>
      <c r="EM5" s="42" t="str">
        <f>+Inputs!EM5</f>
        <v>4Q22</v>
      </c>
      <c r="EN5" s="42">
        <f>+Inputs!EN5</f>
        <v>2022</v>
      </c>
      <c r="EO5" s="42" t="str">
        <f>+Inputs!EO5</f>
        <v>1Q23</v>
      </c>
      <c r="EP5" s="42" t="str">
        <f>+Inputs!EP5</f>
        <v>2Q23</v>
      </c>
      <c r="EQ5" s="42" t="str">
        <f>+Inputs!EQ5</f>
        <v>3Q23</v>
      </c>
      <c r="ER5" s="42" t="str">
        <f>+Inputs!ER5</f>
        <v>4Q23</v>
      </c>
      <c r="ES5" s="42">
        <f>+Inputs!ES5</f>
        <v>2023</v>
      </c>
      <c r="ET5" s="42" t="str">
        <f>+Inputs!ET5</f>
        <v>1Q24</v>
      </c>
      <c r="EU5" s="42" t="str">
        <f>+Inputs!EU5</f>
        <v>2Q24</v>
      </c>
      <c r="EV5" s="42" t="str">
        <f>+Inputs!EV5</f>
        <v>3Q24</v>
      </c>
      <c r="EW5" s="42" t="str">
        <f>+Inputs!EW5</f>
        <v>4Q24</v>
      </c>
      <c r="EX5" s="42">
        <f>+Inputs!EX5</f>
        <v>2024</v>
      </c>
      <c r="EY5" s="42" t="str">
        <f>+Inputs!EY5</f>
        <v>1Q25E</v>
      </c>
      <c r="EZ5" s="42" t="str">
        <f>+Inputs!EZ5</f>
        <v>2Q25E</v>
      </c>
      <c r="FA5" s="42" t="str">
        <f>+Inputs!FA5</f>
        <v>3Q25E</v>
      </c>
      <c r="FB5" s="42" t="str">
        <f>+Inputs!FB5</f>
        <v>4Q25E</v>
      </c>
      <c r="FC5" s="42" t="str">
        <f>+Inputs!FC5</f>
        <v>2025E</v>
      </c>
      <c r="FD5" s="42" t="str">
        <f>+Inputs!FD5</f>
        <v>2026E</v>
      </c>
      <c r="FE5" s="42" t="str">
        <f>+Inputs!FE5</f>
        <v>2027E</v>
      </c>
      <c r="FF5" s="42" t="str">
        <f>+Inputs!FF5</f>
        <v>2028E</v>
      </c>
      <c r="FG5" s="42" t="str">
        <f>+Inputs!FG5</f>
        <v>2029E</v>
      </c>
      <c r="FH5" s="42" t="str">
        <f>+Inputs!FH5</f>
        <v>2030E</v>
      </c>
      <c r="FI5" s="42" t="str">
        <f>+Inputs!FI5</f>
        <v>2031E</v>
      </c>
    </row>
    <row r="7" spans="1:165" x14ac:dyDescent="0.3">
      <c r="A7" s="320" t="s">
        <v>3633</v>
      </c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320"/>
      <c r="AZ7" s="320"/>
      <c r="BA7" s="320"/>
      <c r="BB7" s="320"/>
      <c r="BC7" s="320"/>
      <c r="BD7" s="320"/>
      <c r="BE7" s="320"/>
      <c r="BF7" s="320"/>
      <c r="BG7" s="320"/>
      <c r="BH7" s="320"/>
      <c r="BI7" s="320"/>
      <c r="BJ7" s="320"/>
      <c r="BK7" s="320"/>
      <c r="BL7" s="320"/>
      <c r="BM7" s="320"/>
      <c r="BN7" s="320"/>
      <c r="BO7" s="320"/>
      <c r="BP7" s="320"/>
      <c r="BQ7" s="320"/>
      <c r="BR7" s="320"/>
      <c r="BS7" s="320"/>
      <c r="BT7" s="320"/>
      <c r="BU7" s="320"/>
      <c r="BV7" s="320"/>
      <c r="BW7" s="320"/>
      <c r="BX7" s="320"/>
      <c r="BY7" s="320"/>
      <c r="BZ7" s="320"/>
      <c r="CA7" s="320"/>
      <c r="CB7" s="320"/>
      <c r="CC7" s="320"/>
      <c r="CD7" s="320"/>
      <c r="CE7" s="320"/>
      <c r="CF7" s="320"/>
      <c r="CG7" s="320"/>
      <c r="CH7" s="320"/>
      <c r="CI7" s="320"/>
      <c r="CJ7" s="320"/>
      <c r="CK7" s="320"/>
      <c r="CL7" s="320"/>
      <c r="CM7" s="320"/>
      <c r="CN7" s="320"/>
      <c r="CO7" s="320"/>
      <c r="CP7" s="320"/>
      <c r="CQ7" s="320"/>
      <c r="CR7" s="320"/>
      <c r="CS7" s="320"/>
      <c r="CT7" s="320"/>
      <c r="CU7" s="320"/>
      <c r="CV7" s="320"/>
      <c r="CW7" s="320"/>
      <c r="CX7" s="320"/>
      <c r="CY7" s="320"/>
      <c r="CZ7" s="320"/>
      <c r="DA7" s="320"/>
      <c r="DB7" s="320"/>
      <c r="DC7" s="320"/>
      <c r="DD7" s="320"/>
      <c r="DE7" s="320"/>
      <c r="DF7" s="320"/>
      <c r="DG7" s="320"/>
      <c r="DH7" s="320"/>
      <c r="DI7" s="320"/>
      <c r="DJ7" s="320"/>
      <c r="DK7" s="320"/>
      <c r="DL7" s="320"/>
      <c r="DM7" s="320"/>
      <c r="DN7" s="320"/>
      <c r="DO7" s="320"/>
      <c r="DP7" s="320"/>
      <c r="DQ7" s="320"/>
      <c r="DR7" s="320"/>
      <c r="DS7" s="320"/>
      <c r="DT7" s="320"/>
      <c r="DU7" s="320"/>
      <c r="DV7" s="320"/>
      <c r="DW7" s="320"/>
      <c r="DX7" s="320"/>
      <c r="DY7" s="320"/>
      <c r="DZ7" s="320"/>
      <c r="EA7" s="320"/>
      <c r="EB7" s="320"/>
      <c r="EC7" s="320"/>
      <c r="ED7" s="320"/>
      <c r="EE7" s="320"/>
      <c r="EF7" s="320"/>
      <c r="EG7" s="320"/>
      <c r="EH7" s="320"/>
      <c r="EI7" s="320"/>
      <c r="EJ7" s="320"/>
      <c r="EK7" s="320"/>
      <c r="EL7" s="320"/>
      <c r="EM7" s="320"/>
      <c r="EN7" s="320"/>
      <c r="EO7" s="320"/>
      <c r="EP7" s="320"/>
      <c r="EQ7" s="320"/>
      <c r="ER7" s="320"/>
      <c r="ES7" s="320"/>
      <c r="ET7" s="320"/>
      <c r="EU7" s="320"/>
      <c r="EV7" s="320"/>
      <c r="EW7" s="320"/>
      <c r="EX7" s="320"/>
      <c r="EY7" s="320"/>
      <c r="EZ7" s="320"/>
      <c r="FA7" s="320"/>
      <c r="FB7" s="320"/>
      <c r="FC7" s="320"/>
      <c r="FD7" s="320"/>
      <c r="FE7" s="320"/>
      <c r="FF7" s="320"/>
      <c r="FG7" s="320"/>
      <c r="FH7" s="320"/>
      <c r="FI7" s="320"/>
    </row>
    <row r="8" spans="1:165" hidden="1" outlineLevel="1" x14ac:dyDescent="0.3">
      <c r="A8" s="321"/>
    </row>
    <row r="9" spans="1:165" hidden="1" outlineLevel="1" x14ac:dyDescent="0.3">
      <c r="A9" s="321"/>
    </row>
    <row r="10" spans="1:165" hidden="1" outlineLevel="1" x14ac:dyDescent="0.3">
      <c r="A10" s="321"/>
    </row>
    <row r="11" spans="1:165" hidden="1" outlineLevel="1" x14ac:dyDescent="0.3">
      <c r="A11" s="321"/>
    </row>
    <row r="12" spans="1:165" hidden="1" outlineLevel="1" x14ac:dyDescent="0.3">
      <c r="A12" s="321"/>
    </row>
    <row r="13" spans="1:165" hidden="1" outlineLevel="1" x14ac:dyDescent="0.3">
      <c r="A13" s="321"/>
    </row>
    <row r="14" spans="1:165" hidden="1" outlineLevel="1" x14ac:dyDescent="0.3">
      <c r="A14" s="321"/>
    </row>
    <row r="15" spans="1:165" hidden="1" outlineLevel="1" x14ac:dyDescent="0.3">
      <c r="A15" s="321"/>
    </row>
    <row r="16" spans="1:165" hidden="1" outlineLevel="1" x14ac:dyDescent="0.3">
      <c r="A16" s="321"/>
    </row>
    <row r="17" spans="1:1" hidden="1" outlineLevel="1" x14ac:dyDescent="0.3">
      <c r="A17" s="321"/>
    </row>
    <row r="18" spans="1:1" hidden="1" outlineLevel="1" x14ac:dyDescent="0.3">
      <c r="A18" s="321"/>
    </row>
    <row r="19" spans="1:1" hidden="1" outlineLevel="1" x14ac:dyDescent="0.3">
      <c r="A19" s="321"/>
    </row>
    <row r="20" spans="1:1" hidden="1" outlineLevel="1" x14ac:dyDescent="0.3">
      <c r="A20" s="321"/>
    </row>
    <row r="21" spans="1:1" hidden="1" outlineLevel="1" x14ac:dyDescent="0.3">
      <c r="A21" s="321"/>
    </row>
    <row r="22" spans="1:1" hidden="1" outlineLevel="1" x14ac:dyDescent="0.3">
      <c r="A22" s="321"/>
    </row>
    <row r="23" spans="1:1" hidden="1" outlineLevel="1" x14ac:dyDescent="0.3">
      <c r="A23" s="321"/>
    </row>
    <row r="24" spans="1:1" hidden="1" outlineLevel="1" x14ac:dyDescent="0.3">
      <c r="A24" s="321"/>
    </row>
    <row r="25" spans="1:1" hidden="1" outlineLevel="1" x14ac:dyDescent="0.3">
      <c r="A25" s="321"/>
    </row>
    <row r="26" spans="1:1" hidden="1" outlineLevel="1" x14ac:dyDescent="0.3">
      <c r="A26" s="321"/>
    </row>
    <row r="27" spans="1:1" hidden="1" outlineLevel="1" x14ac:dyDescent="0.3">
      <c r="A27" s="321"/>
    </row>
    <row r="28" spans="1:1" hidden="1" outlineLevel="1" x14ac:dyDescent="0.3">
      <c r="A28" s="321"/>
    </row>
    <row r="29" spans="1:1" hidden="1" outlineLevel="1" x14ac:dyDescent="0.3">
      <c r="A29" s="321"/>
    </row>
    <row r="30" spans="1:1" hidden="1" outlineLevel="1" x14ac:dyDescent="0.3">
      <c r="A30" s="321"/>
    </row>
    <row r="31" spans="1:1" hidden="1" outlineLevel="1" x14ac:dyDescent="0.3">
      <c r="A31" s="321"/>
    </row>
    <row r="32" spans="1:1" hidden="1" outlineLevel="1" x14ac:dyDescent="0.3">
      <c r="A32" s="321"/>
    </row>
    <row r="33" spans="1:1" hidden="1" outlineLevel="1" x14ac:dyDescent="0.3">
      <c r="A33" s="321"/>
    </row>
    <row r="34" spans="1:1" hidden="1" outlineLevel="1" x14ac:dyDescent="0.3">
      <c r="A34" s="321"/>
    </row>
    <row r="35" spans="1:1" hidden="1" outlineLevel="1" x14ac:dyDescent="0.3">
      <c r="A35" s="321"/>
    </row>
    <row r="36" spans="1:1" hidden="1" outlineLevel="1" x14ac:dyDescent="0.3">
      <c r="A36" s="321"/>
    </row>
    <row r="37" spans="1:1" hidden="1" outlineLevel="1" x14ac:dyDescent="0.3">
      <c r="A37" s="321"/>
    </row>
    <row r="38" spans="1:1" hidden="1" outlineLevel="1" x14ac:dyDescent="0.3">
      <c r="A38" s="321"/>
    </row>
    <row r="39" spans="1:1" hidden="1" outlineLevel="1" x14ac:dyDescent="0.3">
      <c r="A39" s="321"/>
    </row>
    <row r="40" spans="1:1" hidden="1" outlineLevel="1" x14ac:dyDescent="0.3">
      <c r="A40" s="321"/>
    </row>
    <row r="41" spans="1:1" hidden="1" outlineLevel="1" x14ac:dyDescent="0.3">
      <c r="A41" s="321"/>
    </row>
    <row r="42" spans="1:1" hidden="1" outlineLevel="1" x14ac:dyDescent="0.3">
      <c r="A42" s="321"/>
    </row>
    <row r="43" spans="1:1" hidden="1" outlineLevel="1" x14ac:dyDescent="0.3">
      <c r="A43" s="321"/>
    </row>
    <row r="44" spans="1:1" hidden="1" outlineLevel="1" x14ac:dyDescent="0.3">
      <c r="A44" s="321"/>
    </row>
    <row r="45" spans="1:1" hidden="1" outlineLevel="1" x14ac:dyDescent="0.3">
      <c r="A45" s="321"/>
    </row>
    <row r="46" spans="1:1" hidden="1" outlineLevel="1" x14ac:dyDescent="0.3">
      <c r="A46" s="321"/>
    </row>
    <row r="47" spans="1:1" hidden="1" outlineLevel="1" x14ac:dyDescent="0.3">
      <c r="A47" s="321"/>
    </row>
    <row r="48" spans="1:1" hidden="1" outlineLevel="1" x14ac:dyDescent="0.3">
      <c r="A48" s="321"/>
    </row>
    <row r="49" spans="1:1" hidden="1" outlineLevel="1" x14ac:dyDescent="0.3">
      <c r="A49" s="321"/>
    </row>
    <row r="50" spans="1:1" hidden="1" outlineLevel="1" x14ac:dyDescent="0.3">
      <c r="A50" s="321"/>
    </row>
    <row r="51" spans="1:1" hidden="1" outlineLevel="1" x14ac:dyDescent="0.3">
      <c r="A51" s="321"/>
    </row>
    <row r="52" spans="1:1" hidden="1" outlineLevel="1" x14ac:dyDescent="0.3">
      <c r="A52" s="321"/>
    </row>
    <row r="53" spans="1:1" hidden="1" outlineLevel="1" x14ac:dyDescent="0.3">
      <c r="A53" s="321"/>
    </row>
    <row r="54" spans="1:1" hidden="1" outlineLevel="1" x14ac:dyDescent="0.3">
      <c r="A54" s="321"/>
    </row>
    <row r="55" spans="1:1" hidden="1" outlineLevel="1" x14ac:dyDescent="0.3">
      <c r="A55" s="321"/>
    </row>
    <row r="56" spans="1:1" hidden="1" outlineLevel="1" x14ac:dyDescent="0.3">
      <c r="A56" s="321"/>
    </row>
    <row r="57" spans="1:1" hidden="1" outlineLevel="1" x14ac:dyDescent="0.3">
      <c r="A57" s="321"/>
    </row>
    <row r="58" spans="1:1" hidden="1" outlineLevel="1" x14ac:dyDescent="0.3">
      <c r="A58" s="321"/>
    </row>
    <row r="59" spans="1:1" hidden="1" outlineLevel="1" x14ac:dyDescent="0.3">
      <c r="A59" s="321"/>
    </row>
    <row r="60" spans="1:1" hidden="1" outlineLevel="1" x14ac:dyDescent="0.3">
      <c r="A60" s="321"/>
    </row>
    <row r="61" spans="1:1" hidden="1" outlineLevel="1" x14ac:dyDescent="0.3">
      <c r="A61" s="321"/>
    </row>
    <row r="62" spans="1:1" hidden="1" outlineLevel="1" x14ac:dyDescent="0.3">
      <c r="A62" s="321"/>
    </row>
    <row r="63" spans="1:1" hidden="1" outlineLevel="1" x14ac:dyDescent="0.3">
      <c r="A63" s="321"/>
    </row>
    <row r="64" spans="1:1" hidden="1" outlineLevel="1" x14ac:dyDescent="0.3">
      <c r="A64" s="321"/>
    </row>
    <row r="65" spans="1:1" hidden="1" outlineLevel="1" x14ac:dyDescent="0.3">
      <c r="A65" s="321"/>
    </row>
    <row r="66" spans="1:1" hidden="1" outlineLevel="1" x14ac:dyDescent="0.3">
      <c r="A66" s="321"/>
    </row>
    <row r="67" spans="1:1" hidden="1" outlineLevel="1" x14ac:dyDescent="0.3">
      <c r="A67" s="321"/>
    </row>
    <row r="68" spans="1:1" hidden="1" outlineLevel="1" x14ac:dyDescent="0.3">
      <c r="A68" s="321"/>
    </row>
    <row r="69" spans="1:1" hidden="1" outlineLevel="1" x14ac:dyDescent="0.3">
      <c r="A69" s="321"/>
    </row>
    <row r="70" spans="1:1" hidden="1" outlineLevel="1" x14ac:dyDescent="0.3">
      <c r="A70" s="321"/>
    </row>
    <row r="71" spans="1:1" hidden="1" outlineLevel="1" x14ac:dyDescent="0.3">
      <c r="A71" s="321"/>
    </row>
    <row r="72" spans="1:1" hidden="1" outlineLevel="1" x14ac:dyDescent="0.3">
      <c r="A72" s="321"/>
    </row>
    <row r="73" spans="1:1" hidden="1" outlineLevel="1" x14ac:dyDescent="0.3">
      <c r="A73" s="321"/>
    </row>
    <row r="74" spans="1:1" hidden="1" outlineLevel="1" x14ac:dyDescent="0.3">
      <c r="A74" s="321"/>
    </row>
    <row r="75" spans="1:1" hidden="1" outlineLevel="1" x14ac:dyDescent="0.3">
      <c r="A75" s="321"/>
    </row>
    <row r="76" spans="1:1" hidden="1" outlineLevel="1" x14ac:dyDescent="0.3">
      <c r="A76" s="321"/>
    </row>
    <row r="77" spans="1:1" hidden="1" outlineLevel="1" x14ac:dyDescent="0.3">
      <c r="A77" s="321"/>
    </row>
    <row r="78" spans="1:1" hidden="1" outlineLevel="1" x14ac:dyDescent="0.3">
      <c r="A78" s="321"/>
    </row>
    <row r="79" spans="1:1" hidden="1" outlineLevel="1" x14ac:dyDescent="0.3">
      <c r="A79" s="321"/>
    </row>
    <row r="80" spans="1:1" hidden="1" outlineLevel="1" x14ac:dyDescent="0.3">
      <c r="A80" s="321"/>
    </row>
    <row r="81" spans="1:1" hidden="1" outlineLevel="1" x14ac:dyDescent="0.3">
      <c r="A81" s="321"/>
    </row>
    <row r="82" spans="1:1" hidden="1" outlineLevel="1" x14ac:dyDescent="0.3">
      <c r="A82" s="321"/>
    </row>
    <row r="83" spans="1:1" hidden="1" outlineLevel="1" x14ac:dyDescent="0.3">
      <c r="A83" s="321"/>
    </row>
    <row r="84" spans="1:1" hidden="1" outlineLevel="1" x14ac:dyDescent="0.3">
      <c r="A84" s="321"/>
    </row>
    <row r="85" spans="1:1" hidden="1" outlineLevel="1" x14ac:dyDescent="0.3">
      <c r="A85" s="321"/>
    </row>
    <row r="86" spans="1:1" hidden="1" outlineLevel="1" x14ac:dyDescent="0.3">
      <c r="A86" s="321"/>
    </row>
    <row r="87" spans="1:1" hidden="1" outlineLevel="1" x14ac:dyDescent="0.3">
      <c r="A87" s="321"/>
    </row>
    <row r="88" spans="1:1" hidden="1" outlineLevel="1" x14ac:dyDescent="0.3">
      <c r="A88" s="321"/>
    </row>
    <row r="89" spans="1:1" hidden="1" outlineLevel="1" x14ac:dyDescent="0.3">
      <c r="A89" s="321"/>
    </row>
    <row r="90" spans="1:1" hidden="1" outlineLevel="1" x14ac:dyDescent="0.3">
      <c r="A90" s="321"/>
    </row>
    <row r="91" spans="1:1" hidden="1" outlineLevel="1" x14ac:dyDescent="0.3">
      <c r="A91" s="321"/>
    </row>
    <row r="92" spans="1:1" hidden="1" outlineLevel="1" x14ac:dyDescent="0.3">
      <c r="A92" s="321"/>
    </row>
    <row r="93" spans="1:1" hidden="1" outlineLevel="1" x14ac:dyDescent="0.3">
      <c r="A93" s="321"/>
    </row>
    <row r="94" spans="1:1" hidden="1" outlineLevel="1" x14ac:dyDescent="0.3">
      <c r="A94" s="321"/>
    </row>
    <row r="95" spans="1:1" hidden="1" outlineLevel="1" x14ac:dyDescent="0.3">
      <c r="A95" s="321"/>
    </row>
    <row r="96" spans="1:1" hidden="1" outlineLevel="1" x14ac:dyDescent="0.3">
      <c r="A96" s="321"/>
    </row>
    <row r="97" spans="1:165" hidden="1" outlineLevel="1" x14ac:dyDescent="0.3">
      <c r="A97" s="321"/>
    </row>
    <row r="98" spans="1:165" collapsed="1" x14ac:dyDescent="0.3">
      <c r="A98" s="321"/>
    </row>
    <row r="99" spans="1:165" x14ac:dyDescent="0.3">
      <c r="A99" s="321"/>
    </row>
    <row r="100" spans="1:165" x14ac:dyDescent="0.3">
      <c r="A100" s="322" t="s">
        <v>3653</v>
      </c>
    </row>
    <row r="101" spans="1:165" x14ac:dyDescent="0.3">
      <c r="A101" s="321"/>
    </row>
    <row r="102" spans="1:165" x14ac:dyDescent="0.3">
      <c r="A102" s="321" t="s">
        <v>3654</v>
      </c>
      <c r="DU102" s="76">
        <f>+'Model Main'!DU18</f>
        <v>1946</v>
      </c>
      <c r="DV102" s="76">
        <f>+'Model Main'!DV18</f>
        <v>1915</v>
      </c>
      <c r="DW102" s="76">
        <f>+'Model Main'!DW18</f>
        <v>1849</v>
      </c>
      <c r="DX102" s="76">
        <f>+'Model Main'!DX18</f>
        <v>1792</v>
      </c>
      <c r="DY102" s="85">
        <f>+'Model Main'!DY18</f>
        <v>7502</v>
      </c>
      <c r="DZ102" s="76">
        <f>+'Model Main'!DZ18</f>
        <v>1789</v>
      </c>
      <c r="EA102" s="76">
        <f>+'Model Main'!EA18</f>
        <v>1754</v>
      </c>
      <c r="EB102" s="76">
        <f>+'Model Main'!EB18</f>
        <v>1727</v>
      </c>
      <c r="EC102" s="76">
        <f>+'Model Main'!EC18</f>
        <v>1696</v>
      </c>
      <c r="ED102" s="85">
        <f>+'Model Main'!ED18</f>
        <v>6966</v>
      </c>
      <c r="EE102" s="76">
        <f>+'Model Main'!EE18</f>
        <v>1675</v>
      </c>
      <c r="EF102" s="76">
        <f>+'Model Main'!EF18</f>
        <v>1617</v>
      </c>
      <c r="EG102" s="76">
        <f>+'Model Main'!EG18</f>
        <v>1576</v>
      </c>
      <c r="EH102" s="76">
        <f>+'Model Main'!EH18</f>
        <v>1543</v>
      </c>
      <c r="EI102" s="85">
        <f>+'Model Main'!EI18</f>
        <v>6411</v>
      </c>
      <c r="EJ102" s="76">
        <f>+'Model Main'!EJ18</f>
        <v>1447</v>
      </c>
      <c r="EK102" s="76">
        <f>+'Model Main'!EK18</f>
        <v>1459</v>
      </c>
      <c r="EL102" s="76">
        <f>+'Model Main'!EL18</f>
        <v>1444</v>
      </c>
      <c r="EM102" s="76">
        <f>+'Model Main'!EM18</f>
        <v>1437</v>
      </c>
      <c r="EN102" s="76">
        <f>+'Model Main'!EN18</f>
        <v>5787</v>
      </c>
      <c r="EO102" s="76">
        <f>+'Model Main'!EO18</f>
        <v>1440</v>
      </c>
      <c r="EP102" s="76">
        <f>+'Model Main'!EP18</f>
        <v>1449</v>
      </c>
      <c r="EQ102" s="76">
        <f>+'Model Main'!EQ18</f>
        <v>1436</v>
      </c>
      <c r="ER102" s="76">
        <f>+'Model Main'!ER18</f>
        <v>1426</v>
      </c>
      <c r="ES102" s="76">
        <f>+'Model Main'!ES18</f>
        <v>5751</v>
      </c>
      <c r="ET102" s="76">
        <f>+'Model Main'!ET18</f>
        <v>1462</v>
      </c>
      <c r="EU102" s="76">
        <f>+'Model Main'!EU18</f>
        <v>1480</v>
      </c>
      <c r="EV102" s="76">
        <f>+'Model Main'!EV18</f>
        <v>1489</v>
      </c>
      <c r="EW102" s="76">
        <f>+'Model Main'!EW18</f>
        <v>1506</v>
      </c>
      <c r="EX102" s="76">
        <f>+'Model Main'!EX18</f>
        <v>5937</v>
      </c>
      <c r="EY102" s="76">
        <f>+'Model Main'!EY18</f>
        <v>1470.6233506483941</v>
      </c>
      <c r="EZ102" s="76">
        <f>+'Model Main'!EZ18</f>
        <v>1497.5346474103735</v>
      </c>
      <c r="FA102" s="76">
        <f>+'Model Main'!FA18</f>
        <v>1513.8309759204517</v>
      </c>
      <c r="FB102" s="76">
        <f>+'Model Main'!FB18</f>
        <v>1538.834405145712</v>
      </c>
      <c r="FC102" s="76">
        <f>+'Model Main'!FC18</f>
        <v>6020.8233791249313</v>
      </c>
      <c r="FD102" s="76">
        <f>+'Model Main'!FD18</f>
        <v>6226.1974527353104</v>
      </c>
      <c r="FE102" s="76">
        <f>+'Model Main'!FE18</f>
        <v>6504.264954012373</v>
      </c>
      <c r="FF102" s="76">
        <f>+'Model Main'!FF18</f>
        <v>6801.1959800304503</v>
      </c>
      <c r="FG102" s="76">
        <f>+'Model Main'!FG18</f>
        <v>7077.139317382118</v>
      </c>
      <c r="FH102" s="76">
        <f>+'Model Main'!FH18</f>
        <v>7331.6741550276438</v>
      </c>
      <c r="FI102" s="76">
        <f>+'Model Main'!FI18</f>
        <v>7559.8689514336202</v>
      </c>
    </row>
    <row r="103" spans="1:165" x14ac:dyDescent="0.3">
      <c r="A103" s="321" t="s">
        <v>44</v>
      </c>
      <c r="DU103" s="76">
        <f>+'Model Main'!DU48</f>
        <v>771</v>
      </c>
      <c r="DV103" s="76">
        <f>+'Model Main'!DV48</f>
        <v>781</v>
      </c>
      <c r="DW103" s="76">
        <f>+'Model Main'!DW48</f>
        <v>705</v>
      </c>
      <c r="DX103" s="76">
        <f>+'Model Main'!DX48</f>
        <v>673</v>
      </c>
      <c r="DY103" s="85">
        <f>+'Model Main'!DY48</f>
        <v>2930</v>
      </c>
      <c r="DZ103" s="76">
        <f>+'Model Main'!DZ48</f>
        <v>687</v>
      </c>
      <c r="EA103" s="76">
        <f>+'Model Main'!EA48</f>
        <v>703</v>
      </c>
      <c r="EB103" s="76">
        <f>+'Model Main'!EB48</f>
        <v>691</v>
      </c>
      <c r="EC103" s="76">
        <f>+'Model Main'!EC48</f>
        <v>694</v>
      </c>
      <c r="ED103" s="85">
        <f>+'Model Main'!ED48</f>
        <v>2775</v>
      </c>
      <c r="EE103" s="76">
        <f>+'Model Main'!EE48</f>
        <v>669</v>
      </c>
      <c r="EF103" s="76">
        <f>+'Model Main'!EF48</f>
        <v>634</v>
      </c>
      <c r="EG103" s="76">
        <f>+'Model Main'!EG48</f>
        <v>587</v>
      </c>
      <c r="EH103" s="76">
        <f>+'Model Main'!EH48</f>
        <v>585</v>
      </c>
      <c r="EI103" s="85">
        <f>+'Model Main'!EI48</f>
        <v>2475</v>
      </c>
      <c r="EJ103" s="76">
        <f>+'Model Main'!EJ48</f>
        <v>509</v>
      </c>
      <c r="EK103" s="76">
        <f>+'Model Main'!EK48</f>
        <v>535</v>
      </c>
      <c r="EL103" s="76">
        <f>+'Model Main'!EL48</f>
        <v>508</v>
      </c>
      <c r="EM103" s="76">
        <f>+'Model Main'!EM48</f>
        <v>528</v>
      </c>
      <c r="EN103" s="76">
        <f>+'Model Main'!EN48</f>
        <v>2080</v>
      </c>
      <c r="EO103" s="76">
        <f>+'Model Main'!EO48</f>
        <v>519</v>
      </c>
      <c r="EP103" s="76">
        <f>+'Model Main'!EP48</f>
        <v>533</v>
      </c>
      <c r="EQ103" s="76">
        <f>+'Model Main'!EQ48</f>
        <v>526</v>
      </c>
      <c r="ER103" s="76">
        <f>+'Model Main'!ER48</f>
        <v>549</v>
      </c>
      <c r="ES103" s="76">
        <f>+'Model Main'!ES48</f>
        <v>2127</v>
      </c>
      <c r="ET103" s="76">
        <f>+'Model Main'!ET48</f>
        <v>547</v>
      </c>
      <c r="EU103" s="76">
        <f>+'Model Main'!EU48</f>
        <v>560</v>
      </c>
      <c r="EV103" s="76">
        <f>+'Model Main'!EV48</f>
        <v>549</v>
      </c>
      <c r="EW103" s="76">
        <f>+'Model Main'!EW48</f>
        <v>595</v>
      </c>
      <c r="EX103" s="76">
        <f>+'Model Main'!EX48</f>
        <v>2251</v>
      </c>
      <c r="EY103" s="76">
        <f>+'Model Main'!EY48</f>
        <v>557.00673078298382</v>
      </c>
      <c r="EZ103" s="76">
        <f>+'Model Main'!EZ48</f>
        <v>593.66919939607885</v>
      </c>
      <c r="FA103" s="76">
        <f>+'Model Main'!FA48</f>
        <v>600.75639092527183</v>
      </c>
      <c r="FB103" s="76">
        <f>+'Model Main'!FB48</f>
        <v>665.02227580736007</v>
      </c>
      <c r="FC103" s="76">
        <f>+'Model Main'!FC48</f>
        <v>2416.4545969116944</v>
      </c>
      <c r="FD103" s="76">
        <f>+'Model Main'!FD48</f>
        <v>2677.0130389762598</v>
      </c>
      <c r="FE103" s="76">
        <f>+'Model Main'!FE48</f>
        <v>2993.8763244864958</v>
      </c>
      <c r="FF103" s="76">
        <f>+'Model Main'!FF48</f>
        <v>3272.0038286472327</v>
      </c>
      <c r="FG103" s="76">
        <f>+'Model Main'!FG48</f>
        <v>3533.6794470944578</v>
      </c>
      <c r="FH103" s="76">
        <f>+'Model Main'!FH48</f>
        <v>3778.5031908761971</v>
      </c>
      <c r="FI103" s="76">
        <f>+'Model Main'!FI48</f>
        <v>4001.9646887265144</v>
      </c>
    </row>
    <row r="104" spans="1:165" x14ac:dyDescent="0.3">
      <c r="A104" s="321" t="s">
        <v>2552</v>
      </c>
      <c r="DU104" s="76">
        <f>+'Model Main'!DU65</f>
        <v>484</v>
      </c>
      <c r="DV104" s="76">
        <f>+'Model Main'!DV65</f>
        <v>454</v>
      </c>
      <c r="DW104" s="76">
        <f>+'Model Main'!DW65</f>
        <v>422</v>
      </c>
      <c r="DX104" s="76">
        <f>+'Model Main'!DX65</f>
        <v>420</v>
      </c>
      <c r="DY104" s="85">
        <f>+'Model Main'!DY65</f>
        <v>1780</v>
      </c>
      <c r="DZ104" s="76">
        <f>+'Model Main'!DZ65</f>
        <v>415</v>
      </c>
      <c r="EA104" s="76">
        <f>+'Model Main'!EA65</f>
        <v>397</v>
      </c>
      <c r="EB104" s="76">
        <f>+'Model Main'!EB65</f>
        <v>392</v>
      </c>
      <c r="EC104" s="76">
        <f>+'Model Main'!EC65</f>
        <v>394</v>
      </c>
      <c r="ED104" s="85">
        <f>+'Model Main'!ED65</f>
        <v>1598</v>
      </c>
      <c r="EE104" s="76">
        <f>+'Model Main'!EE65</f>
        <v>387</v>
      </c>
      <c r="EF104" s="76">
        <f>+'Model Main'!EF65</f>
        <v>298</v>
      </c>
      <c r="EG104" s="76">
        <f>+'Model Main'!EG65</f>
        <v>273</v>
      </c>
      <c r="EH104" s="76">
        <f>+'Model Main'!EH65</f>
        <v>282</v>
      </c>
      <c r="EI104" s="85">
        <f>+'Model Main'!EI65</f>
        <v>1240</v>
      </c>
      <c r="EJ104" s="76">
        <f>+'Model Main'!EJ65</f>
        <v>284</v>
      </c>
      <c r="EK104" s="76">
        <f>+'Model Main'!EK65</f>
        <v>290</v>
      </c>
      <c r="EL104" s="76">
        <f>+'Model Main'!EL65</f>
        <v>296</v>
      </c>
      <c r="EM104" s="76">
        <f>+'Model Main'!EM65</f>
        <v>312</v>
      </c>
      <c r="EN104" s="76">
        <f>+'Model Main'!EN65</f>
        <v>1182</v>
      </c>
      <c r="EO104" s="76">
        <f>+'Model Main'!EO65</f>
        <v>330</v>
      </c>
      <c r="EP104" s="76">
        <f>+'Model Main'!EP65</f>
        <v>354</v>
      </c>
      <c r="EQ104" s="76">
        <f>+'Model Main'!EQ65</f>
        <v>356</v>
      </c>
      <c r="ER104" s="76">
        <f>+'Model Main'!ER65</f>
        <v>375</v>
      </c>
      <c r="ES104" s="76">
        <f>+'Model Main'!ES65</f>
        <v>1415</v>
      </c>
      <c r="ET104" s="76">
        <f>+'Model Main'!ET65</f>
        <v>388</v>
      </c>
      <c r="EU104" s="76">
        <f>+'Model Main'!EU65</f>
        <v>398</v>
      </c>
      <c r="EV104" s="76">
        <f>+'Model Main'!EV65</f>
        <v>410</v>
      </c>
      <c r="EW104" s="76">
        <f>+'Model Main'!EW65</f>
        <v>429</v>
      </c>
      <c r="EX104" s="76">
        <f>+'Model Main'!EX65</f>
        <v>1625</v>
      </c>
      <c r="EY104" s="76">
        <f>+'Model Main'!EY65</f>
        <v>446.79223416720856</v>
      </c>
      <c r="EZ104" s="76">
        <f>+'Model Main'!EZ65</f>
        <v>462.66189382808551</v>
      </c>
      <c r="FA104" s="76">
        <f>+'Model Main'!FA65</f>
        <v>478.19959846764107</v>
      </c>
      <c r="FB104" s="76">
        <f>+'Model Main'!FB65</f>
        <v>489.27314308713403</v>
      </c>
      <c r="FC104" s="76">
        <f>+'Model Main'!FC65</f>
        <v>1876.9268695500691</v>
      </c>
      <c r="FD104" s="76">
        <f>+'Model Main'!FD65</f>
        <v>1885.7573337711524</v>
      </c>
      <c r="FE104" s="76">
        <f>+'Model Main'!FE65</f>
        <v>1834.7439701874368</v>
      </c>
      <c r="FF104" s="76">
        <f>+'Model Main'!FF65</f>
        <v>1780.0313325127736</v>
      </c>
      <c r="FG104" s="76">
        <f>+'Model Main'!FG65</f>
        <v>1745.8726553093841</v>
      </c>
      <c r="FH104" s="76">
        <f>+'Model Main'!FH65</f>
        <v>1720.9729247345799</v>
      </c>
      <c r="FI104" s="76">
        <f>+'Model Main'!FI65</f>
        <v>1696.3052066714506</v>
      </c>
    </row>
    <row r="105" spans="1:165" x14ac:dyDescent="0.3">
      <c r="A105" s="321" t="s">
        <v>3655</v>
      </c>
      <c r="DU105" s="76">
        <f>+'Model Main'!DU73</f>
        <v>379</v>
      </c>
      <c r="DV105" s="76">
        <f>+'Model Main'!DV73</f>
        <v>383</v>
      </c>
      <c r="DW105" s="76">
        <f>+'Model Main'!DW73</f>
        <v>382</v>
      </c>
      <c r="DX105" s="76">
        <f>+'Model Main'!DX73</f>
        <v>391</v>
      </c>
      <c r="DY105" s="85">
        <f>+'Model Main'!DY73</f>
        <v>1535</v>
      </c>
      <c r="DZ105" s="76">
        <f>+'Model Main'!DZ73</f>
        <v>383</v>
      </c>
      <c r="EA105" s="76">
        <f>+'Model Main'!EA73</f>
        <v>160</v>
      </c>
      <c r="EB105" s="76">
        <f>+'Model Main'!EB73</f>
        <v>121</v>
      </c>
      <c r="EC105" s="76">
        <f>+'Model Main'!EC73</f>
        <v>98</v>
      </c>
      <c r="ED105" s="85">
        <f>+'Model Main'!ED73</f>
        <v>762</v>
      </c>
      <c r="EE105" s="76">
        <f>+'Model Main'!EE73</f>
        <v>89</v>
      </c>
      <c r="EF105" s="76">
        <f>+'Model Main'!EF73</f>
        <v>91</v>
      </c>
      <c r="EG105" s="76">
        <f>+'Model Main'!EG73</f>
        <v>90</v>
      </c>
      <c r="EH105" s="76">
        <f>+'Model Main'!EH73</f>
        <v>105</v>
      </c>
      <c r="EI105" s="85">
        <f>+'Model Main'!EI73</f>
        <v>375</v>
      </c>
      <c r="EJ105" s="76">
        <f>+'Model Main'!EJ73</f>
        <v>103</v>
      </c>
      <c r="EK105" s="76">
        <f>+'Model Main'!EK73</f>
        <v>118</v>
      </c>
      <c r="EL105" s="76">
        <f>+'Model Main'!EL73</f>
        <v>135</v>
      </c>
      <c r="EM105" s="76">
        <f>+'Model Main'!EM73</f>
        <v>136</v>
      </c>
      <c r="EN105" s="76">
        <f>+'Model Main'!EN73</f>
        <v>492</v>
      </c>
      <c r="EO105" s="76">
        <f>+'Model Main'!EO73</f>
        <v>141</v>
      </c>
      <c r="EP105" s="76">
        <f>+'Model Main'!EP73</f>
        <v>149</v>
      </c>
      <c r="EQ105" s="76">
        <f>+'Model Main'!EQ73</f>
        <v>170</v>
      </c>
      <c r="ER105" s="76">
        <f>+'Model Main'!ER73</f>
        <v>193</v>
      </c>
      <c r="ES105" s="76">
        <f>+'Model Main'!ES73</f>
        <v>653</v>
      </c>
      <c r="ET105" s="76">
        <f>+'Model Main'!ET73</f>
        <v>199</v>
      </c>
      <c r="EU105" s="76">
        <f>+'Model Main'!EU73</f>
        <v>199</v>
      </c>
      <c r="EV105" s="76">
        <f>+'Model Main'!EV73</f>
        <v>203</v>
      </c>
      <c r="EW105" s="76">
        <f>+'Model Main'!EW73</f>
        <v>203</v>
      </c>
      <c r="EX105" s="76">
        <f>+'Model Main'!EX73</f>
        <v>804</v>
      </c>
      <c r="EY105" s="76">
        <f>+'Model Main'!EY73</f>
        <v>217.58846267772512</v>
      </c>
      <c r="EZ105" s="76">
        <f>+'Model Main'!EZ73</f>
        <v>219.67064892344496</v>
      </c>
      <c r="FA105" s="76">
        <f>+'Model Main'!FA73</f>
        <v>216.82408854166667</v>
      </c>
      <c r="FB105" s="76">
        <f>+'Model Main'!FB73</f>
        <v>215.82489919354839</v>
      </c>
      <c r="FC105" s="76">
        <f>+'Model Main'!FC73</f>
        <v>869.90809933638513</v>
      </c>
      <c r="FD105" s="76">
        <f>+'Model Main'!FD73</f>
        <v>964.07832879033003</v>
      </c>
      <c r="FE105" s="76">
        <f>+'Model Main'!FE73</f>
        <v>1020.8021294202155</v>
      </c>
      <c r="FF105" s="76">
        <f>+'Model Main'!FF73</f>
        <v>1045.1177970308152</v>
      </c>
      <c r="FG105" s="76">
        <f>+'Model Main'!FG73</f>
        <v>1045.3428535101159</v>
      </c>
      <c r="FH105" s="76">
        <f>+'Model Main'!FH73</f>
        <v>1011.7913571906414</v>
      </c>
      <c r="FI105" s="76">
        <f>+'Model Main'!FI73</f>
        <v>1020.628024696224</v>
      </c>
    </row>
    <row r="106" spans="1:165" x14ac:dyDescent="0.3">
      <c r="A106" s="321" t="s">
        <v>3656</v>
      </c>
      <c r="DU106" s="76">
        <f>+'Model Main'!DU74</f>
        <v>-69</v>
      </c>
      <c r="DV106" s="76">
        <f>+'Model Main'!DV74</f>
        <v>-5851</v>
      </c>
      <c r="DW106" s="76">
        <f>+'Model Main'!DW74</f>
        <v>-366</v>
      </c>
      <c r="DX106" s="76">
        <f>+'Model Main'!DX74</f>
        <v>-236</v>
      </c>
      <c r="DY106" s="85">
        <f>+'Model Main'!DY74</f>
        <v>-6522</v>
      </c>
      <c r="DZ106" s="76">
        <f>+'Model Main'!DZ74</f>
        <v>-209</v>
      </c>
      <c r="EA106" s="76">
        <f>+'Model Main'!EA74</f>
        <v>-238</v>
      </c>
      <c r="EB106" s="76">
        <f>+'Model Main'!EB74</f>
        <v>4</v>
      </c>
      <c r="EC106" s="76">
        <f>+'Model Main'!EC74</f>
        <v>-43</v>
      </c>
      <c r="ED106" s="85">
        <f>+'Model Main'!ED74</f>
        <v>-486</v>
      </c>
      <c r="EE106" s="76">
        <f>+'Model Main'!EE74</f>
        <v>147</v>
      </c>
      <c r="EF106" s="76">
        <f>+'Model Main'!EF74</f>
        <v>4400</v>
      </c>
      <c r="EG106" s="76">
        <f>+'Model Main'!EG74</f>
        <v>157</v>
      </c>
      <c r="EH106" s="76">
        <f>+'Model Main'!EH74</f>
        <v>201</v>
      </c>
      <c r="EI106" s="85">
        <f>+'Model Main'!EI74</f>
        <v>4905</v>
      </c>
      <c r="EJ106" s="76">
        <f>+'Model Main'!EJ74</f>
        <v>95</v>
      </c>
      <c r="EK106" s="76">
        <f>+'Model Main'!EK74</f>
        <v>170</v>
      </c>
      <c r="EL106" s="76">
        <f>+'Model Main'!EL74</f>
        <v>195</v>
      </c>
      <c r="EM106" s="76">
        <f>+'Model Main'!EM74</f>
        <v>139</v>
      </c>
      <c r="EN106" s="76">
        <f>+'Model Main'!EN74</f>
        <v>599</v>
      </c>
      <c r="EO106" s="76">
        <f>+'Model Main'!EO74</f>
        <v>4</v>
      </c>
      <c r="EP106" s="76">
        <f>+'Model Main'!EP74</f>
        <v>-2</v>
      </c>
      <c r="EQ106" s="76">
        <f>+'Model Main'!EQ74</f>
        <v>11</v>
      </c>
      <c r="ER106" s="76">
        <f>+'Model Main'!ER74</f>
        <v>104</v>
      </c>
      <c r="ES106" s="76">
        <f>+'Model Main'!ES74</f>
        <v>117</v>
      </c>
      <c r="ET106" s="76">
        <f>+'Model Main'!ET74</f>
        <v>3</v>
      </c>
      <c r="EU106" s="76">
        <f>+'Model Main'!EU74</f>
        <v>-132</v>
      </c>
      <c r="EV106" s="76">
        <f>+'Model Main'!EV74</f>
        <v>-88</v>
      </c>
      <c r="EW106" s="76">
        <f>+'Model Main'!EW74</f>
        <v>-129</v>
      </c>
      <c r="EX106" s="76">
        <f>+'Model Main'!EX74</f>
        <v>-346</v>
      </c>
      <c r="EY106" s="76">
        <f>+'Model Main'!EY74</f>
        <v>-133.37396606194986</v>
      </c>
      <c r="EZ106" s="76">
        <f>+'Model Main'!EZ74</f>
        <v>-114.66334335545162</v>
      </c>
      <c r="FA106" s="76">
        <f>+'Model Main'!FA74</f>
        <v>-119.26729608403591</v>
      </c>
      <c r="FB106" s="76">
        <f>+'Model Main'!FB74</f>
        <v>-67.075766473322346</v>
      </c>
      <c r="FC106" s="76">
        <f>+'Model Main'!FC74</f>
        <v>-434.38037197475973</v>
      </c>
      <c r="FD106" s="76">
        <f>+'Model Main'!FD74</f>
        <v>-280.82262358522257</v>
      </c>
      <c r="FE106" s="76">
        <f>+'Model Main'!FE74</f>
        <v>30.330224878843524</v>
      </c>
      <c r="FF106" s="76">
        <f>+'Model Main'!FF74</f>
        <v>338.85469910364395</v>
      </c>
      <c r="FG106" s="76">
        <f>+'Model Main'!FG74</f>
        <v>634.46393827495785</v>
      </c>
      <c r="FH106" s="76">
        <f>+'Model Main'!FH74</f>
        <v>937.73890895097577</v>
      </c>
      <c r="FI106" s="76">
        <f>+'Model Main'!FI74</f>
        <v>1177.0314573588396</v>
      </c>
    </row>
    <row r="107" spans="1:165" x14ac:dyDescent="0.3">
      <c r="A107" s="321" t="s">
        <v>2556</v>
      </c>
      <c r="DU107" s="76">
        <f>+'Model Main'!DU75</f>
        <v>18</v>
      </c>
      <c r="DV107" s="76">
        <f>+'Model Main'!DV75</f>
        <v>-534</v>
      </c>
      <c r="DW107" s="76">
        <f>+'Model Main'!DW75</f>
        <v>-21</v>
      </c>
      <c r="DX107" s="76">
        <f>+'Model Main'!DX75</f>
        <v>-74</v>
      </c>
      <c r="DY107" s="85">
        <f>+'Model Main'!DY75</f>
        <v>-611</v>
      </c>
      <c r="DZ107" s="76">
        <f>+'Model Main'!DZ75</f>
        <v>-23</v>
      </c>
      <c r="EA107" s="76">
        <f>+'Model Main'!EA75</f>
        <v>-57</v>
      </c>
      <c r="EB107" s="76">
        <f>+'Model Main'!EB75</f>
        <v>-11</v>
      </c>
      <c r="EC107" s="76">
        <f>+'Model Main'!EC75</f>
        <v>7</v>
      </c>
      <c r="ED107" s="85">
        <f>+'Model Main'!ED75</f>
        <v>-84</v>
      </c>
      <c r="EE107" s="76">
        <f>+'Model Main'!EE75</f>
        <v>87</v>
      </c>
      <c r="EF107" s="76">
        <f>+'Model Main'!EF75</f>
        <v>-180</v>
      </c>
      <c r="EG107" s="76">
        <f>+'Model Main'!EG75</f>
        <v>31</v>
      </c>
      <c r="EH107" s="76">
        <f>+'Model Main'!EH75</f>
        <v>12</v>
      </c>
      <c r="EI107" s="85">
        <f>+'Model Main'!EI75</f>
        <v>-50</v>
      </c>
      <c r="EJ107" s="76">
        <f>+'Model Main'!EJ75</f>
        <v>30</v>
      </c>
      <c r="EK107" s="76">
        <f>+'Model Main'!EK75</f>
        <v>69</v>
      </c>
      <c r="EL107" s="76">
        <f>+'Model Main'!EL75</f>
        <v>75</v>
      </c>
      <c r="EM107" s="76">
        <f>+'Model Main'!EM75</f>
        <v>-16</v>
      </c>
      <c r="EN107" s="76">
        <f>+'Model Main'!EN75</f>
        <v>158</v>
      </c>
      <c r="EO107" s="76">
        <f>+'Model Main'!EO75</f>
        <v>1</v>
      </c>
      <c r="EP107" s="76">
        <f>+'Model Main'!EP75</f>
        <v>0</v>
      </c>
      <c r="EQ107" s="76">
        <f>+'Model Main'!EQ75</f>
        <v>0</v>
      </c>
      <c r="ER107" s="76">
        <f>+'Model Main'!ER75</f>
        <v>87</v>
      </c>
      <c r="ES107" s="76">
        <f>+'Model Main'!ES75</f>
        <v>88</v>
      </c>
      <c r="ET107" s="76">
        <f>+'Model Main'!ET75</f>
        <v>2</v>
      </c>
      <c r="EU107" s="76">
        <f>+'Model Main'!EU75</f>
        <v>-9</v>
      </c>
      <c r="EV107" s="76">
        <f>+'Model Main'!EV75</f>
        <v>-6</v>
      </c>
      <c r="EW107" s="76">
        <f>+'Model Main'!EW75</f>
        <v>-11</v>
      </c>
      <c r="EX107" s="76">
        <f>+'Model Main'!EX75</f>
        <v>-24</v>
      </c>
      <c r="EY107" s="76">
        <f>+'Model Main'!EY75</f>
        <v>-33.343491515487464</v>
      </c>
      <c r="EZ107" s="76">
        <f>+'Model Main'!EZ75</f>
        <v>-28.665835838862904</v>
      </c>
      <c r="FA107" s="76">
        <f>+'Model Main'!FA75</f>
        <v>-29.816824021008976</v>
      </c>
      <c r="FB107" s="76">
        <f>+'Model Main'!FB75</f>
        <v>-16.768941618330587</v>
      </c>
      <c r="FC107" s="76">
        <f>+'Model Main'!FC75</f>
        <v>-108.59509299368993</v>
      </c>
      <c r="FD107" s="76">
        <f>+'Model Main'!FD75</f>
        <v>-70.205655896305643</v>
      </c>
      <c r="FE107" s="76">
        <f>+'Model Main'!FE75</f>
        <v>7.5825562197108809</v>
      </c>
      <c r="FF107" s="76">
        <f>+'Model Main'!FF75</f>
        <v>84.713674775910988</v>
      </c>
      <c r="FG107" s="76">
        <f>+'Model Main'!FG75</f>
        <v>158.61598456873946</v>
      </c>
      <c r="FH107" s="76">
        <f>+'Model Main'!FH75</f>
        <v>234.43472723774394</v>
      </c>
      <c r="FI107" s="76">
        <f>+'Model Main'!FI75</f>
        <v>294.2578643397099</v>
      </c>
    </row>
    <row r="108" spans="1:165" x14ac:dyDescent="0.3">
      <c r="A108" s="321" t="s">
        <v>3657</v>
      </c>
      <c r="DU108" s="74">
        <f>+'Model Main'!DU77</f>
        <v>-0.2608695652173913</v>
      </c>
      <c r="DV108" s="74">
        <f>+'Model Main'!DV77</f>
        <v>9.1266450179456504E-2</v>
      </c>
      <c r="DW108" s="74">
        <f>+'Model Main'!DW77</f>
        <v>5.737704918032787E-2</v>
      </c>
      <c r="DX108" s="74">
        <f>+'Model Main'!DX77</f>
        <v>0.3135593220338983</v>
      </c>
      <c r="DY108" s="92">
        <f>+'Model Main'!DY77</f>
        <v>9.3682919349892674E-2</v>
      </c>
      <c r="DZ108" s="74">
        <f>+'Model Main'!DZ77</f>
        <v>0.11004784688995216</v>
      </c>
      <c r="EA108" s="74">
        <f>+'Model Main'!EA77</f>
        <v>0.23949579831932774</v>
      </c>
      <c r="EB108" s="74">
        <f>+'Model Main'!EB77</f>
        <v>-2.75</v>
      </c>
      <c r="EC108" s="74">
        <f>+'Model Main'!EC77</f>
        <v>-0.16279069767441862</v>
      </c>
      <c r="ED108" s="92">
        <f>+'Model Main'!ED77</f>
        <v>0.1728395061728395</v>
      </c>
      <c r="EE108" s="74">
        <f>+'Model Main'!EE77</f>
        <v>0.59183673469387754</v>
      </c>
      <c r="EF108" s="74">
        <f>+'Model Main'!EF77</f>
        <v>-4.0909090909090909E-2</v>
      </c>
      <c r="EG108" s="74">
        <f>+'Model Main'!EG77</f>
        <v>0.19745222929936307</v>
      </c>
      <c r="EH108" s="74">
        <f>+'Model Main'!EH77</f>
        <v>5.9701492537313432E-2</v>
      </c>
      <c r="EI108" s="92">
        <f>+'Model Main'!EI77</f>
        <v>-1.0193679918450561E-2</v>
      </c>
      <c r="EJ108" s="74">
        <f>+'Model Main'!EJ77</f>
        <v>0.31578947368421051</v>
      </c>
      <c r="EK108" s="74">
        <f>+'Model Main'!EK77</f>
        <v>0.40588235294117647</v>
      </c>
      <c r="EL108" s="74">
        <f>+'Model Main'!EL77</f>
        <v>0.38461538461538464</v>
      </c>
      <c r="EM108" s="74">
        <f>+'Model Main'!EM77</f>
        <v>-0.11510791366906475</v>
      </c>
      <c r="EN108" s="74">
        <f>+'Model Main'!EN77</f>
        <v>0.26377295492487479</v>
      </c>
      <c r="EO108" s="74">
        <f>+'Model Main'!EO77</f>
        <v>0.25</v>
      </c>
      <c r="EP108" s="74">
        <f>+'Model Main'!EP77</f>
        <v>0</v>
      </c>
      <c r="EQ108" s="74">
        <f>+'Model Main'!EQ77</f>
        <v>0</v>
      </c>
      <c r="ER108" s="74">
        <f>+'Model Main'!ER77</f>
        <v>0.83653846153846156</v>
      </c>
      <c r="ES108" s="74">
        <f>+'Model Main'!ES77</f>
        <v>0.75213675213675213</v>
      </c>
      <c r="ET108" s="74">
        <f>+'Model Main'!ET77</f>
        <v>0.66666666666666663</v>
      </c>
      <c r="EU108" s="74">
        <f>+'Model Main'!EU77</f>
        <v>6.8181818181818177E-2</v>
      </c>
      <c r="EV108" s="74">
        <f>+'Model Main'!EV77</f>
        <v>6.8181818181818177E-2</v>
      </c>
      <c r="EW108" s="74">
        <f>+'Model Main'!EW77</f>
        <v>8.5271317829457363E-2</v>
      </c>
      <c r="EX108" s="74">
        <f>+'Model Main'!EX77</f>
        <v>6.9364161849710976E-2</v>
      </c>
      <c r="EY108" s="74">
        <f>+'Model Main'!EY77</f>
        <v>0.25</v>
      </c>
      <c r="EZ108" s="74">
        <f>+'Model Main'!EZ77</f>
        <v>0.25</v>
      </c>
      <c r="FA108" s="74">
        <f>+'Model Main'!FA77</f>
        <v>0.25</v>
      </c>
      <c r="FB108" s="74">
        <f>+'Model Main'!FB77</f>
        <v>0.25</v>
      </c>
      <c r="FC108" s="74">
        <f>+'Model Main'!FC77</f>
        <v>0.25</v>
      </c>
      <c r="FD108" s="74">
        <f>+'Model Main'!FD77</f>
        <v>0.25</v>
      </c>
      <c r="FE108" s="74">
        <f>+'Model Main'!FE77</f>
        <v>0.25</v>
      </c>
      <c r="FF108" s="74">
        <f>+'Model Main'!FF77</f>
        <v>0.25</v>
      </c>
      <c r="FG108" s="74">
        <f>+'Model Main'!FG77</f>
        <v>0.25</v>
      </c>
      <c r="FH108" s="74">
        <f>+'Model Main'!FH77</f>
        <v>0.25</v>
      </c>
      <c r="FI108" s="74">
        <f>+'Model Main'!FI77</f>
        <v>0.25</v>
      </c>
    </row>
    <row r="109" spans="1:165" x14ac:dyDescent="0.3">
      <c r="A109" s="321" t="s">
        <v>3658</v>
      </c>
      <c r="DU109" s="480">
        <f>+'Model Main'!DU81</f>
        <v>-0.33461538461538459</v>
      </c>
      <c r="DV109" s="480">
        <f>+'Model Main'!DV81</f>
        <v>-20.45</v>
      </c>
      <c r="DW109" s="480">
        <f>+'Model Main'!DW81</f>
        <v>-1.3269230769230769</v>
      </c>
      <c r="DX109" s="480">
        <f>+'Model Main'!DX81</f>
        <v>-0.62307692307692308</v>
      </c>
      <c r="DY109" s="815">
        <f>+'Model Main'!DY81</f>
        <v>-22.734615384615385</v>
      </c>
      <c r="DZ109" s="480">
        <f>+'Model Main'!DZ81</f>
        <v>-0.7153846153846154</v>
      </c>
      <c r="EA109" s="480">
        <f>+'Model Main'!EA81</f>
        <v>-0.69615384615384612</v>
      </c>
      <c r="EB109" s="480">
        <f>+'Model Main'!EB81</f>
        <v>5.7692307692307696E-2</v>
      </c>
      <c r="EC109" s="480">
        <f>+'Model Main'!EC81</f>
        <v>-0.19230769230769232</v>
      </c>
      <c r="ED109" s="815">
        <f>+'Model Main'!ED81</f>
        <v>-1.546153846153846</v>
      </c>
      <c r="EE109" s="480">
        <f>+'Model Main'!EE81</f>
        <v>0.23076923076923078</v>
      </c>
      <c r="EF109" s="480">
        <f>+'Model Main'!EF81</f>
        <v>24.295020051348427</v>
      </c>
      <c r="EG109" s="480">
        <f>+'Model Main'!EG81</f>
        <v>0.51554195324934637</v>
      </c>
      <c r="EH109" s="480">
        <f>+'Model Main'!EH81</f>
        <v>0.77361363524731075</v>
      </c>
      <c r="EI109" s="815">
        <f>+'Model Main'!EI81</f>
        <v>25.814944870614315</v>
      </c>
      <c r="EJ109" s="480">
        <f>+'Model Main'!EJ81</f>
        <v>0.26592154087214082</v>
      </c>
      <c r="EK109" s="480">
        <f>+'Model Main'!EK81</f>
        <v>0.41271151465125877</v>
      </c>
      <c r="EL109" s="480">
        <f>+'Model Main'!EL81</f>
        <v>0.48982790712862878</v>
      </c>
      <c r="EM109" s="480">
        <f>+'Model Main'!EM81</f>
        <v>0.63262723970450185</v>
      </c>
      <c r="EN109" s="480">
        <f>+'Model Main'!EN81</f>
        <v>1.8010882023565302</v>
      </c>
      <c r="EO109" s="480">
        <f>+'Model Main'!EO81</f>
        <v>1.2240850983960406E-2</v>
      </c>
      <c r="EP109" s="480">
        <f>+'Model Main'!EP81</f>
        <v>-8.1475023831444476E-3</v>
      </c>
      <c r="EQ109" s="480">
        <f>+'Model Main'!EQ81</f>
        <v>4.4758932458770918E-2</v>
      </c>
      <c r="ER109" s="480">
        <f>+'Model Main'!ER81</f>
        <v>6.9162201636296328E-2</v>
      </c>
      <c r="ES109" s="480">
        <f>+'Model Main'!ES81</f>
        <v>0.1180144826958832</v>
      </c>
      <c r="ET109" s="480">
        <f>+'Model Main'!ET81</f>
        <v>4.0600728377067083E-3</v>
      </c>
      <c r="EU109" s="480">
        <f>+'Model Main'!EU81</f>
        <v>-0.49446441062254276</v>
      </c>
      <c r="EV109" s="480">
        <f>+'Model Main'!EV81</f>
        <v>-0.32933578594780433</v>
      </c>
      <c r="EW109" s="480">
        <f>+'Model Main'!EW81</f>
        <v>-0.47545177992223542</v>
      </c>
      <c r="EX109" s="480">
        <f>+'Model Main'!EX81</f>
        <v>-1.2951919036548758</v>
      </c>
      <c r="EY109" s="480">
        <f>+'Model Main'!EY81</f>
        <v>-0.40825265812506845</v>
      </c>
      <c r="EZ109" s="480">
        <f>+'Model Main'!EZ81</f>
        <v>-0.35098015074866529</v>
      </c>
      <c r="FA109" s="480">
        <f>+'Model Main'!FA81</f>
        <v>-0.36507267566056351</v>
      </c>
      <c r="FB109" s="480">
        <f>+'Model Main'!FB81</f>
        <v>-0.20531638045307041</v>
      </c>
      <c r="FC109" s="480">
        <f>+'Model Main'!FC81</f>
        <v>-1.3296218649873677</v>
      </c>
      <c r="FD109" s="480">
        <f>+'Model Main'!FD81</f>
        <v>-0.85958741368665115</v>
      </c>
      <c r="FE109" s="480">
        <f>+'Model Main'!FE81</f>
        <v>9.2839669494176602E-2</v>
      </c>
      <c r="FF109" s="480">
        <f>+'Model Main'!FF81</f>
        <v>1.0372213986871859</v>
      </c>
      <c r="FG109" s="480">
        <f>+'Model Main'!FG81</f>
        <v>1.9420700825897308</v>
      </c>
      <c r="FH109" s="480">
        <f>+'Model Main'!FH81</f>
        <v>2.9912809429810476</v>
      </c>
      <c r="FI109" s="480">
        <f>+'Model Main'!FI81</f>
        <v>4.3549121385424554</v>
      </c>
    </row>
    <row r="110" spans="1:165" x14ac:dyDescent="0.3">
      <c r="A110" s="321" t="s">
        <v>3659</v>
      </c>
      <c r="DU110" s="76">
        <f>+'Model Main'!DU80</f>
        <v>260</v>
      </c>
      <c r="DV110" s="76">
        <f>+'Model Main'!DV80</f>
        <v>260</v>
      </c>
      <c r="DW110" s="76">
        <f>+'Model Main'!DW80</f>
        <v>260</v>
      </c>
      <c r="DX110" s="76">
        <f>+'Model Main'!DX80</f>
        <v>260</v>
      </c>
      <c r="DY110" s="85">
        <f>+'Model Main'!DY80</f>
        <v>260</v>
      </c>
      <c r="DZ110" s="76">
        <f>+'Model Main'!DZ80</f>
        <v>260</v>
      </c>
      <c r="EA110" s="76">
        <f>+'Model Main'!EA80</f>
        <v>260</v>
      </c>
      <c r="EB110" s="76">
        <f>+'Model Main'!EB80</f>
        <v>260</v>
      </c>
      <c r="EC110" s="76">
        <f>+'Model Main'!EC80</f>
        <v>260</v>
      </c>
      <c r="ED110" s="85">
        <f>+'Model Main'!ED80</f>
        <v>260</v>
      </c>
      <c r="EE110" s="76">
        <f>+'Model Main'!EE80</f>
        <v>260</v>
      </c>
      <c r="EF110" s="76">
        <f>+'Model Main'!EF80</f>
        <v>188.51599999999999</v>
      </c>
      <c r="EG110" s="76">
        <f>+'Model Main'!EG80</f>
        <v>244.40299999999999</v>
      </c>
      <c r="EH110" s="76">
        <f>+'Model Main'!EH80</f>
        <v>244.30799999999999</v>
      </c>
      <c r="EI110" s="85">
        <f>+'Model Main'!EI80</f>
        <v>244.30799999999999</v>
      </c>
      <c r="EJ110" s="76">
        <f>+'Model Main'!EJ80</f>
        <v>244.43299999999999</v>
      </c>
      <c r="EK110" s="76">
        <f>+'Model Main'!EK80</f>
        <v>244.72300000000001</v>
      </c>
      <c r="EL110" s="76">
        <f>+'Model Main'!EL80</f>
        <v>244.98400000000001</v>
      </c>
      <c r="EM110" s="76">
        <f>+'Model Main'!EM80</f>
        <v>245.01</v>
      </c>
      <c r="EN110" s="76">
        <f>+'Model Main'!EN80</f>
        <v>244.85197305884239</v>
      </c>
      <c r="EO110" s="76">
        <f>+'Model Main'!EO80</f>
        <v>245.08099999999999</v>
      </c>
      <c r="EP110" s="76">
        <f>+'Model Main'!EP80</f>
        <v>245.47399999999999</v>
      </c>
      <c r="EQ110" s="76">
        <f>+'Model Main'!EQ80</f>
        <v>245.761</v>
      </c>
      <c r="ER110" s="76">
        <f>+'Model Main'!ER80</f>
        <v>245.79900000000001</v>
      </c>
      <c r="ES110" s="76">
        <f>+'Model Main'!ES80</f>
        <v>245.73255195069063</v>
      </c>
      <c r="ET110" s="76">
        <f>+'Model Main'!ET80</f>
        <v>246.30099999999999</v>
      </c>
      <c r="EU110" s="76">
        <f>+'Model Main'!EU80</f>
        <v>248.75399999999999</v>
      </c>
      <c r="EV110" s="76">
        <f>+'Model Main'!EV80</f>
        <v>248.98599999999999</v>
      </c>
      <c r="EW110" s="76">
        <f>+'Model Main'!EW80</f>
        <v>248.185</v>
      </c>
      <c r="EX110" s="76">
        <f>+'Model Main'!EX80</f>
        <v>248.61180732473289</v>
      </c>
      <c r="EY110" s="76">
        <f>+'Model Main'!EY80</f>
        <v>245.02099999999999</v>
      </c>
      <c r="EZ110" s="76">
        <f>+'Model Main'!EZ80</f>
        <v>245.02099999999999</v>
      </c>
      <c r="FA110" s="76">
        <f>+'Model Main'!FA80</f>
        <v>245.02099999999999</v>
      </c>
      <c r="FB110" s="76">
        <f>+'Model Main'!FB80</f>
        <v>245.02099999999999</v>
      </c>
      <c r="FC110" s="76">
        <f>+'Model Main'!FC80</f>
        <v>245.02099999999999</v>
      </c>
      <c r="FD110" s="76">
        <f>+'Model Main'!FD80</f>
        <v>245.02099999999999</v>
      </c>
      <c r="FE110" s="76">
        <f>+'Model Main'!FE80</f>
        <v>245.02099999999999</v>
      </c>
      <c r="FF110" s="76">
        <f>+'Model Main'!FF80</f>
        <v>245.02099999999999</v>
      </c>
      <c r="FG110" s="76">
        <f>+'Model Main'!FG80</f>
        <v>245.02099999999999</v>
      </c>
      <c r="FH110" s="76">
        <f>+'Model Main'!FH80</f>
        <v>235.11806317073439</v>
      </c>
      <c r="FI110" s="76">
        <f>+'Model Main'!FI80</f>
        <v>202.70755526989461</v>
      </c>
    </row>
    <row r="111" spans="1:165" x14ac:dyDescent="0.3">
      <c r="A111" s="321"/>
      <c r="DY111" s="90"/>
      <c r="ED111" s="90"/>
      <c r="EI111" s="90"/>
    </row>
    <row r="112" spans="1:165" x14ac:dyDescent="0.3">
      <c r="A112" s="321" t="s">
        <v>198</v>
      </c>
      <c r="DU112" s="76">
        <f>+'Model Main'!DU107*-1</f>
        <v>305</v>
      </c>
      <c r="DV112" s="76">
        <f>+'Model Main'!DV107*-1</f>
        <v>275</v>
      </c>
      <c r="DW112" s="76">
        <f>+'Model Main'!DW107*-1</f>
        <v>318</v>
      </c>
      <c r="DX112" s="76">
        <f>+'Model Main'!DX107*-1</f>
        <v>328</v>
      </c>
      <c r="DY112" s="85">
        <f>+'Model Main'!DY107*-1</f>
        <v>1226</v>
      </c>
      <c r="DZ112" s="76">
        <f>+'Model Main'!DZ107*-1</f>
        <v>286</v>
      </c>
      <c r="EA112" s="76">
        <f>+'Model Main'!EA107*-1</f>
        <v>225</v>
      </c>
      <c r="EB112" s="76">
        <f>+'Model Main'!EB107*-1</f>
        <v>314</v>
      </c>
      <c r="EC112" s="76">
        <f>+'Model Main'!EC107*-1</f>
        <v>356</v>
      </c>
      <c r="ED112" s="85">
        <f>+'Model Main'!ED107*-1</f>
        <v>1181</v>
      </c>
      <c r="EE112" s="76">
        <f>+'Model Main'!EE107*-1</f>
        <v>384</v>
      </c>
      <c r="EF112" s="76">
        <f>+'Model Main'!EF107*-1</f>
        <v>385</v>
      </c>
      <c r="EG112" s="76">
        <f>+'Model Main'!EG107*-1</f>
        <v>377</v>
      </c>
      <c r="EH112" s="76">
        <f>+'Model Main'!EH107*-1</f>
        <v>559</v>
      </c>
      <c r="EI112" s="85">
        <f>+'Model Main'!EI107*-1</f>
        <v>1705</v>
      </c>
      <c r="EJ112" s="76">
        <f>+'Model Main'!EJ107*-1</f>
        <v>447</v>
      </c>
      <c r="EK112" s="76">
        <f>+'Model Main'!EK107*-1</f>
        <v>641</v>
      </c>
      <c r="EL112" s="76">
        <f>+'Model Main'!EL107*-1</f>
        <v>772</v>
      </c>
      <c r="EM112" s="76">
        <f>+'Model Main'!EM107*-1</f>
        <v>878</v>
      </c>
      <c r="EN112" s="76">
        <f>+'Model Main'!EN107*-1</f>
        <v>2738</v>
      </c>
      <c r="EO112" s="76">
        <f>Drivers!EO580</f>
        <v>1154</v>
      </c>
      <c r="EP112" s="76">
        <f>Drivers!EP580</f>
        <v>1057</v>
      </c>
      <c r="EQ112" s="76">
        <f>Drivers!EQ580</f>
        <v>671</v>
      </c>
      <c r="ER112" s="76">
        <f>Drivers!ER580</f>
        <v>333</v>
      </c>
      <c r="ES112" s="76">
        <f>+'Model Main'!ES107*-1</f>
        <v>3211</v>
      </c>
      <c r="ET112" s="76">
        <f>Drivers!ET580</f>
        <v>1029</v>
      </c>
      <c r="EU112" s="76">
        <f>Drivers!EU580</f>
        <v>678</v>
      </c>
      <c r="EV112" s="76">
        <f>Drivers!EV580</f>
        <v>699</v>
      </c>
      <c r="EW112" s="76">
        <f>Drivers!EW580</f>
        <v>840</v>
      </c>
      <c r="EX112" s="76">
        <f>Drivers!EX580</f>
        <v>3246</v>
      </c>
      <c r="EY112" s="76">
        <f>Drivers!EY580</f>
        <v>789.95223566501863</v>
      </c>
      <c r="EZ112" s="76">
        <f>Drivers!EZ580</f>
        <v>796.10965887968393</v>
      </c>
      <c r="FA112" s="76">
        <f>Drivers!FA580</f>
        <v>815.43044927241476</v>
      </c>
      <c r="FB112" s="76">
        <f>Drivers!FB580</f>
        <v>792.95560833388913</v>
      </c>
      <c r="FC112" s="76">
        <f>Drivers!FC580</f>
        <v>3194.4479521510066</v>
      </c>
      <c r="FD112" s="76">
        <f>Drivers!FD580</f>
        <v>3082.4684202674325</v>
      </c>
      <c r="FE112" s="76">
        <f>Drivers!FE580</f>
        <v>1951.0215850968652</v>
      </c>
      <c r="FF112" s="76">
        <f>Drivers!FF580</f>
        <v>1611.100905365895</v>
      </c>
      <c r="FG112" s="76">
        <f>Drivers!FG580</f>
        <v>1671.0656290142479</v>
      </c>
      <c r="FH112" s="76">
        <f>Drivers!FH580</f>
        <v>1646.8753495613416</v>
      </c>
      <c r="FI112" s="76">
        <f>Drivers!FI580</f>
        <v>1624.2957441032881</v>
      </c>
    </row>
    <row r="113" spans="1:165" x14ac:dyDescent="0.3">
      <c r="A113" s="321" t="s">
        <v>3660</v>
      </c>
      <c r="DU113" s="76">
        <f>+'Model Main'!DU105</f>
        <v>282</v>
      </c>
      <c r="DV113" s="76">
        <f>+'Model Main'!DV105</f>
        <v>575</v>
      </c>
      <c r="DW113" s="76">
        <f>+'Model Main'!DW105</f>
        <v>246</v>
      </c>
      <c r="DX113" s="76">
        <f>+'Model Main'!DX105</f>
        <v>405</v>
      </c>
      <c r="DY113" s="85">
        <f>+'Model Main'!DY105</f>
        <v>1508</v>
      </c>
      <c r="DZ113" s="76">
        <f>+'Model Main'!DZ105</f>
        <v>477</v>
      </c>
      <c r="EA113" s="76">
        <f>+'Model Main'!EA105</f>
        <v>473</v>
      </c>
      <c r="EB113" s="76">
        <f>+'Model Main'!EB105</f>
        <v>542</v>
      </c>
      <c r="EC113" s="76">
        <f>+'Model Main'!EC105</f>
        <v>497</v>
      </c>
      <c r="ED113" s="85">
        <f>+'Model Main'!ED105</f>
        <v>1989</v>
      </c>
      <c r="EE113" s="76">
        <f>+'Model Main'!EE105</f>
        <v>665</v>
      </c>
      <c r="EF113" s="76">
        <f>+'Model Main'!EF105</f>
        <v>-939</v>
      </c>
      <c r="EG113" s="76">
        <f>+'Model Main'!EG105</f>
        <v>603</v>
      </c>
      <c r="EH113" s="76">
        <f>+'Model Main'!EH105</f>
        <v>468</v>
      </c>
      <c r="EI113" s="85">
        <f>+'Model Main'!EI105</f>
        <v>797</v>
      </c>
      <c r="EJ113" s="76">
        <f>+'Model Main'!EJ105</f>
        <v>528</v>
      </c>
      <c r="EK113" s="76">
        <f>+'Model Main'!EK105</f>
        <v>229</v>
      </c>
      <c r="EL113" s="76">
        <f>+'Model Main'!EL105</f>
        <v>284</v>
      </c>
      <c r="EM113" s="76">
        <f>+'Model Main'!EM105</f>
        <v>360</v>
      </c>
      <c r="EN113" s="76">
        <f>+'Model Main'!EN105</f>
        <v>1401</v>
      </c>
      <c r="EO113" s="76">
        <f>+'Model Main'!EO105</f>
        <v>389</v>
      </c>
      <c r="EP113" s="76">
        <f>+'Model Main'!EP105</f>
        <v>276</v>
      </c>
      <c r="EQ113" s="76">
        <f>+'Model Main'!EQ105</f>
        <v>383</v>
      </c>
      <c r="ER113" s="76">
        <f>+'Model Main'!ER105</f>
        <v>296</v>
      </c>
      <c r="ES113" s="76">
        <f>+'Model Main'!ES105</f>
        <v>1344</v>
      </c>
      <c r="ET113" s="76">
        <f>+'Model Main'!ET105</f>
        <v>335</v>
      </c>
      <c r="EU113" s="76">
        <f>+'Model Main'!EU105</f>
        <v>374</v>
      </c>
      <c r="EV113" s="76">
        <f>+'Model Main'!EV105</f>
        <v>618</v>
      </c>
      <c r="EW113" s="76">
        <f>+'Model Main'!EW105</f>
        <v>294</v>
      </c>
      <c r="EX113" s="76">
        <f>+'Model Main'!EX105</f>
        <v>1621</v>
      </c>
      <c r="EY113" s="76">
        <f>+'Model Main'!EY105</f>
        <v>354.96373611473734</v>
      </c>
      <c r="EZ113" s="76">
        <f>+'Model Main'!EZ105</f>
        <v>264.22570358268172</v>
      </c>
      <c r="FA113" s="76">
        <f>+'Model Main'!FA105</f>
        <v>399.21225030027182</v>
      </c>
      <c r="FB113" s="76">
        <f>+'Model Main'!FB105</f>
        <v>337.83952811150749</v>
      </c>
      <c r="FC113" s="76">
        <f>+'Model Main'!FC105</f>
        <v>1356.2412181091984</v>
      </c>
      <c r="FD113" s="76">
        <f>+'Model Main'!FD105</f>
        <v>1502.7199051601567</v>
      </c>
      <c r="FE113" s="76">
        <f>+'Model Main'!FE105</f>
        <v>1748.4050607163681</v>
      </c>
      <c r="FF113" s="76">
        <f>+'Model Main'!FF105</f>
        <v>2001.2719722340698</v>
      </c>
      <c r="FG113" s="76">
        <f>+'Model Main'!FG105</f>
        <v>2262.7137883388568</v>
      </c>
      <c r="FH113" s="76">
        <f>+'Model Main'!FH105</f>
        <v>2542.3928646849017</v>
      </c>
      <c r="FI113" s="76">
        <f>+'Model Main'!FI105</f>
        <v>2756.6742955201898</v>
      </c>
    </row>
    <row r="114" spans="1:165" x14ac:dyDescent="0.3">
      <c r="A114" s="321" t="s">
        <v>3661</v>
      </c>
      <c r="DU114" s="480">
        <f>+'Model Main'!DU134</f>
        <v>-8.8461538461538466E-2</v>
      </c>
      <c r="DV114" s="480">
        <f>+'Model Main'!DV134</f>
        <v>1.1538461538461537</v>
      </c>
      <c r="DW114" s="480">
        <f>+'Model Main'!DW134</f>
        <v>-0.27692307692307694</v>
      </c>
      <c r="DX114" s="480">
        <f>+'Model Main'!DX134</f>
        <v>0.29615384615384616</v>
      </c>
      <c r="DY114" s="815">
        <f>+'Model Main'!DY134</f>
        <v>1.0846153846153845</v>
      </c>
      <c r="DZ114" s="480">
        <f>+'Model Main'!DZ134</f>
        <v>0.91923076923076918</v>
      </c>
      <c r="EA114" s="480">
        <f>+'Model Main'!EA134</f>
        <v>1.3115384615384615</v>
      </c>
      <c r="EB114" s="480">
        <f>+'Model Main'!EB134</f>
        <v>1.3923076923076922</v>
      </c>
      <c r="EC114" s="480">
        <f>+'Model Main'!EC134</f>
        <v>1.0346153846153847</v>
      </c>
      <c r="ED114" s="815">
        <f>+'Model Main'!ED134</f>
        <v>4.657692307692308</v>
      </c>
      <c r="EE114" s="480">
        <f>+'Model Main'!EE134</f>
        <v>1.1846153846153846</v>
      </c>
      <c r="EF114" s="480">
        <f>+'Model Main'!EF134</f>
        <v>-0.19626981264189777</v>
      </c>
      <c r="EG114" s="480">
        <f>+'Model Main'!EG134</f>
        <v>0.92470223360597048</v>
      </c>
      <c r="EH114" s="480">
        <f>+'Model Main'!EH134</f>
        <v>-0.37248063919314967</v>
      </c>
      <c r="EI114" s="815">
        <f>+'Model Main'!EI134</f>
        <v>1.5405671663863076</v>
      </c>
      <c r="EJ114" s="480">
        <f>+'Model Main'!EJ134</f>
        <v>0.33137915093297549</v>
      </c>
      <c r="EK114" s="480">
        <f>+'Model Main'!EK134</f>
        <v>-1.6835360795675109</v>
      </c>
      <c r="EL114" s="480">
        <f>+'Model Main'!EL134</f>
        <v>-1.9919668223230904</v>
      </c>
      <c r="EM114" s="480">
        <f>+'Model Main'!EM134</f>
        <v>-2.1141994204318193</v>
      </c>
      <c r="EN114" s="480">
        <f>+'Model Main'!EN134</f>
        <v>-5.4583231713894449</v>
      </c>
      <c r="EO114" s="480">
        <f>+'Model Main'!EO134</f>
        <v>-3.1214170009099034</v>
      </c>
      <c r="EP114" s="480">
        <f>+'Model Main'!EP134</f>
        <v>-3.1815996806179068</v>
      </c>
      <c r="EQ114" s="480">
        <f>+'Model Main'!EQ134</f>
        <v>-1.1718702316478204</v>
      </c>
      <c r="ER114" s="480">
        <f>+'Model Main'!ER134</f>
        <v>-0.13425603847045756</v>
      </c>
      <c r="ES114" s="480">
        <f>+'Model Main'!ES134</f>
        <v>-7.6091429516460876</v>
      </c>
      <c r="ET114" s="480">
        <f>+'Model Main'!ET134</f>
        <v>-2.9232524431488303</v>
      </c>
      <c r="EU114" s="480">
        <f>+'Model Main'!EU134</f>
        <v>-1.2220909010508374</v>
      </c>
      <c r="EV114" s="480">
        <f>+'Model Main'!EV134</f>
        <v>-0.32531949587527009</v>
      </c>
      <c r="EW114" s="480">
        <f>+'Model Main'!EW134</f>
        <v>-2.1999717952333944</v>
      </c>
      <c r="EX114" s="480">
        <f>+'Model Main'!EX134</f>
        <v>-6.6706346353083319</v>
      </c>
      <c r="EY114" s="480">
        <f>+'Model Main'!EY134</f>
        <v>-1.7753110939481975</v>
      </c>
      <c r="EZ114" s="480">
        <f>+'Model Main'!EZ134</f>
        <v>-2.1707688536778571</v>
      </c>
      <c r="FA114" s="480">
        <f>+'Model Main'!FA134</f>
        <v>-1.6987041885068748</v>
      </c>
      <c r="FB114" s="480">
        <f>+'Model Main'!FB134</f>
        <v>-1.857457443330905</v>
      </c>
      <c r="FC114" s="480">
        <f>+'Model Main'!FC134</f>
        <v>-7.5022415794638349</v>
      </c>
      <c r="FD114" s="480">
        <f>+'Model Main'!FD134</f>
        <v>-6.44740048855925</v>
      </c>
      <c r="FE114" s="480">
        <f>+'Model Main'!FE134</f>
        <v>-0.82693534178905947</v>
      </c>
      <c r="FF114" s="480">
        <f>+'Model Main'!FF134</f>
        <v>1.5923984755109761</v>
      </c>
      <c r="FG114" s="480">
        <f>+'Model Main'!FG134</f>
        <v>2.4146834733537492</v>
      </c>
      <c r="FH114" s="480">
        <f>+'Model Main'!FH134</f>
        <v>3.8087993029836551</v>
      </c>
      <c r="FI114" s="480">
        <f>+'Model Main'!FI134</f>
        <v>5.5862671221563414</v>
      </c>
    </row>
    <row r="115" spans="1:165" x14ac:dyDescent="0.3">
      <c r="A115" s="321" t="s">
        <v>3662</v>
      </c>
      <c r="DU115" s="76">
        <f>+'Model Main'!DU196</f>
        <v>16919</v>
      </c>
      <c r="DV115" s="76">
        <f>+'Model Main'!DV196</f>
        <v>16797</v>
      </c>
      <c r="DW115" s="76">
        <f>+'Model Main'!DW196</f>
        <v>17299</v>
      </c>
      <c r="DX115" s="76">
        <f>+'Model Main'!DX196</f>
        <v>17302</v>
      </c>
      <c r="DY115" s="85">
        <f>+'Model Main'!DY196</f>
        <v>17302</v>
      </c>
      <c r="DZ115" s="76">
        <f>+'Model Main'!DZ196</f>
        <v>17306</v>
      </c>
      <c r="EA115" s="76">
        <f>+'Model Main'!EA196</f>
        <v>17511</v>
      </c>
      <c r="EB115" s="76">
        <f>+'Model Main'!EB196</f>
        <v>16778.261264756416</v>
      </c>
      <c r="EC115" s="76">
        <f>+'Model Main'!EC196</f>
        <v>16834.551127861221</v>
      </c>
      <c r="ED115" s="85">
        <f>+'Model Main'!ED196</f>
        <v>16834.551127861221</v>
      </c>
      <c r="EE115" s="76">
        <f>+'Model Main'!EE196</f>
        <v>16840.374217147924</v>
      </c>
      <c r="EF115" s="76">
        <f>+'Model Main'!EF196</f>
        <v>7022</v>
      </c>
      <c r="EG115" s="76">
        <f>+'Model Main'!EG196</f>
        <v>7011</v>
      </c>
      <c r="EH115" s="76">
        <f>+'Model Main'!EH196</f>
        <v>7983</v>
      </c>
      <c r="EI115" s="85">
        <f>+'Model Main'!EI196</f>
        <v>7983</v>
      </c>
      <c r="EJ115" s="76">
        <f>+'Model Main'!EJ196</f>
        <v>7983.0000000000009</v>
      </c>
      <c r="EK115" s="76">
        <f>+'Model Main'!EK196</f>
        <v>9145</v>
      </c>
      <c r="EL115" s="76">
        <f>+'Model Main'!EL196</f>
        <v>9135</v>
      </c>
      <c r="EM115" s="76">
        <f>+'Model Main'!EM196</f>
        <v>9125</v>
      </c>
      <c r="EN115" s="76">
        <f>+'Model Main'!EN196</f>
        <v>9125</v>
      </c>
      <c r="EO115" s="76">
        <f>+'Model Main'!EO196</f>
        <v>9854</v>
      </c>
      <c r="EP115" s="76">
        <f>+'Model Main'!EP196</f>
        <v>9844</v>
      </c>
      <c r="EQ115" s="76">
        <f>+'Model Main'!EQ196</f>
        <v>11273</v>
      </c>
      <c r="ER115" s="76">
        <f>+'Model Main'!ER196</f>
        <v>11261</v>
      </c>
      <c r="ES115" s="76">
        <f>+'Model Main'!ES196</f>
        <v>11261</v>
      </c>
      <c r="ET115" s="76">
        <f>+'Model Main'!ET196</f>
        <v>11255</v>
      </c>
      <c r="EU115" s="76">
        <f>+'Model Main'!EU196</f>
        <v>11249</v>
      </c>
      <c r="EV115" s="76">
        <f>+'Model Main'!EV196</f>
        <v>11566</v>
      </c>
      <c r="EW115" s="76">
        <f>+'Model Main'!EW196</f>
        <v>11561</v>
      </c>
      <c r="EX115" s="76">
        <f>+'Model Main'!EX196</f>
        <v>11561</v>
      </c>
      <c r="EY115" s="76">
        <f>+'Model Main'!EY196</f>
        <v>11561</v>
      </c>
      <c r="EZ115" s="76">
        <f>+'Model Main'!EZ196</f>
        <v>12761</v>
      </c>
      <c r="FA115" s="76">
        <f>+'Model Main'!FA196</f>
        <v>12761</v>
      </c>
      <c r="FB115" s="76">
        <f>+'Model Main'!FB196</f>
        <v>12761</v>
      </c>
      <c r="FC115" s="76">
        <f>+'Model Main'!FC196</f>
        <v>12761</v>
      </c>
      <c r="FD115" s="76">
        <f>+'Model Main'!FD196</f>
        <v>14261</v>
      </c>
      <c r="FE115" s="76">
        <f>+'Model Main'!FE196</f>
        <v>14479.900000000001</v>
      </c>
      <c r="FF115" s="76">
        <f>+'Model Main'!FF196</f>
        <v>14229.900000000003</v>
      </c>
      <c r="FG115" s="76">
        <f>+'Model Main'!FG196</f>
        <v>13429.900000000003</v>
      </c>
      <c r="FH115" s="76">
        <f>+'Model Main'!FH196</f>
        <v>13059.908620729893</v>
      </c>
      <c r="FI115" s="76">
        <f>+'Model Main'!FI196</f>
        <v>13842.023863206003</v>
      </c>
    </row>
    <row r="116" spans="1:165" x14ac:dyDescent="0.3">
      <c r="A116" s="321" t="s">
        <v>3663</v>
      </c>
      <c r="DU116" s="76">
        <f>+'Model Main'!DU197</f>
        <v>119</v>
      </c>
      <c r="DV116" s="76">
        <f>+'Model Main'!DV197</f>
        <v>267</v>
      </c>
      <c r="DW116" s="76">
        <f>+'Model Main'!DW197</f>
        <v>683</v>
      </c>
      <c r="DX116" s="76">
        <f>+'Model Main'!DX197</f>
        <v>760</v>
      </c>
      <c r="DY116" s="85">
        <f>+'Model Main'!DY197</f>
        <v>760</v>
      </c>
      <c r="DZ116" s="76">
        <f>+'Model Main'!DZ197</f>
        <v>941</v>
      </c>
      <c r="EA116" s="76">
        <f>+'Model Main'!EA197</f>
        <v>2290</v>
      </c>
      <c r="EB116" s="76">
        <f>+'Model Main'!EB197</f>
        <v>1767</v>
      </c>
      <c r="EC116" s="76">
        <f>+'Model Main'!EC197</f>
        <v>1829</v>
      </c>
      <c r="ED116" s="85">
        <f>+'Model Main'!ED197</f>
        <v>1829</v>
      </c>
      <c r="EE116" s="76">
        <f>+'Model Main'!EE197</f>
        <v>2107</v>
      </c>
      <c r="EF116" s="76">
        <f>+'Model Main'!EF197</f>
        <v>993</v>
      </c>
      <c r="EG116" s="76">
        <f>+'Model Main'!EG197</f>
        <v>1211</v>
      </c>
      <c r="EH116" s="76">
        <f>+'Model Main'!EH197</f>
        <v>2127</v>
      </c>
      <c r="EI116" s="85">
        <f>+'Model Main'!EI197</f>
        <v>2127</v>
      </c>
      <c r="EJ116" s="76">
        <f>+'Model Main'!EJ197</f>
        <v>2200</v>
      </c>
      <c r="EK116" s="76">
        <f>+'Model Main'!EK197</f>
        <v>2978</v>
      </c>
      <c r="EL116" s="76">
        <f>+'Model Main'!EL197</f>
        <v>2555</v>
      </c>
      <c r="EM116" s="76">
        <f>+'Model Main'!EM197</f>
        <v>2072</v>
      </c>
      <c r="EN116" s="76">
        <f>+'Model Main'!EN197</f>
        <v>2072</v>
      </c>
      <c r="EO116" s="76">
        <f>+'Model Main'!EO197</f>
        <v>2032</v>
      </c>
      <c r="EP116" s="76">
        <f>+'Model Main'!EP197</f>
        <v>1237</v>
      </c>
      <c r="EQ116" s="76">
        <f>+'Model Main'!EQ197</f>
        <v>2223</v>
      </c>
      <c r="ER116" s="76">
        <f>+'Model Main'!ER197</f>
        <v>2200</v>
      </c>
      <c r="ES116" s="76">
        <f>+'Model Main'!ES197</f>
        <v>2200</v>
      </c>
      <c r="ET116" s="76">
        <f>+'Model Main'!ET197</f>
        <v>1521</v>
      </c>
      <c r="EU116" s="76">
        <f>+'Model Main'!EU197</f>
        <v>1197</v>
      </c>
      <c r="EV116" s="76">
        <f>+'Model Main'!EV197</f>
        <v>1320</v>
      </c>
      <c r="EW116" s="76">
        <f>+'Model Main'!EW197</f>
        <v>750</v>
      </c>
      <c r="EX116" s="76">
        <f>+'Model Main'!EX197</f>
        <v>750</v>
      </c>
      <c r="EY116" s="76">
        <f>+'Model Main'!EY197</f>
        <v>308.01150044971871</v>
      </c>
      <c r="EZ116" s="76">
        <f>+'Model Main'!EZ197</f>
        <v>970.12754515271649</v>
      </c>
      <c r="FA116" s="76">
        <f>+'Model Main'!FA197</f>
        <v>545.90934618057349</v>
      </c>
      <c r="FB116" s="76">
        <f>+'Model Main'!FB197</f>
        <v>82.793265958191853</v>
      </c>
      <c r="FC116" s="76">
        <f>+'Model Main'!FC197</f>
        <v>82.793265958191853</v>
      </c>
      <c r="FD116" s="76">
        <f>+'Model Main'!FD197</f>
        <v>-25.955249149083954</v>
      </c>
      <c r="FE116" s="76">
        <f>+'Model Main'!FE197</f>
        <v>-38.671773529581003</v>
      </c>
      <c r="FF116" s="76">
        <f>+'Model Main'!FF197</f>
        <v>72.499293338593873</v>
      </c>
      <c r="FG116" s="76">
        <f>+'Model Main'!FG197</f>
        <v>-164.85254733679716</v>
      </c>
      <c r="FH116" s="76">
        <f>+'Model Main'!FH197</f>
        <v>-164.85254733679716</v>
      </c>
      <c r="FI116" s="76">
        <f>+'Model Main'!FI197</f>
        <v>-164.85254733679716</v>
      </c>
    </row>
    <row r="117" spans="1:165" x14ac:dyDescent="0.3">
      <c r="A117" s="321" t="s">
        <v>148</v>
      </c>
      <c r="DU117" s="76">
        <f>+'Model Main'!DU198</f>
        <v>16800</v>
      </c>
      <c r="DV117" s="76">
        <f>+'Model Main'!DV198</f>
        <v>16530</v>
      </c>
      <c r="DW117" s="76">
        <f>+'Model Main'!DW198</f>
        <v>16616</v>
      </c>
      <c r="DX117" s="76">
        <f>+'Model Main'!DX198</f>
        <v>16542</v>
      </c>
      <c r="DY117" s="85">
        <f>+'Model Main'!DY198</f>
        <v>16542</v>
      </c>
      <c r="DZ117" s="76">
        <f>+'Model Main'!DZ198</f>
        <v>16365</v>
      </c>
      <c r="EA117" s="76">
        <f>+'Model Main'!EA198</f>
        <v>15221</v>
      </c>
      <c r="EB117" s="76">
        <f>+'Model Main'!EB198</f>
        <v>15011.261264756416</v>
      </c>
      <c r="EC117" s="76">
        <f>+'Model Main'!EC198</f>
        <v>15005.551127861221</v>
      </c>
      <c r="ED117" s="85">
        <f>+'Model Main'!ED198</f>
        <v>15005.551127861221</v>
      </c>
      <c r="EE117" s="76">
        <f>+'Model Main'!EE198</f>
        <v>14733.374217147924</v>
      </c>
      <c r="EF117" s="76">
        <f>+'Model Main'!EF198</f>
        <v>6029</v>
      </c>
      <c r="EG117" s="76">
        <f>+'Model Main'!EG198</f>
        <v>5800</v>
      </c>
      <c r="EH117" s="76">
        <f>+'Model Main'!EH198</f>
        <v>5856</v>
      </c>
      <c r="EI117" s="85">
        <f>+'Model Main'!EI198</f>
        <v>5856</v>
      </c>
      <c r="EJ117" s="76">
        <f>+'Model Main'!EJ198</f>
        <v>5783.0000000000009</v>
      </c>
      <c r="EK117" s="76">
        <f>+'Model Main'!EK198</f>
        <v>6167</v>
      </c>
      <c r="EL117" s="76">
        <f>+'Model Main'!EL198</f>
        <v>6580</v>
      </c>
      <c r="EM117" s="76">
        <f>+'Model Main'!EM198</f>
        <v>7053</v>
      </c>
      <c r="EN117" s="76">
        <f>+'Model Main'!EN198</f>
        <v>7053</v>
      </c>
      <c r="EO117" s="76">
        <f>+'Model Main'!EO198</f>
        <v>7822</v>
      </c>
      <c r="EP117" s="76">
        <f>+'Model Main'!EP198</f>
        <v>8607</v>
      </c>
      <c r="EQ117" s="76">
        <f>+'Model Main'!EQ198</f>
        <v>9050</v>
      </c>
      <c r="ER117" s="76">
        <f>+'Model Main'!ER198</f>
        <v>9061</v>
      </c>
      <c r="ES117" s="76">
        <f>+'Model Main'!ES198</f>
        <v>9061</v>
      </c>
      <c r="ET117" s="76">
        <f>+'Model Main'!ET198</f>
        <v>9734</v>
      </c>
      <c r="EU117" s="76">
        <f>+'Model Main'!EU198</f>
        <v>10052</v>
      </c>
      <c r="EV117" s="76">
        <f>+'Model Main'!EV198</f>
        <v>10246</v>
      </c>
      <c r="EW117" s="76">
        <f>+'Model Main'!EW198</f>
        <v>10811</v>
      </c>
      <c r="EX117" s="76">
        <f>+'Model Main'!EX198</f>
        <v>10811</v>
      </c>
      <c r="EY117" s="76">
        <f>+'Model Main'!EY198</f>
        <v>11252.988499550282</v>
      </c>
      <c r="EZ117" s="76">
        <f>+'Model Main'!EZ198</f>
        <v>11790.872454847284</v>
      </c>
      <c r="FA117" s="76">
        <f>+'Model Main'!FA198</f>
        <v>12215.090653819427</v>
      </c>
      <c r="FB117" s="76">
        <f>+'Model Main'!FB198</f>
        <v>12678.206734041809</v>
      </c>
      <c r="FC117" s="76">
        <f>+'Model Main'!FC198</f>
        <v>12678.206734041809</v>
      </c>
      <c r="FD117" s="76">
        <f>+'Model Main'!FD198</f>
        <v>14286.955249149083</v>
      </c>
      <c r="FE117" s="76">
        <f>+'Model Main'!FE198</f>
        <v>14518.571773529582</v>
      </c>
      <c r="FF117" s="76">
        <f>+'Model Main'!FF198</f>
        <v>14157.400706661409</v>
      </c>
      <c r="FG117" s="76">
        <f>+'Model Main'!FG198</f>
        <v>13594.7525473368</v>
      </c>
      <c r="FH117" s="76">
        <f>+'Model Main'!FH198</f>
        <v>13224.761168066691</v>
      </c>
      <c r="FI117" s="76">
        <f>+'Model Main'!FI198</f>
        <v>14006.8764105428</v>
      </c>
    </row>
    <row r="118" spans="1:165" x14ac:dyDescent="0.3">
      <c r="A118" s="321" t="s">
        <v>3664</v>
      </c>
      <c r="DY118" s="90"/>
      <c r="ED118" s="90"/>
      <c r="EI118" s="90"/>
    </row>
    <row r="119" spans="1:165" x14ac:dyDescent="0.3">
      <c r="A119" s="321"/>
      <c r="DY119" s="90"/>
      <c r="ED119" s="90"/>
      <c r="EI119" s="90"/>
    </row>
    <row r="120" spans="1:165" x14ac:dyDescent="0.3">
      <c r="A120" s="321" t="s">
        <v>3665</v>
      </c>
      <c r="DU120" s="76">
        <f>+'Model Main'!DU76</f>
        <v>-87</v>
      </c>
      <c r="DV120" s="76">
        <f>+'Model Main'!DV76</f>
        <v>-5317</v>
      </c>
      <c r="DW120" s="76">
        <f>+'Model Main'!DW76</f>
        <v>-345</v>
      </c>
      <c r="DX120" s="76">
        <f>+'Model Main'!DX76</f>
        <v>-162</v>
      </c>
      <c r="DY120" s="85">
        <f>+'Model Main'!DY76</f>
        <v>-5911</v>
      </c>
      <c r="DZ120" s="76">
        <f>+'Model Main'!DZ76</f>
        <v>-186</v>
      </c>
      <c r="EA120" s="76">
        <f>+'Model Main'!EA76</f>
        <v>-181</v>
      </c>
      <c r="EB120" s="76">
        <f>+'Model Main'!EB76</f>
        <v>15</v>
      </c>
      <c r="EC120" s="76">
        <f>+'Model Main'!EC76</f>
        <v>-50</v>
      </c>
      <c r="ED120" s="85">
        <f>+'Model Main'!ED76</f>
        <v>-402</v>
      </c>
      <c r="EE120" s="76">
        <f>+'Model Main'!EE76</f>
        <v>60</v>
      </c>
      <c r="EF120" s="76">
        <f>+'Model Main'!EF76</f>
        <v>4580</v>
      </c>
      <c r="EG120" s="76">
        <f>+'Model Main'!EG76</f>
        <v>126</v>
      </c>
      <c r="EH120" s="76">
        <f>+'Model Main'!EH76</f>
        <v>189</v>
      </c>
      <c r="EI120" s="85">
        <f>+'Model Main'!EI76</f>
        <v>4955</v>
      </c>
      <c r="EJ120" s="76">
        <f>+'Model Main'!EJ76</f>
        <v>65</v>
      </c>
      <c r="EK120" s="76">
        <f>+'Model Main'!EK76</f>
        <v>101</v>
      </c>
      <c r="EL120" s="76">
        <f>+'Model Main'!EL76</f>
        <v>120</v>
      </c>
      <c r="EM120" s="76">
        <f>+'Model Main'!EM76</f>
        <v>155</v>
      </c>
      <c r="EN120" s="76">
        <f>+'Model Main'!EN76</f>
        <v>441</v>
      </c>
      <c r="EO120" s="76">
        <f>+'Model Main'!EO76</f>
        <v>3</v>
      </c>
      <c r="EP120" s="76">
        <f>+'Model Main'!EP76</f>
        <v>-2</v>
      </c>
      <c r="EQ120" s="76">
        <f>+'Model Main'!EQ76</f>
        <v>11</v>
      </c>
      <c r="ER120" s="76">
        <f>+'Model Main'!ER76</f>
        <v>17</v>
      </c>
      <c r="ES120" s="76">
        <f>+'Model Main'!ES76</f>
        <v>29</v>
      </c>
      <c r="ET120" s="76">
        <f>+'Model Main'!ET76</f>
        <v>1</v>
      </c>
      <c r="EU120" s="76">
        <f>+'Model Main'!EU76</f>
        <v>-123</v>
      </c>
      <c r="EV120" s="76">
        <f>+'Model Main'!EV76</f>
        <v>-82</v>
      </c>
      <c r="EW120" s="76">
        <f>+'Model Main'!EW76</f>
        <v>-118</v>
      </c>
      <c r="EX120" s="76">
        <f>+'Model Main'!EX76</f>
        <v>-322</v>
      </c>
      <c r="EY120" s="76">
        <f>+'Model Main'!EY76</f>
        <v>-100.03047454646239</v>
      </c>
      <c r="EZ120" s="76">
        <f>+'Model Main'!EZ76</f>
        <v>-85.997507516588712</v>
      </c>
      <c r="FA120" s="76">
        <f>+'Model Main'!FA76</f>
        <v>-89.450472063026922</v>
      </c>
      <c r="FB120" s="76">
        <f>+'Model Main'!FB76</f>
        <v>-50.30682485499176</v>
      </c>
      <c r="FC120" s="76">
        <f>+'Model Main'!FC76</f>
        <v>-325.78527898106978</v>
      </c>
      <c r="FD120" s="76">
        <f>+'Model Main'!FD76</f>
        <v>-210.61696768891693</v>
      </c>
      <c r="FE120" s="76">
        <f>+'Model Main'!FE76</f>
        <v>22.747668659132643</v>
      </c>
      <c r="FF120" s="76">
        <f>+'Model Main'!FF76</f>
        <v>254.14102432773296</v>
      </c>
      <c r="FG120" s="76">
        <f>+'Model Main'!FG76</f>
        <v>475.84795370621839</v>
      </c>
      <c r="FH120" s="76">
        <f>+'Model Main'!FH76</f>
        <v>703.30418171323186</v>
      </c>
      <c r="FI120" s="76">
        <f>+'Model Main'!FI76</f>
        <v>882.77359301912975</v>
      </c>
    </row>
    <row r="121" spans="1:165" x14ac:dyDescent="0.3">
      <c r="A121" s="321" t="s">
        <v>2101</v>
      </c>
      <c r="DU121" s="76">
        <f t="shared" ref="DU121:FH121" si="0">+DU103-DU112</f>
        <v>466</v>
      </c>
      <c r="DV121" s="76">
        <f t="shared" si="0"/>
        <v>506</v>
      </c>
      <c r="DW121" s="76">
        <f t="shared" si="0"/>
        <v>387</v>
      </c>
      <c r="DX121" s="76">
        <f t="shared" si="0"/>
        <v>345</v>
      </c>
      <c r="DY121" s="85">
        <f t="shared" si="0"/>
        <v>1704</v>
      </c>
      <c r="DZ121" s="76">
        <f t="shared" si="0"/>
        <v>401</v>
      </c>
      <c r="EA121" s="76">
        <f t="shared" si="0"/>
        <v>478</v>
      </c>
      <c r="EB121" s="76">
        <f t="shared" si="0"/>
        <v>377</v>
      </c>
      <c r="EC121" s="76">
        <f t="shared" si="0"/>
        <v>338</v>
      </c>
      <c r="ED121" s="85">
        <f t="shared" si="0"/>
        <v>1594</v>
      </c>
      <c r="EE121" s="76">
        <f t="shared" si="0"/>
        <v>285</v>
      </c>
      <c r="EF121" s="76">
        <f t="shared" si="0"/>
        <v>249</v>
      </c>
      <c r="EG121" s="76">
        <f t="shared" si="0"/>
        <v>210</v>
      </c>
      <c r="EH121" s="76">
        <f t="shared" si="0"/>
        <v>26</v>
      </c>
      <c r="EI121" s="85">
        <f t="shared" si="0"/>
        <v>770</v>
      </c>
      <c r="EJ121" s="76">
        <f>+EJ103-EJ112</f>
        <v>62</v>
      </c>
      <c r="EK121" s="76">
        <f>+EK103-EK112</f>
        <v>-106</v>
      </c>
      <c r="EL121" s="76">
        <f>+EL103-EL112</f>
        <v>-264</v>
      </c>
      <c r="EM121" s="76">
        <f>+EM103-EM112</f>
        <v>-350</v>
      </c>
      <c r="EN121" s="76">
        <f t="shared" si="0"/>
        <v>-658</v>
      </c>
      <c r="EO121" s="76">
        <f>+EO103-EO112</f>
        <v>-635</v>
      </c>
      <c r="EP121" s="76">
        <f>+EP103-EP112</f>
        <v>-524</v>
      </c>
      <c r="EQ121" s="76">
        <f>+EQ103-EQ112</f>
        <v>-145</v>
      </c>
      <c r="ER121" s="76">
        <f>+ER103-ER112</f>
        <v>216</v>
      </c>
      <c r="ES121" s="76">
        <f t="shared" si="0"/>
        <v>-1084</v>
      </c>
      <c r="ET121" s="76">
        <f>+ET103-ET112</f>
        <v>-482</v>
      </c>
      <c r="EU121" s="76">
        <f>+EU103-EU112</f>
        <v>-118</v>
      </c>
      <c r="EV121" s="76">
        <f>+EV103-EV112</f>
        <v>-150</v>
      </c>
      <c r="EW121" s="76">
        <f>+EW103-EW112</f>
        <v>-245</v>
      </c>
      <c r="EX121" s="76">
        <f t="shared" si="0"/>
        <v>-995</v>
      </c>
      <c r="EY121" s="76">
        <f>+EY103-EY112</f>
        <v>-232.94550488203481</v>
      </c>
      <c r="EZ121" s="76">
        <f>+EZ103-EZ112</f>
        <v>-202.44045948360508</v>
      </c>
      <c r="FA121" s="76">
        <f>+FA103-FA112</f>
        <v>-214.67405834714293</v>
      </c>
      <c r="FB121" s="76">
        <f>+FB103-FB112</f>
        <v>-127.93333252652906</v>
      </c>
      <c r="FC121" s="76">
        <f t="shared" si="0"/>
        <v>-777.99335523931222</v>
      </c>
      <c r="FD121" s="76">
        <f t="shared" si="0"/>
        <v>-405.45538129117267</v>
      </c>
      <c r="FE121" s="76">
        <f t="shared" si="0"/>
        <v>1042.8547393896306</v>
      </c>
      <c r="FF121" s="76">
        <f t="shared" si="0"/>
        <v>1660.9029232813377</v>
      </c>
      <c r="FG121" s="76">
        <f t="shared" si="0"/>
        <v>1862.61381808021</v>
      </c>
      <c r="FH121" s="76">
        <f t="shared" si="0"/>
        <v>2131.6278413148557</v>
      </c>
      <c r="FI121" s="76">
        <f>+FI103-FI112</f>
        <v>2377.6689446232263</v>
      </c>
    </row>
    <row r="122" spans="1:165" x14ac:dyDescent="0.3">
      <c r="A122" s="321" t="s">
        <v>99</v>
      </c>
      <c r="DU122" s="76">
        <f>+'Model Main'!DU132</f>
        <v>-23</v>
      </c>
      <c r="DV122" s="76">
        <f>+'Model Main'!DV132</f>
        <v>300</v>
      </c>
      <c r="DW122" s="76">
        <f>+'Model Main'!DW132</f>
        <v>-72</v>
      </c>
      <c r="DX122" s="76">
        <f>+'Model Main'!DX132</f>
        <v>77</v>
      </c>
      <c r="DY122" s="85">
        <f>+'Model Main'!DY132</f>
        <v>282</v>
      </c>
      <c r="DZ122" s="76">
        <f>+'Model Main'!DZ132</f>
        <v>239</v>
      </c>
      <c r="EA122" s="76">
        <f>+'Model Main'!EA132</f>
        <v>341</v>
      </c>
      <c r="EB122" s="76">
        <f>+'Model Main'!EB132</f>
        <v>362</v>
      </c>
      <c r="EC122" s="76">
        <f>+'Model Main'!EC132</f>
        <v>269</v>
      </c>
      <c r="ED122" s="85">
        <f>+'Model Main'!ED132</f>
        <v>1211</v>
      </c>
      <c r="EE122" s="76">
        <f>+'Model Main'!EE132</f>
        <v>308</v>
      </c>
      <c r="EF122" s="76">
        <f>+'Model Main'!EF132</f>
        <v>-37</v>
      </c>
      <c r="EG122" s="76">
        <f>+'Model Main'!EG132</f>
        <v>226</v>
      </c>
      <c r="EH122" s="76">
        <f>+'Model Main'!EH132</f>
        <v>-91</v>
      </c>
      <c r="EI122" s="85">
        <f>+'Model Main'!EI132</f>
        <v>406</v>
      </c>
      <c r="EJ122" s="76">
        <f>+'Model Main'!EJ132</f>
        <v>81</v>
      </c>
      <c r="EK122" s="76">
        <f>+'Model Main'!EK132</f>
        <v>-412</v>
      </c>
      <c r="EL122" s="76">
        <f>+'Model Main'!EL132</f>
        <v>-488</v>
      </c>
      <c r="EM122" s="76">
        <f>+'Model Main'!EM132</f>
        <v>-518</v>
      </c>
      <c r="EN122" s="76">
        <f>+'Model Main'!EN132</f>
        <v>-1337</v>
      </c>
      <c r="EO122" s="76">
        <f>+'Model Main'!EO132</f>
        <v>-765</v>
      </c>
      <c r="EP122" s="76">
        <f>+'Model Main'!EP132</f>
        <v>-781</v>
      </c>
      <c r="EQ122" s="76">
        <f>+'Model Main'!EQ132</f>
        <v>-288</v>
      </c>
      <c r="ER122" s="76">
        <f>+'Model Main'!ER132</f>
        <v>-33</v>
      </c>
      <c r="ES122" s="76">
        <f>+'Model Main'!ES132</f>
        <v>-1867</v>
      </c>
      <c r="ET122" s="76">
        <f>+'Model Main'!ET132</f>
        <v>-720</v>
      </c>
      <c r="EU122" s="76">
        <f>+'Model Main'!EU132</f>
        <v>-304</v>
      </c>
      <c r="EV122" s="76">
        <f>+'Model Main'!EV132</f>
        <v>-81</v>
      </c>
      <c r="EW122" s="76">
        <f>+'Model Main'!EW132</f>
        <v>-546</v>
      </c>
      <c r="EX122" s="76">
        <f>+'Model Main'!EX132</f>
        <v>-1651</v>
      </c>
      <c r="EY122" s="76">
        <f>+'Model Main'!EY132</f>
        <v>-434.98849955028129</v>
      </c>
      <c r="EZ122" s="76">
        <f>+'Model Main'!EZ132</f>
        <v>-531.88395529700222</v>
      </c>
      <c r="FA122" s="76">
        <f>+'Model Main'!FA132</f>
        <v>-416.21819897214294</v>
      </c>
      <c r="FB122" s="76">
        <f>+'Model Main'!FB132</f>
        <v>-455.11608022238164</v>
      </c>
      <c r="FC122" s="76">
        <f>+'Model Main'!FC132</f>
        <v>-1838.2067340418082</v>
      </c>
      <c r="FD122" s="76">
        <f>+'Model Main'!FD132</f>
        <v>-1579.7485151072758</v>
      </c>
      <c r="FE122" s="76">
        <f>+'Model Main'!FE132</f>
        <v>-202.61652438049714</v>
      </c>
      <c r="FF122" s="76">
        <f>+'Model Main'!FF132</f>
        <v>390.17106686817488</v>
      </c>
      <c r="FG122" s="76">
        <f>+'Model Main'!FG132</f>
        <v>591.64815932460897</v>
      </c>
      <c r="FH122" s="76">
        <f>+'Model Main'!FH132</f>
        <v>895.51751512356009</v>
      </c>
      <c r="FI122" s="76">
        <f>+'Model Main'!FI132</f>
        <v>1132.3785514169017</v>
      </c>
    </row>
    <row r="123" spans="1:165" x14ac:dyDescent="0.3">
      <c r="A123" s="167" t="s">
        <v>3666</v>
      </c>
      <c r="DU123" s="480">
        <f t="shared" ref="DU123:FH123" si="1">+DU114</f>
        <v>-8.8461538461538466E-2</v>
      </c>
      <c r="DV123" s="480">
        <f t="shared" si="1"/>
        <v>1.1538461538461537</v>
      </c>
      <c r="DW123" s="480">
        <f t="shared" si="1"/>
        <v>-0.27692307692307694</v>
      </c>
      <c r="DX123" s="480">
        <f t="shared" si="1"/>
        <v>0.29615384615384616</v>
      </c>
      <c r="DY123" s="815">
        <f t="shared" si="1"/>
        <v>1.0846153846153845</v>
      </c>
      <c r="DZ123" s="480">
        <f t="shared" si="1"/>
        <v>0.91923076923076918</v>
      </c>
      <c r="EA123" s="480">
        <f t="shared" si="1"/>
        <v>1.3115384615384615</v>
      </c>
      <c r="EB123" s="480">
        <f t="shared" si="1"/>
        <v>1.3923076923076922</v>
      </c>
      <c r="EC123" s="480">
        <f t="shared" si="1"/>
        <v>1.0346153846153847</v>
      </c>
      <c r="ED123" s="815">
        <f t="shared" si="1"/>
        <v>4.657692307692308</v>
      </c>
      <c r="EE123" s="480">
        <f t="shared" si="1"/>
        <v>1.1846153846153846</v>
      </c>
      <c r="EF123" s="480">
        <f t="shared" si="1"/>
        <v>-0.19626981264189777</v>
      </c>
      <c r="EG123" s="480">
        <f t="shared" si="1"/>
        <v>0.92470223360597048</v>
      </c>
      <c r="EH123" s="480">
        <f t="shared" si="1"/>
        <v>-0.37248063919314967</v>
      </c>
      <c r="EI123" s="815">
        <f t="shared" si="1"/>
        <v>1.5405671663863076</v>
      </c>
      <c r="EJ123" s="480">
        <f>+EJ114</f>
        <v>0.33137915093297549</v>
      </c>
      <c r="EK123" s="480">
        <f>+EK114</f>
        <v>-1.6835360795675109</v>
      </c>
      <c r="EL123" s="480">
        <f>+EL114</f>
        <v>-1.9919668223230904</v>
      </c>
      <c r="EM123" s="480">
        <f>+EM114</f>
        <v>-2.1141994204318193</v>
      </c>
      <c r="EN123" s="480">
        <f t="shared" si="1"/>
        <v>-5.4583231713894449</v>
      </c>
      <c r="EO123" s="480">
        <f>+EO114</f>
        <v>-3.1214170009099034</v>
      </c>
      <c r="EP123" s="480">
        <f>+EP114</f>
        <v>-3.1815996806179068</v>
      </c>
      <c r="EQ123" s="480">
        <f>+EQ114</f>
        <v>-1.1718702316478204</v>
      </c>
      <c r="ER123" s="480">
        <f>+ER114</f>
        <v>-0.13425603847045756</v>
      </c>
      <c r="ES123" s="480">
        <f t="shared" si="1"/>
        <v>-7.6091429516460876</v>
      </c>
      <c r="ET123" s="480">
        <f>+ET114</f>
        <v>-2.9232524431488303</v>
      </c>
      <c r="EU123" s="480">
        <f>+EU114</f>
        <v>-1.2220909010508374</v>
      </c>
      <c r="EV123" s="480">
        <f>+EV114</f>
        <v>-0.32531949587527009</v>
      </c>
      <c r="EW123" s="480">
        <f>+EW114</f>
        <v>-2.1999717952333944</v>
      </c>
      <c r="EX123" s="480">
        <f t="shared" si="1"/>
        <v>-6.6706346353083319</v>
      </c>
      <c r="EY123" s="480">
        <f>+EY114</f>
        <v>-1.7753110939481975</v>
      </c>
      <c r="EZ123" s="480">
        <f>+EZ114</f>
        <v>-2.1707688536778571</v>
      </c>
      <c r="FA123" s="480">
        <f>+FA114</f>
        <v>-1.6987041885068748</v>
      </c>
      <c r="FB123" s="480">
        <f>+FB114</f>
        <v>-1.857457443330905</v>
      </c>
      <c r="FC123" s="480">
        <f t="shared" si="1"/>
        <v>-7.5022415794638349</v>
      </c>
      <c r="FD123" s="480">
        <f t="shared" si="1"/>
        <v>-6.44740048855925</v>
      </c>
      <c r="FE123" s="480">
        <f t="shared" si="1"/>
        <v>-0.82693534178905947</v>
      </c>
      <c r="FF123" s="480">
        <f t="shared" si="1"/>
        <v>1.5923984755109761</v>
      </c>
      <c r="FG123" s="480">
        <f t="shared" si="1"/>
        <v>2.4146834733537492</v>
      </c>
      <c r="FH123" s="480">
        <f t="shared" si="1"/>
        <v>3.8087993029836551</v>
      </c>
      <c r="FI123" s="480">
        <f>+FI114</f>
        <v>5.5862671221563414</v>
      </c>
    </row>
    <row r="124" spans="1:165" x14ac:dyDescent="0.3">
      <c r="A124" s="167"/>
    </row>
    <row r="125" spans="1:165" x14ac:dyDescent="0.3">
      <c r="A125" s="320" t="s">
        <v>3667</v>
      </c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A125" s="320"/>
      <c r="BB125" s="320"/>
      <c r="BC125" s="320"/>
      <c r="BD125" s="320"/>
      <c r="BE125" s="320"/>
      <c r="BF125" s="320"/>
      <c r="BG125" s="320"/>
      <c r="BH125" s="320"/>
      <c r="BI125" s="320"/>
      <c r="BJ125" s="320"/>
      <c r="BK125" s="320"/>
      <c r="BL125" s="320"/>
      <c r="BM125" s="320"/>
      <c r="BN125" s="320"/>
      <c r="BO125" s="320"/>
      <c r="BP125" s="320"/>
      <c r="BQ125" s="320"/>
      <c r="BR125" s="320"/>
      <c r="BS125" s="320"/>
      <c r="BT125" s="320"/>
      <c r="BU125" s="320"/>
      <c r="BV125" s="320"/>
      <c r="BW125" s="320"/>
      <c r="BX125" s="320"/>
      <c r="BY125" s="320"/>
      <c r="BZ125" s="320"/>
      <c r="CA125" s="320"/>
      <c r="CB125" s="320"/>
      <c r="CC125" s="320"/>
      <c r="CD125" s="320"/>
      <c r="CE125" s="320"/>
      <c r="CF125" s="320"/>
      <c r="CG125" s="320"/>
      <c r="CH125" s="320"/>
      <c r="CI125" s="320"/>
      <c r="CJ125" s="320"/>
      <c r="CK125" s="320"/>
      <c r="CL125" s="320"/>
      <c r="CM125" s="320"/>
      <c r="CN125" s="320"/>
      <c r="CO125" s="320"/>
      <c r="CP125" s="320"/>
      <c r="CQ125" s="320"/>
      <c r="CR125" s="320"/>
      <c r="CS125" s="320"/>
      <c r="CT125" s="320"/>
      <c r="CU125" s="320"/>
      <c r="CV125" s="320"/>
      <c r="CW125" s="320"/>
      <c r="CX125" s="320"/>
      <c r="CY125" s="320"/>
      <c r="CZ125" s="320"/>
      <c r="DA125" s="320"/>
      <c r="DB125" s="320"/>
      <c r="DC125" s="320"/>
      <c r="DD125" s="320"/>
      <c r="DE125" s="320"/>
      <c r="DF125" s="320"/>
      <c r="DG125" s="320"/>
      <c r="DH125" s="320"/>
      <c r="DI125" s="320"/>
      <c r="DJ125" s="320"/>
      <c r="DK125" s="320"/>
      <c r="DL125" s="320"/>
      <c r="DM125" s="320"/>
      <c r="DN125" s="320"/>
      <c r="DO125" s="320"/>
      <c r="DP125" s="320"/>
      <c r="DQ125" s="320"/>
      <c r="DR125" s="320"/>
      <c r="DS125" s="320"/>
      <c r="DT125" s="320"/>
      <c r="DU125" s="320"/>
      <c r="DV125" s="320"/>
      <c r="DW125" s="320"/>
      <c r="DX125" s="320"/>
      <c r="DY125" s="320"/>
      <c r="DZ125" s="320"/>
      <c r="EA125" s="320"/>
      <c r="EB125" s="320"/>
      <c r="EC125" s="320"/>
      <c r="ED125" s="320"/>
      <c r="EE125" s="320"/>
      <c r="EF125" s="320"/>
      <c r="EG125" s="320"/>
      <c r="EH125" s="320"/>
      <c r="EI125" s="320"/>
      <c r="EJ125" s="320"/>
      <c r="EK125" s="320"/>
      <c r="EL125" s="320"/>
      <c r="EM125" s="320"/>
      <c r="EN125" s="320"/>
      <c r="EO125" s="320"/>
      <c r="EP125" s="320"/>
      <c r="EQ125" s="320"/>
      <c r="ER125" s="320"/>
      <c r="ES125" s="320"/>
      <c r="ET125" s="320"/>
      <c r="EU125" s="320"/>
      <c r="EV125" s="320"/>
      <c r="EW125" s="320"/>
      <c r="EX125" s="320"/>
      <c r="EY125" s="320"/>
      <c r="EZ125" s="320"/>
      <c r="FA125" s="320"/>
      <c r="FB125" s="320"/>
      <c r="FC125" s="320"/>
      <c r="FD125" s="320"/>
      <c r="FE125" s="320"/>
      <c r="FF125" s="320"/>
      <c r="FG125" s="320"/>
      <c r="FH125" s="320"/>
      <c r="FI125" s="320"/>
    </row>
    <row r="126" spans="1:165" x14ac:dyDescent="0.3">
      <c r="A126" s="322" t="s">
        <v>211</v>
      </c>
    </row>
    <row r="127" spans="1:165" x14ac:dyDescent="0.3">
      <c r="A127" s="321" t="s">
        <v>2593</v>
      </c>
      <c r="DU127" s="76"/>
      <c r="DV127" s="76"/>
      <c r="DW127" s="76"/>
      <c r="DX127" s="76"/>
      <c r="DY127" s="85"/>
      <c r="DZ127" s="76">
        <f>Drivers!DZ43</f>
        <v>880.00000000000011</v>
      </c>
      <c r="EA127" s="76">
        <f>Drivers!EA43</f>
        <v>858.99999999999989</v>
      </c>
      <c r="EB127" s="76">
        <f>Drivers!EB43</f>
        <v>839</v>
      </c>
      <c r="EC127" s="76">
        <f>Drivers!EC43</f>
        <v>838</v>
      </c>
      <c r="ED127" s="76">
        <f>Drivers!ED43</f>
        <v>3416</v>
      </c>
      <c r="EE127" s="76">
        <f>Drivers!EE43</f>
        <v>820</v>
      </c>
      <c r="EF127" s="76">
        <f>Drivers!EF43</f>
        <v>816</v>
      </c>
      <c r="EG127" s="76">
        <f>Drivers!EG43</f>
        <v>800</v>
      </c>
      <c r="EH127" s="76">
        <f>Drivers!EH43</f>
        <v>782</v>
      </c>
      <c r="EI127" s="76">
        <f>Drivers!EI43</f>
        <v>3218</v>
      </c>
      <c r="EJ127" s="76">
        <f>Drivers!EJ43</f>
        <v>776</v>
      </c>
      <c r="EK127" s="76">
        <f>Drivers!EK43</f>
        <v>791</v>
      </c>
      <c r="EL127" s="76">
        <f>Drivers!EL43</f>
        <v>785</v>
      </c>
      <c r="EM127" s="76">
        <f>Drivers!EM43</f>
        <v>764</v>
      </c>
      <c r="EN127" s="76">
        <f>Drivers!EN43</f>
        <v>3116</v>
      </c>
      <c r="EO127" s="76">
        <f>Drivers!EO43</f>
        <v>761</v>
      </c>
      <c r="EP127" s="76">
        <f>Drivers!EP43</f>
        <v>775</v>
      </c>
      <c r="EQ127" s="76">
        <f>Drivers!EQ43</f>
        <v>787</v>
      </c>
      <c r="ER127" s="76">
        <f>Drivers!ER43</f>
        <v>774</v>
      </c>
      <c r="ES127" s="76">
        <f>Drivers!ES43</f>
        <v>3097</v>
      </c>
      <c r="ET127" s="76">
        <f>Drivers!ET43</f>
        <v>787</v>
      </c>
      <c r="EU127" s="76">
        <f>Drivers!EU43</f>
        <v>789</v>
      </c>
      <c r="EV127" s="76">
        <f>Drivers!EV43</f>
        <v>789.00000000000011</v>
      </c>
      <c r="EW127" s="76">
        <f>Drivers!EW43</f>
        <v>798</v>
      </c>
      <c r="EX127" s="76">
        <f>Drivers!EX43</f>
        <v>3163</v>
      </c>
      <c r="EY127" s="76">
        <f>Drivers!EY43</f>
        <v>798.82765275356292</v>
      </c>
      <c r="EZ127" s="76">
        <f>Drivers!EZ43</f>
        <v>808.96561034315107</v>
      </c>
      <c r="FA127" s="76">
        <f>Drivers!FA43</f>
        <v>815.10036799059742</v>
      </c>
      <c r="FB127" s="76">
        <f>Drivers!FB43</f>
        <v>831.64154803623001</v>
      </c>
      <c r="FC127" s="76">
        <f>Drivers!FC43</f>
        <v>3254.5351791235416</v>
      </c>
      <c r="FD127" s="76">
        <f>Drivers!FD43</f>
        <v>3464.5622396679078</v>
      </c>
      <c r="FE127" s="76">
        <f>Drivers!FE43</f>
        <v>3747.7248228434842</v>
      </c>
      <c r="FF127" s="76">
        <f>Drivers!FF43</f>
        <v>4049.2759349072303</v>
      </c>
      <c r="FG127" s="76">
        <f>Drivers!FG43</f>
        <v>4328.9846517710093</v>
      </c>
      <c r="FH127" s="76">
        <f>Drivers!FH43</f>
        <v>4585.5261821483391</v>
      </c>
      <c r="FI127" s="76">
        <f>Drivers!FI43</f>
        <v>4813.1358323176446</v>
      </c>
    </row>
    <row r="128" spans="1:165" x14ac:dyDescent="0.3">
      <c r="A128" s="321" t="s">
        <v>1436</v>
      </c>
      <c r="DU128" s="76"/>
      <c r="DV128" s="76"/>
      <c r="DW128" s="76"/>
      <c r="DX128" s="76"/>
      <c r="DY128" s="85"/>
      <c r="DZ128" s="76">
        <f>Drivers!DZ46</f>
        <v>781</v>
      </c>
      <c r="EA128" s="76">
        <f>Drivers!EA46</f>
        <v>762.00000000000011</v>
      </c>
      <c r="EB128" s="76">
        <f>Drivers!EB46</f>
        <v>739</v>
      </c>
      <c r="EC128" s="76">
        <f>Drivers!EC46</f>
        <v>719</v>
      </c>
      <c r="ED128" s="76">
        <f>Drivers!ED46</f>
        <v>3001</v>
      </c>
      <c r="EE128" s="76">
        <f>Drivers!EE46</f>
        <v>715</v>
      </c>
      <c r="EF128" s="76">
        <f>Drivers!EF46</f>
        <v>698</v>
      </c>
      <c r="EG128" s="76">
        <f>Drivers!EG46</f>
        <v>693</v>
      </c>
      <c r="EH128" s="76">
        <f>Drivers!EH46</f>
        <v>677.00000000000011</v>
      </c>
      <c r="EI128" s="76">
        <f>Drivers!EI46</f>
        <v>2783</v>
      </c>
      <c r="EJ128" s="76">
        <f>Drivers!EJ46</f>
        <v>666</v>
      </c>
      <c r="EK128" s="76">
        <f>Drivers!EK46</f>
        <v>650.99999999999989</v>
      </c>
      <c r="EL128" s="76">
        <f>Drivers!EL46</f>
        <v>641</v>
      </c>
      <c r="EM128" s="76">
        <f>Drivers!EM46</f>
        <v>659</v>
      </c>
      <c r="EN128" s="76">
        <f>Drivers!EN46</f>
        <v>2617</v>
      </c>
      <c r="EO128" s="76">
        <f>Drivers!EO46</f>
        <v>657</v>
      </c>
      <c r="EP128" s="76">
        <f>Drivers!EP46</f>
        <v>653</v>
      </c>
      <c r="EQ128" s="76">
        <f>Drivers!EQ46</f>
        <v>634</v>
      </c>
      <c r="ER128" s="76">
        <f>Drivers!ER46</f>
        <v>635</v>
      </c>
      <c r="ES128" s="76">
        <f>Drivers!ES46</f>
        <v>2579</v>
      </c>
      <c r="ET128" s="76">
        <f>Drivers!ET46</f>
        <v>659</v>
      </c>
      <c r="EU128" s="76">
        <f>Drivers!EU46</f>
        <v>677</v>
      </c>
      <c r="EV128" s="76">
        <f>Drivers!EV46</f>
        <v>681.99999999999989</v>
      </c>
      <c r="EW128" s="76">
        <f>Drivers!EW46</f>
        <v>692</v>
      </c>
      <c r="EX128" s="76">
        <f>Drivers!EX46</f>
        <v>2710</v>
      </c>
      <c r="EY128" s="76">
        <f>Drivers!EY46</f>
        <v>655.79569789483116</v>
      </c>
      <c r="EZ128" s="76">
        <f>Drivers!EZ46</f>
        <v>674.56903706722233</v>
      </c>
      <c r="FA128" s="76">
        <f>Drivers!FA46</f>
        <v>680.73060792985439</v>
      </c>
      <c r="FB128" s="76">
        <f>Drivers!FB46</f>
        <v>691.19285710948191</v>
      </c>
      <c r="FC128" s="76">
        <f>Drivers!FC46</f>
        <v>2702.2882000013897</v>
      </c>
      <c r="FD128" s="76">
        <f>Drivers!FD46</f>
        <v>2697.6352130674022</v>
      </c>
      <c r="FE128" s="76">
        <f>Drivers!FE46</f>
        <v>2692.5401311688884</v>
      </c>
      <c r="FF128" s="76">
        <f>Drivers!FF46</f>
        <v>2687.9200451232196</v>
      </c>
      <c r="FG128" s="76">
        <f>Drivers!FG46</f>
        <v>2684.1546656111086</v>
      </c>
      <c r="FH128" s="76">
        <f>Drivers!FH46</f>
        <v>2682.1479728793042</v>
      </c>
      <c r="FI128" s="76">
        <f>Drivers!FI46</f>
        <v>2682.733119115976</v>
      </c>
    </row>
    <row r="129" spans="1:165" x14ac:dyDescent="0.3">
      <c r="A129" s="321" t="s">
        <v>36</v>
      </c>
      <c r="DU129" s="76"/>
      <c r="DV129" s="76"/>
      <c r="DW129" s="76"/>
      <c r="DX129" s="76"/>
      <c r="DY129" s="85"/>
      <c r="DZ129" s="76">
        <f>Drivers!DZ48</f>
        <v>128</v>
      </c>
      <c r="EA129" s="76">
        <f>Drivers!EA48</f>
        <v>133</v>
      </c>
      <c r="EB129" s="76">
        <f>Drivers!EB48</f>
        <v>149</v>
      </c>
      <c r="EC129" s="76">
        <f>Drivers!EC48</f>
        <v>139</v>
      </c>
      <c r="ED129" s="76">
        <f>Drivers!ED48</f>
        <v>549</v>
      </c>
      <c r="EE129" s="76">
        <f>Drivers!EE48</f>
        <v>140</v>
      </c>
      <c r="EF129" s="76">
        <f>Drivers!EF48</f>
        <v>103</v>
      </c>
      <c r="EG129" s="76">
        <f>Drivers!EG48</f>
        <v>83</v>
      </c>
      <c r="EH129" s="76">
        <f>Drivers!EH48</f>
        <v>84</v>
      </c>
      <c r="EI129" s="76">
        <f>Drivers!EI48</f>
        <v>410</v>
      </c>
      <c r="EJ129" s="76">
        <f>Drivers!EJ48</f>
        <v>5</v>
      </c>
      <c r="EK129" s="76">
        <f>Drivers!EK48</f>
        <v>17</v>
      </c>
      <c r="EL129" s="76">
        <f>Drivers!EL48</f>
        <v>18</v>
      </c>
      <c r="EM129" s="76">
        <f>Drivers!EM48</f>
        <v>14</v>
      </c>
      <c r="EN129" s="76">
        <f>Drivers!EN48</f>
        <v>54</v>
      </c>
      <c r="EO129" s="76">
        <f>Drivers!EO48</f>
        <v>22</v>
      </c>
      <c r="EP129" s="76">
        <f>Drivers!EP48</f>
        <v>21</v>
      </c>
      <c r="EQ129" s="76">
        <f>Drivers!EQ48</f>
        <v>15</v>
      </c>
      <c r="ER129" s="76">
        <f>Drivers!ER48</f>
        <v>17</v>
      </c>
      <c r="ES129" s="76">
        <f>Drivers!ES48</f>
        <v>75</v>
      </c>
      <c r="ET129" s="76">
        <f>Drivers!ET48</f>
        <v>16</v>
      </c>
      <c r="EU129" s="76">
        <f>Drivers!EU48</f>
        <v>14</v>
      </c>
      <c r="EV129" s="76">
        <f>Drivers!EV48</f>
        <v>18</v>
      </c>
      <c r="EW129" s="76">
        <f>Drivers!EW48</f>
        <v>16</v>
      </c>
      <c r="EX129" s="76">
        <f>Drivers!EX48</f>
        <v>64</v>
      </c>
      <c r="EY129" s="76">
        <f>Drivers!EY48</f>
        <v>16</v>
      </c>
      <c r="EZ129" s="76">
        <f>Drivers!EZ48</f>
        <v>14</v>
      </c>
      <c r="FA129" s="76">
        <f>Drivers!FA48</f>
        <v>18</v>
      </c>
      <c r="FB129" s="76">
        <f>Drivers!FB48</f>
        <v>16</v>
      </c>
      <c r="FC129" s="76">
        <f>Drivers!FC48</f>
        <v>64</v>
      </c>
      <c r="FD129" s="76">
        <f>Drivers!FD48</f>
        <v>64</v>
      </c>
      <c r="FE129" s="76">
        <f>Drivers!FE48</f>
        <v>64</v>
      </c>
      <c r="FF129" s="76">
        <f>Drivers!FF48</f>
        <v>64</v>
      </c>
      <c r="FG129" s="76">
        <f>Drivers!FG48</f>
        <v>64</v>
      </c>
      <c r="FH129" s="76">
        <f>Drivers!FH48</f>
        <v>64</v>
      </c>
      <c r="FI129" s="76">
        <f>Drivers!FI48</f>
        <v>64</v>
      </c>
    </row>
    <row r="130" spans="1:165" x14ac:dyDescent="0.3">
      <c r="A130" s="321"/>
      <c r="DY130" s="90"/>
      <c r="ED130" s="90"/>
      <c r="EI130" s="90"/>
    </row>
    <row r="131" spans="1:165" x14ac:dyDescent="0.3">
      <c r="A131" s="321" t="s">
        <v>19</v>
      </c>
      <c r="DU131" s="76"/>
      <c r="DV131" s="76"/>
      <c r="DW131" s="76"/>
      <c r="DX131" s="76"/>
      <c r="DY131" s="85"/>
      <c r="DZ131" s="76">
        <f>Drivers!DZ49</f>
        <v>1789</v>
      </c>
      <c r="EA131" s="76">
        <f>Drivers!EA49</f>
        <v>1754</v>
      </c>
      <c r="EB131" s="76">
        <f>Drivers!EB49</f>
        <v>1727</v>
      </c>
      <c r="EC131" s="76">
        <f>Drivers!EC49</f>
        <v>1696</v>
      </c>
      <c r="ED131" s="76">
        <f>Drivers!ED49</f>
        <v>6966</v>
      </c>
      <c r="EE131" s="76">
        <f>Drivers!EE49</f>
        <v>1675</v>
      </c>
      <c r="EF131" s="76">
        <f>Drivers!EF49</f>
        <v>1617</v>
      </c>
      <c r="EG131" s="76">
        <f>Drivers!EG49</f>
        <v>1576</v>
      </c>
      <c r="EH131" s="76">
        <f>Drivers!EH49</f>
        <v>1543</v>
      </c>
      <c r="EI131" s="76">
        <f>Drivers!EI49</f>
        <v>6411</v>
      </c>
      <c r="EJ131" s="76">
        <f>Drivers!EJ49</f>
        <v>1447</v>
      </c>
      <c r="EK131" s="76">
        <f>Drivers!EK49</f>
        <v>1459</v>
      </c>
      <c r="EL131" s="76">
        <f>Drivers!EL49</f>
        <v>1444</v>
      </c>
      <c r="EM131" s="76">
        <f>Drivers!EM49</f>
        <v>1437</v>
      </c>
      <c r="EN131" s="76">
        <f>Drivers!EN49</f>
        <v>5787</v>
      </c>
      <c r="EO131" s="76">
        <f>Drivers!EO49</f>
        <v>1440</v>
      </c>
      <c r="EP131" s="76">
        <f>Drivers!EP49</f>
        <v>1449</v>
      </c>
      <c r="EQ131" s="76">
        <f>Drivers!EQ49</f>
        <v>1436</v>
      </c>
      <c r="ER131" s="76">
        <f>Drivers!ER49</f>
        <v>1426</v>
      </c>
      <c r="ES131" s="76">
        <f>Drivers!ES49</f>
        <v>5751</v>
      </c>
      <c r="ET131" s="76">
        <f>Drivers!ET49</f>
        <v>1462</v>
      </c>
      <c r="EU131" s="76">
        <f>Drivers!EU49</f>
        <v>1480</v>
      </c>
      <c r="EV131" s="76">
        <f>Drivers!EV49</f>
        <v>1489</v>
      </c>
      <c r="EW131" s="76">
        <f>Drivers!EW49</f>
        <v>1506</v>
      </c>
      <c r="EX131" s="76">
        <f>Drivers!EX49</f>
        <v>5937</v>
      </c>
      <c r="EY131" s="76">
        <f>Drivers!EY49</f>
        <v>1470.6233506483941</v>
      </c>
      <c r="EZ131" s="76">
        <f>Drivers!EZ49</f>
        <v>1497.5346474103735</v>
      </c>
      <c r="FA131" s="76">
        <f>Drivers!FA49</f>
        <v>1513.8309759204517</v>
      </c>
      <c r="FB131" s="76">
        <f>Drivers!FB49</f>
        <v>1538.834405145712</v>
      </c>
      <c r="FC131" s="76">
        <f>Drivers!FC49</f>
        <v>6020.8233791249313</v>
      </c>
      <c r="FD131" s="76">
        <f>Drivers!FD49</f>
        <v>6226.1974527353104</v>
      </c>
      <c r="FE131" s="76">
        <f>Drivers!FE49</f>
        <v>6504.264954012373</v>
      </c>
      <c r="FF131" s="76">
        <f>Drivers!FF49</f>
        <v>6801.1959800304503</v>
      </c>
      <c r="FG131" s="76">
        <f>Drivers!FG49</f>
        <v>7077.139317382118</v>
      </c>
      <c r="FH131" s="76">
        <f>Drivers!FH49</f>
        <v>7331.6741550276438</v>
      </c>
      <c r="FI131" s="76">
        <f>Drivers!FI49</f>
        <v>7559.8689514336202</v>
      </c>
    </row>
    <row r="132" spans="1:165" x14ac:dyDescent="0.3">
      <c r="A132" s="321"/>
      <c r="DY132" s="90"/>
      <c r="ED132" s="90"/>
      <c r="EI132" s="90"/>
    </row>
    <row r="133" spans="1:165" x14ac:dyDescent="0.3">
      <c r="A133" s="321" t="s">
        <v>2594</v>
      </c>
      <c r="DU133" s="76"/>
      <c r="DV133" s="76"/>
      <c r="DW133" s="76"/>
      <c r="DX133" s="76"/>
      <c r="DY133" s="85"/>
      <c r="DZ133" s="76">
        <f>+Drivers!DZ483</f>
        <v>170</v>
      </c>
      <c r="EA133" s="76">
        <f>+Drivers!EA483</f>
        <v>155</v>
      </c>
      <c r="EB133" s="76">
        <f>+Drivers!EB483</f>
        <v>136</v>
      </c>
      <c r="EC133" s="76">
        <f>+Drivers!EC483</f>
        <v>116</v>
      </c>
      <c r="ED133" s="85">
        <f>+Drivers!ED483</f>
        <v>577</v>
      </c>
      <c r="EE133" s="76">
        <f>+Drivers!EE483</f>
        <v>111</v>
      </c>
      <c r="EF133" s="76">
        <f>+Drivers!EF483</f>
        <v>108</v>
      </c>
      <c r="EG133" s="76">
        <f>+Drivers!EG483</f>
        <v>95</v>
      </c>
      <c r="EH133" s="76">
        <f>+Drivers!EH483</f>
        <v>93</v>
      </c>
      <c r="EI133" s="85">
        <f>+Drivers!EI483</f>
        <v>407</v>
      </c>
      <c r="EJ133" s="76">
        <f>+Drivers!EJ483</f>
        <v>92</v>
      </c>
      <c r="EK133" s="76">
        <f>+Drivers!EK483</f>
        <v>87</v>
      </c>
      <c r="EL133" s="76">
        <f>+Drivers!EL483</f>
        <v>81</v>
      </c>
      <c r="EM133" s="76">
        <f>+Drivers!EM483</f>
        <v>76</v>
      </c>
      <c r="EN133" s="76">
        <f>+Drivers!EN483</f>
        <v>336</v>
      </c>
      <c r="EO133" s="76">
        <f>+Drivers!EO483</f>
        <v>76</v>
      </c>
      <c r="EP133" s="76">
        <f>+Drivers!EP483</f>
        <v>71</v>
      </c>
      <c r="EQ133" s="76">
        <f>+Drivers!EQ483</f>
        <v>65</v>
      </c>
      <c r="ER133" s="76">
        <f>+Drivers!ER483</f>
        <v>61</v>
      </c>
      <c r="ES133" s="76">
        <f>+Drivers!ES483</f>
        <v>273</v>
      </c>
      <c r="ET133" s="76">
        <f>+Drivers!ET483</f>
        <v>61</v>
      </c>
      <c r="EU133" s="76">
        <f>+Drivers!EU483</f>
        <v>57</v>
      </c>
      <c r="EV133" s="76">
        <f>+Drivers!EV483</f>
        <v>53</v>
      </c>
      <c r="EW133" s="76">
        <f>+Drivers!EW483</f>
        <v>47</v>
      </c>
      <c r="EX133" s="76">
        <f>+Drivers!EX483</f>
        <v>218</v>
      </c>
      <c r="EY133" s="76">
        <f>+Drivers!EY483</f>
        <v>49.687399261702026</v>
      </c>
      <c r="EZ133" s="76">
        <f>+Drivers!EZ483</f>
        <v>46.686441301633643</v>
      </c>
      <c r="FA133" s="76">
        <f>+Drivers!FA483</f>
        <v>43.254997888725207</v>
      </c>
      <c r="FB133" s="76">
        <f>+Drivers!FB483</f>
        <v>38.400289902459981</v>
      </c>
      <c r="FC133" s="76">
        <f>+Drivers!FC483</f>
        <v>178.02912835452085</v>
      </c>
      <c r="FD133" s="76">
        <f>+Drivers!FD483</f>
        <v>142.61633023532823</v>
      </c>
      <c r="FE133" s="76">
        <f>+Drivers!FE483</f>
        <v>112.59424568469657</v>
      </c>
      <c r="FF133" s="76">
        <f>+Drivers!FF483</f>
        <v>89.338150118245863</v>
      </c>
      <c r="FG133" s="76">
        <f>+Drivers!FG483</f>
        <v>71.07400611300136</v>
      </c>
      <c r="FH133" s="76">
        <f>+Drivers!FH483</f>
        <v>56.613182578264407</v>
      </c>
      <c r="FI133" s="76">
        <f>+Drivers!FI483</f>
        <v>45.111788397872537</v>
      </c>
    </row>
    <row r="134" spans="1:165" x14ac:dyDescent="0.3">
      <c r="A134" s="321" t="s">
        <v>2595</v>
      </c>
      <c r="DU134" s="76"/>
      <c r="DV134" s="76"/>
      <c r="DW134" s="76"/>
      <c r="DX134" s="76"/>
      <c r="DY134" s="85"/>
      <c r="DZ134" s="76"/>
      <c r="EA134" s="76"/>
      <c r="EB134" s="76"/>
      <c r="EC134" s="76"/>
      <c r="ED134" s="85"/>
      <c r="EE134" s="76"/>
      <c r="EF134" s="76"/>
      <c r="EG134" s="76"/>
      <c r="EH134" s="76"/>
      <c r="EI134" s="85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</row>
    <row r="135" spans="1:165" x14ac:dyDescent="0.3">
      <c r="A135" s="321" t="s">
        <v>3635</v>
      </c>
      <c r="DU135" s="76"/>
      <c r="DV135" s="76"/>
      <c r="DW135" s="76"/>
      <c r="DX135" s="76"/>
      <c r="DY135" s="85"/>
      <c r="DZ135" s="76" t="e">
        <f>Drivers!#REF!</f>
        <v>#REF!</v>
      </c>
      <c r="EA135" s="76" t="e">
        <f>Drivers!#REF!</f>
        <v>#REF!</v>
      </c>
      <c r="EB135" s="76" t="e">
        <f>Drivers!#REF!</f>
        <v>#REF!</v>
      </c>
      <c r="EC135" s="76" t="e">
        <f>Drivers!#REF!</f>
        <v>#REF!</v>
      </c>
      <c r="ED135" s="76" t="e">
        <f>Drivers!#REF!</f>
        <v>#REF!</v>
      </c>
      <c r="EE135" s="76" t="e">
        <f>Drivers!#REF!</f>
        <v>#REF!</v>
      </c>
      <c r="EF135" s="76" t="e">
        <f>Drivers!#REF!</f>
        <v>#REF!</v>
      </c>
      <c r="EG135" s="76" t="e">
        <f>Drivers!#REF!</f>
        <v>#REF!</v>
      </c>
      <c r="EH135" s="76" t="e">
        <f>Drivers!#REF!</f>
        <v>#REF!</v>
      </c>
      <c r="EI135" s="76" t="e">
        <f>Drivers!#REF!</f>
        <v>#REF!</v>
      </c>
      <c r="EJ135" s="76" t="e">
        <f>Drivers!#REF!</f>
        <v>#REF!</v>
      </c>
      <c r="EK135" s="76" t="e">
        <f>Drivers!#REF!</f>
        <v>#REF!</v>
      </c>
      <c r="EL135" s="76" t="e">
        <f>Drivers!#REF!</f>
        <v>#REF!</v>
      </c>
      <c r="EM135" s="76" t="e">
        <f>Drivers!#REF!</f>
        <v>#REF!</v>
      </c>
      <c r="EN135" s="76" t="e">
        <f>Drivers!#REF!</f>
        <v>#REF!</v>
      </c>
      <c r="EO135" s="76" t="e">
        <f>Drivers!#REF!</f>
        <v>#REF!</v>
      </c>
      <c r="EP135" s="76" t="e">
        <f>Drivers!#REF!</f>
        <v>#REF!</v>
      </c>
      <c r="EQ135" s="76" t="e">
        <f>Drivers!#REF!</f>
        <v>#REF!</v>
      </c>
      <c r="ER135" s="76" t="e">
        <f>Drivers!#REF!</f>
        <v>#REF!</v>
      </c>
      <c r="ES135" s="76" t="e">
        <f>Drivers!#REF!</f>
        <v>#REF!</v>
      </c>
      <c r="ET135" s="76" t="e">
        <f>Drivers!#REF!</f>
        <v>#REF!</v>
      </c>
      <c r="EU135" s="76" t="e">
        <f>Drivers!#REF!</f>
        <v>#REF!</v>
      </c>
      <c r="EV135" s="76" t="e">
        <f>Drivers!#REF!</f>
        <v>#REF!</v>
      </c>
      <c r="EW135" s="76" t="e">
        <f>Drivers!#REF!</f>
        <v>#REF!</v>
      </c>
      <c r="EX135" s="76" t="e">
        <f>Drivers!#REF!</f>
        <v>#REF!</v>
      </c>
      <c r="EY135" s="76" t="e">
        <f>Drivers!#REF!</f>
        <v>#REF!</v>
      </c>
      <c r="EZ135" s="76" t="e">
        <f>Drivers!#REF!</f>
        <v>#REF!</v>
      </c>
      <c r="FA135" s="76" t="e">
        <f>Drivers!#REF!</f>
        <v>#REF!</v>
      </c>
      <c r="FB135" s="76" t="e">
        <f>Drivers!#REF!</f>
        <v>#REF!</v>
      </c>
      <c r="FC135" s="76" t="e">
        <f>Drivers!#REF!</f>
        <v>#REF!</v>
      </c>
      <c r="FD135" s="76" t="e">
        <f>Drivers!#REF!</f>
        <v>#REF!</v>
      </c>
      <c r="FE135" s="76" t="e">
        <f>Drivers!#REF!</f>
        <v>#REF!</v>
      </c>
      <c r="FF135" s="76" t="e">
        <f>Drivers!#REF!</f>
        <v>#REF!</v>
      </c>
      <c r="FG135" s="76" t="e">
        <f>Drivers!#REF!</f>
        <v>#REF!</v>
      </c>
      <c r="FH135" s="76" t="e">
        <f>Drivers!#REF!</f>
        <v>#REF!</v>
      </c>
      <c r="FI135" s="76" t="e">
        <f>Drivers!#REF!</f>
        <v>#REF!</v>
      </c>
    </row>
    <row r="136" spans="1:165" x14ac:dyDescent="0.3">
      <c r="A136" s="321" t="s">
        <v>3445</v>
      </c>
      <c r="DU136" s="76"/>
      <c r="DV136" s="76"/>
      <c r="DW136" s="76"/>
      <c r="DX136" s="76"/>
      <c r="DY136" s="85"/>
      <c r="DZ136" s="76">
        <f>Drivers!DZ58</f>
        <v>583</v>
      </c>
      <c r="EA136" s="76">
        <f>Drivers!EA58</f>
        <v>580</v>
      </c>
      <c r="EB136" s="76">
        <f>Drivers!EB58</f>
        <v>582</v>
      </c>
      <c r="EC136" s="76">
        <f>Drivers!EC58</f>
        <v>570</v>
      </c>
      <c r="ED136" s="76">
        <f>Drivers!ED58</f>
        <v>2315</v>
      </c>
      <c r="EE136" s="76">
        <f>Drivers!EE58</f>
        <v>567</v>
      </c>
      <c r="EF136" s="76">
        <f>Drivers!EF58</f>
        <v>537</v>
      </c>
      <c r="EG136" s="76">
        <f>Drivers!EG58</f>
        <v>540</v>
      </c>
      <c r="EH136" s="76">
        <f>Drivers!EH58</f>
        <v>505</v>
      </c>
      <c r="EI136" s="76">
        <f>Drivers!EI58</f>
        <v>2149</v>
      </c>
      <c r="EJ136" s="76">
        <f>Drivers!EJ58</f>
        <v>460</v>
      </c>
      <c r="EK136" s="76">
        <f>Drivers!EK58</f>
        <v>451</v>
      </c>
      <c r="EL136" s="76">
        <f>Drivers!EL58</f>
        <v>459</v>
      </c>
      <c r="EM136" s="76">
        <f>Drivers!EM58</f>
        <v>442</v>
      </c>
      <c r="EN136" s="76">
        <f>Drivers!EN58</f>
        <v>1812</v>
      </c>
      <c r="EO136" s="76">
        <f>Drivers!EO58</f>
        <v>467</v>
      </c>
      <c r="EP136" s="76">
        <f>Drivers!EP58</f>
        <v>460</v>
      </c>
      <c r="EQ136" s="76">
        <f>Drivers!EQ58</f>
        <v>482</v>
      </c>
      <c r="ER136" s="76">
        <f>Drivers!ER58</f>
        <v>453</v>
      </c>
      <c r="ES136" s="76">
        <f>Drivers!ES58</f>
        <v>1862</v>
      </c>
      <c r="ET136" s="76">
        <f>Drivers!ET58</f>
        <v>453</v>
      </c>
      <c r="EU136" s="76">
        <f>Drivers!EU58</f>
        <v>453</v>
      </c>
      <c r="EV136" s="76">
        <f>Drivers!EV58</f>
        <v>477</v>
      </c>
      <c r="EW136" s="76">
        <f>Drivers!EW58</f>
        <v>461</v>
      </c>
      <c r="EX136" s="76">
        <f>Drivers!EX58</f>
        <v>1844</v>
      </c>
      <c r="EY136" s="76">
        <f>Drivers!EY58</f>
        <v>451.88812767857144</v>
      </c>
      <c r="EZ136" s="76">
        <f>Drivers!EZ58</f>
        <v>452.78652375000001</v>
      </c>
      <c r="FA136" s="76">
        <f>Drivers!FA58</f>
        <v>477.60161625000001</v>
      </c>
      <c r="FB136" s="76">
        <f>Drivers!FB58</f>
        <v>460.77887665048536</v>
      </c>
      <c r="FC136" s="76">
        <f>Drivers!FC58</f>
        <v>1843.0551443290569</v>
      </c>
      <c r="FD136" s="76">
        <f>Drivers!FD58</f>
        <v>1836.7371602313126</v>
      </c>
      <c r="FE136" s="76">
        <f>Drivers!FE58</f>
        <v>1831.0983771494023</v>
      </c>
      <c r="FF136" s="76">
        <f>Drivers!FF58</f>
        <v>1825.4769051315534</v>
      </c>
      <c r="FG136" s="76">
        <f>Drivers!FG58</f>
        <v>1819.8726910327989</v>
      </c>
      <c r="FH136" s="76">
        <f>Drivers!FH58</f>
        <v>1814.2856818713281</v>
      </c>
      <c r="FI136" s="76">
        <f>Drivers!FI58</f>
        <v>1808.7158248279827</v>
      </c>
    </row>
    <row r="137" spans="1:165" x14ac:dyDescent="0.3">
      <c r="A137" s="321" t="s">
        <v>42</v>
      </c>
      <c r="DU137" s="76"/>
      <c r="DV137" s="76"/>
      <c r="DW137" s="76"/>
      <c r="DX137" s="76"/>
      <c r="DY137" s="85"/>
      <c r="DZ137" s="76">
        <f>Drivers!DZ59</f>
        <v>349</v>
      </c>
      <c r="EA137" s="76">
        <f>Drivers!EA59</f>
        <v>316</v>
      </c>
      <c r="EB137" s="76">
        <f>Drivers!EB59</f>
        <v>318</v>
      </c>
      <c r="EC137" s="76">
        <f>Drivers!EC59</f>
        <v>316</v>
      </c>
      <c r="ED137" s="76">
        <f>Drivers!ED59</f>
        <v>1299</v>
      </c>
      <c r="EE137" s="76">
        <f>Drivers!EE59</f>
        <v>328</v>
      </c>
      <c r="EF137" s="76">
        <f>Drivers!EF59</f>
        <v>338</v>
      </c>
      <c r="EG137" s="76">
        <f>Drivers!EG59</f>
        <v>354</v>
      </c>
      <c r="EH137" s="76">
        <f>Drivers!EH59</f>
        <v>360</v>
      </c>
      <c r="EI137" s="76">
        <f>Drivers!EI59</f>
        <v>1380</v>
      </c>
      <c r="EJ137" s="76">
        <f>Drivers!EJ59</f>
        <v>386</v>
      </c>
      <c r="EK137" s="76">
        <f>Drivers!EK59</f>
        <v>386</v>
      </c>
      <c r="EL137" s="76">
        <f>Drivers!EL59</f>
        <v>396</v>
      </c>
      <c r="EM137" s="76">
        <f>Drivers!EM59</f>
        <v>391</v>
      </c>
      <c r="EN137" s="76">
        <f>Drivers!EN59</f>
        <v>1559</v>
      </c>
      <c r="EO137" s="76">
        <f>Drivers!EO59</f>
        <v>378</v>
      </c>
      <c r="EP137" s="76">
        <f>Drivers!EP59</f>
        <v>385</v>
      </c>
      <c r="EQ137" s="76">
        <f>Drivers!EQ59</f>
        <v>363</v>
      </c>
      <c r="ER137" s="76">
        <f>Drivers!ER59</f>
        <v>363</v>
      </c>
      <c r="ES137" s="76">
        <f>Drivers!ES59</f>
        <v>1489</v>
      </c>
      <c r="ET137" s="76">
        <f>Drivers!ET59</f>
        <v>401</v>
      </c>
      <c r="EU137" s="76">
        <f>Drivers!EU59</f>
        <v>410</v>
      </c>
      <c r="EV137" s="76">
        <f>Drivers!EV59</f>
        <v>410</v>
      </c>
      <c r="EW137" s="76">
        <f>Drivers!EW59</f>
        <v>403</v>
      </c>
      <c r="EX137" s="76">
        <f>Drivers!EX59</f>
        <v>1624</v>
      </c>
      <c r="EY137" s="76">
        <f>Drivers!EY59</f>
        <v>412.04109292513681</v>
      </c>
      <c r="EZ137" s="76">
        <f>Drivers!EZ59</f>
        <v>404.39248296266101</v>
      </c>
      <c r="FA137" s="76">
        <f>Drivers!FA59</f>
        <v>392.2179708564546</v>
      </c>
      <c r="FB137" s="76">
        <f>Drivers!FB59</f>
        <v>374.63296278540656</v>
      </c>
      <c r="FC137" s="76">
        <f>Drivers!FC59</f>
        <v>1583.2845095296589</v>
      </c>
      <c r="FD137" s="76">
        <f>Drivers!FD59</f>
        <v>1569.8309232924096</v>
      </c>
      <c r="FE137" s="76">
        <f>Drivers!FE59</f>
        <v>1566.6960066917784</v>
      </c>
      <c r="FF137" s="76">
        <f>Drivers!FF59</f>
        <v>1614.3770961334185</v>
      </c>
      <c r="FG137" s="76">
        <f>Drivers!FG59</f>
        <v>1652.5131731418599</v>
      </c>
      <c r="FH137" s="76">
        <f>Drivers!FH59</f>
        <v>1682.2720997018541</v>
      </c>
      <c r="FI137" s="76">
        <f>Drivers!FI59</f>
        <v>1704.0766494812508</v>
      </c>
    </row>
    <row r="138" spans="1:165" x14ac:dyDescent="0.3">
      <c r="A138" s="321" t="s">
        <v>3668</v>
      </c>
      <c r="DU138" s="76"/>
      <c r="DV138" s="76"/>
      <c r="DW138" s="76"/>
      <c r="DX138" s="76"/>
      <c r="DY138" s="85"/>
      <c r="DZ138" s="76">
        <f>Drivers!DZ60</f>
        <v>1102</v>
      </c>
      <c r="EA138" s="76">
        <f>Drivers!EA60</f>
        <v>1051</v>
      </c>
      <c r="EB138" s="76">
        <f>Drivers!EB60</f>
        <v>1036</v>
      </c>
      <c r="EC138" s="76">
        <f>Drivers!EC60</f>
        <v>1002</v>
      </c>
      <c r="ED138" s="76">
        <f>Drivers!ED60</f>
        <v>4191</v>
      </c>
      <c r="EE138" s="76">
        <f>Drivers!EE60</f>
        <v>1006</v>
      </c>
      <c r="EF138" s="76">
        <f>Drivers!EF60</f>
        <v>983</v>
      </c>
      <c r="EG138" s="76">
        <f>Drivers!EG60</f>
        <v>989</v>
      </c>
      <c r="EH138" s="76">
        <f>Drivers!EH60</f>
        <v>958</v>
      </c>
      <c r="EI138" s="76">
        <f>Drivers!EI60</f>
        <v>3936</v>
      </c>
      <c r="EJ138" s="76">
        <f>Drivers!EJ60</f>
        <v>938</v>
      </c>
      <c r="EK138" s="76">
        <f>Drivers!EK60</f>
        <v>924</v>
      </c>
      <c r="EL138" s="76">
        <f>Drivers!EL60</f>
        <v>936</v>
      </c>
      <c r="EM138" s="76">
        <f>Drivers!EM60</f>
        <v>909</v>
      </c>
      <c r="EN138" s="76">
        <f>Drivers!EN60</f>
        <v>3707</v>
      </c>
      <c r="EO138" s="76">
        <f>Drivers!EO60</f>
        <v>921</v>
      </c>
      <c r="EP138" s="76">
        <f>Drivers!EP60</f>
        <v>916</v>
      </c>
      <c r="EQ138" s="76">
        <f>Drivers!EQ60</f>
        <v>910</v>
      </c>
      <c r="ER138" s="76">
        <f>Drivers!ER60</f>
        <v>877</v>
      </c>
      <c r="ES138" s="76">
        <f>Drivers!ES60</f>
        <v>3624</v>
      </c>
      <c r="ET138" s="76">
        <f>Drivers!ET60</f>
        <v>915</v>
      </c>
      <c r="EU138" s="76">
        <f>Drivers!EU60</f>
        <v>920</v>
      </c>
      <c r="EV138" s="76">
        <f>Drivers!EV60</f>
        <v>940</v>
      </c>
      <c r="EW138" s="76">
        <f>Drivers!EW60</f>
        <v>911</v>
      </c>
      <c r="EX138" s="76">
        <f>Drivers!EX60</f>
        <v>3686</v>
      </c>
      <c r="EY138" s="76">
        <f>Drivers!EY60</f>
        <v>913.61661986541026</v>
      </c>
      <c r="EZ138" s="76">
        <f>Drivers!EZ60</f>
        <v>903.86544801429466</v>
      </c>
      <c r="FA138" s="76">
        <f>Drivers!FA60</f>
        <v>913.07458499517986</v>
      </c>
      <c r="FB138" s="76">
        <f>Drivers!FB60</f>
        <v>873.81212933835195</v>
      </c>
      <c r="FC138" s="76">
        <f>Drivers!FC60</f>
        <v>3604.368782213237</v>
      </c>
      <c r="FD138" s="76">
        <f>Drivers!FD60</f>
        <v>3549.1844137590506</v>
      </c>
      <c r="FE138" s="76">
        <f>Drivers!FE60</f>
        <v>3510.3886295258771</v>
      </c>
      <c r="FF138" s="76">
        <f>Drivers!FF60</f>
        <v>3529.1921513832176</v>
      </c>
      <c r="FG138" s="76">
        <f>Drivers!FG60</f>
        <v>3543.4598702876601</v>
      </c>
      <c r="FH138" s="76">
        <f>Drivers!FH60</f>
        <v>3553.1709641514467</v>
      </c>
      <c r="FI138" s="76">
        <f>Drivers!FI60</f>
        <v>3557.9042627071058</v>
      </c>
    </row>
    <row r="139" spans="1:165" x14ac:dyDescent="0.3">
      <c r="A139" s="321"/>
    </row>
    <row r="140" spans="1:165" x14ac:dyDescent="0.3">
      <c r="A140" s="321" t="s">
        <v>3637</v>
      </c>
      <c r="DU140" s="76">
        <f t="shared" ref="DU140:FH140" si="2">+DU103</f>
        <v>771</v>
      </c>
      <c r="DV140" s="76">
        <f t="shared" si="2"/>
        <v>781</v>
      </c>
      <c r="DW140" s="76">
        <f t="shared" si="2"/>
        <v>705</v>
      </c>
      <c r="DX140" s="76">
        <f t="shared" si="2"/>
        <v>673</v>
      </c>
      <c r="DY140" s="85">
        <f t="shared" si="2"/>
        <v>2930</v>
      </c>
      <c r="DZ140" s="76">
        <f t="shared" si="2"/>
        <v>687</v>
      </c>
      <c r="EA140" s="76">
        <f t="shared" si="2"/>
        <v>703</v>
      </c>
      <c r="EB140" s="76">
        <f t="shared" si="2"/>
        <v>691</v>
      </c>
      <c r="EC140" s="76">
        <f t="shared" si="2"/>
        <v>694</v>
      </c>
      <c r="ED140" s="85">
        <f t="shared" si="2"/>
        <v>2775</v>
      </c>
      <c r="EE140" s="76">
        <f t="shared" si="2"/>
        <v>669</v>
      </c>
      <c r="EF140" s="76">
        <f t="shared" si="2"/>
        <v>634</v>
      </c>
      <c r="EG140" s="76">
        <f t="shared" si="2"/>
        <v>587</v>
      </c>
      <c r="EH140" s="76">
        <f t="shared" si="2"/>
        <v>585</v>
      </c>
      <c r="EI140" s="85">
        <f t="shared" si="2"/>
        <v>2475</v>
      </c>
      <c r="EJ140" s="76">
        <f>+EJ103</f>
        <v>509</v>
      </c>
      <c r="EK140" s="76">
        <f>+EK103</f>
        <v>535</v>
      </c>
      <c r="EL140" s="76">
        <f>+EL103</f>
        <v>508</v>
      </c>
      <c r="EM140" s="76">
        <f>+EM103</f>
        <v>528</v>
      </c>
      <c r="EN140" s="76">
        <f t="shared" si="2"/>
        <v>2080</v>
      </c>
      <c r="EO140" s="76">
        <f>+EO103</f>
        <v>519</v>
      </c>
      <c r="EP140" s="76">
        <f>+EP103</f>
        <v>533</v>
      </c>
      <c r="EQ140" s="76">
        <f>+EQ103</f>
        <v>526</v>
      </c>
      <c r="ER140" s="76">
        <f>+ER103</f>
        <v>549</v>
      </c>
      <c r="ES140" s="76">
        <f t="shared" si="2"/>
        <v>2127</v>
      </c>
      <c r="ET140" s="76">
        <f>+ET103</f>
        <v>547</v>
      </c>
      <c r="EU140" s="76">
        <f>+EU103</f>
        <v>560</v>
      </c>
      <c r="EV140" s="76">
        <f>+EV103</f>
        <v>549</v>
      </c>
      <c r="EW140" s="76">
        <f>+EW103</f>
        <v>595</v>
      </c>
      <c r="EX140" s="76">
        <f t="shared" si="2"/>
        <v>2251</v>
      </c>
      <c r="EY140" s="76">
        <f>+EY103</f>
        <v>557.00673078298382</v>
      </c>
      <c r="EZ140" s="76">
        <f>+EZ103</f>
        <v>593.66919939607885</v>
      </c>
      <c r="FA140" s="76">
        <f>+FA103</f>
        <v>600.75639092527183</v>
      </c>
      <c r="FB140" s="76">
        <f>+FB103</f>
        <v>665.02227580736007</v>
      </c>
      <c r="FC140" s="76">
        <f t="shared" si="2"/>
        <v>2416.4545969116944</v>
      </c>
      <c r="FD140" s="76">
        <f t="shared" si="2"/>
        <v>2677.0130389762598</v>
      </c>
      <c r="FE140" s="76">
        <f t="shared" si="2"/>
        <v>2993.8763244864958</v>
      </c>
      <c r="FF140" s="76">
        <f t="shared" si="2"/>
        <v>3272.0038286472327</v>
      </c>
      <c r="FG140" s="76">
        <f t="shared" si="2"/>
        <v>3533.6794470944578</v>
      </c>
      <c r="FH140" s="76">
        <f t="shared" si="2"/>
        <v>3778.5031908761971</v>
      </c>
      <c r="FI140" s="76">
        <f>+FI103</f>
        <v>4001.9646887265144</v>
      </c>
    </row>
    <row r="141" spans="1:165" x14ac:dyDescent="0.3">
      <c r="A141" s="321" t="s">
        <v>198</v>
      </c>
      <c r="DU141" s="76">
        <f t="shared" ref="DU141:FH141" si="3">+DU112</f>
        <v>305</v>
      </c>
      <c r="DV141" s="76">
        <f t="shared" si="3"/>
        <v>275</v>
      </c>
      <c r="DW141" s="76">
        <f t="shared" si="3"/>
        <v>318</v>
      </c>
      <c r="DX141" s="76">
        <f t="shared" si="3"/>
        <v>328</v>
      </c>
      <c r="DY141" s="85">
        <f t="shared" si="3"/>
        <v>1226</v>
      </c>
      <c r="DZ141" s="76">
        <f t="shared" si="3"/>
        <v>286</v>
      </c>
      <c r="EA141" s="76">
        <f t="shared" si="3"/>
        <v>225</v>
      </c>
      <c r="EB141" s="76">
        <f t="shared" si="3"/>
        <v>314</v>
      </c>
      <c r="EC141" s="76">
        <f t="shared" si="3"/>
        <v>356</v>
      </c>
      <c r="ED141" s="85">
        <f t="shared" si="3"/>
        <v>1181</v>
      </c>
      <c r="EE141" s="76">
        <f t="shared" si="3"/>
        <v>384</v>
      </c>
      <c r="EF141" s="76">
        <f t="shared" si="3"/>
        <v>385</v>
      </c>
      <c r="EG141" s="76">
        <f t="shared" si="3"/>
        <v>377</v>
      </c>
      <c r="EH141" s="76">
        <f t="shared" si="3"/>
        <v>559</v>
      </c>
      <c r="EI141" s="85">
        <f t="shared" si="3"/>
        <v>1705</v>
      </c>
      <c r="EJ141" s="76">
        <f>+EJ112</f>
        <v>447</v>
      </c>
      <c r="EK141" s="76">
        <f>+EK112</f>
        <v>641</v>
      </c>
      <c r="EL141" s="76">
        <f>+EL112</f>
        <v>772</v>
      </c>
      <c r="EM141" s="76">
        <f>+EM112</f>
        <v>878</v>
      </c>
      <c r="EN141" s="76">
        <f t="shared" si="3"/>
        <v>2738</v>
      </c>
      <c r="EO141" s="76">
        <f>+EO112</f>
        <v>1154</v>
      </c>
      <c r="EP141" s="76">
        <f>+EP112</f>
        <v>1057</v>
      </c>
      <c r="EQ141" s="76">
        <f>+EQ112</f>
        <v>671</v>
      </c>
      <c r="ER141" s="76">
        <f>+ER112</f>
        <v>333</v>
      </c>
      <c r="ES141" s="76">
        <f t="shared" si="3"/>
        <v>3211</v>
      </c>
      <c r="ET141" s="76">
        <f>+ET112</f>
        <v>1029</v>
      </c>
      <c r="EU141" s="76">
        <f>+EU112</f>
        <v>678</v>
      </c>
      <c r="EV141" s="76">
        <f>+EV112</f>
        <v>699</v>
      </c>
      <c r="EW141" s="76">
        <f>+EW112</f>
        <v>840</v>
      </c>
      <c r="EX141" s="76">
        <f t="shared" si="3"/>
        <v>3246</v>
      </c>
      <c r="EY141" s="76">
        <f>+EY112</f>
        <v>789.95223566501863</v>
      </c>
      <c r="EZ141" s="76">
        <f>+EZ112</f>
        <v>796.10965887968393</v>
      </c>
      <c r="FA141" s="76">
        <f>+FA112</f>
        <v>815.43044927241476</v>
      </c>
      <c r="FB141" s="76">
        <f>+FB112</f>
        <v>792.95560833388913</v>
      </c>
      <c r="FC141" s="76">
        <f t="shared" si="3"/>
        <v>3194.4479521510066</v>
      </c>
      <c r="FD141" s="76">
        <f t="shared" si="3"/>
        <v>3082.4684202674325</v>
      </c>
      <c r="FE141" s="76">
        <f t="shared" si="3"/>
        <v>1951.0215850968652</v>
      </c>
      <c r="FF141" s="76">
        <f t="shared" si="3"/>
        <v>1611.100905365895</v>
      </c>
      <c r="FG141" s="76">
        <f t="shared" si="3"/>
        <v>1671.0656290142479</v>
      </c>
      <c r="FH141" s="76">
        <f t="shared" si="3"/>
        <v>1646.8753495613416</v>
      </c>
      <c r="FI141" s="76">
        <f>+FI112</f>
        <v>1624.2957441032881</v>
      </c>
    </row>
    <row r="142" spans="1:165" x14ac:dyDescent="0.3">
      <c r="A142" s="323" t="s">
        <v>642</v>
      </c>
      <c r="DU142" s="76">
        <f t="shared" ref="DU142:FH142" si="4">+DU140-DU141</f>
        <v>466</v>
      </c>
      <c r="DV142" s="76">
        <f t="shared" si="4"/>
        <v>506</v>
      </c>
      <c r="DW142" s="76">
        <f t="shared" si="4"/>
        <v>387</v>
      </c>
      <c r="DX142" s="76">
        <f t="shared" si="4"/>
        <v>345</v>
      </c>
      <c r="DY142" s="85">
        <f t="shared" si="4"/>
        <v>1704</v>
      </c>
      <c r="DZ142" s="76">
        <f t="shared" si="4"/>
        <v>401</v>
      </c>
      <c r="EA142" s="76">
        <f t="shared" si="4"/>
        <v>478</v>
      </c>
      <c r="EB142" s="76">
        <f t="shared" si="4"/>
        <v>377</v>
      </c>
      <c r="EC142" s="76">
        <f t="shared" si="4"/>
        <v>338</v>
      </c>
      <c r="ED142" s="85">
        <f t="shared" si="4"/>
        <v>1594</v>
      </c>
      <c r="EE142" s="76">
        <f t="shared" si="4"/>
        <v>285</v>
      </c>
      <c r="EF142" s="76">
        <f t="shared" si="4"/>
        <v>249</v>
      </c>
      <c r="EG142" s="76">
        <f t="shared" si="4"/>
        <v>210</v>
      </c>
      <c r="EH142" s="76">
        <f t="shared" si="4"/>
        <v>26</v>
      </c>
      <c r="EI142" s="85">
        <f t="shared" si="4"/>
        <v>770</v>
      </c>
      <c r="EJ142" s="76">
        <f>+EJ140-EJ141</f>
        <v>62</v>
      </c>
      <c r="EK142" s="76">
        <f>+EK140-EK141</f>
        <v>-106</v>
      </c>
      <c r="EL142" s="76">
        <f>+EL140-EL141</f>
        <v>-264</v>
      </c>
      <c r="EM142" s="76">
        <f>+EM140-EM141</f>
        <v>-350</v>
      </c>
      <c r="EN142" s="76">
        <f t="shared" si="4"/>
        <v>-658</v>
      </c>
      <c r="EO142" s="76">
        <f>+EO140-EO141</f>
        <v>-635</v>
      </c>
      <c r="EP142" s="76">
        <f>+EP140-EP141</f>
        <v>-524</v>
      </c>
      <c r="EQ142" s="76">
        <f>+EQ140-EQ141</f>
        <v>-145</v>
      </c>
      <c r="ER142" s="76">
        <f>+ER140-ER141</f>
        <v>216</v>
      </c>
      <c r="ES142" s="76">
        <f t="shared" si="4"/>
        <v>-1084</v>
      </c>
      <c r="ET142" s="76">
        <f>+ET140-ET141</f>
        <v>-482</v>
      </c>
      <c r="EU142" s="76">
        <f>+EU140-EU141</f>
        <v>-118</v>
      </c>
      <c r="EV142" s="76">
        <f>+EV140-EV141</f>
        <v>-150</v>
      </c>
      <c r="EW142" s="76">
        <f>+EW140-EW141</f>
        <v>-245</v>
      </c>
      <c r="EX142" s="76">
        <f t="shared" si="4"/>
        <v>-995</v>
      </c>
      <c r="EY142" s="76">
        <f>+EY140-EY141</f>
        <v>-232.94550488203481</v>
      </c>
      <c r="EZ142" s="76">
        <f>+EZ140-EZ141</f>
        <v>-202.44045948360508</v>
      </c>
      <c r="FA142" s="76">
        <f>+FA140-FA141</f>
        <v>-214.67405834714293</v>
      </c>
      <c r="FB142" s="76">
        <f>+FB140-FB141</f>
        <v>-127.93333252652906</v>
      </c>
      <c r="FC142" s="76">
        <f t="shared" si="4"/>
        <v>-777.99335523931222</v>
      </c>
      <c r="FD142" s="76">
        <f t="shared" si="4"/>
        <v>-405.45538129117267</v>
      </c>
      <c r="FE142" s="76">
        <f t="shared" si="4"/>
        <v>1042.8547393896306</v>
      </c>
      <c r="FF142" s="76">
        <f t="shared" si="4"/>
        <v>1660.9029232813377</v>
      </c>
      <c r="FG142" s="76">
        <f t="shared" si="4"/>
        <v>1862.61381808021</v>
      </c>
      <c r="FH142" s="76">
        <f t="shared" si="4"/>
        <v>2131.6278413148557</v>
      </c>
      <c r="FI142" s="76">
        <f>+FI140-FI141</f>
        <v>2377.6689446232263</v>
      </c>
    </row>
    <row r="143" spans="1:165" x14ac:dyDescent="0.3">
      <c r="A143" s="322" t="s">
        <v>3669</v>
      </c>
    </row>
    <row r="144" spans="1:165" x14ac:dyDescent="0.3">
      <c r="A144" s="324" t="s">
        <v>461</v>
      </c>
      <c r="DU144" s="76"/>
      <c r="DV144" s="76"/>
      <c r="DW144" s="76"/>
      <c r="DX144" s="76"/>
      <c r="DY144" s="76"/>
      <c r="DZ144" s="76"/>
      <c r="EA144" s="76"/>
      <c r="EB144" s="76"/>
      <c r="EC144" s="76"/>
      <c r="ED144" s="76"/>
      <c r="EE144" s="76"/>
      <c r="EF144" s="76"/>
      <c r="EG144" s="76"/>
      <c r="EH144" s="76"/>
      <c r="EI144" s="76"/>
      <c r="EJ144" s="76"/>
      <c r="EK144" s="76"/>
      <c r="EL144" s="76"/>
      <c r="EM144" s="76"/>
      <c r="EN144" s="76"/>
      <c r="EO144" s="76"/>
      <c r="EP144" s="76"/>
      <c r="EQ144" s="76"/>
      <c r="ER144" s="76"/>
      <c r="ES144" s="76"/>
      <c r="ET144" s="76"/>
      <c r="EU144" s="76"/>
      <c r="EV144" s="76"/>
      <c r="EW144" s="76"/>
      <c r="EX144" s="76"/>
      <c r="EY144" s="76"/>
      <c r="EZ144" s="76"/>
      <c r="FA144" s="76"/>
      <c r="FB144" s="76"/>
      <c r="FC144" s="76"/>
      <c r="FD144" s="76"/>
      <c r="FE144" s="76"/>
      <c r="FF144" s="76"/>
      <c r="FG144" s="76"/>
      <c r="FH144" s="76"/>
      <c r="FI144" s="76"/>
    </row>
    <row r="145" spans="1:165" x14ac:dyDescent="0.3">
      <c r="A145" s="324" t="s">
        <v>3670</v>
      </c>
      <c r="DU145" s="76"/>
      <c r="DV145" s="76"/>
      <c r="DW145" s="76"/>
      <c r="DX145" s="76"/>
      <c r="DY145" s="76"/>
      <c r="DZ145" s="76"/>
      <c r="EA145" s="76"/>
      <c r="EB145" s="76"/>
      <c r="EC145" s="76"/>
      <c r="ED145" s="76"/>
      <c r="EE145" s="76"/>
      <c r="EF145" s="76"/>
      <c r="EG145" s="76"/>
      <c r="EH145" s="76"/>
      <c r="EI145" s="76"/>
      <c r="EJ145" s="76"/>
      <c r="EK145" s="76"/>
      <c r="EL145" s="76"/>
      <c r="EM145" s="76"/>
      <c r="EN145" s="76"/>
      <c r="EO145" s="76"/>
      <c r="EP145" s="76"/>
      <c r="EQ145" s="76"/>
      <c r="ER145" s="76"/>
      <c r="ES145" s="76"/>
      <c r="ET145" s="76"/>
      <c r="EU145" s="76"/>
      <c r="EV145" s="76"/>
      <c r="EW145" s="76"/>
      <c r="EX145" s="76"/>
      <c r="EY145" s="76"/>
      <c r="EZ145" s="76"/>
      <c r="FA145" s="76"/>
      <c r="FB145" s="76"/>
      <c r="FC145" s="76"/>
      <c r="FD145" s="76"/>
      <c r="FE145" s="76"/>
      <c r="FF145" s="76"/>
      <c r="FG145" s="76"/>
      <c r="FH145" s="76"/>
      <c r="FI145" s="76"/>
    </row>
    <row r="146" spans="1:165" x14ac:dyDescent="0.3">
      <c r="A146" s="324" t="s">
        <v>542</v>
      </c>
      <c r="DU146" s="76"/>
      <c r="DV146" s="76"/>
      <c r="DW146" s="76"/>
      <c r="DX146" s="76"/>
      <c r="DY146" s="76"/>
      <c r="DZ146" s="76"/>
      <c r="EA146" s="76"/>
      <c r="EB146" s="76"/>
      <c r="EC146" s="76"/>
      <c r="ED146" s="76"/>
      <c r="EE146" s="76"/>
      <c r="EF146" s="76"/>
      <c r="EG146" s="76"/>
      <c r="EH146" s="76"/>
      <c r="EI146" s="76"/>
      <c r="EJ146" s="76"/>
      <c r="EK146" s="76"/>
      <c r="EL146" s="76"/>
      <c r="EM146" s="76"/>
      <c r="EN146" s="76"/>
      <c r="EO146" s="76"/>
      <c r="EP146" s="76"/>
      <c r="EQ146" s="76"/>
      <c r="ER146" s="76"/>
      <c r="ES146" s="76"/>
      <c r="ET146" s="76"/>
      <c r="EU146" s="76"/>
      <c r="EV146" s="76"/>
      <c r="EW146" s="76"/>
      <c r="EX146" s="76"/>
      <c r="EY146" s="76"/>
      <c r="EZ146" s="76"/>
      <c r="FA146" s="76"/>
      <c r="FB146" s="76"/>
      <c r="FC146" s="76"/>
      <c r="FD146" s="76"/>
      <c r="FE146" s="76"/>
      <c r="FF146" s="76"/>
      <c r="FG146" s="76"/>
      <c r="FH146" s="76"/>
      <c r="FI146" s="76"/>
    </row>
    <row r="147" spans="1:165" x14ac:dyDescent="0.3">
      <c r="A147" s="321" t="s">
        <v>3671</v>
      </c>
      <c r="DU147" s="76"/>
      <c r="DV147" s="76"/>
      <c r="DW147" s="76"/>
      <c r="DX147" s="76"/>
      <c r="DY147" s="76"/>
      <c r="DZ147" s="76"/>
      <c r="EA147" s="76"/>
      <c r="EB147" s="76"/>
      <c r="EC147" s="76"/>
      <c r="ED147" s="76"/>
      <c r="EE147" s="76"/>
      <c r="EF147" s="76"/>
      <c r="EG147" s="76"/>
      <c r="EH147" s="76"/>
      <c r="EI147" s="76"/>
      <c r="EJ147" s="76"/>
      <c r="EK147" s="76"/>
      <c r="EL147" s="76"/>
      <c r="EM147" s="76"/>
      <c r="EN147" s="76"/>
      <c r="EO147" s="76"/>
      <c r="EP147" s="76"/>
      <c r="EQ147" s="76"/>
      <c r="ER147" s="76"/>
      <c r="ES147" s="76"/>
      <c r="ET147" s="76"/>
      <c r="EU147" s="76"/>
      <c r="EV147" s="76"/>
      <c r="EW147" s="76"/>
      <c r="EX147" s="76"/>
      <c r="EY147" s="76"/>
      <c r="EZ147" s="76"/>
      <c r="FA147" s="76"/>
      <c r="FB147" s="76"/>
      <c r="FC147" s="76"/>
      <c r="FD147" s="76"/>
      <c r="FE147" s="76"/>
      <c r="FF147" s="76"/>
      <c r="FG147" s="76"/>
      <c r="FH147" s="76"/>
      <c r="FI147" s="76"/>
    </row>
    <row r="148" spans="1:165" x14ac:dyDescent="0.3">
      <c r="A148" s="324" t="s">
        <v>461</v>
      </c>
      <c r="DU148" s="76"/>
      <c r="DV148" s="76"/>
      <c r="DW148" s="76"/>
      <c r="DX148" s="76"/>
      <c r="DY148" s="76"/>
      <c r="DZ148" s="76"/>
      <c r="EA148" s="76"/>
      <c r="EB148" s="76"/>
      <c r="EC148" s="76"/>
      <c r="ED148" s="76"/>
      <c r="EE148" s="76"/>
      <c r="EF148" s="76"/>
      <c r="EG148" s="76"/>
      <c r="EH148" s="76"/>
      <c r="EI148" s="76"/>
      <c r="EJ148" s="76"/>
      <c r="EK148" s="76"/>
      <c r="EL148" s="76"/>
      <c r="EM148" s="76"/>
      <c r="EN148" s="76"/>
      <c r="EO148" s="76"/>
      <c r="EP148" s="76"/>
      <c r="EQ148" s="76"/>
      <c r="ER148" s="76"/>
      <c r="ES148" s="76"/>
      <c r="ET148" s="76"/>
      <c r="EU148" s="76"/>
      <c r="EV148" s="76"/>
      <c r="EW148" s="76"/>
      <c r="EX148" s="76"/>
      <c r="EY148" s="76"/>
      <c r="EZ148" s="76"/>
      <c r="FA148" s="76"/>
      <c r="FB148" s="76"/>
      <c r="FC148" s="76"/>
      <c r="FD148" s="76"/>
      <c r="FE148" s="76"/>
      <c r="FF148" s="76"/>
      <c r="FG148" s="76"/>
      <c r="FH148" s="76"/>
      <c r="FI148" s="76"/>
    </row>
    <row r="149" spans="1:165" x14ac:dyDescent="0.3">
      <c r="A149" s="324" t="s">
        <v>3670</v>
      </c>
      <c r="DU149" s="76"/>
      <c r="DV149" s="76"/>
      <c r="DW149" s="76"/>
      <c r="DX149" s="76"/>
      <c r="DY149" s="76"/>
      <c r="DZ149" s="76"/>
      <c r="EA149" s="76"/>
      <c r="EB149" s="76"/>
      <c r="EC149" s="76"/>
      <c r="ED149" s="76"/>
      <c r="EE149" s="76"/>
      <c r="EF149" s="76"/>
      <c r="EG149" s="76"/>
      <c r="EH149" s="76"/>
      <c r="EI149" s="76"/>
      <c r="EJ149" s="76"/>
      <c r="EK149" s="76"/>
      <c r="EL149" s="76"/>
      <c r="EM149" s="76"/>
      <c r="EN149" s="76"/>
      <c r="EO149" s="76"/>
      <c r="EP149" s="76"/>
      <c r="EQ149" s="76"/>
      <c r="ER149" s="76"/>
      <c r="ES149" s="76"/>
      <c r="ET149" s="76"/>
      <c r="EU149" s="76"/>
      <c r="EV149" s="76"/>
      <c r="EW149" s="76"/>
      <c r="EX149" s="76"/>
      <c r="EY149" s="76"/>
      <c r="EZ149" s="76"/>
      <c r="FA149" s="76"/>
      <c r="FB149" s="76"/>
      <c r="FC149" s="76"/>
      <c r="FD149" s="76"/>
      <c r="FE149" s="76"/>
      <c r="FF149" s="76"/>
      <c r="FG149" s="76"/>
      <c r="FH149" s="76"/>
      <c r="FI149" s="76"/>
    </row>
    <row r="150" spans="1:165" x14ac:dyDescent="0.3">
      <c r="A150" s="324" t="s">
        <v>542</v>
      </c>
      <c r="DU150" s="76"/>
      <c r="DV150" s="76"/>
      <c r="DW150" s="76"/>
      <c r="DX150" s="76"/>
      <c r="DY150" s="76"/>
      <c r="DZ150" s="76"/>
      <c r="EA150" s="76"/>
      <c r="EB150" s="76"/>
      <c r="EC150" s="76"/>
      <c r="ED150" s="76"/>
      <c r="EE150" s="76"/>
      <c r="EF150" s="76"/>
      <c r="EG150" s="76"/>
      <c r="EH150" s="76"/>
      <c r="EI150" s="76"/>
      <c r="EJ150" s="76"/>
      <c r="EK150" s="76"/>
      <c r="EL150" s="76"/>
      <c r="EM150" s="76"/>
      <c r="EN150" s="76"/>
      <c r="EO150" s="76"/>
      <c r="EP150" s="76"/>
      <c r="EQ150" s="76"/>
      <c r="ER150" s="76"/>
      <c r="ES150" s="76"/>
      <c r="ET150" s="76"/>
      <c r="EU150" s="76"/>
      <c r="EV150" s="76"/>
      <c r="EW150" s="76"/>
      <c r="EX150" s="76"/>
      <c r="EY150" s="76"/>
      <c r="EZ150" s="76"/>
      <c r="FA150" s="76"/>
      <c r="FB150" s="76"/>
      <c r="FC150" s="76"/>
      <c r="FD150" s="76"/>
      <c r="FE150" s="76"/>
      <c r="FF150" s="76"/>
      <c r="FG150" s="76"/>
      <c r="FH150" s="76"/>
      <c r="FI150" s="76"/>
    </row>
    <row r="151" spans="1:165" x14ac:dyDescent="0.3">
      <c r="A151" s="321" t="s">
        <v>1870</v>
      </c>
      <c r="DU151" s="76"/>
      <c r="DV151" s="76"/>
      <c r="DW151" s="76"/>
      <c r="DX151" s="76"/>
      <c r="DY151" s="76"/>
      <c r="DZ151" s="76"/>
      <c r="EA151" s="76"/>
      <c r="EB151" s="76"/>
      <c r="EC151" s="76"/>
      <c r="ED151" s="76"/>
      <c r="EE151" s="76"/>
      <c r="EF151" s="76"/>
      <c r="EG151" s="76"/>
      <c r="EH151" s="76"/>
      <c r="EI151" s="76"/>
      <c r="EJ151" s="76"/>
      <c r="EK151" s="76"/>
      <c r="EL151" s="76"/>
      <c r="EM151" s="76"/>
      <c r="EN151" s="76"/>
      <c r="EO151" s="76"/>
      <c r="EP151" s="76"/>
      <c r="EQ151" s="76"/>
      <c r="ER151" s="76"/>
      <c r="ES151" s="76"/>
      <c r="ET151" s="76"/>
      <c r="EU151" s="76"/>
      <c r="EV151" s="76"/>
      <c r="EW151" s="76"/>
      <c r="EX151" s="76"/>
      <c r="EY151" s="76"/>
      <c r="EZ151" s="76"/>
      <c r="FA151" s="76"/>
      <c r="FB151" s="76"/>
      <c r="FC151" s="76"/>
      <c r="FD151" s="76"/>
      <c r="FE151" s="76"/>
      <c r="FF151" s="76"/>
      <c r="FG151" s="76"/>
      <c r="FH151" s="76"/>
      <c r="FI151" s="76"/>
    </row>
    <row r="152" spans="1:165" x14ac:dyDescent="0.3">
      <c r="A152" s="324" t="s">
        <v>461</v>
      </c>
    </row>
    <row r="153" spans="1:165" x14ac:dyDescent="0.3">
      <c r="A153" s="324" t="s">
        <v>3670</v>
      </c>
    </row>
    <row r="154" spans="1:165" x14ac:dyDescent="0.3">
      <c r="A154" s="324" t="s">
        <v>542</v>
      </c>
    </row>
    <row r="155" spans="1:165" x14ac:dyDescent="0.3">
      <c r="A155" s="321" t="s">
        <v>3672</v>
      </c>
    </row>
    <row r="156" spans="1:165" x14ac:dyDescent="0.3">
      <c r="A156" s="321" t="s">
        <v>3673</v>
      </c>
    </row>
    <row r="157" spans="1:165" x14ac:dyDescent="0.3">
      <c r="A157" s="322" t="s">
        <v>3674</v>
      </c>
    </row>
    <row r="158" spans="1:165" x14ac:dyDescent="0.3">
      <c r="A158" s="324" t="s">
        <v>3675</v>
      </c>
    </row>
    <row r="159" spans="1:165" x14ac:dyDescent="0.3">
      <c r="A159" s="324" t="s">
        <v>3676</v>
      </c>
    </row>
    <row r="160" spans="1:165" x14ac:dyDescent="0.3">
      <c r="A160" s="324" t="s">
        <v>3677</v>
      </c>
    </row>
    <row r="161" spans="1:165" x14ac:dyDescent="0.3">
      <c r="A161" s="321" t="s">
        <v>3678</v>
      </c>
      <c r="DU161" s="101" t="e">
        <f>+Drivers!DU608</f>
        <v>#REF!</v>
      </c>
      <c r="DV161" s="101" t="e">
        <f>+Drivers!DV608</f>
        <v>#REF!</v>
      </c>
      <c r="DW161" s="101" t="e">
        <f>+Drivers!DW608</f>
        <v>#REF!</v>
      </c>
      <c r="DX161" s="101" t="e">
        <f>+Drivers!DX608</f>
        <v>#REF!</v>
      </c>
      <c r="DY161" s="101" t="e">
        <f>+Drivers!DY608</f>
        <v>#REF!</v>
      </c>
      <c r="DZ161" s="101" t="e">
        <f>+Drivers!DZ608</f>
        <v>#REF!</v>
      </c>
      <c r="EA161" s="101" t="e">
        <f>+Drivers!EA608</f>
        <v>#REF!</v>
      </c>
      <c r="EB161" s="101" t="e">
        <f>+Drivers!EB608</f>
        <v>#REF!</v>
      </c>
      <c r="EC161" s="101" t="e">
        <f>+Drivers!EC608</f>
        <v>#REF!</v>
      </c>
      <c r="ED161" s="101" t="e">
        <f>+Drivers!ED608</f>
        <v>#REF!</v>
      </c>
      <c r="EE161" s="101" t="e">
        <f>+Drivers!EE608</f>
        <v>#REF!</v>
      </c>
      <c r="EF161" s="101" t="e">
        <f>+Drivers!EF608</f>
        <v>#REF!</v>
      </c>
      <c r="EG161" s="101" t="e">
        <f>+Drivers!EG608</f>
        <v>#REF!</v>
      </c>
      <c r="EH161" s="101" t="e">
        <f>+Drivers!EH608</f>
        <v>#REF!</v>
      </c>
      <c r="EI161" s="101" t="e">
        <f>+Drivers!EI608</f>
        <v>#REF!</v>
      </c>
      <c r="EJ161" s="101" t="e">
        <f>+Drivers!EJ608</f>
        <v>#REF!</v>
      </c>
      <c r="EK161" s="101" t="e">
        <f>+Drivers!EK608</f>
        <v>#REF!</v>
      </c>
      <c r="EL161" s="101" t="e">
        <f>+Drivers!EL608</f>
        <v>#REF!</v>
      </c>
      <c r="EM161" s="101" t="e">
        <f>+Drivers!EM608</f>
        <v>#REF!</v>
      </c>
      <c r="EN161" s="101" t="e">
        <f>+Drivers!EN608</f>
        <v>#REF!</v>
      </c>
      <c r="EO161" s="101">
        <f>+Drivers!EO608</f>
        <v>0</v>
      </c>
      <c r="EP161" s="101">
        <f>+Drivers!EP608</f>
        <v>0</v>
      </c>
      <c r="EQ161" s="101">
        <f>+Drivers!EQ608</f>
        <v>0</v>
      </c>
      <c r="ER161" s="101">
        <f>+Drivers!ER608</f>
        <v>0</v>
      </c>
      <c r="ES161" s="101" t="e">
        <f>+Drivers!ES608</f>
        <v>#REF!</v>
      </c>
      <c r="ET161" s="101">
        <f>+Drivers!ET608</f>
        <v>0</v>
      </c>
      <c r="EU161" s="101">
        <f>+Drivers!EU608</f>
        <v>0</v>
      </c>
      <c r="EV161" s="101">
        <f>+Drivers!EV608</f>
        <v>0</v>
      </c>
      <c r="EW161" s="101">
        <f>+Drivers!EW608</f>
        <v>0</v>
      </c>
      <c r="EX161" s="101" t="e">
        <f>+Drivers!EX608</f>
        <v>#REF!</v>
      </c>
      <c r="EY161" s="101">
        <f>+Drivers!EY608</f>
        <v>0</v>
      </c>
      <c r="EZ161" s="101">
        <f>+Drivers!EZ608</f>
        <v>0</v>
      </c>
      <c r="FA161" s="101">
        <f>+Drivers!FA608</f>
        <v>0</v>
      </c>
      <c r="FB161" s="101">
        <f>+Drivers!FB608</f>
        <v>0</v>
      </c>
      <c r="FC161" s="101" t="e">
        <f>+Drivers!FC608</f>
        <v>#REF!</v>
      </c>
      <c r="FD161" s="101" t="e">
        <f>+Drivers!FD608</f>
        <v>#REF!</v>
      </c>
      <c r="FE161" s="101" t="e">
        <f>+Drivers!FE608</f>
        <v>#REF!</v>
      </c>
      <c r="FF161" s="101" t="e">
        <f>+Drivers!FF608</f>
        <v>#REF!</v>
      </c>
      <c r="FG161" s="101" t="e">
        <f>+Drivers!FG608</f>
        <v>#REF!</v>
      </c>
      <c r="FH161" s="101" t="e">
        <f>+Drivers!FH608</f>
        <v>#REF!</v>
      </c>
      <c r="FI161" s="101" t="e">
        <f>+Drivers!FI608</f>
        <v>#REF!</v>
      </c>
    </row>
    <row r="162" spans="1:165" x14ac:dyDescent="0.3">
      <c r="A162" s="324" t="s">
        <v>3675</v>
      </c>
    </row>
    <row r="163" spans="1:165" x14ac:dyDescent="0.3">
      <c r="A163" s="324" t="s">
        <v>3676</v>
      </c>
    </row>
    <row r="164" spans="1:165" x14ac:dyDescent="0.3">
      <c r="A164" s="324" t="s">
        <v>3677</v>
      </c>
    </row>
    <row r="165" spans="1:165" x14ac:dyDescent="0.3">
      <c r="A165" s="321" t="s">
        <v>3679</v>
      </c>
    </row>
    <row r="166" spans="1:165" x14ac:dyDescent="0.3">
      <c r="A166" s="324" t="s">
        <v>3675</v>
      </c>
    </row>
    <row r="167" spans="1:165" x14ac:dyDescent="0.3">
      <c r="A167" s="324" t="s">
        <v>3676</v>
      </c>
    </row>
    <row r="168" spans="1:165" x14ac:dyDescent="0.3">
      <c r="A168" s="324" t="s">
        <v>3677</v>
      </c>
    </row>
    <row r="169" spans="1:165" x14ac:dyDescent="0.3">
      <c r="A169" s="321" t="s">
        <v>3680</v>
      </c>
    </row>
    <row r="170" spans="1:165" x14ac:dyDescent="0.3">
      <c r="A170" s="321"/>
    </row>
    <row r="171" spans="1:165" x14ac:dyDescent="0.3">
      <c r="A171" s="322" t="s">
        <v>3681</v>
      </c>
    </row>
    <row r="172" spans="1:165" x14ac:dyDescent="0.3">
      <c r="A172" s="324" t="s">
        <v>3682</v>
      </c>
    </row>
    <row r="173" spans="1:165" x14ac:dyDescent="0.3">
      <c r="A173" s="324" t="s">
        <v>3683</v>
      </c>
      <c r="DT173" s="76">
        <f>+Drivers!DT397</f>
        <v>0</v>
      </c>
      <c r="DU173" s="76">
        <f>+Drivers!DU397</f>
        <v>2776</v>
      </c>
      <c r="DV173" s="76">
        <f>+Drivers!DV397</f>
        <v>2724</v>
      </c>
      <c r="DW173" s="76">
        <f>+Drivers!DW397</f>
        <v>2676</v>
      </c>
      <c r="DX173" s="76">
        <f>+Drivers!DX397</f>
        <v>2647</v>
      </c>
      <c r="DY173" s="76">
        <f>+Drivers!DY397</f>
        <v>2647</v>
      </c>
      <c r="DZ173" s="76">
        <f>+Drivers!DZ397</f>
        <v>2634</v>
      </c>
      <c r="EA173" s="76">
        <f>+Drivers!EA397</f>
        <v>2624</v>
      </c>
      <c r="EB173" s="76">
        <f>+Drivers!EB397</f>
        <v>2610</v>
      </c>
      <c r="EC173" s="76">
        <f>+Drivers!EC397</f>
        <v>2587</v>
      </c>
      <c r="ED173" s="76">
        <f>+Drivers!ED397</f>
        <v>2587</v>
      </c>
      <c r="EE173" s="76">
        <f>+Drivers!EE397</f>
        <v>2578</v>
      </c>
      <c r="EF173" s="76">
        <f>+Drivers!EF397</f>
        <v>2560</v>
      </c>
      <c r="EG173" s="76">
        <f>+Drivers!EG397</f>
        <v>2556</v>
      </c>
      <c r="EH173" s="76">
        <f>+Drivers!EH397</f>
        <v>2570</v>
      </c>
      <c r="EI173" s="76">
        <f>+Drivers!EI397</f>
        <v>2570</v>
      </c>
      <c r="EJ173" s="76">
        <f>+Drivers!EJ397</f>
        <v>2592</v>
      </c>
      <c r="EK173" s="76">
        <f>+Drivers!EK397</f>
        <v>2601</v>
      </c>
      <c r="EL173" s="76">
        <f>+Drivers!EL397</f>
        <v>2607</v>
      </c>
      <c r="EM173" s="76">
        <f>+Drivers!EM397</f>
        <v>2618</v>
      </c>
      <c r="EN173" s="76">
        <f>+Drivers!EN397</f>
        <v>2618</v>
      </c>
      <c r="EO173" s="76">
        <f>+Drivers!EO397</f>
        <v>2646</v>
      </c>
      <c r="EP173" s="76">
        <f>+Drivers!EP397</f>
        <v>2650</v>
      </c>
      <c r="EQ173" s="76">
        <f>+Drivers!EQ397</f>
        <v>2667</v>
      </c>
      <c r="ER173" s="76">
        <f>+Drivers!ER397</f>
        <v>2700</v>
      </c>
      <c r="ES173" s="76">
        <f>+Drivers!ES397</f>
        <v>2700</v>
      </c>
      <c r="ET173" s="76">
        <f>+Drivers!ET397</f>
        <v>2734</v>
      </c>
      <c r="EU173" s="76">
        <f>+Drivers!EU397</f>
        <v>2774</v>
      </c>
      <c r="EV173" s="76">
        <f>+Drivers!EV397</f>
        <v>2823</v>
      </c>
      <c r="EW173" s="76">
        <f>+Drivers!EW397</f>
        <v>2861</v>
      </c>
      <c r="EX173" s="76">
        <f>+Drivers!EX397</f>
        <v>2861</v>
      </c>
      <c r="EY173" s="76">
        <f>+Drivers!EY397</f>
        <v>2926.1699966895962</v>
      </c>
      <c r="EZ173" s="76">
        <f>+Drivers!EZ397</f>
        <v>2991.6884429760757</v>
      </c>
      <c r="FA173" s="76">
        <f>+Drivers!FA397</f>
        <v>3063.4767543014759</v>
      </c>
      <c r="FB173" s="76">
        <f>+Drivers!FB397</f>
        <v>3141.083525828466</v>
      </c>
      <c r="FC173" s="76">
        <f>+Drivers!FC397</f>
        <v>3141.083525828466</v>
      </c>
      <c r="FD173" s="76">
        <f>+Drivers!FD397</f>
        <v>3484.2005256613897</v>
      </c>
      <c r="FE173" s="76">
        <f>+Drivers!FE397</f>
        <v>3809.0935562417098</v>
      </c>
      <c r="FF173" s="76">
        <f>+Drivers!FF397</f>
        <v>4054.1590691597398</v>
      </c>
      <c r="FG173" s="76">
        <f>+Drivers!FG397</f>
        <v>4242.6083542920178</v>
      </c>
      <c r="FH173" s="76">
        <f>+Drivers!FH397</f>
        <v>4375.376032489683</v>
      </c>
      <c r="FI173" s="76">
        <f>+Drivers!FI397</f>
        <v>4456.3792217653563</v>
      </c>
    </row>
    <row r="174" spans="1:165" x14ac:dyDescent="0.3">
      <c r="A174" s="324" t="s">
        <v>3684</v>
      </c>
    </row>
    <row r="175" spans="1:165" x14ac:dyDescent="0.3">
      <c r="A175" s="321" t="s">
        <v>2657</v>
      </c>
    </row>
    <row r="176" spans="1:165" x14ac:dyDescent="0.3">
      <c r="A176" s="324" t="s">
        <v>3685</v>
      </c>
    </row>
    <row r="177" spans="1:165" x14ac:dyDescent="0.3">
      <c r="A177" s="324" t="s">
        <v>3686</v>
      </c>
    </row>
    <row r="178" spans="1:165" x14ac:dyDescent="0.3">
      <c r="A178" s="324" t="s">
        <v>3687</v>
      </c>
    </row>
    <row r="179" spans="1:165" x14ac:dyDescent="0.3">
      <c r="A179" s="321" t="s">
        <v>3688</v>
      </c>
    </row>
    <row r="180" spans="1:165" x14ac:dyDescent="0.3">
      <c r="A180" s="324" t="s">
        <v>3685</v>
      </c>
    </row>
    <row r="181" spans="1:165" x14ac:dyDescent="0.3">
      <c r="A181" s="324" t="s">
        <v>3686</v>
      </c>
    </row>
    <row r="182" spans="1:165" x14ac:dyDescent="0.3">
      <c r="A182" s="324" t="s">
        <v>3687</v>
      </c>
    </row>
    <row r="183" spans="1:165" x14ac:dyDescent="0.3">
      <c r="A183" s="321" t="s">
        <v>3689</v>
      </c>
    </row>
    <row r="184" spans="1:165" x14ac:dyDescent="0.3">
      <c r="A184" s="321" t="s">
        <v>2159</v>
      </c>
      <c r="DT184" s="76">
        <f>+Drivers!DT99</f>
        <v>0</v>
      </c>
      <c r="DU184" s="76">
        <f>+Drivers!DU99</f>
        <v>15200</v>
      </c>
      <c r="DV184" s="76">
        <f>+Drivers!DV99</f>
        <v>15200</v>
      </c>
      <c r="DW184" s="76">
        <f>+Drivers!DW99</f>
        <v>15200</v>
      </c>
      <c r="DX184" s="76">
        <f>+Drivers!DX99</f>
        <v>15200</v>
      </c>
      <c r="DY184" s="76">
        <f>+Drivers!DY99</f>
        <v>15200</v>
      </c>
      <c r="DZ184" s="76">
        <f>+Drivers!DZ99</f>
        <v>15200</v>
      </c>
      <c r="EA184" s="76">
        <f>+Drivers!EA99</f>
        <v>15200</v>
      </c>
      <c r="EB184" s="76">
        <f>+Drivers!EB99</f>
        <v>15200</v>
      </c>
      <c r="EC184" s="76">
        <f>+Drivers!EC99</f>
        <v>15200</v>
      </c>
      <c r="ED184" s="76">
        <f>+Drivers!ED99</f>
        <v>15200</v>
      </c>
      <c r="EE184" s="76">
        <f>+Drivers!EE99</f>
        <v>15200</v>
      </c>
      <c r="EF184" s="76">
        <f>+Drivers!EF99</f>
        <v>15300</v>
      </c>
      <c r="EG184" s="76">
        <f>+Drivers!EG99</f>
        <v>15300</v>
      </c>
      <c r="EH184" s="76">
        <f>+Drivers!EH99</f>
        <v>15300</v>
      </c>
      <c r="EI184" s="76">
        <f>+Drivers!EI99</f>
        <v>15300</v>
      </c>
      <c r="EJ184" s="76">
        <f>+Drivers!EJ99</f>
        <v>15300</v>
      </c>
      <c r="EK184" s="76">
        <f>+Drivers!EK99</f>
        <v>15300</v>
      </c>
      <c r="EL184" s="76">
        <f>+Drivers!EL99</f>
        <v>15300</v>
      </c>
      <c r="EM184" s="76">
        <f>+Drivers!EM99</f>
        <v>15400</v>
      </c>
      <c r="EN184" s="76">
        <f>+Drivers!EN99</f>
        <v>15400</v>
      </c>
      <c r="EO184" s="76">
        <f>+Drivers!EO99</f>
        <v>15400</v>
      </c>
      <c r="EP184" s="76">
        <f>+Drivers!EP99</f>
        <v>15400</v>
      </c>
      <c r="EQ184" s="76">
        <f>+Drivers!EQ99</f>
        <v>15400</v>
      </c>
      <c r="ER184" s="76">
        <f>+Drivers!ER99</f>
        <v>15400</v>
      </c>
      <c r="ES184" s="76">
        <f>+Drivers!ES99</f>
        <v>15400</v>
      </c>
      <c r="ET184" s="76">
        <f>+Drivers!ET99</f>
        <v>15400</v>
      </c>
      <c r="EU184" s="76">
        <f>+Drivers!EU99</f>
        <v>15400</v>
      </c>
      <c r="EV184" s="76">
        <f>+Drivers!EV99</f>
        <v>15400</v>
      </c>
      <c r="EW184" s="76">
        <f>+Drivers!EW99</f>
        <v>15500</v>
      </c>
      <c r="EX184" s="76">
        <f>+Drivers!EX99</f>
        <v>15500</v>
      </c>
      <c r="EY184" s="76">
        <f>+Drivers!EY99</f>
        <v>15534.75</v>
      </c>
      <c r="EZ184" s="76">
        <f>+Drivers!EZ99</f>
        <v>15561.699999999999</v>
      </c>
      <c r="FA184" s="76">
        <f>+Drivers!FA99</f>
        <v>15588.650000000001</v>
      </c>
      <c r="FB184" s="76">
        <f>+Drivers!FB99</f>
        <v>15608.499999999998</v>
      </c>
      <c r="FC184" s="76">
        <f>+Drivers!FC99</f>
        <v>15608.499999999998</v>
      </c>
      <c r="FD184" s="76">
        <f>+Drivers!FD99</f>
        <v>15717.759499999996</v>
      </c>
      <c r="FE184" s="76">
        <f>+Drivers!FE99</f>
        <v>15827.783816499994</v>
      </c>
      <c r="FF184" s="76">
        <f>+Drivers!FF99</f>
        <v>15938.578303215492</v>
      </c>
      <c r="FG184" s="76">
        <f>+Drivers!FG99</f>
        <v>16050.148351337999</v>
      </c>
      <c r="FH184" s="76">
        <f>+Drivers!FH99</f>
        <v>16162.499389797364</v>
      </c>
      <c r="FI184" s="76">
        <f>+Drivers!FI99</f>
        <v>16275.636885525944</v>
      </c>
    </row>
    <row r="185" spans="1:165" x14ac:dyDescent="0.3">
      <c r="A185" s="321" t="s">
        <v>3690</v>
      </c>
      <c r="DT185" s="76">
        <f>+Drivers!DT90</f>
        <v>0</v>
      </c>
      <c r="DU185" s="76">
        <f>+Drivers!DU90</f>
        <v>3223</v>
      </c>
      <c r="DV185" s="76">
        <f>+Drivers!DV90</f>
        <v>3223</v>
      </c>
      <c r="DW185" s="76">
        <f>+Drivers!DW90</f>
        <v>3223</v>
      </c>
      <c r="DX185" s="76">
        <f>+Drivers!DX90</f>
        <v>3223</v>
      </c>
      <c r="DY185" s="76">
        <f>+Drivers!DY90</f>
        <v>3223</v>
      </c>
      <c r="DZ185" s="76">
        <f>+Drivers!DZ90</f>
        <v>3232</v>
      </c>
      <c r="EA185" s="76">
        <f>+Drivers!EA90</f>
        <v>3240</v>
      </c>
      <c r="EB185" s="76">
        <f>+Drivers!EB90</f>
        <v>3249</v>
      </c>
      <c r="EC185" s="76">
        <f>+Drivers!EC90</f>
        <v>3309</v>
      </c>
      <c r="ED185" s="76">
        <f>+Drivers!ED90</f>
        <v>3309</v>
      </c>
      <c r="EE185" s="76">
        <f>+Drivers!EE90</f>
        <v>3413</v>
      </c>
      <c r="EF185" s="76">
        <f>+Drivers!EF90</f>
        <v>3570</v>
      </c>
      <c r="EG185" s="76">
        <f>+Drivers!EG90</f>
        <v>3755</v>
      </c>
      <c r="EH185" s="76">
        <f>+Drivers!EH90</f>
        <v>3947</v>
      </c>
      <c r="EI185" s="76">
        <f>+Drivers!EI90</f>
        <v>3947</v>
      </c>
      <c r="EJ185" s="76">
        <f>+Drivers!EJ90</f>
        <v>4158</v>
      </c>
      <c r="EK185" s="76">
        <f>+Drivers!EK90</f>
        <v>4439</v>
      </c>
      <c r="EL185" s="76">
        <f>+Drivers!EL90</f>
        <v>4790</v>
      </c>
      <c r="EM185" s="76">
        <f>+Drivers!EM90</f>
        <v>5171</v>
      </c>
      <c r="EN185" s="76">
        <f>+Drivers!EN90</f>
        <v>5171</v>
      </c>
      <c r="EO185" s="76">
        <f>+Drivers!EO90</f>
        <v>5510</v>
      </c>
      <c r="EP185" s="76">
        <f>+Drivers!EP90</f>
        <v>5826</v>
      </c>
      <c r="EQ185" s="76">
        <f>+Drivers!EQ90</f>
        <v>6158</v>
      </c>
      <c r="ER185" s="76">
        <f>+Drivers!ER90</f>
        <v>6491</v>
      </c>
      <c r="ES185" s="76">
        <f>+Drivers!ES90</f>
        <v>6491</v>
      </c>
      <c r="ET185" s="76">
        <f>+Drivers!ET90</f>
        <v>6813</v>
      </c>
      <c r="EU185" s="76">
        <f>+Drivers!EU90</f>
        <v>7201</v>
      </c>
      <c r="EV185" s="76">
        <f>+Drivers!EV90</f>
        <v>7582</v>
      </c>
      <c r="EW185" s="76">
        <f>+Drivers!EW90</f>
        <v>7823</v>
      </c>
      <c r="EX185" s="76">
        <f>+Drivers!EX90</f>
        <v>7823</v>
      </c>
      <c r="EY185" s="76">
        <f>+Drivers!EY90</f>
        <v>8137.2642642642641</v>
      </c>
      <c r="EZ185" s="76">
        <f>+Drivers!EZ90</f>
        <v>8515.9429429429438</v>
      </c>
      <c r="FA185" s="76">
        <f>+Drivers!FA90</f>
        <v>8887.7897897897892</v>
      </c>
      <c r="FB185" s="76">
        <f>+Drivers!FB90</f>
        <v>9123</v>
      </c>
      <c r="FC185" s="76">
        <f>+Drivers!FC90</f>
        <v>9123</v>
      </c>
      <c r="FD185" s="76">
        <f>+Drivers!FD90</f>
        <v>10023</v>
      </c>
      <c r="FE185" s="76">
        <f>+Drivers!FE90</f>
        <v>10123.23</v>
      </c>
      <c r="FF185" s="76">
        <f>+Drivers!FF90</f>
        <v>10224.462299999999</v>
      </c>
      <c r="FG185" s="76">
        <f>+Drivers!FG90</f>
        <v>10326.706922999998</v>
      </c>
      <c r="FH185" s="76">
        <f>+Drivers!FH90</f>
        <v>10429.97399223</v>
      </c>
      <c r="FI185" s="76">
        <f>+Drivers!FI90</f>
        <v>10534.273732152298</v>
      </c>
    </row>
    <row r="186" spans="1:165" x14ac:dyDescent="0.3">
      <c r="A186" s="322" t="s">
        <v>1740</v>
      </c>
    </row>
    <row r="187" spans="1:165" x14ac:dyDescent="0.3">
      <c r="A187" s="324" t="s">
        <v>3685</v>
      </c>
      <c r="DT187" s="76">
        <f>+Drivers!DT410</f>
        <v>0</v>
      </c>
      <c r="DU187" s="76">
        <f>+Drivers!DU410</f>
        <v>0</v>
      </c>
      <c r="DV187" s="76">
        <f>+Drivers!DV410</f>
        <v>0</v>
      </c>
      <c r="DW187" s="76">
        <f>+Drivers!DW410</f>
        <v>0</v>
      </c>
      <c r="DX187" s="76">
        <f>+Drivers!DX410</f>
        <v>0</v>
      </c>
      <c r="DY187" s="76">
        <f>+Drivers!DY410</f>
        <v>0</v>
      </c>
      <c r="DZ187" s="76">
        <f>+Drivers!DZ410</f>
        <v>-36</v>
      </c>
      <c r="EA187" s="76">
        <f>+Drivers!EA410</f>
        <v>-33</v>
      </c>
      <c r="EB187" s="76">
        <f>+Drivers!EB410</f>
        <v>-42</v>
      </c>
      <c r="EC187" s="76">
        <f>+Drivers!EC410</f>
        <v>-32.000000000000057</v>
      </c>
      <c r="ED187" s="76">
        <f>+Drivers!ED410</f>
        <v>-143.00000000000006</v>
      </c>
      <c r="EE187" s="76">
        <f>+Drivers!EE410</f>
        <v>-31.999999999999943</v>
      </c>
      <c r="EF187" s="76">
        <f>+Drivers!EF410</f>
        <v>-28</v>
      </c>
      <c r="EG187" s="76">
        <f>+Drivers!EG410</f>
        <v>-23</v>
      </c>
      <c r="EH187" s="76">
        <f>+Drivers!EH410</f>
        <v>-18</v>
      </c>
      <c r="EI187" s="76">
        <f>+Drivers!EI410</f>
        <v>-100.99999999999994</v>
      </c>
      <c r="EJ187" s="76">
        <f>+Drivers!EJ410</f>
        <v>-17</v>
      </c>
      <c r="EK187" s="76">
        <f>+Drivers!EK410</f>
        <v>-20</v>
      </c>
      <c r="EL187" s="76">
        <f>+Drivers!EL410</f>
        <v>-21</v>
      </c>
      <c r="EM187" s="76">
        <f>+Drivers!EM410</f>
        <v>-16</v>
      </c>
      <c r="EN187" s="76">
        <f>+Drivers!EN410</f>
        <v>-74</v>
      </c>
      <c r="EO187" s="76">
        <f>+Drivers!EO410</f>
        <v>-18</v>
      </c>
      <c r="EP187" s="76">
        <f>+Drivers!EP410</f>
        <v>-21</v>
      </c>
      <c r="EQ187" s="76">
        <f>+Drivers!EQ410</f>
        <v>-19</v>
      </c>
      <c r="ER187" s="76">
        <f>+Drivers!ER410</f>
        <v>-14</v>
      </c>
      <c r="ES187" s="76">
        <f>+Drivers!ES410</f>
        <v>-72</v>
      </c>
      <c r="ET187" s="76">
        <f>+Drivers!ET410</f>
        <v>-15</v>
      </c>
      <c r="EU187" s="76">
        <f>+Drivers!EU410</f>
        <v>-14</v>
      </c>
      <c r="EV187" s="76">
        <f>+Drivers!EV410</f>
        <v>-14</v>
      </c>
      <c r="EW187" s="76">
        <f>+Drivers!EW410</f>
        <v>-12</v>
      </c>
      <c r="EX187" s="76">
        <f>+Drivers!EX410</f>
        <v>-55</v>
      </c>
      <c r="EY187" s="76">
        <f>+Drivers!EY410</f>
        <v>-9.2019704433497509</v>
      </c>
      <c r="EZ187" s="76">
        <f>+Drivers!EZ410</f>
        <v>-11.298114489553257</v>
      </c>
      <c r="FA187" s="76">
        <f>+Drivers!FA410</f>
        <v>-11.117705288684022</v>
      </c>
      <c r="FB187" s="76">
        <f>+Drivers!FB410</f>
        <v>-9.4252343027129655</v>
      </c>
      <c r="FC187" s="76">
        <f>+Drivers!FC410</f>
        <v>-41.043024524299994</v>
      </c>
      <c r="FD187" s="76">
        <f>+Drivers!FD410</f>
        <v>-33.685312612385133</v>
      </c>
      <c r="FE187" s="76">
        <f>+Drivers!FE410</f>
        <v>-24.160796973648772</v>
      </c>
      <c r="FF187" s="76">
        <f>+Drivers!FF410</f>
        <v>-17.598627872139566</v>
      </c>
      <c r="FG187" s="76">
        <f>+Drivers!FG410</f>
        <v>-12.944489351381023</v>
      </c>
      <c r="FH187" s="76">
        <f>+Drivers!FH410</f>
        <v>-9.5789798421116572</v>
      </c>
      <c r="FI187" s="76">
        <f>+Drivers!FI410</f>
        <v>-7.1147981706747778</v>
      </c>
    </row>
    <row r="188" spans="1:165" x14ac:dyDescent="0.3">
      <c r="A188" s="324" t="s">
        <v>2014</v>
      </c>
      <c r="DT188" s="76">
        <f>+Drivers!DT117</f>
        <v>0</v>
      </c>
      <c r="DU188" s="76">
        <f>+Drivers!DU117</f>
        <v>-7</v>
      </c>
      <c r="DV188" s="76">
        <f>+Drivers!DV117</f>
        <v>-10</v>
      </c>
      <c r="DW188" s="76">
        <f>+Drivers!DW117</f>
        <v>0</v>
      </c>
      <c r="DX188" s="76">
        <f>+Drivers!DX117</f>
        <v>4</v>
      </c>
      <c r="DY188" s="76">
        <f>+Drivers!DY117</f>
        <v>-13</v>
      </c>
      <c r="DZ188" s="76">
        <f>+Drivers!DZ117</f>
        <v>10</v>
      </c>
      <c r="EA188" s="76">
        <f>+Drivers!EA117</f>
        <v>8</v>
      </c>
      <c r="EB188" s="76">
        <f>+Drivers!EB117</f>
        <v>6</v>
      </c>
      <c r="EC188" s="76">
        <f>+Drivers!EC117</f>
        <v>9</v>
      </c>
      <c r="ED188" s="76">
        <f>+Drivers!ED117</f>
        <v>33</v>
      </c>
      <c r="EE188" s="76">
        <f>+Drivers!EE117</f>
        <v>13</v>
      </c>
      <c r="EF188" s="76">
        <f>+Drivers!EF117</f>
        <v>12</v>
      </c>
      <c r="EG188" s="76">
        <f>+Drivers!EG117</f>
        <v>29</v>
      </c>
      <c r="EH188" s="76">
        <f>+Drivers!EH117</f>
        <v>44</v>
      </c>
      <c r="EI188" s="76">
        <f>+Drivers!EI117</f>
        <v>98</v>
      </c>
      <c r="EJ188" s="76">
        <f>+Drivers!EJ117</f>
        <v>52</v>
      </c>
      <c r="EK188" s="76">
        <f>+Drivers!EK117</f>
        <v>50</v>
      </c>
      <c r="EL188" s="76">
        <f>+Drivers!EL117</f>
        <v>64</v>
      </c>
      <c r="EM188" s="76">
        <f>+Drivers!EM117</f>
        <v>73</v>
      </c>
      <c r="EN188" s="76">
        <f>+Drivers!EN117</f>
        <v>239</v>
      </c>
      <c r="EO188" s="76">
        <f>+Drivers!EO117</f>
        <v>84</v>
      </c>
      <c r="EP188" s="76">
        <f>+Drivers!EP117</f>
        <v>63</v>
      </c>
      <c r="EQ188" s="76">
        <f>+Drivers!EQ117</f>
        <v>75</v>
      </c>
      <c r="ER188" s="76">
        <f>+Drivers!ER117</f>
        <v>81</v>
      </c>
      <c r="ES188" s="76">
        <f>+Drivers!ES117</f>
        <v>303</v>
      </c>
      <c r="ET188" s="76">
        <f>+Drivers!ET117</f>
        <v>85</v>
      </c>
      <c r="EU188" s="76">
        <f>+Drivers!EU117</f>
        <v>90</v>
      </c>
      <c r="EV188" s="76">
        <f>+Drivers!EV117</f>
        <v>104</v>
      </c>
      <c r="EW188" s="76">
        <f>+Drivers!EW117</f>
        <v>92</v>
      </c>
      <c r="EX188" s="76">
        <f>+Drivers!EX117</f>
        <v>371</v>
      </c>
      <c r="EY188" s="76">
        <f>+Drivers!EY117</f>
        <v>107.69175668959633</v>
      </c>
      <c r="EZ188" s="76">
        <f>+Drivers!EZ117</f>
        <v>106.9309038992792</v>
      </c>
      <c r="FA188" s="76">
        <f>+Drivers!FA117</f>
        <v>116.84288387867628</v>
      </c>
      <c r="FB188" s="76">
        <f>+Drivers!FB117</f>
        <v>121.77331655420403</v>
      </c>
      <c r="FC188" s="76">
        <f>+Drivers!FC117</f>
        <v>453.23886102175584</v>
      </c>
      <c r="FD188" s="76">
        <f>+Drivers!FD117</f>
        <v>481.74665698489343</v>
      </c>
      <c r="FE188" s="76">
        <f>+Drivers!FE117</f>
        <v>419.73001259395232</v>
      </c>
      <c r="FF188" s="76">
        <f>+Drivers!FF117</f>
        <v>309.94378891055158</v>
      </c>
      <c r="FG188" s="76">
        <f>+Drivers!FG117</f>
        <v>232.83271664169342</v>
      </c>
      <c r="FH188" s="76">
        <f>+Drivers!FH117</f>
        <v>163.13052249978682</v>
      </c>
      <c r="FI188" s="76">
        <f>+Drivers!FI117</f>
        <v>101.77450602073623</v>
      </c>
    </row>
    <row r="189" spans="1:165" x14ac:dyDescent="0.3">
      <c r="A189" s="324" t="s">
        <v>2015</v>
      </c>
      <c r="DT189" s="76">
        <f>+Drivers!DT262</f>
        <v>0</v>
      </c>
      <c r="DU189" s="76">
        <f>+Drivers!DU262</f>
        <v>-19</v>
      </c>
      <c r="DV189" s="76">
        <f>+Drivers!DV262</f>
        <v>-42</v>
      </c>
      <c r="DW189" s="76">
        <f>+Drivers!DW262</f>
        <v>-48</v>
      </c>
      <c r="DX189" s="76">
        <f>+Drivers!DX262</f>
        <v>-33</v>
      </c>
      <c r="DY189" s="76">
        <f>+Drivers!DY262</f>
        <v>-142</v>
      </c>
      <c r="DZ189" s="76">
        <f>+Drivers!DZ262</f>
        <v>-23</v>
      </c>
      <c r="EA189" s="76">
        <f>+Drivers!EA262</f>
        <v>-18</v>
      </c>
      <c r="EB189" s="76">
        <f>+Drivers!EB262</f>
        <v>-20</v>
      </c>
      <c r="EC189" s="76">
        <f>+Drivers!EC262</f>
        <v>-32</v>
      </c>
      <c r="ED189" s="76">
        <f>+Drivers!ED262</f>
        <v>-93</v>
      </c>
      <c r="EE189" s="76">
        <f>+Drivers!EE262</f>
        <v>-22</v>
      </c>
      <c r="EF189" s="76">
        <f>+Drivers!EF262</f>
        <v>-30</v>
      </c>
      <c r="EG189" s="76">
        <f>+Drivers!EG262</f>
        <v>-33</v>
      </c>
      <c r="EH189" s="76">
        <f>+Drivers!EH262</f>
        <v>-30</v>
      </c>
      <c r="EI189" s="76">
        <f>+Drivers!EI262</f>
        <v>-115</v>
      </c>
      <c r="EJ189" s="76">
        <f>+Drivers!EJ262</f>
        <v>-30</v>
      </c>
      <c r="EK189" s="76">
        <f>+Drivers!EK262</f>
        <v>-41</v>
      </c>
      <c r="EL189" s="76">
        <f>+Drivers!EL262</f>
        <v>-58</v>
      </c>
      <c r="EM189" s="76">
        <f>+Drivers!EM262</f>
        <v>-62</v>
      </c>
      <c r="EN189" s="76">
        <f>+Drivers!EN262</f>
        <v>-191</v>
      </c>
      <c r="EO189" s="76">
        <f>+Drivers!EO262</f>
        <v>-56</v>
      </c>
      <c r="EP189" s="76">
        <f>+Drivers!EP262</f>
        <v>-59</v>
      </c>
      <c r="EQ189" s="76">
        <f>+Drivers!EQ262</f>
        <v>-58</v>
      </c>
      <c r="ER189" s="76">
        <f>+Drivers!ER262</f>
        <v>-48</v>
      </c>
      <c r="ES189" s="76">
        <f>+Drivers!ES262</f>
        <v>-221</v>
      </c>
      <c r="ET189" s="76">
        <f>+Drivers!ET262</f>
        <v>-51</v>
      </c>
      <c r="EU189" s="76">
        <f>+Drivers!EU262</f>
        <v>-50</v>
      </c>
      <c r="EV189" s="76">
        <f>+Drivers!EV262</f>
        <v>-55</v>
      </c>
      <c r="EW189" s="76">
        <f>+Drivers!EW262</f>
        <v>-54</v>
      </c>
      <c r="EX189" s="76">
        <f>+Drivers!EX262</f>
        <v>-210</v>
      </c>
      <c r="EY189" s="76">
        <f>+Drivers!EY262</f>
        <v>-42.521759999999972</v>
      </c>
      <c r="EZ189" s="76">
        <f>+Drivers!EZ262</f>
        <v>-41.41245761280004</v>
      </c>
      <c r="FA189" s="76">
        <f>+Drivers!FA262</f>
        <v>-45.054572553275875</v>
      </c>
      <c r="FB189" s="76">
        <f>+Drivers!FB262</f>
        <v>-44.166545027213999</v>
      </c>
      <c r="FC189" s="76">
        <f>+Drivers!FC262</f>
        <v>-173.15533519328989</v>
      </c>
      <c r="FD189" s="76">
        <f>+Drivers!FD262</f>
        <v>-138.62965715196952</v>
      </c>
      <c r="FE189" s="76">
        <f>+Drivers!FE262</f>
        <v>-94.836982013632564</v>
      </c>
      <c r="FF189" s="76">
        <f>+Drivers!FF262</f>
        <v>-64.878275992521225</v>
      </c>
      <c r="FG189" s="76">
        <f>+Drivers!FG262</f>
        <v>-44.383431509415757</v>
      </c>
      <c r="FH189" s="76">
        <f>+Drivers!FH262</f>
        <v>-30.362844302121658</v>
      </c>
      <c r="FI189" s="76">
        <f>+Drivers!FI262</f>
        <v>-20.771316745062947</v>
      </c>
    </row>
    <row r="190" spans="1:165" x14ac:dyDescent="0.3">
      <c r="A190" s="321" t="s">
        <v>2657</v>
      </c>
      <c r="DT190" s="76">
        <f>+Drivers!DT433</f>
        <v>0</v>
      </c>
      <c r="DU190" s="76">
        <f>+Drivers!DU433</f>
        <v>-43.5</v>
      </c>
      <c r="DV190" s="76">
        <f>+Drivers!DV433</f>
        <v>-87</v>
      </c>
      <c r="DW190" s="76">
        <f>+Drivers!DW433</f>
        <v>-84</v>
      </c>
      <c r="DX190" s="76">
        <f>+Drivers!DX433</f>
        <v>-58</v>
      </c>
      <c r="DY190" s="76">
        <f>+Drivers!DY433</f>
        <v>-272.5</v>
      </c>
      <c r="DZ190" s="76">
        <f>+Drivers!DZ433</f>
        <v>-39</v>
      </c>
      <c r="EA190" s="76">
        <f>+Drivers!EA433</f>
        <v>-32</v>
      </c>
      <c r="EB190" s="76">
        <f>+Drivers!EB433</f>
        <v>-36</v>
      </c>
      <c r="EC190" s="76">
        <f>+Drivers!EC433</f>
        <v>-41</v>
      </c>
      <c r="ED190" s="76">
        <f>+Drivers!ED433</f>
        <v>-148</v>
      </c>
      <c r="EE190" s="76">
        <f>+Drivers!EE433</f>
        <v>-30</v>
      </c>
      <c r="EF190" s="76">
        <f>+Drivers!EF433</f>
        <v>-38</v>
      </c>
      <c r="EG190" s="76">
        <f>+Drivers!EG433</f>
        <v>-23</v>
      </c>
      <c r="EH190" s="76">
        <f>+Drivers!EH433</f>
        <v>-8</v>
      </c>
      <c r="EI190" s="76">
        <f>+Drivers!EI433</f>
        <v>-99</v>
      </c>
      <c r="EJ190" s="76">
        <f>+Drivers!EJ433</f>
        <v>4</v>
      </c>
      <c r="EK190" s="76">
        <f>+Drivers!EK433</f>
        <v>-10</v>
      </c>
      <c r="EL190" s="76">
        <f>+Drivers!EL433</f>
        <v>-17</v>
      </c>
      <c r="EM190" s="76">
        <f>+Drivers!EM433</f>
        <v>-9</v>
      </c>
      <c r="EN190" s="76">
        <f>+Drivers!EN433</f>
        <v>-32</v>
      </c>
      <c r="EO190" s="76">
        <f>+Drivers!EO433</f>
        <v>7</v>
      </c>
      <c r="EP190" s="76">
        <f>+Drivers!EP433</f>
        <v>-13</v>
      </c>
      <c r="EQ190" s="76">
        <f>+Drivers!EQ433</f>
        <v>-9</v>
      </c>
      <c r="ER190" s="76">
        <f>+Drivers!ER433</f>
        <v>11</v>
      </c>
      <c r="ES190" s="76">
        <f>+Drivers!ES433</f>
        <v>-4</v>
      </c>
      <c r="ET190" s="76">
        <f>+Drivers!ET433</f>
        <v>11</v>
      </c>
      <c r="EU190" s="76">
        <f>+Drivers!EU433</f>
        <v>14</v>
      </c>
      <c r="EV190" s="76">
        <f>+Drivers!EV433</f>
        <v>22</v>
      </c>
      <c r="EW190" s="76">
        <f>+Drivers!EW433</f>
        <v>17</v>
      </c>
      <c r="EX190" s="76">
        <f>+Drivers!EX433</f>
        <v>64</v>
      </c>
      <c r="EY190" s="76">
        <f>+Drivers!EY433</f>
        <v>44.778815591985676</v>
      </c>
      <c r="EZ190" s="76">
        <f>+Drivers!EZ433</f>
        <v>42.61024528766211</v>
      </c>
      <c r="FA190" s="76">
        <f>+Drivers!FA433</f>
        <v>48.523341176763552</v>
      </c>
      <c r="FB190" s="76">
        <f>+Drivers!FB433</f>
        <v>59.319816286556033</v>
      </c>
      <c r="FC190" s="76">
        <f>+Drivers!FC433</f>
        <v>195.23221834296737</v>
      </c>
      <c r="FD190" s="76">
        <f>+Drivers!FD433</f>
        <v>281.13494863512233</v>
      </c>
      <c r="FE190" s="76">
        <f>+Drivers!FE433</f>
        <v>311.44551035782524</v>
      </c>
      <c r="FF190" s="76">
        <f>+Drivers!FF433</f>
        <v>241.68024438073235</v>
      </c>
      <c r="FG190" s="76">
        <f>+Drivers!FG433</f>
        <v>184.4693245442113</v>
      </c>
      <c r="FH190" s="76">
        <f>+Drivers!FH433</f>
        <v>128.91919907100419</v>
      </c>
      <c r="FI190" s="76">
        <f>+Drivers!FI433</f>
        <v>77.234710016987265</v>
      </c>
    </row>
    <row r="191" spans="1:165" x14ac:dyDescent="0.3">
      <c r="A191" s="324" t="s">
        <v>3685</v>
      </c>
    </row>
    <row r="192" spans="1:165" x14ac:dyDescent="0.3">
      <c r="A192" s="324" t="s">
        <v>3686</v>
      </c>
    </row>
    <row r="193" spans="1:164" x14ac:dyDescent="0.3">
      <c r="A193" s="324" t="s">
        <v>3687</v>
      </c>
    </row>
    <row r="194" spans="1:164" x14ac:dyDescent="0.3">
      <c r="A194" s="321" t="s">
        <v>3688</v>
      </c>
    </row>
    <row r="195" spans="1:164" x14ac:dyDescent="0.3">
      <c r="A195" s="324" t="s">
        <v>3685</v>
      </c>
    </row>
    <row r="196" spans="1:164" x14ac:dyDescent="0.3">
      <c r="A196" s="324" t="s">
        <v>3686</v>
      </c>
    </row>
    <row r="197" spans="1:164" x14ac:dyDescent="0.3">
      <c r="A197" s="324" t="s">
        <v>3687</v>
      </c>
    </row>
    <row r="198" spans="1:164" x14ac:dyDescent="0.3">
      <c r="A198" s="321" t="s">
        <v>3689</v>
      </c>
    </row>
    <row r="199" spans="1:164" x14ac:dyDescent="0.3">
      <c r="A199" s="321"/>
    </row>
    <row r="200" spans="1:164" x14ac:dyDescent="0.3">
      <c r="A200" s="321" t="s">
        <v>3691</v>
      </c>
    </row>
    <row r="201" spans="1:164" x14ac:dyDescent="0.3">
      <c r="A201" s="321" t="s">
        <v>3692</v>
      </c>
    </row>
    <row r="202" spans="1:164" x14ac:dyDescent="0.3">
      <c r="A202" s="321" t="s">
        <v>2421</v>
      </c>
    </row>
    <row r="203" spans="1:164" x14ac:dyDescent="0.3">
      <c r="A203" s="321"/>
    </row>
    <row r="204" spans="1:164" x14ac:dyDescent="0.3">
      <c r="A204" s="321"/>
    </row>
    <row r="205" spans="1:164" x14ac:dyDescent="0.3">
      <c r="A205" s="325" t="s">
        <v>3693</v>
      </c>
    </row>
    <row r="206" spans="1:164" x14ac:dyDescent="0.3">
      <c r="A206" s="325" t="s">
        <v>3694</v>
      </c>
    </row>
    <row r="207" spans="1:164" ht="13" x14ac:dyDescent="0.3">
      <c r="A207" s="326"/>
    </row>
    <row r="208" spans="1:164" ht="13" x14ac:dyDescent="0.3">
      <c r="A208" s="326" t="s">
        <v>275</v>
      </c>
      <c r="DT208" s="76">
        <f>+Drivers!DT115</f>
        <v>0</v>
      </c>
      <c r="DU208" s="76">
        <f>+Drivers!DU115</f>
        <v>1211</v>
      </c>
      <c r="DV208" s="76">
        <f>+Drivers!DV115</f>
        <v>1201</v>
      </c>
      <c r="DW208" s="76">
        <f>+Drivers!DW115</f>
        <v>1201</v>
      </c>
      <c r="DX208" s="76">
        <f>+Drivers!DX115</f>
        <v>1205</v>
      </c>
      <c r="DY208" s="76">
        <f>+Drivers!DY115</f>
        <v>1205</v>
      </c>
      <c r="DZ208" s="76">
        <f>+Drivers!DZ115</f>
        <v>1215</v>
      </c>
      <c r="EA208" s="76">
        <f>+Drivers!EA115</f>
        <v>1223</v>
      </c>
      <c r="EB208" s="76">
        <f>+Drivers!EB115</f>
        <v>1229</v>
      </c>
      <c r="EC208" s="76">
        <f>+Drivers!EC115</f>
        <v>1238</v>
      </c>
      <c r="ED208" s="76">
        <f>+Drivers!ED115</f>
        <v>1238</v>
      </c>
      <c r="EE208" s="76">
        <f>+Drivers!EE115</f>
        <v>1251</v>
      </c>
      <c r="EF208" s="76">
        <f>+Drivers!EF115</f>
        <v>1263</v>
      </c>
      <c r="EG208" s="76">
        <f>+Drivers!EG115</f>
        <v>1292</v>
      </c>
      <c r="EH208" s="76">
        <f>+Drivers!EH115</f>
        <v>1336</v>
      </c>
      <c r="EI208" s="76">
        <f>+Drivers!EI115</f>
        <v>1336</v>
      </c>
      <c r="EJ208" s="76">
        <f>+Drivers!EJ115</f>
        <v>1388</v>
      </c>
      <c r="EK208" s="76">
        <f>+Drivers!EK115</f>
        <v>1438</v>
      </c>
      <c r="EL208" s="76">
        <f>+Drivers!EL115</f>
        <v>1502</v>
      </c>
      <c r="EM208" s="76">
        <f>+Drivers!EM115</f>
        <v>1575</v>
      </c>
      <c r="EN208" s="76">
        <f>+Drivers!EN115</f>
        <v>1575</v>
      </c>
      <c r="EO208" s="76">
        <f>+Drivers!EO115</f>
        <v>1659</v>
      </c>
      <c r="EP208" s="76">
        <f>+Drivers!EP115</f>
        <v>1722</v>
      </c>
      <c r="EQ208" s="76">
        <f>+Drivers!EQ115</f>
        <v>1797</v>
      </c>
      <c r="ER208" s="76">
        <f>+Drivers!ER115</f>
        <v>1878</v>
      </c>
      <c r="ES208" s="76">
        <f>+Drivers!ES115</f>
        <v>1878</v>
      </c>
      <c r="ET208" s="76">
        <f>+Drivers!ET115</f>
        <v>1963</v>
      </c>
      <c r="EU208" s="76">
        <f>+Drivers!EU115</f>
        <v>2053</v>
      </c>
      <c r="EV208" s="76">
        <f>+Drivers!EV115</f>
        <v>2157</v>
      </c>
      <c r="EW208" s="76">
        <f>+Drivers!EW115</f>
        <v>2249</v>
      </c>
      <c r="EX208" s="76">
        <f>+Drivers!EX115</f>
        <v>2249</v>
      </c>
      <c r="EY208" s="76">
        <f>+Drivers!EY115</f>
        <v>2356.6917566895963</v>
      </c>
      <c r="EZ208" s="76">
        <f>+Drivers!EZ115</f>
        <v>2463.6226605888755</v>
      </c>
      <c r="FA208" s="76">
        <f>+Drivers!FA115</f>
        <v>2580.4655444675518</v>
      </c>
      <c r="FB208" s="76">
        <f>+Drivers!FB115</f>
        <v>2702.2388610217558</v>
      </c>
      <c r="FC208" s="76">
        <f>+Drivers!FC115</f>
        <v>2702.2388610217558</v>
      </c>
      <c r="FD208" s="76">
        <f>+Drivers!FD115</f>
        <v>3183.9855180066493</v>
      </c>
      <c r="FE208" s="76">
        <f>+Drivers!FE115</f>
        <v>3603.7155306006016</v>
      </c>
      <c r="FF208" s="76">
        <f>+Drivers!FF115</f>
        <v>3913.6593195111532</v>
      </c>
      <c r="FG208" s="76">
        <f>+Drivers!FG115</f>
        <v>4146.4920361528466</v>
      </c>
      <c r="FH208" s="76">
        <f>+Drivers!FH115</f>
        <v>4309.6225586526334</v>
      </c>
    </row>
    <row r="209" spans="1:1" ht="13" x14ac:dyDescent="0.3">
      <c r="A209" s="326"/>
    </row>
    <row r="210" spans="1:1" ht="13" x14ac:dyDescent="0.3">
      <c r="A210" s="326" t="s">
        <v>3695</v>
      </c>
    </row>
    <row r="211" spans="1:1" ht="13" x14ac:dyDescent="0.3">
      <c r="A211" s="326" t="s">
        <v>3696</v>
      </c>
    </row>
    <row r="212" spans="1:1" ht="13" x14ac:dyDescent="0.3">
      <c r="A212" s="326" t="s">
        <v>3697</v>
      </c>
    </row>
    <row r="213" spans="1:1" ht="13" x14ac:dyDescent="0.3">
      <c r="A213" s="326" t="s">
        <v>3698</v>
      </c>
    </row>
    <row r="214" spans="1:1" ht="13" x14ac:dyDescent="0.3">
      <c r="A214" s="326"/>
    </row>
    <row r="215" spans="1:1" ht="13" x14ac:dyDescent="0.3">
      <c r="A215" s="326"/>
    </row>
    <row r="216" spans="1:1" x14ac:dyDescent="0.3">
      <c r="A216" s="322" t="s">
        <v>3699</v>
      </c>
    </row>
    <row r="217" spans="1:1" x14ac:dyDescent="0.3">
      <c r="A217" s="327" t="s">
        <v>3700</v>
      </c>
    </row>
    <row r="218" spans="1:1" x14ac:dyDescent="0.3">
      <c r="A218" s="328" t="s">
        <v>363</v>
      </c>
    </row>
    <row r="219" spans="1:1" x14ac:dyDescent="0.3">
      <c r="A219" s="328"/>
    </row>
    <row r="220" spans="1:1" x14ac:dyDescent="0.3">
      <c r="A220" s="327" t="s">
        <v>3701</v>
      </c>
    </row>
    <row r="221" spans="1:1" x14ac:dyDescent="0.3">
      <c r="A221" s="329" t="s">
        <v>3702</v>
      </c>
    </row>
    <row r="222" spans="1:1" ht="13" x14ac:dyDescent="0.3">
      <c r="A222" s="326"/>
    </row>
    <row r="223" spans="1:1" x14ac:dyDescent="0.3">
      <c r="A223" s="330" t="s">
        <v>3703</v>
      </c>
    </row>
    <row r="224" spans="1:1" x14ac:dyDescent="0.3">
      <c r="A224" s="330" t="s">
        <v>3704</v>
      </c>
    </row>
    <row r="225" spans="1:1" x14ac:dyDescent="0.3">
      <c r="A225" s="330" t="s">
        <v>3702</v>
      </c>
    </row>
    <row r="226" spans="1:1" x14ac:dyDescent="0.3">
      <c r="A226" s="330"/>
    </row>
    <row r="227" spans="1:1" x14ac:dyDescent="0.3">
      <c r="A227" s="330" t="s">
        <v>3705</v>
      </c>
    </row>
    <row r="228" spans="1:1" x14ac:dyDescent="0.3">
      <c r="A228" s="330" t="s">
        <v>363</v>
      </c>
    </row>
    <row r="229" spans="1:1" x14ac:dyDescent="0.3">
      <c r="A229" s="330" t="s">
        <v>3706</v>
      </c>
    </row>
    <row r="230" spans="1:1" x14ac:dyDescent="0.3">
      <c r="A230" s="330"/>
    </row>
    <row r="231" spans="1:1" x14ac:dyDescent="0.3">
      <c r="A231" s="330" t="s">
        <v>34</v>
      </c>
    </row>
    <row r="232" spans="1:1" x14ac:dyDescent="0.3">
      <c r="A232" s="331" t="s">
        <v>3707</v>
      </c>
    </row>
    <row r="233" spans="1:1" x14ac:dyDescent="0.3">
      <c r="A233" s="329" t="s">
        <v>363</v>
      </c>
    </row>
    <row r="234" spans="1:1" x14ac:dyDescent="0.3">
      <c r="A234" s="329" t="s">
        <v>394</v>
      </c>
    </row>
    <row r="235" spans="1:1" x14ac:dyDescent="0.3">
      <c r="A235" s="330"/>
    </row>
    <row r="236" spans="1:1" x14ac:dyDescent="0.3">
      <c r="A236" s="332" t="s">
        <v>2423</v>
      </c>
    </row>
    <row r="237" spans="1:1" x14ac:dyDescent="0.3">
      <c r="A237" s="331" t="s">
        <v>3708</v>
      </c>
    </row>
    <row r="238" spans="1:1" x14ac:dyDescent="0.3">
      <c r="A238" s="329" t="s">
        <v>363</v>
      </c>
    </row>
    <row r="239" spans="1:1" x14ac:dyDescent="0.3">
      <c r="A239" s="329" t="s">
        <v>394</v>
      </c>
    </row>
    <row r="240" spans="1:1" x14ac:dyDescent="0.3">
      <c r="A240" s="330"/>
    </row>
    <row r="241" spans="1:1" x14ac:dyDescent="0.3">
      <c r="A241" s="330"/>
    </row>
    <row r="242" spans="1:1" x14ac:dyDescent="0.3">
      <c r="A242" s="330"/>
    </row>
    <row r="243" spans="1:1" x14ac:dyDescent="0.3">
      <c r="A243" s="330"/>
    </row>
    <row r="244" spans="1:1" x14ac:dyDescent="0.3">
      <c r="A244" s="330"/>
    </row>
    <row r="245" spans="1:1" x14ac:dyDescent="0.3">
      <c r="A245" s="330"/>
    </row>
    <row r="246" spans="1:1" x14ac:dyDescent="0.3">
      <c r="A246" s="330"/>
    </row>
    <row r="247" spans="1:1" x14ac:dyDescent="0.3">
      <c r="A247" s="330"/>
    </row>
    <row r="248" spans="1:1" x14ac:dyDescent="0.3">
      <c r="A248" s="330"/>
    </row>
    <row r="249" spans="1:1" x14ac:dyDescent="0.3">
      <c r="A249" s="330"/>
    </row>
    <row r="250" spans="1:1" ht="13" x14ac:dyDescent="0.3">
      <c r="A250" s="326"/>
    </row>
    <row r="251" spans="1:1" ht="13" x14ac:dyDescent="0.3">
      <c r="A251" s="326"/>
    </row>
    <row r="252" spans="1:1" ht="13" x14ac:dyDescent="0.3">
      <c r="A252" s="326"/>
    </row>
    <row r="253" spans="1:1" ht="13" x14ac:dyDescent="0.3">
      <c r="A253" s="326"/>
    </row>
    <row r="254" spans="1:1" ht="13" x14ac:dyDescent="0.3">
      <c r="A254" s="326"/>
    </row>
    <row r="255" spans="1:1" ht="13" x14ac:dyDescent="0.3">
      <c r="A255" s="326"/>
    </row>
    <row r="256" spans="1:1" ht="13" x14ac:dyDescent="0.3">
      <c r="A256" s="326"/>
    </row>
    <row r="257" spans="1:165" ht="13" x14ac:dyDescent="0.3">
      <c r="A257" s="326"/>
    </row>
    <row r="258" spans="1:165" ht="13" x14ac:dyDescent="0.3">
      <c r="A258" s="326"/>
    </row>
    <row r="259" spans="1:165" ht="13" x14ac:dyDescent="0.3">
      <c r="A259" s="326"/>
    </row>
    <row r="260" spans="1:165" x14ac:dyDescent="0.3">
      <c r="A260" s="333" t="s">
        <v>190</v>
      </c>
    </row>
    <row r="261" spans="1:165" x14ac:dyDescent="0.3">
      <c r="A261" s="330" t="s">
        <v>3709</v>
      </c>
    </row>
    <row r="262" spans="1:165" x14ac:dyDescent="0.3">
      <c r="A262" s="330" t="s">
        <v>3710</v>
      </c>
    </row>
    <row r="263" spans="1:165" x14ac:dyDescent="0.3">
      <c r="A263" s="330" t="s">
        <v>3711</v>
      </c>
      <c r="D263" s="623">
        <f>+Drivers!D435</f>
        <v>0</v>
      </c>
      <c r="E263" s="623">
        <f>+Drivers!E435</f>
        <v>0</v>
      </c>
      <c r="F263" s="623">
        <f>+Drivers!F435</f>
        <v>0</v>
      </c>
      <c r="G263" s="623">
        <f>+Drivers!G435</f>
        <v>0</v>
      </c>
      <c r="H263" s="623">
        <f>+Drivers!H435</f>
        <v>0</v>
      </c>
      <c r="I263" s="623">
        <f>+Drivers!I435</f>
        <v>0</v>
      </c>
      <c r="J263" s="623">
        <f>+Drivers!J435</f>
        <v>0</v>
      </c>
      <c r="K263" s="623">
        <f>+Drivers!K435</f>
        <v>0</v>
      </c>
      <c r="L263" s="623">
        <f>+Drivers!L435</f>
        <v>0</v>
      </c>
      <c r="M263" s="623">
        <f>+Drivers!M435</f>
        <v>0</v>
      </c>
      <c r="N263" s="623">
        <f>+Drivers!N435</f>
        <v>0</v>
      </c>
      <c r="O263" s="623">
        <f>+Drivers!O435</f>
        <v>0</v>
      </c>
      <c r="P263" s="623">
        <f>+Drivers!P435</f>
        <v>0</v>
      </c>
      <c r="Q263" s="623">
        <f>+Drivers!Q435</f>
        <v>0</v>
      </c>
      <c r="R263" s="623">
        <f>+Drivers!R435</f>
        <v>0</v>
      </c>
      <c r="S263" s="623">
        <f>+Drivers!S435</f>
        <v>0</v>
      </c>
      <c r="T263" s="623">
        <f>+Drivers!T435</f>
        <v>0</v>
      </c>
      <c r="U263" s="623">
        <f>+Drivers!U435</f>
        <v>0</v>
      </c>
      <c r="V263" s="623">
        <f>+Drivers!V435</f>
        <v>0</v>
      </c>
      <c r="W263" s="623">
        <f>+Drivers!W435</f>
        <v>0</v>
      </c>
      <c r="X263" s="623">
        <f>+Drivers!X435</f>
        <v>0</v>
      </c>
      <c r="Y263" s="623">
        <f>+Drivers!Y435</f>
        <v>0</v>
      </c>
      <c r="Z263" s="623">
        <f>+Drivers!Z435</f>
        <v>0</v>
      </c>
      <c r="AA263" s="623">
        <f>+Drivers!AA435</f>
        <v>0</v>
      </c>
      <c r="AB263" s="623">
        <f>+Drivers!AB435</f>
        <v>0</v>
      </c>
      <c r="AC263" s="623">
        <f>+Drivers!AC435</f>
        <v>0</v>
      </c>
      <c r="AD263" s="623">
        <f>+Drivers!AD435</f>
        <v>0</v>
      </c>
      <c r="AE263" s="623">
        <f>+Drivers!AE435</f>
        <v>0</v>
      </c>
      <c r="AF263" s="623">
        <f>+Drivers!AF435</f>
        <v>0</v>
      </c>
      <c r="AG263" s="623">
        <f>+Drivers!AG435</f>
        <v>0</v>
      </c>
      <c r="AH263" s="623">
        <f>+Drivers!AH435</f>
        <v>0</v>
      </c>
      <c r="AI263" s="623">
        <f>+Drivers!AI435</f>
        <v>0</v>
      </c>
      <c r="AJ263" s="623">
        <f>+Drivers!AJ435</f>
        <v>0</v>
      </c>
      <c r="AK263" s="623">
        <f>+Drivers!AK435</f>
        <v>0</v>
      </c>
      <c r="AL263" s="623">
        <f>+Drivers!AL435</f>
        <v>0</v>
      </c>
      <c r="AM263" s="623">
        <f>+Drivers!AM435</f>
        <v>0</v>
      </c>
      <c r="AN263" s="623">
        <f>+Drivers!AN435</f>
        <v>0</v>
      </c>
      <c r="AO263" s="623">
        <f>+Drivers!AO435</f>
        <v>0</v>
      </c>
      <c r="AP263" s="623">
        <f>+Drivers!AP435</f>
        <v>0</v>
      </c>
      <c r="AQ263" s="623">
        <f>+Drivers!AQ435</f>
        <v>0</v>
      </c>
      <c r="AR263" s="623">
        <f>+Drivers!AR435</f>
        <v>0</v>
      </c>
      <c r="AS263" s="623">
        <f>+Drivers!AS435</f>
        <v>0</v>
      </c>
      <c r="AT263" s="623">
        <f>+Drivers!AT435</f>
        <v>0</v>
      </c>
      <c r="AU263" s="623">
        <f>+Drivers!AU435</f>
        <v>0</v>
      </c>
      <c r="AV263" s="623">
        <f>+Drivers!AV435</f>
        <v>0</v>
      </c>
      <c r="AW263" s="623">
        <f>+Drivers!AW435</f>
        <v>0</v>
      </c>
      <c r="AX263" s="623">
        <f>+Drivers!AX435</f>
        <v>0</v>
      </c>
      <c r="AY263" s="623">
        <f>+Drivers!AY435</f>
        <v>0</v>
      </c>
      <c r="AZ263" s="623">
        <f>+Drivers!AZ435</f>
        <v>0</v>
      </c>
      <c r="BA263" s="623">
        <f>+Drivers!BA435</f>
        <v>0</v>
      </c>
      <c r="BB263" s="623">
        <f>+Drivers!BB435</f>
        <v>0</v>
      </c>
      <c r="BC263" s="623">
        <f>+Drivers!BC435</f>
        <v>0</v>
      </c>
      <c r="BD263" s="623">
        <f>+Drivers!BD435</f>
        <v>0</v>
      </c>
      <c r="BE263" s="623">
        <f>+Drivers!BE435</f>
        <v>0</v>
      </c>
      <c r="BF263" s="623">
        <f>+Drivers!BF435</f>
        <v>0</v>
      </c>
      <c r="BG263" s="623">
        <f>+Drivers!BG435</f>
        <v>0</v>
      </c>
      <c r="BH263" s="623">
        <f>+Drivers!BH435</f>
        <v>0</v>
      </c>
      <c r="BI263" s="623">
        <f>+Drivers!BI435</f>
        <v>0</v>
      </c>
      <c r="BJ263" s="623">
        <f>+Drivers!BJ435</f>
        <v>0</v>
      </c>
      <c r="BK263" s="623">
        <f>+Drivers!BK435</f>
        <v>0</v>
      </c>
      <c r="BL263" s="623">
        <f>+Drivers!BL435</f>
        <v>0</v>
      </c>
      <c r="BM263" s="623">
        <f>+Drivers!BM435</f>
        <v>0</v>
      </c>
      <c r="BN263" s="623">
        <f>+Drivers!BN435</f>
        <v>0</v>
      </c>
      <c r="BO263" s="623">
        <f>+Drivers!BO435</f>
        <v>0</v>
      </c>
      <c r="BP263" s="623">
        <f>+Drivers!BP435</f>
        <v>0</v>
      </c>
      <c r="BQ263" s="623">
        <f>+Drivers!BQ435</f>
        <v>0</v>
      </c>
      <c r="BR263" s="623">
        <f>+Drivers!BR435</f>
        <v>0</v>
      </c>
      <c r="BS263" s="623">
        <f>+Drivers!BS435</f>
        <v>0</v>
      </c>
      <c r="BT263" s="623">
        <f>+Drivers!BT435</f>
        <v>0</v>
      </c>
      <c r="BU263" s="623">
        <f>+Drivers!BU435</f>
        <v>0</v>
      </c>
      <c r="BV263" s="623">
        <f>+Drivers!BV435</f>
        <v>0</v>
      </c>
      <c r="BW263" s="623">
        <f>+Drivers!BW435</f>
        <v>0</v>
      </c>
      <c r="BX263" s="623">
        <f>+Drivers!BX435</f>
        <v>0</v>
      </c>
      <c r="BY263" s="623">
        <f>+Drivers!BY435</f>
        <v>0</v>
      </c>
      <c r="BZ263" s="623">
        <f>+Drivers!BZ435</f>
        <v>0</v>
      </c>
      <c r="CA263" s="623">
        <f>+Drivers!CA435</f>
        <v>0</v>
      </c>
      <c r="CB263" s="623">
        <f>+Drivers!CB435</f>
        <v>0</v>
      </c>
      <c r="CC263" s="623">
        <f>+Drivers!CC435</f>
        <v>0</v>
      </c>
      <c r="CD263" s="623">
        <f>+Drivers!CD435</f>
        <v>0</v>
      </c>
      <c r="CE263" s="623">
        <f>+Drivers!CE435</f>
        <v>0</v>
      </c>
      <c r="CF263" s="623">
        <f>+Drivers!CF435</f>
        <v>0</v>
      </c>
      <c r="CG263" s="623">
        <f>+Drivers!CG435</f>
        <v>0</v>
      </c>
      <c r="CH263" s="623">
        <f>+Drivers!CH435</f>
        <v>0</v>
      </c>
      <c r="CI263" s="623">
        <f>+Drivers!CI435</f>
        <v>0</v>
      </c>
      <c r="CJ263" s="623">
        <f>+Drivers!CJ435</f>
        <v>0</v>
      </c>
      <c r="CK263" s="623">
        <f>+Drivers!CK435</f>
        <v>0</v>
      </c>
      <c r="CL263" s="623">
        <f>+Drivers!CL435</f>
        <v>0</v>
      </c>
      <c r="CM263" s="623">
        <f>+Drivers!CM435</f>
        <v>0</v>
      </c>
      <c r="CN263" s="623">
        <f>+Drivers!CN435</f>
        <v>0</v>
      </c>
      <c r="CO263" s="623">
        <f>+Drivers!CO435</f>
        <v>0</v>
      </c>
      <c r="CP263" s="623">
        <f>+Drivers!CP435</f>
        <v>0</v>
      </c>
      <c r="CQ263" s="623">
        <f>+Drivers!CQ435</f>
        <v>0</v>
      </c>
      <c r="CR263" s="623">
        <f>+Drivers!CR435</f>
        <v>0</v>
      </c>
      <c r="CS263" s="623">
        <f>+Drivers!CS435</f>
        <v>0</v>
      </c>
      <c r="CT263" s="623">
        <f>+Drivers!CT435</f>
        <v>0</v>
      </c>
      <c r="CU263" s="623">
        <f>+Drivers!CU435</f>
        <v>0</v>
      </c>
      <c r="CV263" s="623">
        <f>+Drivers!CV435</f>
        <v>0</v>
      </c>
      <c r="CW263" s="623">
        <f>+Drivers!CW435</f>
        <v>0</v>
      </c>
      <c r="CX263" s="623">
        <f>+Drivers!CX435</f>
        <v>0</v>
      </c>
      <c r="CY263" s="623">
        <f>+Drivers!CY435</f>
        <v>0</v>
      </c>
      <c r="CZ263" s="623">
        <f>+Drivers!CZ435</f>
        <v>0</v>
      </c>
      <c r="DA263" s="623">
        <f>+Drivers!DA435</f>
        <v>0</v>
      </c>
      <c r="DB263" s="623">
        <f>+Drivers!DB435</f>
        <v>0</v>
      </c>
      <c r="DC263" s="623">
        <f>+Drivers!DC435</f>
        <v>0</v>
      </c>
      <c r="DD263" s="623">
        <f>+Drivers!DD435</f>
        <v>0</v>
      </c>
      <c r="DE263" s="623">
        <f>+Drivers!DE435</f>
        <v>0</v>
      </c>
      <c r="DF263" s="623">
        <f>+Drivers!DF435</f>
        <v>0</v>
      </c>
      <c r="DG263" s="623">
        <f>+Drivers!DG435</f>
        <v>0</v>
      </c>
      <c r="DH263" s="623">
        <f>+Drivers!DH435</f>
        <v>0</v>
      </c>
      <c r="DI263" s="623">
        <f>+Drivers!DI435</f>
        <v>0</v>
      </c>
      <c r="DJ263" s="623">
        <f>+Drivers!DJ435</f>
        <v>0</v>
      </c>
      <c r="DK263" s="623">
        <f>+Drivers!DK435</f>
        <v>0</v>
      </c>
      <c r="DL263" s="623">
        <f>+Drivers!DL435</f>
        <v>0</v>
      </c>
      <c r="DM263" s="623">
        <f>+Drivers!DM435</f>
        <v>0</v>
      </c>
      <c r="DN263" s="623">
        <f>+Drivers!DN435</f>
        <v>0</v>
      </c>
      <c r="DO263" s="623">
        <f>+Drivers!DO435</f>
        <v>0</v>
      </c>
      <c r="DP263" s="623">
        <f>+Drivers!DP435</f>
        <v>0</v>
      </c>
      <c r="DQ263" s="623">
        <f>+Drivers!DQ435</f>
        <v>0</v>
      </c>
      <c r="DR263" s="623">
        <f>+Drivers!DR435</f>
        <v>0</v>
      </c>
      <c r="DS263" s="623">
        <f>+Drivers!DS435</f>
        <v>0</v>
      </c>
      <c r="DT263" s="623">
        <f>+Drivers!DT435</f>
        <v>0</v>
      </c>
      <c r="DU263" s="623">
        <f>+Drivers!DU435</f>
        <v>2.0299999999999999E-2</v>
      </c>
      <c r="DV263" s="623">
        <f>+Drivers!DV435</f>
        <v>2.18E-2</v>
      </c>
      <c r="DW263" s="623">
        <f>+Drivers!DW435</f>
        <v>2.2700000000000001E-2</v>
      </c>
      <c r="DX263" s="623">
        <f>+Drivers!DX435</f>
        <v>1.95E-2</v>
      </c>
      <c r="DY263" s="623">
        <f>+Drivers!DY435</f>
        <v>2.1081565471836136E-2</v>
      </c>
      <c r="DZ263" s="623">
        <f>+Drivers!DZ435</f>
        <v>1.84E-2</v>
      </c>
      <c r="EA263" s="623">
        <f>+Drivers!EA435</f>
        <v>1.6299999999999999E-2</v>
      </c>
      <c r="EB263" s="623">
        <f>+Drivers!EB435</f>
        <v>1.8100000000000002E-2</v>
      </c>
      <c r="EC263" s="623">
        <f>+Drivers!EC435</f>
        <v>1.67E-2</v>
      </c>
      <c r="ED263" s="623">
        <f>+Drivers!ED435</f>
        <v>1.7379665053963527E-2</v>
      </c>
      <c r="EE263" s="623">
        <f>+Drivers!EE435</f>
        <v>1.4500000000000001E-2</v>
      </c>
      <c r="EF263" s="623">
        <f>+Drivers!EF435</f>
        <v>1.54E-2</v>
      </c>
      <c r="EG263" s="623">
        <f>+Drivers!EG435</f>
        <v>1.6400000000000001E-2</v>
      </c>
      <c r="EH263" s="623">
        <f>+Drivers!EH435</f>
        <v>1.4500000000000001E-2</v>
      </c>
      <c r="EI263" s="623">
        <f>+Drivers!EI435</f>
        <v>1.5198142535167485E-2</v>
      </c>
      <c r="EJ263" s="623">
        <f>+Drivers!EJ435</f>
        <v>1.35E-2</v>
      </c>
      <c r="EK263" s="623">
        <f>+Drivers!EK435</f>
        <v>1.5299999999999999E-2</v>
      </c>
      <c r="EL263" s="623">
        <f>+Drivers!EL435</f>
        <v>1.7600000000000001E-2</v>
      </c>
      <c r="EM263" s="623">
        <f>+Drivers!EM435</f>
        <v>1.5299999999999999E-2</v>
      </c>
      <c r="EN263" s="623">
        <f>+Drivers!EN435</f>
        <v>1.5424155124653741E-2</v>
      </c>
      <c r="EO263" s="623">
        <f>+Drivers!EO435</f>
        <v>1.43E-2</v>
      </c>
      <c r="EP263" s="623">
        <f>+Drivers!EP435</f>
        <v>1.5299999999999999E-2</v>
      </c>
      <c r="EQ263" s="623">
        <f>+Drivers!EQ435</f>
        <v>1.7000000000000001E-2</v>
      </c>
      <c r="ER263" s="623">
        <f>+Drivers!ER435</f>
        <v>1.43E-2</v>
      </c>
      <c r="ES263" s="623">
        <f>+Drivers!ES435</f>
        <v>1.5225299568621184E-2</v>
      </c>
      <c r="ET263" s="623">
        <f>+Drivers!ET435</f>
        <v>1.47E-2</v>
      </c>
      <c r="EU263" s="623">
        <f>+Drivers!EU435</f>
        <v>1.6500000000000001E-2</v>
      </c>
      <c r="EV263" s="623">
        <f>+Drivers!EV435</f>
        <v>1.7999999999999999E-2</v>
      </c>
      <c r="EW263" s="623">
        <f>+Drivers!EW435</f>
        <v>1.6799999999999999E-2</v>
      </c>
      <c r="EX263" s="623">
        <f>+Drivers!EX435</f>
        <v>1.650409556313993E-2</v>
      </c>
      <c r="EY263" s="623">
        <f>+Drivers!EY435</f>
        <v>1.650409556313993E-2</v>
      </c>
      <c r="EZ263" s="623">
        <f>+Drivers!EZ435</f>
        <v>1.650409556313993E-2</v>
      </c>
      <c r="FA263" s="623">
        <f>+Drivers!FA435</f>
        <v>1.650409556313993E-2</v>
      </c>
      <c r="FB263" s="623">
        <f>+Drivers!FB435</f>
        <v>1.650409556313993E-2</v>
      </c>
      <c r="FC263" s="623">
        <f>+Drivers!FC435</f>
        <v>1.650409556313993E-2</v>
      </c>
      <c r="FD263" s="623">
        <f>+Drivers!FD435</f>
        <v>1.650409556313993E-2</v>
      </c>
      <c r="FE263" s="623">
        <f>+Drivers!FE435</f>
        <v>1.650409556313993E-2</v>
      </c>
      <c r="FF263" s="623">
        <f>+Drivers!FF435</f>
        <v>1.650409556313993E-2</v>
      </c>
      <c r="FG263" s="623">
        <f>+Drivers!FG435</f>
        <v>1.650409556313993E-2</v>
      </c>
      <c r="FH263" s="623">
        <f>+Drivers!FH435</f>
        <v>1.650409556313993E-2</v>
      </c>
      <c r="FI263" s="623">
        <f>+Drivers!FI435</f>
        <v>1.650409556313993E-2</v>
      </c>
    </row>
    <row r="264" spans="1:165" x14ac:dyDescent="0.3">
      <c r="A264" s="330" t="s">
        <v>3634</v>
      </c>
      <c r="DU264" s="623">
        <f>Drivers!DU401</f>
        <v>0</v>
      </c>
      <c r="DV264" s="623">
        <f>Drivers!DV401</f>
        <v>2.6741878809609178E-2</v>
      </c>
      <c r="DW264" s="623">
        <f>Drivers!DW401</f>
        <v>2.7590327272727273E-2</v>
      </c>
      <c r="DX264" s="623">
        <f>Drivers!DX401</f>
        <v>2.3651703703703703E-2</v>
      </c>
      <c r="DY264" s="623">
        <f>Drivers!DY401</f>
        <v>2.5985306977591549E-2</v>
      </c>
      <c r="DZ264" s="623">
        <f>Drivers!DZ401</f>
        <v>2.1071095613874106E-2</v>
      </c>
      <c r="EA264" s="623">
        <f>Drivers!EA401</f>
        <v>1.7903313766332134E-2</v>
      </c>
      <c r="EB264" s="623">
        <f>Drivers!EB401</f>
        <v>1.961776340813998E-2</v>
      </c>
      <c r="EC264" s="623">
        <f>Drivers!EC401</f>
        <v>1.7669086740542607E-2</v>
      </c>
      <c r="ED264" s="623">
        <f>Drivers!ED401</f>
        <v>1.9257917261055635E-2</v>
      </c>
      <c r="EE264" s="623">
        <f>Drivers!EE401</f>
        <v>1.5020863584256782E-2</v>
      </c>
      <c r="EF264" s="623">
        <f>Drivers!EF401</f>
        <v>1.5992720232333012E-2</v>
      </c>
      <c r="EG264" s="623">
        <f>Drivers!EG401</f>
        <v>1.7211405216037371E-2</v>
      </c>
      <c r="EH264" s="623">
        <f>Drivers!EH401</f>
        <v>1.5017982799061767E-2</v>
      </c>
      <c r="EI264" s="623">
        <f>Drivers!EI401</f>
        <v>1.5878114969360958E-2</v>
      </c>
      <c r="EJ264" s="623">
        <f>Drivers!EJ401</f>
        <v>1.3487919332945511E-2</v>
      </c>
      <c r="EK264" s="623">
        <f>Drivers!EK401</f>
        <v>1.5760402944595121E-2</v>
      </c>
      <c r="EL264" s="623">
        <f>Drivers!EL401</f>
        <v>1.790895436164067E-2</v>
      </c>
      <c r="EM264" s="623">
        <f>Drivers!EM401</f>
        <v>1.5591551459293395E-2</v>
      </c>
      <c r="EN264" s="623">
        <f>Drivers!EN401</f>
        <v>1.5675718418514947E-2</v>
      </c>
      <c r="EO264" s="623">
        <f>Drivers!EO401</f>
        <v>1.4161642251349268E-2</v>
      </c>
      <c r="EP264" s="623">
        <f>Drivers!EP401</f>
        <v>1.5787499999999999E-2</v>
      </c>
      <c r="EQ264" s="623">
        <f>Drivers!EQ401</f>
        <v>1.7199320241691841E-2</v>
      </c>
      <c r="ER264" s="623">
        <f>Drivers!ER401</f>
        <v>1.4198232085762647E-2</v>
      </c>
      <c r="ES264" s="623">
        <f>Drivers!ES401</f>
        <v>1.5270560438521879E-2</v>
      </c>
      <c r="ET264" s="623">
        <f>Drivers!ET401</f>
        <v>1.4724257239563747E-2</v>
      </c>
      <c r="EU264" s="623">
        <f>Drivers!EU401</f>
        <v>1.5846963562753037E-2</v>
      </c>
      <c r="EV264" s="623">
        <f>Drivers!EV401</f>
        <v>1.7312055192447346E-2</v>
      </c>
      <c r="EW264" s="623">
        <f>Drivers!EW401</f>
        <v>1.6141897445059856E-2</v>
      </c>
      <c r="EX264" s="623">
        <f>Drivers!EX401</f>
        <v>1.5869685431964466E-2</v>
      </c>
      <c r="EY264" s="623">
        <f>Drivers!EY401</f>
        <v>1.5127322424024474E-2</v>
      </c>
      <c r="EZ264" s="623">
        <f>Drivers!EZ401</f>
        <v>1.6058937377646975E-2</v>
      </c>
      <c r="FA264" s="623">
        <f>Drivers!FA401</f>
        <v>1.7357322498015026E-2</v>
      </c>
      <c r="FB264" s="623">
        <f>Drivers!FB401</f>
        <v>1.5916407811170371E-2</v>
      </c>
      <c r="FC264" s="623">
        <f>Drivers!FC401</f>
        <v>1.5881728159536156E-2</v>
      </c>
      <c r="FD264" s="623">
        <f>Drivers!FD401</f>
        <v>1.6074210600107622E-2</v>
      </c>
      <c r="FE264" s="623">
        <f>Drivers!FE401</f>
        <v>1.5500180925058659E-2</v>
      </c>
      <c r="FF264" s="623">
        <f>Drivers!FF401</f>
        <v>1.5033754015326917E-2</v>
      </c>
      <c r="FG264" s="623">
        <f>Drivers!FG401</f>
        <v>1.4658909635268625E-2</v>
      </c>
      <c r="FH264" s="623">
        <f>Drivers!FH401</f>
        <v>1.4384801375673717E-2</v>
      </c>
      <c r="FI264" s="623">
        <f>Drivers!FI401</f>
        <v>1.4184873308998756E-2</v>
      </c>
    </row>
    <row r="265" spans="1:165" ht="13" x14ac:dyDescent="0.3">
      <c r="A265" s="326" t="s">
        <v>3712</v>
      </c>
    </row>
    <row r="266" spans="1:165" x14ac:dyDescent="0.3">
      <c r="A266" s="334" t="s">
        <v>3713</v>
      </c>
    </row>
    <row r="267" spans="1:165" ht="13" x14ac:dyDescent="0.3">
      <c r="A267" s="326"/>
    </row>
    <row r="268" spans="1:165" ht="13" x14ac:dyDescent="0.3">
      <c r="A268" s="335" t="s">
        <v>198</v>
      </c>
    </row>
    <row r="269" spans="1:165" x14ac:dyDescent="0.3">
      <c r="A269" s="334" t="s">
        <v>2651</v>
      </c>
    </row>
    <row r="270" spans="1:165" x14ac:dyDescent="0.3">
      <c r="A270" s="334" t="s">
        <v>3714</v>
      </c>
    </row>
    <row r="271" spans="1:165" x14ac:dyDescent="0.3">
      <c r="A271" s="334" t="s">
        <v>3713</v>
      </c>
    </row>
    <row r="272" spans="1:165" x14ac:dyDescent="0.3">
      <c r="A272" s="327" t="s">
        <v>3715</v>
      </c>
    </row>
    <row r="273" spans="1:1" x14ac:dyDescent="0.3">
      <c r="A273" s="334" t="s">
        <v>3716</v>
      </c>
    </row>
    <row r="274" spans="1:1" x14ac:dyDescent="0.3">
      <c r="A274" s="334" t="s">
        <v>3717</v>
      </c>
    </row>
    <row r="275" spans="1:1" x14ac:dyDescent="0.3">
      <c r="A275" s="327" t="s">
        <v>504</v>
      </c>
    </row>
    <row r="276" spans="1:1" ht="13" x14ac:dyDescent="0.3">
      <c r="A276" s="326" t="s">
        <v>3718</v>
      </c>
    </row>
    <row r="277" spans="1:1" ht="13" x14ac:dyDescent="0.3">
      <c r="A277" s="326"/>
    </row>
    <row r="278" spans="1:1" ht="13" x14ac:dyDescent="0.3">
      <c r="A278" s="326"/>
    </row>
    <row r="279" spans="1:1" ht="13" x14ac:dyDescent="0.3">
      <c r="A279" s="326"/>
    </row>
    <row r="280" spans="1:1" ht="13" x14ac:dyDescent="0.3">
      <c r="A280" s="336" t="s">
        <v>3719</v>
      </c>
    </row>
    <row r="281" spans="1:1" ht="13" x14ac:dyDescent="0.3">
      <c r="A281" s="337" t="s">
        <v>44</v>
      </c>
    </row>
    <row r="282" spans="1:1" ht="13" x14ac:dyDescent="0.3">
      <c r="A282" s="337" t="s">
        <v>2552</v>
      </c>
    </row>
    <row r="283" spans="1:1" x14ac:dyDescent="0.3">
      <c r="A283" s="338" t="s">
        <v>3720</v>
      </c>
    </row>
    <row r="284" spans="1:1" x14ac:dyDescent="0.3">
      <c r="A284" s="338" t="s">
        <v>3721</v>
      </c>
    </row>
    <row r="285" spans="1:1" x14ac:dyDescent="0.3">
      <c r="A285" s="338" t="s">
        <v>3722</v>
      </c>
    </row>
    <row r="286" spans="1:1" x14ac:dyDescent="0.3">
      <c r="A286" s="338" t="s">
        <v>3723</v>
      </c>
    </row>
    <row r="287" spans="1:1" x14ac:dyDescent="0.3">
      <c r="A287" s="338" t="s">
        <v>3724</v>
      </c>
    </row>
    <row r="288" spans="1:1" x14ac:dyDescent="0.3">
      <c r="A288" s="338" t="s">
        <v>3725</v>
      </c>
    </row>
    <row r="289" spans="1:1" x14ac:dyDescent="0.3">
      <c r="A289" s="338" t="s">
        <v>3726</v>
      </c>
    </row>
    <row r="290" spans="1:1" x14ac:dyDescent="0.3">
      <c r="A290" s="338" t="s">
        <v>3727</v>
      </c>
    </row>
    <row r="291" spans="1:1" x14ac:dyDescent="0.3">
      <c r="A291" s="338" t="s">
        <v>3728</v>
      </c>
    </row>
    <row r="292" spans="1:1" x14ac:dyDescent="0.3">
      <c r="A292" s="339" t="s">
        <v>3729</v>
      </c>
    </row>
    <row r="293" spans="1:1" ht="13" x14ac:dyDescent="0.3">
      <c r="A293" s="326"/>
    </row>
    <row r="294" spans="1:1" ht="13" x14ac:dyDescent="0.3">
      <c r="A294" s="326"/>
    </row>
    <row r="295" spans="1:1" ht="13" x14ac:dyDescent="0.3">
      <c r="A295" s="326"/>
    </row>
    <row r="296" spans="1:1" ht="13" x14ac:dyDescent="0.3">
      <c r="A296" s="326"/>
    </row>
    <row r="297" spans="1:1" ht="13" x14ac:dyDescent="0.3">
      <c r="A297" s="326"/>
    </row>
    <row r="298" spans="1:1" ht="13" x14ac:dyDescent="0.3">
      <c r="A298" s="326"/>
    </row>
    <row r="299" spans="1:1" ht="13" x14ac:dyDescent="0.3">
      <c r="A299" s="326"/>
    </row>
    <row r="300" spans="1:1" ht="13" x14ac:dyDescent="0.3">
      <c r="A300" s="326" t="s">
        <v>3730</v>
      </c>
    </row>
    <row r="301" spans="1:1" ht="13" x14ac:dyDescent="0.3">
      <c r="A301" s="326" t="s">
        <v>3731</v>
      </c>
    </row>
    <row r="302" spans="1:1" ht="13" x14ac:dyDescent="0.3">
      <c r="A302" s="326" t="s">
        <v>3732</v>
      </c>
    </row>
    <row r="303" spans="1:1" ht="13" x14ac:dyDescent="0.3">
      <c r="A303" s="326"/>
    </row>
    <row r="304" spans="1:1" ht="13" x14ac:dyDescent="0.3">
      <c r="A304" s="326" t="s">
        <v>3733</v>
      </c>
    </row>
    <row r="305" spans="1:1" ht="13" x14ac:dyDescent="0.3">
      <c r="A305" s="326" t="s">
        <v>3734</v>
      </c>
    </row>
    <row r="306" spans="1:1" ht="13" x14ac:dyDescent="0.3">
      <c r="A306" s="326" t="s">
        <v>3735</v>
      </c>
    </row>
    <row r="307" spans="1:1" ht="13" x14ac:dyDescent="0.3">
      <c r="A307" s="326"/>
    </row>
    <row r="308" spans="1:1" ht="13" x14ac:dyDescent="0.3">
      <c r="A308" s="326" t="s">
        <v>3736</v>
      </c>
    </row>
    <row r="309" spans="1:1" ht="13" x14ac:dyDescent="0.3">
      <c r="A309" s="326" t="s">
        <v>3737</v>
      </c>
    </row>
    <row r="310" spans="1:1" ht="13" x14ac:dyDescent="0.3">
      <c r="A310" s="326" t="s">
        <v>3738</v>
      </c>
    </row>
    <row r="311" spans="1:1" ht="13" x14ac:dyDescent="0.3">
      <c r="A311" s="326"/>
    </row>
    <row r="312" spans="1:1" ht="13" x14ac:dyDescent="0.3">
      <c r="A312" s="326" t="s">
        <v>3739</v>
      </c>
    </row>
    <row r="313" spans="1:1" ht="13" x14ac:dyDescent="0.3">
      <c r="A313" s="326" t="s">
        <v>3740</v>
      </c>
    </row>
    <row r="314" spans="1:1" ht="13" x14ac:dyDescent="0.3">
      <c r="A314" s="326" t="s">
        <v>3741</v>
      </c>
    </row>
    <row r="315" spans="1:1" ht="13" x14ac:dyDescent="0.3">
      <c r="A315" s="326"/>
    </row>
    <row r="316" spans="1:1" ht="13" x14ac:dyDescent="0.3">
      <c r="A316" s="326"/>
    </row>
    <row r="317" spans="1:1" ht="13" x14ac:dyDescent="0.3">
      <c r="A317" s="340" t="s">
        <v>3742</v>
      </c>
    </row>
    <row r="318" spans="1:1" ht="13" x14ac:dyDescent="0.3">
      <c r="A318" s="340" t="s">
        <v>3743</v>
      </c>
    </row>
    <row r="319" spans="1:1" ht="13" x14ac:dyDescent="0.3">
      <c r="A319" s="340" t="s">
        <v>3744</v>
      </c>
    </row>
    <row r="320" spans="1:1" ht="13" x14ac:dyDescent="0.3">
      <c r="A320" s="326"/>
    </row>
    <row r="321" spans="1:1" ht="13" x14ac:dyDescent="0.3">
      <c r="A321" s="326" t="s">
        <v>3745</v>
      </c>
    </row>
    <row r="322" spans="1:1" ht="13" x14ac:dyDescent="0.3">
      <c r="A322" s="326" t="s">
        <v>3746</v>
      </c>
    </row>
    <row r="323" spans="1:1" ht="13" x14ac:dyDescent="0.3">
      <c r="A323" s="326" t="s">
        <v>3747</v>
      </c>
    </row>
    <row r="324" spans="1:1" ht="13" x14ac:dyDescent="0.3">
      <c r="A324" s="326"/>
    </row>
    <row r="325" spans="1:1" ht="13" x14ac:dyDescent="0.3">
      <c r="A325" s="326"/>
    </row>
    <row r="326" spans="1:1" ht="13" x14ac:dyDescent="0.3">
      <c r="A326" s="326"/>
    </row>
    <row r="327" spans="1:1" ht="13" x14ac:dyDescent="0.3">
      <c r="A327" s="326"/>
    </row>
    <row r="328" spans="1:1" ht="13" x14ac:dyDescent="0.3">
      <c r="A328" s="326"/>
    </row>
    <row r="329" spans="1:1" ht="13" x14ac:dyDescent="0.3">
      <c r="A329" s="326"/>
    </row>
    <row r="330" spans="1:1" ht="13" x14ac:dyDescent="0.3">
      <c r="A330" s="326"/>
    </row>
    <row r="331" spans="1:1" ht="13" x14ac:dyDescent="0.3">
      <c r="A331" s="326"/>
    </row>
    <row r="332" spans="1:1" ht="13" x14ac:dyDescent="0.3">
      <c r="A332" s="326"/>
    </row>
    <row r="333" spans="1:1" ht="13" x14ac:dyDescent="0.3">
      <c r="A333" s="326"/>
    </row>
    <row r="334" spans="1:1" ht="13" x14ac:dyDescent="0.3">
      <c r="A334" s="326"/>
    </row>
    <row r="335" spans="1:1" ht="13" x14ac:dyDescent="0.3">
      <c r="A335" s="326"/>
    </row>
    <row r="336" spans="1:1" ht="13" x14ac:dyDescent="0.3">
      <c r="A336" s="326"/>
    </row>
    <row r="337" spans="1:165" ht="13" x14ac:dyDescent="0.3">
      <c r="A337" s="326"/>
    </row>
    <row r="338" spans="1:165" ht="13" x14ac:dyDescent="0.3">
      <c r="A338" s="326"/>
    </row>
    <row r="339" spans="1:165" ht="13" x14ac:dyDescent="0.3">
      <c r="A339" s="326"/>
    </row>
    <row r="340" spans="1:165" x14ac:dyDescent="0.3">
      <c r="A340" s="341" t="s">
        <v>628</v>
      </c>
    </row>
    <row r="341" spans="1:165" x14ac:dyDescent="0.3">
      <c r="A341" s="342" t="s">
        <v>3748</v>
      </c>
      <c r="DU341" s="885">
        <f>Drivers!DU82</f>
        <v>3223</v>
      </c>
      <c r="DV341" s="885">
        <f>Drivers!DV82</f>
        <v>3223</v>
      </c>
      <c r="DW341" s="885">
        <f>Drivers!DW82</f>
        <v>3223</v>
      </c>
      <c r="DX341" s="885">
        <f>Drivers!DX82</f>
        <v>3223</v>
      </c>
      <c r="DY341" s="885">
        <f>Drivers!DY82</f>
        <v>3223</v>
      </c>
      <c r="DZ341" s="885">
        <f>Drivers!DZ82</f>
        <v>3223</v>
      </c>
      <c r="EA341" s="885">
        <f>Drivers!EA82</f>
        <v>3223</v>
      </c>
      <c r="EB341" s="885">
        <f>Drivers!EB82</f>
        <v>3223</v>
      </c>
      <c r="EC341" s="885">
        <f>Drivers!EC82</f>
        <v>3223</v>
      </c>
      <c r="ED341" s="885">
        <f>Drivers!ED82</f>
        <v>3223</v>
      </c>
      <c r="EE341" s="885">
        <f>Drivers!EE82</f>
        <v>3223</v>
      </c>
      <c r="EF341" s="885">
        <f>Drivers!EF82</f>
        <v>3223</v>
      </c>
      <c r="EG341" s="885">
        <f>Drivers!EG82</f>
        <v>3223</v>
      </c>
      <c r="EH341" s="885">
        <f>Drivers!EH82</f>
        <v>3223</v>
      </c>
      <c r="EI341" s="885">
        <f>Drivers!EI82</f>
        <v>3223</v>
      </c>
      <c r="EJ341" s="885">
        <f>Drivers!EJ82</f>
        <v>3223</v>
      </c>
      <c r="EK341" s="885">
        <f>Drivers!EK82</f>
        <v>3223</v>
      </c>
      <c r="EL341" s="885">
        <f>Drivers!EL82</f>
        <v>3223</v>
      </c>
      <c r="EM341" s="885">
        <f>Drivers!EM82</f>
        <v>3223</v>
      </c>
      <c r="EN341" s="885">
        <f>Drivers!EN82</f>
        <v>3223</v>
      </c>
      <c r="EO341" s="885">
        <f>Drivers!EO82</f>
        <v>3223</v>
      </c>
      <c r="EP341" s="885">
        <f>Drivers!EP82</f>
        <v>3223</v>
      </c>
      <c r="EQ341" s="885">
        <f>Drivers!EQ82</f>
        <v>3223</v>
      </c>
      <c r="ER341" s="885">
        <f>Drivers!ER82</f>
        <v>3223</v>
      </c>
      <c r="ES341" s="885">
        <f>Drivers!ES82</f>
        <v>3223</v>
      </c>
      <c r="ET341" s="885">
        <f>Drivers!ET82</f>
        <v>3223</v>
      </c>
      <c r="EU341" s="885">
        <f>Drivers!EU82</f>
        <v>3223</v>
      </c>
      <c r="EV341" s="885">
        <f>Drivers!EV82</f>
        <v>3223</v>
      </c>
      <c r="EW341" s="885">
        <f>Drivers!EW82</f>
        <v>3223</v>
      </c>
      <c r="EX341" s="885">
        <f>Drivers!EX82</f>
        <v>3223</v>
      </c>
      <c r="EY341" s="885">
        <f>Drivers!EY82</f>
        <v>3223</v>
      </c>
      <c r="EZ341" s="885">
        <f>Drivers!EZ82</f>
        <v>3223</v>
      </c>
      <c r="FA341" s="885">
        <f>Drivers!FA82</f>
        <v>3223</v>
      </c>
      <c r="FB341" s="885">
        <f>Drivers!FB82</f>
        <v>3223</v>
      </c>
      <c r="FC341" s="885">
        <f>Drivers!FC82</f>
        <v>3223</v>
      </c>
      <c r="FD341" s="885">
        <f>Drivers!FD82</f>
        <v>3223</v>
      </c>
      <c r="FE341" s="885">
        <f>Drivers!FE82</f>
        <v>3223</v>
      </c>
      <c r="FF341" s="885">
        <f>Drivers!FF82</f>
        <v>3223</v>
      </c>
      <c r="FG341" s="885">
        <f>Drivers!FG82</f>
        <v>3223</v>
      </c>
      <c r="FH341" s="885">
        <f>Drivers!FH82</f>
        <v>3223</v>
      </c>
      <c r="FI341" s="885">
        <f>Drivers!FI82</f>
        <v>3223</v>
      </c>
    </row>
    <row r="342" spans="1:165" x14ac:dyDescent="0.3">
      <c r="A342" s="343" t="s">
        <v>3749</v>
      </c>
      <c r="DU342" s="885">
        <f>Drivers!DU86</f>
        <v>0</v>
      </c>
      <c r="DV342" s="885">
        <f>Drivers!DV86</f>
        <v>0</v>
      </c>
      <c r="DW342" s="885">
        <f>Drivers!DW86</f>
        <v>0</v>
      </c>
      <c r="DX342" s="885">
        <f>Drivers!DX86</f>
        <v>0</v>
      </c>
      <c r="DY342" s="885">
        <f>Drivers!DY86</f>
        <v>0</v>
      </c>
      <c r="DZ342" s="885">
        <f>Drivers!DZ86</f>
        <v>9</v>
      </c>
      <c r="EA342" s="885">
        <f>Drivers!EA86</f>
        <v>17</v>
      </c>
      <c r="EB342" s="885">
        <f>Drivers!EB86</f>
        <v>26</v>
      </c>
      <c r="EC342" s="885">
        <f>Drivers!EC86</f>
        <v>86</v>
      </c>
      <c r="ED342" s="885">
        <f>Drivers!ED86</f>
        <v>86</v>
      </c>
      <c r="EE342" s="885">
        <f>Drivers!EE86</f>
        <v>190</v>
      </c>
      <c r="EF342" s="885">
        <f>Drivers!EF86</f>
        <v>347</v>
      </c>
      <c r="EG342" s="885">
        <f>Drivers!EG86</f>
        <v>532</v>
      </c>
      <c r="EH342" s="885">
        <f>Drivers!EH86</f>
        <v>724</v>
      </c>
      <c r="EI342" s="885">
        <f>Drivers!EI86</f>
        <v>724</v>
      </c>
      <c r="EJ342" s="885">
        <f>Drivers!EJ86</f>
        <v>935</v>
      </c>
      <c r="EK342" s="885">
        <f>Drivers!EK86</f>
        <v>1216</v>
      </c>
      <c r="EL342" s="885">
        <f>Drivers!EL86</f>
        <v>1567</v>
      </c>
      <c r="EM342" s="885">
        <f>Drivers!EM86</f>
        <v>1948</v>
      </c>
      <c r="EN342" s="885">
        <f>Drivers!EN86</f>
        <v>1948</v>
      </c>
      <c r="EO342" s="885">
        <f>Drivers!EO86</f>
        <v>2287</v>
      </c>
      <c r="EP342" s="885">
        <f>Drivers!EP86</f>
        <v>2603</v>
      </c>
      <c r="EQ342" s="885">
        <f>Drivers!EQ86</f>
        <v>2935</v>
      </c>
      <c r="ER342" s="885">
        <f>Drivers!ER86</f>
        <v>3268</v>
      </c>
      <c r="ES342" s="885">
        <f>Drivers!ES86</f>
        <v>3268</v>
      </c>
      <c r="ET342" s="885">
        <f>Drivers!ET86</f>
        <v>3590</v>
      </c>
      <c r="EU342" s="885">
        <f>Drivers!EU86</f>
        <v>3978</v>
      </c>
      <c r="EV342" s="885">
        <f>Drivers!EV86</f>
        <v>4359</v>
      </c>
      <c r="EW342" s="885">
        <f>Drivers!EW86</f>
        <v>4600</v>
      </c>
      <c r="EX342" s="885">
        <f>Drivers!EX86</f>
        <v>4600</v>
      </c>
      <c r="EY342" s="885">
        <f>Drivers!EY86</f>
        <v>4914.2642642642641</v>
      </c>
      <c r="EZ342" s="885">
        <f>Drivers!EZ86</f>
        <v>5292.9429429429429</v>
      </c>
      <c r="FA342" s="885">
        <f>Drivers!FA86</f>
        <v>5664.7897897897901</v>
      </c>
      <c r="FB342" s="885">
        <f>Drivers!FB86</f>
        <v>5900</v>
      </c>
      <c r="FC342" s="885">
        <f>Drivers!FC86</f>
        <v>5900</v>
      </c>
      <c r="FD342" s="885">
        <f>Drivers!FD86</f>
        <v>6800</v>
      </c>
      <c r="FE342" s="885">
        <f>Drivers!FE86</f>
        <v>6900.23</v>
      </c>
      <c r="FF342" s="885">
        <f>Drivers!FF86</f>
        <v>7001.4622999999992</v>
      </c>
      <c r="FG342" s="885">
        <f>Drivers!FG86</f>
        <v>7103.7069229999988</v>
      </c>
      <c r="FH342" s="885">
        <f>Drivers!FH86</f>
        <v>7206.9739922299987</v>
      </c>
      <c r="FI342" s="885">
        <f>Drivers!FI86</f>
        <v>7311.2737321522991</v>
      </c>
    </row>
    <row r="343" spans="1:165" x14ac:dyDescent="0.3">
      <c r="A343" s="342" t="s">
        <v>328</v>
      </c>
      <c r="DU343" s="885">
        <f>SUM(DU341:DU342)</f>
        <v>3223</v>
      </c>
      <c r="DV343" s="885">
        <f t="shared" ref="DV343:FI343" si="5">SUM(DV341:DV342)</f>
        <v>3223</v>
      </c>
      <c r="DW343" s="885">
        <f t="shared" si="5"/>
        <v>3223</v>
      </c>
      <c r="DX343" s="885">
        <f t="shared" si="5"/>
        <v>3223</v>
      </c>
      <c r="DY343" s="885">
        <f t="shared" si="5"/>
        <v>3223</v>
      </c>
      <c r="DZ343" s="885">
        <f t="shared" si="5"/>
        <v>3232</v>
      </c>
      <c r="EA343" s="885">
        <f t="shared" si="5"/>
        <v>3240</v>
      </c>
      <c r="EB343" s="885">
        <f t="shared" si="5"/>
        <v>3249</v>
      </c>
      <c r="EC343" s="885">
        <f t="shared" si="5"/>
        <v>3309</v>
      </c>
      <c r="ED343" s="885">
        <f t="shared" si="5"/>
        <v>3309</v>
      </c>
      <c r="EE343" s="885">
        <f t="shared" si="5"/>
        <v>3413</v>
      </c>
      <c r="EF343" s="885">
        <f t="shared" si="5"/>
        <v>3570</v>
      </c>
      <c r="EG343" s="885">
        <f t="shared" si="5"/>
        <v>3755</v>
      </c>
      <c r="EH343" s="885">
        <f t="shared" si="5"/>
        <v>3947</v>
      </c>
      <c r="EI343" s="885">
        <f t="shared" si="5"/>
        <v>3947</v>
      </c>
      <c r="EJ343" s="885">
        <f t="shared" si="5"/>
        <v>4158</v>
      </c>
      <c r="EK343" s="885">
        <f t="shared" si="5"/>
        <v>4439</v>
      </c>
      <c r="EL343" s="885">
        <f t="shared" si="5"/>
        <v>4790</v>
      </c>
      <c r="EM343" s="885">
        <f t="shared" si="5"/>
        <v>5171</v>
      </c>
      <c r="EN343" s="885">
        <f t="shared" si="5"/>
        <v>5171</v>
      </c>
      <c r="EO343" s="885">
        <f t="shared" ref="EO343:ER343" si="6">SUM(EO341:EO342)</f>
        <v>5510</v>
      </c>
      <c r="EP343" s="885">
        <f t="shared" si="6"/>
        <v>5826</v>
      </c>
      <c r="EQ343" s="885">
        <f t="shared" si="6"/>
        <v>6158</v>
      </c>
      <c r="ER343" s="885">
        <f t="shared" si="6"/>
        <v>6491</v>
      </c>
      <c r="ES343" s="885">
        <f t="shared" si="5"/>
        <v>6491</v>
      </c>
      <c r="ET343" s="885">
        <f t="shared" si="5"/>
        <v>6813</v>
      </c>
      <c r="EU343" s="885">
        <f t="shared" si="5"/>
        <v>7201</v>
      </c>
      <c r="EV343" s="885">
        <f t="shared" si="5"/>
        <v>7582</v>
      </c>
      <c r="EW343" s="885">
        <f t="shared" si="5"/>
        <v>7823</v>
      </c>
      <c r="EX343" s="885">
        <f t="shared" si="5"/>
        <v>7823</v>
      </c>
      <c r="EY343" s="885">
        <f t="shared" ref="EY343:FB343" si="7">SUM(EY341:EY342)</f>
        <v>8137.2642642642641</v>
      </c>
      <c r="EZ343" s="885">
        <f t="shared" si="7"/>
        <v>8515.9429429429438</v>
      </c>
      <c r="FA343" s="885">
        <f t="shared" si="7"/>
        <v>8887.7897897897892</v>
      </c>
      <c r="FB343" s="885">
        <f t="shared" si="7"/>
        <v>9123</v>
      </c>
      <c r="FC343" s="885">
        <f t="shared" si="5"/>
        <v>9123</v>
      </c>
      <c r="FD343" s="885">
        <f t="shared" si="5"/>
        <v>10023</v>
      </c>
      <c r="FE343" s="885">
        <f t="shared" si="5"/>
        <v>10123.23</v>
      </c>
      <c r="FF343" s="885">
        <f t="shared" si="5"/>
        <v>10224.462299999999</v>
      </c>
      <c r="FG343" s="885">
        <f t="shared" si="5"/>
        <v>10326.706922999998</v>
      </c>
      <c r="FH343" s="885">
        <f t="shared" si="5"/>
        <v>10429.97399223</v>
      </c>
      <c r="FI343" s="885">
        <f t="shared" si="5"/>
        <v>10534.273732152298</v>
      </c>
    </row>
    <row r="344" spans="1:165" x14ac:dyDescent="0.3">
      <c r="A344" s="342" t="s">
        <v>3750</v>
      </c>
      <c r="DU344" s="885">
        <f>Drivers!DU91</f>
        <v>0</v>
      </c>
      <c r="DV344" s="885">
        <f>Drivers!DV91</f>
        <v>0</v>
      </c>
      <c r="DW344" s="885">
        <f>Drivers!DW91</f>
        <v>0</v>
      </c>
      <c r="DX344" s="885">
        <f>Drivers!DX91</f>
        <v>0</v>
      </c>
      <c r="DY344" s="885">
        <f>Drivers!DY91</f>
        <v>0</v>
      </c>
      <c r="DZ344" s="885">
        <f>Drivers!DZ91</f>
        <v>9</v>
      </c>
      <c r="EA344" s="885">
        <f>Drivers!EA91</f>
        <v>8</v>
      </c>
      <c r="EB344" s="885">
        <f>Drivers!EB91</f>
        <v>9</v>
      </c>
      <c r="EC344" s="885">
        <f>Drivers!EC91</f>
        <v>60</v>
      </c>
      <c r="ED344" s="885">
        <f>Drivers!ED91</f>
        <v>86</v>
      </c>
      <c r="EE344" s="885">
        <f>Drivers!EE91</f>
        <v>104</v>
      </c>
      <c r="EF344" s="885">
        <f>Drivers!EF91</f>
        <v>157</v>
      </c>
      <c r="EG344" s="885">
        <f>Drivers!EG91</f>
        <v>185</v>
      </c>
      <c r="EH344" s="885">
        <f>Drivers!EH91</f>
        <v>192</v>
      </c>
      <c r="EI344" s="885">
        <f>Drivers!EI91</f>
        <v>638</v>
      </c>
      <c r="EJ344" s="885">
        <f>Drivers!EJ91</f>
        <v>211</v>
      </c>
      <c r="EK344" s="885">
        <f>Drivers!EK91</f>
        <v>281</v>
      </c>
      <c r="EL344" s="885">
        <f>Drivers!EL91</f>
        <v>351</v>
      </c>
      <c r="EM344" s="885">
        <f>Drivers!EM91</f>
        <v>381</v>
      </c>
      <c r="EN344" s="885">
        <f>Drivers!EN91</f>
        <v>1224</v>
      </c>
      <c r="EO344" s="885">
        <f>Drivers!EO91</f>
        <v>339</v>
      </c>
      <c r="EP344" s="885">
        <f>Drivers!EP91</f>
        <v>316</v>
      </c>
      <c r="EQ344" s="885">
        <f>Drivers!EQ91</f>
        <v>332</v>
      </c>
      <c r="ER344" s="885">
        <f>Drivers!ER91</f>
        <v>333</v>
      </c>
      <c r="ES344" s="885">
        <f>Drivers!ES91</f>
        <v>1320</v>
      </c>
      <c r="ET344" s="885">
        <f>Drivers!ET91</f>
        <v>322</v>
      </c>
      <c r="EU344" s="885">
        <f>Drivers!EU91</f>
        <v>388</v>
      </c>
      <c r="EV344" s="885">
        <f>Drivers!EV91</f>
        <v>381</v>
      </c>
      <c r="EW344" s="885">
        <f>Drivers!EW91</f>
        <v>241</v>
      </c>
      <c r="EX344" s="885">
        <f>Drivers!EX91</f>
        <v>1332</v>
      </c>
      <c r="EY344" s="885">
        <f>Drivers!EY91</f>
        <v>314.26426426426406</v>
      </c>
      <c r="EZ344" s="885">
        <f>Drivers!EZ91</f>
        <v>378.67867867867972</v>
      </c>
      <c r="FA344" s="885">
        <f>Drivers!FA91</f>
        <v>371.84684684684544</v>
      </c>
      <c r="FB344" s="885">
        <f>Drivers!FB91</f>
        <v>235.21021021021079</v>
      </c>
      <c r="FC344" s="885">
        <f>Drivers!FC91</f>
        <v>1300</v>
      </c>
      <c r="FD344" s="885">
        <f>Drivers!FD91</f>
        <v>900</v>
      </c>
      <c r="FE344" s="885">
        <f>Drivers!FE91</f>
        <v>100.22999999999956</v>
      </c>
      <c r="FF344" s="885">
        <f>Drivers!FF91</f>
        <v>101.23229999999967</v>
      </c>
      <c r="FG344" s="885">
        <f>Drivers!FG91</f>
        <v>102.24462299999868</v>
      </c>
      <c r="FH344" s="885">
        <f>Drivers!FH91</f>
        <v>103.26706923000165</v>
      </c>
      <c r="FI344" s="885">
        <f>Drivers!FI91</f>
        <v>104.29973992229861</v>
      </c>
    </row>
    <row r="345" spans="1:165" x14ac:dyDescent="0.3">
      <c r="A345" s="342"/>
    </row>
    <row r="346" spans="1:165" x14ac:dyDescent="0.3">
      <c r="A346" s="56" t="s">
        <v>334</v>
      </c>
      <c r="DU346" s="76">
        <f>Drivers!DU115</f>
        <v>1211</v>
      </c>
      <c r="DV346" s="76">
        <f>Drivers!DV115</f>
        <v>1201</v>
      </c>
      <c r="DW346" s="76">
        <f>Drivers!DW115</f>
        <v>1201</v>
      </c>
      <c r="DX346" s="76">
        <f>Drivers!DX115</f>
        <v>1205</v>
      </c>
      <c r="DY346" s="76">
        <f>Drivers!DY115</f>
        <v>1205</v>
      </c>
      <c r="DZ346" s="76">
        <f>Drivers!DZ115</f>
        <v>1215</v>
      </c>
      <c r="EA346" s="76">
        <f>Drivers!EA115</f>
        <v>1223</v>
      </c>
      <c r="EB346" s="76">
        <f>Drivers!EB115</f>
        <v>1229</v>
      </c>
      <c r="EC346" s="76">
        <f>Drivers!EC115</f>
        <v>1238</v>
      </c>
      <c r="ED346" s="76">
        <f>Drivers!ED115</f>
        <v>1238</v>
      </c>
      <c r="EE346" s="76">
        <f>Drivers!EE115</f>
        <v>1251</v>
      </c>
      <c r="EF346" s="76">
        <f>Drivers!EF115</f>
        <v>1263</v>
      </c>
      <c r="EG346" s="76">
        <f>Drivers!EG115</f>
        <v>1292</v>
      </c>
      <c r="EH346" s="76">
        <f>Drivers!EH115</f>
        <v>1336</v>
      </c>
      <c r="EI346" s="76">
        <f>Drivers!EI115</f>
        <v>1336</v>
      </c>
      <c r="EJ346" s="76">
        <f>Drivers!EJ115</f>
        <v>1388</v>
      </c>
      <c r="EK346" s="76">
        <f>Drivers!EK115</f>
        <v>1438</v>
      </c>
      <c r="EL346" s="76">
        <f>Drivers!EL115</f>
        <v>1502</v>
      </c>
      <c r="EM346" s="76">
        <f>Drivers!EM115</f>
        <v>1575</v>
      </c>
      <c r="EN346" s="76">
        <f>Drivers!EN115</f>
        <v>1575</v>
      </c>
      <c r="EO346" s="76">
        <f>Drivers!EO115</f>
        <v>1659</v>
      </c>
      <c r="EP346" s="76">
        <f>Drivers!EP115</f>
        <v>1722</v>
      </c>
      <c r="EQ346" s="76">
        <f>Drivers!EQ115</f>
        <v>1797</v>
      </c>
      <c r="ER346" s="76">
        <f>Drivers!ER115</f>
        <v>1878</v>
      </c>
      <c r="ES346" s="76">
        <f>Drivers!ES115</f>
        <v>1878</v>
      </c>
      <c r="ET346" s="76">
        <f>Drivers!ET115</f>
        <v>1963</v>
      </c>
      <c r="EU346" s="76">
        <f>Drivers!EU115</f>
        <v>2053</v>
      </c>
      <c r="EV346" s="76">
        <f>Drivers!EV115</f>
        <v>2157</v>
      </c>
      <c r="EW346" s="76">
        <f>Drivers!EW115</f>
        <v>2249</v>
      </c>
      <c r="EX346" s="76">
        <f>Drivers!EX115</f>
        <v>2249</v>
      </c>
      <c r="EY346" s="76">
        <f>Drivers!EY115</f>
        <v>2356.6917566895963</v>
      </c>
      <c r="EZ346" s="76">
        <f>Drivers!EZ115</f>
        <v>2463.6226605888755</v>
      </c>
      <c r="FA346" s="76">
        <f>Drivers!FA115</f>
        <v>2580.4655444675518</v>
      </c>
      <c r="FB346" s="76">
        <f>Drivers!FB115</f>
        <v>2702.2388610217558</v>
      </c>
      <c r="FC346" s="76">
        <f>Drivers!FC115</f>
        <v>2702.2388610217558</v>
      </c>
      <c r="FD346" s="76">
        <f>Drivers!FD115</f>
        <v>3183.9855180066493</v>
      </c>
      <c r="FE346" s="76">
        <f>Drivers!FE115</f>
        <v>3603.7155306006016</v>
      </c>
      <c r="FF346" s="76">
        <f>Drivers!FF115</f>
        <v>3913.6593195111532</v>
      </c>
      <c r="FG346" s="76">
        <f>Drivers!FG115</f>
        <v>4146.4920361528466</v>
      </c>
      <c r="FH346" s="76">
        <f>Drivers!FH115</f>
        <v>4309.6225586526334</v>
      </c>
      <c r="FI346" s="76">
        <f>Drivers!FI115</f>
        <v>4411.3970646733696</v>
      </c>
    </row>
    <row r="347" spans="1:165" x14ac:dyDescent="0.3">
      <c r="A347" s="1166" t="s">
        <v>343</v>
      </c>
      <c r="DU347" s="76">
        <f>Drivers!DU126</f>
        <v>649.33835274988496</v>
      </c>
      <c r="DV347" s="76">
        <f>Drivers!DV126</f>
        <v>607.64086809139405</v>
      </c>
      <c r="DW347" s="76">
        <f>Drivers!DW126</f>
        <v>559.72253300523982</v>
      </c>
      <c r="DX347" s="76">
        <f>Drivers!DX126</f>
        <v>522.0832204967993</v>
      </c>
      <c r="DY347" s="76">
        <f>Drivers!DY126</f>
        <v>522.0832204967993</v>
      </c>
      <c r="DZ347" s="76">
        <f>Drivers!DZ126</f>
        <v>489</v>
      </c>
      <c r="EA347" s="76">
        <f>Drivers!EA126</f>
        <v>461</v>
      </c>
      <c r="EB347" s="76">
        <f>Drivers!EB126</f>
        <v>426</v>
      </c>
      <c r="EC347" s="76">
        <f>Drivers!EC126</f>
        <v>400</v>
      </c>
      <c r="ED347" s="76">
        <f>Drivers!ED126</f>
        <v>400</v>
      </c>
      <c r="EE347" s="76">
        <f>Drivers!EE126</f>
        <v>373</v>
      </c>
      <c r="EF347" s="76">
        <f>Drivers!EF126</f>
        <v>349</v>
      </c>
      <c r="EG347" s="76">
        <f>Drivers!EG126</f>
        <v>329</v>
      </c>
      <c r="EH347" s="76">
        <f>Drivers!EH126</f>
        <v>315</v>
      </c>
      <c r="EI347" s="76">
        <f>Drivers!EI126</f>
        <v>315</v>
      </c>
      <c r="EJ347" s="76">
        <f>Drivers!EJ126</f>
        <v>302</v>
      </c>
      <c r="EK347" s="76">
        <f>Drivers!EK126</f>
        <v>283</v>
      </c>
      <c r="EL347" s="76">
        <f>Drivers!EL126</f>
        <v>270</v>
      </c>
      <c r="EM347" s="76">
        <f>Drivers!EM126</f>
        <v>259</v>
      </c>
      <c r="EN347" s="76">
        <f>Drivers!EN126</f>
        <v>259</v>
      </c>
      <c r="EO347" s="76">
        <f>Drivers!EO126</f>
        <v>244</v>
      </c>
      <c r="EP347" s="76">
        <f>Drivers!EP126</f>
        <v>230</v>
      </c>
      <c r="EQ347" s="76">
        <f>Drivers!EQ126</f>
        <v>215</v>
      </c>
      <c r="ER347" s="76">
        <f>Drivers!ER126</f>
        <v>203</v>
      </c>
      <c r="ES347" s="76">
        <f>Drivers!ES126</f>
        <v>203</v>
      </c>
      <c r="ET347" s="76">
        <f>Drivers!ET126</f>
        <v>193</v>
      </c>
      <c r="EU347" s="76">
        <f>Drivers!EU126</f>
        <v>180</v>
      </c>
      <c r="EV347" s="76">
        <f>Drivers!EV126</f>
        <v>167</v>
      </c>
      <c r="EW347" s="76">
        <f>Drivers!EW126</f>
        <v>156</v>
      </c>
      <c r="EX347" s="76">
        <f>Drivers!EX126</f>
        <v>156</v>
      </c>
      <c r="EY347" s="76">
        <f>Drivers!EY126</f>
        <v>148.3152709359606</v>
      </c>
      <c r="EZ347" s="76">
        <f>Drivers!EZ126</f>
        <v>138.32512315270935</v>
      </c>
      <c r="FA347" s="76">
        <f>Drivers!FA126</f>
        <v>128.33497536945814</v>
      </c>
      <c r="FB347" s="76">
        <f>Drivers!FB126</f>
        <v>119.88177339901479</v>
      </c>
      <c r="FC347" s="76">
        <f>Drivers!FC126</f>
        <v>119.88177339901479</v>
      </c>
      <c r="FD347" s="76">
        <f>Drivers!FD126</f>
        <v>89.548296415145643</v>
      </c>
      <c r="FE347" s="76">
        <f>Drivers!FE126</f>
        <v>66.890046447383355</v>
      </c>
      <c r="FF347" s="76">
        <f>Drivers!FF126</f>
        <v>49.964974129606674</v>
      </c>
      <c r="FG347" s="76">
        <f>Drivers!FG126</f>
        <v>37.322423475009018</v>
      </c>
      <c r="FH347" s="76">
        <f>Drivers!FH126</f>
        <v>27.878795462489911</v>
      </c>
      <c r="FI347" s="76">
        <f>Drivers!FI126</f>
        <v>20.824672249908346</v>
      </c>
    </row>
    <row r="348" spans="1:165" x14ac:dyDescent="0.3">
      <c r="A348" s="1167" t="s">
        <v>349</v>
      </c>
      <c r="DU348" s="76">
        <f>Drivers!DU138</f>
        <v>99.266607214649042</v>
      </c>
      <c r="DV348" s="76">
        <f>Drivers!DV138</f>
        <v>99.350366373999023</v>
      </c>
      <c r="DW348" s="76">
        <f>Drivers!DW138</f>
        <v>98.436273204101568</v>
      </c>
      <c r="DX348" s="76">
        <f>Drivers!DX138</f>
        <v>98.524382773437495</v>
      </c>
      <c r="DY348" s="76">
        <f>Drivers!DY138</f>
        <v>98.524382773437495</v>
      </c>
      <c r="DZ348" s="76">
        <f>Drivers!DZ138</f>
        <v>97.614751562500004</v>
      </c>
      <c r="EA348" s="76">
        <f>Drivers!EA138</f>
        <v>96.707437499999997</v>
      </c>
      <c r="EB348" s="76">
        <f>Drivers!EB138</f>
        <v>97.802499999999995</v>
      </c>
      <c r="EC348" s="76">
        <f>Drivers!EC138</f>
        <v>98.9</v>
      </c>
      <c r="ED348" s="76">
        <f>Drivers!ED138</f>
        <v>98.9</v>
      </c>
      <c r="EE348" s="76">
        <f>Drivers!EE138</f>
        <v>99</v>
      </c>
      <c r="EF348" s="76">
        <f>Drivers!EF138</f>
        <v>100</v>
      </c>
      <c r="EG348" s="76">
        <f>Drivers!EG138</f>
        <v>100</v>
      </c>
      <c r="EH348" s="76">
        <f>Drivers!EH138</f>
        <v>101</v>
      </c>
      <c r="EI348" s="76">
        <f>Drivers!EI138</f>
        <v>101</v>
      </c>
      <c r="EJ348" s="76">
        <f>Drivers!EJ138</f>
        <v>104</v>
      </c>
      <c r="EK348" s="76">
        <f>Drivers!EK138</f>
        <v>108</v>
      </c>
      <c r="EL348" s="76">
        <f>Drivers!EL138</f>
        <v>110</v>
      </c>
      <c r="EM348" s="76">
        <f>Drivers!EM138</f>
        <v>114</v>
      </c>
      <c r="EN348" s="76">
        <f>Drivers!EN138</f>
        <v>114</v>
      </c>
      <c r="EO348" s="76">
        <f>Drivers!EO138</f>
        <v>118</v>
      </c>
      <c r="EP348" s="76">
        <f>Drivers!EP138</f>
        <v>122</v>
      </c>
      <c r="EQ348" s="76">
        <f>Drivers!EQ138</f>
        <v>126</v>
      </c>
      <c r="ER348" s="76">
        <f>Drivers!ER138</f>
        <v>129</v>
      </c>
      <c r="ES348" s="76">
        <f>Drivers!ES138</f>
        <v>129</v>
      </c>
      <c r="ET348" s="76">
        <f>Drivers!ET138</f>
        <v>132</v>
      </c>
      <c r="EU348" s="76">
        <f>Drivers!EU138</f>
        <v>134</v>
      </c>
      <c r="EV348" s="76">
        <f>Drivers!EV138</f>
        <v>138</v>
      </c>
      <c r="EW348" s="76">
        <f>Drivers!EW138</f>
        <v>143</v>
      </c>
      <c r="EX348" s="76">
        <f>Drivers!EX138</f>
        <v>143</v>
      </c>
      <c r="EY348" s="76">
        <f>Drivers!EY138</f>
        <v>147.55088138141747</v>
      </c>
      <c r="EZ348" s="76">
        <f>Drivers!EZ138</f>
        <v>150.72040787618391</v>
      </c>
      <c r="FA348" s="76">
        <f>Drivers!FA138</f>
        <v>156.33651561759376</v>
      </c>
      <c r="FB348" s="76">
        <f>Drivers!FB138</f>
        <v>162.98835875308487</v>
      </c>
      <c r="FC348" s="76">
        <f>Drivers!FC138</f>
        <v>162.98835875308487</v>
      </c>
      <c r="FD348" s="76">
        <f>Drivers!FD138</f>
        <v>187.58914365004199</v>
      </c>
      <c r="FE348" s="76">
        <f>Drivers!FE138</f>
        <v>213.54339308519684</v>
      </c>
      <c r="FF348" s="76">
        <f>Drivers!FF138</f>
        <v>240.11231387097365</v>
      </c>
      <c r="FG348" s="76">
        <f>Drivers!FG138</f>
        <v>267.61157418273967</v>
      </c>
      <c r="FH348" s="76">
        <f>Drivers!FH138</f>
        <v>296.34098580542775</v>
      </c>
      <c r="FI348" s="76">
        <f>Drivers!FI138</f>
        <v>326.59015140508797</v>
      </c>
    </row>
    <row r="349" spans="1:165" x14ac:dyDescent="0.3">
      <c r="A349" s="342" t="s">
        <v>355</v>
      </c>
      <c r="DU349" s="76">
        <f>Drivers!DU171</f>
        <v>1310.266607214649</v>
      </c>
      <c r="DV349" s="76">
        <f>Drivers!DV171</f>
        <v>1300.3503663739991</v>
      </c>
      <c r="DW349" s="76">
        <f>Drivers!DW171</f>
        <v>1299.4362732041016</v>
      </c>
      <c r="DX349" s="76">
        <f>Drivers!DX171</f>
        <v>1303.5243827734375</v>
      </c>
      <c r="DY349" s="76">
        <f>Drivers!DY171</f>
        <v>1303.5243827734375</v>
      </c>
      <c r="DZ349" s="76">
        <f>Drivers!DZ171</f>
        <v>1312.6147515625</v>
      </c>
      <c r="EA349" s="76">
        <f>Drivers!EA171</f>
        <v>1319.7074375</v>
      </c>
      <c r="EB349" s="76">
        <f>Drivers!EB171</f>
        <v>1326.8025</v>
      </c>
      <c r="EC349" s="76">
        <f>Drivers!EC171</f>
        <v>1336.9</v>
      </c>
      <c r="ED349" s="76">
        <f>Drivers!ED171</f>
        <v>1336.9</v>
      </c>
      <c r="EE349" s="76">
        <f>Drivers!EE171</f>
        <v>1350</v>
      </c>
      <c r="EF349" s="76">
        <f>Drivers!EF171</f>
        <v>1363</v>
      </c>
      <c r="EG349" s="76">
        <f>Drivers!EG171</f>
        <v>1392</v>
      </c>
      <c r="EH349" s="76">
        <f>Drivers!EH171</f>
        <v>1437</v>
      </c>
      <c r="EI349" s="76">
        <f>Drivers!EI171</f>
        <v>1437</v>
      </c>
      <c r="EJ349" s="76">
        <f>Drivers!EJ171</f>
        <v>1492</v>
      </c>
      <c r="EK349" s="76">
        <f>Drivers!EK171</f>
        <v>1546</v>
      </c>
      <c r="EL349" s="76">
        <f>Drivers!EL171</f>
        <v>1612</v>
      </c>
      <c r="EM349" s="76">
        <f>Drivers!EM171</f>
        <v>1689</v>
      </c>
      <c r="EN349" s="76">
        <f>Drivers!EN171</f>
        <v>1689</v>
      </c>
      <c r="EO349" s="76">
        <f>Drivers!EO171</f>
        <v>1777</v>
      </c>
      <c r="EP349" s="76">
        <f>Drivers!EP171</f>
        <v>1844</v>
      </c>
      <c r="EQ349" s="76">
        <f>Drivers!EQ171</f>
        <v>1923</v>
      </c>
      <c r="ER349" s="76">
        <f>Drivers!ER171</f>
        <v>2007</v>
      </c>
      <c r="ES349" s="76">
        <f>Drivers!ES171</f>
        <v>2007</v>
      </c>
      <c r="ET349" s="76">
        <f>Drivers!ET171</f>
        <v>2095</v>
      </c>
      <c r="EU349" s="76">
        <f>Drivers!EU171</f>
        <v>2187</v>
      </c>
      <c r="EV349" s="76">
        <f>Drivers!EV171</f>
        <v>2295</v>
      </c>
      <c r="EW349" s="76">
        <f>Drivers!EW171</f>
        <v>2392</v>
      </c>
      <c r="EX349" s="76">
        <f>Drivers!EX171</f>
        <v>2392</v>
      </c>
      <c r="EY349" s="76">
        <f>Drivers!EY171</f>
        <v>2504.242638071014</v>
      </c>
      <c r="EZ349" s="76">
        <f>Drivers!EZ171</f>
        <v>2614.3430684650593</v>
      </c>
      <c r="FA349" s="76">
        <f>Drivers!FA171</f>
        <v>2736.8020600851455</v>
      </c>
      <c r="FB349" s="76">
        <f>Drivers!FB171</f>
        <v>2865.2272197748407</v>
      </c>
      <c r="FC349" s="76">
        <f>Drivers!FC171</f>
        <v>2865.2272197748407</v>
      </c>
      <c r="FD349" s="76">
        <f>Drivers!FD171</f>
        <v>3371.5746616566912</v>
      </c>
      <c r="FE349" s="76">
        <f>Drivers!FE171</f>
        <v>3817.2589236857984</v>
      </c>
      <c r="FF349" s="76">
        <f>Drivers!FF171</f>
        <v>4153.7716333821272</v>
      </c>
      <c r="FG349" s="76">
        <f>Drivers!FG171</f>
        <v>4414.1036103355864</v>
      </c>
      <c r="FH349" s="76">
        <f>Drivers!FH171</f>
        <v>4605.9635444580608</v>
      </c>
      <c r="FI349" s="76">
        <f>Drivers!FI171</f>
        <v>4737.987216078458</v>
      </c>
    </row>
    <row r="350" spans="1:165" x14ac:dyDescent="0.3">
      <c r="A350" s="342"/>
    </row>
    <row r="351" spans="1:165" x14ac:dyDescent="0.3">
      <c r="A351" s="342" t="s">
        <v>1740</v>
      </c>
    </row>
    <row r="352" spans="1:165" x14ac:dyDescent="0.3">
      <c r="A352" s="56" t="s">
        <v>334</v>
      </c>
      <c r="DU352" s="76">
        <f>Drivers!DU117</f>
        <v>-7</v>
      </c>
      <c r="DV352" s="76">
        <f>Drivers!DV117</f>
        <v>-10</v>
      </c>
      <c r="DW352" s="76">
        <f>Drivers!DW117</f>
        <v>0</v>
      </c>
      <c r="DX352" s="76">
        <f>Drivers!DX117</f>
        <v>4</v>
      </c>
      <c r="DY352" s="76">
        <f>Drivers!DY117</f>
        <v>-13</v>
      </c>
      <c r="DZ352" s="76">
        <f>Drivers!DZ117</f>
        <v>10</v>
      </c>
      <c r="EA352" s="76">
        <f>Drivers!EA117</f>
        <v>8</v>
      </c>
      <c r="EB352" s="76">
        <f>Drivers!EB117</f>
        <v>6</v>
      </c>
      <c r="EC352" s="76">
        <f>Drivers!EC117</f>
        <v>9</v>
      </c>
      <c r="ED352" s="76">
        <f>Drivers!ED117</f>
        <v>33</v>
      </c>
      <c r="EE352" s="76">
        <f>Drivers!EE117</f>
        <v>13</v>
      </c>
      <c r="EF352" s="76">
        <f>Drivers!EF117</f>
        <v>12</v>
      </c>
      <c r="EG352" s="76">
        <f>Drivers!EG117</f>
        <v>29</v>
      </c>
      <c r="EH352" s="76">
        <f>Drivers!EH117</f>
        <v>44</v>
      </c>
      <c r="EI352" s="76">
        <f>Drivers!EI117</f>
        <v>98</v>
      </c>
      <c r="EJ352" s="76">
        <f>Drivers!EJ117</f>
        <v>52</v>
      </c>
      <c r="EK352" s="76">
        <f>Drivers!EK117</f>
        <v>50</v>
      </c>
      <c r="EL352" s="76">
        <f>Drivers!EL117</f>
        <v>64</v>
      </c>
      <c r="EM352" s="76">
        <f>Drivers!EM117</f>
        <v>73</v>
      </c>
      <c r="EN352" s="76">
        <f>Drivers!EN117</f>
        <v>239</v>
      </c>
      <c r="EO352" s="76">
        <f>Drivers!EO117</f>
        <v>84</v>
      </c>
      <c r="EP352" s="76">
        <f>Drivers!EP117</f>
        <v>63</v>
      </c>
      <c r="EQ352" s="76">
        <f>Drivers!EQ117</f>
        <v>75</v>
      </c>
      <c r="ER352" s="76">
        <f>Drivers!ER117</f>
        <v>81</v>
      </c>
      <c r="ES352" s="76">
        <f>Drivers!ES117</f>
        <v>303</v>
      </c>
      <c r="ET352" s="76">
        <f>Drivers!ET117</f>
        <v>85</v>
      </c>
      <c r="EU352" s="76">
        <f>Drivers!EU117</f>
        <v>90</v>
      </c>
      <c r="EV352" s="76">
        <f>Drivers!EV117</f>
        <v>104</v>
      </c>
      <c r="EW352" s="76">
        <f>Drivers!EW117</f>
        <v>92</v>
      </c>
      <c r="EX352" s="76">
        <f>Drivers!EX117</f>
        <v>371</v>
      </c>
      <c r="EY352" s="76">
        <f>Drivers!EY117</f>
        <v>107.69175668959633</v>
      </c>
      <c r="EZ352" s="76">
        <f>Drivers!EZ117</f>
        <v>106.9309038992792</v>
      </c>
      <c r="FA352" s="76">
        <f>Drivers!FA117</f>
        <v>116.84288387867628</v>
      </c>
      <c r="FB352" s="76">
        <f>Drivers!FB117</f>
        <v>121.77331655420403</v>
      </c>
      <c r="FC352" s="76">
        <f>Drivers!FC117</f>
        <v>453.23886102175584</v>
      </c>
      <c r="FD352" s="76">
        <f>Drivers!FD117</f>
        <v>481.74665698489343</v>
      </c>
      <c r="FE352" s="76">
        <f>Drivers!FE117</f>
        <v>419.73001259395232</v>
      </c>
      <c r="FF352" s="76">
        <f>Drivers!FF117</f>
        <v>309.94378891055158</v>
      </c>
      <c r="FG352" s="76">
        <f>Drivers!FG117</f>
        <v>232.83271664169342</v>
      </c>
      <c r="FH352" s="76">
        <f>Drivers!FH117</f>
        <v>163.13052249978682</v>
      </c>
      <c r="FI352" s="76">
        <f>Drivers!FI117</f>
        <v>101.77450602073623</v>
      </c>
    </row>
    <row r="353" spans="1:165" x14ac:dyDescent="0.3">
      <c r="A353" s="1166" t="s">
        <v>343</v>
      </c>
      <c r="DU353" s="76">
        <f>Drivers!DU128</f>
        <v>-44.966389974556705</v>
      </c>
      <c r="DV353" s="76">
        <f>Drivers!DV128</f>
        <v>-41.697484658490907</v>
      </c>
      <c r="DW353" s="76">
        <f>Drivers!DW128</f>
        <v>-47.918335086154229</v>
      </c>
      <c r="DX353" s="76">
        <f>Drivers!DX128</f>
        <v>-37.639312508440526</v>
      </c>
      <c r="DY353" s="76">
        <f>Drivers!DY128</f>
        <v>-172.22152222764237</v>
      </c>
      <c r="DZ353" s="76">
        <f>Drivers!DZ128</f>
        <v>-30</v>
      </c>
      <c r="EA353" s="76">
        <f>Drivers!EA128</f>
        <v>-29</v>
      </c>
      <c r="EB353" s="76">
        <f>Drivers!EB128</f>
        <v>-34</v>
      </c>
      <c r="EC353" s="76">
        <f>Drivers!EC128</f>
        <v>-27</v>
      </c>
      <c r="ED353" s="76">
        <f>Drivers!ED128</f>
        <v>-120</v>
      </c>
      <c r="EE353" s="76">
        <f>Drivers!EE128</f>
        <v>-27</v>
      </c>
      <c r="EF353" s="76">
        <f>Drivers!EF128</f>
        <v>-24</v>
      </c>
      <c r="EG353" s="76">
        <f>Drivers!EG128</f>
        <v>-20</v>
      </c>
      <c r="EH353" s="76">
        <f>Drivers!EH128</f>
        <v>-14</v>
      </c>
      <c r="EI353" s="76">
        <f>Drivers!EI128</f>
        <v>-85</v>
      </c>
      <c r="EJ353" s="76">
        <f>Drivers!EJ128</f>
        <v>-13</v>
      </c>
      <c r="EK353" s="76">
        <f>Drivers!EK128</f>
        <v>-19</v>
      </c>
      <c r="EL353" s="76">
        <f>Drivers!EL128</f>
        <v>-13</v>
      </c>
      <c r="EM353" s="76">
        <f>Drivers!EM128</f>
        <v>-11</v>
      </c>
      <c r="EN353" s="76">
        <f>Drivers!EN128</f>
        <v>-56</v>
      </c>
      <c r="EO353" s="76">
        <f>Drivers!EO128</f>
        <v>-15</v>
      </c>
      <c r="EP353" s="76">
        <f>Drivers!EP128</f>
        <v>-14</v>
      </c>
      <c r="EQ353" s="76">
        <f>Drivers!EQ128</f>
        <v>-15</v>
      </c>
      <c r="ER353" s="76">
        <f>Drivers!ER128</f>
        <v>-12</v>
      </c>
      <c r="ES353" s="76">
        <f>Drivers!ES128</f>
        <v>-56</v>
      </c>
      <c r="ET353" s="76">
        <f>Drivers!ET128</f>
        <v>-10</v>
      </c>
      <c r="EU353" s="76">
        <f>Drivers!EU128</f>
        <v>-13</v>
      </c>
      <c r="EV353" s="76">
        <f>Drivers!EV128</f>
        <v>-13</v>
      </c>
      <c r="EW353" s="76">
        <f>Drivers!EW128</f>
        <v>-11</v>
      </c>
      <c r="EX353" s="76">
        <f>Drivers!EX128</f>
        <v>-47</v>
      </c>
      <c r="EY353" s="76">
        <f>Drivers!EY128</f>
        <v>-7.6847290640394021</v>
      </c>
      <c r="EZ353" s="76">
        <f>Drivers!EZ128</f>
        <v>-9.9901477832512455</v>
      </c>
      <c r="FA353" s="76">
        <f>Drivers!FA128</f>
        <v>-9.9901477832512171</v>
      </c>
      <c r="FB353" s="76">
        <f>Drivers!FB128</f>
        <v>-8.4532019704433452</v>
      </c>
      <c r="FC353" s="76">
        <f>Drivers!FC128</f>
        <v>-36.11822660098521</v>
      </c>
      <c r="FD353" s="76">
        <f>Drivers!FD128</f>
        <v>-30.333476983869147</v>
      </c>
      <c r="FE353" s="76">
        <f>Drivers!FE128</f>
        <v>-22.658249967762288</v>
      </c>
      <c r="FF353" s="76">
        <f>Drivers!FF128</f>
        <v>-16.925072317776682</v>
      </c>
      <c r="FG353" s="76">
        <f>Drivers!FG128</f>
        <v>-12.642550654597656</v>
      </c>
      <c r="FH353" s="76">
        <f>Drivers!FH128</f>
        <v>-9.4436280125191061</v>
      </c>
      <c r="FI353" s="76">
        <f>Drivers!FI128</f>
        <v>-7.0541232125815654</v>
      </c>
    </row>
    <row r="354" spans="1:165" x14ac:dyDescent="0.3">
      <c r="A354" s="1167" t="s">
        <v>349</v>
      </c>
      <c r="DU354" s="76">
        <f>Drivers!DU140</f>
        <v>0</v>
      </c>
      <c r="DV354" s="76">
        <f>Drivers!DV140</f>
        <v>8.3759159349980905E-2</v>
      </c>
      <c r="DW354" s="76">
        <f>Drivers!DW140</f>
        <v>-0.91409316989745548</v>
      </c>
      <c r="DX354" s="76">
        <f>Drivers!DX140</f>
        <v>8.8109569335927063E-2</v>
      </c>
      <c r="DY354" s="76">
        <f>Drivers!DY140</f>
        <v>-0.74222444121154751</v>
      </c>
      <c r="DZ354" s="76">
        <f>Drivers!DZ140</f>
        <v>-0.90963121093749066</v>
      </c>
      <c r="EA354" s="76">
        <f>Drivers!EA140</f>
        <v>-0.90731406250000646</v>
      </c>
      <c r="EB354" s="76">
        <f>Drivers!EB140</f>
        <v>1.0950624999999974</v>
      </c>
      <c r="EC354" s="76">
        <f>Drivers!EC140</f>
        <v>1.0975000000000108</v>
      </c>
      <c r="ED354" s="76">
        <f>Drivers!ED140</f>
        <v>0.37561722656251106</v>
      </c>
      <c r="EE354" s="76">
        <f>Drivers!EE140</f>
        <v>9.9999999999994316E-2</v>
      </c>
      <c r="EF354" s="76">
        <f>Drivers!EF140</f>
        <v>1</v>
      </c>
      <c r="EG354" s="76">
        <f>Drivers!EG140</f>
        <v>0</v>
      </c>
      <c r="EH354" s="76">
        <f>Drivers!EH140</f>
        <v>1</v>
      </c>
      <c r="EI354" s="76">
        <f>Drivers!EI140</f>
        <v>2.0999999999999943</v>
      </c>
      <c r="EJ354" s="76">
        <f>Drivers!EJ140</f>
        <v>3</v>
      </c>
      <c r="EK354" s="76">
        <f>Drivers!EK140</f>
        <v>4</v>
      </c>
      <c r="EL354" s="76">
        <f>Drivers!EL140</f>
        <v>2</v>
      </c>
      <c r="EM354" s="76">
        <f>Drivers!EM140</f>
        <v>4</v>
      </c>
      <c r="EN354" s="76">
        <f>Drivers!EN140</f>
        <v>13</v>
      </c>
      <c r="EO354" s="76">
        <f>Drivers!EO140</f>
        <v>4</v>
      </c>
      <c r="EP354" s="76">
        <f>Drivers!EP140</f>
        <v>4</v>
      </c>
      <c r="EQ354" s="76">
        <f>Drivers!EQ140</f>
        <v>4</v>
      </c>
      <c r="ER354" s="76">
        <f>Drivers!ER140</f>
        <v>3</v>
      </c>
      <c r="ES354" s="76">
        <f>Drivers!ES140</f>
        <v>15</v>
      </c>
      <c r="ET354" s="76">
        <f>Drivers!ET140</f>
        <v>3</v>
      </c>
      <c r="EU354" s="76">
        <f>Drivers!EU140</f>
        <v>2</v>
      </c>
      <c r="EV354" s="76">
        <f>Drivers!EV140</f>
        <v>4</v>
      </c>
      <c r="EW354" s="76">
        <f>Drivers!EW140</f>
        <v>5</v>
      </c>
      <c r="EX354" s="76">
        <f>Drivers!EX140</f>
        <v>14</v>
      </c>
      <c r="EY354" s="76">
        <f>Drivers!EY140</f>
        <v>4.5508813814174687</v>
      </c>
      <c r="EZ354" s="76">
        <f>Drivers!EZ140</f>
        <v>3.1695264947664441</v>
      </c>
      <c r="FA354" s="76">
        <f>Drivers!FA140</f>
        <v>5.6161077414098486</v>
      </c>
      <c r="FB354" s="76">
        <f>Drivers!FB140</f>
        <v>6.6518431354911058</v>
      </c>
      <c r="FC354" s="76">
        <f>Drivers!FC140</f>
        <v>19.988358753084867</v>
      </c>
      <c r="FD354" s="76">
        <f>Drivers!FD140</f>
        <v>24.600784896957123</v>
      </c>
      <c r="FE354" s="76">
        <f>Drivers!FE140</f>
        <v>25.95424943515485</v>
      </c>
      <c r="FF354" s="76">
        <f>Drivers!FF140</f>
        <v>26.568920785776811</v>
      </c>
      <c r="FG354" s="76">
        <f>Drivers!FG140</f>
        <v>27.499260311766022</v>
      </c>
      <c r="FH354" s="76">
        <f>Drivers!FH140</f>
        <v>28.729411622688076</v>
      </c>
      <c r="FI354" s="76">
        <f>Drivers!FI140</f>
        <v>30.249165599660216</v>
      </c>
    </row>
    <row r="355" spans="1:165" x14ac:dyDescent="0.3">
      <c r="A355" s="342" t="s">
        <v>355</v>
      </c>
      <c r="DU355" s="76">
        <f>Drivers!DU173</f>
        <v>-7</v>
      </c>
      <c r="DV355" s="76">
        <f>Drivers!DV173</f>
        <v>-9.9162408406498344</v>
      </c>
      <c r="DW355" s="76">
        <f>Drivers!DW173</f>
        <v>-0.91409316989756917</v>
      </c>
      <c r="DX355" s="76">
        <f>Drivers!DX173</f>
        <v>4.0881095693359839</v>
      </c>
      <c r="DY355" s="76">
        <f>Drivers!DY173</f>
        <v>-13.74222444121142</v>
      </c>
      <c r="DZ355" s="76">
        <f>Drivers!DZ173</f>
        <v>9.0903687890624951</v>
      </c>
      <c r="EA355" s="76">
        <f>Drivers!EA173</f>
        <v>7.0926859374999367</v>
      </c>
      <c r="EB355" s="76">
        <f>Drivers!EB173</f>
        <v>7.09506250000004</v>
      </c>
      <c r="EC355" s="76">
        <f>Drivers!EC173</f>
        <v>10.097500000000082</v>
      </c>
      <c r="ED355" s="76">
        <f>Drivers!ED173</f>
        <v>33.375617226562554</v>
      </c>
      <c r="EE355" s="76">
        <f>Drivers!EE173</f>
        <v>13.099999999999909</v>
      </c>
      <c r="EF355" s="76">
        <f>Drivers!EF173</f>
        <v>13</v>
      </c>
      <c r="EG355" s="76">
        <f>Drivers!EG173</f>
        <v>29</v>
      </c>
      <c r="EH355" s="76">
        <f>Drivers!EH173</f>
        <v>45</v>
      </c>
      <c r="EI355" s="76">
        <f>Drivers!EI173</f>
        <v>100.09999999999991</v>
      </c>
      <c r="EJ355" s="76">
        <f>Drivers!EJ173</f>
        <v>55</v>
      </c>
      <c r="EK355" s="76">
        <f>Drivers!EK173</f>
        <v>54</v>
      </c>
      <c r="EL355" s="76">
        <f>Drivers!EL173</f>
        <v>66</v>
      </c>
      <c r="EM355" s="76">
        <f>Drivers!EM173</f>
        <v>77</v>
      </c>
      <c r="EN355" s="76">
        <f>Drivers!EN173</f>
        <v>252</v>
      </c>
      <c r="EO355" s="76">
        <f>Drivers!EO173</f>
        <v>88</v>
      </c>
      <c r="EP355" s="76">
        <f>Drivers!EP173</f>
        <v>67</v>
      </c>
      <c r="EQ355" s="76">
        <f>Drivers!EQ173</f>
        <v>79</v>
      </c>
      <c r="ER355" s="76">
        <f>Drivers!ER173</f>
        <v>84</v>
      </c>
      <c r="ES355" s="76">
        <f>Drivers!ES173</f>
        <v>318</v>
      </c>
      <c r="ET355" s="76">
        <f>Drivers!ET173</f>
        <v>88</v>
      </c>
      <c r="EU355" s="76">
        <f>Drivers!EU173</f>
        <v>92</v>
      </c>
      <c r="EV355" s="76">
        <f>Drivers!EV173</f>
        <v>108</v>
      </c>
      <c r="EW355" s="76">
        <f>Drivers!EW173</f>
        <v>97</v>
      </c>
      <c r="EX355" s="76">
        <f>Drivers!EX173</f>
        <v>385</v>
      </c>
      <c r="EY355" s="76">
        <f>Drivers!EY173</f>
        <v>112.24263807101397</v>
      </c>
      <c r="EZ355" s="76">
        <f>Drivers!EZ173</f>
        <v>110.10043039404536</v>
      </c>
      <c r="FA355" s="76">
        <f>Drivers!FA173</f>
        <v>122.45899162008618</v>
      </c>
      <c r="FB355" s="76">
        <f>Drivers!FB173</f>
        <v>128.42515968969519</v>
      </c>
      <c r="FC355" s="76">
        <f>Drivers!FC173</f>
        <v>473.22721977484071</v>
      </c>
      <c r="FD355" s="76">
        <f>Drivers!FD173</f>
        <v>506.3474418818505</v>
      </c>
      <c r="FE355" s="76">
        <f>Drivers!FE173</f>
        <v>445.68426202910723</v>
      </c>
      <c r="FF355" s="76">
        <f>Drivers!FF173</f>
        <v>336.51270969632878</v>
      </c>
      <c r="FG355" s="76">
        <f>Drivers!FG173</f>
        <v>260.33197695345916</v>
      </c>
      <c r="FH355" s="76">
        <f>Drivers!FH173</f>
        <v>191.85993412247444</v>
      </c>
      <c r="FI355" s="76">
        <f>Drivers!FI173</f>
        <v>132.02367162039718</v>
      </c>
    </row>
    <row r="356" spans="1:165" x14ac:dyDescent="0.3">
      <c r="A356" s="342"/>
    </row>
    <row r="357" spans="1:165" x14ac:dyDescent="0.3">
      <c r="A357" s="342" t="s">
        <v>3751</v>
      </c>
      <c r="DU357" s="623">
        <f>Drivers!DU119</f>
        <v>2.7300000000000001E-2</v>
      </c>
      <c r="DV357" s="623">
        <f>Drivers!DV119</f>
        <v>2.76E-2</v>
      </c>
      <c r="DW357" s="623">
        <f>Drivers!DW119</f>
        <v>2.64E-2</v>
      </c>
      <c r="DX357" s="623">
        <f>Drivers!DX119</f>
        <v>2.2100000000000002E-2</v>
      </c>
      <c r="DY357" s="623">
        <f>Drivers!DY119</f>
        <v>2.5858724901676674E-2</v>
      </c>
      <c r="DZ357" s="623">
        <f>Drivers!DZ119</f>
        <v>1.9400000000000001E-2</v>
      </c>
      <c r="EA357" s="623">
        <f>Drivers!EA119</f>
        <v>1.52E-2</v>
      </c>
      <c r="EB357" s="623">
        <f>Drivers!EB119</f>
        <v>1.7999999999999999E-2</v>
      </c>
      <c r="EC357" s="623">
        <f>Drivers!EC119</f>
        <v>1.5599999999999999E-2</v>
      </c>
      <c r="ED357" s="623">
        <f>Drivers!ED119</f>
        <v>1.7042569786535306E-2</v>
      </c>
      <c r="EE357" s="623">
        <f>Drivers!EE119</f>
        <v>1.41E-2</v>
      </c>
      <c r="EF357" s="623">
        <f>Drivers!EF119</f>
        <v>1.5299999999999999E-2</v>
      </c>
      <c r="EG357" s="623">
        <f>Drivers!EG119</f>
        <v>1.5599999999999999E-2</v>
      </c>
      <c r="EH357" s="623">
        <f>Drivers!EH119</f>
        <v>1.32E-2</v>
      </c>
      <c r="EI357" s="623">
        <f>Drivers!EI119</f>
        <v>1.4542684377478195E-2</v>
      </c>
      <c r="EJ357" s="623">
        <f>Drivers!EJ119</f>
        <v>1.1900000000000001E-2</v>
      </c>
      <c r="EK357" s="623">
        <f>Drivers!EK119</f>
        <v>1.43E-2</v>
      </c>
      <c r="EL357" s="623">
        <f>Drivers!EL119</f>
        <v>1.6E-2</v>
      </c>
      <c r="EM357" s="623">
        <f>Drivers!EM119</f>
        <v>1.32E-2</v>
      </c>
      <c r="EN357" s="623">
        <f>Drivers!EN119</f>
        <v>1.3873799435028249E-2</v>
      </c>
      <c r="EO357" s="623">
        <f>Drivers!EO119</f>
        <v>1.2E-2</v>
      </c>
      <c r="EP357" s="623">
        <f>Drivers!EP119</f>
        <v>1.41E-2</v>
      </c>
      <c r="EQ357" s="623">
        <f>Drivers!EQ119</f>
        <v>1.47E-2</v>
      </c>
      <c r="ER357" s="623">
        <f>Drivers!ER119</f>
        <v>1.2E-2</v>
      </c>
      <c r="ES357" s="623">
        <f>Drivers!ES119</f>
        <v>1.3204398045313195E-2</v>
      </c>
      <c r="ET357" s="623">
        <f>Drivers!ET119</f>
        <v>1.24E-2</v>
      </c>
      <c r="EU357" s="623">
        <f>Drivers!EU119</f>
        <v>1.4E-2</v>
      </c>
      <c r="EV357" s="623">
        <f>Drivers!EV119</f>
        <v>1.49E-2</v>
      </c>
      <c r="EW357" s="623">
        <f>Drivers!EW119</f>
        <v>1.3100000000000001E-2</v>
      </c>
      <c r="EX357" s="623">
        <f>Drivers!EX119</f>
        <v>1.361515339709353E-2</v>
      </c>
      <c r="EY357" s="623">
        <f>Drivers!EY119</f>
        <v>1.24E-2</v>
      </c>
      <c r="EZ357" s="623">
        <f>Drivers!EZ119</f>
        <v>1.3860000000000001E-2</v>
      </c>
      <c r="FA357" s="623">
        <f>Drivers!FA119</f>
        <v>1.4751E-2</v>
      </c>
      <c r="FB357" s="623">
        <f>Drivers!FB119</f>
        <v>1.2969E-2</v>
      </c>
      <c r="FC357" s="623">
        <f>Drivers!FC119</f>
        <v>1.3508940491600292E-2</v>
      </c>
      <c r="FD357" s="623">
        <f>Drivers!FD119</f>
        <v>1.3576485194058293E-2</v>
      </c>
      <c r="FE357" s="623">
        <f>Drivers!FE119</f>
        <v>1.3644367620028583E-2</v>
      </c>
      <c r="FF357" s="623">
        <f>Drivers!FF119</f>
        <v>1.3712589458128725E-2</v>
      </c>
      <c r="FG357" s="623">
        <f>Drivers!FG119</f>
        <v>1.3781152405419368E-2</v>
      </c>
      <c r="FH357" s="623">
        <f>Drivers!FH119</f>
        <v>1.3781152405419368E-2</v>
      </c>
      <c r="FI357" s="623">
        <f>Drivers!FI119</f>
        <v>1.3781152405419368E-2</v>
      </c>
    </row>
    <row r="358" spans="1:165" x14ac:dyDescent="0.3">
      <c r="A358" s="342"/>
    </row>
    <row r="359" spans="1:165" x14ac:dyDescent="0.3">
      <c r="A359" s="60" t="s">
        <v>361</v>
      </c>
    </row>
    <row r="360" spans="1:165" x14ac:dyDescent="0.3">
      <c r="A360" s="56" t="s">
        <v>362</v>
      </c>
      <c r="DU360" s="1015">
        <f>Drivers!DU186</f>
        <v>57.66</v>
      </c>
      <c r="DV360" s="1015">
        <f>Drivers!DV186</f>
        <v>56.62</v>
      </c>
      <c r="DW360" s="1015">
        <f>Drivers!DW186</f>
        <v>56.37</v>
      </c>
      <c r="DX360" s="1015">
        <f>Drivers!DX186</f>
        <v>56.69</v>
      </c>
      <c r="DY360" s="1015">
        <f>Drivers!DY186</f>
        <v>56.837025598507608</v>
      </c>
      <c r="DZ360" s="1015">
        <f>Drivers!DZ186</f>
        <v>56.8</v>
      </c>
      <c r="EA360" s="1015">
        <f>Drivers!EA186</f>
        <v>56.92</v>
      </c>
      <c r="EB360" s="1015">
        <f>Drivers!EB186</f>
        <v>57.58</v>
      </c>
      <c r="EC360" s="1015">
        <f>Drivers!EC186</f>
        <v>59.72</v>
      </c>
      <c r="ED360" s="1015">
        <f>Drivers!ED186</f>
        <v>57.762336094916648</v>
      </c>
      <c r="EE360" s="1015">
        <f>Drivers!EE186</f>
        <v>60.73</v>
      </c>
      <c r="EF360" s="1015">
        <f>Drivers!EF186</f>
        <v>63.1</v>
      </c>
      <c r="EG360" s="1015">
        <f>Drivers!EG186</f>
        <v>63.35</v>
      </c>
      <c r="EH360" s="1015">
        <f>Drivers!EH186</f>
        <v>62.21</v>
      </c>
      <c r="EI360" s="1015">
        <f>Drivers!EI186</f>
        <v>62.353966228156288</v>
      </c>
      <c r="EJ360" s="1015">
        <f>Drivers!EJ186</f>
        <v>62.1</v>
      </c>
      <c r="EK360" s="1015">
        <f>Drivers!EK186</f>
        <v>63.35</v>
      </c>
      <c r="EL360" s="1015">
        <f>Drivers!EL186</f>
        <v>62.97</v>
      </c>
      <c r="EM360" s="1015">
        <f>Drivers!EM186</f>
        <v>61.2</v>
      </c>
      <c r="EN360" s="1015">
        <f>Drivers!EN186</f>
        <v>62.387109881559596</v>
      </c>
      <c r="EO360" s="1015">
        <f>Drivers!EO186</f>
        <v>61.44</v>
      </c>
      <c r="EP360" s="1015">
        <f>Drivers!EP186</f>
        <v>63.12</v>
      </c>
      <c r="EQ360" s="1015">
        <f>Drivers!EQ186</f>
        <v>64.489999999999995</v>
      </c>
      <c r="ER360" s="1015">
        <f>Drivers!ER186</f>
        <v>64.16</v>
      </c>
      <c r="ES360" s="1015">
        <f>Drivers!ES186</f>
        <v>63.39</v>
      </c>
      <c r="ET360" s="1015">
        <f>Drivers!ET186</f>
        <v>65.180000000000007</v>
      </c>
      <c r="EU360" s="1015">
        <f>Drivers!EU186</f>
        <v>65.319999999999993</v>
      </c>
      <c r="EV360" s="1015">
        <f>Drivers!EV186</f>
        <v>65.400000000000006</v>
      </c>
      <c r="EW360" s="1015">
        <f>Drivers!EW186</f>
        <v>65.98</v>
      </c>
      <c r="EX360" s="1015">
        <f>Drivers!EX186</f>
        <v>65.484330723001278</v>
      </c>
      <c r="EY360" s="1015">
        <f>Drivers!EY186</f>
        <v>67.461300000000008</v>
      </c>
      <c r="EZ360" s="1015">
        <f>Drivers!EZ186</f>
        <v>67.606199999999987</v>
      </c>
      <c r="FA360" s="1015">
        <f>Drivers!FA186</f>
        <v>67.689000000000007</v>
      </c>
      <c r="FB360" s="1015">
        <f>Drivers!FB186</f>
        <v>68.289299999999997</v>
      </c>
      <c r="FC360" s="1015">
        <f>Drivers!FC186</f>
        <v>67.776246846721165</v>
      </c>
      <c r="FD360" s="1015">
        <f>Drivers!FD186</f>
        <v>70.148378793984961</v>
      </c>
      <c r="FE360" s="1015">
        <f>Drivers!FE186</f>
        <v>72.603534075189856</v>
      </c>
      <c r="FF360" s="1015">
        <f>Drivers!FF186</f>
        <v>75.14461846207702</v>
      </c>
      <c r="FG360" s="1015">
        <f>Drivers!FG186</f>
        <v>77.774639426825459</v>
      </c>
      <c r="FH360" s="1015">
        <f>Drivers!FH186</f>
        <v>80.496709701512259</v>
      </c>
      <c r="FI360" s="1015">
        <f>Drivers!FI186</f>
        <v>83.314050962152066</v>
      </c>
    </row>
    <row r="361" spans="1:165" x14ac:dyDescent="0.3">
      <c r="A361" s="70" t="s">
        <v>363</v>
      </c>
    </row>
    <row r="362" spans="1:165" x14ac:dyDescent="0.3">
      <c r="A362" s="56" t="s">
        <v>364</v>
      </c>
      <c r="DZ362" s="1015">
        <f>Drivers!DZ188</f>
        <v>105.46</v>
      </c>
      <c r="EA362" s="1015">
        <f>Drivers!EA188</f>
        <v>104.59</v>
      </c>
      <c r="EB362" s="1015">
        <f>Drivers!EB188</f>
        <v>105.21</v>
      </c>
      <c r="EC362" s="1015">
        <f>Drivers!EC188</f>
        <v>107.33</v>
      </c>
      <c r="ED362" s="1015">
        <f>Drivers!ED188</f>
        <v>105.59521383819121</v>
      </c>
      <c r="EE362" s="1015">
        <f>Drivers!EE188</f>
        <v>110.21</v>
      </c>
      <c r="EF362" s="1015">
        <f>Drivers!EF188</f>
        <v>114.41</v>
      </c>
      <c r="EG362" s="1015">
        <f>Drivers!EG188</f>
        <v>115.47</v>
      </c>
      <c r="EH362" s="1015">
        <f>Drivers!EH188</f>
        <v>116.48</v>
      </c>
      <c r="EI362" s="1015">
        <f>Drivers!EI188</f>
        <v>113.98584664536742</v>
      </c>
      <c r="EJ362" s="1015">
        <f>Drivers!EJ188</f>
        <v>117.84</v>
      </c>
      <c r="EK362" s="1015">
        <f>Drivers!EK188</f>
        <v>121.55</v>
      </c>
      <c r="EL362" s="1015">
        <f>Drivers!EL188</f>
        <v>121.63</v>
      </c>
      <c r="EM362" s="1015">
        <f>Drivers!EM188</f>
        <v>122.2</v>
      </c>
      <c r="EN362" s="1015">
        <f>Drivers!EN188</f>
        <v>120.71769702276708</v>
      </c>
      <c r="EO362" s="1015">
        <f>Drivers!EO188</f>
        <v>127.92</v>
      </c>
      <c r="EP362" s="1015">
        <f>Drivers!EP188</f>
        <v>131.15</v>
      </c>
      <c r="EQ362" s="1015">
        <f>Drivers!EQ188</f>
        <v>131.66</v>
      </c>
      <c r="ER362" s="1015">
        <f>Drivers!ER188</f>
        <v>132.05000000000001</v>
      </c>
      <c r="ES362" s="1015">
        <f>Drivers!ES188</f>
        <v>130.5948152173913</v>
      </c>
      <c r="ET362" s="1015">
        <f>Drivers!ET188</f>
        <v>135.63</v>
      </c>
      <c r="EU362" s="1015">
        <f>Drivers!EU188</f>
        <v>137.33000000000001</v>
      </c>
      <c r="EV362" s="1015">
        <f>Drivers!EV188</f>
        <v>138.01</v>
      </c>
      <c r="EW362" s="1015">
        <f>Drivers!EW188</f>
        <v>139.53</v>
      </c>
      <c r="EX362" s="1015">
        <f>Drivers!EX188</f>
        <v>137.51996525364837</v>
      </c>
      <c r="EY362" s="1015">
        <f>Drivers!EY188</f>
        <v>142.82215458786808</v>
      </c>
      <c r="EZ362" s="1015">
        <f>Drivers!EZ188</f>
        <v>144.61230177358937</v>
      </c>
      <c r="FA362" s="1015">
        <f>Drivers!FA188</f>
        <v>145.32836064787787</v>
      </c>
      <c r="FB362" s="1015">
        <f>Drivers!FB188</f>
        <v>146.92896283746396</v>
      </c>
      <c r="FC362" s="1015">
        <f>Drivers!FC188</f>
        <v>144.81234045841492</v>
      </c>
      <c r="FD362" s="1015">
        <f>Drivers!FD188</f>
        <v>152.49141395843634</v>
      </c>
      <c r="FE362" s="1015">
        <f>Drivers!FE188</f>
        <v>160.5776914966776</v>
      </c>
      <c r="FF362" s="1015">
        <f>Drivers!FF188</f>
        <v>169.09276618964449</v>
      </c>
      <c r="FG362" s="1015">
        <f>Drivers!FG188</f>
        <v>178.05937618836276</v>
      </c>
      <c r="FH362" s="1015">
        <f>Drivers!FH188</f>
        <v>187.50146539698966</v>
      </c>
      <c r="FI362" s="1015">
        <f>Drivers!FI188</f>
        <v>197.44424741119707</v>
      </c>
    </row>
    <row r="363" spans="1:165" x14ac:dyDescent="0.3">
      <c r="A363" s="70" t="s">
        <v>363</v>
      </c>
    </row>
    <row r="364" spans="1:165" x14ac:dyDescent="0.3">
      <c r="A364" s="56" t="s">
        <v>1763</v>
      </c>
      <c r="DZ364" s="1015">
        <f>Drivers!DZ190</f>
        <v>18.281123966942154</v>
      </c>
      <c r="EA364" s="1015">
        <f>Drivers!EA190</f>
        <v>16.89986601039103</v>
      </c>
      <c r="EB364" s="1015">
        <f>Drivers!EB190</f>
        <v>16.106268352365422</v>
      </c>
      <c r="EC364" s="1015">
        <f>Drivers!EC190</f>
        <v>17.301518713687347</v>
      </c>
      <c r="ED364" s="1015">
        <f>Drivers!ED190</f>
        <v>17.144073846783272</v>
      </c>
      <c r="EE364" s="1015">
        <f>Drivers!EE190</f>
        <v>15.126838087585369</v>
      </c>
      <c r="EF364" s="1015">
        <f>Drivers!EF190</f>
        <v>13.562415804826315</v>
      </c>
      <c r="EG364" s="1015">
        <f>Drivers!EG190</f>
        <v>12.727497716894979</v>
      </c>
      <c r="EH364" s="1015">
        <f>Drivers!EH190</f>
        <v>11.985920852359209</v>
      </c>
      <c r="EI364" s="1015">
        <f>Drivers!EI190</f>
        <v>13.328526408796387</v>
      </c>
      <c r="EJ364" s="1015">
        <f>Drivers!EJ190</f>
        <v>10.81705335291239</v>
      </c>
      <c r="EK364" s="1015">
        <f>Drivers!EK190</f>
        <v>10.80425218211842</v>
      </c>
      <c r="EL364" s="1015">
        <f>Drivers!EL190</f>
        <v>10.297100907029494</v>
      </c>
      <c r="EM364" s="1015">
        <f>Drivers!EM190</f>
        <v>12.255595276784733</v>
      </c>
      <c r="EN364" s="1015">
        <f>Drivers!EN190</f>
        <v>11.064443099622491</v>
      </c>
      <c r="EO364" s="1015">
        <f>Drivers!EO190</f>
        <v>11.016062667491241</v>
      </c>
      <c r="EP364" s="1015">
        <f>Drivers!EP190</f>
        <v>9.5907068914522267</v>
      </c>
      <c r="EQ364" s="1015">
        <f>Drivers!EQ190</f>
        <v>9.6062299895803793</v>
      </c>
      <c r="ER364" s="1015">
        <f>Drivers!ER190</f>
        <v>8.6208888888888868</v>
      </c>
      <c r="ES364" s="1015">
        <f>Drivers!ES190</f>
        <v>9.6703756004538093</v>
      </c>
      <c r="ET364" s="1015">
        <f>Drivers!ET190</f>
        <v>8.487583094680188</v>
      </c>
      <c r="EU364" s="1015">
        <f>Drivers!EU190</f>
        <v>8.7443866201859191</v>
      </c>
      <c r="EV364" s="1015">
        <f>Drivers!EV190</f>
        <v>8.2604584323040431</v>
      </c>
      <c r="EW364" s="1015">
        <f>Drivers!EW190</f>
        <v>8.0701914056589477</v>
      </c>
      <c r="EX364" s="1015">
        <f>Drivers!EX190</f>
        <v>8.3805048665493</v>
      </c>
      <c r="EY364" s="1015">
        <f>Drivers!EY190</f>
        <v>7.2937095079111298</v>
      </c>
      <c r="EZ364" s="1015">
        <f>Drivers!EZ190</f>
        <v>7.506935300873228</v>
      </c>
      <c r="FA364" s="1015">
        <f>Drivers!FA190</f>
        <v>7.1042552741476328</v>
      </c>
      <c r="FB364" s="1015">
        <f>Drivers!FB190</f>
        <v>6.9356473445111844</v>
      </c>
      <c r="FC364" s="1015">
        <f>Drivers!FC190</f>
        <v>7.2016038225420322</v>
      </c>
      <c r="FD364" s="1015">
        <f>Drivers!FD190</f>
        <v>6.2071459854277826</v>
      </c>
      <c r="FE364" s="1015">
        <f>Drivers!FE190</f>
        <v>5.5154129120715396</v>
      </c>
      <c r="FF364" s="1015">
        <f>Drivers!FF190</f>
        <v>5.0905042665640297</v>
      </c>
      <c r="FG364" s="1015">
        <f>Drivers!FG190</f>
        <v>4.8424685709685189</v>
      </c>
      <c r="FH364" s="1015">
        <f>Drivers!FH190</f>
        <v>4.6986320536295354</v>
      </c>
      <c r="FI364" s="1015">
        <f>Drivers!FI190</f>
        <v>4.6295657767439859</v>
      </c>
    </row>
    <row r="365" spans="1:165" x14ac:dyDescent="0.3">
      <c r="A365" s="70" t="s">
        <v>363</v>
      </c>
    </row>
    <row r="366" spans="1:165" x14ac:dyDescent="0.3">
      <c r="A366" s="56" t="s">
        <v>367</v>
      </c>
      <c r="DZ366" s="1015">
        <f>Drivers!DZ194</f>
        <v>100.3</v>
      </c>
      <c r="EA366" s="1015">
        <f>Drivers!EA194</f>
        <v>100.27</v>
      </c>
      <c r="EB366" s="1015">
        <f>Drivers!EB194</f>
        <v>100.85</v>
      </c>
      <c r="EC366" s="1015">
        <f>Drivers!EC194</f>
        <v>101.56</v>
      </c>
      <c r="ED366" s="1015">
        <f>Drivers!ED194</f>
        <v>100.74647264295015</v>
      </c>
      <c r="EE366" s="1015">
        <f>Drivers!EE194</f>
        <v>96.72</v>
      </c>
      <c r="EF366" s="1015">
        <f>Drivers!EF194</f>
        <v>101.63</v>
      </c>
      <c r="EG366" s="1015">
        <f>Drivers!EG194</f>
        <v>102.82</v>
      </c>
      <c r="EH366" s="1015">
        <f>Drivers!EH194</f>
        <v>105.3</v>
      </c>
      <c r="EI366" s="1015">
        <f>Drivers!EI194</f>
        <v>101.63498934703598</v>
      </c>
      <c r="EJ366" s="1015">
        <f>Drivers!EJ194</f>
        <v>103.84</v>
      </c>
      <c r="EK366" s="1015">
        <f>Drivers!EK194</f>
        <v>105.03</v>
      </c>
      <c r="EL366" s="1015">
        <f>Drivers!EL194</f>
        <v>105.21</v>
      </c>
      <c r="EM366" s="1015">
        <f>Drivers!EM194</f>
        <v>105.34</v>
      </c>
      <c r="EN366" s="1015">
        <f>Drivers!EN194</f>
        <v>104.87252619324796</v>
      </c>
      <c r="EO366" s="1015">
        <f>Drivers!EO194</f>
        <v>101.92</v>
      </c>
      <c r="EP366" s="1015">
        <f>Drivers!EP194</f>
        <v>100.3</v>
      </c>
      <c r="EQ366" s="1015">
        <f>Drivers!EQ194</f>
        <v>98.54</v>
      </c>
      <c r="ER366" s="1015">
        <f>Drivers!ER194</f>
        <v>98.86</v>
      </c>
      <c r="ES366" s="1015">
        <f>Drivers!ES194</f>
        <v>99.861189743589748</v>
      </c>
      <c r="ET366" s="1015">
        <f>Drivers!ET194</f>
        <v>98.4</v>
      </c>
      <c r="EU366" s="1015">
        <f>Drivers!EU194</f>
        <v>97.83</v>
      </c>
      <c r="EV366" s="1015">
        <f>Drivers!EV194</f>
        <v>98.71</v>
      </c>
      <c r="EW366" s="1015">
        <f>Drivers!EW194</f>
        <v>100.08</v>
      </c>
      <c r="EX366" s="1015">
        <f>Drivers!EX194</f>
        <v>98.774796296296302</v>
      </c>
      <c r="EY366" s="1015">
        <f>Drivers!EY194</f>
        <v>100.36800000000001</v>
      </c>
      <c r="EZ366" s="1015">
        <f>Drivers!EZ194</f>
        <v>99.786600000000007</v>
      </c>
      <c r="FA366" s="1015">
        <f>Drivers!FA194</f>
        <v>100.68419999999999</v>
      </c>
      <c r="FB366" s="1015">
        <f>Drivers!FB194</f>
        <v>102.08159999999999</v>
      </c>
      <c r="FC366" s="1015">
        <f>Drivers!FC194</f>
        <v>100.75548357358957</v>
      </c>
      <c r="FD366" s="1015">
        <f>Drivers!FD194</f>
        <v>102.77588869630024</v>
      </c>
      <c r="FE366" s="1015">
        <f>Drivers!FE194</f>
        <v>104.83680810880531</v>
      </c>
      <c r="FF366" s="1015">
        <f>Drivers!FF194</f>
        <v>106.93905422622842</v>
      </c>
      <c r="FG366" s="1015">
        <f>Drivers!FG194</f>
        <v>109.08345575469411</v>
      </c>
      <c r="FH366" s="1015">
        <f>Drivers!FH194</f>
        <v>111.27085801800415</v>
      </c>
      <c r="FI366" s="1015">
        <f>Drivers!FI194</f>
        <v>113.50212329086435</v>
      </c>
    </row>
    <row r="367" spans="1:165" x14ac:dyDescent="0.3">
      <c r="A367" s="70" t="s">
        <v>363</v>
      </c>
    </row>
    <row r="368" spans="1:165" x14ac:dyDescent="0.3">
      <c r="A368" s="56" t="s">
        <v>521</v>
      </c>
      <c r="DZ368" s="1015">
        <f>Drivers!DZ606</f>
        <v>892.19273902295879</v>
      </c>
      <c r="EA368" s="1015">
        <f>Drivers!EA606</f>
        <v>898.07198521509872</v>
      </c>
      <c r="EB368" s="1015">
        <f>Drivers!EB606</f>
        <v>851.97192630046641</v>
      </c>
      <c r="EC368" s="1015">
        <f>Drivers!EC606</f>
        <v>820.30593120744959</v>
      </c>
      <c r="ED368" s="1015">
        <f>Drivers!ED606</f>
        <v>865.55605805114772</v>
      </c>
      <c r="EE368" s="1015">
        <f>Drivers!EE606</f>
        <v>802.72416371905001</v>
      </c>
      <c r="EF368" s="1015">
        <f>Drivers!EF606</f>
        <v>792.8423618090452</v>
      </c>
      <c r="EG368" s="1015">
        <f>Drivers!EG606</f>
        <v>813.84666666666669</v>
      </c>
      <c r="EH368" s="1015">
        <f>Drivers!EH606</f>
        <v>783.59770686227296</v>
      </c>
      <c r="EI368" s="1015">
        <f>Drivers!EI606</f>
        <v>799.89820194677702</v>
      </c>
      <c r="EJ368" s="1015">
        <f>Drivers!EJ606</f>
        <v>786.66968044466898</v>
      </c>
      <c r="EK368" s="1015">
        <f>Drivers!EK606</f>
        <v>776.9855145728643</v>
      </c>
      <c r="EL368" s="1015">
        <f>Drivers!EL606</f>
        <v>797.56973333333337</v>
      </c>
      <c r="EM368" s="1015">
        <f>Drivers!EM606</f>
        <v>767.92575272502745</v>
      </c>
      <c r="EN368" s="1015">
        <f>Drivers!EN606</f>
        <v>734.08750485060148</v>
      </c>
      <c r="EO368" s="1015">
        <f>Drivers!EO606</f>
        <v>0</v>
      </c>
      <c r="EP368" s="1015">
        <f>Drivers!EP606</f>
        <v>0</v>
      </c>
      <c r="EQ368" s="1015">
        <f>Drivers!EQ606</f>
        <v>0</v>
      </c>
      <c r="ER368" s="1015">
        <f>Drivers!ER606</f>
        <v>0</v>
      </c>
      <c r="ES368" s="1015">
        <f>Drivers!ES606</f>
        <v>712.0648797050834</v>
      </c>
      <c r="ET368" s="1015">
        <f>Drivers!ET606</f>
        <v>0</v>
      </c>
      <c r="EU368" s="1015">
        <f>Drivers!EU606</f>
        <v>0</v>
      </c>
      <c r="EV368" s="1015">
        <f>Drivers!EV606</f>
        <v>0</v>
      </c>
      <c r="EW368" s="1015">
        <f>Drivers!EW606</f>
        <v>0</v>
      </c>
      <c r="EX368" s="1015">
        <f>Drivers!EX606</f>
        <v>689.63483599437325</v>
      </c>
      <c r="EY368" s="1015">
        <f>Drivers!EY606</f>
        <v>0</v>
      </c>
      <c r="EZ368" s="1015">
        <f>Drivers!EZ606</f>
        <v>0</v>
      </c>
      <c r="FA368" s="1015">
        <f>Drivers!FA606</f>
        <v>0</v>
      </c>
      <c r="FB368" s="1015">
        <f>Drivers!FB606</f>
        <v>0</v>
      </c>
      <c r="FC368" s="1015">
        <f>Drivers!FC606</f>
        <v>666.82516379385936</v>
      </c>
      <c r="FD368" s="1015">
        <f>Drivers!FD606</f>
        <v>643.66715938675338</v>
      </c>
      <c r="FE368" s="1015">
        <f>Drivers!FE606</f>
        <v>620.19571573212295</v>
      </c>
      <c r="FF368" s="1015">
        <f>Drivers!FF606</f>
        <v>596.44938501821093</v>
      </c>
      <c r="FG368" s="1015">
        <f>Drivers!FG606</f>
        <v>572.4704083967199</v>
      </c>
      <c r="FH368" s="1015">
        <f>Drivers!FH606</f>
        <v>548.3047077883233</v>
      </c>
      <c r="FI368" s="1015">
        <f>Drivers!FI606</f>
        <v>524.00183452701242</v>
      </c>
    </row>
    <row r="369" spans="1:165" x14ac:dyDescent="0.3">
      <c r="A369" s="70" t="s">
        <v>363</v>
      </c>
    </row>
    <row r="370" spans="1:165" x14ac:dyDescent="0.3">
      <c r="A370" s="344"/>
    </row>
    <row r="371" spans="1:165" x14ac:dyDescent="0.3">
      <c r="A371" s="90" t="s">
        <v>284</v>
      </c>
    </row>
    <row r="372" spans="1:165" x14ac:dyDescent="0.3">
      <c r="A372" t="s">
        <v>368</v>
      </c>
      <c r="DZ372" s="885">
        <f>Drivers!DZ199</f>
        <v>206.184</v>
      </c>
      <c r="EA372" s="885">
        <f>Drivers!EA199</f>
        <v>208.15644</v>
      </c>
      <c r="EB372" s="885">
        <f>Drivers!EB199</f>
        <v>211.77923999999999</v>
      </c>
      <c r="EC372" s="885">
        <f>Drivers!EC199</f>
        <v>220.99385999999998</v>
      </c>
      <c r="ED372" s="885">
        <f>Drivers!ED199</f>
        <v>847.11354000000006</v>
      </c>
      <c r="EE372" s="885">
        <f>Drivers!EE199</f>
        <v>226.73545500000003</v>
      </c>
      <c r="EF372" s="885">
        <f>Drivers!EF199</f>
        <v>237.95009999999996</v>
      </c>
      <c r="EG372" s="885">
        <f>Drivers!EG199</f>
        <v>242.78887499999999</v>
      </c>
      <c r="EH372" s="885">
        <f>Drivers!EH199</f>
        <v>245.23182</v>
      </c>
      <c r="EI372" s="885">
        <f>Drivers!EI199</f>
        <v>952.70624999999995</v>
      </c>
      <c r="EJ372" s="885">
        <f>Drivers!EJ199</f>
        <v>253.74059999999997</v>
      </c>
      <c r="EK372" s="885">
        <f>Drivers!EK199</f>
        <v>268.54065000000003</v>
      </c>
      <c r="EL372" s="885">
        <f>Drivers!EL199</f>
        <v>277.69769999999994</v>
      </c>
      <c r="EM372" s="885">
        <f>Drivers!EM199</f>
        <v>282.46860000000004</v>
      </c>
      <c r="EN372" s="885">
        <f>Drivers!EN199</f>
        <v>1082.4475499999999</v>
      </c>
      <c r="EO372" s="885">
        <f>Drivers!EO199</f>
        <v>298.04543999999999</v>
      </c>
      <c r="EP372" s="885">
        <f>Drivers!EP199</f>
        <v>320.11308000000002</v>
      </c>
      <c r="EQ372" s="885">
        <f>Drivers!EQ199</f>
        <v>340.41046499999999</v>
      </c>
      <c r="ER372" s="885">
        <f>Drivers!ER199</f>
        <v>353.68200000000002</v>
      </c>
      <c r="ES372" s="885">
        <f>Drivers!ES199</f>
        <v>1312.2509849999999</v>
      </c>
      <c r="ET372" s="885">
        <f>Drivers!ET199</f>
        <v>375.53457000000009</v>
      </c>
      <c r="EU372" s="885">
        <f>Drivers!EU199</f>
        <v>393.48768000000001</v>
      </c>
      <c r="EV372" s="885">
        <f>Drivers!EV199</f>
        <v>413.00099999999998</v>
      </c>
      <c r="EW372" s="885">
        <f>Drivers!EW199</f>
        <v>436.06182000000001</v>
      </c>
      <c r="EX372" s="885">
        <f>Drivers!EX199</f>
        <v>1618.0850700000001</v>
      </c>
      <c r="EY372" s="885">
        <f>Drivers!EY199</f>
        <v>466.05892995834586</v>
      </c>
      <c r="EZ372" s="885">
        <f>Drivers!EZ199</f>
        <v>488.82471083611762</v>
      </c>
      <c r="FA372" s="885">
        <f>Drivers!FA199</f>
        <v>512.14392976809677</v>
      </c>
      <c r="FB372" s="885">
        <f>Drivers!FB199</f>
        <v>541.12827893667145</v>
      </c>
      <c r="FC372" s="885">
        <f>Drivers!FC199</f>
        <v>2008.1558494992316</v>
      </c>
      <c r="FD372" s="885">
        <f>Drivers!FD199</f>
        <v>2477.4545844388404</v>
      </c>
      <c r="FE372" s="885">
        <f>Drivers!FE199</f>
        <v>2956.8665062485506</v>
      </c>
      <c r="FF372" s="885">
        <f>Drivers!FF199</f>
        <v>3389.341589688368</v>
      </c>
      <c r="FG372" s="885">
        <f>Drivers!FG199</f>
        <v>3761.252192474436</v>
      </c>
      <c r="FH372" s="885">
        <f>Drivers!FH199</f>
        <v>4084.1364104446657</v>
      </c>
      <c r="FI372" s="885">
        <f>Drivers!FI199</f>
        <v>4359.5008400382649</v>
      </c>
    </row>
    <row r="373" spans="1:165" x14ac:dyDescent="0.3">
      <c r="A373" t="s">
        <v>369</v>
      </c>
      <c r="DZ373" s="885">
        <f>Drivers!DZ200</f>
        <v>159.45551999999998</v>
      </c>
      <c r="EA373" s="885">
        <f>Drivers!EA200</f>
        <v>149.04075</v>
      </c>
      <c r="EB373" s="885">
        <f>Drivers!EB200</f>
        <v>139.98190499999998</v>
      </c>
      <c r="EC373" s="885">
        <f>Drivers!EC200</f>
        <v>132.98186999999999</v>
      </c>
      <c r="ED373" s="885">
        <f>Drivers!ED200</f>
        <v>581.46004499999992</v>
      </c>
      <c r="EE373" s="885">
        <f>Drivers!EE200</f>
        <v>127.788495</v>
      </c>
      <c r="EF373" s="885">
        <f>Drivers!EF200</f>
        <v>123.90603</v>
      </c>
      <c r="EG373" s="885">
        <f>Drivers!EG200</f>
        <v>117.43299</v>
      </c>
      <c r="EH373" s="885">
        <f>Drivers!EH200</f>
        <v>112.51967999999999</v>
      </c>
      <c r="EI373" s="885">
        <f>Drivers!EI200</f>
        <v>481.64719500000001</v>
      </c>
      <c r="EJ373" s="885">
        <f>Drivers!EJ200</f>
        <v>109.06092</v>
      </c>
      <c r="EK373" s="885">
        <f>Drivers!EK200</f>
        <v>106.66012499999999</v>
      </c>
      <c r="EL373" s="885">
        <f>Drivers!EL200</f>
        <v>100.89208499999999</v>
      </c>
      <c r="EM373" s="885">
        <f>Drivers!EM200</f>
        <v>96.965700000000012</v>
      </c>
      <c r="EN373" s="885">
        <f>Drivers!EN200</f>
        <v>413.57883000000004</v>
      </c>
      <c r="EO373" s="885">
        <f>Drivers!EO200</f>
        <v>96.515640000000005</v>
      </c>
      <c r="EP373" s="885">
        <f>Drivers!EP200</f>
        <v>93.247650000000007</v>
      </c>
      <c r="EQ373" s="885">
        <f>Drivers!EQ200</f>
        <v>87.883049999999983</v>
      </c>
      <c r="ER373" s="885">
        <f>Drivers!ER200</f>
        <v>82.795349999999999</v>
      </c>
      <c r="ES373" s="885">
        <f>Drivers!ES200</f>
        <v>360.44168999999999</v>
      </c>
      <c r="ET373" s="885">
        <f>Drivers!ET200</f>
        <v>80.564220000000006</v>
      </c>
      <c r="EU373" s="885">
        <f>Drivers!EU200</f>
        <v>76.836135000000013</v>
      </c>
      <c r="EV373" s="885">
        <f>Drivers!EV200</f>
        <v>71.834204999999983</v>
      </c>
      <c r="EW373" s="885">
        <f>Drivers!EW200</f>
        <v>67.602285000000009</v>
      </c>
      <c r="EX373" s="885">
        <f>Drivers!EX200</f>
        <v>296.83684499999998</v>
      </c>
      <c r="EY373" s="885">
        <f>Drivers!EY200</f>
        <v>65.194444003597084</v>
      </c>
      <c r="EZ373" s="885">
        <f>Drivers!EZ200</f>
        <v>62.177590755676981</v>
      </c>
      <c r="FA373" s="885">
        <f>Drivers!FA200</f>
        <v>58.129912452642294</v>
      </c>
      <c r="FB373" s="885">
        <f>Drivers!FB200</f>
        <v>54.705344183158637</v>
      </c>
      <c r="FC373" s="885">
        <f>Drivers!FC200</f>
        <v>240.207291395075</v>
      </c>
      <c r="FD373" s="885">
        <f>Drivers!FD200</f>
        <v>191.61772482825216</v>
      </c>
      <c r="FE373" s="885">
        <f>Drivers!FE200</f>
        <v>150.72304775058396</v>
      </c>
      <c r="FF373" s="885">
        <f>Drivers!FF200</f>
        <v>118.55603203506642</v>
      </c>
      <c r="FG373" s="885">
        <f>Drivers!FG200</f>
        <v>93.25403739950076</v>
      </c>
      <c r="FH373" s="885">
        <f>Drivers!FH200</f>
        <v>73.351944578706025</v>
      </c>
      <c r="FI373" s="885">
        <f>Drivers!FI200</f>
        <v>57.697317172740064</v>
      </c>
    </row>
    <row r="374" spans="1:165" x14ac:dyDescent="0.3">
      <c r="A374" t="s">
        <v>370</v>
      </c>
      <c r="DZ374" s="885">
        <f>Drivers!DZ201</f>
        <v>66.360480000000024</v>
      </c>
      <c r="EA374" s="885">
        <f>Drivers!EA201</f>
        <v>61.802809999999994</v>
      </c>
      <c r="EB374" s="885">
        <f>Drivers!EB201</f>
        <v>59.238855000000029</v>
      </c>
      <c r="EC374" s="885">
        <f>Drivers!EC201</f>
        <v>64.02427000000003</v>
      </c>
      <c r="ED374" s="885">
        <f>Drivers!ED201</f>
        <v>251.42641500000008</v>
      </c>
      <c r="EE374" s="885">
        <f>Drivers!EE201</f>
        <v>56.476049999999972</v>
      </c>
      <c r="EF374" s="885">
        <f>Drivers!EF201</f>
        <v>51.143870000000035</v>
      </c>
      <c r="EG374" s="885">
        <f>Drivers!EG201</f>
        <v>48.778135000000006</v>
      </c>
      <c r="EH374" s="885">
        <f>Drivers!EH201</f>
        <v>47.248500000000007</v>
      </c>
      <c r="EI374" s="885">
        <f>Drivers!EI201</f>
        <v>203.64655500000001</v>
      </c>
      <c r="EJ374" s="885">
        <f>Drivers!EJ201</f>
        <v>44.198480000000032</v>
      </c>
      <c r="EK374" s="885">
        <f>Drivers!EK201</f>
        <v>45.799224999999979</v>
      </c>
      <c r="EL374" s="885">
        <f>Drivers!EL201</f>
        <v>45.410215000000065</v>
      </c>
      <c r="EM374" s="885">
        <f>Drivers!EM201</f>
        <v>56.56569999999995</v>
      </c>
      <c r="EN374" s="885">
        <f>Drivers!EN201</f>
        <v>191.97362000000004</v>
      </c>
      <c r="EO374" s="885">
        <f>Drivers!EO201</f>
        <v>53.43892000000001</v>
      </c>
      <c r="EP374" s="885">
        <f>Drivers!EP201</f>
        <v>48.639269999999968</v>
      </c>
      <c r="EQ374" s="885">
        <f>Drivers!EQ201</f>
        <v>50.706485000000029</v>
      </c>
      <c r="ER374" s="885">
        <f>Drivers!ER201</f>
        <v>47.522649999999985</v>
      </c>
      <c r="ES374" s="885">
        <f>Drivers!ES201</f>
        <v>200.30732499999999</v>
      </c>
      <c r="ET374" s="885">
        <f>Drivers!ET201</f>
        <v>48.901209999999907</v>
      </c>
      <c r="EU374" s="885">
        <f>Drivers!EU201</f>
        <v>52.676184999999975</v>
      </c>
      <c r="EV374" s="885">
        <f>Drivers!EV201</f>
        <v>52.164795000000041</v>
      </c>
      <c r="EW374" s="885">
        <f>Drivers!EW201</f>
        <v>53.335894999999979</v>
      </c>
      <c r="EX374" s="885">
        <f>Drivers!EX201</f>
        <v>207.07808499999993</v>
      </c>
      <c r="EY374" s="885">
        <f>Drivers!EY201</f>
        <v>50.388866634412231</v>
      </c>
      <c r="EZ374" s="885">
        <f>Drivers!EZ201</f>
        <v>54.27868269056389</v>
      </c>
      <c r="FA374" s="885">
        <f>Drivers!FA201</f>
        <v>53.751735351056979</v>
      </c>
      <c r="FB374" s="885">
        <f>Drivers!FB201</f>
        <v>54.95846217265418</v>
      </c>
      <c r="FC374" s="885">
        <f>Drivers!FC201</f>
        <v>213.37774684868728</v>
      </c>
      <c r="FD374" s="885">
        <f>Drivers!FD201</f>
        <v>219.21992414167985</v>
      </c>
      <c r="FE374" s="885">
        <f>Drivers!FE201</f>
        <v>224.62184404061972</v>
      </c>
      <c r="FF374" s="885">
        <f>Drivers!FF201</f>
        <v>229.60337248713012</v>
      </c>
      <c r="FG374" s="885">
        <f>Drivers!FG201</f>
        <v>234.18617770231333</v>
      </c>
      <c r="FH374" s="885">
        <f>Drivers!FH201</f>
        <v>238.39302650590537</v>
      </c>
      <c r="FI374" s="885">
        <f>Drivers!FI201</f>
        <v>242.24720391877676</v>
      </c>
    </row>
    <row r="375" spans="1:165" x14ac:dyDescent="0.3">
      <c r="A375" s="90" t="s">
        <v>371</v>
      </c>
      <c r="DZ375" s="900">
        <f>Drivers!DZ202</f>
        <v>432</v>
      </c>
      <c r="EA375" s="900">
        <f>Drivers!EA202</f>
        <v>419</v>
      </c>
      <c r="EB375" s="900">
        <f>Drivers!EB202</f>
        <v>411</v>
      </c>
      <c r="EC375" s="900">
        <f>Drivers!EC202</f>
        <v>418</v>
      </c>
      <c r="ED375" s="900">
        <f>Drivers!ED202</f>
        <v>1680</v>
      </c>
      <c r="EE375" s="900">
        <f>Drivers!EE202</f>
        <v>411</v>
      </c>
      <c r="EF375" s="900">
        <f>Drivers!EF202</f>
        <v>413</v>
      </c>
      <c r="EG375" s="900">
        <f>Drivers!EG202</f>
        <v>409</v>
      </c>
      <c r="EH375" s="900">
        <f>Drivers!EH202</f>
        <v>405</v>
      </c>
      <c r="EI375" s="900">
        <f>Drivers!EI202</f>
        <v>1638</v>
      </c>
      <c r="EJ375" s="900">
        <f>Drivers!EJ202</f>
        <v>407</v>
      </c>
      <c r="EK375" s="900">
        <f>Drivers!EK202</f>
        <v>421</v>
      </c>
      <c r="EL375" s="900">
        <f>Drivers!EL202</f>
        <v>424</v>
      </c>
      <c r="EM375" s="900">
        <f>Drivers!EM202</f>
        <v>436</v>
      </c>
      <c r="EN375" s="900">
        <f>Drivers!EN202</f>
        <v>1688</v>
      </c>
      <c r="EO375" s="900">
        <f>Drivers!EO202</f>
        <v>448</v>
      </c>
      <c r="EP375" s="900">
        <f>Drivers!EP202</f>
        <v>462</v>
      </c>
      <c r="EQ375" s="900">
        <f>Drivers!EQ202</f>
        <v>479</v>
      </c>
      <c r="ER375" s="900">
        <f>Drivers!ER202</f>
        <v>484</v>
      </c>
      <c r="ES375" s="900">
        <f>Drivers!ES202</f>
        <v>1873</v>
      </c>
      <c r="ET375" s="900">
        <f>Drivers!ET202</f>
        <v>505</v>
      </c>
      <c r="EU375" s="900">
        <f>Drivers!EU202</f>
        <v>523</v>
      </c>
      <c r="EV375" s="900">
        <f>Drivers!EV202</f>
        <v>537</v>
      </c>
      <c r="EW375" s="900">
        <f>Drivers!EW202</f>
        <v>557</v>
      </c>
      <c r="EX375" s="900">
        <f>Drivers!EX202</f>
        <v>2122</v>
      </c>
      <c r="EY375" s="900">
        <f>Drivers!EY202</f>
        <v>581.64224059635524</v>
      </c>
      <c r="EZ375" s="900">
        <f>Drivers!EZ202</f>
        <v>605.28098428235842</v>
      </c>
      <c r="FA375" s="900">
        <f>Drivers!FA202</f>
        <v>624.02557757179602</v>
      </c>
      <c r="FB375" s="900">
        <f>Drivers!FB202</f>
        <v>650.79208529248433</v>
      </c>
      <c r="FC375" s="900">
        <f>Drivers!FC202</f>
        <v>2461.7408877429939</v>
      </c>
      <c r="FD375" s="900">
        <f>Drivers!FD202</f>
        <v>2888.2922334087721</v>
      </c>
      <c r="FE375" s="900">
        <f>Drivers!FE202</f>
        <v>3332.2113980397544</v>
      </c>
      <c r="FF375" s="900">
        <f>Drivers!FF202</f>
        <v>3737.5009942105644</v>
      </c>
      <c r="FG375" s="900">
        <f>Drivers!FG202</f>
        <v>4088.6924075762499</v>
      </c>
      <c r="FH375" s="900">
        <f>Drivers!FH202</f>
        <v>4395.881381529277</v>
      </c>
      <c r="FI375" s="900">
        <f>Drivers!FI202</f>
        <v>4659.4453611297822</v>
      </c>
    </row>
    <row r="376" spans="1:165" x14ac:dyDescent="0.3">
      <c r="A376" t="s">
        <v>372</v>
      </c>
      <c r="DZ376" s="885">
        <f>Drivers!DZ203</f>
        <v>29.509132760841801</v>
      </c>
      <c r="EA376" s="885">
        <f>Drivers!EA203</f>
        <v>29.227028845945309</v>
      </c>
      <c r="EB376" s="885">
        <f>Drivers!EB203</f>
        <v>29.424490795312497</v>
      </c>
      <c r="EC376" s="885">
        <f>Drivers!EC203</f>
        <v>29.965658850000001</v>
      </c>
      <c r="ED376" s="885">
        <f>Drivers!ED203</f>
        <v>118.1263112520996</v>
      </c>
      <c r="EE376" s="885">
        <f>Drivers!EE203</f>
        <v>28.711331999999999</v>
      </c>
      <c r="EF376" s="885">
        <f>Drivers!EF203</f>
        <v>30.336555000000001</v>
      </c>
      <c r="EG376" s="885">
        <f>Drivers!EG203</f>
        <v>30.846</v>
      </c>
      <c r="EH376" s="885">
        <f>Drivers!EH203</f>
        <v>31.747949999999996</v>
      </c>
      <c r="EI376" s="885">
        <f>Drivers!EI203</f>
        <v>121.64183700000001</v>
      </c>
      <c r="EJ376" s="885">
        <f>Drivers!EJ203</f>
        <v>31.930800000000001</v>
      </c>
      <c r="EK376" s="885">
        <f>Drivers!EK203</f>
        <v>33.399540000000002</v>
      </c>
      <c r="EL376" s="885">
        <f>Drivers!EL203</f>
        <v>34.403669999999998</v>
      </c>
      <c r="EM376" s="885">
        <f>Drivers!EM203</f>
        <v>35.394239999999996</v>
      </c>
      <c r="EN376" s="885">
        <f>Drivers!EN203</f>
        <v>135.12825000000001</v>
      </c>
      <c r="EO376" s="885">
        <f>Drivers!EO203</f>
        <v>35.468159999999997</v>
      </c>
      <c r="EP376" s="885">
        <f>Drivers!EP203</f>
        <v>36.107999999999997</v>
      </c>
      <c r="EQ376" s="885">
        <f>Drivers!EQ203</f>
        <v>36.656880000000008</v>
      </c>
      <c r="ER376" s="885">
        <f>Drivers!ER203</f>
        <v>37.813949999999998</v>
      </c>
      <c r="ES376" s="885">
        <f>Drivers!ES203</f>
        <v>146.04698999999999</v>
      </c>
      <c r="ET376" s="885">
        <f>Drivers!ET203</f>
        <v>38.523600000000009</v>
      </c>
      <c r="EU376" s="885">
        <f>Drivers!EU203</f>
        <v>39.034169999999996</v>
      </c>
      <c r="EV376" s="885">
        <f>Drivers!EV203</f>
        <v>40.273679999999999</v>
      </c>
      <c r="EW376" s="885">
        <f>Drivers!EW203</f>
        <v>42.183720000000001</v>
      </c>
      <c r="EX376" s="885">
        <f>Drivers!EX203</f>
        <v>160.01517000000001</v>
      </c>
      <c r="EY376" s="885">
        <f>Drivers!EY203</f>
        <v>43.743016293735174</v>
      </c>
      <c r="EZ376" s="885">
        <f>Drivers!EZ203</f>
        <v>44.645216748948847</v>
      </c>
      <c r="FA376" s="885">
        <f>Drivers!FA203</f>
        <v>46.373671044648312</v>
      </c>
      <c r="FB376" s="885">
        <f>Drivers!FB203</f>
        <v>48.895791143336801</v>
      </c>
      <c r="FC376" s="885">
        <f>Drivers!FC203</f>
        <v>183.65769523066913</v>
      </c>
      <c r="FD376" s="885">
        <f>Drivers!FD203</f>
        <v>216.18548619846416</v>
      </c>
      <c r="FE376" s="885">
        <f>Drivers!FE203</f>
        <v>252.3207286794632</v>
      </c>
      <c r="FF376" s="885">
        <f>Drivers!FF203</f>
        <v>291.08107347734341</v>
      </c>
      <c r="FG376" s="885">
        <f>Drivers!FG203</f>
        <v>332.30565766865101</v>
      </c>
      <c r="FH376" s="885">
        <f>Drivers!FH203</f>
        <v>376.50891138800006</v>
      </c>
      <c r="FI376" s="885">
        <f>Drivers!FI203</f>
        <v>424.22404042431782</v>
      </c>
    </row>
    <row r="377" spans="1:165" x14ac:dyDescent="0.3">
      <c r="A377" t="s">
        <v>3752</v>
      </c>
      <c r="DZ377" s="885">
        <f>Drivers!DZ204</f>
        <v>262.49086723915821</v>
      </c>
      <c r="EA377" s="885">
        <f>Drivers!EA204</f>
        <v>261.77297115405469</v>
      </c>
      <c r="EB377" s="885">
        <f>Drivers!EB204</f>
        <v>248.57550920468751</v>
      </c>
      <c r="EC377" s="885">
        <f>Drivers!EC204</f>
        <v>242.03434114999999</v>
      </c>
      <c r="ED377" s="885">
        <f>Drivers!ED204</f>
        <v>1014.8736887479004</v>
      </c>
      <c r="EE377" s="885">
        <f>Drivers!EE204</f>
        <v>238.288668</v>
      </c>
      <c r="EF377" s="885">
        <f>Drivers!EF204</f>
        <v>236.663445</v>
      </c>
      <c r="EG377" s="885">
        <f>Drivers!EG204</f>
        <v>244.154</v>
      </c>
      <c r="EH377" s="885">
        <f>Drivers!EH204</f>
        <v>238.25205</v>
      </c>
      <c r="EI377" s="885">
        <f>Drivers!EI204</f>
        <v>957.3581630000001</v>
      </c>
      <c r="EJ377" s="885">
        <f>Drivers!EJ204</f>
        <v>233.0692</v>
      </c>
      <c r="EK377" s="885">
        <f>Drivers!EK204</f>
        <v>230.60046</v>
      </c>
      <c r="EL377" s="885">
        <f>Drivers!EL204</f>
        <v>232.59632999999999</v>
      </c>
      <c r="EM377" s="885">
        <f>Drivers!EM204</f>
        <v>249.60576</v>
      </c>
      <c r="EN377" s="885">
        <f>Drivers!EN204</f>
        <v>945.87175000000002</v>
      </c>
      <c r="EO377" s="885">
        <f>Drivers!EO204</f>
        <v>245.53183999999999</v>
      </c>
      <c r="EP377" s="885">
        <f>Drivers!EP204</f>
        <v>247.892</v>
      </c>
      <c r="EQ377" s="885">
        <f>Drivers!EQ204</f>
        <v>244.34312</v>
      </c>
      <c r="ER377" s="885">
        <f>Drivers!ER204</f>
        <v>240.18604999999999</v>
      </c>
      <c r="ES377" s="885">
        <f>Drivers!ES204</f>
        <v>977.95300999999995</v>
      </c>
      <c r="ET377" s="885">
        <f>Drivers!ET204</f>
        <v>261.47640000000001</v>
      </c>
      <c r="EU377" s="885">
        <f>Drivers!EU204</f>
        <v>277.96582999999998</v>
      </c>
      <c r="EV377" s="885">
        <f>Drivers!EV204</f>
        <v>289.72631999999999</v>
      </c>
      <c r="EW377" s="885">
        <f>Drivers!EW204</f>
        <v>290.81628000000001</v>
      </c>
      <c r="EX377" s="885">
        <f>Drivers!EX204</f>
        <v>1119.9848299999999</v>
      </c>
      <c r="EY377" s="885">
        <f>Drivers!EY204</f>
        <v>269.32069200000001</v>
      </c>
      <c r="EZ377" s="885">
        <f>Drivers!EZ204</f>
        <v>286.30480489999997</v>
      </c>
      <c r="FA377" s="885">
        <f>Drivers!FA204</f>
        <v>298.41810959999998</v>
      </c>
      <c r="FB377" s="885">
        <f>Drivers!FB204</f>
        <v>299.54076839999999</v>
      </c>
      <c r="FC377" s="885">
        <f>Drivers!FC204</f>
        <v>1153.5843748999998</v>
      </c>
      <c r="FD377" s="885">
        <f>Drivers!FD204</f>
        <v>1179.5400233352498</v>
      </c>
      <c r="FE377" s="885">
        <f>Drivers!FE204</f>
        <v>1199.4447612290321</v>
      </c>
      <c r="FF377" s="885">
        <f>Drivers!FF204</f>
        <v>1214.6252339883372</v>
      </c>
      <c r="FG377" s="885">
        <f>Drivers!FG204</f>
        <v>1226.1546844515858</v>
      </c>
      <c r="FH377" s="885">
        <f>Drivers!FH204</f>
        <v>1234.8838520781992</v>
      </c>
      <c r="FI377" s="885">
        <f>Drivers!FI204</f>
        <v>1241.4773359270639</v>
      </c>
    </row>
    <row r="378" spans="1:165" x14ac:dyDescent="0.3">
      <c r="A378" t="s">
        <v>374</v>
      </c>
      <c r="DZ378" s="885">
        <f>Drivers!DZ205</f>
        <v>292</v>
      </c>
      <c r="EA378" s="885">
        <f>Drivers!EA205</f>
        <v>291</v>
      </c>
      <c r="EB378" s="885">
        <f>Drivers!EB205</f>
        <v>278</v>
      </c>
      <c r="EC378" s="885">
        <f>Drivers!EC205</f>
        <v>272</v>
      </c>
      <c r="ED378" s="885">
        <f>Drivers!ED205</f>
        <v>1133</v>
      </c>
      <c r="EE378" s="885">
        <f>Drivers!EE205</f>
        <v>267</v>
      </c>
      <c r="EF378" s="885">
        <f>Drivers!EF205</f>
        <v>267</v>
      </c>
      <c r="EG378" s="885">
        <f>Drivers!EG205</f>
        <v>275</v>
      </c>
      <c r="EH378" s="885">
        <f>Drivers!EH205</f>
        <v>270</v>
      </c>
      <c r="EI378" s="885">
        <f>Drivers!EI205</f>
        <v>1079</v>
      </c>
      <c r="EJ378" s="885">
        <f>Drivers!EJ205</f>
        <v>265</v>
      </c>
      <c r="EK378" s="885">
        <f>Drivers!EK205</f>
        <v>264</v>
      </c>
      <c r="EL378" s="885">
        <f>Drivers!EL205</f>
        <v>267</v>
      </c>
      <c r="EM378" s="885">
        <f>Drivers!EM205</f>
        <v>285</v>
      </c>
      <c r="EN378" s="885">
        <f>Drivers!EN205</f>
        <v>1081</v>
      </c>
      <c r="EO378" s="885">
        <f>Drivers!EO205</f>
        <v>281</v>
      </c>
      <c r="EP378" s="885">
        <f>Drivers!EP205</f>
        <v>284</v>
      </c>
      <c r="EQ378" s="885">
        <f>Drivers!EQ205</f>
        <v>281</v>
      </c>
      <c r="ER378" s="885">
        <f>Drivers!ER205</f>
        <v>278</v>
      </c>
      <c r="ES378" s="885">
        <f>Drivers!ES205</f>
        <v>1124</v>
      </c>
      <c r="ET378" s="885">
        <f>Drivers!ET205</f>
        <v>300</v>
      </c>
      <c r="EU378" s="885">
        <f>Drivers!EU205</f>
        <v>317</v>
      </c>
      <c r="EV378" s="885">
        <f>Drivers!EV205</f>
        <v>330</v>
      </c>
      <c r="EW378" s="885">
        <f>Drivers!EW205</f>
        <v>333</v>
      </c>
      <c r="EX378" s="885">
        <f>Drivers!EX205</f>
        <v>1280</v>
      </c>
      <c r="EY378" s="885">
        <f>Drivers!EY205</f>
        <v>313.0637082937352</v>
      </c>
      <c r="EZ378" s="885">
        <f>Drivers!EZ205</f>
        <v>330.95002164894879</v>
      </c>
      <c r="FA378" s="885">
        <f>Drivers!FA205</f>
        <v>344.79178064464827</v>
      </c>
      <c r="FB378" s="885">
        <f>Drivers!FB205</f>
        <v>348.43655954333678</v>
      </c>
      <c r="FC378" s="885">
        <f>Drivers!FC205</f>
        <v>1337.2420701306692</v>
      </c>
      <c r="FD378" s="885">
        <f>Drivers!FD205</f>
        <v>1395.7255095337139</v>
      </c>
      <c r="FE378" s="885">
        <f>Drivers!FE205</f>
        <v>1451.7654899084953</v>
      </c>
      <c r="FF378" s="885">
        <f>Drivers!FF205</f>
        <v>1505.7063074656805</v>
      </c>
      <c r="FG378" s="885">
        <f>Drivers!FG205</f>
        <v>1558.4603421202369</v>
      </c>
      <c r="FH378" s="885">
        <f>Drivers!FH205</f>
        <v>1611.3927634661993</v>
      </c>
      <c r="FI378" s="885">
        <f>Drivers!FI205</f>
        <v>1665.7013763513817</v>
      </c>
    </row>
    <row r="379" spans="1:165" x14ac:dyDescent="0.3">
      <c r="A379" s="90" t="s">
        <v>375</v>
      </c>
      <c r="DZ379" s="900">
        <f>Drivers!DZ206</f>
        <v>724</v>
      </c>
      <c r="EA379" s="900">
        <f>Drivers!EA206</f>
        <v>710</v>
      </c>
      <c r="EB379" s="900">
        <f>Drivers!EB206</f>
        <v>689</v>
      </c>
      <c r="EC379" s="900">
        <f>Drivers!EC206</f>
        <v>690</v>
      </c>
      <c r="ED379" s="900">
        <f>Drivers!ED206</f>
        <v>2813</v>
      </c>
      <c r="EE379" s="900">
        <f>Drivers!EE206</f>
        <v>678</v>
      </c>
      <c r="EF379" s="900">
        <f>Drivers!EF206</f>
        <v>680</v>
      </c>
      <c r="EG379" s="900">
        <f>Drivers!EG206</f>
        <v>684</v>
      </c>
      <c r="EH379" s="900">
        <f>Drivers!EH206</f>
        <v>675</v>
      </c>
      <c r="EI379" s="900">
        <f>Drivers!EI206</f>
        <v>2717</v>
      </c>
      <c r="EJ379" s="900">
        <f>Drivers!EJ206</f>
        <v>672</v>
      </c>
      <c r="EK379" s="900">
        <f>Drivers!EK206</f>
        <v>685</v>
      </c>
      <c r="EL379" s="900">
        <f>Drivers!EL206</f>
        <v>691</v>
      </c>
      <c r="EM379" s="900">
        <f>Drivers!EM206</f>
        <v>721</v>
      </c>
      <c r="EN379" s="900">
        <f>Drivers!EN206</f>
        <v>2769</v>
      </c>
      <c r="EO379" s="900">
        <f>Drivers!EO206</f>
        <v>729</v>
      </c>
      <c r="EP379" s="900">
        <f>Drivers!EP206</f>
        <v>746</v>
      </c>
      <c r="EQ379" s="900">
        <f>Drivers!EQ206</f>
        <v>760</v>
      </c>
      <c r="ER379" s="900">
        <f>Drivers!ER206</f>
        <v>762</v>
      </c>
      <c r="ES379" s="900">
        <f>Drivers!ES206</f>
        <v>2997</v>
      </c>
      <c r="ET379" s="900">
        <f>Drivers!ET206</f>
        <v>805</v>
      </c>
      <c r="EU379" s="900">
        <f>Drivers!EU206</f>
        <v>840</v>
      </c>
      <c r="EV379" s="900">
        <f>Drivers!EV206</f>
        <v>867</v>
      </c>
      <c r="EW379" s="900">
        <f>Drivers!EW206</f>
        <v>890</v>
      </c>
      <c r="EX379" s="900">
        <f>Drivers!EX206</f>
        <v>3402</v>
      </c>
      <c r="EY379" s="900">
        <f>Drivers!EY206</f>
        <v>894.70594889009044</v>
      </c>
      <c r="EZ379" s="900">
        <f>Drivers!EZ206</f>
        <v>936.23100593130721</v>
      </c>
      <c r="FA379" s="900">
        <f>Drivers!FA206</f>
        <v>968.81735821644429</v>
      </c>
      <c r="FB379" s="900">
        <f>Drivers!FB206</f>
        <v>999.22864483582111</v>
      </c>
      <c r="FC379" s="900">
        <f>Drivers!FC206</f>
        <v>3798.9829578736626</v>
      </c>
      <c r="FD379" s="900">
        <f>Drivers!FD206</f>
        <v>4284.0177429424857</v>
      </c>
      <c r="FE379" s="900">
        <f>Drivers!FE206</f>
        <v>4783.9768879482499</v>
      </c>
      <c r="FF379" s="900">
        <f>Drivers!FF206</f>
        <v>5243.2073016762452</v>
      </c>
      <c r="FG379" s="900">
        <f>Drivers!FG206</f>
        <v>5647.1527496964864</v>
      </c>
      <c r="FH379" s="900">
        <f>Drivers!FH206</f>
        <v>6007.2741449954765</v>
      </c>
      <c r="FI379" s="900">
        <f>Drivers!FI206</f>
        <v>6325.1467374811637</v>
      </c>
    </row>
    <row r="380" spans="1:165" x14ac:dyDescent="0.3">
      <c r="A380" s="342"/>
    </row>
    <row r="381" spans="1:165" x14ac:dyDescent="0.3">
      <c r="A381" s="341" t="s">
        <v>3699</v>
      </c>
    </row>
    <row r="382" spans="1:165" x14ac:dyDescent="0.3">
      <c r="A382" s="109" t="s">
        <v>385</v>
      </c>
      <c r="DZ382" s="885">
        <f>Drivers!DZ217</f>
        <v>144.24242424242425</v>
      </c>
      <c r="EA382" s="885">
        <f>Drivers!EA217</f>
        <v>131.59070598748883</v>
      </c>
      <c r="EB382" s="885">
        <f>Drivers!EB217</f>
        <v>115.54789272030651</v>
      </c>
      <c r="EC382" s="885">
        <f>Drivers!EC217</f>
        <v>98.779381443298959</v>
      </c>
      <c r="ED382" s="885">
        <f>Drivers!ED217</f>
        <v>490.16040439351855</v>
      </c>
      <c r="EE382" s="885">
        <f>Drivers!EE217</f>
        <v>94.705298013245041</v>
      </c>
      <c r="EF382" s="885">
        <f>Drivers!EF217</f>
        <v>92.170212765957444</v>
      </c>
      <c r="EG382" s="885">
        <f>Drivers!EG217</f>
        <v>81.018867924528294</v>
      </c>
      <c r="EH382" s="885">
        <f>Drivers!EH217</f>
        <v>79.432360742705569</v>
      </c>
      <c r="EI382" s="885">
        <f>Drivers!EI217</f>
        <v>347.32673944643636</v>
      </c>
      <c r="EJ382" s="885">
        <f>Drivers!EJ217</f>
        <v>78.948539638386649</v>
      </c>
      <c r="EK382" s="885">
        <f>Drivers!EK217</f>
        <v>74.626099706744867</v>
      </c>
      <c r="EL382" s="885">
        <f>Drivers!EL217</f>
        <v>69.879875195007813</v>
      </c>
      <c r="EM382" s="885">
        <f>Drivers!EM217</f>
        <v>66.562913907284766</v>
      </c>
      <c r="EN382" s="885">
        <f>Drivers!EN217</f>
        <v>290.01742844742409</v>
      </c>
      <c r="EO382" s="885">
        <f>Drivers!EO217</f>
        <v>67.066666666666677</v>
      </c>
      <c r="EP382" s="885">
        <f>Drivers!EP217</f>
        <v>63.378531073446339</v>
      </c>
      <c r="EQ382" s="885">
        <f>Drivers!EQ217</f>
        <v>58.91038696537678</v>
      </c>
      <c r="ER382" s="885">
        <f>Drivers!ER217</f>
        <v>55.672489082969435</v>
      </c>
      <c r="ES382" s="885">
        <f>Drivers!ES217</f>
        <v>245.02807378845924</v>
      </c>
      <c r="ET382" s="885">
        <f>Drivers!ET217</f>
        <v>56.307692307692307</v>
      </c>
      <c r="EU382" s="885">
        <f>Drivers!EU217</f>
        <v>53.152500000000003</v>
      </c>
      <c r="EV382" s="885">
        <f>Drivers!EV217</f>
        <v>49.438172043010766</v>
      </c>
      <c r="EW382" s="885">
        <f>Drivers!EW217</f>
        <v>43.875722543352595</v>
      </c>
      <c r="EX382" s="885">
        <f>Drivers!EX217</f>
        <v>202.77408689405567</v>
      </c>
      <c r="EY382" s="885">
        <f>Drivers!EY217</f>
        <v>46.553959668621715</v>
      </c>
      <c r="EZ382" s="885">
        <f>Drivers!EZ217</f>
        <v>43.977358933016873</v>
      </c>
      <c r="FA382" s="885">
        <f>Drivers!FA217</f>
        <v>40.919167914266339</v>
      </c>
      <c r="FB382" s="885">
        <f>Drivers!FB217</f>
        <v>36.472123773124174</v>
      </c>
      <c r="FC382" s="885">
        <f>Drivers!FC217</f>
        <v>167.92261028902908</v>
      </c>
      <c r="FD382" s="885">
        <f>Drivers!FD217</f>
        <v>136.86630785563733</v>
      </c>
      <c r="FE382" s="885">
        <f>Drivers!FE217</f>
        <v>109.82528675488913</v>
      </c>
      <c r="FF382" s="885">
        <f>Drivers!FF217</f>
        <v>88.006560497232485</v>
      </c>
      <c r="FG382" s="885">
        <f>Drivers!FG217</f>
        <v>70.434445604752653</v>
      </c>
      <c r="FH382" s="885">
        <f>Drivers!FH217</f>
        <v>56.306354476303326</v>
      </c>
      <c r="FI382" s="885">
        <f>Drivers!FI217</f>
        <v>44.964743139316788</v>
      </c>
    </row>
    <row r="383" spans="1:165" x14ac:dyDescent="0.3">
      <c r="A383" s="56" t="s">
        <v>388</v>
      </c>
      <c r="DZ383" s="885">
        <f>Drivers!DZ222</f>
        <v>259.89444523501714</v>
      </c>
      <c r="EA383" s="885">
        <f>Drivers!EA222</f>
        <v>239.18204475860492</v>
      </c>
      <c r="EB383" s="885">
        <f>Drivers!EB222</f>
        <v>253.90563368594351</v>
      </c>
      <c r="EC383" s="885">
        <f>Drivers!EC222</f>
        <v>256.28731230670104</v>
      </c>
      <c r="ED383" s="885">
        <f>Drivers!ED222</f>
        <v>1009.2694359862667</v>
      </c>
      <c r="EE383" s="885">
        <f>Drivers!EE222</f>
        <v>253.83945198675494</v>
      </c>
      <c r="EF383" s="885">
        <f>Drivers!EF222</f>
        <v>250.78728723404257</v>
      </c>
      <c r="EG383" s="885">
        <f>Drivers!EG222</f>
        <v>262.99363207547168</v>
      </c>
      <c r="EH383" s="885">
        <f>Drivers!EH222</f>
        <v>258.91513925729441</v>
      </c>
      <c r="EI383" s="885">
        <f>Drivers!EI222</f>
        <v>1026.5355105535637</v>
      </c>
      <c r="EJ383" s="885">
        <f>Drivers!EJ222</f>
        <v>253.14896036161332</v>
      </c>
      <c r="EK383" s="885">
        <f>Drivers!EK222</f>
        <v>250.01890029325511</v>
      </c>
      <c r="EL383" s="885">
        <f>Drivers!EL222</f>
        <v>274.06512480499219</v>
      </c>
      <c r="EM383" s="885">
        <f>Drivers!EM222</f>
        <v>254.16458609271521</v>
      </c>
      <c r="EN383" s="885">
        <f>Drivers!EN222</f>
        <v>1031.3975715525758</v>
      </c>
      <c r="EO383" s="885">
        <f>Drivers!EO222</f>
        <v>261.94833333333332</v>
      </c>
      <c r="EP383" s="885">
        <f>Drivers!EP222</f>
        <v>278.14896892655366</v>
      </c>
      <c r="EQ383" s="885">
        <f>Drivers!EQ222</f>
        <v>288.33211303462315</v>
      </c>
      <c r="ER383" s="885">
        <f>Drivers!ER222</f>
        <v>261.90251091703055</v>
      </c>
      <c r="ES383" s="885">
        <f>Drivers!ES222</f>
        <v>1090.3319262115406</v>
      </c>
      <c r="ET383" s="885">
        <f>Drivers!ET222</f>
        <v>296.39730769230766</v>
      </c>
      <c r="EU383" s="885">
        <f>Drivers!EU222</f>
        <v>308.50249999999994</v>
      </c>
      <c r="EV383" s="885">
        <f>Drivers!EV222</f>
        <v>322.71682795698922</v>
      </c>
      <c r="EW383" s="885">
        <f>Drivers!EW222</f>
        <v>302.66677745664737</v>
      </c>
      <c r="EX383" s="885">
        <f>Drivers!EX222</f>
        <v>1230.2834131059442</v>
      </c>
      <c r="EY383" s="885">
        <f>Drivers!EY222</f>
        <v>317.94924751965925</v>
      </c>
      <c r="EZ383" s="885">
        <f>Drivers!EZ222</f>
        <v>327.8084661467725</v>
      </c>
      <c r="FA383" s="885">
        <f>Drivers!FA222</f>
        <v>339.72471719583854</v>
      </c>
      <c r="FB383" s="885">
        <f>Drivers!FB222</f>
        <v>316.41824169230995</v>
      </c>
      <c r="FC383" s="885">
        <f>Drivers!FC222</f>
        <v>1301.9006725545803</v>
      </c>
      <c r="FD383" s="885">
        <f>Drivers!FD222</f>
        <v>1396.0859345563053</v>
      </c>
      <c r="FE383" s="885">
        <f>Drivers!FE222</f>
        <v>1417.6048754585559</v>
      </c>
      <c r="FF383" s="885">
        <f>Drivers!FF222</f>
        <v>1442.51928114474</v>
      </c>
      <c r="FG383" s="885">
        <f>Drivers!FG222</f>
        <v>1467.7076512575386</v>
      </c>
      <c r="FH383" s="885">
        <f>Drivers!FH222</f>
        <v>1493.1715781888699</v>
      </c>
      <c r="FI383" s="885">
        <f>Drivers!FI222</f>
        <v>1518.9126804128855</v>
      </c>
    </row>
    <row r="384" spans="1:165" x14ac:dyDescent="0.3">
      <c r="A384" s="56" t="s">
        <v>392</v>
      </c>
      <c r="DZ384" s="885">
        <f>Drivers!DZ230</f>
        <v>58.863130522558599</v>
      </c>
      <c r="EA384" s="885">
        <f>Drivers!EA230</f>
        <v>59.227249253906251</v>
      </c>
      <c r="EB384" s="885">
        <f>Drivers!EB230</f>
        <v>59.546473593750001</v>
      </c>
      <c r="EC384" s="885">
        <f>Drivers!EC230</f>
        <v>59.933306249999994</v>
      </c>
      <c r="ED384" s="885">
        <f>Drivers!ED230</f>
        <v>237.57015962021484</v>
      </c>
      <c r="EE384" s="885">
        <f>Drivers!EE230</f>
        <v>60.455249999999999</v>
      </c>
      <c r="EF384" s="885">
        <f>Drivers!EF230</f>
        <v>61.042499999999997</v>
      </c>
      <c r="EG384" s="885">
        <f>Drivers!EG230</f>
        <v>61.987499999999997</v>
      </c>
      <c r="EH384" s="885">
        <f>Drivers!EH230</f>
        <v>63.652500000000003</v>
      </c>
      <c r="EI384" s="885">
        <f>Drivers!EI230</f>
        <v>247.13775000000001</v>
      </c>
      <c r="EJ384" s="885">
        <f>Drivers!EJ230</f>
        <v>65.902500000000018</v>
      </c>
      <c r="EK384" s="885">
        <f>Drivers!EK230</f>
        <v>68.355000000000018</v>
      </c>
      <c r="EL384" s="885">
        <f>Drivers!EL230</f>
        <v>71.055000000000021</v>
      </c>
      <c r="EM384" s="885">
        <f>Drivers!EM230</f>
        <v>74.272500000000008</v>
      </c>
      <c r="EN384" s="885">
        <f>Drivers!EN230</f>
        <v>279.58500000000004</v>
      </c>
      <c r="EO384" s="885">
        <f>Drivers!EO230</f>
        <v>77.985000000000014</v>
      </c>
      <c r="EP384" s="885">
        <f>Drivers!EP230</f>
        <v>81.472500000000011</v>
      </c>
      <c r="EQ384" s="885">
        <f>Drivers!EQ230</f>
        <v>84.757500000000022</v>
      </c>
      <c r="ER384" s="885">
        <f>Drivers!ER230</f>
        <v>88.425000000000011</v>
      </c>
      <c r="ES384" s="885">
        <f>Drivers!ES230</f>
        <v>332.6400000000001</v>
      </c>
      <c r="ET384" s="885">
        <f>Drivers!ET230</f>
        <v>92.29500000000003</v>
      </c>
      <c r="EU384" s="885">
        <f>Drivers!EU230</f>
        <v>96.345000000000027</v>
      </c>
      <c r="EV384" s="885">
        <f>Drivers!EV230</f>
        <v>100.84500000000004</v>
      </c>
      <c r="EW384" s="885">
        <f>Drivers!EW230</f>
        <v>105.45750000000004</v>
      </c>
      <c r="EX384" s="885">
        <f>Drivers!EX230</f>
        <v>394.94250000000011</v>
      </c>
      <c r="EY384" s="885">
        <f>Drivers!EY230</f>
        <v>110.16545935659784</v>
      </c>
      <c r="EZ384" s="885">
        <f>Drivers!EZ230</f>
        <v>115.16817839706168</v>
      </c>
      <c r="FA384" s="885">
        <f>Drivers!FA230</f>
        <v>120.40076539237963</v>
      </c>
      <c r="FB384" s="885">
        <f>Drivers!FB230</f>
        <v>126.04565879684975</v>
      </c>
      <c r="FC384" s="885">
        <f>Drivers!FC230</f>
        <v>471.78006194288889</v>
      </c>
      <c r="FD384" s="885">
        <f>Drivers!FD230</f>
        <v>561.31216932883808</v>
      </c>
      <c r="FE384" s="885">
        <f>Drivers!FE230</f>
        <v>646.99502268082426</v>
      </c>
      <c r="FF384" s="885">
        <f>Drivers!FF230</f>
        <v>717.39275013611348</v>
      </c>
      <c r="FG384" s="885">
        <f>Drivers!FG230</f>
        <v>771.10877193459453</v>
      </c>
      <c r="FH384" s="885">
        <f>Drivers!FH230</f>
        <v>811.80604393142858</v>
      </c>
      <c r="FI384" s="885">
        <f>Drivers!FI230</f>
        <v>840.95556844828684</v>
      </c>
    </row>
    <row r="385" spans="1:165" x14ac:dyDescent="0.3">
      <c r="A385" s="56" t="s">
        <v>393</v>
      </c>
      <c r="DZ385" s="885">
        <f>Drivers!DZ235</f>
        <v>318.75757575757575</v>
      </c>
      <c r="EA385" s="885">
        <f>Drivers!EA235</f>
        <v>298.40929401251117</v>
      </c>
      <c r="EB385" s="885">
        <f>Drivers!EB235</f>
        <v>313.45210727969351</v>
      </c>
      <c r="EC385" s="885">
        <f>Drivers!EC235</f>
        <v>316.22061855670103</v>
      </c>
      <c r="ED385" s="885">
        <f>Drivers!ED235</f>
        <v>1246.8395956064815</v>
      </c>
      <c r="EE385" s="885">
        <f>Drivers!EE235</f>
        <v>314.29470198675494</v>
      </c>
      <c r="EF385" s="885">
        <f>Drivers!EF235</f>
        <v>311.82978723404256</v>
      </c>
      <c r="EG385" s="885">
        <f>Drivers!EG235</f>
        <v>324.98113207547169</v>
      </c>
      <c r="EH385" s="885">
        <f>Drivers!EH235</f>
        <v>322.56763925729445</v>
      </c>
      <c r="EI385" s="885">
        <f>Drivers!EI235</f>
        <v>1273.6732605535635</v>
      </c>
      <c r="EJ385" s="885">
        <f>Drivers!EJ235</f>
        <v>319.05146036161335</v>
      </c>
      <c r="EK385" s="885">
        <f>Drivers!EK235</f>
        <v>318.37390029325513</v>
      </c>
      <c r="EL385" s="885">
        <f>Drivers!EL235</f>
        <v>345.1201248049922</v>
      </c>
      <c r="EM385" s="885">
        <f>Drivers!EM235</f>
        <v>328.43708609271522</v>
      </c>
      <c r="EN385" s="885">
        <f>Drivers!EN235</f>
        <v>1310.9825715525758</v>
      </c>
      <c r="EO385" s="885">
        <f>Drivers!EO235</f>
        <v>339.93333333333334</v>
      </c>
      <c r="EP385" s="885">
        <f>Drivers!EP235</f>
        <v>359.62146892655369</v>
      </c>
      <c r="EQ385" s="885">
        <f>Drivers!EQ235</f>
        <v>373.0896130346232</v>
      </c>
      <c r="ER385" s="885">
        <f>Drivers!ER235</f>
        <v>350.32751091703057</v>
      </c>
      <c r="ES385" s="885">
        <f>Drivers!ES235</f>
        <v>1422.9719262115409</v>
      </c>
      <c r="ET385" s="885">
        <f>Drivers!ET235</f>
        <v>388.69230769230768</v>
      </c>
      <c r="EU385" s="885">
        <f>Drivers!EU235</f>
        <v>404.84749999999997</v>
      </c>
      <c r="EV385" s="885">
        <f>Drivers!EV235</f>
        <v>423.56182795698925</v>
      </c>
      <c r="EW385" s="885">
        <f>Drivers!EW235</f>
        <v>408.12427745664741</v>
      </c>
      <c r="EX385" s="885">
        <f>Drivers!EX235</f>
        <v>1625.2259131059443</v>
      </c>
      <c r="EY385" s="885">
        <f>Drivers!EY235</f>
        <v>428.11470687625706</v>
      </c>
      <c r="EZ385" s="885">
        <f>Drivers!EZ235</f>
        <v>442.9766445438342</v>
      </c>
      <c r="FA385" s="885">
        <f>Drivers!FA235</f>
        <v>460.12548258821818</v>
      </c>
      <c r="FB385" s="885">
        <f>Drivers!FB235</f>
        <v>442.4639004891597</v>
      </c>
      <c r="FC385" s="885">
        <f>Drivers!FC235</f>
        <v>1773.6807344974691</v>
      </c>
      <c r="FD385" s="885">
        <f>Drivers!FD235</f>
        <v>1957.3981038851434</v>
      </c>
      <c r="FE385" s="885">
        <f>Drivers!FE235</f>
        <v>2064.59989813938</v>
      </c>
      <c r="FF385" s="885">
        <f>Drivers!FF235</f>
        <v>2159.9120312808536</v>
      </c>
      <c r="FG385" s="885">
        <f>Drivers!FG235</f>
        <v>2238.8164231921332</v>
      </c>
      <c r="FH385" s="885">
        <f>Drivers!FH235</f>
        <v>2304.9776221202983</v>
      </c>
      <c r="FI385" s="885">
        <f>Drivers!FI235</f>
        <v>2359.8682488611721</v>
      </c>
    </row>
    <row r="386" spans="1:165" x14ac:dyDescent="0.3">
      <c r="A386" s="56" t="s">
        <v>395</v>
      </c>
      <c r="DZ386" s="885">
        <f>Drivers!DZ243</f>
        <v>463</v>
      </c>
      <c r="EA386" s="885">
        <f>Drivers!EA243</f>
        <v>430</v>
      </c>
      <c r="EB386" s="885">
        <f>Drivers!EB243</f>
        <v>429</v>
      </c>
      <c r="EC386" s="885">
        <f>Drivers!EC243</f>
        <v>415</v>
      </c>
      <c r="ED386" s="885">
        <f>Drivers!ED243</f>
        <v>1737</v>
      </c>
      <c r="EE386" s="885">
        <f>Drivers!EE243</f>
        <v>409</v>
      </c>
      <c r="EF386" s="885">
        <f>Drivers!EF243</f>
        <v>404</v>
      </c>
      <c r="EG386" s="885">
        <f>Drivers!EG243</f>
        <v>406</v>
      </c>
      <c r="EH386" s="885">
        <f>Drivers!EH243</f>
        <v>402</v>
      </c>
      <c r="EI386" s="885">
        <f>Drivers!EI243</f>
        <v>1621</v>
      </c>
      <c r="EJ386" s="885">
        <f>Drivers!EJ243</f>
        <v>398</v>
      </c>
      <c r="EK386" s="885">
        <f>Drivers!EK243</f>
        <v>393</v>
      </c>
      <c r="EL386" s="885">
        <f>Drivers!EL243</f>
        <v>415</v>
      </c>
      <c r="EM386" s="885">
        <f>Drivers!EM243</f>
        <v>395</v>
      </c>
      <c r="EN386" s="885">
        <f>Drivers!EN243</f>
        <v>1601</v>
      </c>
      <c r="EO386" s="885">
        <f>Drivers!EO243</f>
        <v>407</v>
      </c>
      <c r="EP386" s="885">
        <f>Drivers!EP243</f>
        <v>423</v>
      </c>
      <c r="EQ386" s="885">
        <f>Drivers!EQ243</f>
        <v>432</v>
      </c>
      <c r="ER386" s="885">
        <f>Drivers!ER243</f>
        <v>406</v>
      </c>
      <c r="ES386" s="885">
        <f>Drivers!ES243</f>
        <v>1668</v>
      </c>
      <c r="ET386" s="885">
        <f>Drivers!ET243</f>
        <v>445</v>
      </c>
      <c r="EU386" s="885">
        <f>Drivers!EU243</f>
        <v>458</v>
      </c>
      <c r="EV386" s="885">
        <f>Drivers!EV243</f>
        <v>473</v>
      </c>
      <c r="EW386" s="885">
        <f>Drivers!EW243</f>
        <v>452</v>
      </c>
      <c r="EX386" s="885">
        <f>Drivers!EX243</f>
        <v>1828</v>
      </c>
      <c r="EY386" s="885">
        <f>Drivers!EY243</f>
        <v>474.66866654487876</v>
      </c>
      <c r="EZ386" s="885">
        <f>Drivers!EZ243</f>
        <v>486.95400347685108</v>
      </c>
      <c r="FA386" s="885">
        <f>Drivers!FA243</f>
        <v>501.0446505024845</v>
      </c>
      <c r="FB386" s="885">
        <f>Drivers!FB243</f>
        <v>478.93602426228387</v>
      </c>
      <c r="FC386" s="885">
        <f>Drivers!FC243</f>
        <v>1941.6033447864982</v>
      </c>
      <c r="FD386" s="885">
        <f>Drivers!FD243</f>
        <v>2094.2644117407808</v>
      </c>
      <c r="FE386" s="885">
        <f>Drivers!FE243</f>
        <v>2174.425184894269</v>
      </c>
      <c r="FF386" s="885">
        <f>Drivers!FF243</f>
        <v>2247.918591778086</v>
      </c>
      <c r="FG386" s="885">
        <f>Drivers!FG243</f>
        <v>2309.2508687968857</v>
      </c>
      <c r="FH386" s="885">
        <f>Drivers!FH243</f>
        <v>2361.2839765966014</v>
      </c>
      <c r="FI386" s="885">
        <f>Drivers!FI243</f>
        <v>2404.832992000489</v>
      </c>
    </row>
    <row r="387" spans="1:165" x14ac:dyDescent="0.3">
      <c r="A387" s="90" t="s">
        <v>396</v>
      </c>
      <c r="DZ387" s="885">
        <f>Drivers!DZ251</f>
        <v>261</v>
      </c>
      <c r="EA387" s="885">
        <f>Drivers!EA251</f>
        <v>280</v>
      </c>
      <c r="EB387" s="885">
        <f>Drivers!EB251</f>
        <v>260</v>
      </c>
      <c r="EC387" s="885">
        <f>Drivers!EC251</f>
        <v>275</v>
      </c>
      <c r="ED387" s="885">
        <f>Drivers!ED251</f>
        <v>1076</v>
      </c>
      <c r="EE387" s="885">
        <f>Drivers!EE251</f>
        <v>269</v>
      </c>
      <c r="EF387" s="885">
        <f>Drivers!EF251</f>
        <v>276</v>
      </c>
      <c r="EG387" s="885">
        <f>Drivers!EG251</f>
        <v>278</v>
      </c>
      <c r="EH387" s="885">
        <f>Drivers!EH251</f>
        <v>273</v>
      </c>
      <c r="EI387" s="885">
        <f>Drivers!EI251</f>
        <v>1096</v>
      </c>
      <c r="EJ387" s="885">
        <f>Drivers!EJ251</f>
        <v>274</v>
      </c>
      <c r="EK387" s="885">
        <f>Drivers!EK251</f>
        <v>292</v>
      </c>
      <c r="EL387" s="885">
        <f>Drivers!EL251</f>
        <v>276</v>
      </c>
      <c r="EM387" s="885">
        <f>Drivers!EM251</f>
        <v>326</v>
      </c>
      <c r="EN387" s="885">
        <f>Drivers!EN251</f>
        <v>1168</v>
      </c>
      <c r="EO387" s="885">
        <f>Drivers!EO251</f>
        <v>322</v>
      </c>
      <c r="EP387" s="885">
        <f>Drivers!EP251</f>
        <v>323</v>
      </c>
      <c r="EQ387" s="885">
        <f>Drivers!EQ251</f>
        <v>328</v>
      </c>
      <c r="ER387" s="885">
        <f>Drivers!ER251</f>
        <v>356</v>
      </c>
      <c r="ES387" s="885">
        <f>Drivers!ES251</f>
        <v>1329</v>
      </c>
      <c r="ET387" s="885">
        <f>Drivers!ET251</f>
        <v>360</v>
      </c>
      <c r="EU387" s="885">
        <f>Drivers!EU251</f>
        <v>382</v>
      </c>
      <c r="EV387" s="885">
        <f>Drivers!EV251</f>
        <v>394</v>
      </c>
      <c r="EW387" s="885">
        <f>Drivers!EW251</f>
        <v>438</v>
      </c>
      <c r="EX387" s="885">
        <f>Drivers!EX251</f>
        <v>1574</v>
      </c>
      <c r="EY387" s="885">
        <f>Drivers!EY251</f>
        <v>420.03728234521168</v>
      </c>
      <c r="EZ387" s="885">
        <f>Drivers!EZ251</f>
        <v>449.27700245445612</v>
      </c>
      <c r="FA387" s="885">
        <f>Drivers!FA251</f>
        <v>467.77270771395979</v>
      </c>
      <c r="FB387" s="885">
        <f>Drivers!FB251</f>
        <v>520.29262057353731</v>
      </c>
      <c r="FC387" s="885">
        <f>Drivers!FC251</f>
        <v>1857.3796130871649</v>
      </c>
      <c r="FD387" s="885">
        <f>Drivers!FD251</f>
        <v>2189.7533312017049</v>
      </c>
      <c r="FE387" s="885">
        <f>Drivers!FE251</f>
        <v>2609.5517030539809</v>
      </c>
      <c r="FF387" s="885">
        <f>Drivers!FF251</f>
        <v>2995.2887098981591</v>
      </c>
      <c r="FG387" s="885">
        <f>Drivers!FG251</f>
        <v>3337.9018808996007</v>
      </c>
      <c r="FH387" s="885">
        <f>Drivers!FH251</f>
        <v>3645.9901683988751</v>
      </c>
      <c r="FI387" s="885">
        <f>Drivers!FI251</f>
        <v>3920.3137454806747</v>
      </c>
    </row>
    <row r="388" spans="1:165" x14ac:dyDescent="0.3">
      <c r="A388" s="346"/>
    </row>
    <row r="389" spans="1:165" x14ac:dyDescent="0.3">
      <c r="A389" s="344"/>
    </row>
    <row r="390" spans="1:165" x14ac:dyDescent="0.3">
      <c r="A390" s="341" t="s">
        <v>629</v>
      </c>
    </row>
    <row r="391" spans="1:165" x14ac:dyDescent="0.3">
      <c r="A391" s="342" t="s">
        <v>2631</v>
      </c>
      <c r="DU391" s="885">
        <f>Drivers!DU94</f>
        <v>11977</v>
      </c>
      <c r="DV391" s="885">
        <f>Drivers!DV94</f>
        <v>11977</v>
      </c>
      <c r="DW391" s="885">
        <f>Drivers!DW94</f>
        <v>11977</v>
      </c>
      <c r="DX391" s="885">
        <f>Drivers!DX94</f>
        <v>11977</v>
      </c>
      <c r="DY391" s="885">
        <f>Drivers!DY94</f>
        <v>11977</v>
      </c>
      <c r="DZ391" s="885">
        <f>Drivers!DZ94</f>
        <v>11968</v>
      </c>
      <c r="EA391" s="885">
        <f>Drivers!EA94</f>
        <v>11960</v>
      </c>
      <c r="EB391" s="885">
        <f>Drivers!EB94</f>
        <v>11951</v>
      </c>
      <c r="EC391" s="885">
        <f>Drivers!EC94</f>
        <v>11891</v>
      </c>
      <c r="ED391" s="885">
        <f>Drivers!ED94</f>
        <v>11891</v>
      </c>
      <c r="EE391" s="885">
        <f>Drivers!EE94</f>
        <v>11787</v>
      </c>
      <c r="EF391" s="885">
        <f>Drivers!EF94</f>
        <v>11730</v>
      </c>
      <c r="EG391" s="885">
        <f>Drivers!EG94</f>
        <v>11545</v>
      </c>
      <c r="EH391" s="885">
        <f>Drivers!EH94</f>
        <v>11353</v>
      </c>
      <c r="EI391" s="885">
        <f>Drivers!EI94</f>
        <v>11353</v>
      </c>
      <c r="EJ391" s="885">
        <f>Drivers!EJ94</f>
        <v>11142</v>
      </c>
      <c r="EK391" s="885">
        <f>Drivers!EK94</f>
        <v>10861</v>
      </c>
      <c r="EL391" s="885">
        <f>Drivers!EL94</f>
        <v>10510</v>
      </c>
      <c r="EM391" s="885">
        <f>Drivers!EM94</f>
        <v>10229</v>
      </c>
      <c r="EN391" s="885">
        <f>Drivers!EN94</f>
        <v>10229</v>
      </c>
      <c r="EO391" s="885">
        <f>Drivers!EO94</f>
        <v>9890</v>
      </c>
      <c r="EP391" s="885">
        <f>Drivers!EP94</f>
        <v>9574</v>
      </c>
      <c r="EQ391" s="885">
        <f>Drivers!EQ94</f>
        <v>9242</v>
      </c>
      <c r="ER391" s="885">
        <f>Drivers!ER94</f>
        <v>8909</v>
      </c>
      <c r="ES391" s="885">
        <f>Drivers!ES94</f>
        <v>8909</v>
      </c>
      <c r="ET391" s="885">
        <f>Drivers!ET94</f>
        <v>8587</v>
      </c>
      <c r="EU391" s="885">
        <f>Drivers!EU94</f>
        <v>8199</v>
      </c>
      <c r="EV391" s="885">
        <f>Drivers!EV94</f>
        <v>7818</v>
      </c>
      <c r="EW391" s="885">
        <f>Drivers!EW94</f>
        <v>7677</v>
      </c>
      <c r="EX391" s="885">
        <f>Drivers!EX94</f>
        <v>7677</v>
      </c>
      <c r="EY391" s="885">
        <f>Drivers!EY94</f>
        <v>7397.4857357357359</v>
      </c>
      <c r="EZ391" s="885">
        <f>Drivers!EZ94</f>
        <v>7045.7570570570551</v>
      </c>
      <c r="FA391" s="885">
        <f>Drivers!FA94</f>
        <v>6700.8602102102122</v>
      </c>
      <c r="FB391" s="885">
        <f>Drivers!FB94</f>
        <v>6485.4999999999982</v>
      </c>
      <c r="FC391" s="885">
        <f>Drivers!FC94</f>
        <v>6485.4999999999982</v>
      </c>
      <c r="FD391" s="885">
        <f>Drivers!FD94</f>
        <v>5694.7594999999965</v>
      </c>
      <c r="FE391" s="885">
        <f>Drivers!FE94</f>
        <v>5704.5538164999944</v>
      </c>
      <c r="FF391" s="885">
        <f>Drivers!FF94</f>
        <v>5714.116003215493</v>
      </c>
      <c r="FG391" s="885">
        <f>Drivers!FG94</f>
        <v>5723.4414283380011</v>
      </c>
      <c r="FH391" s="885">
        <f>Drivers!FH94</f>
        <v>5732.5253975673641</v>
      </c>
      <c r="FI391" s="885">
        <f>Drivers!FI94</f>
        <v>5741.3631533736461</v>
      </c>
    </row>
    <row r="392" spans="1:165" x14ac:dyDescent="0.3">
      <c r="A392" s="342" t="s">
        <v>3750</v>
      </c>
      <c r="DU392" s="885">
        <f>Drivers!DU95</f>
        <v>0</v>
      </c>
      <c r="DV392" s="885">
        <f>Drivers!DV95</f>
        <v>0</v>
      </c>
      <c r="DW392" s="885">
        <f>Drivers!DW95</f>
        <v>0</v>
      </c>
      <c r="DX392" s="885">
        <f>Drivers!DX95</f>
        <v>0</v>
      </c>
      <c r="DY392" s="885">
        <f>Drivers!DY95</f>
        <v>0</v>
      </c>
      <c r="DZ392" s="885">
        <f>Drivers!DZ95</f>
        <v>0</v>
      </c>
      <c r="EA392" s="885">
        <f>Drivers!EA95</f>
        <v>0</v>
      </c>
      <c r="EB392" s="885">
        <f>Drivers!EB95</f>
        <v>0</v>
      </c>
      <c r="EC392" s="885">
        <f>Drivers!EC95</f>
        <v>0</v>
      </c>
      <c r="ED392" s="885">
        <f>Drivers!ED95</f>
        <v>0</v>
      </c>
      <c r="EE392" s="885">
        <f>Drivers!EE95</f>
        <v>0</v>
      </c>
      <c r="EF392" s="885">
        <f>Drivers!EF95</f>
        <v>100</v>
      </c>
      <c r="EG392" s="885">
        <f>Drivers!EG95</f>
        <v>0</v>
      </c>
      <c r="EH392" s="885">
        <f>Drivers!EH95</f>
        <v>0</v>
      </c>
      <c r="EI392" s="885">
        <f>Drivers!EI95</f>
        <v>100</v>
      </c>
      <c r="EJ392" s="885">
        <f>Drivers!EJ95</f>
        <v>0</v>
      </c>
      <c r="EK392" s="885">
        <f>Drivers!EK95</f>
        <v>0</v>
      </c>
      <c r="EL392" s="885">
        <f>Drivers!EL95</f>
        <v>0</v>
      </c>
      <c r="EM392" s="885">
        <f>Drivers!EM95</f>
        <v>100</v>
      </c>
      <c r="EN392" s="885">
        <f>Drivers!EN95</f>
        <v>100</v>
      </c>
      <c r="EO392" s="885">
        <f>Drivers!EO95</f>
        <v>0</v>
      </c>
      <c r="EP392" s="885">
        <f>Drivers!EP95</f>
        <v>0</v>
      </c>
      <c r="EQ392" s="885">
        <f>Drivers!EQ95</f>
        <v>0</v>
      </c>
      <c r="ER392" s="885">
        <f>Drivers!ER95</f>
        <v>0</v>
      </c>
      <c r="ES392" s="885">
        <f>Drivers!ES95</f>
        <v>0</v>
      </c>
      <c r="ET392" s="885">
        <f>Drivers!ET95</f>
        <v>0</v>
      </c>
      <c r="EU392" s="885">
        <f>Drivers!EU95</f>
        <v>0</v>
      </c>
      <c r="EV392" s="885">
        <f>Drivers!EV95</f>
        <v>0</v>
      </c>
      <c r="EW392" s="885">
        <f>Drivers!EW95</f>
        <v>100</v>
      </c>
      <c r="EX392" s="885">
        <f>Drivers!EX95</f>
        <v>100</v>
      </c>
      <c r="EY392" s="885">
        <f>Drivers!EY95</f>
        <v>34.750000000000171</v>
      </c>
      <c r="EZ392" s="885">
        <f>Drivers!EZ95</f>
        <v>26.949999999997829</v>
      </c>
      <c r="FA392" s="885">
        <f>Drivers!FA95</f>
        <v>26.950000000003968</v>
      </c>
      <c r="FB392" s="885">
        <f>Drivers!FB95</f>
        <v>19.849999999996157</v>
      </c>
      <c r="FC392" s="885">
        <f>Drivers!FC95</f>
        <v>108.49999999999812</v>
      </c>
      <c r="FD392" s="885">
        <f>Drivers!FD95</f>
        <v>109.2594999999983</v>
      </c>
      <c r="FE392" s="885">
        <f>Drivers!FE95</f>
        <v>110.02431649999788</v>
      </c>
      <c r="FF392" s="885">
        <f>Drivers!FF95</f>
        <v>110.79448671549868</v>
      </c>
      <c r="FG392" s="885">
        <f>Drivers!FG95</f>
        <v>111.57004812250801</v>
      </c>
      <c r="FH392" s="885">
        <f>Drivers!FH95</f>
        <v>112.35103845936297</v>
      </c>
      <c r="FI392" s="885">
        <f>Drivers!FI95</f>
        <v>113.13749572858207</v>
      </c>
    </row>
    <row r="393" spans="1:165" x14ac:dyDescent="0.3">
      <c r="A393" s="342"/>
    </row>
    <row r="394" spans="1:165" x14ac:dyDescent="0.3">
      <c r="A394" s="56" t="s">
        <v>398</v>
      </c>
      <c r="DU394" s="76">
        <f>Drivers!DU260</f>
        <v>1565</v>
      </c>
      <c r="DV394" s="76">
        <f>Drivers!DV260</f>
        <v>1523</v>
      </c>
      <c r="DW394" s="76">
        <f>Drivers!DW260</f>
        <v>1475</v>
      </c>
      <c r="DX394" s="76">
        <f>Drivers!DX260</f>
        <v>1442</v>
      </c>
      <c r="DY394" s="76">
        <f>Drivers!DY260</f>
        <v>1442</v>
      </c>
      <c r="DZ394" s="76">
        <f>Drivers!DZ260</f>
        <v>1419</v>
      </c>
      <c r="EA394" s="76">
        <f>Drivers!EA260</f>
        <v>1401</v>
      </c>
      <c r="EB394" s="76">
        <f>Drivers!EB260</f>
        <v>1381</v>
      </c>
      <c r="EC394" s="76">
        <f>Drivers!EC260</f>
        <v>1349</v>
      </c>
      <c r="ED394" s="76">
        <f>Drivers!ED260</f>
        <v>1349</v>
      </c>
      <c r="EE394" s="76">
        <f>Drivers!EE260</f>
        <v>1327</v>
      </c>
      <c r="EF394" s="76">
        <f>Drivers!EF260</f>
        <v>1297</v>
      </c>
      <c r="EG394" s="76">
        <f>Drivers!EG260</f>
        <v>1264</v>
      </c>
      <c r="EH394" s="76">
        <f>Drivers!EH260</f>
        <v>1234</v>
      </c>
      <c r="EI394" s="76">
        <f>Drivers!EI260</f>
        <v>1234</v>
      </c>
      <c r="EJ394" s="76">
        <f>Drivers!EJ260</f>
        <v>1204</v>
      </c>
      <c r="EK394" s="76">
        <f>Drivers!EK260</f>
        <v>1163</v>
      </c>
      <c r="EL394" s="76">
        <f>Drivers!EL260</f>
        <v>1105</v>
      </c>
      <c r="EM394" s="76">
        <f>Drivers!EM260</f>
        <v>1043</v>
      </c>
      <c r="EN394" s="76">
        <f>Drivers!EN260</f>
        <v>1043</v>
      </c>
      <c r="EO394" s="76">
        <f>Drivers!EO260</f>
        <v>987</v>
      </c>
      <c r="EP394" s="76">
        <f>Drivers!EP260</f>
        <v>928</v>
      </c>
      <c r="EQ394" s="76">
        <f>Drivers!EQ260</f>
        <v>870</v>
      </c>
      <c r="ER394" s="76">
        <f>Drivers!ER260</f>
        <v>822</v>
      </c>
      <c r="ES394" s="76">
        <f>Drivers!ES260</f>
        <v>822</v>
      </c>
      <c r="ET394" s="76">
        <f>Drivers!ET260</f>
        <v>771</v>
      </c>
      <c r="EU394" s="76">
        <f>Drivers!EU260</f>
        <v>721</v>
      </c>
      <c r="EV394" s="76">
        <f>Drivers!EV260</f>
        <v>666</v>
      </c>
      <c r="EW394" s="76">
        <f>Drivers!EW260</f>
        <v>612</v>
      </c>
      <c r="EX394" s="76">
        <f>Drivers!EX260</f>
        <v>612</v>
      </c>
      <c r="EY394" s="76">
        <f>Drivers!EY260</f>
        <v>569.47824000000003</v>
      </c>
      <c r="EZ394" s="76">
        <f>Drivers!EZ260</f>
        <v>528.06578238719999</v>
      </c>
      <c r="FA394" s="76">
        <f>Drivers!FA260</f>
        <v>483.01120983392411</v>
      </c>
      <c r="FB394" s="76">
        <f>Drivers!FB260</f>
        <v>438.84466480671011</v>
      </c>
      <c r="FC394" s="76">
        <f>Drivers!FC260</f>
        <v>438.84466480671011</v>
      </c>
      <c r="FD394" s="76">
        <f>Drivers!FD260</f>
        <v>300.21500765474059</v>
      </c>
      <c r="FE394" s="76">
        <f>Drivers!FE260</f>
        <v>205.37802564110802</v>
      </c>
      <c r="FF394" s="76">
        <f>Drivers!FF260</f>
        <v>140.4997496485868</v>
      </c>
      <c r="FG394" s="76">
        <f>Drivers!FG260</f>
        <v>96.116318139171042</v>
      </c>
      <c r="FH394" s="76">
        <f>Drivers!FH260</f>
        <v>65.753473837049384</v>
      </c>
      <c r="FI394" s="76">
        <f>Drivers!FI260</f>
        <v>44.982157091986437</v>
      </c>
    </row>
    <row r="395" spans="1:165" x14ac:dyDescent="0.3">
      <c r="A395" s="1166" t="s">
        <v>401</v>
      </c>
      <c r="DU395" s="76">
        <f>Drivers!DU271</f>
        <v>118.61091580089591</v>
      </c>
      <c r="DV395" s="76">
        <f>Drivers!DV271</f>
        <v>110.91066219024958</v>
      </c>
      <c r="DW395" s="76">
        <f>Drivers!DW271</f>
        <v>101.32842012898928</v>
      </c>
      <c r="DX395" s="76">
        <f>Drivers!DX271</f>
        <v>93.000061671461282</v>
      </c>
      <c r="DY395" s="76">
        <f>Drivers!DY271</f>
        <v>93.000061671461282</v>
      </c>
      <c r="DZ395" s="76">
        <f>Drivers!DZ271</f>
        <v>87</v>
      </c>
      <c r="EA395" s="76">
        <f>Drivers!EA271</f>
        <v>82</v>
      </c>
      <c r="EB395" s="76">
        <f>Drivers!EB271</f>
        <v>75</v>
      </c>
      <c r="EC395" s="76">
        <f>Drivers!EC271</f>
        <v>69</v>
      </c>
      <c r="ED395" s="76">
        <f>Drivers!ED271</f>
        <v>69</v>
      </c>
      <c r="EE395" s="76">
        <f>Drivers!EE271</f>
        <v>64</v>
      </c>
      <c r="EF395" s="76">
        <f>Drivers!EF271</f>
        <v>60</v>
      </c>
      <c r="EG395" s="76">
        <f>Drivers!EG271</f>
        <v>57</v>
      </c>
      <c r="EH395" s="76">
        <f>Drivers!EH271</f>
        <v>53</v>
      </c>
      <c r="EI395" s="76">
        <f>Drivers!EI271</f>
        <v>53</v>
      </c>
      <c r="EJ395" s="76">
        <f>Drivers!EJ271</f>
        <v>49</v>
      </c>
      <c r="EK395" s="76">
        <f>Drivers!EK271</f>
        <v>48</v>
      </c>
      <c r="EL395" s="76">
        <f>Drivers!EL271</f>
        <v>40</v>
      </c>
      <c r="EM395" s="76">
        <f>Drivers!EM271</f>
        <v>35</v>
      </c>
      <c r="EN395" s="76">
        <f>Drivers!EN271</f>
        <v>35</v>
      </c>
      <c r="EO395" s="76">
        <f>Drivers!EO271</f>
        <v>32</v>
      </c>
      <c r="EP395" s="76">
        <f>Drivers!EP271</f>
        <v>25</v>
      </c>
      <c r="EQ395" s="76">
        <f>Drivers!EQ271</f>
        <v>21</v>
      </c>
      <c r="ER395" s="76">
        <f>Drivers!ER271</f>
        <v>19</v>
      </c>
      <c r="ES395" s="76">
        <f>Drivers!ES271</f>
        <v>19</v>
      </c>
      <c r="ET395" s="76">
        <f>Drivers!ET271</f>
        <v>14</v>
      </c>
      <c r="EU395" s="76">
        <f>Drivers!EU271</f>
        <v>13</v>
      </c>
      <c r="EV395" s="76">
        <f>Drivers!EV271</f>
        <v>12</v>
      </c>
      <c r="EW395" s="76">
        <f>Drivers!EW271</f>
        <v>11</v>
      </c>
      <c r="EX395" s="76">
        <f>Drivers!EX271</f>
        <v>11</v>
      </c>
      <c r="EY395" s="76">
        <f>Drivers!EY271</f>
        <v>9.4827586206896548</v>
      </c>
      <c r="EZ395" s="76">
        <f>Drivers!EZ271</f>
        <v>8.1747919143876331</v>
      </c>
      <c r="FA395" s="76">
        <f>Drivers!FA271</f>
        <v>7.0472344089548562</v>
      </c>
      <c r="FB395" s="76">
        <f>Drivers!FB271</f>
        <v>6.0752020766852208</v>
      </c>
      <c r="FC395" s="76">
        <f>Drivers!FC271</f>
        <v>6.0752020766852208</v>
      </c>
      <c r="FD395" s="76">
        <f>Drivers!FD271</f>
        <v>2.7233664481692368</v>
      </c>
      <c r="FE395" s="76">
        <f>Drivers!FE271</f>
        <v>1.2208194422827612</v>
      </c>
      <c r="FF395" s="76">
        <f>Drivers!FF271</f>
        <v>0.54726388791985847</v>
      </c>
      <c r="FG395" s="76">
        <f>Drivers!FG271</f>
        <v>0.24532519113648832</v>
      </c>
      <c r="FH395" s="76">
        <f>Drivers!FH271</f>
        <v>0.10997336154394305</v>
      </c>
      <c r="FI395" s="76">
        <f>Drivers!FI271</f>
        <v>4.9298403450733087E-2</v>
      </c>
    </row>
    <row r="396" spans="1:165" x14ac:dyDescent="0.3">
      <c r="A396" s="1166" t="s">
        <v>405</v>
      </c>
      <c r="DU396" s="76">
        <f>Drivers!DU283</f>
        <v>0</v>
      </c>
      <c r="DV396" s="76">
        <f>Drivers!DV283</f>
        <v>0</v>
      </c>
      <c r="DW396" s="76">
        <f>Drivers!DW283</f>
        <v>0</v>
      </c>
      <c r="DX396" s="76">
        <f>Drivers!DX283</f>
        <v>0</v>
      </c>
      <c r="DY396" s="76">
        <f>Drivers!DY283</f>
        <v>0</v>
      </c>
      <c r="DZ396" s="76">
        <f>Drivers!DZ283</f>
        <v>740</v>
      </c>
      <c r="EA396" s="76">
        <f>Drivers!EA283</f>
        <v>718</v>
      </c>
      <c r="EB396" s="76">
        <f>Drivers!EB283</f>
        <v>696</v>
      </c>
      <c r="EC396" s="76">
        <f>Drivers!EC283</f>
        <v>677</v>
      </c>
      <c r="ED396" s="76">
        <f>Drivers!ED283</f>
        <v>677</v>
      </c>
      <c r="EE396" s="76">
        <f>Drivers!EE283</f>
        <v>657</v>
      </c>
      <c r="EF396" s="76">
        <f>Drivers!EF283</f>
        <v>636</v>
      </c>
      <c r="EG396" s="76">
        <f>Drivers!EG283</f>
        <v>617</v>
      </c>
      <c r="EH396" s="76">
        <f>Drivers!EH283</f>
        <v>595</v>
      </c>
      <c r="EI396" s="76">
        <f>Drivers!EI283</f>
        <v>595</v>
      </c>
      <c r="EJ396" s="76">
        <f>Drivers!EJ283</f>
        <v>577</v>
      </c>
      <c r="EK396" s="76">
        <f>Drivers!EK283</f>
        <v>558</v>
      </c>
      <c r="EL396" s="76">
        <f>Drivers!EL283</f>
        <v>535</v>
      </c>
      <c r="EM396" s="76">
        <f>Drivers!EM283</f>
        <v>515</v>
      </c>
      <c r="EN396" s="76">
        <f>Drivers!EN283</f>
        <v>515</v>
      </c>
      <c r="EO396" s="76">
        <f>Drivers!EO283</f>
        <v>494</v>
      </c>
      <c r="EP396" s="76">
        <f>Drivers!EP283</f>
        <v>477</v>
      </c>
      <c r="EQ396" s="76">
        <f>Drivers!EQ283</f>
        <v>451</v>
      </c>
      <c r="ER396" s="76">
        <f>Drivers!ER283</f>
        <v>429</v>
      </c>
      <c r="ES396" s="76">
        <f>Drivers!ES283</f>
        <v>429</v>
      </c>
      <c r="ET396" s="76">
        <f>Drivers!ET283</f>
        <v>406</v>
      </c>
      <c r="EU396" s="76">
        <f>Drivers!EU283</f>
        <v>380</v>
      </c>
      <c r="EV396" s="76">
        <f>Drivers!EV283</f>
        <v>353</v>
      </c>
      <c r="EW396" s="76">
        <f>Drivers!EW283</f>
        <v>332</v>
      </c>
      <c r="EX396" s="76">
        <f>Drivers!EX283</f>
        <v>332</v>
      </c>
      <c r="EY396" s="76">
        <f>Drivers!EY283</f>
        <v>311.6088189023896</v>
      </c>
      <c r="EZ396" s="76">
        <f>Drivers!EZ283</f>
        <v>288.70061790357192</v>
      </c>
      <c r="FA396" s="76">
        <f>Drivers!FA283</f>
        <v>265.43564775493547</v>
      </c>
      <c r="FB396" s="76">
        <f>Drivers!FB283</f>
        <v>247.14869251450148</v>
      </c>
      <c r="FC396" s="76">
        <f>Drivers!FC283</f>
        <v>247.14869251450148</v>
      </c>
      <c r="FD396" s="76">
        <f>Drivers!FD283</f>
        <v>185.16664131670007</v>
      </c>
      <c r="FE396" s="76">
        <f>Drivers!FE283</f>
        <v>171.71912109420526</v>
      </c>
      <c r="FF396" s="76">
        <f>Drivers!FF283</f>
        <v>168.33385255690732</v>
      </c>
      <c r="FG396" s="76">
        <f>Drivers!FG283</f>
        <v>164.3538919688412</v>
      </c>
      <c r="FH396" s="76">
        <f>Drivers!FH283</f>
        <v>160.50541284217982</v>
      </c>
      <c r="FI396" s="76">
        <f>Drivers!FI283</f>
        <v>156.73693358349394</v>
      </c>
    </row>
    <row r="397" spans="1:165" x14ac:dyDescent="0.3">
      <c r="A397" s="1167" t="s">
        <v>3753</v>
      </c>
      <c r="DU397" s="76">
        <f>Drivers!DU305</f>
        <v>214.78299148423201</v>
      </c>
      <c r="DV397" s="76">
        <f>Drivers!DV305</f>
        <v>208.26460665049439</v>
      </c>
      <c r="DW397" s="76">
        <f>Drivers!DW305</f>
        <v>202.75857092358399</v>
      </c>
      <c r="DX397" s="76">
        <f>Drivers!DX305</f>
        <v>197.26520094726561</v>
      </c>
      <c r="DY397" s="76">
        <f>Drivers!DY305</f>
        <v>197.26520094726561</v>
      </c>
      <c r="DZ397" s="76">
        <f>Drivers!DZ305</f>
        <v>190.78482148437499</v>
      </c>
      <c r="EA397" s="76">
        <f>Drivers!EA305</f>
        <v>185.31776562499999</v>
      </c>
      <c r="EB397" s="76">
        <f>Drivers!EB305</f>
        <v>178.864375</v>
      </c>
      <c r="EC397" s="76">
        <f>Drivers!EC305</f>
        <v>174.42500000000001</v>
      </c>
      <c r="ED397" s="76">
        <f>Drivers!ED305</f>
        <v>174.42500000000001</v>
      </c>
      <c r="EE397" s="76">
        <f>Drivers!EE305</f>
        <v>170</v>
      </c>
      <c r="EF397" s="76">
        <f>Drivers!EF305</f>
        <v>167</v>
      </c>
      <c r="EG397" s="76">
        <f>Drivers!EG305</f>
        <v>163</v>
      </c>
      <c r="EH397" s="76">
        <f>Drivers!EH305</f>
        <v>156</v>
      </c>
      <c r="EI397" s="76">
        <f>Drivers!EI305</f>
        <v>156</v>
      </c>
      <c r="EJ397" s="76">
        <f>Drivers!EJ305</f>
        <v>153</v>
      </c>
      <c r="EK397" s="76">
        <f>Drivers!EK305</f>
        <v>148</v>
      </c>
      <c r="EL397" s="76">
        <f>Drivers!EL305</f>
        <v>143</v>
      </c>
      <c r="EM397" s="76">
        <f>Drivers!EM305</f>
        <v>136</v>
      </c>
      <c r="EN397" s="76">
        <f>Drivers!EN305</f>
        <v>136</v>
      </c>
      <c r="EO397" s="76">
        <f>Drivers!EO305</f>
        <v>130</v>
      </c>
      <c r="EP397" s="76">
        <f>Drivers!EP305</f>
        <v>126</v>
      </c>
      <c r="EQ397" s="76">
        <f>Drivers!EQ305</f>
        <v>120</v>
      </c>
      <c r="ER397" s="76">
        <f>Drivers!ER305</f>
        <v>114</v>
      </c>
      <c r="ES397" s="76">
        <f>Drivers!ES305</f>
        <v>114</v>
      </c>
      <c r="ET397" s="76">
        <f>Drivers!ET305</f>
        <v>108</v>
      </c>
      <c r="EU397" s="76">
        <f>Drivers!EU305</f>
        <v>102</v>
      </c>
      <c r="EV397" s="76">
        <f>Drivers!EV305</f>
        <v>96</v>
      </c>
      <c r="EW397" s="76">
        <f>Drivers!EW305</f>
        <v>90</v>
      </c>
      <c r="EX397" s="76">
        <f>Drivers!EX305</f>
        <v>90</v>
      </c>
      <c r="EY397" s="76">
        <f>Drivers!EY305</f>
        <v>84.783507329114087</v>
      </c>
      <c r="EZ397" s="76">
        <f>Drivers!EZ305</f>
        <v>79.600904599049343</v>
      </c>
      <c r="FA397" s="76">
        <f>Drivers!FA305</f>
        <v>74.450206113416499</v>
      </c>
      <c r="FB397" s="76">
        <f>Drivers!FB305</f>
        <v>69.331714740532206</v>
      </c>
      <c r="FC397" s="76">
        <f>Drivers!FC305</f>
        <v>69.331714740532206</v>
      </c>
      <c r="FD397" s="76">
        <f>Drivers!FD305</f>
        <v>51.928229533687656</v>
      </c>
      <c r="FE397" s="76">
        <f>Drivers!FE305</f>
        <v>39.117382688465298</v>
      </c>
      <c r="FF397" s="76">
        <f>Drivers!FF305</f>
        <v>29.745697540636542</v>
      </c>
      <c r="FG397" s="76">
        <f>Drivers!FG305</f>
        <v>22.890372292165118</v>
      </c>
      <c r="FH397" s="76">
        <f>Drivers!FH305</f>
        <v>17.876199614425524</v>
      </c>
      <c r="FI397" s="76">
        <f>Drivers!FI305</f>
        <v>14.209134983143215</v>
      </c>
    </row>
    <row r="398" spans="1:165" x14ac:dyDescent="0.3">
      <c r="A398" s="342"/>
    </row>
    <row r="399" spans="1:165" x14ac:dyDescent="0.3">
      <c r="A399" s="342" t="s">
        <v>1740</v>
      </c>
    </row>
    <row r="400" spans="1:165" x14ac:dyDescent="0.3">
      <c r="A400" s="56" t="s">
        <v>398</v>
      </c>
      <c r="DU400" s="76">
        <f>Drivers!DU262</f>
        <v>-19</v>
      </c>
      <c r="DV400" s="76">
        <f>Drivers!DV262</f>
        <v>-42</v>
      </c>
      <c r="DW400" s="76">
        <f>Drivers!DW262</f>
        <v>-48</v>
      </c>
      <c r="DX400" s="76">
        <f>Drivers!DX262</f>
        <v>-33</v>
      </c>
      <c r="DY400" s="76">
        <f>Drivers!DY262</f>
        <v>-142</v>
      </c>
      <c r="DZ400" s="76">
        <f>Drivers!DZ262</f>
        <v>-23</v>
      </c>
      <c r="EA400" s="76">
        <f>Drivers!EA262</f>
        <v>-18</v>
      </c>
      <c r="EB400" s="76">
        <f>Drivers!EB262</f>
        <v>-20</v>
      </c>
      <c r="EC400" s="76">
        <f>Drivers!EC262</f>
        <v>-32</v>
      </c>
      <c r="ED400" s="76">
        <f>Drivers!ED262</f>
        <v>-93</v>
      </c>
      <c r="EE400" s="76">
        <f>Drivers!EE262</f>
        <v>-22</v>
      </c>
      <c r="EF400" s="76">
        <f>Drivers!EF262</f>
        <v>-30</v>
      </c>
      <c r="EG400" s="76">
        <f>Drivers!EG262</f>
        <v>-33</v>
      </c>
      <c r="EH400" s="76">
        <f>Drivers!EH262</f>
        <v>-30</v>
      </c>
      <c r="EI400" s="76">
        <f>Drivers!EI262</f>
        <v>-115</v>
      </c>
      <c r="EJ400" s="76">
        <f>Drivers!EJ262</f>
        <v>-30</v>
      </c>
      <c r="EK400" s="76">
        <f>Drivers!EK262</f>
        <v>-41</v>
      </c>
      <c r="EL400" s="76">
        <f>Drivers!EL262</f>
        <v>-58</v>
      </c>
      <c r="EM400" s="76">
        <f>Drivers!EM262</f>
        <v>-62</v>
      </c>
      <c r="EN400" s="76">
        <f>Drivers!EN262</f>
        <v>-191</v>
      </c>
      <c r="EO400" s="76">
        <f>Drivers!EO262</f>
        <v>-56</v>
      </c>
      <c r="EP400" s="76">
        <f>Drivers!EP262</f>
        <v>-59</v>
      </c>
      <c r="EQ400" s="76">
        <f>Drivers!EQ262</f>
        <v>-58</v>
      </c>
      <c r="ER400" s="76">
        <f>Drivers!ER262</f>
        <v>-48</v>
      </c>
      <c r="ES400" s="76">
        <f>Drivers!ES262</f>
        <v>-221</v>
      </c>
      <c r="ET400" s="76">
        <f>Drivers!ET262</f>
        <v>-51</v>
      </c>
      <c r="EU400" s="76">
        <f>Drivers!EU262</f>
        <v>-50</v>
      </c>
      <c r="EV400" s="76">
        <f>Drivers!EV262</f>
        <v>-55</v>
      </c>
      <c r="EW400" s="76">
        <f>Drivers!EW262</f>
        <v>-54</v>
      </c>
      <c r="EX400" s="76">
        <f>Drivers!EX262</f>
        <v>-210</v>
      </c>
      <c r="EY400" s="76">
        <f>Drivers!EY262</f>
        <v>-42.521759999999972</v>
      </c>
      <c r="EZ400" s="76">
        <f>Drivers!EZ262</f>
        <v>-41.41245761280004</v>
      </c>
      <c r="FA400" s="76">
        <f>Drivers!FA262</f>
        <v>-45.054572553275875</v>
      </c>
      <c r="FB400" s="76">
        <f>Drivers!FB262</f>
        <v>-44.166545027213999</v>
      </c>
      <c r="FC400" s="76">
        <f>Drivers!FC262</f>
        <v>-173.15533519328989</v>
      </c>
      <c r="FD400" s="76">
        <f>Drivers!FD262</f>
        <v>-138.62965715196952</v>
      </c>
      <c r="FE400" s="76">
        <f>Drivers!FE262</f>
        <v>-94.836982013632564</v>
      </c>
      <c r="FF400" s="76">
        <f>Drivers!FF262</f>
        <v>-64.878275992521225</v>
      </c>
      <c r="FG400" s="76">
        <f>Drivers!FG262</f>
        <v>-44.383431509415757</v>
      </c>
      <c r="FH400" s="76">
        <f>Drivers!FH262</f>
        <v>-30.362844302121658</v>
      </c>
      <c r="FI400" s="76">
        <f>Drivers!FI262</f>
        <v>-20.771316745062947</v>
      </c>
    </row>
    <row r="401" spans="1:165" x14ac:dyDescent="0.3">
      <c r="A401" s="1166" t="s">
        <v>401</v>
      </c>
      <c r="DU401" s="76">
        <f>Drivers!DU273</f>
        <v>-8.9951066935316817</v>
      </c>
      <c r="DV401" s="76">
        <f>Drivers!DV273</f>
        <v>-7.7002536106463282</v>
      </c>
      <c r="DW401" s="76">
        <f>Drivers!DW273</f>
        <v>-9.5822420612603025</v>
      </c>
      <c r="DX401" s="76">
        <f>Drivers!DX273</f>
        <v>-8.3283584575279974</v>
      </c>
      <c r="DY401" s="76">
        <f>Drivers!DY273</f>
        <v>-34.60596082296631</v>
      </c>
      <c r="DZ401" s="76">
        <f>Drivers!DZ273</f>
        <v>-6</v>
      </c>
      <c r="EA401" s="76">
        <f>Drivers!EA273</f>
        <v>-5</v>
      </c>
      <c r="EB401" s="76">
        <f>Drivers!EB273</f>
        <v>-7</v>
      </c>
      <c r="EC401" s="76">
        <f>Drivers!EC273</f>
        <v>-6</v>
      </c>
      <c r="ED401" s="76">
        <f>Drivers!ED273</f>
        <v>-24</v>
      </c>
      <c r="EE401" s="76">
        <f>Drivers!EE273</f>
        <v>-5</v>
      </c>
      <c r="EF401" s="76">
        <f>Drivers!EF273</f>
        <v>-4</v>
      </c>
      <c r="EG401" s="76">
        <f>Drivers!EG273</f>
        <v>-4</v>
      </c>
      <c r="EH401" s="76">
        <f>Drivers!EH273</f>
        <v>-4</v>
      </c>
      <c r="EI401" s="76">
        <f>Drivers!EI273</f>
        <v>-17</v>
      </c>
      <c r="EJ401" s="76">
        <f>Drivers!EJ273</f>
        <v>-4</v>
      </c>
      <c r="EK401" s="76">
        <f>Drivers!EK273</f>
        <v>-1</v>
      </c>
      <c r="EL401" s="76">
        <f>Drivers!EL273</f>
        <v>-8</v>
      </c>
      <c r="EM401" s="76">
        <f>Drivers!EM273</f>
        <v>-5</v>
      </c>
      <c r="EN401" s="76">
        <f>Drivers!EN273</f>
        <v>-18</v>
      </c>
      <c r="EO401" s="76">
        <f>Drivers!EO273</f>
        <v>-3</v>
      </c>
      <c r="EP401" s="76">
        <f>Drivers!EP273</f>
        <v>-7</v>
      </c>
      <c r="EQ401" s="76">
        <f>Drivers!EQ273</f>
        <v>-4</v>
      </c>
      <c r="ER401" s="76">
        <f>Drivers!ER273</f>
        <v>-2</v>
      </c>
      <c r="ES401" s="76">
        <f>Drivers!ES273</f>
        <v>-16</v>
      </c>
      <c r="ET401" s="76">
        <f>Drivers!ET273</f>
        <v>-5</v>
      </c>
      <c r="EU401" s="76">
        <f>Drivers!EU273</f>
        <v>-1</v>
      </c>
      <c r="EV401" s="76">
        <f>Drivers!EV273</f>
        <v>-1</v>
      </c>
      <c r="EW401" s="76">
        <f>Drivers!EW273</f>
        <v>-1</v>
      </c>
      <c r="EX401" s="76">
        <f>Drivers!EX273</f>
        <v>-8</v>
      </c>
      <c r="EY401" s="76">
        <f>Drivers!EY273</f>
        <v>-1.5172413793103452</v>
      </c>
      <c r="EZ401" s="76">
        <f>Drivers!EZ273</f>
        <v>-1.3079667063020217</v>
      </c>
      <c r="FA401" s="76">
        <f>Drivers!FA273</f>
        <v>-1.1275575054327769</v>
      </c>
      <c r="FB401" s="76">
        <f>Drivers!FB273</f>
        <v>-0.97203233226963537</v>
      </c>
      <c r="FC401" s="76">
        <f>Drivers!FC273</f>
        <v>-4.9247979233147792</v>
      </c>
      <c r="FD401" s="76">
        <f>Drivers!FD273</f>
        <v>-3.351835628515984</v>
      </c>
      <c r="FE401" s="76">
        <f>Drivers!FE273</f>
        <v>-1.5025470058864756</v>
      </c>
      <c r="FF401" s="76">
        <f>Drivers!FF273</f>
        <v>-0.67355555436290271</v>
      </c>
      <c r="FG401" s="76">
        <f>Drivers!FG273</f>
        <v>-0.30193869678337015</v>
      </c>
      <c r="FH401" s="76">
        <f>Drivers!FH273</f>
        <v>-0.13535182959254527</v>
      </c>
      <c r="FI401" s="76">
        <f>Drivers!FI273</f>
        <v>-6.0674958093209962E-2</v>
      </c>
    </row>
    <row r="402" spans="1:165" x14ac:dyDescent="0.3">
      <c r="A402" s="1166" t="s">
        <v>405</v>
      </c>
      <c r="DU402" s="76">
        <f>Drivers!DU285</f>
        <v>0</v>
      </c>
      <c r="DV402" s="76">
        <f>Drivers!DV285</f>
        <v>0</v>
      </c>
      <c r="DW402" s="76">
        <f>Drivers!DW285</f>
        <v>0</v>
      </c>
      <c r="DX402" s="76">
        <f>Drivers!DX285</f>
        <v>0</v>
      </c>
      <c r="DY402" s="76">
        <f>Drivers!DY285</f>
        <v>0</v>
      </c>
      <c r="DZ402" s="76">
        <f>Drivers!DZ285</f>
        <v>0</v>
      </c>
      <c r="EA402" s="76">
        <f>Drivers!EA285</f>
        <v>-22</v>
      </c>
      <c r="EB402" s="76">
        <f>Drivers!EB285</f>
        <v>-22</v>
      </c>
      <c r="EC402" s="76">
        <f>Drivers!EC285</f>
        <v>-19</v>
      </c>
      <c r="ED402" s="76">
        <f>Drivers!ED285</f>
        <v>-63</v>
      </c>
      <c r="EE402" s="76">
        <f>Drivers!EE285</f>
        <v>-20</v>
      </c>
      <c r="EF402" s="76">
        <f>Drivers!EF285</f>
        <v>-21</v>
      </c>
      <c r="EG402" s="76">
        <f>Drivers!EG285</f>
        <v>-19</v>
      </c>
      <c r="EH402" s="76">
        <f>Drivers!EH285</f>
        <v>-22</v>
      </c>
      <c r="EI402" s="76">
        <f>Drivers!EI285</f>
        <v>-82</v>
      </c>
      <c r="EJ402" s="76">
        <f>Drivers!EJ285</f>
        <v>-18</v>
      </c>
      <c r="EK402" s="76">
        <f>Drivers!EK285</f>
        <v>-19</v>
      </c>
      <c r="EL402" s="76">
        <f>Drivers!EL285</f>
        <v>-23</v>
      </c>
      <c r="EM402" s="76">
        <f>Drivers!EM285</f>
        <v>-20</v>
      </c>
      <c r="EN402" s="76">
        <f>Drivers!EN285</f>
        <v>-80</v>
      </c>
      <c r="EO402" s="76">
        <f>Drivers!EO285</f>
        <v>-21</v>
      </c>
      <c r="EP402" s="76">
        <f>Drivers!EP285</f>
        <v>-17</v>
      </c>
      <c r="EQ402" s="76">
        <f>Drivers!EQ285</f>
        <v>-26</v>
      </c>
      <c r="ER402" s="76">
        <f>Drivers!ER285</f>
        <v>-22</v>
      </c>
      <c r="ES402" s="76">
        <f>Drivers!ES285</f>
        <v>-86</v>
      </c>
      <c r="ET402" s="76">
        <f>Drivers!ET285</f>
        <v>-23</v>
      </c>
      <c r="EU402" s="76">
        <f>Drivers!EU285</f>
        <v>-26</v>
      </c>
      <c r="EV402" s="76">
        <f>Drivers!EV285</f>
        <v>-27</v>
      </c>
      <c r="EW402" s="76">
        <f>Drivers!EW285</f>
        <v>-21</v>
      </c>
      <c r="EX402" s="76">
        <f>Drivers!EX285</f>
        <v>-97</v>
      </c>
      <c r="EY402" s="76">
        <f>Drivers!EY285</f>
        <v>-20.391181097610399</v>
      </c>
      <c r="EZ402" s="76">
        <f>Drivers!EZ285</f>
        <v>-22.908200998817676</v>
      </c>
      <c r="FA402" s="76">
        <f>Drivers!FA285</f>
        <v>-23.264970148636451</v>
      </c>
      <c r="FB402" s="76">
        <f>Drivers!FB285</f>
        <v>-18.286955240433997</v>
      </c>
      <c r="FC402" s="76">
        <f>Drivers!FC285</f>
        <v>-84.851307485498523</v>
      </c>
      <c r="FD402" s="76">
        <f>Drivers!FD285</f>
        <v>-61.982051197801411</v>
      </c>
      <c r="FE402" s="76">
        <f>Drivers!FE285</f>
        <v>-13.447520222494802</v>
      </c>
      <c r="FF402" s="76">
        <f>Drivers!FF285</f>
        <v>-3.3852685372979465</v>
      </c>
      <c r="FG402" s="76">
        <f>Drivers!FG285</f>
        <v>-3.9799605880661204</v>
      </c>
      <c r="FH402" s="76">
        <f>Drivers!FH285</f>
        <v>-3.848479126661374</v>
      </c>
      <c r="FI402" s="76">
        <f>Drivers!FI285</f>
        <v>-3.7684792586858862</v>
      </c>
    </row>
    <row r="403" spans="1:165" x14ac:dyDescent="0.3">
      <c r="A403" s="1167" t="s">
        <v>3753</v>
      </c>
      <c r="DU403" s="76">
        <f>Drivers!DU307</f>
        <v>-7</v>
      </c>
      <c r="DV403" s="76">
        <f>Drivers!DV307</f>
        <v>-6.5183848337376276</v>
      </c>
      <c r="DW403" s="76">
        <f>Drivers!DW307</f>
        <v>-5.5060357269103974</v>
      </c>
      <c r="DX403" s="76">
        <f>Drivers!DX307</f>
        <v>-5.4933699763183768</v>
      </c>
      <c r="DY403" s="76">
        <f>Drivers!DY307</f>
        <v>-24.517790536966402</v>
      </c>
      <c r="DZ403" s="76">
        <f>Drivers!DZ307</f>
        <v>-6.4803794628906246</v>
      </c>
      <c r="EA403" s="76">
        <f>Drivers!EA307</f>
        <v>-5.4670558593749945</v>
      </c>
      <c r="EB403" s="76">
        <f>Drivers!EB307</f>
        <v>-6.4533906249999973</v>
      </c>
      <c r="EC403" s="76">
        <f>Drivers!EC307</f>
        <v>-4.4393749999999841</v>
      </c>
      <c r="ED403" s="76">
        <f>Drivers!ED307</f>
        <v>-22.8402009472656</v>
      </c>
      <c r="EE403" s="76">
        <f>Drivers!EE307</f>
        <v>-4.4250000000000114</v>
      </c>
      <c r="EF403" s="76">
        <f>Drivers!EF307</f>
        <v>-3</v>
      </c>
      <c r="EG403" s="76">
        <f>Drivers!EG307</f>
        <v>-4</v>
      </c>
      <c r="EH403" s="76">
        <f>Drivers!EH307</f>
        <v>-7</v>
      </c>
      <c r="EI403" s="76">
        <f>Drivers!EI307</f>
        <v>-18.425000000000011</v>
      </c>
      <c r="EJ403" s="76">
        <f>Drivers!EJ307</f>
        <v>-3</v>
      </c>
      <c r="EK403" s="76">
        <f>Drivers!EK307</f>
        <v>-5</v>
      </c>
      <c r="EL403" s="76">
        <f>Drivers!EL307</f>
        <v>-5</v>
      </c>
      <c r="EM403" s="76">
        <f>Drivers!EM307</f>
        <v>-7</v>
      </c>
      <c r="EN403" s="76">
        <f>Drivers!EN307</f>
        <v>-20</v>
      </c>
      <c r="EO403" s="76">
        <f>Drivers!EO307</f>
        <v>-6</v>
      </c>
      <c r="EP403" s="76">
        <f>Drivers!EP307</f>
        <v>-4</v>
      </c>
      <c r="EQ403" s="76">
        <f>Drivers!EQ307</f>
        <v>-6</v>
      </c>
      <c r="ER403" s="76">
        <f>Drivers!ER307</f>
        <v>-6</v>
      </c>
      <c r="ES403" s="76">
        <f>Drivers!ES307</f>
        <v>-22</v>
      </c>
      <c r="ET403" s="76">
        <f>Drivers!ET307</f>
        <v>-6</v>
      </c>
      <c r="EU403" s="76">
        <f>Drivers!EU307</f>
        <v>-6</v>
      </c>
      <c r="EV403" s="76">
        <f>Drivers!EV307</f>
        <v>-6</v>
      </c>
      <c r="EW403" s="76">
        <f>Drivers!EW307</f>
        <v>-6</v>
      </c>
      <c r="EX403" s="76">
        <f>Drivers!EX307</f>
        <v>-24</v>
      </c>
      <c r="EY403" s="76">
        <f>Drivers!EY307</f>
        <v>-5.2164926708859127</v>
      </c>
      <c r="EZ403" s="76">
        <f>Drivers!EZ307</f>
        <v>-5.1826027300647439</v>
      </c>
      <c r="FA403" s="76">
        <f>Drivers!FA307</f>
        <v>-5.1506984856328444</v>
      </c>
      <c r="FB403" s="76">
        <f>Drivers!FB307</f>
        <v>-5.1184913728842929</v>
      </c>
      <c r="FC403" s="76">
        <f>Drivers!FC307</f>
        <v>-20.668285259467794</v>
      </c>
      <c r="FD403" s="76">
        <f>Drivers!FD307</f>
        <v>-17.40348520684455</v>
      </c>
      <c r="FE403" s="76">
        <f>Drivers!FE307</f>
        <v>-12.810846845222358</v>
      </c>
      <c r="FF403" s="76">
        <f>Drivers!FF307</f>
        <v>-9.3716851478287566</v>
      </c>
      <c r="FG403" s="76">
        <f>Drivers!FG307</f>
        <v>-6.8553252484714235</v>
      </c>
      <c r="FH403" s="76">
        <f>Drivers!FH307</f>
        <v>-5.0141726777395945</v>
      </c>
      <c r="FI403" s="76">
        <f>Drivers!FI307</f>
        <v>-3.6670646312823081</v>
      </c>
    </row>
    <row r="404" spans="1:165" ht="13" x14ac:dyDescent="0.3">
      <c r="A404" s="326"/>
    </row>
    <row r="405" spans="1:165" ht="13" x14ac:dyDescent="0.3">
      <c r="A405" s="326" t="s">
        <v>3754</v>
      </c>
      <c r="DU405" s="623">
        <f>Drivers!DU264</f>
        <v>2.3800000000000002E-2</v>
      </c>
      <c r="DV405" s="623">
        <f>Drivers!DV264</f>
        <v>2.63E-2</v>
      </c>
      <c r="DW405" s="623">
        <f>Drivers!DW264</f>
        <v>2.9000000000000001E-2</v>
      </c>
      <c r="DX405" s="623">
        <f>Drivers!DX264</f>
        <v>2.53E-2</v>
      </c>
      <c r="DY405" s="623">
        <f>Drivers!DY264</f>
        <v>2.608478932812754E-2</v>
      </c>
      <c r="DZ405" s="623">
        <f>Drivers!DZ264</f>
        <v>2.3599999999999999E-2</v>
      </c>
      <c r="EA405" s="623">
        <f>Drivers!EA264</f>
        <v>2.0299999999999999E-2</v>
      </c>
      <c r="EB405" s="623">
        <f>Drivers!EB264</f>
        <v>2.1100000000000001E-2</v>
      </c>
      <c r="EC405" s="623">
        <f>Drivers!EC264</f>
        <v>1.9599999999999999E-2</v>
      </c>
      <c r="ED405" s="623">
        <f>Drivers!ED264</f>
        <v>2.11705830232146E-2</v>
      </c>
      <c r="EE405" s="623">
        <f>Drivers!EE264</f>
        <v>1.6199999999999999E-2</v>
      </c>
      <c r="EF405" s="623">
        <f>Drivers!EF264</f>
        <v>1.67E-2</v>
      </c>
      <c r="EG405" s="623">
        <f>Drivers!EG264</f>
        <v>1.89E-2</v>
      </c>
      <c r="EH405" s="623">
        <f>Drivers!EH264</f>
        <v>1.6899999999999998E-2</v>
      </c>
      <c r="EI405" s="623">
        <f>Drivers!EI264</f>
        <v>1.7164330723696775E-2</v>
      </c>
      <c r="EJ405" s="623">
        <f>Drivers!EJ264</f>
        <v>1.5299999999999999E-2</v>
      </c>
      <c r="EK405" s="623">
        <f>Drivers!EK264</f>
        <v>1.7299999999999999E-2</v>
      </c>
      <c r="EL405" s="623">
        <f>Drivers!EL264</f>
        <v>2.0199999999999999E-2</v>
      </c>
      <c r="EM405" s="623">
        <f>Drivers!EM264</f>
        <v>1.8800000000000001E-2</v>
      </c>
      <c r="EN405" s="623">
        <f>Drivers!EN264</f>
        <v>1.7844453888652783E-2</v>
      </c>
      <c r="EO405" s="623">
        <f>Drivers!EO264</f>
        <v>1.7100000000000001E-2</v>
      </c>
      <c r="EP405" s="623">
        <f>Drivers!EP264</f>
        <v>1.84E-2</v>
      </c>
      <c r="EQ405" s="623">
        <f>Drivers!EQ264</f>
        <v>2.18E-2</v>
      </c>
      <c r="ER405" s="623">
        <f>Drivers!ER264</f>
        <v>1.8599999999999998E-2</v>
      </c>
      <c r="ES405" s="623">
        <f>Drivers!ES264</f>
        <v>1.8915491118077322E-2</v>
      </c>
      <c r="ET405" s="623">
        <f>Drivers!ET264</f>
        <v>1.9300000000000001E-2</v>
      </c>
      <c r="EU405" s="623">
        <f>Drivers!EU264</f>
        <v>2.0199999999999999E-2</v>
      </c>
      <c r="EV405" s="623">
        <f>Drivers!EV264</f>
        <v>2.3699999999999999E-2</v>
      </c>
      <c r="EW405" s="623">
        <f>Drivers!EW264</f>
        <v>2.5399999999999999E-2</v>
      </c>
      <c r="EX405" s="623">
        <f>Drivers!EX264</f>
        <v>2.1960704697986579E-2</v>
      </c>
      <c r="EY405" s="623">
        <f>Drivers!EY264</f>
        <v>2.316E-2</v>
      </c>
      <c r="EZ405" s="623">
        <f>Drivers!EZ264</f>
        <v>2.4239999999999998E-2</v>
      </c>
      <c r="FA405" s="623">
        <f>Drivers!FA264</f>
        <v>2.8439999999999997E-2</v>
      </c>
      <c r="FB405" s="623">
        <f>Drivers!FB264</f>
        <v>3.0479999999999997E-2</v>
      </c>
      <c r="FC405" s="623">
        <f>Drivers!FC264</f>
        <v>2.6324739379978784E-2</v>
      </c>
      <c r="FD405" s="623">
        <f>Drivers!FD264</f>
        <v>2.6324739379978784E-2</v>
      </c>
      <c r="FE405" s="623">
        <f>Drivers!FE264</f>
        <v>2.6324739379978784E-2</v>
      </c>
      <c r="FF405" s="623">
        <f>Drivers!FF264</f>
        <v>2.6324739379978784E-2</v>
      </c>
      <c r="FG405" s="623">
        <f>Drivers!FG264</f>
        <v>2.6324739379978784E-2</v>
      </c>
      <c r="FH405" s="623">
        <f>Drivers!FH264</f>
        <v>2.6324739379978784E-2</v>
      </c>
      <c r="FI405" s="623">
        <f>Drivers!FI264</f>
        <v>2.6324739379978784E-2</v>
      </c>
    </row>
    <row r="406" spans="1:165" ht="13" x14ac:dyDescent="0.3">
      <c r="A406" s="326"/>
    </row>
    <row r="407" spans="1:165" x14ac:dyDescent="0.3">
      <c r="A407" s="60" t="s">
        <v>361</v>
      </c>
    </row>
    <row r="408" spans="1:165" x14ac:dyDescent="0.3">
      <c r="A408" s="56" t="s">
        <v>421</v>
      </c>
      <c r="DU408" s="1015">
        <f>Drivers!DU323</f>
        <v>39.53</v>
      </c>
      <c r="DV408" s="1015">
        <f>Drivers!DV323</f>
        <v>40.18</v>
      </c>
      <c r="DW408" s="1015">
        <f>Drivers!DW323</f>
        <v>40.75</v>
      </c>
      <c r="DX408" s="1015">
        <f>Drivers!DX323</f>
        <v>40.97</v>
      </c>
      <c r="DY408" s="1015">
        <f>Drivers!DY323</f>
        <v>40.3418202764977</v>
      </c>
      <c r="DZ408" s="1015">
        <f>Drivers!DZ323</f>
        <v>41.15</v>
      </c>
      <c r="EA408" s="1015">
        <f>Drivers!EA323</f>
        <v>41.93</v>
      </c>
      <c r="EB408" s="1015">
        <f>Drivers!EB323</f>
        <v>42.16</v>
      </c>
      <c r="EC408" s="1015">
        <f>Drivers!EC323</f>
        <v>42.61</v>
      </c>
      <c r="ED408" s="1015">
        <f>Drivers!ED323</f>
        <v>41.953646922183502</v>
      </c>
      <c r="EE408" s="1015">
        <f>Drivers!EE323</f>
        <v>43.23</v>
      </c>
      <c r="EF408" s="1015">
        <f>Drivers!EF323</f>
        <v>44.8</v>
      </c>
      <c r="EG408" s="1015">
        <f>Drivers!EG323</f>
        <v>45.44</v>
      </c>
      <c r="EH408" s="1015">
        <f>Drivers!EH323</f>
        <v>45.33</v>
      </c>
      <c r="EI408" s="1015">
        <f>Drivers!EI323</f>
        <v>44.680457573124819</v>
      </c>
      <c r="EJ408" s="1015">
        <f>Drivers!EJ323</f>
        <v>45.72</v>
      </c>
      <c r="EK408" s="1015">
        <f>Drivers!EK323</f>
        <v>48.47</v>
      </c>
      <c r="EL408" s="1015">
        <f>Drivers!EL323</f>
        <v>49.65</v>
      </c>
      <c r="EM408" s="1015">
        <f>Drivers!EM323</f>
        <v>48.7</v>
      </c>
      <c r="EN408" s="1015">
        <f>Drivers!EN323</f>
        <v>48.086720529226767</v>
      </c>
      <c r="EO408" s="1015">
        <f>Drivers!EO323</f>
        <v>48.88</v>
      </c>
      <c r="EP408" s="1015">
        <f>Drivers!EP323</f>
        <v>51.9</v>
      </c>
      <c r="EQ408" s="1015">
        <f>Drivers!EQ323</f>
        <v>54.62</v>
      </c>
      <c r="ER408" s="1015">
        <f>Drivers!ER323</f>
        <v>54.22</v>
      </c>
      <c r="ES408" s="1015">
        <f>Drivers!ES323</f>
        <v>52.261183591123064</v>
      </c>
      <c r="ET408" s="1015">
        <f>Drivers!ET323</f>
        <v>56.16</v>
      </c>
      <c r="EU408" s="1015">
        <f>Drivers!EU323</f>
        <v>58.26</v>
      </c>
      <c r="EV408" s="1015">
        <f>Drivers!EV323</f>
        <v>59.16</v>
      </c>
      <c r="EW408" s="1015">
        <f>Drivers!EW323</f>
        <v>62.12</v>
      </c>
      <c r="EX408" s="1015">
        <f>Drivers!EX323</f>
        <v>58.753231304347821</v>
      </c>
      <c r="EY408" s="1015">
        <f>Drivers!EY323</f>
        <v>60.345822530471324</v>
      </c>
      <c r="EZ408" s="1015">
        <f>Drivers!EZ323</f>
        <v>62.602343672102194</v>
      </c>
      <c r="FA408" s="1015">
        <f>Drivers!FA323</f>
        <v>63.569424161372567</v>
      </c>
      <c r="FB408" s="1015">
        <f>Drivers!FB323</f>
        <v>66.750044437195129</v>
      </c>
      <c r="FC408" s="1015">
        <f>Drivers!FC323</f>
        <v>63.109315958467334</v>
      </c>
      <c r="FD408" s="1015">
        <f>Drivers!FD323</f>
        <v>66.618606213771756</v>
      </c>
      <c r="FE408" s="1015">
        <f>Drivers!FE323</f>
        <v>69.396928503326521</v>
      </c>
      <c r="FF408" s="1015">
        <f>Drivers!FF323</f>
        <v>72.14641084817319</v>
      </c>
      <c r="FG408" s="1015">
        <f>Drivers!FG323</f>
        <v>74.861905939840241</v>
      </c>
      <c r="FH408" s="1015">
        <f>Drivers!FH323</f>
        <v>77.538723524463606</v>
      </c>
      <c r="FI408" s="1015">
        <f>Drivers!FI323</f>
        <v>80.172628782593321</v>
      </c>
    </row>
    <row r="409" spans="1:165" x14ac:dyDescent="0.3">
      <c r="A409" s="70" t="s">
        <v>363</v>
      </c>
    </row>
    <row r="410" spans="1:165" x14ac:dyDescent="0.3">
      <c r="A410" s="56" t="s">
        <v>422</v>
      </c>
      <c r="DZ410" s="1015">
        <f>Drivers!DZ325</f>
        <v>110</v>
      </c>
      <c r="EA410" s="1015">
        <f>Drivers!EA325</f>
        <v>109.98</v>
      </c>
      <c r="EB410" s="1015">
        <f>Drivers!EB325</f>
        <v>111.88</v>
      </c>
      <c r="EC410" s="1015">
        <f>Drivers!EC325</f>
        <v>112.41</v>
      </c>
      <c r="ED410" s="1015">
        <f>Drivers!ED325</f>
        <v>110.9828</v>
      </c>
      <c r="EE410" s="1015">
        <f>Drivers!EE325</f>
        <v>115.76</v>
      </c>
      <c r="EF410" s="1015">
        <f>Drivers!EF325</f>
        <v>117.46</v>
      </c>
      <c r="EG410" s="1015">
        <f>Drivers!EG325</f>
        <v>118.98</v>
      </c>
      <c r="EH410" s="1015">
        <f>Drivers!EH325</f>
        <v>119.01</v>
      </c>
      <c r="EI410" s="1015">
        <f>Drivers!EI325</f>
        <v>117.71256198347106</v>
      </c>
      <c r="EJ410" s="1015">
        <f>Drivers!EJ325</f>
        <v>119.54</v>
      </c>
      <c r="EK410" s="1015">
        <f>Drivers!EK325</f>
        <v>124.29</v>
      </c>
      <c r="EL410" s="1015">
        <f>Drivers!EL325</f>
        <v>125.52</v>
      </c>
      <c r="EM410" s="1015">
        <f>Drivers!EM325</f>
        <v>124.89</v>
      </c>
      <c r="EN410" s="1015">
        <f>Drivers!EN325</f>
        <v>123.37491712707181</v>
      </c>
      <c r="EO410" s="1015">
        <f>Drivers!EO325</f>
        <v>130.65</v>
      </c>
      <c r="EP410" s="1015">
        <f>Drivers!EP325</f>
        <v>134.86000000000001</v>
      </c>
      <c r="EQ410" s="1015">
        <f>Drivers!EQ325</f>
        <v>135.04</v>
      </c>
      <c r="ER410" s="1015">
        <f>Drivers!ER325</f>
        <v>128.84</v>
      </c>
      <c r="ES410" s="1015">
        <f>Drivers!ES325</f>
        <v>132.40957142857144</v>
      </c>
      <c r="ET410" s="1015">
        <f>Drivers!ET325</f>
        <v>133.18</v>
      </c>
      <c r="EU410" s="1015">
        <f>Drivers!EU325</f>
        <v>123.1</v>
      </c>
      <c r="EV410" s="1015">
        <f>Drivers!EV325</f>
        <v>106.42</v>
      </c>
      <c r="EW410" s="1015">
        <f>Drivers!EW325</f>
        <v>97.73</v>
      </c>
      <c r="EX410" s="1015">
        <f>Drivers!EX325</f>
        <v>116.91601851851853</v>
      </c>
      <c r="EY410" s="1015">
        <f>Drivers!EY325</f>
        <v>133.18</v>
      </c>
      <c r="EZ410" s="1015">
        <f>Drivers!EZ325</f>
        <v>123.1</v>
      </c>
      <c r="FA410" s="1015">
        <f>Drivers!FA325</f>
        <v>106.42</v>
      </c>
      <c r="FB410" s="1015">
        <f>Drivers!FB325</f>
        <v>97.73</v>
      </c>
      <c r="FC410" s="1015">
        <f>Drivers!FC325</f>
        <v>117.37908986407963</v>
      </c>
      <c r="FD410" s="1015">
        <f>Drivers!FD325</f>
        <v>117.84399530452181</v>
      </c>
      <c r="FE410" s="1015">
        <f>Drivers!FE325</f>
        <v>118.31074210417714</v>
      </c>
      <c r="FF410" s="1015">
        <f>Drivers!FF325</f>
        <v>118.77933755614967</v>
      </c>
      <c r="FG410" s="1015">
        <f>Drivers!FG325</f>
        <v>119.24978898242939</v>
      </c>
      <c r="FH410" s="1015">
        <f>Drivers!FH325</f>
        <v>119.72210373400661</v>
      </c>
      <c r="FI410" s="1015">
        <f>Drivers!FI325</f>
        <v>120.19628919098683</v>
      </c>
    </row>
    <row r="411" spans="1:165" x14ac:dyDescent="0.3">
      <c r="A411" s="70" t="s">
        <v>363</v>
      </c>
    </row>
    <row r="412" spans="1:165" x14ac:dyDescent="0.3">
      <c r="A412" s="56" t="s">
        <v>3755</v>
      </c>
      <c r="DZ412" s="1015">
        <f>Drivers!DZ327</f>
        <v>37.119676725792836</v>
      </c>
      <c r="EA412" s="1015">
        <f>Drivers!EA327</f>
        <v>36.583476702508953</v>
      </c>
      <c r="EB412" s="1015">
        <f>Drivers!EB327</f>
        <v>35.862500794407374</v>
      </c>
      <c r="EC412" s="1015">
        <f>Drivers!EC327</f>
        <v>35.946297830855471</v>
      </c>
      <c r="ED412" s="1015">
        <f>Drivers!ED327</f>
        <v>36.387713874768487</v>
      </c>
      <c r="EE412" s="1015">
        <f>Drivers!EE327</f>
        <v>35.308505403158769</v>
      </c>
      <c r="EF412" s="1015">
        <f>Drivers!EF327</f>
        <v>34.859950642498511</v>
      </c>
      <c r="EG412" s="1015">
        <f>Drivers!EG327</f>
        <v>34.183053661947206</v>
      </c>
      <c r="EH412" s="1015">
        <f>Drivers!EH327</f>
        <v>33.694849955076364</v>
      </c>
      <c r="EI412" s="1015">
        <f>Drivers!EI327</f>
        <v>34.529518693504194</v>
      </c>
      <c r="EJ412" s="1015">
        <f>Drivers!EJ327</f>
        <v>33.889628808864266</v>
      </c>
      <c r="EK412" s="1015">
        <f>Drivers!EK327</f>
        <v>34.232451932229203</v>
      </c>
      <c r="EL412" s="1015">
        <f>Drivers!EL327</f>
        <v>34.81544381632451</v>
      </c>
      <c r="EM412" s="1015">
        <f>Drivers!EM327</f>
        <v>32.736809464248488</v>
      </c>
      <c r="EN412" s="1015">
        <f>Drivers!EN327</f>
        <v>33.935383658839882</v>
      </c>
      <c r="EO412" s="1015">
        <f>Drivers!EO327</f>
        <v>33.131529011736312</v>
      </c>
      <c r="EP412" s="1015">
        <f>Drivers!EP327</f>
        <v>35.201367521367523</v>
      </c>
      <c r="EQ412" s="1015">
        <f>Drivers!EQ327</f>
        <v>37.019344583027639</v>
      </c>
      <c r="ER412" s="1015">
        <f>Drivers!ER327</f>
        <v>37.495914981855883</v>
      </c>
      <c r="ES412" s="1015">
        <f>Drivers!ES327</f>
        <v>35.608312394190499</v>
      </c>
      <c r="ET412" s="1015">
        <f>Drivers!ET327</f>
        <v>38.773550247116972</v>
      </c>
      <c r="EU412" s="1015">
        <f>Drivers!EU327</f>
        <v>38.229022534386893</v>
      </c>
      <c r="EV412" s="1015">
        <f>Drivers!EV327</f>
        <v>39.285179245283011</v>
      </c>
      <c r="EW412" s="1015">
        <f>Drivers!EW327</f>
        <v>40.259560196977418</v>
      </c>
      <c r="EX412" s="1015">
        <f>Drivers!EX327</f>
        <v>39.087722152690866</v>
      </c>
      <c r="EY412" s="1015">
        <f>Drivers!EY327</f>
        <v>38.773550247116972</v>
      </c>
      <c r="EZ412" s="1015">
        <f>Drivers!EZ327</f>
        <v>38.229022534386893</v>
      </c>
      <c r="FA412" s="1015">
        <f>Drivers!FA327</f>
        <v>39.285179245283011</v>
      </c>
      <c r="FB412" s="1015">
        <f>Drivers!FB327</f>
        <v>40.259560196977418</v>
      </c>
      <c r="FC412" s="1015">
        <f>Drivers!FC327</f>
        <v>39.081383704940961</v>
      </c>
      <c r="FD412" s="1015">
        <f>Drivers!FD327</f>
        <v>39.076313769012948</v>
      </c>
      <c r="FE412" s="1015">
        <f>Drivers!FE327</f>
        <v>39.07225834643922</v>
      </c>
      <c r="FF412" s="1015">
        <f>Drivers!FF327</f>
        <v>39.069014345084511</v>
      </c>
      <c r="FG412" s="1015">
        <f>Drivers!FG327</f>
        <v>39.066419359469116</v>
      </c>
      <c r="FH412" s="1015">
        <f>Drivers!FH327</f>
        <v>39.064343508865107</v>
      </c>
      <c r="FI412" s="1015">
        <f>Drivers!FI327</f>
        <v>39.062682916624553</v>
      </c>
    </row>
    <row r="413" spans="1:165" x14ac:dyDescent="0.3">
      <c r="A413" s="70" t="s">
        <v>363</v>
      </c>
    </row>
    <row r="414" spans="1:165" x14ac:dyDescent="0.3">
      <c r="A414" s="56" t="s">
        <v>424</v>
      </c>
      <c r="DZ414" s="1015">
        <f>Drivers!DZ329</f>
        <v>65.209999999999994</v>
      </c>
      <c r="EA414" s="1015">
        <f>Drivers!EA329</f>
        <v>64.739999999999995</v>
      </c>
      <c r="EB414" s="1015">
        <f>Drivers!EB329</f>
        <v>64.92</v>
      </c>
      <c r="EC414" s="1015">
        <f>Drivers!EC329</f>
        <v>66.12</v>
      </c>
      <c r="ED414" s="1015">
        <f>Drivers!ED329</f>
        <v>65.236398257063328</v>
      </c>
      <c r="EE414" s="1015">
        <f>Drivers!EE329</f>
        <v>63.8</v>
      </c>
      <c r="EF414" s="1015">
        <f>Drivers!EF329</f>
        <v>61.07</v>
      </c>
      <c r="EG414" s="1015">
        <f>Drivers!EG329</f>
        <v>59.15</v>
      </c>
      <c r="EH414" s="1015">
        <f>Drivers!EH329</f>
        <v>57.76</v>
      </c>
      <c r="EI414" s="1015">
        <f>Drivers!EI329</f>
        <v>60.506864347858773</v>
      </c>
      <c r="EJ414" s="1015">
        <f>Drivers!EJ329</f>
        <v>59.35</v>
      </c>
      <c r="EK414" s="1015">
        <f>Drivers!EK329</f>
        <v>57.35</v>
      </c>
      <c r="EL414" s="1015">
        <f>Drivers!EL329</f>
        <v>59.25</v>
      </c>
      <c r="EM414" s="1015">
        <f>Drivers!EM329</f>
        <v>60.18</v>
      </c>
      <c r="EN414" s="1015">
        <f>Drivers!EN329</f>
        <v>59.011415254237285</v>
      </c>
      <c r="EO414" s="1015">
        <f>Drivers!EO329</f>
        <v>60.59</v>
      </c>
      <c r="EP414" s="1015">
        <f>Drivers!EP329</f>
        <v>61.26</v>
      </c>
      <c r="EQ414" s="1015">
        <f>Drivers!EQ329</f>
        <v>59.87</v>
      </c>
      <c r="ER414" s="1015">
        <f>Drivers!ER329</f>
        <v>59.87</v>
      </c>
      <c r="ES414" s="1015">
        <f>Drivers!ES329</f>
        <v>60.416267465069858</v>
      </c>
      <c r="ET414" s="1015">
        <f>Drivers!ET329</f>
        <v>60.81</v>
      </c>
      <c r="EU414" s="1015">
        <f>Drivers!EU329</f>
        <v>63.83</v>
      </c>
      <c r="EV414" s="1015">
        <f>Drivers!EV329</f>
        <v>64.98</v>
      </c>
      <c r="EW414" s="1015">
        <f>Drivers!EW329</f>
        <v>64.94</v>
      </c>
      <c r="EX414" s="1015">
        <f>Drivers!EX329</f>
        <v>63.540441176470587</v>
      </c>
      <c r="EY414" s="1015">
        <f>Drivers!EY329</f>
        <v>63.640080543292505</v>
      </c>
      <c r="EZ414" s="1015">
        <f>Drivers!EZ329</f>
        <v>66.800630506139782</v>
      </c>
      <c r="FA414" s="1015">
        <f>Drivers!FA329</f>
        <v>68.00415118735647</v>
      </c>
      <c r="FB414" s="1015">
        <f>Drivers!FB329</f>
        <v>67.962289598444585</v>
      </c>
      <c r="FC414" s="1015">
        <f>Drivers!FC329</f>
        <v>66.486686337044176</v>
      </c>
      <c r="FD414" s="1015">
        <f>Drivers!FD329</f>
        <v>69.261257410404397</v>
      </c>
      <c r="FE414" s="1015">
        <f>Drivers!FE329</f>
        <v>71.86257900894455</v>
      </c>
      <c r="FF414" s="1015">
        <f>Drivers!FF329</f>
        <v>74.29169908707955</v>
      </c>
      <c r="FG414" s="1015">
        <f>Drivers!FG329</f>
        <v>76.551806007008679</v>
      </c>
      <c r="FH414" s="1015">
        <f>Drivers!FH329</f>
        <v>78.647783643191758</v>
      </c>
      <c r="FI414" s="1015">
        <f>Drivers!FI329</f>
        <v>80.585812330232301</v>
      </c>
    </row>
    <row r="415" spans="1:165" x14ac:dyDescent="0.3">
      <c r="A415" s="70" t="s">
        <v>363</v>
      </c>
    </row>
    <row r="416" spans="1:165" x14ac:dyDescent="0.3">
      <c r="A416" s="56" t="s">
        <v>525</v>
      </c>
      <c r="DZ416" s="1015">
        <f>Drivers!DZ612</f>
        <v>774.88787696231509</v>
      </c>
      <c r="EA416" s="1015">
        <f>Drivers!EA612</f>
        <v>770.13859632479796</v>
      </c>
      <c r="EB416" s="1015">
        <f>Drivers!EB612</f>
        <v>778.98006826225958</v>
      </c>
      <c r="EC416" s="1015">
        <f>Drivers!EC612</f>
        <v>777.38116671354749</v>
      </c>
      <c r="ED416" s="1015">
        <f>Drivers!ED612</f>
        <v>775.28267279531576</v>
      </c>
      <c r="EE416" s="1015">
        <f>Drivers!EE612</f>
        <v>803.34572596840144</v>
      </c>
      <c r="EF416" s="1015">
        <f>Drivers!EF612</f>
        <v>791.55116716122666</v>
      </c>
      <c r="EG416" s="1015">
        <f>Drivers!EG612</f>
        <v>785.29444444444437</v>
      </c>
      <c r="EH416" s="1015">
        <f>Drivers!EH612</f>
        <v>783.68258227418607</v>
      </c>
      <c r="EI416" s="1015">
        <f>Drivers!EI612</f>
        <v>793.3556232031118</v>
      </c>
      <c r="EJ416" s="1015">
        <f>Drivers!EJ612</f>
        <v>827.44609774745345</v>
      </c>
      <c r="EK416" s="1015">
        <f>Drivers!EK612</f>
        <v>846.95974886251258</v>
      </c>
      <c r="EL416" s="1015">
        <f>Drivers!EL612</f>
        <v>855.9709444444444</v>
      </c>
      <c r="EM416" s="1015">
        <f>Drivers!EM612</f>
        <v>854.2140146788629</v>
      </c>
      <c r="EN416" s="1015">
        <f>Drivers!EN612</f>
        <v>808.78519491525412</v>
      </c>
      <c r="EO416" s="1015">
        <f>Drivers!EO612</f>
        <v>0</v>
      </c>
      <c r="EP416" s="1015">
        <f>Drivers!EP612</f>
        <v>0</v>
      </c>
      <c r="EQ416" s="1015">
        <f>Drivers!EQ612</f>
        <v>0</v>
      </c>
      <c r="ER416" s="1015">
        <f>Drivers!ER612</f>
        <v>0</v>
      </c>
      <c r="ES416" s="1015">
        <f>Drivers!ES612</f>
        <v>824.51484855315243</v>
      </c>
      <c r="ET416" s="1015">
        <f>Drivers!ET612</f>
        <v>0</v>
      </c>
      <c r="EU416" s="1015">
        <f>Drivers!EU612</f>
        <v>0</v>
      </c>
      <c r="EV416" s="1015">
        <f>Drivers!EV612</f>
        <v>0</v>
      </c>
      <c r="EW416" s="1015">
        <f>Drivers!EW612</f>
        <v>0</v>
      </c>
      <c r="EX416" s="1015">
        <f>Drivers!EX612</f>
        <v>840.55042025820103</v>
      </c>
      <c r="EY416" s="1015">
        <f>Drivers!EY612</f>
        <v>0</v>
      </c>
      <c r="EZ416" s="1015">
        <f>Drivers!EZ612</f>
        <v>0</v>
      </c>
      <c r="FA416" s="1015">
        <f>Drivers!FA612</f>
        <v>0</v>
      </c>
      <c r="FB416" s="1015">
        <f>Drivers!FB612</f>
        <v>0</v>
      </c>
      <c r="FC416" s="1015">
        <f>Drivers!FC612</f>
        <v>856.89785967595242</v>
      </c>
      <c r="FD416" s="1015">
        <f>Drivers!FD612</f>
        <v>873.56323216360215</v>
      </c>
      <c r="FE416" s="1015">
        <f>Drivers!FE612</f>
        <v>889.7032465965658</v>
      </c>
      <c r="FF416" s="1015">
        <f>Drivers!FF612</f>
        <v>905.31955412507716</v>
      </c>
      <c r="FG416" s="1015">
        <f>Drivers!FG612</f>
        <v>920.41544277303956</v>
      </c>
      <c r="FH416" s="1015">
        <f>Drivers!FH612</f>
        <v>934.99566974607239</v>
      </c>
      <c r="FI416" s="1015">
        <f>Drivers!FI612</f>
        <v>949.06630136270087</v>
      </c>
    </row>
    <row r="417" spans="1:165" x14ac:dyDescent="0.3">
      <c r="A417" s="70" t="s">
        <v>363</v>
      </c>
    </row>
    <row r="418" spans="1:165" x14ac:dyDescent="0.3">
      <c r="A418" s="344"/>
    </row>
    <row r="419" spans="1:165" x14ac:dyDescent="0.3">
      <c r="A419" s="90" t="s">
        <v>284</v>
      </c>
    </row>
    <row r="420" spans="1:165" x14ac:dyDescent="0.3">
      <c r="A420" t="s">
        <v>427</v>
      </c>
      <c r="DZ420" s="885">
        <f>Drivers!DZ337</f>
        <v>176.59522499999997</v>
      </c>
      <c r="EA420" s="885">
        <f>Drivers!EA337</f>
        <v>177.36390000000003</v>
      </c>
      <c r="EB420" s="885">
        <f>Drivers!EB337</f>
        <v>175.93367999999998</v>
      </c>
      <c r="EC420" s="885">
        <f>Drivers!EC337</f>
        <v>174.48795000000001</v>
      </c>
      <c r="ED420" s="885">
        <f>Drivers!ED337</f>
        <v>704.38075499999991</v>
      </c>
      <c r="EE420" s="885">
        <f>Drivers!EE337</f>
        <v>173.52521999999999</v>
      </c>
      <c r="EF420" s="885">
        <f>Drivers!EF337</f>
        <v>176.33279999999999</v>
      </c>
      <c r="EG420" s="885">
        <f>Drivers!EG337</f>
        <v>174.55776</v>
      </c>
      <c r="EH420" s="885">
        <f>Drivers!EH337</f>
        <v>169.85151000000002</v>
      </c>
      <c r="EI420" s="885">
        <f>Drivers!EI337</f>
        <v>694.26729</v>
      </c>
      <c r="EJ420" s="885">
        <f>Drivers!EJ337</f>
        <v>167.19804000000002</v>
      </c>
      <c r="EK420" s="885">
        <f>Drivers!EK337</f>
        <v>172.09273499999998</v>
      </c>
      <c r="EL420" s="885">
        <f>Drivers!EL337</f>
        <v>168.9093</v>
      </c>
      <c r="EM420" s="885">
        <f>Drivers!EM337</f>
        <v>156.91140000000001</v>
      </c>
      <c r="EN420" s="885">
        <f>Drivers!EN337</f>
        <v>665.11147499999993</v>
      </c>
      <c r="EO420" s="885">
        <f>Drivers!EO337</f>
        <v>148.83960000000002</v>
      </c>
      <c r="EP420" s="885">
        <f>Drivers!EP337</f>
        <v>149.08275</v>
      </c>
      <c r="EQ420" s="885">
        <f>Drivers!EQ337</f>
        <v>147.31013999999999</v>
      </c>
      <c r="ER420" s="885">
        <f>Drivers!ER337</f>
        <v>137.61036000000001</v>
      </c>
      <c r="ES420" s="885">
        <f>Drivers!ES337</f>
        <v>582.84285</v>
      </c>
      <c r="ET420" s="885">
        <f>Drivers!ET337</f>
        <v>134.19431999999998</v>
      </c>
      <c r="EU420" s="885">
        <f>Drivers!EU337</f>
        <v>130.38588000000001</v>
      </c>
      <c r="EV420" s="885">
        <f>Drivers!EV337</f>
        <v>123.08238</v>
      </c>
      <c r="EW420" s="885">
        <f>Drivers!EW337</f>
        <v>119.08404</v>
      </c>
      <c r="EX420" s="885">
        <f>Drivers!EX337</f>
        <v>506.74662000000001</v>
      </c>
      <c r="EY420" s="885">
        <f>Drivers!EY337</f>
        <v>106.94591429198042</v>
      </c>
      <c r="EZ420" s="885">
        <f>Drivers!EZ337</f>
        <v>103.06324212711738</v>
      </c>
      <c r="FA420" s="885">
        <f>Drivers!FA337</f>
        <v>96.410373267464138</v>
      </c>
      <c r="FB420" s="885">
        <f>Drivers!FB337</f>
        <v>92.300880895427568</v>
      </c>
      <c r="FC420" s="885">
        <f>Drivers!FC337</f>
        <v>398.72041058198948</v>
      </c>
      <c r="FD420" s="885">
        <f>Drivers!FD337</f>
        <v>295.41075172913111</v>
      </c>
      <c r="FE420" s="885">
        <f>Drivers!FE337</f>
        <v>210.51962150047194</v>
      </c>
      <c r="FF420" s="885">
        <f>Drivers!FF337</f>
        <v>149.72304047581466</v>
      </c>
      <c r="FG420" s="885">
        <f>Drivers!FG337</f>
        <v>106.28117886349193</v>
      </c>
      <c r="FH420" s="885">
        <f>Drivers!FH337</f>
        <v>75.307062282039553</v>
      </c>
      <c r="FI420" s="885">
        <f>Drivers!FI337</f>
        <v>53.267799788879096</v>
      </c>
    </row>
    <row r="421" spans="1:165" x14ac:dyDescent="0.3">
      <c r="A421" t="s">
        <v>428</v>
      </c>
      <c r="DZ421" s="885">
        <f>Drivers!DZ338</f>
        <v>29.7</v>
      </c>
      <c r="EA421" s="885">
        <f>Drivers!EA338</f>
        <v>27.879930000000002</v>
      </c>
      <c r="EB421" s="885">
        <f>Drivers!EB338</f>
        <v>26.347739999999998</v>
      </c>
      <c r="EC421" s="885">
        <f>Drivers!EC338</f>
        <v>24.280559999999998</v>
      </c>
      <c r="ED421" s="885">
        <f>Drivers!ED338</f>
        <v>108.20823</v>
      </c>
      <c r="EE421" s="885">
        <f>Drivers!EE338</f>
        <v>23.09412</v>
      </c>
      <c r="EF421" s="885">
        <f>Drivers!EF338</f>
        <v>21.847559999999998</v>
      </c>
      <c r="EG421" s="885">
        <f>Drivers!EG338</f>
        <v>20.880989999999997</v>
      </c>
      <c r="EH421" s="885">
        <f>Drivers!EH338</f>
        <v>19.636650000000003</v>
      </c>
      <c r="EI421" s="885">
        <f>Drivers!EI338</f>
        <v>85.459319999999991</v>
      </c>
      <c r="EJ421" s="885">
        <f>Drivers!EJ338</f>
        <v>18.289619999999999</v>
      </c>
      <c r="EK421" s="885">
        <f>Drivers!EK338</f>
        <v>18.084195000000001</v>
      </c>
      <c r="EL421" s="885">
        <f>Drivers!EL338</f>
        <v>16.568639999999998</v>
      </c>
      <c r="EM421" s="885">
        <f>Drivers!EM338</f>
        <v>14.050125</v>
      </c>
      <c r="EN421" s="885">
        <f>Drivers!EN338</f>
        <v>66.99257999999999</v>
      </c>
      <c r="EO421" s="885">
        <f>Drivers!EO338</f>
        <v>13.130325000000001</v>
      </c>
      <c r="EP421" s="885">
        <f>Drivers!EP338</f>
        <v>11.530530000000001</v>
      </c>
      <c r="EQ421" s="885">
        <f>Drivers!EQ338</f>
        <v>9.317759999999998</v>
      </c>
      <c r="ER421" s="885">
        <f>Drivers!ER338</f>
        <v>7.7304000000000004</v>
      </c>
      <c r="ES421" s="885">
        <f>Drivers!ES338</f>
        <v>41.709015000000001</v>
      </c>
      <c r="ET421" s="885">
        <f>Drivers!ET338</f>
        <v>6.592410000000001</v>
      </c>
      <c r="EU421" s="885">
        <f>Drivers!EU338</f>
        <v>4.985549999999999</v>
      </c>
      <c r="EV421" s="885">
        <f>Drivers!EV338</f>
        <v>3.9907499999999998</v>
      </c>
      <c r="EW421" s="885">
        <f>Drivers!EW338</f>
        <v>3.3716849999999998</v>
      </c>
      <c r="EX421" s="885">
        <f>Drivers!EX338</f>
        <v>18.940395000000002</v>
      </c>
      <c r="EY421" s="885">
        <f>Drivers!EY338</f>
        <v>4.0918406896551724</v>
      </c>
      <c r="EZ421" s="885">
        <f>Drivers!EZ338</f>
        <v>3.2604667063020214</v>
      </c>
      <c r="FA421" s="885">
        <f>Drivers!FA338</f>
        <v>2.4298920619951621</v>
      </c>
      <c r="FB421" s="885">
        <f>Drivers!FB338</f>
        <v>1.9236835766124072</v>
      </c>
      <c r="FC421" s="885">
        <f>Drivers!FC338</f>
        <v>11.705883034564764</v>
      </c>
      <c r="FD421" s="885">
        <f>Drivers!FD338</f>
        <v>6.2211508075767732</v>
      </c>
      <c r="FE421" s="885">
        <f>Drivers!FE338</f>
        <v>2.7998373581772036</v>
      </c>
      <c r="FF421" s="885">
        <f>Drivers!FF338</f>
        <v>1.2600706002332291</v>
      </c>
      <c r="FG421" s="885">
        <f>Drivers!FG338</f>
        <v>0.56709648256348444</v>
      </c>
      <c r="FH421" s="885">
        <f>Drivers!FH338</f>
        <v>0.25522254108329406</v>
      </c>
      <c r="FI421" s="885">
        <f>Drivers!FI338</f>
        <v>0.11486325075155392</v>
      </c>
    </row>
    <row r="422" spans="1:165" x14ac:dyDescent="0.3">
      <c r="A422" t="s">
        <v>429</v>
      </c>
      <c r="DZ422" s="885">
        <f>Drivers!DZ339</f>
        <v>241.70477500000004</v>
      </c>
      <c r="EA422" s="885">
        <f>Drivers!EA339</f>
        <v>234.75616999999994</v>
      </c>
      <c r="EB422" s="885">
        <f>Drivers!EB339</f>
        <v>225.71858000000003</v>
      </c>
      <c r="EC422" s="885">
        <f>Drivers!EC339</f>
        <v>221.23148999999998</v>
      </c>
      <c r="ED422" s="885">
        <f>Drivers!ED339</f>
        <v>923.41101500000002</v>
      </c>
      <c r="EE422" s="885">
        <f>Drivers!EE339</f>
        <v>212.38066000000001</v>
      </c>
      <c r="EF422" s="885">
        <f>Drivers!EF339</f>
        <v>204.81964000000002</v>
      </c>
      <c r="EG422" s="885">
        <f>Drivers!EG339</f>
        <v>195.56125</v>
      </c>
      <c r="EH422" s="885">
        <f>Drivers!EH339</f>
        <v>187.51183999999998</v>
      </c>
      <c r="EI422" s="885">
        <f>Drivers!EI339</f>
        <v>800.27339000000006</v>
      </c>
      <c r="EJ422" s="885">
        <f>Drivers!EJ339</f>
        <v>183.51233999999999</v>
      </c>
      <c r="EK422" s="885">
        <f>Drivers!EK339</f>
        <v>179.82307000000003</v>
      </c>
      <c r="EL422" s="885">
        <f>Drivers!EL339</f>
        <v>175.52206000000001</v>
      </c>
      <c r="EM422" s="885">
        <f>Drivers!EM339</f>
        <v>157.03847499999998</v>
      </c>
      <c r="EN422" s="885">
        <f>Drivers!EN339</f>
        <v>695.89594499999998</v>
      </c>
      <c r="EO422" s="885">
        <f>Drivers!EO339</f>
        <v>151.03007499999998</v>
      </c>
      <c r="EP422" s="885">
        <f>Drivers!EP339</f>
        <v>152.38672</v>
      </c>
      <c r="EQ422" s="885">
        <f>Drivers!EQ339</f>
        <v>151.37210000000002</v>
      </c>
      <c r="ER422" s="885">
        <f>Drivers!ER339</f>
        <v>144.65923999999998</v>
      </c>
      <c r="ES422" s="885">
        <f>Drivers!ES339</f>
        <v>599.44813499999998</v>
      </c>
      <c r="ET422" s="885">
        <f>Drivers!ET339</f>
        <v>141.21327000000002</v>
      </c>
      <c r="EU422" s="885">
        <f>Drivers!EU339</f>
        <v>130.62857</v>
      </c>
      <c r="EV422" s="885">
        <f>Drivers!EV339</f>
        <v>124.92686999999999</v>
      </c>
      <c r="EW422" s="885">
        <f>Drivers!EW339</f>
        <v>118.544275</v>
      </c>
      <c r="EX422" s="885">
        <f>Drivers!EX339</f>
        <v>515.31298500000003</v>
      </c>
      <c r="EY422" s="885">
        <f>Drivers!EY339</f>
        <v>106.14765717557209</v>
      </c>
      <c r="EZ422" s="885">
        <f>Drivers!EZ339</f>
        <v>97.360917227373164</v>
      </c>
      <c r="FA422" s="885">
        <f>Drivers!FA339</f>
        <v>92.234525089342057</v>
      </c>
      <c r="FB422" s="885">
        <f>Drivers!FB339</f>
        <v>86.624898271705845</v>
      </c>
      <c r="FC422" s="885">
        <f>Drivers!FC339</f>
        <v>382.36799776399317</v>
      </c>
      <c r="FD422" s="885">
        <f>Drivers!FD339</f>
        <v>274.63810372242716</v>
      </c>
      <c r="FE422" s="885">
        <f>Drivers!FE339</f>
        <v>202.19396594508038</v>
      </c>
      <c r="FF422" s="885">
        <f>Drivers!FF339</f>
        <v>160.79182962061782</v>
      </c>
      <c r="FG422" s="885">
        <f>Drivers!FG339</f>
        <v>133.44396884870363</v>
      </c>
      <c r="FH422" s="885">
        <f>Drivers!FH339</f>
        <v>114.0825157959387</v>
      </c>
      <c r="FI422" s="885">
        <f>Drivers!FI339</f>
        <v>100.30780814823204</v>
      </c>
    </row>
    <row r="423" spans="1:165" x14ac:dyDescent="0.3">
      <c r="A423" s="90" t="s">
        <v>430</v>
      </c>
      <c r="DZ423" s="900">
        <f>Drivers!DZ340</f>
        <v>448</v>
      </c>
      <c r="EA423" s="900">
        <f>Drivers!EA340</f>
        <v>440</v>
      </c>
      <c r="EB423" s="900">
        <f>Drivers!EB340</f>
        <v>428</v>
      </c>
      <c r="EC423" s="900">
        <f>Drivers!EC340</f>
        <v>420</v>
      </c>
      <c r="ED423" s="900">
        <f>Drivers!ED340</f>
        <v>1736</v>
      </c>
      <c r="EE423" s="900">
        <f>Drivers!EE340</f>
        <v>409</v>
      </c>
      <c r="EF423" s="900">
        <f>Drivers!EF340</f>
        <v>403</v>
      </c>
      <c r="EG423" s="900">
        <f>Drivers!EG340</f>
        <v>391</v>
      </c>
      <c r="EH423" s="900">
        <f>Drivers!EH340</f>
        <v>377</v>
      </c>
      <c r="EI423" s="900">
        <f>Drivers!EI340</f>
        <v>1580</v>
      </c>
      <c r="EJ423" s="900">
        <f>Drivers!EJ340</f>
        <v>369</v>
      </c>
      <c r="EK423" s="900">
        <f>Drivers!EK340</f>
        <v>370</v>
      </c>
      <c r="EL423" s="900">
        <f>Drivers!EL340</f>
        <v>361</v>
      </c>
      <c r="EM423" s="900">
        <f>Drivers!EM340</f>
        <v>328</v>
      </c>
      <c r="EN423" s="900">
        <f>Drivers!EN340</f>
        <v>1428</v>
      </c>
      <c r="EO423" s="900">
        <f>Drivers!EO340</f>
        <v>313</v>
      </c>
      <c r="EP423" s="900">
        <f>Drivers!EP340</f>
        <v>313</v>
      </c>
      <c r="EQ423" s="900">
        <f>Drivers!EQ340</f>
        <v>308</v>
      </c>
      <c r="ER423" s="900">
        <f>Drivers!ER340</f>
        <v>290</v>
      </c>
      <c r="ES423" s="900">
        <f>Drivers!ES340</f>
        <v>1224</v>
      </c>
      <c r="ET423" s="900">
        <f>Drivers!ET340</f>
        <v>282</v>
      </c>
      <c r="EU423" s="900">
        <f>Drivers!EU340</f>
        <v>266</v>
      </c>
      <c r="EV423" s="900">
        <f>Drivers!EV340</f>
        <v>252</v>
      </c>
      <c r="EW423" s="900">
        <f>Drivers!EW340</f>
        <v>241</v>
      </c>
      <c r="EX423" s="900">
        <f>Drivers!EX340</f>
        <v>1041</v>
      </c>
      <c r="EY423" s="900">
        <f>Drivers!EY340</f>
        <v>217.18541215720768</v>
      </c>
      <c r="EZ423" s="900">
        <f>Drivers!EZ340</f>
        <v>203.68462606079257</v>
      </c>
      <c r="FA423" s="900">
        <f>Drivers!FA340</f>
        <v>191.07479041880134</v>
      </c>
      <c r="FB423" s="900">
        <f>Drivers!FB340</f>
        <v>180.84946274374582</v>
      </c>
      <c r="FC423" s="900">
        <f>Drivers!FC340</f>
        <v>792.79429138054729</v>
      </c>
      <c r="FD423" s="900">
        <f>Drivers!FD340</f>
        <v>576.27000625913502</v>
      </c>
      <c r="FE423" s="900">
        <f>Drivers!FE340</f>
        <v>415.51342480372955</v>
      </c>
      <c r="FF423" s="900">
        <f>Drivers!FF340</f>
        <v>311.77494069666568</v>
      </c>
      <c r="FG423" s="900">
        <f>Drivers!FG340</f>
        <v>240.29224419475906</v>
      </c>
      <c r="FH423" s="900">
        <f>Drivers!FH340</f>
        <v>189.64480061906156</v>
      </c>
      <c r="FI423" s="900">
        <f>Drivers!FI340</f>
        <v>153.6904711878627</v>
      </c>
    </row>
    <row r="424" spans="1:165" x14ac:dyDescent="0.3">
      <c r="A424" t="s">
        <v>418</v>
      </c>
      <c r="DZ424" s="885">
        <f>Drivers!DZ341</f>
        <v>37.957112944150929</v>
      </c>
      <c r="EA424" s="885">
        <f>Drivers!EA341</f>
        <v>36.523322234191397</v>
      </c>
      <c r="EB424" s="885">
        <f>Drivers!EB341</f>
        <v>35.464056854062505</v>
      </c>
      <c r="EC424" s="885">
        <f>Drivers!EC341</f>
        <v>35.039240212500005</v>
      </c>
      <c r="ED424" s="885">
        <f>Drivers!ED341</f>
        <v>144.98373224490484</v>
      </c>
      <c r="EE424" s="885">
        <f>Drivers!EE341</f>
        <v>32.961472499999999</v>
      </c>
      <c r="EF424" s="885">
        <f>Drivers!EF341</f>
        <v>30.870885000000001</v>
      </c>
      <c r="EG424" s="885">
        <f>Drivers!EG341</f>
        <v>29.279250000000001</v>
      </c>
      <c r="EH424" s="885">
        <f>Drivers!EH341</f>
        <v>27.638159999999996</v>
      </c>
      <c r="EI424" s="885">
        <f>Drivers!EI341</f>
        <v>120.7497675</v>
      </c>
      <c r="EJ424" s="885">
        <f>Drivers!EJ341</f>
        <v>27.508725000000002</v>
      </c>
      <c r="EK424" s="885">
        <f>Drivers!EK341</f>
        <v>25.893525</v>
      </c>
      <c r="EL424" s="885">
        <f>Drivers!EL341</f>
        <v>25.862625000000001</v>
      </c>
      <c r="EM424" s="885">
        <f>Drivers!EM341</f>
        <v>25.18533</v>
      </c>
      <c r="EN424" s="885">
        <f>Drivers!EN341</f>
        <v>104.45020500000001</v>
      </c>
      <c r="EO424" s="885">
        <f>Drivers!EO341</f>
        <v>24.175409999999999</v>
      </c>
      <c r="EP424" s="885">
        <f>Drivers!EP341</f>
        <v>23.52384</v>
      </c>
      <c r="EQ424" s="885">
        <f>Drivers!EQ341</f>
        <v>22.092029999999998</v>
      </c>
      <c r="ER424" s="885">
        <f>Drivers!ER341</f>
        <v>21.01437</v>
      </c>
      <c r="ES424" s="885">
        <f>Drivers!ES341</f>
        <v>90.80565</v>
      </c>
      <c r="ET424" s="885">
        <f>Drivers!ET341</f>
        <v>20.24973</v>
      </c>
      <c r="EU424" s="885">
        <f>Drivers!EU341</f>
        <v>20.106449999999999</v>
      </c>
      <c r="EV424" s="885">
        <f>Drivers!EV341</f>
        <v>19.299060000000001</v>
      </c>
      <c r="EW424" s="885">
        <f>Drivers!EW341</f>
        <v>18.118260000000003</v>
      </c>
      <c r="EX424" s="885">
        <f>Drivers!EX341</f>
        <v>77.773499999999999</v>
      </c>
      <c r="EY424" s="885">
        <f>Drivers!EY341</f>
        <v>16.684854726095963</v>
      </c>
      <c r="EZ424" s="885">
        <f>Drivers!EZ341</f>
        <v>16.471473543273486</v>
      </c>
      <c r="FA424" s="885">
        <f>Drivers!FA341</f>
        <v>15.714172535206078</v>
      </c>
      <c r="FB424" s="885">
        <f>Drivers!FB341</f>
        <v>14.657622816145048</v>
      </c>
      <c r="FC424" s="885">
        <f>Drivers!FC341</f>
        <v>63.528123620720578</v>
      </c>
      <c r="FD424" s="885">
        <f>Drivers!FD341</f>
        <v>50.391697283688202</v>
      </c>
      <c r="FE424" s="885">
        <f>Drivers!FE341</f>
        <v>39.256635010393168</v>
      </c>
      <c r="FF424" s="885">
        <f>Drivers!FF341</f>
        <v>30.695731407539103</v>
      </c>
      <c r="FG424" s="885">
        <f>Drivers!FG341</f>
        <v>24.176317240871967</v>
      </c>
      <c r="FH424" s="885">
        <f>Drivers!FH341</f>
        <v>19.237203163104962</v>
      </c>
      <c r="FI424" s="885">
        <f>Drivers!FI341</f>
        <v>15.513736514594305</v>
      </c>
    </row>
    <row r="425" spans="1:165" x14ac:dyDescent="0.3">
      <c r="A425" t="s">
        <v>3756</v>
      </c>
      <c r="DZ425" s="885">
        <f>Drivers!DZ342</f>
        <v>451.04288705584906</v>
      </c>
      <c r="EA425" s="885">
        <f>Drivers!EA342</f>
        <v>434.47667776580863</v>
      </c>
      <c r="EB425" s="885">
        <f>Drivers!EB342</f>
        <v>425.53594314593749</v>
      </c>
      <c r="EC425" s="885">
        <f>Drivers!EC342</f>
        <v>411.96075978750002</v>
      </c>
      <c r="ED425" s="885">
        <f>Drivers!ED342</f>
        <v>1723.0162677550952</v>
      </c>
      <c r="EE425" s="885">
        <f>Drivers!EE342</f>
        <v>415.03852749999999</v>
      </c>
      <c r="EF425" s="885">
        <f>Drivers!EF342</f>
        <v>400.12911500000001</v>
      </c>
      <c r="EG425" s="885">
        <f>Drivers!EG342</f>
        <v>388.72075000000001</v>
      </c>
      <c r="EH425" s="885">
        <f>Drivers!EH342</f>
        <v>379.36184000000003</v>
      </c>
      <c r="EI425" s="885">
        <f>Drivers!EI342</f>
        <v>1583.2502325</v>
      </c>
      <c r="EJ425" s="885">
        <f>Drivers!EJ342</f>
        <v>373.49127499999997</v>
      </c>
      <c r="EK425" s="885">
        <f>Drivers!EK342</f>
        <v>361.10647499999999</v>
      </c>
      <c r="EL425" s="885">
        <f>Drivers!EL342</f>
        <v>348.13737500000002</v>
      </c>
      <c r="EM425" s="885">
        <f>Drivers!EM342</f>
        <v>348.81466999999998</v>
      </c>
      <c r="EN425" s="885">
        <f>Drivers!EN342</f>
        <v>1431.5497949999999</v>
      </c>
      <c r="EO425" s="885">
        <f>Drivers!EO342</f>
        <v>351.82459</v>
      </c>
      <c r="EP425" s="885">
        <f>Drivers!EP342</f>
        <v>345.47615999999999</v>
      </c>
      <c r="EQ425" s="885">
        <f>Drivers!EQ342</f>
        <v>330.90796999999998</v>
      </c>
      <c r="ER425" s="885">
        <f>Drivers!ER342</f>
        <v>335.98563000000001</v>
      </c>
      <c r="ES425" s="885">
        <f>Drivers!ES342</f>
        <v>1364.1943500000002</v>
      </c>
      <c r="ET425" s="885">
        <f>Drivers!ET342</f>
        <v>338.75027</v>
      </c>
      <c r="EU425" s="885">
        <f>Drivers!EU342</f>
        <v>339.89355</v>
      </c>
      <c r="EV425" s="885">
        <f>Drivers!EV342</f>
        <v>332.70094</v>
      </c>
      <c r="EW425" s="885">
        <f>Drivers!EW342</f>
        <v>340.88173999999998</v>
      </c>
      <c r="EX425" s="885">
        <f>Drivers!EX342</f>
        <v>1352.2265</v>
      </c>
      <c r="EY425" s="885">
        <f>Drivers!EY342</f>
        <v>326.04713487499998</v>
      </c>
      <c r="EZ425" s="885">
        <f>Drivers!EZ342</f>
        <v>327.147541875</v>
      </c>
      <c r="FA425" s="885">
        <f>Drivers!FA342</f>
        <v>320.22465475000001</v>
      </c>
      <c r="FB425" s="885">
        <f>Drivers!FB342</f>
        <v>328.09867474999999</v>
      </c>
      <c r="FC425" s="885">
        <f>Drivers!FC342</f>
        <v>1301.5180062499999</v>
      </c>
      <c r="FD425" s="885">
        <f>Drivers!FD342</f>
        <v>1251.5180062499999</v>
      </c>
      <c r="FE425" s="885">
        <f>Drivers!FE342</f>
        <v>1201.5180062499999</v>
      </c>
      <c r="FF425" s="885">
        <f>Drivers!FF342</f>
        <v>1151.5180062499999</v>
      </c>
      <c r="FG425" s="885">
        <f>Drivers!FG342</f>
        <v>1101.5180062499999</v>
      </c>
      <c r="FH425" s="885">
        <f>Drivers!FH342</f>
        <v>1051.5180062499999</v>
      </c>
      <c r="FI425" s="885">
        <f>Drivers!FI342</f>
        <v>1001.5180062499999</v>
      </c>
    </row>
    <row r="426" spans="1:165" x14ac:dyDescent="0.3">
      <c r="A426" t="s">
        <v>432</v>
      </c>
      <c r="DZ426" s="885">
        <f>Drivers!DZ343</f>
        <v>489</v>
      </c>
      <c r="EA426" s="885">
        <f>Drivers!EA343</f>
        <v>471</v>
      </c>
      <c r="EB426" s="885">
        <f>Drivers!EB343</f>
        <v>461</v>
      </c>
      <c r="EC426" s="885">
        <f>Drivers!EC343</f>
        <v>447</v>
      </c>
      <c r="ED426" s="885">
        <f>Drivers!ED343</f>
        <v>1868</v>
      </c>
      <c r="EE426" s="885">
        <f>Drivers!EE343</f>
        <v>448</v>
      </c>
      <c r="EF426" s="885">
        <f>Drivers!EF343</f>
        <v>431</v>
      </c>
      <c r="EG426" s="885">
        <f>Drivers!EG343</f>
        <v>418</v>
      </c>
      <c r="EH426" s="885">
        <f>Drivers!EH343</f>
        <v>407</v>
      </c>
      <c r="EI426" s="885">
        <f>Drivers!EI343</f>
        <v>1704</v>
      </c>
      <c r="EJ426" s="885">
        <f>Drivers!EJ343</f>
        <v>401</v>
      </c>
      <c r="EK426" s="885">
        <f>Drivers!EK343</f>
        <v>387</v>
      </c>
      <c r="EL426" s="885">
        <f>Drivers!EL343</f>
        <v>374</v>
      </c>
      <c r="EM426" s="885">
        <f>Drivers!EM343</f>
        <v>374</v>
      </c>
      <c r="EN426" s="885">
        <f>Drivers!EN343</f>
        <v>1536</v>
      </c>
      <c r="EO426" s="885">
        <f>Drivers!EO343</f>
        <v>376</v>
      </c>
      <c r="EP426" s="885">
        <f>Drivers!EP343</f>
        <v>369</v>
      </c>
      <c r="EQ426" s="885">
        <f>Drivers!EQ343</f>
        <v>353</v>
      </c>
      <c r="ER426" s="885">
        <f>Drivers!ER343</f>
        <v>357</v>
      </c>
      <c r="ES426" s="885">
        <f>Drivers!ES343</f>
        <v>1455</v>
      </c>
      <c r="ET426" s="885">
        <f>Drivers!ET343</f>
        <v>359</v>
      </c>
      <c r="EU426" s="885">
        <f>Drivers!EU343</f>
        <v>360</v>
      </c>
      <c r="EV426" s="885">
        <f>Drivers!EV343</f>
        <v>352</v>
      </c>
      <c r="EW426" s="885">
        <f>Drivers!EW343</f>
        <v>359</v>
      </c>
      <c r="EX426" s="885">
        <f>Drivers!EX343</f>
        <v>1430</v>
      </c>
      <c r="EY426" s="885">
        <f>Drivers!EY343</f>
        <v>342.73198960109596</v>
      </c>
      <c r="EZ426" s="885">
        <f>Drivers!EZ343</f>
        <v>343.61901541827348</v>
      </c>
      <c r="FA426" s="885">
        <f>Drivers!FA343</f>
        <v>335.93882728520612</v>
      </c>
      <c r="FB426" s="885">
        <f>Drivers!FB343</f>
        <v>342.75629756614501</v>
      </c>
      <c r="FC426" s="885">
        <f>Drivers!FC343</f>
        <v>1365.0461298707205</v>
      </c>
      <c r="FD426" s="885">
        <f>Drivers!FD343</f>
        <v>1301.9097035336881</v>
      </c>
      <c r="FE426" s="885">
        <f>Drivers!FE343</f>
        <v>1240.7746412603931</v>
      </c>
      <c r="FF426" s="885">
        <f>Drivers!FF343</f>
        <v>1182.213737657539</v>
      </c>
      <c r="FG426" s="885">
        <f>Drivers!FG343</f>
        <v>1125.6943234908717</v>
      </c>
      <c r="FH426" s="885">
        <f>Drivers!FH343</f>
        <v>1070.7552094131049</v>
      </c>
      <c r="FI426" s="885">
        <f>Drivers!FI343</f>
        <v>1017.0317427645941</v>
      </c>
    </row>
    <row r="427" spans="1:165" x14ac:dyDescent="0.3">
      <c r="A427" s="90" t="s">
        <v>433</v>
      </c>
      <c r="DZ427" s="900">
        <f>Drivers!DZ344</f>
        <v>937</v>
      </c>
      <c r="EA427" s="900">
        <f>Drivers!EA344</f>
        <v>911</v>
      </c>
      <c r="EB427" s="900">
        <f>Drivers!EB344</f>
        <v>889</v>
      </c>
      <c r="EC427" s="900">
        <f>Drivers!EC344</f>
        <v>867</v>
      </c>
      <c r="ED427" s="900">
        <f>Drivers!ED344</f>
        <v>3604</v>
      </c>
      <c r="EE427" s="900">
        <f>Drivers!EE344</f>
        <v>857</v>
      </c>
      <c r="EF427" s="900">
        <f>Drivers!EF344</f>
        <v>834</v>
      </c>
      <c r="EG427" s="900">
        <f>Drivers!EG344</f>
        <v>809</v>
      </c>
      <c r="EH427" s="900">
        <f>Drivers!EH344</f>
        <v>784</v>
      </c>
      <c r="EI427" s="900">
        <f>Drivers!EI344</f>
        <v>3284</v>
      </c>
      <c r="EJ427" s="900">
        <f>Drivers!EJ344</f>
        <v>770</v>
      </c>
      <c r="EK427" s="900">
        <f>Drivers!EK344</f>
        <v>757</v>
      </c>
      <c r="EL427" s="900">
        <f>Drivers!EL344</f>
        <v>735</v>
      </c>
      <c r="EM427" s="900">
        <f>Drivers!EM344</f>
        <v>702</v>
      </c>
      <c r="EN427" s="900">
        <f>Drivers!EN344</f>
        <v>2964</v>
      </c>
      <c r="EO427" s="900">
        <f>Drivers!EO344</f>
        <v>689</v>
      </c>
      <c r="EP427" s="900">
        <f>Drivers!EP344</f>
        <v>682</v>
      </c>
      <c r="EQ427" s="900">
        <f>Drivers!EQ344</f>
        <v>661</v>
      </c>
      <c r="ER427" s="900">
        <f>Drivers!ER344</f>
        <v>647</v>
      </c>
      <c r="ES427" s="900">
        <f>Drivers!ES344</f>
        <v>2679</v>
      </c>
      <c r="ET427" s="900">
        <f>Drivers!ET344</f>
        <v>641</v>
      </c>
      <c r="EU427" s="900">
        <f>Drivers!EU344</f>
        <v>626</v>
      </c>
      <c r="EV427" s="900">
        <f>Drivers!EV344</f>
        <v>604</v>
      </c>
      <c r="EW427" s="900">
        <f>Drivers!EW344</f>
        <v>600</v>
      </c>
      <c r="EX427" s="900">
        <f>Drivers!EX344</f>
        <v>2471</v>
      </c>
      <c r="EY427" s="900">
        <f>Drivers!EY344</f>
        <v>559.91740175830364</v>
      </c>
      <c r="EZ427" s="900">
        <f>Drivers!EZ344</f>
        <v>547.30364147906607</v>
      </c>
      <c r="FA427" s="900">
        <f>Drivers!FA344</f>
        <v>527.0136177040074</v>
      </c>
      <c r="FB427" s="900">
        <f>Drivers!FB344</f>
        <v>523.6057603098908</v>
      </c>
      <c r="FC427" s="900">
        <f>Drivers!FC344</f>
        <v>2157.8404212512678</v>
      </c>
      <c r="FD427" s="900">
        <f>Drivers!FD344</f>
        <v>1878.1797097928231</v>
      </c>
      <c r="FE427" s="900">
        <f>Drivers!FE344</f>
        <v>1656.2880660641226</v>
      </c>
      <c r="FF427" s="900">
        <f>Drivers!FF344</f>
        <v>1493.9886783542047</v>
      </c>
      <c r="FG427" s="900">
        <f>Drivers!FG344</f>
        <v>1365.9865676856307</v>
      </c>
      <c r="FH427" s="900">
        <f>Drivers!FH344</f>
        <v>1260.4000100321664</v>
      </c>
      <c r="FI427" s="900">
        <f>Drivers!FI344</f>
        <v>1170.7222139524567</v>
      </c>
    </row>
    <row r="428" spans="1:165" x14ac:dyDescent="0.3">
      <c r="A428" s="342"/>
    </row>
    <row r="429" spans="1:165" x14ac:dyDescent="0.3">
      <c r="A429" s="341" t="s">
        <v>3699</v>
      </c>
    </row>
    <row r="430" spans="1:165" x14ac:dyDescent="0.3">
      <c r="A430" s="109" t="s">
        <v>443</v>
      </c>
      <c r="DZ430" s="885">
        <f>Drivers!DZ355</f>
        <v>25.757575757575754</v>
      </c>
      <c r="EA430" s="885">
        <f>Drivers!EA355</f>
        <v>23.409294012511172</v>
      </c>
      <c r="EB430" s="885">
        <f>Drivers!EB355</f>
        <v>20.452107279693486</v>
      </c>
      <c r="EC430" s="885">
        <f>Drivers!EC355</f>
        <v>17.220618556701034</v>
      </c>
      <c r="ED430" s="885">
        <f>Drivers!ED355</f>
        <v>86.839595606481453</v>
      </c>
      <c r="EE430" s="885">
        <f>Drivers!EE355</f>
        <v>16.294701986754966</v>
      </c>
      <c r="EF430" s="885">
        <f>Drivers!EF355</f>
        <v>15.829787234042552</v>
      </c>
      <c r="EG430" s="885">
        <f>Drivers!EG355</f>
        <v>13.981132075471697</v>
      </c>
      <c r="EH430" s="885">
        <f>Drivers!EH355</f>
        <v>13.567639257294429</v>
      </c>
      <c r="EI430" s="885">
        <f>Drivers!EI355</f>
        <v>59.673260553563644</v>
      </c>
      <c r="EJ430" s="885">
        <f>Drivers!EJ355</f>
        <v>13.051460361613351</v>
      </c>
      <c r="EK430" s="885">
        <f>Drivers!EK355</f>
        <v>12.373900293255133</v>
      </c>
      <c r="EL430" s="885">
        <f>Drivers!EL355</f>
        <v>11.120124804992201</v>
      </c>
      <c r="EM430" s="885">
        <f>Drivers!EM355</f>
        <v>9.4370860927152318</v>
      </c>
      <c r="EN430" s="885">
        <f>Drivers!EN355</f>
        <v>45.982571552575919</v>
      </c>
      <c r="EO430" s="885">
        <f>Drivers!EO355</f>
        <v>8.9333333333333353</v>
      </c>
      <c r="EP430" s="885">
        <f>Drivers!EP355</f>
        <v>7.6214689265536739</v>
      </c>
      <c r="EQ430" s="885">
        <f>Drivers!EQ355</f>
        <v>6.089613034623218</v>
      </c>
      <c r="ER430" s="885">
        <f>Drivers!ER355</f>
        <v>5.3275109170305681</v>
      </c>
      <c r="ES430" s="885">
        <f>Drivers!ES355</f>
        <v>27.971926211540794</v>
      </c>
      <c r="ET430" s="885">
        <f>Drivers!ET355</f>
        <v>4.6923076923076916</v>
      </c>
      <c r="EU430" s="885">
        <f>Drivers!EU355</f>
        <v>3.8475000000000001</v>
      </c>
      <c r="EV430" s="885">
        <f>Drivers!EV355</f>
        <v>3.5618279569892484</v>
      </c>
      <c r="EW430" s="885">
        <f>Drivers!EW355</f>
        <v>3.1242774566473988</v>
      </c>
      <c r="EX430" s="885">
        <f>Drivers!EX355</f>
        <v>15.225913105944338</v>
      </c>
      <c r="EY430" s="885">
        <f>Drivers!EY355</f>
        <v>3.1334395930803076</v>
      </c>
      <c r="EZ430" s="885">
        <f>Drivers!EZ355</f>
        <v>2.7090823686167687</v>
      </c>
      <c r="FA430" s="885">
        <f>Drivers!FA355</f>
        <v>2.3358299744588678</v>
      </c>
      <c r="FB430" s="885">
        <f>Drivers!FB355</f>
        <v>1.9281661293358092</v>
      </c>
      <c r="FC430" s="885">
        <f>Drivers!FC355</f>
        <v>10.106518065491754</v>
      </c>
      <c r="FD430" s="885">
        <f>Drivers!FD355</f>
        <v>5.750022379690904</v>
      </c>
      <c r="FE430" s="885">
        <f>Drivers!FE355</f>
        <v>2.7689589298074448</v>
      </c>
      <c r="FF430" s="885">
        <f>Drivers!FF355</f>
        <v>1.3315896210133822</v>
      </c>
      <c r="FG430" s="885">
        <f>Drivers!FG355</f>
        <v>0.63956050824871025</v>
      </c>
      <c r="FH430" s="885">
        <f>Drivers!FH355</f>
        <v>0.30682810196108423</v>
      </c>
      <c r="FI430" s="885">
        <f>Drivers!FI355</f>
        <v>0.14704525855575032</v>
      </c>
    </row>
    <row r="431" spans="1:165" x14ac:dyDescent="0.3">
      <c r="A431" s="56" t="s">
        <v>388</v>
      </c>
      <c r="DZ431" s="885">
        <f>Drivers!DZ360</f>
        <v>492.83879873771235</v>
      </c>
      <c r="EA431" s="885">
        <f>Drivers!EA360</f>
        <v>480.87339777752788</v>
      </c>
      <c r="EB431" s="885">
        <f>Drivers!EB360</f>
        <v>459.94379455624403</v>
      </c>
      <c r="EC431" s="885">
        <f>Drivers!EC360</f>
        <v>446.5128705057989</v>
      </c>
      <c r="ED431" s="885">
        <f>Drivers!ED360</f>
        <v>1880.1688615772832</v>
      </c>
      <c r="EE431" s="885">
        <f>Drivers!EE360</f>
        <v>445.73073551324507</v>
      </c>
      <c r="EF431" s="885">
        <f>Drivers!EF360</f>
        <v>454.45521276595741</v>
      </c>
      <c r="EG431" s="885">
        <f>Drivers!EG360</f>
        <v>474.7788679245283</v>
      </c>
      <c r="EH431" s="885">
        <f>Drivers!EH360</f>
        <v>451.77986074270552</v>
      </c>
      <c r="EI431" s="885">
        <f>Drivers!EI360</f>
        <v>1826.7446769464361</v>
      </c>
      <c r="EJ431" s="885">
        <f>Drivers!EJ360</f>
        <v>438.77103963838658</v>
      </c>
      <c r="EK431" s="885">
        <f>Drivers!EK360</f>
        <v>432.05859970674487</v>
      </c>
      <c r="EL431" s="885">
        <f>Drivers!EL360</f>
        <v>426.70987519500778</v>
      </c>
      <c r="EM431" s="885">
        <f>Drivers!EM360</f>
        <v>427.33041390728476</v>
      </c>
      <c r="EN431" s="885">
        <f>Drivers!EN360</f>
        <v>1724.8699284474239</v>
      </c>
      <c r="EO431" s="885">
        <f>Drivers!EO360</f>
        <v>429.70416666666665</v>
      </c>
      <c r="EP431" s="885">
        <f>Drivers!EP360</f>
        <v>414.68353107344626</v>
      </c>
      <c r="EQ431" s="885">
        <f>Drivers!EQ360</f>
        <v>405.0403869653768</v>
      </c>
      <c r="ER431" s="885">
        <f>Drivers!ER360</f>
        <v>401.53748908296944</v>
      </c>
      <c r="ES431" s="885">
        <f>Drivers!ES360</f>
        <v>1650.9655737884591</v>
      </c>
      <c r="ET431" s="885">
        <f>Drivers!ET360</f>
        <v>404.68269230769232</v>
      </c>
      <c r="EU431" s="885">
        <f>Drivers!EU360</f>
        <v>401.17249999999996</v>
      </c>
      <c r="EV431" s="885">
        <f>Drivers!EV360</f>
        <v>411.28317204301072</v>
      </c>
      <c r="EW431" s="885">
        <f>Drivers!EW360</f>
        <v>406.52322254335257</v>
      </c>
      <c r="EX431" s="885">
        <f>Drivers!EX360</f>
        <v>1623.6615868940555</v>
      </c>
      <c r="EY431" s="885">
        <f>Drivers!EY360</f>
        <v>390.81742598724225</v>
      </c>
      <c r="EZ431" s="885">
        <f>Drivers!EZ360</f>
        <v>372.30201006859704</v>
      </c>
      <c r="FA431" s="885">
        <f>Drivers!FA360</f>
        <v>371.01065622491427</v>
      </c>
      <c r="FB431" s="885">
        <f>Drivers!FB360</f>
        <v>357.43794089204181</v>
      </c>
      <c r="FC431" s="885">
        <f>Drivers!FC360</f>
        <v>1491.5680331727954</v>
      </c>
      <c r="FD431" s="885">
        <f>Drivers!FD360</f>
        <v>1332.8328340875601</v>
      </c>
      <c r="FE431" s="885">
        <f>Drivers!FE360</f>
        <v>1247.3772889881989</v>
      </c>
      <c r="FF431" s="885">
        <f>Drivers!FF360</f>
        <v>1212.010525358827</v>
      </c>
      <c r="FG431" s="885">
        <f>Drivers!FG360</f>
        <v>1177.5948515893579</v>
      </c>
      <c r="FH431" s="885">
        <f>Drivers!FH360</f>
        <v>1144.1055492704386</v>
      </c>
      <c r="FI431" s="885">
        <f>Drivers!FI360</f>
        <v>1111.5185273723559</v>
      </c>
    </row>
    <row r="432" spans="1:165" x14ac:dyDescent="0.3">
      <c r="A432" s="56" t="s">
        <v>392</v>
      </c>
      <c r="DZ432" s="885">
        <f>Drivers!DZ367</f>
        <v>106.40362550471191</v>
      </c>
      <c r="EA432" s="885">
        <f>Drivers!EA367</f>
        <v>104.71730820996095</v>
      </c>
      <c r="EB432" s="885">
        <f>Drivers!EB367</f>
        <v>102.60409816406251</v>
      </c>
      <c r="EC432" s="885">
        <f>Drivers!EC367</f>
        <v>100.26651093750002</v>
      </c>
      <c r="ED432" s="885">
        <f>Drivers!ED367</f>
        <v>413.99154281623538</v>
      </c>
      <c r="EE432" s="885">
        <f>Drivers!EE367</f>
        <v>97.974562500000005</v>
      </c>
      <c r="EF432" s="885">
        <f>Drivers!EF367</f>
        <v>95.715000000000003</v>
      </c>
      <c r="EG432" s="885">
        <f>Drivers!EG367</f>
        <v>93.24</v>
      </c>
      <c r="EH432" s="885">
        <f>Drivers!EH367</f>
        <v>90.652500000000003</v>
      </c>
      <c r="EI432" s="885">
        <f>Drivers!EI367</f>
        <v>377.58206250000001</v>
      </c>
      <c r="EJ432" s="885">
        <f>Drivers!EJ367</f>
        <v>88.177500000000009</v>
      </c>
      <c r="EK432" s="885">
        <f>Drivers!EK367</f>
        <v>85.56750000000001</v>
      </c>
      <c r="EL432" s="885">
        <f>Drivers!EL367</f>
        <v>82.170000000000016</v>
      </c>
      <c r="EM432" s="885">
        <f>Drivers!EM367</f>
        <v>78.232500000000016</v>
      </c>
      <c r="EN432" s="885">
        <f>Drivers!EN367</f>
        <v>334.14750000000004</v>
      </c>
      <c r="EO432" s="885">
        <f>Drivers!EO367</f>
        <v>74.362500000000011</v>
      </c>
      <c r="EP432" s="885">
        <f>Drivers!EP367</f>
        <v>70.695000000000022</v>
      </c>
      <c r="EQ432" s="885">
        <f>Drivers!EQ367</f>
        <v>66.870000000000019</v>
      </c>
      <c r="ER432" s="885">
        <f>Drivers!ER367</f>
        <v>63.135000000000012</v>
      </c>
      <c r="ES432" s="885">
        <f>Drivers!ES367</f>
        <v>275.06250000000006</v>
      </c>
      <c r="ET432" s="885">
        <f>Drivers!ET367</f>
        <v>59.625000000000021</v>
      </c>
      <c r="EU432" s="885">
        <f>Drivers!EU367</f>
        <v>55.980000000000025</v>
      </c>
      <c r="EV432" s="885">
        <f>Drivers!EV367</f>
        <v>52.155000000000022</v>
      </c>
      <c r="EW432" s="885">
        <f>Drivers!EW367</f>
        <v>48.352500000000013</v>
      </c>
      <c r="EX432" s="885">
        <f>Drivers!EX367</f>
        <v>216.1125000000001</v>
      </c>
      <c r="EY432" s="885">
        <f>Drivers!EY367</f>
        <v>44.997087740208855</v>
      </c>
      <c r="EZ432" s="885">
        <f>Drivers!EZ367</f>
        <v>41.900352100229824</v>
      </c>
      <c r="FA432" s="885">
        <f>Drivers!FA367</f>
        <v>38.683448293322208</v>
      </c>
      <c r="FB432" s="885">
        <f>Drivers!FB367</f>
        <v>35.509998054690463</v>
      </c>
      <c r="FC432" s="885">
        <f>Drivers!FC367</f>
        <v>161.09088618845135</v>
      </c>
      <c r="FD432" s="885">
        <f>Drivers!FD367</f>
        <v>116.33714555101854</v>
      </c>
      <c r="FE432" s="885">
        <f>Drivers!FE367</f>
        <v>85.81719671360166</v>
      </c>
      <c r="FF432" s="885">
        <f>Drivers!FF367</f>
        <v>67.93144462529186</v>
      </c>
      <c r="FG432" s="885">
        <f>Drivers!FG367</f>
        <v>55.974589393167747</v>
      </c>
      <c r="FH432" s="885">
        <f>Drivers!FH367</f>
        <v>47.474610182444913</v>
      </c>
      <c r="FI432" s="885">
        <f>Drivers!FI367</f>
        <v>41.405698075705068</v>
      </c>
    </row>
    <row r="433" spans="1:165" x14ac:dyDescent="0.3">
      <c r="A433" s="56" t="s">
        <v>393</v>
      </c>
      <c r="DZ433" s="885">
        <f>Drivers!DZ372</f>
        <v>599.24242424242425</v>
      </c>
      <c r="EA433" s="885">
        <f>Drivers!EA372</f>
        <v>585.59070598748883</v>
      </c>
      <c r="EB433" s="885">
        <f>Drivers!EB372</f>
        <v>562.54789272030655</v>
      </c>
      <c r="EC433" s="885">
        <f>Drivers!EC372</f>
        <v>546.77938144329892</v>
      </c>
      <c r="ED433" s="885">
        <f>Drivers!ED372</f>
        <v>2294.1604043935185</v>
      </c>
      <c r="EE433" s="885">
        <f>Drivers!EE372</f>
        <v>543.70529801324506</v>
      </c>
      <c r="EF433" s="885">
        <f>Drivers!EF372</f>
        <v>550.17021276595744</v>
      </c>
      <c r="EG433" s="885">
        <f>Drivers!EG372</f>
        <v>568.01886792452831</v>
      </c>
      <c r="EH433" s="885">
        <f>Drivers!EH372</f>
        <v>542.43236074270555</v>
      </c>
      <c r="EI433" s="885">
        <f>Drivers!EI372</f>
        <v>2204.3267394464365</v>
      </c>
      <c r="EJ433" s="885">
        <f>Drivers!EJ372</f>
        <v>526.94853963838659</v>
      </c>
      <c r="EK433" s="885">
        <f>Drivers!EK372</f>
        <v>517.62609970674487</v>
      </c>
      <c r="EL433" s="885">
        <f>Drivers!EL372</f>
        <v>508.8798751950078</v>
      </c>
      <c r="EM433" s="885">
        <f>Drivers!EM372</f>
        <v>505.56291390728478</v>
      </c>
      <c r="EN433" s="885">
        <f>Drivers!EN372</f>
        <v>2059.0174284474238</v>
      </c>
      <c r="EO433" s="885">
        <f>Drivers!EO372</f>
        <v>504.06666666666666</v>
      </c>
      <c r="EP433" s="885">
        <f>Drivers!EP372</f>
        <v>485.37853107344631</v>
      </c>
      <c r="EQ433" s="885">
        <f>Drivers!EQ372</f>
        <v>471.9103869653768</v>
      </c>
      <c r="ER433" s="885">
        <f>Drivers!ER372</f>
        <v>464.67248908296943</v>
      </c>
      <c r="ES433" s="885">
        <f>Drivers!ES372</f>
        <v>1926.0280737884591</v>
      </c>
      <c r="ET433" s="885">
        <f>Drivers!ET372</f>
        <v>464.30769230769232</v>
      </c>
      <c r="EU433" s="885">
        <f>Drivers!EU372</f>
        <v>457.15249999999997</v>
      </c>
      <c r="EV433" s="885">
        <f>Drivers!EV372</f>
        <v>463.43817204301075</v>
      </c>
      <c r="EW433" s="885">
        <f>Drivers!EW372</f>
        <v>454.87572254335259</v>
      </c>
      <c r="EX433" s="885">
        <f>Drivers!EX372</f>
        <v>1839.7740868940557</v>
      </c>
      <c r="EY433" s="885">
        <f>Drivers!EY372</f>
        <v>435.81451372745107</v>
      </c>
      <c r="EZ433" s="885">
        <f>Drivers!EZ372</f>
        <v>414.20236216882688</v>
      </c>
      <c r="FA433" s="885">
        <f>Drivers!FA372</f>
        <v>409.69410451823649</v>
      </c>
      <c r="FB433" s="885">
        <f>Drivers!FB372</f>
        <v>392.94793894673228</v>
      </c>
      <c r="FC433" s="885">
        <f>Drivers!FC372</f>
        <v>1652.6589193612467</v>
      </c>
      <c r="FD433" s="885">
        <f>Drivers!FD372</f>
        <v>1449.1699796385785</v>
      </c>
      <c r="FE433" s="885">
        <f>Drivers!FE372</f>
        <v>1333.1944857018004</v>
      </c>
      <c r="FF433" s="885">
        <f>Drivers!FF372</f>
        <v>1279.9419699841187</v>
      </c>
      <c r="FG433" s="885">
        <f>Drivers!FG372</f>
        <v>1233.5694409825255</v>
      </c>
      <c r="FH433" s="885">
        <f>Drivers!FH372</f>
        <v>1191.5801594528834</v>
      </c>
      <c r="FI433" s="885">
        <f>Drivers!FI372</f>
        <v>1152.924225448061</v>
      </c>
    </row>
    <row r="434" spans="1:165" x14ac:dyDescent="0.3">
      <c r="A434" s="56" t="s">
        <v>395</v>
      </c>
      <c r="DZ434" s="885">
        <f>Drivers!DZ380</f>
        <v>625</v>
      </c>
      <c r="EA434" s="885">
        <f>Drivers!EA380</f>
        <v>609</v>
      </c>
      <c r="EB434" s="885">
        <f>Drivers!EB380</f>
        <v>583</v>
      </c>
      <c r="EC434" s="885">
        <f>Drivers!EC380</f>
        <v>564</v>
      </c>
      <c r="ED434" s="885">
        <f>Drivers!ED380</f>
        <v>2381</v>
      </c>
      <c r="EE434" s="885">
        <f>Drivers!EE380</f>
        <v>560</v>
      </c>
      <c r="EF434" s="885">
        <f>Drivers!EF380</f>
        <v>566</v>
      </c>
      <c r="EG434" s="885">
        <f>Drivers!EG380</f>
        <v>582</v>
      </c>
      <c r="EH434" s="885">
        <f>Drivers!EH380</f>
        <v>556</v>
      </c>
      <c r="EI434" s="885">
        <f>Drivers!EI380</f>
        <v>2264</v>
      </c>
      <c r="EJ434" s="885">
        <f>Drivers!EJ380</f>
        <v>540</v>
      </c>
      <c r="EK434" s="885">
        <f>Drivers!EK380</f>
        <v>530</v>
      </c>
      <c r="EL434" s="885">
        <f>Drivers!EL380</f>
        <v>520</v>
      </c>
      <c r="EM434" s="885">
        <f>Drivers!EM380</f>
        <v>515</v>
      </c>
      <c r="EN434" s="885">
        <f>Drivers!EN380</f>
        <v>2105</v>
      </c>
      <c r="EO434" s="885">
        <f>Drivers!EO380</f>
        <v>513</v>
      </c>
      <c r="EP434" s="885">
        <f>Drivers!EP380</f>
        <v>493</v>
      </c>
      <c r="EQ434" s="885">
        <f>Drivers!EQ380</f>
        <v>478</v>
      </c>
      <c r="ER434" s="885">
        <f>Drivers!ER380</f>
        <v>470</v>
      </c>
      <c r="ES434" s="885">
        <f>Drivers!ES380</f>
        <v>1954</v>
      </c>
      <c r="ET434" s="885">
        <f>Drivers!ET380</f>
        <v>469</v>
      </c>
      <c r="EU434" s="885">
        <f>Drivers!EU380</f>
        <v>461</v>
      </c>
      <c r="EV434" s="885">
        <f>Drivers!EV380</f>
        <v>467</v>
      </c>
      <c r="EW434" s="885">
        <f>Drivers!EW380</f>
        <v>458</v>
      </c>
      <c r="EX434" s="885">
        <f>Drivers!EX380</f>
        <v>1855</v>
      </c>
      <c r="EY434" s="885">
        <f>Drivers!EY380</f>
        <v>438.94795332053138</v>
      </c>
      <c r="EZ434" s="885">
        <f>Drivers!EZ380</f>
        <v>416.91144453744363</v>
      </c>
      <c r="FA434" s="885">
        <f>Drivers!FA380</f>
        <v>412.02993449269536</v>
      </c>
      <c r="FB434" s="885">
        <f>Drivers!FB380</f>
        <v>394.87610507606809</v>
      </c>
      <c r="FC434" s="885">
        <f>Drivers!FC380</f>
        <v>1662.7654374267386</v>
      </c>
      <c r="FD434" s="885">
        <f>Drivers!FD380</f>
        <v>1454.9200020182693</v>
      </c>
      <c r="FE434" s="885">
        <f>Drivers!FE380</f>
        <v>1335.9634446316079</v>
      </c>
      <c r="FF434" s="885">
        <f>Drivers!FF380</f>
        <v>1281.273559605132</v>
      </c>
      <c r="FG434" s="885">
        <f>Drivers!FG380</f>
        <v>1234.2090014907742</v>
      </c>
      <c r="FH434" s="885">
        <f>Drivers!FH380</f>
        <v>1191.8869875548446</v>
      </c>
      <c r="FI434" s="885">
        <f>Drivers!FI380</f>
        <v>1153.0712707066168</v>
      </c>
    </row>
    <row r="435" spans="1:165" x14ac:dyDescent="0.3">
      <c r="A435" s="90" t="s">
        <v>446</v>
      </c>
      <c r="DZ435" s="900">
        <f>Drivers!DZ388</f>
        <v>312</v>
      </c>
      <c r="EA435" s="900">
        <f>Drivers!EA388</f>
        <v>302</v>
      </c>
      <c r="EB435" s="900">
        <f>Drivers!EB388</f>
        <v>306</v>
      </c>
      <c r="EC435" s="900">
        <f>Drivers!EC388</f>
        <v>303</v>
      </c>
      <c r="ED435" s="900">
        <f>Drivers!ED388</f>
        <v>1223</v>
      </c>
      <c r="EE435" s="900">
        <f>Drivers!EE388</f>
        <v>297</v>
      </c>
      <c r="EF435" s="900">
        <f>Drivers!EF388</f>
        <v>268</v>
      </c>
      <c r="EG435" s="900">
        <f>Drivers!EG388</f>
        <v>227</v>
      </c>
      <c r="EH435" s="900">
        <f>Drivers!EH388</f>
        <v>228</v>
      </c>
      <c r="EI435" s="900">
        <f>Drivers!EI388</f>
        <v>1020</v>
      </c>
      <c r="EJ435" s="900">
        <f>Drivers!EJ388</f>
        <v>230</v>
      </c>
      <c r="EK435" s="900">
        <f>Drivers!EK388</f>
        <v>227</v>
      </c>
      <c r="EL435" s="900">
        <f>Drivers!EL388</f>
        <v>215</v>
      </c>
      <c r="EM435" s="900">
        <f>Drivers!EM388</f>
        <v>187</v>
      </c>
      <c r="EN435" s="900">
        <f>Drivers!EN388</f>
        <v>859</v>
      </c>
      <c r="EO435" s="900">
        <f>Drivers!EO388</f>
        <v>176</v>
      </c>
      <c r="EP435" s="900">
        <f>Drivers!EP388</f>
        <v>189</v>
      </c>
      <c r="EQ435" s="900">
        <f>Drivers!EQ388</f>
        <v>183</v>
      </c>
      <c r="ER435" s="900">
        <f>Drivers!ER388</f>
        <v>177</v>
      </c>
      <c r="ES435" s="900">
        <f>Drivers!ES388</f>
        <v>725</v>
      </c>
      <c r="ET435" s="900">
        <f>Drivers!ET388</f>
        <v>172</v>
      </c>
      <c r="EU435" s="900">
        <f>Drivers!EU388</f>
        <v>165</v>
      </c>
      <c r="EV435" s="900">
        <f>Drivers!EV388</f>
        <v>137</v>
      </c>
      <c r="EW435" s="900">
        <f>Drivers!EW388</f>
        <v>142</v>
      </c>
      <c r="EX435" s="900">
        <f>Drivers!EX388</f>
        <v>616</v>
      </c>
      <c r="EY435" s="900">
        <f>Drivers!EY388</f>
        <v>120.96944843777226</v>
      </c>
      <c r="EZ435" s="900">
        <f>Drivers!EZ388</f>
        <v>130.39219694162244</v>
      </c>
      <c r="FA435" s="900">
        <f>Drivers!FA388</f>
        <v>114.98368321131204</v>
      </c>
      <c r="FB435" s="900">
        <f>Drivers!FB388</f>
        <v>128.72965523382271</v>
      </c>
      <c r="FC435" s="900">
        <f>Drivers!FC388</f>
        <v>495.07498382452945</v>
      </c>
      <c r="FD435" s="900">
        <f>Drivers!FD388</f>
        <v>423.25970777455382</v>
      </c>
      <c r="FE435" s="900">
        <f>Drivers!FE388</f>
        <v>320.32462143251473</v>
      </c>
      <c r="FF435" s="900">
        <f>Drivers!FF388</f>
        <v>212.71511874907264</v>
      </c>
      <c r="FG435" s="900">
        <f>Drivers!FG388</f>
        <v>131.77756619485649</v>
      </c>
      <c r="FH435" s="900">
        <f>Drivers!FH388</f>
        <v>68.513022477321783</v>
      </c>
      <c r="FI435" s="900">
        <f>Drivers!FI388</f>
        <v>17.650943245839926</v>
      </c>
    </row>
    <row r="436" spans="1:165" ht="13" x14ac:dyDescent="0.3">
      <c r="A436" s="326"/>
    </row>
    <row r="437" spans="1:165" ht="13" x14ac:dyDescent="0.3">
      <c r="A437" s="326"/>
    </row>
    <row r="438" spans="1:165" ht="13" x14ac:dyDescent="0.3">
      <c r="A438" s="326"/>
    </row>
    <row r="439" spans="1:165" ht="13" x14ac:dyDescent="0.3">
      <c r="A439" s="326"/>
    </row>
    <row r="440" spans="1:165" ht="13" x14ac:dyDescent="0.3">
      <c r="A440" s="326"/>
    </row>
    <row r="441" spans="1:165" ht="13" x14ac:dyDescent="0.3">
      <c r="A441" s="326"/>
    </row>
    <row r="442" spans="1:165" ht="13" x14ac:dyDescent="0.3">
      <c r="A442" s="326"/>
    </row>
    <row r="443" spans="1:165" ht="13" x14ac:dyDescent="0.3">
      <c r="A443" s="326"/>
    </row>
    <row r="444" spans="1:165" ht="13" x14ac:dyDescent="0.3">
      <c r="A444" s="326"/>
    </row>
    <row r="445" spans="1:165" ht="13" x14ac:dyDescent="0.3">
      <c r="A445" s="326"/>
    </row>
    <row r="446" spans="1:165" ht="13" x14ac:dyDescent="0.3">
      <c r="A446" s="326"/>
    </row>
    <row r="447" spans="1:165" ht="13" x14ac:dyDescent="0.3">
      <c r="A447" s="326"/>
    </row>
    <row r="448" spans="1:165" ht="13" x14ac:dyDescent="0.3">
      <c r="A448" s="326"/>
    </row>
    <row r="449" spans="1:1" ht="13" x14ac:dyDescent="0.3">
      <c r="A449" s="326"/>
    </row>
    <row r="450" spans="1:1" ht="13" x14ac:dyDescent="0.3">
      <c r="A450" s="326"/>
    </row>
    <row r="451" spans="1:1" ht="13" x14ac:dyDescent="0.3">
      <c r="A451" s="326"/>
    </row>
    <row r="452" spans="1:1" x14ac:dyDescent="0.3">
      <c r="A452" s="342"/>
    </row>
    <row r="453" spans="1:1" x14ac:dyDescent="0.3">
      <c r="A453" s="342"/>
    </row>
    <row r="454" spans="1:1" x14ac:dyDescent="0.3">
      <c r="A454" s="342"/>
    </row>
    <row r="455" spans="1:1" x14ac:dyDescent="0.3">
      <c r="A455" s="342"/>
    </row>
    <row r="456" spans="1:1" ht="13" x14ac:dyDescent="0.3">
      <c r="A456" s="326"/>
    </row>
    <row r="457" spans="1:1" x14ac:dyDescent="0.3">
      <c r="A457" s="330"/>
    </row>
    <row r="458" spans="1:1" x14ac:dyDescent="0.3">
      <c r="A458" s="348"/>
    </row>
    <row r="459" spans="1:1" x14ac:dyDescent="0.3">
      <c r="A459" s="348"/>
    </row>
    <row r="460" spans="1:1" x14ac:dyDescent="0.3">
      <c r="A460" s="348"/>
    </row>
    <row r="461" spans="1:1" x14ac:dyDescent="0.3">
      <c r="A461" s="348"/>
    </row>
    <row r="462" spans="1:1" ht="13" x14ac:dyDescent="0.3">
      <c r="A462" s="326"/>
    </row>
    <row r="463" spans="1:1" x14ac:dyDescent="0.3">
      <c r="A463" s="330"/>
    </row>
    <row r="464" spans="1:1" x14ac:dyDescent="0.3">
      <c r="A464" s="330"/>
    </row>
    <row r="465" spans="1:1" x14ac:dyDescent="0.3">
      <c r="A465" s="330"/>
    </row>
    <row r="466" spans="1:1" ht="13" x14ac:dyDescent="0.3">
      <c r="A466" s="326"/>
    </row>
    <row r="467" spans="1:1" ht="13" x14ac:dyDescent="0.3">
      <c r="A467" s="326"/>
    </row>
    <row r="468" spans="1:1" ht="13" x14ac:dyDescent="0.3">
      <c r="A468" s="326"/>
    </row>
    <row r="469" spans="1:1" ht="13" x14ac:dyDescent="0.3">
      <c r="A469" s="326"/>
    </row>
    <row r="470" spans="1:1" ht="13" x14ac:dyDescent="0.3">
      <c r="A470" s="326"/>
    </row>
    <row r="471" spans="1:1" ht="13" x14ac:dyDescent="0.3">
      <c r="A471" s="335" t="s">
        <v>3757</v>
      </c>
    </row>
    <row r="472" spans="1:1" x14ac:dyDescent="0.3">
      <c r="A472" s="347" t="s">
        <v>3758</v>
      </c>
    </row>
    <row r="473" spans="1:1" x14ac:dyDescent="0.3">
      <c r="A473" s="347" t="s">
        <v>3759</v>
      </c>
    </row>
    <row r="474" spans="1:1" x14ac:dyDescent="0.3">
      <c r="A474" s="349" t="s">
        <v>3760</v>
      </c>
    </row>
    <row r="475" spans="1:1" x14ac:dyDescent="0.3">
      <c r="A475" s="349" t="s">
        <v>3761</v>
      </c>
    </row>
    <row r="476" spans="1:1" x14ac:dyDescent="0.3">
      <c r="A476" s="350"/>
    </row>
    <row r="477" spans="1:1" x14ac:dyDescent="0.3">
      <c r="A477" s="347"/>
    </row>
    <row r="478" spans="1:1" ht="13" x14ac:dyDescent="0.3">
      <c r="A478" s="326"/>
    </row>
    <row r="479" spans="1:1" ht="13" x14ac:dyDescent="0.3">
      <c r="A479" s="326"/>
    </row>
    <row r="480" spans="1:1" ht="13" x14ac:dyDescent="0.3">
      <c r="A480" s="326"/>
    </row>
    <row r="481" spans="1:1" ht="13" x14ac:dyDescent="0.3">
      <c r="A481" s="326"/>
    </row>
    <row r="482" spans="1:1" ht="13" x14ac:dyDescent="0.3">
      <c r="A482" s="326"/>
    </row>
    <row r="483" spans="1:1" ht="13" x14ac:dyDescent="0.3">
      <c r="A483" s="326"/>
    </row>
    <row r="484" spans="1:1" ht="13" x14ac:dyDescent="0.3">
      <c r="A484" s="326"/>
    </row>
    <row r="485" spans="1:1" ht="13" x14ac:dyDescent="0.3">
      <c r="A485" s="326"/>
    </row>
    <row r="486" spans="1:1" ht="13" x14ac:dyDescent="0.3">
      <c r="A486" s="326"/>
    </row>
    <row r="487" spans="1:1" ht="13" x14ac:dyDescent="0.3">
      <c r="A487" s="326"/>
    </row>
    <row r="488" spans="1:1" ht="13" x14ac:dyDescent="0.3">
      <c r="A488" s="326"/>
    </row>
    <row r="489" spans="1:1" ht="13" x14ac:dyDescent="0.3">
      <c r="A489" s="326"/>
    </row>
    <row r="490" spans="1:1" ht="13" x14ac:dyDescent="0.3">
      <c r="A490" s="326"/>
    </row>
    <row r="491" spans="1:1" ht="13" x14ac:dyDescent="0.3">
      <c r="A491" s="335" t="s">
        <v>3762</v>
      </c>
    </row>
    <row r="492" spans="1:1" x14ac:dyDescent="0.3">
      <c r="A492" s="345" t="s">
        <v>461</v>
      </c>
    </row>
    <row r="493" spans="1:1" x14ac:dyDescent="0.3">
      <c r="A493" s="351" t="s">
        <v>3763</v>
      </c>
    </row>
    <row r="494" spans="1:1" x14ac:dyDescent="0.3">
      <c r="A494" s="351" t="s">
        <v>3764</v>
      </c>
    </row>
    <row r="495" spans="1:1" x14ac:dyDescent="0.3">
      <c r="A495" s="344" t="s">
        <v>3652</v>
      </c>
    </row>
    <row r="496" spans="1:1" x14ac:dyDescent="0.3">
      <c r="A496" s="344" t="s">
        <v>1865</v>
      </c>
    </row>
    <row r="497" spans="1:1" x14ac:dyDescent="0.3">
      <c r="A497" s="344" t="s">
        <v>3765</v>
      </c>
    </row>
    <row r="498" spans="1:1" x14ac:dyDescent="0.3">
      <c r="A498" s="344" t="s">
        <v>34</v>
      </c>
    </row>
    <row r="499" spans="1:1" x14ac:dyDescent="0.3">
      <c r="A499" s="347" t="s">
        <v>3766</v>
      </c>
    </row>
    <row r="500" spans="1:1" x14ac:dyDescent="0.3">
      <c r="A500" s="344" t="s">
        <v>3767</v>
      </c>
    </row>
    <row r="501" spans="1:1" x14ac:dyDescent="0.3">
      <c r="A501" s="344" t="s">
        <v>3768</v>
      </c>
    </row>
    <row r="502" spans="1:1" x14ac:dyDescent="0.3">
      <c r="A502" s="344" t="s">
        <v>3705</v>
      </c>
    </row>
    <row r="503" spans="1:1" x14ac:dyDescent="0.3">
      <c r="A503" s="344" t="s">
        <v>3769</v>
      </c>
    </row>
    <row r="504" spans="1:1" x14ac:dyDescent="0.3">
      <c r="A504" s="344" t="s">
        <v>3770</v>
      </c>
    </row>
    <row r="505" spans="1:1" x14ac:dyDescent="0.3">
      <c r="A505" s="344" t="s">
        <v>34</v>
      </c>
    </row>
    <row r="506" spans="1:1" x14ac:dyDescent="0.3">
      <c r="A506" s="352" t="s">
        <v>3771</v>
      </c>
    </row>
    <row r="507" spans="1:1" x14ac:dyDescent="0.3">
      <c r="A507" s="347" t="s">
        <v>2090</v>
      </c>
    </row>
    <row r="508" spans="1:1" ht="13" x14ac:dyDescent="0.3">
      <c r="A508" s="326"/>
    </row>
    <row r="509" spans="1:1" ht="13" x14ac:dyDescent="0.3">
      <c r="A509" s="335" t="s">
        <v>3772</v>
      </c>
    </row>
    <row r="510" spans="1:1" ht="13" x14ac:dyDescent="0.3">
      <c r="A510" s="326" t="s">
        <v>3773</v>
      </c>
    </row>
    <row r="511" spans="1:1" ht="13" x14ac:dyDescent="0.3">
      <c r="A511" s="326" t="s">
        <v>3774</v>
      </c>
    </row>
    <row r="512" spans="1:1" ht="13" x14ac:dyDescent="0.3">
      <c r="A512" s="326" t="s">
        <v>3775</v>
      </c>
    </row>
    <row r="513" spans="1:1" ht="13" x14ac:dyDescent="0.3">
      <c r="A513" s="326" t="s">
        <v>3776</v>
      </c>
    </row>
    <row r="514" spans="1:1" ht="13" x14ac:dyDescent="0.3">
      <c r="A514" s="326" t="s">
        <v>3777</v>
      </c>
    </row>
    <row r="515" spans="1:1" ht="13" x14ac:dyDescent="0.3">
      <c r="A515" s="326" t="s">
        <v>3778</v>
      </c>
    </row>
    <row r="516" spans="1:1" ht="13" x14ac:dyDescent="0.3">
      <c r="A516" s="326" t="s">
        <v>3698</v>
      </c>
    </row>
    <row r="517" spans="1:1" ht="13" x14ac:dyDescent="0.3">
      <c r="A517" s="326" t="s">
        <v>3779</v>
      </c>
    </row>
    <row r="518" spans="1:1" ht="13" x14ac:dyDescent="0.3">
      <c r="A518" s="326" t="s">
        <v>3780</v>
      </c>
    </row>
    <row r="519" spans="1:1" ht="13" x14ac:dyDescent="0.3">
      <c r="A519" s="326" t="s">
        <v>3781</v>
      </c>
    </row>
    <row r="520" spans="1:1" ht="13" x14ac:dyDescent="0.3">
      <c r="A520" s="326" t="s">
        <v>3782</v>
      </c>
    </row>
    <row r="521" spans="1:1" ht="13" x14ac:dyDescent="0.3">
      <c r="A521" s="326"/>
    </row>
    <row r="522" spans="1:1" ht="13" x14ac:dyDescent="0.3">
      <c r="A522" s="335" t="s">
        <v>3783</v>
      </c>
    </row>
    <row r="523" spans="1:1" ht="13" x14ac:dyDescent="0.3">
      <c r="A523" s="326" t="s">
        <v>3775</v>
      </c>
    </row>
    <row r="524" spans="1:1" ht="13" x14ac:dyDescent="0.3">
      <c r="A524" s="326" t="s">
        <v>3778</v>
      </c>
    </row>
    <row r="525" spans="1:1" ht="13" x14ac:dyDescent="0.3">
      <c r="A525" s="326" t="s">
        <v>3780</v>
      </c>
    </row>
    <row r="526" spans="1:1" ht="13" x14ac:dyDescent="0.3">
      <c r="A526" s="326" t="s">
        <v>3782</v>
      </c>
    </row>
    <row r="527" spans="1:1" ht="13" x14ac:dyDescent="0.3">
      <c r="A527" s="326"/>
    </row>
    <row r="528" spans="1:1" ht="13" x14ac:dyDescent="0.3">
      <c r="A528" s="326"/>
    </row>
    <row r="529" spans="1:1" ht="13" x14ac:dyDescent="0.3">
      <c r="A529" s="326"/>
    </row>
    <row r="530" spans="1:1" ht="13" x14ac:dyDescent="0.3">
      <c r="A530" s="335" t="s">
        <v>3784</v>
      </c>
    </row>
    <row r="531" spans="1:1" ht="13" x14ac:dyDescent="0.3">
      <c r="A531" s="326" t="s">
        <v>3773</v>
      </c>
    </row>
    <row r="532" spans="1:1" ht="13" x14ac:dyDescent="0.3">
      <c r="A532" s="326" t="s">
        <v>3776</v>
      </c>
    </row>
    <row r="533" spans="1:1" ht="13" x14ac:dyDescent="0.3">
      <c r="A533" s="326" t="s">
        <v>3785</v>
      </c>
    </row>
    <row r="534" spans="1:1" ht="13" x14ac:dyDescent="0.3">
      <c r="A534" s="326" t="s">
        <v>3786</v>
      </c>
    </row>
    <row r="535" spans="1:1" ht="13" x14ac:dyDescent="0.3">
      <c r="A535" s="326" t="s">
        <v>3787</v>
      </c>
    </row>
    <row r="536" spans="1:1" ht="13" x14ac:dyDescent="0.3">
      <c r="A536" s="326" t="s">
        <v>3788</v>
      </c>
    </row>
    <row r="537" spans="1:1" ht="13" x14ac:dyDescent="0.3">
      <c r="A537" s="326" t="s">
        <v>3789</v>
      </c>
    </row>
    <row r="538" spans="1:1" ht="13" x14ac:dyDescent="0.3">
      <c r="A538" s="326" t="s">
        <v>3790</v>
      </c>
    </row>
    <row r="539" spans="1:1" ht="13" x14ac:dyDescent="0.3">
      <c r="A539" s="326" t="s">
        <v>3791</v>
      </c>
    </row>
    <row r="540" spans="1:1" ht="13" x14ac:dyDescent="0.3">
      <c r="A540" s="326" t="s">
        <v>3792</v>
      </c>
    </row>
    <row r="541" spans="1:1" ht="13" x14ac:dyDescent="0.3">
      <c r="A541" s="326" t="s">
        <v>2593</v>
      </c>
    </row>
    <row r="542" spans="1:1" ht="13" x14ac:dyDescent="0.3">
      <c r="A542" s="326" t="s">
        <v>1436</v>
      </c>
    </row>
    <row r="543" spans="1:1" ht="13" x14ac:dyDescent="0.3">
      <c r="A543" s="326" t="s">
        <v>3793</v>
      </c>
    </row>
    <row r="544" spans="1:1" ht="13" x14ac:dyDescent="0.3">
      <c r="A544" s="326" t="s">
        <v>3636</v>
      </c>
    </row>
    <row r="545" spans="1:1" ht="13" x14ac:dyDescent="0.3">
      <c r="A545" s="326" t="s">
        <v>19</v>
      </c>
    </row>
    <row r="546" spans="1:1" ht="13" x14ac:dyDescent="0.3">
      <c r="A546" s="326"/>
    </row>
    <row r="547" spans="1:1" ht="13" x14ac:dyDescent="0.3">
      <c r="A547" s="326"/>
    </row>
    <row r="548" spans="1:1" ht="13" x14ac:dyDescent="0.3">
      <c r="A548" s="326"/>
    </row>
    <row r="549" spans="1:1" ht="13" x14ac:dyDescent="0.3">
      <c r="A549" s="326"/>
    </row>
    <row r="550" spans="1:1" ht="13" x14ac:dyDescent="0.3">
      <c r="A550" s="326"/>
    </row>
    <row r="551" spans="1:1" ht="13" x14ac:dyDescent="0.3">
      <c r="A551" s="326"/>
    </row>
    <row r="552" spans="1:1" ht="13" x14ac:dyDescent="0.3">
      <c r="A552" s="335" t="s">
        <v>3794</v>
      </c>
    </row>
    <row r="553" spans="1:1" x14ac:dyDescent="0.3">
      <c r="A553" s="345" t="s">
        <v>461</v>
      </c>
    </row>
    <row r="554" spans="1:1" x14ac:dyDescent="0.3">
      <c r="A554" s="351" t="s">
        <v>3763</v>
      </c>
    </row>
    <row r="555" spans="1:1" x14ac:dyDescent="0.3">
      <c r="A555" s="351" t="s">
        <v>3764</v>
      </c>
    </row>
    <row r="556" spans="1:1" x14ac:dyDescent="0.3">
      <c r="A556" s="344" t="s">
        <v>3652</v>
      </c>
    </row>
    <row r="557" spans="1:1" x14ac:dyDescent="0.3">
      <c r="A557" s="344" t="s">
        <v>1865</v>
      </c>
    </row>
    <row r="558" spans="1:1" x14ac:dyDescent="0.3">
      <c r="A558" s="344" t="s">
        <v>3765</v>
      </c>
    </row>
    <row r="559" spans="1:1" x14ac:dyDescent="0.3">
      <c r="A559" s="344" t="s">
        <v>34</v>
      </c>
    </row>
    <row r="560" spans="1:1" x14ac:dyDescent="0.3">
      <c r="A560" s="347" t="s">
        <v>3766</v>
      </c>
    </row>
    <row r="561" spans="1:1" x14ac:dyDescent="0.3">
      <c r="A561" s="344" t="s">
        <v>3767</v>
      </c>
    </row>
    <row r="562" spans="1:1" x14ac:dyDescent="0.3">
      <c r="A562" s="344" t="s">
        <v>3768</v>
      </c>
    </row>
    <row r="563" spans="1:1" x14ac:dyDescent="0.3">
      <c r="A563" s="344" t="s">
        <v>3705</v>
      </c>
    </row>
    <row r="564" spans="1:1" x14ac:dyDescent="0.3">
      <c r="A564" s="344" t="s">
        <v>3769</v>
      </c>
    </row>
    <row r="565" spans="1:1" x14ac:dyDescent="0.3">
      <c r="A565" s="344" t="s">
        <v>34</v>
      </c>
    </row>
    <row r="566" spans="1:1" x14ac:dyDescent="0.3">
      <c r="A566" s="352" t="s">
        <v>3771</v>
      </c>
    </row>
    <row r="567" spans="1:1" x14ac:dyDescent="0.3">
      <c r="A567" s="347" t="s">
        <v>2090</v>
      </c>
    </row>
    <row r="568" spans="1:1" ht="13" x14ac:dyDescent="0.3">
      <c r="A568" s="326"/>
    </row>
    <row r="569" spans="1:1" ht="13" x14ac:dyDescent="0.3">
      <c r="A569" s="335" t="s">
        <v>3772</v>
      </c>
    </row>
    <row r="570" spans="1:1" ht="13" x14ac:dyDescent="0.3">
      <c r="A570" s="326" t="s">
        <v>3773</v>
      </c>
    </row>
    <row r="571" spans="1:1" ht="13" x14ac:dyDescent="0.3">
      <c r="A571" s="326" t="s">
        <v>3774</v>
      </c>
    </row>
    <row r="572" spans="1:1" ht="13" x14ac:dyDescent="0.3">
      <c r="A572" s="326" t="s">
        <v>3775</v>
      </c>
    </row>
    <row r="573" spans="1:1" ht="13" x14ac:dyDescent="0.3">
      <c r="A573" s="326" t="s">
        <v>3776</v>
      </c>
    </row>
    <row r="574" spans="1:1" ht="13" x14ac:dyDescent="0.3">
      <c r="A574" s="326" t="s">
        <v>3777</v>
      </c>
    </row>
    <row r="575" spans="1:1" ht="13" x14ac:dyDescent="0.3">
      <c r="A575" s="326" t="s">
        <v>3778</v>
      </c>
    </row>
    <row r="576" spans="1:1" ht="13" x14ac:dyDescent="0.3">
      <c r="A576" s="326" t="s">
        <v>3698</v>
      </c>
    </row>
    <row r="577" spans="1:1" ht="13" x14ac:dyDescent="0.3">
      <c r="A577" s="326" t="s">
        <v>3779</v>
      </c>
    </row>
    <row r="578" spans="1:1" ht="13" x14ac:dyDescent="0.3">
      <c r="A578" s="326" t="s">
        <v>3780</v>
      </c>
    </row>
    <row r="579" spans="1:1" ht="13" x14ac:dyDescent="0.3">
      <c r="A579" s="326" t="s">
        <v>3781</v>
      </c>
    </row>
    <row r="580" spans="1:1" ht="13" x14ac:dyDescent="0.3">
      <c r="A580" s="326" t="s">
        <v>3782</v>
      </c>
    </row>
    <row r="581" spans="1:1" ht="13" x14ac:dyDescent="0.3">
      <c r="A581" s="326"/>
    </row>
    <row r="582" spans="1:1" ht="13" x14ac:dyDescent="0.3">
      <c r="A582" s="335" t="s">
        <v>3783</v>
      </c>
    </row>
    <row r="583" spans="1:1" ht="13" x14ac:dyDescent="0.3">
      <c r="A583" s="326" t="s">
        <v>3775</v>
      </c>
    </row>
    <row r="584" spans="1:1" ht="13" x14ac:dyDescent="0.3">
      <c r="A584" s="326" t="s">
        <v>3778</v>
      </c>
    </row>
    <row r="585" spans="1:1" ht="13" x14ac:dyDescent="0.3">
      <c r="A585" s="326" t="s">
        <v>3780</v>
      </c>
    </row>
    <row r="586" spans="1:1" ht="13" x14ac:dyDescent="0.3">
      <c r="A586" s="326" t="s">
        <v>3782</v>
      </c>
    </row>
    <row r="587" spans="1:1" ht="13" x14ac:dyDescent="0.3">
      <c r="A587" s="326"/>
    </row>
    <row r="588" spans="1:1" ht="13" x14ac:dyDescent="0.3">
      <c r="A588" s="335" t="s">
        <v>485</v>
      </c>
    </row>
    <row r="589" spans="1:1" ht="13" x14ac:dyDescent="0.3">
      <c r="A589" s="326" t="s">
        <v>2552</v>
      </c>
    </row>
    <row r="590" spans="1:1" ht="13" x14ac:dyDescent="0.3">
      <c r="A590" s="326" t="s">
        <v>198</v>
      </c>
    </row>
    <row r="591" spans="1:1" ht="13" x14ac:dyDescent="0.3">
      <c r="A591" s="326"/>
    </row>
    <row r="592" spans="1:1" ht="13" x14ac:dyDescent="0.3">
      <c r="A592" s="326"/>
    </row>
    <row r="593" spans="1:1" ht="13" x14ac:dyDescent="0.3">
      <c r="A593" s="353" t="s">
        <v>3795</v>
      </c>
    </row>
    <row r="594" spans="1:1" ht="13" x14ac:dyDescent="0.3">
      <c r="A594" s="353"/>
    </row>
    <row r="595" spans="1:1" ht="13" x14ac:dyDescent="0.3">
      <c r="A595" s="353" t="s">
        <v>280</v>
      </c>
    </row>
    <row r="596" spans="1:1" ht="13" x14ac:dyDescent="0.3">
      <c r="A596" s="326" t="s">
        <v>519</v>
      </c>
    </row>
    <row r="597" spans="1:1" ht="13" x14ac:dyDescent="0.3">
      <c r="A597" s="326" t="s">
        <v>3796</v>
      </c>
    </row>
    <row r="598" spans="1:1" ht="13" x14ac:dyDescent="0.3">
      <c r="A598" s="326" t="s">
        <v>3797</v>
      </c>
    </row>
    <row r="599" spans="1:1" ht="13" x14ac:dyDescent="0.3">
      <c r="A599" s="326"/>
    </row>
    <row r="600" spans="1:1" ht="13" x14ac:dyDescent="0.3">
      <c r="A600" s="326"/>
    </row>
    <row r="601" spans="1:1" ht="13" x14ac:dyDescent="0.3">
      <c r="A601" s="326"/>
    </row>
    <row r="602" spans="1:1" ht="13" x14ac:dyDescent="0.3">
      <c r="A602" s="326"/>
    </row>
    <row r="603" spans="1:1" ht="13" x14ac:dyDescent="0.3">
      <c r="A603" s="326"/>
    </row>
    <row r="604" spans="1:1" ht="13" x14ac:dyDescent="0.3">
      <c r="A604" s="326"/>
    </row>
    <row r="605" spans="1:1" ht="13" x14ac:dyDescent="0.3">
      <c r="A605" s="326"/>
    </row>
    <row r="606" spans="1:1" ht="13" x14ac:dyDescent="0.3">
      <c r="A606" s="326"/>
    </row>
    <row r="607" spans="1:1" ht="13" x14ac:dyDescent="0.3">
      <c r="A607" s="326"/>
    </row>
    <row r="608" spans="1:1" ht="13" x14ac:dyDescent="0.3">
      <c r="A608" s="326" t="s">
        <v>3798</v>
      </c>
    </row>
    <row r="609" spans="1:1" ht="13" x14ac:dyDescent="0.3">
      <c r="A609" s="326" t="s">
        <v>3799</v>
      </c>
    </row>
    <row r="610" spans="1:1" ht="13" x14ac:dyDescent="0.3">
      <c r="A610" s="326" t="s">
        <v>3800</v>
      </c>
    </row>
    <row r="611" spans="1:1" ht="13" x14ac:dyDescent="0.3">
      <c r="A611" s="326"/>
    </row>
    <row r="612" spans="1:1" ht="13" x14ac:dyDescent="0.3">
      <c r="A612" s="353" t="s">
        <v>3801</v>
      </c>
    </row>
    <row r="613" spans="1:1" ht="13" x14ac:dyDescent="0.3">
      <c r="A613" s="326" t="s">
        <v>3802</v>
      </c>
    </row>
    <row r="614" spans="1:1" ht="13" x14ac:dyDescent="0.3">
      <c r="A614" s="326" t="s">
        <v>3803</v>
      </c>
    </row>
    <row r="615" spans="1:1" ht="13" x14ac:dyDescent="0.3">
      <c r="A615" s="326" t="s">
        <v>3804</v>
      </c>
    </row>
    <row r="616" spans="1:1" ht="13" x14ac:dyDescent="0.3">
      <c r="A616" s="326" t="s">
        <v>3805</v>
      </c>
    </row>
    <row r="617" spans="1:1" ht="13" x14ac:dyDescent="0.3">
      <c r="A617" s="326" t="s">
        <v>3806</v>
      </c>
    </row>
    <row r="618" spans="1:1" ht="13" x14ac:dyDescent="0.3">
      <c r="A618" s="326" t="s">
        <v>3807</v>
      </c>
    </row>
    <row r="619" spans="1:1" ht="13" x14ac:dyDescent="0.3">
      <c r="A619" s="326"/>
    </row>
    <row r="620" spans="1:1" ht="13" x14ac:dyDescent="0.3">
      <c r="A620" s="326"/>
    </row>
    <row r="621" spans="1:1" ht="13" x14ac:dyDescent="0.3">
      <c r="A621" s="353" t="s">
        <v>963</v>
      </c>
    </row>
    <row r="622" spans="1:1" x14ac:dyDescent="0.3">
      <c r="A622" s="354" t="s">
        <v>3767</v>
      </c>
    </row>
    <row r="623" spans="1:1" x14ac:dyDescent="0.3">
      <c r="A623" s="354" t="s">
        <v>3705</v>
      </c>
    </row>
    <row r="624" spans="1:1" x14ac:dyDescent="0.3">
      <c r="A624" s="354" t="s">
        <v>3768</v>
      </c>
    </row>
    <row r="625" spans="1:1" x14ac:dyDescent="0.3">
      <c r="A625" s="354" t="s">
        <v>3769</v>
      </c>
    </row>
    <row r="626" spans="1:1" x14ac:dyDescent="0.3">
      <c r="A626" s="354" t="s">
        <v>34</v>
      </c>
    </row>
    <row r="627" spans="1:1" ht="13" x14ac:dyDescent="0.3">
      <c r="A627" s="326"/>
    </row>
    <row r="628" spans="1:1" ht="13" x14ac:dyDescent="0.3">
      <c r="A628" s="326" t="s">
        <v>3808</v>
      </c>
    </row>
    <row r="629" spans="1:1" ht="13" x14ac:dyDescent="0.3">
      <c r="A629" s="326"/>
    </row>
    <row r="630" spans="1:1" ht="13" x14ac:dyDescent="0.3">
      <c r="A630" s="326"/>
    </row>
    <row r="631" spans="1:1" ht="13" x14ac:dyDescent="0.3">
      <c r="A631" s="326"/>
    </row>
    <row r="632" spans="1:1" ht="13" x14ac:dyDescent="0.3">
      <c r="A632" s="326"/>
    </row>
    <row r="633" spans="1:1" ht="13" x14ac:dyDescent="0.3">
      <c r="A633" s="326"/>
    </row>
    <row r="634" spans="1:1" ht="13" x14ac:dyDescent="0.3">
      <c r="A634" s="326"/>
    </row>
    <row r="635" spans="1:1" ht="13" x14ac:dyDescent="0.3">
      <c r="A635" s="326"/>
    </row>
    <row r="636" spans="1:1" ht="13" x14ac:dyDescent="0.3">
      <c r="A636" s="326"/>
    </row>
    <row r="637" spans="1:1" ht="13" x14ac:dyDescent="0.3">
      <c r="A637" s="326"/>
    </row>
    <row r="638" spans="1:1" ht="13" x14ac:dyDescent="0.3">
      <c r="A638" s="326"/>
    </row>
    <row r="639" spans="1:1" ht="13" x14ac:dyDescent="0.3">
      <c r="A639" s="326"/>
    </row>
    <row r="640" spans="1:1" ht="13" x14ac:dyDescent="0.3">
      <c r="A640" s="326"/>
    </row>
    <row r="641" spans="1:1" ht="13" x14ac:dyDescent="0.3">
      <c r="A641" s="326"/>
    </row>
    <row r="642" spans="1:1" ht="13" x14ac:dyDescent="0.3">
      <c r="A642" s="326"/>
    </row>
    <row r="643" spans="1:1" ht="13" x14ac:dyDescent="0.3">
      <c r="A643" s="326"/>
    </row>
    <row r="644" spans="1:1" ht="13" x14ac:dyDescent="0.3">
      <c r="A644" s="326"/>
    </row>
    <row r="645" spans="1:1" ht="13" x14ac:dyDescent="0.3">
      <c r="A645" s="326"/>
    </row>
    <row r="646" spans="1:1" ht="13" x14ac:dyDescent="0.3">
      <c r="A646" s="326"/>
    </row>
    <row r="647" spans="1:1" ht="13" x14ac:dyDescent="0.3">
      <c r="A647" s="326"/>
    </row>
    <row r="648" spans="1:1" ht="13" x14ac:dyDescent="0.3">
      <c r="A648" s="326"/>
    </row>
    <row r="649" spans="1:1" ht="13" x14ac:dyDescent="0.3">
      <c r="A649" s="326"/>
    </row>
    <row r="650" spans="1:1" ht="13" x14ac:dyDescent="0.3">
      <c r="A650" s="326"/>
    </row>
    <row r="651" spans="1:1" ht="13" x14ac:dyDescent="0.3">
      <c r="A651" s="335" t="s">
        <v>3809</v>
      </c>
    </row>
    <row r="652" spans="1:1" ht="13" x14ac:dyDescent="0.3">
      <c r="A652" s="326" t="s">
        <v>3810</v>
      </c>
    </row>
    <row r="653" spans="1:1" ht="13" x14ac:dyDescent="0.3">
      <c r="A653" s="326" t="s">
        <v>3811</v>
      </c>
    </row>
    <row r="654" spans="1:1" ht="13" x14ac:dyDescent="0.3">
      <c r="A654" s="326" t="s">
        <v>3812</v>
      </c>
    </row>
    <row r="655" spans="1:1" ht="13" x14ac:dyDescent="0.3">
      <c r="A655" s="326" t="s">
        <v>3813</v>
      </c>
    </row>
    <row r="656" spans="1:1" ht="13" x14ac:dyDescent="0.3">
      <c r="A656" s="326" t="s">
        <v>3814</v>
      </c>
    </row>
    <row r="657" spans="1:1" ht="13" x14ac:dyDescent="0.3">
      <c r="A657" s="326"/>
    </row>
    <row r="658" spans="1:1" ht="13" x14ac:dyDescent="0.3">
      <c r="A658" s="326"/>
    </row>
    <row r="659" spans="1:1" ht="13" x14ac:dyDescent="0.3">
      <c r="A659" s="326"/>
    </row>
    <row r="660" spans="1:1" ht="13" x14ac:dyDescent="0.3">
      <c r="A660" s="326"/>
    </row>
    <row r="661" spans="1:1" ht="13" x14ac:dyDescent="0.3">
      <c r="A661" s="326"/>
    </row>
    <row r="662" spans="1:1" ht="13" x14ac:dyDescent="0.3">
      <c r="A662" s="326"/>
    </row>
    <row r="663" spans="1:1" ht="13" x14ac:dyDescent="0.3">
      <c r="A663" s="326"/>
    </row>
    <row r="664" spans="1:1" ht="13" x14ac:dyDescent="0.3">
      <c r="A664" s="326"/>
    </row>
    <row r="665" spans="1:1" ht="13" x14ac:dyDescent="0.3">
      <c r="A665" s="326"/>
    </row>
    <row r="666" spans="1:1" ht="13" x14ac:dyDescent="0.3">
      <c r="A666" s="326"/>
    </row>
    <row r="667" spans="1:1" ht="13" x14ac:dyDescent="0.3">
      <c r="A667" s="326"/>
    </row>
    <row r="668" spans="1:1" ht="13" x14ac:dyDescent="0.3">
      <c r="A668" s="326"/>
    </row>
    <row r="669" spans="1:1" ht="13" x14ac:dyDescent="0.3">
      <c r="A669" s="326"/>
    </row>
    <row r="670" spans="1:1" ht="13" x14ac:dyDescent="0.3">
      <c r="A670" s="326"/>
    </row>
    <row r="671" spans="1:1" ht="13" x14ac:dyDescent="0.3">
      <c r="A671" s="326"/>
    </row>
    <row r="672" spans="1:1" ht="13" x14ac:dyDescent="0.3">
      <c r="A672" s="326"/>
    </row>
    <row r="673" spans="1:1" ht="13" x14ac:dyDescent="0.3">
      <c r="A673" s="326"/>
    </row>
    <row r="674" spans="1:1" ht="13" x14ac:dyDescent="0.3">
      <c r="A674" s="326"/>
    </row>
    <row r="675" spans="1:1" ht="13" x14ac:dyDescent="0.3">
      <c r="A675" s="326"/>
    </row>
    <row r="676" spans="1:1" ht="13" x14ac:dyDescent="0.3">
      <c r="A676" s="326"/>
    </row>
    <row r="677" spans="1:1" ht="13" x14ac:dyDescent="0.3">
      <c r="A677" s="326"/>
    </row>
    <row r="678" spans="1:1" ht="13" x14ac:dyDescent="0.3">
      <c r="A678" s="326"/>
    </row>
    <row r="679" spans="1:1" ht="13" x14ac:dyDescent="0.3">
      <c r="A679" s="326"/>
    </row>
    <row r="680" spans="1:1" ht="13" x14ac:dyDescent="0.3">
      <c r="A680" s="326"/>
    </row>
    <row r="681" spans="1:1" ht="13" x14ac:dyDescent="0.3">
      <c r="A681" s="326"/>
    </row>
    <row r="682" spans="1:1" ht="13" x14ac:dyDescent="0.3">
      <c r="A682" s="326"/>
    </row>
    <row r="683" spans="1:1" ht="13" x14ac:dyDescent="0.3">
      <c r="A683" s="326"/>
    </row>
    <row r="684" spans="1:1" ht="13" x14ac:dyDescent="0.3">
      <c r="A684" s="326"/>
    </row>
    <row r="685" spans="1:1" ht="13" x14ac:dyDescent="0.3">
      <c r="A685" s="326"/>
    </row>
    <row r="686" spans="1:1" ht="13" x14ac:dyDescent="0.3">
      <c r="A686" s="326"/>
    </row>
    <row r="687" spans="1:1" ht="13" x14ac:dyDescent="0.3">
      <c r="A687" s="326"/>
    </row>
    <row r="688" spans="1:1" ht="13" x14ac:dyDescent="0.3">
      <c r="A688" s="326"/>
    </row>
    <row r="689" spans="1:1" ht="13" x14ac:dyDescent="0.3">
      <c r="A689" s="326"/>
    </row>
    <row r="690" spans="1:1" ht="13" x14ac:dyDescent="0.3">
      <c r="A690" s="326"/>
    </row>
    <row r="691" spans="1:1" ht="13" x14ac:dyDescent="0.3">
      <c r="A691" s="326"/>
    </row>
    <row r="692" spans="1:1" ht="13" x14ac:dyDescent="0.3">
      <c r="A692" s="326"/>
    </row>
    <row r="693" spans="1:1" ht="13" x14ac:dyDescent="0.3">
      <c r="A693" s="326"/>
    </row>
    <row r="694" spans="1:1" ht="13" x14ac:dyDescent="0.3">
      <c r="A694" s="326"/>
    </row>
    <row r="695" spans="1:1" ht="13" x14ac:dyDescent="0.3">
      <c r="A695" s="326"/>
    </row>
    <row r="696" spans="1:1" ht="13" x14ac:dyDescent="0.3">
      <c r="A696" s="326"/>
    </row>
    <row r="697" spans="1:1" ht="13" x14ac:dyDescent="0.3">
      <c r="A697" s="326"/>
    </row>
    <row r="698" spans="1:1" ht="13" x14ac:dyDescent="0.3">
      <c r="A698" s="326"/>
    </row>
    <row r="699" spans="1:1" ht="13" x14ac:dyDescent="0.3">
      <c r="A699" s="326"/>
    </row>
    <row r="700" spans="1:1" ht="13" x14ac:dyDescent="0.3">
      <c r="A700" s="326"/>
    </row>
    <row r="701" spans="1:1" ht="13" x14ac:dyDescent="0.3">
      <c r="A701" s="326"/>
    </row>
    <row r="702" spans="1:1" ht="13" x14ac:dyDescent="0.3">
      <c r="A702" s="326"/>
    </row>
    <row r="703" spans="1:1" ht="13" x14ac:dyDescent="0.3">
      <c r="A703" s="326"/>
    </row>
    <row r="704" spans="1:1" ht="13" x14ac:dyDescent="0.3">
      <c r="A704" s="326"/>
    </row>
    <row r="705" spans="1:1" ht="13" x14ac:dyDescent="0.3">
      <c r="A705" s="326"/>
    </row>
    <row r="706" spans="1:1" ht="13" x14ac:dyDescent="0.3">
      <c r="A706" s="326"/>
    </row>
    <row r="707" spans="1:1" ht="13" x14ac:dyDescent="0.3">
      <c r="A707" s="326"/>
    </row>
    <row r="708" spans="1:1" ht="13" x14ac:dyDescent="0.3">
      <c r="A708" s="326"/>
    </row>
    <row r="709" spans="1:1" ht="13" x14ac:dyDescent="0.3">
      <c r="A709" s="326"/>
    </row>
    <row r="710" spans="1:1" ht="13" x14ac:dyDescent="0.3">
      <c r="A710" s="326"/>
    </row>
    <row r="711" spans="1:1" ht="13" x14ac:dyDescent="0.3">
      <c r="A711" s="326"/>
    </row>
    <row r="712" spans="1:1" ht="13" x14ac:dyDescent="0.3">
      <c r="A712" s="326"/>
    </row>
    <row r="713" spans="1:1" ht="13" x14ac:dyDescent="0.3">
      <c r="A713" s="326"/>
    </row>
    <row r="714" spans="1:1" ht="13" x14ac:dyDescent="0.3">
      <c r="A714" s="326"/>
    </row>
    <row r="715" spans="1:1" ht="13" x14ac:dyDescent="0.3">
      <c r="A715" s="326"/>
    </row>
    <row r="716" spans="1:1" ht="13" x14ac:dyDescent="0.3">
      <c r="A716" s="326"/>
    </row>
    <row r="717" spans="1:1" ht="13" x14ac:dyDescent="0.3">
      <c r="A717" s="326"/>
    </row>
    <row r="718" spans="1:1" ht="13" x14ac:dyDescent="0.3">
      <c r="A718" s="326"/>
    </row>
    <row r="719" spans="1:1" ht="13" x14ac:dyDescent="0.3">
      <c r="A719" s="326"/>
    </row>
    <row r="720" spans="1:1" ht="13" x14ac:dyDescent="0.3">
      <c r="A720" s="326"/>
    </row>
    <row r="721" spans="1:1" ht="13" x14ac:dyDescent="0.3">
      <c r="A721" s="326"/>
    </row>
    <row r="722" spans="1:1" ht="13" x14ac:dyDescent="0.3">
      <c r="A722" s="326"/>
    </row>
    <row r="723" spans="1:1" ht="13" x14ac:dyDescent="0.3">
      <c r="A723" s="326"/>
    </row>
    <row r="724" spans="1:1" ht="13" x14ac:dyDescent="0.3">
      <c r="A724" s="326"/>
    </row>
    <row r="725" spans="1:1" ht="13" x14ac:dyDescent="0.3">
      <c r="A725" s="326"/>
    </row>
    <row r="726" spans="1:1" ht="13" x14ac:dyDescent="0.3">
      <c r="A726" s="326"/>
    </row>
    <row r="727" spans="1:1" ht="13" x14ac:dyDescent="0.3">
      <c r="A727" s="355" t="s">
        <v>3815</v>
      </c>
    </row>
    <row r="728" spans="1:1" ht="13" x14ac:dyDescent="0.3">
      <c r="A728" s="326"/>
    </row>
    <row r="729" spans="1:1" ht="13" x14ac:dyDescent="0.3">
      <c r="A729" s="326"/>
    </row>
    <row r="730" spans="1:1" ht="13" x14ac:dyDescent="0.3">
      <c r="A730" s="326"/>
    </row>
    <row r="731" spans="1:1" ht="13" x14ac:dyDescent="0.3">
      <c r="A731" s="326"/>
    </row>
    <row r="732" spans="1:1" ht="13" x14ac:dyDescent="0.3">
      <c r="A732" s="326"/>
    </row>
    <row r="733" spans="1:1" ht="13" x14ac:dyDescent="0.3">
      <c r="A733" s="326"/>
    </row>
    <row r="734" spans="1:1" ht="13" x14ac:dyDescent="0.3">
      <c r="A734" s="326"/>
    </row>
    <row r="735" spans="1:1" ht="13" x14ac:dyDescent="0.3">
      <c r="A735" s="326"/>
    </row>
    <row r="736" spans="1:1" ht="13" x14ac:dyDescent="0.3">
      <c r="A736" s="326"/>
    </row>
    <row r="737" spans="1:1" ht="13" x14ac:dyDescent="0.3">
      <c r="A737" s="326"/>
    </row>
    <row r="738" spans="1:1" ht="13" x14ac:dyDescent="0.3">
      <c r="A738" s="326"/>
    </row>
    <row r="739" spans="1:1" ht="13" x14ac:dyDescent="0.3">
      <c r="A739" s="326"/>
    </row>
    <row r="740" spans="1:1" ht="13" x14ac:dyDescent="0.3">
      <c r="A740" s="326"/>
    </row>
    <row r="741" spans="1:1" ht="13" x14ac:dyDescent="0.3">
      <c r="A741" s="326"/>
    </row>
    <row r="742" spans="1:1" ht="13" x14ac:dyDescent="0.3">
      <c r="A742" s="356" t="s">
        <v>198</v>
      </c>
    </row>
    <row r="743" spans="1:1" ht="13" x14ac:dyDescent="0.3">
      <c r="A743" s="340"/>
    </row>
    <row r="744" spans="1:1" ht="13" x14ac:dyDescent="0.3">
      <c r="A744" s="357" t="s">
        <v>3816</v>
      </c>
    </row>
    <row r="745" spans="1:1" x14ac:dyDescent="0.3">
      <c r="A745" s="63" t="s">
        <v>2651</v>
      </c>
    </row>
    <row r="746" spans="1:1" x14ac:dyDescent="0.3">
      <c r="A746" s="63" t="s">
        <v>2652</v>
      </c>
    </row>
    <row r="747" spans="1:1" x14ac:dyDescent="0.3">
      <c r="A747" s="63" t="s">
        <v>3817</v>
      </c>
    </row>
    <row r="748" spans="1:1" x14ac:dyDescent="0.3">
      <c r="A748" s="64" t="s">
        <v>3818</v>
      </c>
    </row>
    <row r="749" spans="1:1" x14ac:dyDescent="0.3">
      <c r="A749" s="63" t="s">
        <v>3819</v>
      </c>
    </row>
    <row r="750" spans="1:1" x14ac:dyDescent="0.3">
      <c r="A750" s="63" t="s">
        <v>3717</v>
      </c>
    </row>
    <row r="751" spans="1:1" x14ac:dyDescent="0.3">
      <c r="A751" s="63" t="s">
        <v>3820</v>
      </c>
    </row>
    <row r="752" spans="1:1" x14ac:dyDescent="0.3">
      <c r="A752" s="60" t="s">
        <v>504</v>
      </c>
    </row>
    <row r="753" spans="1:1" ht="13" x14ac:dyDescent="0.3">
      <c r="A753" s="326"/>
    </row>
    <row r="754" spans="1:1" ht="13" x14ac:dyDescent="0.3">
      <c r="A754" s="326"/>
    </row>
    <row r="755" spans="1:1" ht="13" x14ac:dyDescent="0.3">
      <c r="A755" s="326"/>
    </row>
    <row r="756" spans="1:1" ht="13" x14ac:dyDescent="0.3">
      <c r="A756" s="326"/>
    </row>
    <row r="757" spans="1:1" ht="13" x14ac:dyDescent="0.3">
      <c r="A757" s="326"/>
    </row>
    <row r="758" spans="1:1" ht="13" x14ac:dyDescent="0.3">
      <c r="A758" s="326"/>
    </row>
    <row r="759" spans="1:1" ht="13" x14ac:dyDescent="0.3">
      <c r="A759" s="326"/>
    </row>
    <row r="760" spans="1:1" ht="13" x14ac:dyDescent="0.3">
      <c r="A760" s="326"/>
    </row>
    <row r="761" spans="1:1" ht="13" x14ac:dyDescent="0.3">
      <c r="A761" s="326"/>
    </row>
    <row r="762" spans="1:1" ht="13" x14ac:dyDescent="0.3">
      <c r="A762" s="326"/>
    </row>
    <row r="763" spans="1:1" ht="13" x14ac:dyDescent="0.3">
      <c r="A763" s="326"/>
    </row>
    <row r="764" spans="1:1" ht="13" x14ac:dyDescent="0.3">
      <c r="A764" s="326"/>
    </row>
    <row r="765" spans="1:1" ht="13" x14ac:dyDescent="0.3">
      <c r="A765" s="326"/>
    </row>
    <row r="766" spans="1:1" ht="13" x14ac:dyDescent="0.3">
      <c r="A766" s="326"/>
    </row>
    <row r="767" spans="1:1" ht="13" x14ac:dyDescent="0.3">
      <c r="A767" s="326"/>
    </row>
    <row r="768" spans="1:1" ht="13" x14ac:dyDescent="0.3">
      <c r="A768" s="326"/>
    </row>
    <row r="769" spans="1:1" ht="13" x14ac:dyDescent="0.3">
      <c r="A769" s="326"/>
    </row>
    <row r="770" spans="1:1" ht="13" x14ac:dyDescent="0.3">
      <c r="A770" s="326"/>
    </row>
    <row r="771" spans="1:1" ht="13" x14ac:dyDescent="0.3">
      <c r="A771" s="326"/>
    </row>
    <row r="772" spans="1:1" ht="13" x14ac:dyDescent="0.3">
      <c r="A772" s="326"/>
    </row>
    <row r="773" spans="1:1" ht="13" x14ac:dyDescent="0.3">
      <c r="A773" s="326"/>
    </row>
    <row r="774" spans="1:1" ht="13" x14ac:dyDescent="0.3">
      <c r="A774" s="326"/>
    </row>
    <row r="775" spans="1:1" ht="13" x14ac:dyDescent="0.3">
      <c r="A775" s="326"/>
    </row>
    <row r="776" spans="1:1" ht="13" x14ac:dyDescent="0.3">
      <c r="A776" s="326"/>
    </row>
    <row r="777" spans="1:1" ht="13" x14ac:dyDescent="0.3">
      <c r="A777" s="326"/>
    </row>
    <row r="778" spans="1:1" ht="13" x14ac:dyDescent="0.3">
      <c r="A778" s="326"/>
    </row>
    <row r="779" spans="1:1" ht="13" x14ac:dyDescent="0.3">
      <c r="A779" s="326"/>
    </row>
    <row r="780" spans="1:1" ht="13" x14ac:dyDescent="0.3">
      <c r="A780" s="326"/>
    </row>
    <row r="781" spans="1:1" ht="13" x14ac:dyDescent="0.3">
      <c r="A781" s="326"/>
    </row>
    <row r="782" spans="1:1" ht="13" x14ac:dyDescent="0.3">
      <c r="A782" s="326"/>
    </row>
    <row r="783" spans="1:1" ht="13" x14ac:dyDescent="0.3">
      <c r="A783" s="326"/>
    </row>
    <row r="784" spans="1:1" ht="13" x14ac:dyDescent="0.3">
      <c r="A784" s="326"/>
    </row>
    <row r="785" spans="1:1" ht="13" x14ac:dyDescent="0.3">
      <c r="A785" s="326"/>
    </row>
    <row r="786" spans="1:1" ht="13" x14ac:dyDescent="0.3">
      <c r="A786" s="326"/>
    </row>
    <row r="787" spans="1:1" ht="13" x14ac:dyDescent="0.3">
      <c r="A787" s="326"/>
    </row>
    <row r="788" spans="1:1" ht="13" x14ac:dyDescent="0.3">
      <c r="A788" s="326"/>
    </row>
    <row r="789" spans="1:1" ht="13" x14ac:dyDescent="0.3">
      <c r="A789" s="326"/>
    </row>
    <row r="790" spans="1:1" ht="13" x14ac:dyDescent="0.3">
      <c r="A790" s="326"/>
    </row>
    <row r="791" spans="1:1" ht="13" x14ac:dyDescent="0.3">
      <c r="A791" s="326"/>
    </row>
    <row r="792" spans="1:1" ht="13" x14ac:dyDescent="0.3">
      <c r="A792" s="326"/>
    </row>
    <row r="793" spans="1:1" ht="13" x14ac:dyDescent="0.3">
      <c r="A793" s="326"/>
    </row>
    <row r="794" spans="1:1" ht="13" x14ac:dyDescent="0.3">
      <c r="A794" s="326"/>
    </row>
    <row r="795" spans="1:1" ht="13" x14ac:dyDescent="0.3">
      <c r="A795" s="326"/>
    </row>
    <row r="796" spans="1:1" ht="13" x14ac:dyDescent="0.3">
      <c r="A796" s="326"/>
    </row>
    <row r="797" spans="1:1" ht="13" x14ac:dyDescent="0.3">
      <c r="A797" s="326"/>
    </row>
    <row r="798" spans="1:1" ht="13" x14ac:dyDescent="0.3">
      <c r="A798" s="326"/>
    </row>
    <row r="799" spans="1:1" ht="13" x14ac:dyDescent="0.3">
      <c r="A799" s="326"/>
    </row>
    <row r="800" spans="1:1" ht="13" x14ac:dyDescent="0.3">
      <c r="A800" s="326"/>
    </row>
    <row r="801" spans="1:1" ht="13" x14ac:dyDescent="0.3">
      <c r="A801" s="326"/>
    </row>
    <row r="802" spans="1:1" ht="13" x14ac:dyDescent="0.3">
      <c r="A802" s="326"/>
    </row>
    <row r="803" spans="1:1" ht="13" x14ac:dyDescent="0.3">
      <c r="A803" s="326"/>
    </row>
    <row r="804" spans="1:1" ht="13" x14ac:dyDescent="0.3">
      <c r="A804" s="326"/>
    </row>
    <row r="805" spans="1:1" ht="13" x14ac:dyDescent="0.3">
      <c r="A805" s="326"/>
    </row>
    <row r="806" spans="1:1" ht="13" x14ac:dyDescent="0.3">
      <c r="A806" s="326"/>
    </row>
    <row r="807" spans="1:1" ht="13" x14ac:dyDescent="0.3">
      <c r="A807" s="326"/>
    </row>
    <row r="808" spans="1:1" ht="13" x14ac:dyDescent="0.3">
      <c r="A808" s="326"/>
    </row>
    <row r="809" spans="1:1" ht="13" x14ac:dyDescent="0.3">
      <c r="A809" s="326"/>
    </row>
    <row r="810" spans="1:1" ht="13" x14ac:dyDescent="0.3">
      <c r="A810" s="326"/>
    </row>
    <row r="811" spans="1:1" ht="13" x14ac:dyDescent="0.3">
      <c r="A811" s="326"/>
    </row>
    <row r="812" spans="1:1" ht="13" x14ac:dyDescent="0.3">
      <c r="A812" s="326"/>
    </row>
    <row r="813" spans="1:1" ht="13" x14ac:dyDescent="0.3">
      <c r="A813" s="326"/>
    </row>
    <row r="814" spans="1:1" ht="13" x14ac:dyDescent="0.3">
      <c r="A814" s="326"/>
    </row>
    <row r="815" spans="1:1" ht="13" x14ac:dyDescent="0.3">
      <c r="A815" s="326"/>
    </row>
    <row r="816" spans="1:1" ht="13" x14ac:dyDescent="0.3">
      <c r="A816" s="326"/>
    </row>
    <row r="817" spans="1:1" ht="13" x14ac:dyDescent="0.3">
      <c r="A817" s="326"/>
    </row>
    <row r="818" spans="1:1" ht="13" x14ac:dyDescent="0.3">
      <c r="A818" s="326"/>
    </row>
    <row r="819" spans="1:1" ht="13" x14ac:dyDescent="0.3">
      <c r="A819" s="326"/>
    </row>
    <row r="820" spans="1:1" ht="13" x14ac:dyDescent="0.3">
      <c r="A820" s="326"/>
    </row>
    <row r="821" spans="1:1" ht="13" x14ac:dyDescent="0.3">
      <c r="A821" s="326"/>
    </row>
    <row r="822" spans="1:1" ht="13" x14ac:dyDescent="0.3">
      <c r="A822" s="326"/>
    </row>
    <row r="823" spans="1:1" ht="13" x14ac:dyDescent="0.3">
      <c r="A823" s="326"/>
    </row>
    <row r="824" spans="1:1" ht="13" x14ac:dyDescent="0.3">
      <c r="A824" s="326"/>
    </row>
    <row r="825" spans="1:1" ht="13" x14ac:dyDescent="0.3">
      <c r="A825" s="326"/>
    </row>
    <row r="826" spans="1:1" ht="13" x14ac:dyDescent="0.3">
      <c r="A826" s="326"/>
    </row>
    <row r="827" spans="1:1" ht="13" x14ac:dyDescent="0.3">
      <c r="A827" s="326"/>
    </row>
    <row r="828" spans="1:1" ht="13" x14ac:dyDescent="0.3">
      <c r="A828" s="326"/>
    </row>
    <row r="829" spans="1:1" ht="13" x14ac:dyDescent="0.3">
      <c r="A829" s="326"/>
    </row>
    <row r="830" spans="1:1" ht="13" x14ac:dyDescent="0.3">
      <c r="A830" s="326"/>
    </row>
    <row r="831" spans="1:1" ht="13" x14ac:dyDescent="0.3">
      <c r="A831" s="326"/>
    </row>
    <row r="832" spans="1:1" ht="13" x14ac:dyDescent="0.3">
      <c r="A832" s="326"/>
    </row>
    <row r="833" spans="1:1" ht="13" x14ac:dyDescent="0.3">
      <c r="A833" s="326"/>
    </row>
    <row r="834" spans="1:1" ht="13" x14ac:dyDescent="0.3">
      <c r="A834" s="326"/>
    </row>
    <row r="835" spans="1:1" ht="13" x14ac:dyDescent="0.3">
      <c r="A835" s="326"/>
    </row>
    <row r="836" spans="1:1" ht="13" x14ac:dyDescent="0.3">
      <c r="A836" s="326"/>
    </row>
    <row r="837" spans="1:1" ht="13" x14ac:dyDescent="0.3">
      <c r="A837" s="326"/>
    </row>
    <row r="838" spans="1:1" ht="13" x14ac:dyDescent="0.3">
      <c r="A838" s="326"/>
    </row>
    <row r="839" spans="1:1" ht="13" x14ac:dyDescent="0.3">
      <c r="A839" s="326"/>
    </row>
    <row r="840" spans="1:1" ht="13" x14ac:dyDescent="0.3">
      <c r="A840" s="326"/>
    </row>
    <row r="841" spans="1:1" ht="13" x14ac:dyDescent="0.3">
      <c r="A841" s="326"/>
    </row>
    <row r="842" spans="1:1" ht="13" x14ac:dyDescent="0.3">
      <c r="A842" s="326"/>
    </row>
    <row r="843" spans="1:1" ht="13" x14ac:dyDescent="0.3">
      <c r="A843" s="326"/>
    </row>
    <row r="844" spans="1:1" ht="13" x14ac:dyDescent="0.3">
      <c r="A844" s="326"/>
    </row>
    <row r="845" spans="1:1" ht="13" x14ac:dyDescent="0.3">
      <c r="A845" s="326"/>
    </row>
    <row r="846" spans="1:1" ht="13" x14ac:dyDescent="0.3">
      <c r="A846" s="326"/>
    </row>
    <row r="847" spans="1:1" ht="13" x14ac:dyDescent="0.3">
      <c r="A847" s="326"/>
    </row>
    <row r="848" spans="1:1" ht="13" x14ac:dyDescent="0.3">
      <c r="A848" s="326"/>
    </row>
    <row r="849" spans="1:1" ht="13" x14ac:dyDescent="0.3">
      <c r="A849" s="326"/>
    </row>
    <row r="850" spans="1:1" ht="13" x14ac:dyDescent="0.3">
      <c r="A850" s="326"/>
    </row>
    <row r="851" spans="1:1" ht="13" x14ac:dyDescent="0.3">
      <c r="A851" s="326"/>
    </row>
    <row r="852" spans="1:1" ht="13" x14ac:dyDescent="0.3">
      <c r="A852" s="326"/>
    </row>
    <row r="853" spans="1:1" ht="13" x14ac:dyDescent="0.3">
      <c r="A853" s="326"/>
    </row>
    <row r="854" spans="1:1" ht="13" x14ac:dyDescent="0.3">
      <c r="A854" s="326"/>
    </row>
    <row r="855" spans="1:1" ht="13" x14ac:dyDescent="0.3">
      <c r="A855" s="326"/>
    </row>
    <row r="856" spans="1:1" ht="13" x14ac:dyDescent="0.3">
      <c r="A856" s="326"/>
    </row>
    <row r="857" spans="1:1" ht="13" x14ac:dyDescent="0.3">
      <c r="A857" s="326"/>
    </row>
    <row r="858" spans="1:1" ht="13" x14ac:dyDescent="0.3">
      <c r="A858" s="326"/>
    </row>
    <row r="859" spans="1:1" ht="13" x14ac:dyDescent="0.3">
      <c r="A859" s="326"/>
    </row>
    <row r="860" spans="1:1" ht="13" x14ac:dyDescent="0.3">
      <c r="A860" s="326"/>
    </row>
    <row r="861" spans="1:1" ht="13" x14ac:dyDescent="0.3">
      <c r="A861" s="326"/>
    </row>
    <row r="862" spans="1:1" ht="13" x14ac:dyDescent="0.3">
      <c r="A862" s="326"/>
    </row>
    <row r="863" spans="1:1" ht="13" x14ac:dyDescent="0.3">
      <c r="A863" s="326"/>
    </row>
    <row r="864" spans="1:1" ht="13" x14ac:dyDescent="0.3">
      <c r="A864" s="326"/>
    </row>
    <row r="865" spans="1:1" ht="13" x14ac:dyDescent="0.3">
      <c r="A865" s="326"/>
    </row>
    <row r="866" spans="1:1" ht="13" x14ac:dyDescent="0.3">
      <c r="A866" s="326"/>
    </row>
    <row r="867" spans="1:1" ht="13" x14ac:dyDescent="0.3">
      <c r="A867" s="326"/>
    </row>
    <row r="868" spans="1:1" ht="13" x14ac:dyDescent="0.3">
      <c r="A868" s="326"/>
    </row>
    <row r="869" spans="1:1" ht="13" x14ac:dyDescent="0.3">
      <c r="A869" s="326"/>
    </row>
    <row r="870" spans="1:1" ht="13" x14ac:dyDescent="0.3">
      <c r="A870" s="326"/>
    </row>
    <row r="871" spans="1:1" ht="13" x14ac:dyDescent="0.3">
      <c r="A871" s="326"/>
    </row>
    <row r="872" spans="1:1" ht="13" x14ac:dyDescent="0.3">
      <c r="A872" s="326"/>
    </row>
    <row r="873" spans="1:1" ht="13" x14ac:dyDescent="0.3">
      <c r="A873" s="326"/>
    </row>
    <row r="874" spans="1:1" ht="13" x14ac:dyDescent="0.3">
      <c r="A874" s="326"/>
    </row>
    <row r="875" spans="1:1" ht="13" x14ac:dyDescent="0.3">
      <c r="A875" s="326"/>
    </row>
    <row r="876" spans="1:1" ht="13" x14ac:dyDescent="0.3">
      <c r="A876" s="326"/>
    </row>
    <row r="877" spans="1:1" ht="13" x14ac:dyDescent="0.3">
      <c r="A877" s="326"/>
    </row>
    <row r="878" spans="1:1" ht="13" x14ac:dyDescent="0.3">
      <c r="A878" s="326"/>
    </row>
    <row r="879" spans="1:1" ht="13" x14ac:dyDescent="0.3">
      <c r="A879" s="326"/>
    </row>
    <row r="880" spans="1:1" ht="13" x14ac:dyDescent="0.3">
      <c r="A880" s="326"/>
    </row>
    <row r="881" spans="1:1" ht="13" x14ac:dyDescent="0.3">
      <c r="A881" s="326"/>
    </row>
    <row r="882" spans="1:1" ht="13" x14ac:dyDescent="0.3">
      <c r="A882" s="326"/>
    </row>
    <row r="883" spans="1:1" ht="13" x14ac:dyDescent="0.3">
      <c r="A883" s="326"/>
    </row>
    <row r="884" spans="1:1" ht="13" x14ac:dyDescent="0.3">
      <c r="A884" s="326"/>
    </row>
    <row r="885" spans="1:1" ht="13" x14ac:dyDescent="0.3">
      <c r="A885" s="326"/>
    </row>
    <row r="886" spans="1:1" ht="13" x14ac:dyDescent="0.3">
      <c r="A886" s="326"/>
    </row>
    <row r="887" spans="1:1" ht="13" x14ac:dyDescent="0.3">
      <c r="A887" s="326"/>
    </row>
    <row r="888" spans="1:1" ht="13" x14ac:dyDescent="0.3">
      <c r="A888" s="326"/>
    </row>
    <row r="889" spans="1:1" ht="13" x14ac:dyDescent="0.3">
      <c r="A889" s="326"/>
    </row>
    <row r="890" spans="1:1" ht="13" x14ac:dyDescent="0.3">
      <c r="A890" s="326"/>
    </row>
    <row r="891" spans="1:1" ht="13" x14ac:dyDescent="0.3">
      <c r="A891" s="326"/>
    </row>
    <row r="892" spans="1:1" ht="13" x14ac:dyDescent="0.3">
      <c r="A892" s="326"/>
    </row>
    <row r="893" spans="1:1" ht="13" x14ac:dyDescent="0.3">
      <c r="A893" s="326"/>
    </row>
    <row r="894" spans="1:1" ht="13" x14ac:dyDescent="0.3">
      <c r="A894" s="326"/>
    </row>
    <row r="895" spans="1:1" ht="13" x14ac:dyDescent="0.3">
      <c r="A895" s="326"/>
    </row>
    <row r="896" spans="1:1" ht="13" x14ac:dyDescent="0.3">
      <c r="A896" s="326"/>
    </row>
    <row r="897" spans="1:1" ht="13" x14ac:dyDescent="0.3">
      <c r="A897" s="326"/>
    </row>
    <row r="898" spans="1:1" ht="13" x14ac:dyDescent="0.3">
      <c r="A898" s="326"/>
    </row>
    <row r="899" spans="1:1" ht="13" x14ac:dyDescent="0.3">
      <c r="A899" s="326"/>
    </row>
    <row r="900" spans="1:1" ht="13" x14ac:dyDescent="0.3">
      <c r="A900" s="326"/>
    </row>
    <row r="901" spans="1:1" ht="13" x14ac:dyDescent="0.3">
      <c r="A901" s="326"/>
    </row>
    <row r="902" spans="1:1" ht="13" x14ac:dyDescent="0.3">
      <c r="A902" s="326"/>
    </row>
    <row r="903" spans="1:1" ht="13" x14ac:dyDescent="0.3">
      <c r="A903" s="326"/>
    </row>
    <row r="904" spans="1:1" ht="13" x14ac:dyDescent="0.3">
      <c r="A904" s="326"/>
    </row>
    <row r="905" spans="1:1" ht="13" x14ac:dyDescent="0.3">
      <c r="A905" s="326"/>
    </row>
    <row r="906" spans="1:1" ht="13" x14ac:dyDescent="0.3">
      <c r="A906" s="326"/>
    </row>
    <row r="907" spans="1:1" ht="13" x14ac:dyDescent="0.3">
      <c r="A907" s="326"/>
    </row>
    <row r="908" spans="1:1" ht="13" x14ac:dyDescent="0.3">
      <c r="A908" s="326"/>
    </row>
    <row r="909" spans="1:1" ht="13" x14ac:dyDescent="0.3">
      <c r="A909" s="326"/>
    </row>
    <row r="910" spans="1:1" ht="13" x14ac:dyDescent="0.3">
      <c r="A910" s="326"/>
    </row>
    <row r="911" spans="1:1" ht="13" x14ac:dyDescent="0.3">
      <c r="A911" s="326"/>
    </row>
    <row r="912" spans="1:1" ht="13" x14ac:dyDescent="0.3">
      <c r="A912" s="326"/>
    </row>
    <row r="913" spans="1:1" ht="13" x14ac:dyDescent="0.3">
      <c r="A913" s="326"/>
    </row>
    <row r="914" spans="1:1" ht="13" x14ac:dyDescent="0.3">
      <c r="A914" s="326"/>
    </row>
    <row r="915" spans="1:1" ht="13" x14ac:dyDescent="0.3">
      <c r="A915" s="326"/>
    </row>
    <row r="916" spans="1:1" ht="13" x14ac:dyDescent="0.3">
      <c r="A916" s="326"/>
    </row>
    <row r="917" spans="1:1" ht="13" x14ac:dyDescent="0.3">
      <c r="A917" s="326"/>
    </row>
    <row r="918" spans="1:1" ht="13" x14ac:dyDescent="0.3">
      <c r="A918" s="326"/>
    </row>
    <row r="919" spans="1:1" ht="13" x14ac:dyDescent="0.3">
      <c r="A919" s="326"/>
    </row>
    <row r="920" spans="1:1" ht="13" x14ac:dyDescent="0.3">
      <c r="A920" s="326"/>
    </row>
    <row r="921" spans="1:1" ht="13" x14ac:dyDescent="0.3">
      <c r="A921" s="326"/>
    </row>
    <row r="922" spans="1:1" ht="13" x14ac:dyDescent="0.3">
      <c r="A922" s="326"/>
    </row>
    <row r="923" spans="1:1" ht="13" x14ac:dyDescent="0.3">
      <c r="A923" s="326"/>
    </row>
    <row r="924" spans="1:1" ht="13" x14ac:dyDescent="0.3">
      <c r="A924" s="326"/>
    </row>
    <row r="925" spans="1:1" ht="13" x14ac:dyDescent="0.3">
      <c r="A925" s="326"/>
    </row>
    <row r="926" spans="1:1" ht="13" x14ac:dyDescent="0.3">
      <c r="A926" s="326"/>
    </row>
    <row r="927" spans="1:1" ht="13" x14ac:dyDescent="0.3">
      <c r="A927" s="326"/>
    </row>
    <row r="928" spans="1:1" ht="13" x14ac:dyDescent="0.3">
      <c r="A928" s="326"/>
    </row>
    <row r="929" spans="1:1" ht="13" x14ac:dyDescent="0.3">
      <c r="A929" s="326"/>
    </row>
    <row r="930" spans="1:1" ht="13" x14ac:dyDescent="0.3">
      <c r="A930" s="326"/>
    </row>
    <row r="931" spans="1:1" ht="13" x14ac:dyDescent="0.3">
      <c r="A931" s="326"/>
    </row>
    <row r="932" spans="1:1" ht="13" x14ac:dyDescent="0.3">
      <c r="A932" s="326"/>
    </row>
    <row r="933" spans="1:1" ht="13" x14ac:dyDescent="0.3">
      <c r="A933" s="326"/>
    </row>
    <row r="934" spans="1:1" ht="13" x14ac:dyDescent="0.3">
      <c r="A934" s="326"/>
    </row>
    <row r="935" spans="1:1" ht="13" x14ac:dyDescent="0.3">
      <c r="A935" s="326"/>
    </row>
    <row r="936" spans="1:1" ht="13" x14ac:dyDescent="0.3">
      <c r="A936" s="326"/>
    </row>
    <row r="937" spans="1:1" ht="13" x14ac:dyDescent="0.3">
      <c r="A937" s="326"/>
    </row>
    <row r="938" spans="1:1" ht="13" x14ac:dyDescent="0.3">
      <c r="A938" s="326"/>
    </row>
    <row r="939" spans="1:1" ht="13" x14ac:dyDescent="0.3">
      <c r="A939" s="326"/>
    </row>
    <row r="940" spans="1:1" ht="13" x14ac:dyDescent="0.3">
      <c r="A940" s="326"/>
    </row>
    <row r="941" spans="1:1" ht="13" x14ac:dyDescent="0.3">
      <c r="A941" s="326"/>
    </row>
    <row r="942" spans="1:1" ht="13" x14ac:dyDescent="0.3">
      <c r="A942" s="326"/>
    </row>
    <row r="943" spans="1:1" ht="13" x14ac:dyDescent="0.3">
      <c r="A943" s="326"/>
    </row>
    <row r="944" spans="1:1" ht="13" x14ac:dyDescent="0.3">
      <c r="A944" s="326"/>
    </row>
    <row r="945" spans="1:1" ht="13" x14ac:dyDescent="0.3">
      <c r="A945" s="326"/>
    </row>
    <row r="946" spans="1:1" ht="13" x14ac:dyDescent="0.3">
      <c r="A946" s="326"/>
    </row>
    <row r="947" spans="1:1" ht="13" x14ac:dyDescent="0.3">
      <c r="A947" s="326"/>
    </row>
    <row r="948" spans="1:1" ht="13" x14ac:dyDescent="0.3">
      <c r="A948" s="326"/>
    </row>
    <row r="949" spans="1:1" ht="13" x14ac:dyDescent="0.3">
      <c r="A949" s="326"/>
    </row>
    <row r="950" spans="1:1" ht="13" x14ac:dyDescent="0.3">
      <c r="A950" s="326"/>
    </row>
    <row r="951" spans="1:1" ht="13" x14ac:dyDescent="0.3">
      <c r="A951" s="326"/>
    </row>
    <row r="952" spans="1:1" ht="13" x14ac:dyDescent="0.3">
      <c r="A952" s="326"/>
    </row>
    <row r="953" spans="1:1" ht="13" x14ac:dyDescent="0.3">
      <c r="A953" s="326"/>
    </row>
    <row r="954" spans="1:1" ht="13" x14ac:dyDescent="0.3">
      <c r="A954" s="326"/>
    </row>
    <row r="955" spans="1:1" ht="13" x14ac:dyDescent="0.3">
      <c r="A955" s="326"/>
    </row>
    <row r="956" spans="1:1" ht="13" x14ac:dyDescent="0.3">
      <c r="A956" s="326"/>
    </row>
    <row r="957" spans="1:1" ht="13" x14ac:dyDescent="0.3">
      <c r="A957" s="326"/>
    </row>
    <row r="958" spans="1:1" ht="13" x14ac:dyDescent="0.3">
      <c r="A958" s="326"/>
    </row>
    <row r="959" spans="1:1" ht="13" x14ac:dyDescent="0.3">
      <c r="A959" s="326"/>
    </row>
    <row r="960" spans="1:1" ht="13" x14ac:dyDescent="0.3">
      <c r="A960" s="326"/>
    </row>
    <row r="961" spans="1:1" ht="13" x14ac:dyDescent="0.3">
      <c r="A961" s="326"/>
    </row>
    <row r="962" spans="1:1" ht="13" x14ac:dyDescent="0.3">
      <c r="A962" s="326"/>
    </row>
    <row r="963" spans="1:1" ht="13" x14ac:dyDescent="0.3">
      <c r="A963" s="326"/>
    </row>
    <row r="964" spans="1:1" ht="13" x14ac:dyDescent="0.3">
      <c r="A964" s="326"/>
    </row>
    <row r="965" spans="1:1" ht="13" x14ac:dyDescent="0.3">
      <c r="A965" s="326"/>
    </row>
    <row r="966" spans="1:1" ht="13" x14ac:dyDescent="0.3">
      <c r="A966" s="326"/>
    </row>
    <row r="967" spans="1:1" ht="13" x14ac:dyDescent="0.3">
      <c r="A967" s="326"/>
    </row>
    <row r="968" spans="1:1" ht="13" x14ac:dyDescent="0.3">
      <c r="A968" s="326"/>
    </row>
    <row r="969" spans="1:1" ht="13" x14ac:dyDescent="0.3">
      <c r="A969" s="326"/>
    </row>
    <row r="970" spans="1:1" ht="13" x14ac:dyDescent="0.3">
      <c r="A970" s="326"/>
    </row>
    <row r="971" spans="1:1" ht="13" x14ac:dyDescent="0.3">
      <c r="A971" s="326"/>
    </row>
    <row r="972" spans="1:1" ht="13" x14ac:dyDescent="0.3">
      <c r="A972" s="326"/>
    </row>
    <row r="973" spans="1:1" ht="13" x14ac:dyDescent="0.3">
      <c r="A973" s="326"/>
    </row>
    <row r="974" spans="1:1" ht="13" x14ac:dyDescent="0.3">
      <c r="A974" s="326"/>
    </row>
    <row r="975" spans="1:1" ht="13" x14ac:dyDescent="0.3">
      <c r="A975" s="326"/>
    </row>
    <row r="976" spans="1:1" ht="13" x14ac:dyDescent="0.3">
      <c r="A976" s="326"/>
    </row>
    <row r="977" spans="1:1" ht="13" x14ac:dyDescent="0.3">
      <c r="A977" s="326"/>
    </row>
    <row r="978" spans="1:1" ht="13" x14ac:dyDescent="0.3">
      <c r="A978" s="326"/>
    </row>
    <row r="979" spans="1:1" ht="13" x14ac:dyDescent="0.3">
      <c r="A979" s="326"/>
    </row>
    <row r="980" spans="1:1" ht="13" x14ac:dyDescent="0.3">
      <c r="A980" s="326"/>
    </row>
    <row r="981" spans="1:1" ht="13" x14ac:dyDescent="0.3">
      <c r="A981" s="326"/>
    </row>
    <row r="982" spans="1:1" ht="13" x14ac:dyDescent="0.3">
      <c r="A982" s="326"/>
    </row>
    <row r="983" spans="1:1" ht="13" x14ac:dyDescent="0.3">
      <c r="A983" s="326"/>
    </row>
    <row r="984" spans="1:1" ht="13" x14ac:dyDescent="0.3">
      <c r="A984" s="326"/>
    </row>
    <row r="985" spans="1:1" ht="13" x14ac:dyDescent="0.3">
      <c r="A985" s="326"/>
    </row>
    <row r="986" spans="1:1" ht="13" x14ac:dyDescent="0.3">
      <c r="A986" s="326"/>
    </row>
    <row r="987" spans="1:1" ht="13" x14ac:dyDescent="0.3">
      <c r="A987" s="326"/>
    </row>
    <row r="988" spans="1:1" ht="13" x14ac:dyDescent="0.3">
      <c r="A988" s="326"/>
    </row>
    <row r="989" spans="1:1" ht="13" x14ac:dyDescent="0.3">
      <c r="A989" s="326"/>
    </row>
    <row r="990" spans="1:1" ht="13" x14ac:dyDescent="0.3">
      <c r="A990" s="326"/>
    </row>
    <row r="991" spans="1:1" ht="13" x14ac:dyDescent="0.3">
      <c r="A991" s="326"/>
    </row>
    <row r="992" spans="1:1" ht="13" x14ac:dyDescent="0.3">
      <c r="A992" s="326"/>
    </row>
    <row r="993" spans="1:1" ht="13" x14ac:dyDescent="0.3">
      <c r="A993" s="326"/>
    </row>
    <row r="994" spans="1:1" ht="13" x14ac:dyDescent="0.3">
      <c r="A994" s="326"/>
    </row>
    <row r="995" spans="1:1" ht="13" x14ac:dyDescent="0.3">
      <c r="A995" s="326"/>
    </row>
    <row r="996" spans="1:1" ht="13" x14ac:dyDescent="0.3">
      <c r="A996" s="326"/>
    </row>
    <row r="997" spans="1:1" ht="13" x14ac:dyDescent="0.3">
      <c r="A997" s="326"/>
    </row>
    <row r="998" spans="1:1" ht="13" x14ac:dyDescent="0.3">
      <c r="A998" s="326"/>
    </row>
    <row r="999" spans="1:1" ht="13" x14ac:dyDescent="0.3">
      <c r="A999" s="326"/>
    </row>
    <row r="1000" spans="1:1" ht="13" x14ac:dyDescent="0.3">
      <c r="A1000" s="326"/>
    </row>
    <row r="1001" spans="1:1" x14ac:dyDescent="0.3">
      <c r="A1001" s="320" t="s">
        <v>1336</v>
      </c>
    </row>
    <row r="1002" spans="1:1" ht="13" x14ac:dyDescent="0.3">
      <c r="A1002" s="358" t="s">
        <v>2712</v>
      </c>
    </row>
    <row r="1003" spans="1:1" ht="13" x14ac:dyDescent="0.3">
      <c r="A1003" s="358" t="s">
        <v>2452</v>
      </c>
    </row>
    <row r="1004" spans="1:1" ht="13" x14ac:dyDescent="0.3">
      <c r="A1004" s="358" t="s">
        <v>865</v>
      </c>
    </row>
    <row r="1005" spans="1:1" ht="13" x14ac:dyDescent="0.3">
      <c r="A1005" s="358" t="s">
        <v>3821</v>
      </c>
    </row>
    <row r="1006" spans="1:1" ht="13" x14ac:dyDescent="0.3">
      <c r="A1006" s="358" t="s">
        <v>3822</v>
      </c>
    </row>
    <row r="1007" spans="1:1" ht="13" x14ac:dyDescent="0.3">
      <c r="A1007" s="358" t="s">
        <v>3823</v>
      </c>
    </row>
    <row r="1008" spans="1:1" ht="13" x14ac:dyDescent="0.3">
      <c r="A1008" s="358" t="s">
        <v>3824</v>
      </c>
    </row>
    <row r="1009" spans="1:165" ht="13" x14ac:dyDescent="0.3">
      <c r="A1009" s="358" t="s">
        <v>3825</v>
      </c>
    </row>
    <row r="1010" spans="1:165" ht="13" x14ac:dyDescent="0.3">
      <c r="A1010" s="358" t="s">
        <v>3232</v>
      </c>
    </row>
    <row r="1011" spans="1:165" ht="13" x14ac:dyDescent="0.3">
      <c r="A1011" s="358" t="s">
        <v>3826</v>
      </c>
    </row>
    <row r="1012" spans="1:165" ht="13" x14ac:dyDescent="0.3">
      <c r="A1012" s="358" t="s">
        <v>3827</v>
      </c>
    </row>
    <row r="1013" spans="1:165" ht="13" x14ac:dyDescent="0.3">
      <c r="A1013" s="358" t="s">
        <v>673</v>
      </c>
    </row>
    <row r="1014" spans="1:165" x14ac:dyDescent="0.3">
      <c r="A1014" s="359" t="s">
        <v>2905</v>
      </c>
    </row>
    <row r="1015" spans="1:165" x14ac:dyDescent="0.3">
      <c r="A1015" s="359" t="s">
        <v>2956</v>
      </c>
    </row>
    <row r="1016" spans="1:165" x14ac:dyDescent="0.3">
      <c r="A1016" s="359" t="s">
        <v>1273</v>
      </c>
    </row>
    <row r="1017" spans="1:165" ht="13" x14ac:dyDescent="0.3">
      <c r="A1017" s="326"/>
    </row>
    <row r="1018" spans="1:165" x14ac:dyDescent="0.3">
      <c r="A1018" s="320" t="s">
        <v>3828</v>
      </c>
      <c r="B1018" s="320"/>
      <c r="C1018" s="320"/>
      <c r="D1018" s="320"/>
      <c r="E1018" s="320"/>
      <c r="F1018" s="320"/>
      <c r="G1018" s="320"/>
      <c r="H1018" s="320"/>
      <c r="I1018" s="320"/>
      <c r="J1018" s="320"/>
      <c r="K1018" s="320"/>
      <c r="L1018" s="320"/>
      <c r="M1018" s="320"/>
      <c r="N1018" s="320"/>
      <c r="O1018" s="320"/>
      <c r="P1018" s="320"/>
      <c r="Q1018" s="320"/>
      <c r="R1018" s="320"/>
      <c r="S1018" s="320"/>
      <c r="T1018" s="320"/>
      <c r="U1018" s="320"/>
      <c r="V1018" s="320"/>
      <c r="W1018" s="320"/>
      <c r="X1018" s="320"/>
      <c r="Y1018" s="320"/>
      <c r="Z1018" s="320"/>
      <c r="AA1018" s="320"/>
      <c r="AB1018" s="320"/>
      <c r="AC1018" s="320"/>
      <c r="AD1018" s="320"/>
      <c r="AE1018" s="320"/>
      <c r="AF1018" s="320"/>
      <c r="AG1018" s="320"/>
      <c r="AH1018" s="320"/>
      <c r="AI1018" s="320"/>
      <c r="AJ1018" s="320"/>
      <c r="AK1018" s="320"/>
      <c r="AL1018" s="320"/>
      <c r="AM1018" s="320"/>
      <c r="AN1018" s="320"/>
      <c r="AO1018" s="320"/>
      <c r="AP1018" s="320"/>
      <c r="AQ1018" s="320"/>
      <c r="AR1018" s="320"/>
      <c r="AS1018" s="320"/>
      <c r="AT1018" s="320"/>
      <c r="AU1018" s="320"/>
      <c r="AV1018" s="320"/>
      <c r="AW1018" s="320"/>
      <c r="AX1018" s="320"/>
      <c r="AY1018" s="320"/>
      <c r="AZ1018" s="320"/>
      <c r="BA1018" s="320"/>
      <c r="BB1018" s="320"/>
      <c r="BC1018" s="320"/>
      <c r="BD1018" s="320"/>
      <c r="BE1018" s="320"/>
      <c r="BF1018" s="320"/>
      <c r="BG1018" s="320"/>
      <c r="BH1018" s="320"/>
      <c r="BI1018" s="320"/>
      <c r="BJ1018" s="320"/>
      <c r="BK1018" s="320"/>
      <c r="BL1018" s="320"/>
      <c r="BM1018" s="320"/>
      <c r="BN1018" s="320"/>
      <c r="BO1018" s="320"/>
      <c r="BP1018" s="320"/>
      <c r="BQ1018" s="320"/>
      <c r="BR1018" s="320"/>
      <c r="BS1018" s="320"/>
      <c r="BT1018" s="320"/>
      <c r="BU1018" s="320"/>
      <c r="BV1018" s="320"/>
      <c r="BW1018" s="320"/>
      <c r="BX1018" s="320"/>
      <c r="BY1018" s="320"/>
      <c r="BZ1018" s="320"/>
      <c r="CA1018" s="320"/>
      <c r="CB1018" s="320"/>
      <c r="CC1018" s="320"/>
      <c r="CD1018" s="320"/>
      <c r="CE1018" s="320"/>
      <c r="CF1018" s="320"/>
      <c r="CG1018" s="320"/>
      <c r="CH1018" s="320"/>
      <c r="CI1018" s="320"/>
      <c r="CJ1018" s="320"/>
      <c r="CK1018" s="320"/>
      <c r="CL1018" s="320"/>
      <c r="CM1018" s="320"/>
      <c r="CN1018" s="320"/>
      <c r="CO1018" s="320"/>
      <c r="CP1018" s="320"/>
      <c r="CQ1018" s="320"/>
      <c r="CR1018" s="320"/>
      <c r="CS1018" s="320"/>
      <c r="CT1018" s="320"/>
      <c r="CU1018" s="320"/>
      <c r="CV1018" s="320"/>
      <c r="CW1018" s="320"/>
      <c r="CX1018" s="320"/>
      <c r="CY1018" s="320"/>
      <c r="CZ1018" s="320"/>
      <c r="DA1018" s="320"/>
      <c r="DB1018" s="320"/>
      <c r="DC1018" s="320"/>
      <c r="DD1018" s="320"/>
      <c r="DE1018" s="320"/>
      <c r="DF1018" s="320"/>
      <c r="DG1018" s="320"/>
      <c r="DH1018" s="320"/>
      <c r="DI1018" s="320"/>
      <c r="DJ1018" s="320"/>
      <c r="DK1018" s="320"/>
      <c r="DL1018" s="320"/>
      <c r="DM1018" s="320"/>
      <c r="DN1018" s="320"/>
      <c r="DO1018" s="320"/>
      <c r="DP1018" s="320"/>
      <c r="DQ1018" s="320"/>
      <c r="DR1018" s="320"/>
      <c r="DS1018" s="320"/>
      <c r="DT1018" s="320"/>
      <c r="DU1018" s="320"/>
      <c r="DV1018" s="320"/>
      <c r="DW1018" s="320"/>
      <c r="DX1018" s="320"/>
      <c r="DY1018" s="320"/>
      <c r="DZ1018" s="320"/>
      <c r="EA1018" s="320"/>
      <c r="EB1018" s="320"/>
      <c r="EC1018" s="320"/>
      <c r="ED1018" s="320"/>
      <c r="EE1018" s="320"/>
      <c r="EF1018" s="320"/>
      <c r="EG1018" s="320"/>
      <c r="EH1018" s="320"/>
      <c r="EI1018" s="320"/>
      <c r="EJ1018" s="320"/>
      <c r="EK1018" s="320"/>
      <c r="EL1018" s="320"/>
      <c r="EM1018" s="320"/>
      <c r="EN1018" s="320"/>
      <c r="EO1018" s="320"/>
      <c r="EP1018" s="320"/>
      <c r="EQ1018" s="320"/>
      <c r="ER1018" s="320"/>
      <c r="ES1018" s="320"/>
      <c r="ET1018" s="320"/>
      <c r="EU1018" s="320"/>
      <c r="EV1018" s="320"/>
      <c r="EW1018" s="320"/>
      <c r="EX1018" s="320"/>
      <c r="EY1018" s="320"/>
      <c r="EZ1018" s="320"/>
      <c r="FA1018" s="320"/>
      <c r="FB1018" s="320"/>
      <c r="FC1018" s="320"/>
      <c r="FD1018" s="320"/>
      <c r="FE1018" s="320"/>
      <c r="FF1018" s="320"/>
      <c r="FG1018" s="320"/>
      <c r="FH1018" s="320"/>
      <c r="FI1018" s="320"/>
    </row>
    <row r="1019" spans="1:165" x14ac:dyDescent="0.3">
      <c r="A1019" s="360" t="s">
        <v>3829</v>
      </c>
      <c r="EJ1019" s="1434">
        <v>0</v>
      </c>
      <c r="EK1019" s="1434">
        <v>0</v>
      </c>
      <c r="EL1019" s="1434">
        <v>0</v>
      </c>
      <c r="EM1019" s="1434">
        <v>0</v>
      </c>
      <c r="EN1019" s="1434">
        <v>0</v>
      </c>
      <c r="EO1019" s="1434">
        <v>0</v>
      </c>
      <c r="EP1019" s="1434">
        <v>0</v>
      </c>
      <c r="EQ1019" s="1434">
        <v>0</v>
      </c>
      <c r="ER1019" s="1434">
        <v>0</v>
      </c>
      <c r="ES1019" s="1434">
        <v>0</v>
      </c>
      <c r="ET1019" s="1434">
        <v>0</v>
      </c>
      <c r="EU1019" s="1434">
        <v>0</v>
      </c>
      <c r="EV1019" s="1434">
        <v>0</v>
      </c>
      <c r="EW1019" s="1434">
        <v>0</v>
      </c>
      <c r="EX1019" s="1434">
        <v>0</v>
      </c>
      <c r="EY1019" s="1434">
        <v>0</v>
      </c>
      <c r="EZ1019" s="1434">
        <v>0</v>
      </c>
      <c r="FA1019" s="1434">
        <v>0</v>
      </c>
      <c r="FB1019" s="1434">
        <v>0</v>
      </c>
      <c r="FC1019" s="1434">
        <v>0</v>
      </c>
      <c r="FD1019" s="1434">
        <v>0</v>
      </c>
      <c r="FE1019" s="1434">
        <v>0</v>
      </c>
      <c r="FF1019" s="1434">
        <v>0</v>
      </c>
      <c r="FG1019" s="1434">
        <v>0</v>
      </c>
      <c r="FH1019" s="1434">
        <v>0</v>
      </c>
      <c r="FI1019" s="1434">
        <v>0</v>
      </c>
    </row>
    <row r="1020" spans="1:165" x14ac:dyDescent="0.3">
      <c r="A1020" s="360" t="s">
        <v>3829</v>
      </c>
      <c r="EJ1020" s="327">
        <f t="shared" ref="EJ1020:FI1020" si="8">EJ$110</f>
        <v>244.43299999999999</v>
      </c>
      <c r="EK1020" s="327">
        <f t="shared" si="8"/>
        <v>244.72300000000001</v>
      </c>
      <c r="EL1020" s="327">
        <f t="shared" si="8"/>
        <v>244.98400000000001</v>
      </c>
      <c r="EM1020" s="327">
        <f t="shared" si="8"/>
        <v>245.01</v>
      </c>
      <c r="EN1020" s="327">
        <f t="shared" si="8"/>
        <v>244.85197305884239</v>
      </c>
      <c r="EO1020" s="327">
        <f t="shared" si="8"/>
        <v>245.08099999999999</v>
      </c>
      <c r="EP1020" s="327">
        <f t="shared" si="8"/>
        <v>245.47399999999999</v>
      </c>
      <c r="EQ1020" s="327">
        <f t="shared" si="8"/>
        <v>245.761</v>
      </c>
      <c r="ER1020" s="327">
        <f t="shared" si="8"/>
        <v>245.79900000000001</v>
      </c>
      <c r="ES1020" s="327">
        <f t="shared" si="8"/>
        <v>245.73255195069063</v>
      </c>
      <c r="ET1020" s="327">
        <f t="shared" si="8"/>
        <v>246.30099999999999</v>
      </c>
      <c r="EU1020" s="327">
        <f t="shared" si="8"/>
        <v>248.75399999999999</v>
      </c>
      <c r="EV1020" s="327">
        <f t="shared" si="8"/>
        <v>248.98599999999999</v>
      </c>
      <c r="EW1020" s="327">
        <f t="shared" si="8"/>
        <v>248.185</v>
      </c>
      <c r="EX1020" s="327">
        <f t="shared" si="8"/>
        <v>248.61180732473289</v>
      </c>
      <c r="EY1020" s="327">
        <f t="shared" si="8"/>
        <v>245.02099999999999</v>
      </c>
      <c r="EZ1020" s="327">
        <f t="shared" si="8"/>
        <v>245.02099999999999</v>
      </c>
      <c r="FA1020" s="327">
        <f t="shared" si="8"/>
        <v>245.02099999999999</v>
      </c>
      <c r="FB1020" s="327">
        <f t="shared" si="8"/>
        <v>245.02099999999999</v>
      </c>
      <c r="FC1020" s="327">
        <f t="shared" si="8"/>
        <v>245.02099999999999</v>
      </c>
      <c r="FD1020" s="327">
        <f t="shared" si="8"/>
        <v>245.02099999999999</v>
      </c>
      <c r="FE1020" s="327">
        <f t="shared" si="8"/>
        <v>245.02099999999999</v>
      </c>
      <c r="FF1020" s="327">
        <f t="shared" si="8"/>
        <v>245.02099999999999</v>
      </c>
      <c r="FG1020" s="327">
        <f t="shared" si="8"/>
        <v>245.02099999999999</v>
      </c>
      <c r="FH1020" s="327">
        <f t="shared" si="8"/>
        <v>235.11806317073439</v>
      </c>
      <c r="FI1020" s="327">
        <f t="shared" si="8"/>
        <v>202.70755526989461</v>
      </c>
    </row>
    <row r="1021" spans="1:165" x14ac:dyDescent="0.3">
      <c r="A1021" s="360" t="s">
        <v>866</v>
      </c>
      <c r="EJ1021" s="327">
        <f t="shared" ref="EJ1021:FI1021" si="9">EJ$117</f>
        <v>5783.0000000000009</v>
      </c>
      <c r="EK1021" s="327">
        <f t="shared" si="9"/>
        <v>6167</v>
      </c>
      <c r="EL1021" s="327">
        <f t="shared" si="9"/>
        <v>6580</v>
      </c>
      <c r="EM1021" s="327">
        <f t="shared" si="9"/>
        <v>7053</v>
      </c>
      <c r="EN1021" s="327">
        <f t="shared" si="9"/>
        <v>7053</v>
      </c>
      <c r="EO1021" s="327">
        <f t="shared" si="9"/>
        <v>7822</v>
      </c>
      <c r="EP1021" s="327">
        <f t="shared" si="9"/>
        <v>8607</v>
      </c>
      <c r="EQ1021" s="327">
        <f t="shared" si="9"/>
        <v>9050</v>
      </c>
      <c r="ER1021" s="327">
        <f t="shared" si="9"/>
        <v>9061</v>
      </c>
      <c r="ES1021" s="327">
        <f t="shared" si="9"/>
        <v>9061</v>
      </c>
      <c r="ET1021" s="327">
        <f t="shared" si="9"/>
        <v>9734</v>
      </c>
      <c r="EU1021" s="327">
        <f t="shared" si="9"/>
        <v>10052</v>
      </c>
      <c r="EV1021" s="327">
        <f t="shared" si="9"/>
        <v>10246</v>
      </c>
      <c r="EW1021" s="327">
        <f t="shared" si="9"/>
        <v>10811</v>
      </c>
      <c r="EX1021" s="327">
        <f t="shared" si="9"/>
        <v>10811</v>
      </c>
      <c r="EY1021" s="327">
        <f t="shared" si="9"/>
        <v>11252.988499550282</v>
      </c>
      <c r="EZ1021" s="327">
        <f t="shared" si="9"/>
        <v>11790.872454847284</v>
      </c>
      <c r="FA1021" s="327">
        <f t="shared" si="9"/>
        <v>12215.090653819427</v>
      </c>
      <c r="FB1021" s="327">
        <f t="shared" si="9"/>
        <v>12678.206734041809</v>
      </c>
      <c r="FC1021" s="327">
        <f t="shared" si="9"/>
        <v>12678.206734041809</v>
      </c>
      <c r="FD1021" s="327">
        <f t="shared" si="9"/>
        <v>14286.955249149083</v>
      </c>
      <c r="FE1021" s="327">
        <f t="shared" si="9"/>
        <v>14518.571773529582</v>
      </c>
      <c r="FF1021" s="327">
        <f t="shared" si="9"/>
        <v>14157.400706661409</v>
      </c>
      <c r="FG1021" s="327">
        <f t="shared" si="9"/>
        <v>13594.7525473368</v>
      </c>
      <c r="FH1021" s="327">
        <f t="shared" si="9"/>
        <v>13224.761168066691</v>
      </c>
      <c r="FI1021" s="327">
        <f t="shared" si="9"/>
        <v>14006.8764105428</v>
      </c>
    </row>
    <row r="1022" spans="1:165" x14ac:dyDescent="0.3">
      <c r="A1022" s="360" t="s">
        <v>3830</v>
      </c>
      <c r="EJ1022" s="1434">
        <v>0</v>
      </c>
      <c r="EK1022" s="1434">
        <v>0</v>
      </c>
      <c r="EL1022" s="1434">
        <v>0</v>
      </c>
      <c r="EM1022" s="1434">
        <v>0</v>
      </c>
      <c r="EN1022" s="1434">
        <v>0</v>
      </c>
      <c r="EO1022" s="1434">
        <v>0</v>
      </c>
      <c r="EP1022" s="1434">
        <v>0</v>
      </c>
      <c r="EQ1022" s="1434">
        <v>0</v>
      </c>
      <c r="ER1022" s="1434">
        <v>0</v>
      </c>
      <c r="ES1022" s="1434">
        <v>0</v>
      </c>
      <c r="ET1022" s="1434">
        <v>0</v>
      </c>
      <c r="EU1022" s="1434">
        <v>0</v>
      </c>
      <c r="EV1022" s="1434">
        <v>0</v>
      </c>
      <c r="EW1022" s="1434">
        <v>0</v>
      </c>
      <c r="EX1022" s="1434">
        <v>0</v>
      </c>
      <c r="EY1022" s="1434">
        <v>0</v>
      </c>
      <c r="EZ1022" s="1434">
        <v>0</v>
      </c>
      <c r="FA1022" s="1434">
        <v>0</v>
      </c>
      <c r="FB1022" s="1434">
        <v>0</v>
      </c>
      <c r="FC1022" s="1434">
        <v>0</v>
      </c>
      <c r="FD1022" s="1434">
        <v>0</v>
      </c>
      <c r="FE1022" s="1434">
        <v>0</v>
      </c>
      <c r="FF1022" s="1434">
        <v>0</v>
      </c>
      <c r="FG1022" s="1434">
        <v>0</v>
      </c>
      <c r="FH1022" s="1434">
        <v>0</v>
      </c>
      <c r="FI1022" s="1434">
        <v>0</v>
      </c>
    </row>
    <row r="1023" spans="1:165" x14ac:dyDescent="0.3">
      <c r="A1023" s="360" t="s">
        <v>3831</v>
      </c>
      <c r="EJ1023" s="1434">
        <v>0</v>
      </c>
      <c r="EK1023" s="1434">
        <v>0</v>
      </c>
      <c r="EL1023" s="1434">
        <v>0</v>
      </c>
      <c r="EM1023" s="1434">
        <v>0</v>
      </c>
      <c r="EN1023" s="1434">
        <v>0</v>
      </c>
      <c r="EO1023" s="1434">
        <v>0</v>
      </c>
      <c r="EP1023" s="1434">
        <v>0</v>
      </c>
      <c r="EQ1023" s="1434">
        <v>0</v>
      </c>
      <c r="ER1023" s="1434">
        <v>0</v>
      </c>
      <c r="ES1023" s="1434">
        <v>0</v>
      </c>
      <c r="ET1023" s="1434">
        <v>0</v>
      </c>
      <c r="EU1023" s="1434">
        <v>0</v>
      </c>
      <c r="EV1023" s="1434">
        <v>0</v>
      </c>
      <c r="EW1023" s="1434">
        <v>0</v>
      </c>
      <c r="EX1023" s="1434">
        <v>0</v>
      </c>
      <c r="EY1023" s="1434">
        <v>0</v>
      </c>
      <c r="EZ1023" s="1434">
        <v>0</v>
      </c>
      <c r="FA1023" s="1434">
        <v>0</v>
      </c>
      <c r="FB1023" s="1434">
        <v>0</v>
      </c>
      <c r="FC1023" s="1434">
        <v>0</v>
      </c>
      <c r="FD1023" s="1434">
        <v>0</v>
      </c>
      <c r="FE1023" s="1434">
        <v>0</v>
      </c>
      <c r="FF1023" s="1434">
        <v>0</v>
      </c>
      <c r="FG1023" s="1434">
        <v>0</v>
      </c>
      <c r="FH1023" s="1434">
        <v>0</v>
      </c>
      <c r="FI1023" s="1434">
        <v>0</v>
      </c>
    </row>
    <row r="1024" spans="1:165" x14ac:dyDescent="0.3">
      <c r="A1024" s="360" t="s">
        <v>3832</v>
      </c>
      <c r="EJ1024" s="1434">
        <v>0</v>
      </c>
      <c r="EK1024" s="1434">
        <v>0</v>
      </c>
      <c r="EL1024" s="1434">
        <v>0</v>
      </c>
      <c r="EM1024" s="1434">
        <v>0</v>
      </c>
      <c r="EN1024" s="1434">
        <v>0</v>
      </c>
      <c r="EO1024" s="1434">
        <v>0</v>
      </c>
      <c r="EP1024" s="1434">
        <v>0</v>
      </c>
      <c r="EQ1024" s="1434">
        <v>0</v>
      </c>
      <c r="ER1024" s="1434">
        <v>0</v>
      </c>
      <c r="ES1024" s="1434">
        <v>0</v>
      </c>
      <c r="ET1024" s="1434">
        <v>0</v>
      </c>
      <c r="EU1024" s="1434">
        <v>0</v>
      </c>
      <c r="EV1024" s="1434">
        <v>0</v>
      </c>
      <c r="EW1024" s="1434">
        <v>0</v>
      </c>
      <c r="EX1024" s="1434">
        <v>0</v>
      </c>
      <c r="EY1024" s="1434">
        <v>0</v>
      </c>
      <c r="EZ1024" s="1434">
        <v>0</v>
      </c>
      <c r="FA1024" s="1434">
        <v>0</v>
      </c>
      <c r="FB1024" s="1434">
        <v>0</v>
      </c>
      <c r="FC1024" s="1434">
        <v>0</v>
      </c>
      <c r="FD1024" s="1434">
        <v>0</v>
      </c>
      <c r="FE1024" s="1434">
        <v>0</v>
      </c>
      <c r="FF1024" s="1434">
        <v>0</v>
      </c>
      <c r="FG1024" s="1434">
        <v>0</v>
      </c>
      <c r="FH1024" s="1434">
        <v>0</v>
      </c>
      <c r="FI1024" s="1434">
        <v>0</v>
      </c>
    </row>
    <row r="1025" spans="1:165" x14ac:dyDescent="0.3">
      <c r="A1025" s="360" t="s">
        <v>3833</v>
      </c>
      <c r="EJ1025" s="1434">
        <v>0</v>
      </c>
      <c r="EK1025" s="1434">
        <v>0</v>
      </c>
      <c r="EL1025" s="1434">
        <v>0</v>
      </c>
      <c r="EM1025" s="1434">
        <v>0</v>
      </c>
      <c r="EN1025" s="1434">
        <v>0</v>
      </c>
      <c r="EO1025" s="1434">
        <v>0</v>
      </c>
      <c r="EP1025" s="1434">
        <v>0</v>
      </c>
      <c r="EQ1025" s="1434">
        <v>0</v>
      </c>
      <c r="ER1025" s="1434">
        <v>0</v>
      </c>
      <c r="ES1025" s="1434">
        <v>0</v>
      </c>
      <c r="ET1025" s="1434">
        <v>0</v>
      </c>
      <c r="EU1025" s="1434">
        <v>0</v>
      </c>
      <c r="EV1025" s="1434">
        <v>0</v>
      </c>
      <c r="EW1025" s="1434">
        <v>0</v>
      </c>
      <c r="EX1025" s="1434">
        <v>0</v>
      </c>
      <c r="EY1025" s="1434">
        <v>0</v>
      </c>
      <c r="EZ1025" s="1434">
        <v>0</v>
      </c>
      <c r="FA1025" s="1434">
        <v>0</v>
      </c>
      <c r="FB1025" s="1434">
        <v>0</v>
      </c>
      <c r="FC1025" s="1434">
        <v>0</v>
      </c>
      <c r="FD1025" s="1434">
        <v>0</v>
      </c>
      <c r="FE1025" s="1434">
        <v>0</v>
      </c>
      <c r="FF1025" s="1434">
        <v>0</v>
      </c>
      <c r="FG1025" s="1434">
        <v>0</v>
      </c>
      <c r="FH1025" s="1434">
        <v>0</v>
      </c>
      <c r="FI1025" s="1434">
        <v>0</v>
      </c>
    </row>
    <row r="1026" spans="1:165" x14ac:dyDescent="0.3">
      <c r="A1026" s="347" t="s">
        <v>284</v>
      </c>
      <c r="EJ1026" s="327">
        <f t="shared" ref="EJ1026:FI1026" si="10">EJ$102</f>
        <v>1447</v>
      </c>
      <c r="EK1026" s="327">
        <f t="shared" si="10"/>
        <v>1459</v>
      </c>
      <c r="EL1026" s="327">
        <f t="shared" si="10"/>
        <v>1444</v>
      </c>
      <c r="EM1026" s="327">
        <f t="shared" si="10"/>
        <v>1437</v>
      </c>
      <c r="EN1026" s="327">
        <f t="shared" si="10"/>
        <v>5787</v>
      </c>
      <c r="EO1026" s="327">
        <f t="shared" si="10"/>
        <v>1440</v>
      </c>
      <c r="EP1026" s="327">
        <f t="shared" si="10"/>
        <v>1449</v>
      </c>
      <c r="EQ1026" s="327">
        <f t="shared" si="10"/>
        <v>1436</v>
      </c>
      <c r="ER1026" s="327">
        <f t="shared" si="10"/>
        <v>1426</v>
      </c>
      <c r="ES1026" s="327">
        <f t="shared" si="10"/>
        <v>5751</v>
      </c>
      <c r="ET1026" s="327">
        <f t="shared" si="10"/>
        <v>1462</v>
      </c>
      <c r="EU1026" s="327">
        <f t="shared" si="10"/>
        <v>1480</v>
      </c>
      <c r="EV1026" s="327">
        <f t="shared" si="10"/>
        <v>1489</v>
      </c>
      <c r="EW1026" s="327">
        <f t="shared" si="10"/>
        <v>1506</v>
      </c>
      <c r="EX1026" s="327">
        <f t="shared" si="10"/>
        <v>5937</v>
      </c>
      <c r="EY1026" s="327">
        <f t="shared" si="10"/>
        <v>1470.6233506483941</v>
      </c>
      <c r="EZ1026" s="327">
        <f t="shared" si="10"/>
        <v>1497.5346474103735</v>
      </c>
      <c r="FA1026" s="327">
        <f t="shared" si="10"/>
        <v>1513.8309759204517</v>
      </c>
      <c r="FB1026" s="327">
        <f t="shared" si="10"/>
        <v>1538.834405145712</v>
      </c>
      <c r="FC1026" s="327">
        <f t="shared" si="10"/>
        <v>6020.8233791249313</v>
      </c>
      <c r="FD1026" s="327">
        <f t="shared" si="10"/>
        <v>6226.1974527353104</v>
      </c>
      <c r="FE1026" s="327">
        <f t="shared" si="10"/>
        <v>6504.264954012373</v>
      </c>
      <c r="FF1026" s="327">
        <f t="shared" si="10"/>
        <v>6801.1959800304503</v>
      </c>
      <c r="FG1026" s="327">
        <f t="shared" si="10"/>
        <v>7077.139317382118</v>
      </c>
      <c r="FH1026" s="327">
        <f t="shared" si="10"/>
        <v>7331.6741550276438</v>
      </c>
      <c r="FI1026" s="327">
        <f t="shared" si="10"/>
        <v>7559.8689514336202</v>
      </c>
    </row>
    <row r="1027" spans="1:165" x14ac:dyDescent="0.3">
      <c r="A1027" s="347" t="s">
        <v>44</v>
      </c>
      <c r="EJ1027" s="327">
        <f t="shared" ref="EJ1027:FI1027" si="11">EJ$103</f>
        <v>509</v>
      </c>
      <c r="EK1027" s="327">
        <f t="shared" si="11"/>
        <v>535</v>
      </c>
      <c r="EL1027" s="327">
        <f t="shared" si="11"/>
        <v>508</v>
      </c>
      <c r="EM1027" s="327">
        <f t="shared" si="11"/>
        <v>528</v>
      </c>
      <c r="EN1027" s="327">
        <f t="shared" si="11"/>
        <v>2080</v>
      </c>
      <c r="EO1027" s="327">
        <f t="shared" si="11"/>
        <v>519</v>
      </c>
      <c r="EP1027" s="327">
        <f t="shared" si="11"/>
        <v>533</v>
      </c>
      <c r="EQ1027" s="327">
        <f t="shared" si="11"/>
        <v>526</v>
      </c>
      <c r="ER1027" s="327">
        <f t="shared" si="11"/>
        <v>549</v>
      </c>
      <c r="ES1027" s="327">
        <f t="shared" si="11"/>
        <v>2127</v>
      </c>
      <c r="ET1027" s="327">
        <f t="shared" si="11"/>
        <v>547</v>
      </c>
      <c r="EU1027" s="327">
        <f t="shared" si="11"/>
        <v>560</v>
      </c>
      <c r="EV1027" s="327">
        <f t="shared" si="11"/>
        <v>549</v>
      </c>
      <c r="EW1027" s="327">
        <f t="shared" si="11"/>
        <v>595</v>
      </c>
      <c r="EX1027" s="327">
        <f t="shared" si="11"/>
        <v>2251</v>
      </c>
      <c r="EY1027" s="327">
        <f t="shared" si="11"/>
        <v>557.00673078298382</v>
      </c>
      <c r="EZ1027" s="327">
        <f t="shared" si="11"/>
        <v>593.66919939607885</v>
      </c>
      <c r="FA1027" s="327">
        <f t="shared" si="11"/>
        <v>600.75639092527183</v>
      </c>
      <c r="FB1027" s="327">
        <f t="shared" si="11"/>
        <v>665.02227580736007</v>
      </c>
      <c r="FC1027" s="327">
        <f t="shared" si="11"/>
        <v>2416.4545969116944</v>
      </c>
      <c r="FD1027" s="327">
        <f t="shared" si="11"/>
        <v>2677.0130389762598</v>
      </c>
      <c r="FE1027" s="327">
        <f t="shared" si="11"/>
        <v>2993.8763244864958</v>
      </c>
      <c r="FF1027" s="327">
        <f t="shared" si="11"/>
        <v>3272.0038286472327</v>
      </c>
      <c r="FG1027" s="327">
        <f t="shared" si="11"/>
        <v>3533.6794470944578</v>
      </c>
      <c r="FH1027" s="327">
        <f t="shared" si="11"/>
        <v>3778.5031908761971</v>
      </c>
      <c r="FI1027" s="327">
        <f t="shared" si="11"/>
        <v>4001.9646887265144</v>
      </c>
    </row>
    <row r="1028" spans="1:165" x14ac:dyDescent="0.3">
      <c r="A1028" s="347" t="s">
        <v>3834</v>
      </c>
      <c r="EJ1028" s="327">
        <f>EJ$1027-EJ$112</f>
        <v>62</v>
      </c>
      <c r="EK1028" s="327">
        <f t="shared" ref="EK1028:FI1028" si="12">EK$1027-EK$112</f>
        <v>-106</v>
      </c>
      <c r="EL1028" s="327">
        <f t="shared" si="12"/>
        <v>-264</v>
      </c>
      <c r="EM1028" s="327">
        <f t="shared" si="12"/>
        <v>-350</v>
      </c>
      <c r="EN1028" s="327">
        <f t="shared" si="12"/>
        <v>-658</v>
      </c>
      <c r="EO1028" s="327">
        <f t="shared" si="12"/>
        <v>-635</v>
      </c>
      <c r="EP1028" s="327">
        <f t="shared" si="12"/>
        <v>-524</v>
      </c>
      <c r="EQ1028" s="327">
        <f t="shared" si="12"/>
        <v>-145</v>
      </c>
      <c r="ER1028" s="327">
        <f t="shared" si="12"/>
        <v>216</v>
      </c>
      <c r="ES1028" s="327">
        <f t="shared" si="12"/>
        <v>-1084</v>
      </c>
      <c r="ET1028" s="327">
        <f t="shared" si="12"/>
        <v>-482</v>
      </c>
      <c r="EU1028" s="327">
        <f t="shared" si="12"/>
        <v>-118</v>
      </c>
      <c r="EV1028" s="327">
        <f t="shared" si="12"/>
        <v>-150</v>
      </c>
      <c r="EW1028" s="327">
        <f t="shared" si="12"/>
        <v>-245</v>
      </c>
      <c r="EX1028" s="327">
        <f t="shared" si="12"/>
        <v>-995</v>
      </c>
      <c r="EY1028" s="327">
        <f t="shared" si="12"/>
        <v>-232.94550488203481</v>
      </c>
      <c r="EZ1028" s="327">
        <f t="shared" si="12"/>
        <v>-202.44045948360508</v>
      </c>
      <c r="FA1028" s="327">
        <f t="shared" si="12"/>
        <v>-214.67405834714293</v>
      </c>
      <c r="FB1028" s="327">
        <f t="shared" si="12"/>
        <v>-127.93333252652906</v>
      </c>
      <c r="FC1028" s="327">
        <f t="shared" si="12"/>
        <v>-777.99335523931222</v>
      </c>
      <c r="FD1028" s="327">
        <f t="shared" si="12"/>
        <v>-405.45538129117267</v>
      </c>
      <c r="FE1028" s="327">
        <f t="shared" si="12"/>
        <v>1042.8547393896306</v>
      </c>
      <c r="FF1028" s="327">
        <f t="shared" si="12"/>
        <v>1660.9029232813377</v>
      </c>
      <c r="FG1028" s="327">
        <f t="shared" si="12"/>
        <v>1862.61381808021</v>
      </c>
      <c r="FH1028" s="327">
        <f t="shared" si="12"/>
        <v>2131.6278413148557</v>
      </c>
      <c r="FI1028" s="327">
        <f t="shared" si="12"/>
        <v>2377.6689446232263</v>
      </c>
    </row>
    <row r="1029" spans="1:165" x14ac:dyDescent="0.3">
      <c r="A1029" s="347" t="s">
        <v>199</v>
      </c>
      <c r="EJ1029" s="76">
        <f>EJ122</f>
        <v>81</v>
      </c>
      <c r="EK1029" s="76">
        <f t="shared" ref="EK1029:FE1029" si="13">EK122</f>
        <v>-412</v>
      </c>
      <c r="EL1029" s="76">
        <f t="shared" si="13"/>
        <v>-488</v>
      </c>
      <c r="EM1029" s="76">
        <f t="shared" si="13"/>
        <v>-518</v>
      </c>
      <c r="EN1029" s="76">
        <f t="shared" si="13"/>
        <v>-1337</v>
      </c>
      <c r="EO1029" s="76">
        <f t="shared" si="13"/>
        <v>-765</v>
      </c>
      <c r="EP1029" s="76">
        <f t="shared" si="13"/>
        <v>-781</v>
      </c>
      <c r="EQ1029" s="76">
        <f t="shared" si="13"/>
        <v>-288</v>
      </c>
      <c r="ER1029" s="76">
        <f t="shared" si="13"/>
        <v>-33</v>
      </c>
      <c r="ES1029" s="76">
        <f t="shared" si="13"/>
        <v>-1867</v>
      </c>
      <c r="ET1029" s="76">
        <f t="shared" si="13"/>
        <v>-720</v>
      </c>
      <c r="EU1029" s="76">
        <f t="shared" si="13"/>
        <v>-304</v>
      </c>
      <c r="EV1029" s="76">
        <f t="shared" si="13"/>
        <v>-81</v>
      </c>
      <c r="EW1029" s="76">
        <f t="shared" si="13"/>
        <v>-546</v>
      </c>
      <c r="EX1029" s="76">
        <f t="shared" si="13"/>
        <v>-1651</v>
      </c>
      <c r="EY1029" s="76">
        <f t="shared" ref="EY1029:FB1029" si="14">EY122</f>
        <v>-434.98849955028129</v>
      </c>
      <c r="EZ1029" s="76">
        <f t="shared" si="14"/>
        <v>-531.88395529700222</v>
      </c>
      <c r="FA1029" s="76">
        <f t="shared" si="14"/>
        <v>-416.21819897214294</v>
      </c>
      <c r="FB1029" s="76">
        <f t="shared" si="14"/>
        <v>-455.11608022238164</v>
      </c>
      <c r="FC1029" s="76">
        <f t="shared" si="13"/>
        <v>-1838.2067340418082</v>
      </c>
      <c r="FD1029" s="76">
        <f t="shared" si="13"/>
        <v>-1579.7485151072758</v>
      </c>
      <c r="FE1029" s="76">
        <f t="shared" si="13"/>
        <v>-202.61652438049714</v>
      </c>
      <c r="FF1029" s="76">
        <f t="shared" ref="FF1029:FI1029" si="15">FF122</f>
        <v>390.17106686817488</v>
      </c>
      <c r="FG1029" s="76">
        <f t="shared" si="15"/>
        <v>591.64815932460897</v>
      </c>
      <c r="FH1029" s="76">
        <f t="shared" si="15"/>
        <v>895.51751512356009</v>
      </c>
      <c r="FI1029" s="76">
        <f t="shared" si="15"/>
        <v>1132.3785514169017</v>
      </c>
    </row>
    <row r="1030" spans="1:165" x14ac:dyDescent="0.3">
      <c r="A1030" s="347" t="s">
        <v>3835</v>
      </c>
      <c r="EJ1030" s="76">
        <f>EJ1021+'Model Main'!EJ190</f>
        <v>10461</v>
      </c>
      <c r="EK1030" s="76">
        <f>EK1021+'Model Main'!EK190</f>
        <v>10963</v>
      </c>
      <c r="EL1030" s="76">
        <f>EL1021+'Model Main'!EL190</f>
        <v>11513</v>
      </c>
      <c r="EM1030" s="76">
        <f>EM1021+'Model Main'!EM190</f>
        <v>12187</v>
      </c>
      <c r="EN1030" s="76">
        <f>EN1021+'Model Main'!EN190</f>
        <v>12187</v>
      </c>
      <c r="EO1030" s="76">
        <f>EO1021+'Model Main'!EO190</f>
        <v>12985</v>
      </c>
      <c r="EP1030" s="76">
        <f>EP1021+'Model Main'!EP190</f>
        <v>13799</v>
      </c>
      <c r="EQ1030" s="76">
        <f>EQ1021+'Model Main'!EQ190</f>
        <v>14290</v>
      </c>
      <c r="ER1030" s="76">
        <f>ER1021+'Model Main'!ER190</f>
        <v>14340</v>
      </c>
      <c r="ES1030" s="76">
        <f>ES1021+'Model Main'!ES190</f>
        <v>14340</v>
      </c>
      <c r="ET1030" s="76">
        <f>ET1021+'Model Main'!ET190</f>
        <v>14993</v>
      </c>
      <c r="EU1030" s="76">
        <f>EU1021+'Model Main'!EU190</f>
        <v>15189</v>
      </c>
      <c r="EV1030" s="76">
        <f>EV1021+'Model Main'!EV190</f>
        <v>15312</v>
      </c>
      <c r="EW1030" s="76">
        <f>EW1021+'Model Main'!EW190</f>
        <v>15752</v>
      </c>
      <c r="EX1030" s="76">
        <f>EX1021+'Model Main'!EX190</f>
        <v>15752</v>
      </c>
      <c r="EY1030" s="76">
        <f>EY1021+'Model Main'!EY190</f>
        <v>16050.691509982325</v>
      </c>
      <c r="EZ1030" s="76">
        <f>EZ1021+'Model Main'!EZ190</f>
        <v>16344.348439195061</v>
      </c>
      <c r="FA1030" s="76">
        <f>FA1021+'Model Main'!FA190</f>
        <v>16640.63746597882</v>
      </c>
      <c r="FB1030" s="76">
        <f>FB1021+'Model Main'!FB190</f>
        <v>16916.425989607247</v>
      </c>
      <c r="FC1030" s="76">
        <f>FC1021+'Model Main'!FC190</f>
        <v>16916.425989607247</v>
      </c>
      <c r="FD1030" s="76">
        <f>FD1021+'Model Main'!FD190</f>
        <v>18010.68142020722</v>
      </c>
      <c r="FE1030" s="76">
        <f>FE1021+'Model Main'!FE190</f>
        <v>18114.541591336361</v>
      </c>
      <c r="FF1030" s="76">
        <f>FF1021+'Model Main'!FF190</f>
        <v>18010.324838965404</v>
      </c>
      <c r="FG1030" s="76">
        <f>FG1021+'Model Main'!FG190</f>
        <v>18074.133797239007</v>
      </c>
      <c r="FH1030" s="76">
        <f>FH1021+'Model Main'!FH190</f>
        <v>17948.470949303512</v>
      </c>
      <c r="FI1030" s="76">
        <f>FI1021+'Model Main'!FI190</f>
        <v>18150.719351075059</v>
      </c>
    </row>
    <row r="1031" spans="1:165" x14ac:dyDescent="0.3">
      <c r="A1031" s="347" t="s">
        <v>3836</v>
      </c>
      <c r="EJ1031" s="76">
        <f>'Model Main'!EJ178</f>
        <v>9575</v>
      </c>
      <c r="EK1031" s="76">
        <f>'Model Main'!EK178</f>
        <v>10108</v>
      </c>
      <c r="EL1031" s="76">
        <f>'Model Main'!EL178</f>
        <v>10847</v>
      </c>
      <c r="EM1031" s="76">
        <f>'Model Main'!EM178</f>
        <v>11850</v>
      </c>
      <c r="EN1031" s="76">
        <f>'Model Main'!EN178</f>
        <v>11850</v>
      </c>
      <c r="EO1031" s="76">
        <f>'Model Main'!EO178</f>
        <v>12748</v>
      </c>
      <c r="EP1031" s="76">
        <f>'Model Main'!EP178</f>
        <v>13353</v>
      </c>
      <c r="EQ1031" s="76">
        <f>'Model Main'!EQ178</f>
        <v>13621</v>
      </c>
      <c r="ER1031" s="76">
        <f>'Model Main'!ER178</f>
        <v>13933</v>
      </c>
      <c r="ES1031" s="76">
        <f>'Model Main'!ES178</f>
        <v>13933</v>
      </c>
      <c r="ET1031" s="76">
        <f>'Model Main'!ET178</f>
        <v>14296</v>
      </c>
      <c r="EU1031" s="76">
        <f>'Model Main'!EU178</f>
        <v>14703</v>
      </c>
      <c r="EV1031" s="76">
        <f>'Model Main'!EV178</f>
        <v>15226</v>
      </c>
      <c r="EW1031" s="76">
        <f>'Model Main'!EW178</f>
        <v>15678</v>
      </c>
      <c r="EX1031" s="76">
        <f>'Model Main'!EX178</f>
        <v>15678</v>
      </c>
      <c r="EY1031" s="76">
        <f>'Model Main'!EY178</f>
        <v>16021.16000149781</v>
      </c>
      <c r="EZ1031" s="76">
        <f>'Model Main'!EZ178</f>
        <v>16354.607766549407</v>
      </c>
      <c r="FA1031" s="76">
        <f>'Model Main'!FA178</f>
        <v>16691.83861735418</v>
      </c>
      <c r="FB1031" s="76">
        <f>'Model Main'!FB178</f>
        <v>16995.521082600935</v>
      </c>
      <c r="FC1031" s="76">
        <f>'Model Main'!FC178</f>
        <v>16995.521082600935</v>
      </c>
      <c r="FD1031" s="76">
        <f>'Model Main'!FD178</f>
        <v>18192.232169097217</v>
      </c>
      <c r="FE1031" s="76">
        <f>'Model Main'!FE178</f>
        <v>18308.509784006648</v>
      </c>
      <c r="FF1031" s="76">
        <f>'Model Main'!FF178</f>
        <v>18139.579356859773</v>
      </c>
      <c r="FG1031" s="76">
        <f>'Model Main'!FG178</f>
        <v>18064.772330564636</v>
      </c>
      <c r="FH1031" s="76">
        <f>'Model Main'!FH178</f>
        <v>17990.674755391399</v>
      </c>
      <c r="FI1031" s="76">
        <f>'Model Main'!FI178</f>
        <v>17918.665292823236</v>
      </c>
    </row>
    <row r="1032" spans="1:165" x14ac:dyDescent="0.3">
      <c r="A1032" s="347" t="s">
        <v>3837</v>
      </c>
      <c r="EJ1032" s="76">
        <f>EJ1033+EJ104-EJ112</f>
        <v>-98</v>
      </c>
      <c r="EK1032" s="76">
        <f t="shared" ref="EK1032:FE1032" si="16">EK1033+EK104-EK112</f>
        <v>-250</v>
      </c>
      <c r="EL1032" s="76">
        <f t="shared" si="16"/>
        <v>-356</v>
      </c>
      <c r="EM1032" s="76">
        <f t="shared" si="16"/>
        <v>-411</v>
      </c>
      <c r="EN1032" s="76">
        <f t="shared" si="16"/>
        <v>-1115</v>
      </c>
      <c r="EO1032" s="76">
        <f t="shared" si="16"/>
        <v>-821</v>
      </c>
      <c r="EP1032" s="76">
        <f t="shared" si="16"/>
        <v>-705</v>
      </c>
      <c r="EQ1032" s="76">
        <f t="shared" si="16"/>
        <v>-304</v>
      </c>
      <c r="ER1032" s="76">
        <f t="shared" si="16"/>
        <v>59</v>
      </c>
      <c r="ES1032" s="76">
        <f t="shared" si="16"/>
        <v>-1767</v>
      </c>
      <c r="ET1032" s="76">
        <f t="shared" si="16"/>
        <v>-640</v>
      </c>
      <c r="EU1032" s="76">
        <f t="shared" si="16"/>
        <v>-403</v>
      </c>
      <c r="EV1032" s="76">
        <f t="shared" si="16"/>
        <v>-371</v>
      </c>
      <c r="EW1032" s="76">
        <f t="shared" si="16"/>
        <v>-529</v>
      </c>
      <c r="EX1032" s="76">
        <f t="shared" si="16"/>
        <v>-1943</v>
      </c>
      <c r="EY1032" s="76">
        <f t="shared" ref="EY1032:FB1032" si="17">EY1033+EY104-EY112</f>
        <v>-443.19047604427249</v>
      </c>
      <c r="EZ1032" s="76">
        <f t="shared" si="17"/>
        <v>-419.44527256818714</v>
      </c>
      <c r="FA1032" s="76">
        <f t="shared" si="17"/>
        <v>-426.68132286780065</v>
      </c>
      <c r="FB1032" s="76">
        <f t="shared" si="17"/>
        <v>-353.98929010174686</v>
      </c>
      <c r="FC1032" s="76">
        <f t="shared" si="16"/>
        <v>-1643.3063615820072</v>
      </c>
      <c r="FD1032" s="76">
        <f t="shared" si="16"/>
        <v>-1407.3280541851971</v>
      </c>
      <c r="FE1032" s="76">
        <f t="shared" si="16"/>
        <v>-93.529946250295779</v>
      </c>
      <c r="FF1032" s="76">
        <f t="shared" ref="FF1032" si="18">FF1033+FF104-FF112</f>
        <v>423.07145147461165</v>
      </c>
      <c r="FG1032" s="76">
        <f t="shared" ref="FG1032" si="19">FG1033+FG104-FG112</f>
        <v>550.65498000135449</v>
      </c>
      <c r="FH1032" s="76">
        <f t="shared" ref="FH1032" si="20">FH1033+FH104-FH112</f>
        <v>777.40175688647037</v>
      </c>
      <c r="FI1032" s="76">
        <f t="shared" ref="FI1032" si="21">FI1033+FI104-FI112</f>
        <v>954.78305558729198</v>
      </c>
    </row>
    <row r="1033" spans="1:165" x14ac:dyDescent="0.3">
      <c r="A1033" s="347" t="s">
        <v>3838</v>
      </c>
      <c r="EJ1033" s="76">
        <f>'Model Main'!EJ79</f>
        <v>65</v>
      </c>
      <c r="EK1033" s="76">
        <f>'Model Main'!EK79</f>
        <v>101</v>
      </c>
      <c r="EL1033" s="76">
        <f>'Model Main'!EL79</f>
        <v>120</v>
      </c>
      <c r="EM1033" s="76">
        <f>'Model Main'!EM79</f>
        <v>155</v>
      </c>
      <c r="EN1033" s="76">
        <f>'Model Main'!EN79</f>
        <v>441</v>
      </c>
      <c r="EO1033" s="76">
        <f>'Model Main'!EO79</f>
        <v>3</v>
      </c>
      <c r="EP1033" s="76">
        <f>'Model Main'!EP79</f>
        <v>-2</v>
      </c>
      <c r="EQ1033" s="76">
        <f>'Model Main'!EQ79</f>
        <v>11</v>
      </c>
      <c r="ER1033" s="76">
        <f>'Model Main'!ER79</f>
        <v>17</v>
      </c>
      <c r="ES1033" s="76">
        <f>'Model Main'!ES79</f>
        <v>29</v>
      </c>
      <c r="ET1033" s="76">
        <f>'Model Main'!ET79</f>
        <v>1</v>
      </c>
      <c r="EU1033" s="76">
        <f>'Model Main'!EU79</f>
        <v>-123</v>
      </c>
      <c r="EV1033" s="76">
        <f>'Model Main'!EV79</f>
        <v>-82</v>
      </c>
      <c r="EW1033" s="76">
        <f>'Model Main'!EW79</f>
        <v>-118</v>
      </c>
      <c r="EX1033" s="76">
        <f>'Model Main'!EX79</f>
        <v>-322</v>
      </c>
      <c r="EY1033" s="76">
        <f>'Model Main'!EY79</f>
        <v>-100.03047454646239</v>
      </c>
      <c r="EZ1033" s="76">
        <f>'Model Main'!EZ79</f>
        <v>-85.997507516588712</v>
      </c>
      <c r="FA1033" s="76">
        <f>'Model Main'!FA79</f>
        <v>-89.450472063026922</v>
      </c>
      <c r="FB1033" s="76">
        <f>'Model Main'!FB79</f>
        <v>-50.30682485499176</v>
      </c>
      <c r="FC1033" s="76">
        <f>'Model Main'!FC79</f>
        <v>-325.78527898106978</v>
      </c>
      <c r="FD1033" s="76">
        <f>'Model Main'!FD79</f>
        <v>-210.61696768891693</v>
      </c>
      <c r="FE1033" s="76">
        <f>'Model Main'!FE79</f>
        <v>22.747668659132643</v>
      </c>
      <c r="FF1033" s="76">
        <f>'Model Main'!FF79</f>
        <v>254.14102432773296</v>
      </c>
      <c r="FG1033" s="76">
        <f>'Model Main'!FG79</f>
        <v>475.84795370621839</v>
      </c>
      <c r="FH1033" s="76">
        <f>'Model Main'!FH79</f>
        <v>703.30418171323186</v>
      </c>
      <c r="FI1033" s="76">
        <f>'Model Main'!FI79</f>
        <v>882.77359301912975</v>
      </c>
    </row>
    <row r="1034" spans="1:165" x14ac:dyDescent="0.3">
      <c r="A1034" s="347" t="s">
        <v>3664</v>
      </c>
      <c r="EJ1034" s="1434">
        <v>0</v>
      </c>
      <c r="EK1034" s="1434">
        <v>0</v>
      </c>
      <c r="EL1034" s="1434">
        <v>0</v>
      </c>
      <c r="EM1034" s="1434">
        <v>0</v>
      </c>
      <c r="EN1034" s="1434">
        <v>0</v>
      </c>
      <c r="EO1034" s="1434">
        <v>0</v>
      </c>
      <c r="EP1034" s="1434">
        <v>0</v>
      </c>
      <c r="EQ1034" s="1434">
        <v>0</v>
      </c>
      <c r="ER1034" s="1434">
        <v>0</v>
      </c>
      <c r="ES1034" s="1434">
        <v>0</v>
      </c>
      <c r="ET1034" s="1434">
        <v>0</v>
      </c>
      <c r="EU1034" s="1434">
        <v>0</v>
      </c>
      <c r="EV1034" s="1434">
        <v>0</v>
      </c>
      <c r="EW1034" s="1434">
        <v>0</v>
      </c>
      <c r="EX1034" s="1434">
        <v>0</v>
      </c>
      <c r="EY1034" s="1434">
        <v>0</v>
      </c>
      <c r="EZ1034" s="1434">
        <v>0</v>
      </c>
      <c r="FA1034" s="1434">
        <v>0</v>
      </c>
      <c r="FB1034" s="1434">
        <v>0</v>
      </c>
      <c r="FC1034" s="1434">
        <v>0</v>
      </c>
      <c r="FD1034" s="1434">
        <v>0</v>
      </c>
      <c r="FE1034" s="1434">
        <v>0</v>
      </c>
      <c r="FF1034" s="1434">
        <v>0</v>
      </c>
      <c r="FG1034" s="1434">
        <v>0</v>
      </c>
      <c r="FH1034" s="1434">
        <v>0</v>
      </c>
      <c r="FI1034" s="1434">
        <v>0</v>
      </c>
    </row>
    <row r="1035" spans="1:165" x14ac:dyDescent="0.3">
      <c r="A1035" s="347" t="s">
        <v>3839</v>
      </c>
      <c r="EJ1035" s="76" t="e">
        <f>-#REF!</f>
        <v>#REF!</v>
      </c>
      <c r="EK1035" s="76" t="e">
        <f>-#REF!</f>
        <v>#REF!</v>
      </c>
      <c r="EL1035" s="76" t="e">
        <f>-#REF!</f>
        <v>#REF!</v>
      </c>
      <c r="EM1035" s="76" t="e">
        <f>-#REF!</f>
        <v>#REF!</v>
      </c>
      <c r="EN1035" s="76" t="e">
        <f>-#REF!</f>
        <v>#REF!</v>
      </c>
      <c r="EO1035" s="76" t="e">
        <f>-#REF!</f>
        <v>#REF!</v>
      </c>
      <c r="EP1035" s="76" t="e">
        <f>-#REF!</f>
        <v>#REF!</v>
      </c>
      <c r="EQ1035" s="76" t="e">
        <f>-#REF!</f>
        <v>#REF!</v>
      </c>
      <c r="ER1035" s="76" t="e">
        <f>-#REF!</f>
        <v>#REF!</v>
      </c>
      <c r="ES1035" s="76" t="e">
        <f>-#REF!</f>
        <v>#REF!</v>
      </c>
      <c r="ET1035" s="76" t="e">
        <f>-#REF!</f>
        <v>#REF!</v>
      </c>
      <c r="EU1035" s="76" t="e">
        <f>-#REF!</f>
        <v>#REF!</v>
      </c>
      <c r="EV1035" s="76" t="e">
        <f>-#REF!</f>
        <v>#REF!</v>
      </c>
      <c r="EW1035" s="76" t="e">
        <f>-#REF!</f>
        <v>#REF!</v>
      </c>
      <c r="EX1035" s="76" t="e">
        <f>-#REF!</f>
        <v>#REF!</v>
      </c>
      <c r="EY1035" s="76" t="e">
        <f>-#REF!</f>
        <v>#REF!</v>
      </c>
      <c r="EZ1035" s="76" t="e">
        <f>-#REF!</f>
        <v>#REF!</v>
      </c>
      <c r="FA1035" s="76" t="e">
        <f>-#REF!</f>
        <v>#REF!</v>
      </c>
      <c r="FB1035" s="76" t="e">
        <f>-#REF!</f>
        <v>#REF!</v>
      </c>
      <c r="FC1035" s="76" t="e">
        <f>-#REF!</f>
        <v>#REF!</v>
      </c>
      <c r="FD1035" s="76" t="e">
        <f>-#REF!</f>
        <v>#REF!</v>
      </c>
      <c r="FE1035" s="76" t="e">
        <f>-#REF!</f>
        <v>#REF!</v>
      </c>
      <c r="FF1035" s="76" t="e">
        <f>-#REF!</f>
        <v>#REF!</v>
      </c>
      <c r="FG1035" s="76" t="e">
        <f>-#REF!</f>
        <v>#REF!</v>
      </c>
      <c r="FH1035" s="76" t="e">
        <f>-#REF!</f>
        <v>#REF!</v>
      </c>
      <c r="FI1035" s="76" t="e">
        <f>-#REF!</f>
        <v>#REF!</v>
      </c>
    </row>
    <row r="1036" spans="1:165" x14ac:dyDescent="0.3">
      <c r="A1036" s="347" t="s">
        <v>3840</v>
      </c>
      <c r="EJ1036" s="76">
        <f>-'Model Main'!EJ73</f>
        <v>-103</v>
      </c>
      <c r="EK1036" s="76">
        <f>-'Model Main'!EK73</f>
        <v>-118</v>
      </c>
      <c r="EL1036" s="76">
        <f>-'Model Main'!EL73</f>
        <v>-135</v>
      </c>
      <c r="EM1036" s="76">
        <f>-'Model Main'!EM73</f>
        <v>-136</v>
      </c>
      <c r="EN1036" s="76">
        <f>-'Model Main'!EN73</f>
        <v>-492</v>
      </c>
      <c r="EO1036" s="76">
        <f>-'Model Main'!EO73</f>
        <v>-141</v>
      </c>
      <c r="EP1036" s="76">
        <f>-'Model Main'!EP73</f>
        <v>-149</v>
      </c>
      <c r="EQ1036" s="76">
        <f>-'Model Main'!EQ73</f>
        <v>-170</v>
      </c>
      <c r="ER1036" s="76">
        <f>-'Model Main'!ER73</f>
        <v>-193</v>
      </c>
      <c r="ES1036" s="76">
        <f>-'Model Main'!ES73</f>
        <v>-653</v>
      </c>
      <c r="ET1036" s="76">
        <f>-'Model Main'!ET73</f>
        <v>-199</v>
      </c>
      <c r="EU1036" s="76">
        <f>-'Model Main'!EU73</f>
        <v>-199</v>
      </c>
      <c r="EV1036" s="76">
        <f>-'Model Main'!EV73</f>
        <v>-203</v>
      </c>
      <c r="EW1036" s="76">
        <f>-'Model Main'!EW73</f>
        <v>-203</v>
      </c>
      <c r="EX1036" s="76">
        <f>-'Model Main'!EX73</f>
        <v>-804</v>
      </c>
      <c r="EY1036" s="76">
        <f>-'Model Main'!EY73</f>
        <v>-217.58846267772512</v>
      </c>
      <c r="EZ1036" s="76">
        <f>-'Model Main'!EZ73</f>
        <v>-219.67064892344496</v>
      </c>
      <c r="FA1036" s="76">
        <f>-'Model Main'!FA73</f>
        <v>-216.82408854166667</v>
      </c>
      <c r="FB1036" s="76">
        <f>-'Model Main'!FB73</f>
        <v>-215.82489919354839</v>
      </c>
      <c r="FC1036" s="76">
        <f>-'Model Main'!FC73</f>
        <v>-869.90809933638513</v>
      </c>
      <c r="FD1036" s="76">
        <f>-'Model Main'!FD73</f>
        <v>-964.07832879033003</v>
      </c>
      <c r="FE1036" s="76">
        <f>-'Model Main'!FE73</f>
        <v>-1020.8021294202155</v>
      </c>
      <c r="FF1036" s="76">
        <f>-'Model Main'!FF73</f>
        <v>-1045.1177970308152</v>
      </c>
      <c r="FG1036" s="76">
        <f>-'Model Main'!FG73</f>
        <v>-1045.3428535101159</v>
      </c>
      <c r="FH1036" s="76">
        <f>-'Model Main'!FH73</f>
        <v>-1011.7913571906414</v>
      </c>
      <c r="FI1036" s="76">
        <f>-'Model Main'!FI73</f>
        <v>-1020.628024696224</v>
      </c>
    </row>
    <row r="1037" spans="1:165" x14ac:dyDescent="0.3">
      <c r="A1037" s="347" t="s">
        <v>3841</v>
      </c>
      <c r="EJ1037" s="76">
        <f>'Model Main'!EJ132</f>
        <v>81</v>
      </c>
      <c r="EK1037" s="76">
        <f>'Model Main'!EK132</f>
        <v>-412</v>
      </c>
      <c r="EL1037" s="76">
        <f>'Model Main'!EL132</f>
        <v>-488</v>
      </c>
      <c r="EM1037" s="76">
        <f>'Model Main'!EM132</f>
        <v>-518</v>
      </c>
      <c r="EN1037" s="76">
        <f>'Model Main'!EN132</f>
        <v>-1337</v>
      </c>
      <c r="EO1037" s="76">
        <f>'Model Main'!EO132</f>
        <v>-765</v>
      </c>
      <c r="EP1037" s="76">
        <f>'Model Main'!EP132</f>
        <v>-781</v>
      </c>
      <c r="EQ1037" s="76">
        <f>'Model Main'!EQ132</f>
        <v>-288</v>
      </c>
      <c r="ER1037" s="76">
        <f>'Model Main'!ER132</f>
        <v>-33</v>
      </c>
      <c r="ES1037" s="76">
        <f>'Model Main'!ES132</f>
        <v>-1867</v>
      </c>
      <c r="ET1037" s="76">
        <f>'Model Main'!ET132</f>
        <v>-720</v>
      </c>
      <c r="EU1037" s="76">
        <f>'Model Main'!EU132</f>
        <v>-304</v>
      </c>
      <c r="EV1037" s="76">
        <f>'Model Main'!EV132</f>
        <v>-81</v>
      </c>
      <c r="EW1037" s="76">
        <f>'Model Main'!EW132</f>
        <v>-546</v>
      </c>
      <c r="EX1037" s="76">
        <f>'Model Main'!EX132</f>
        <v>-1651</v>
      </c>
      <c r="EY1037" s="76">
        <f>'Model Main'!EY132</f>
        <v>-434.98849955028129</v>
      </c>
      <c r="EZ1037" s="76">
        <f>'Model Main'!EZ132</f>
        <v>-531.88395529700222</v>
      </c>
      <c r="FA1037" s="76">
        <f>'Model Main'!FA132</f>
        <v>-416.21819897214294</v>
      </c>
      <c r="FB1037" s="76">
        <f>'Model Main'!FB132</f>
        <v>-455.11608022238164</v>
      </c>
      <c r="FC1037" s="76">
        <f>'Model Main'!FC132</f>
        <v>-1838.2067340418082</v>
      </c>
      <c r="FD1037" s="76">
        <f>'Model Main'!FD132</f>
        <v>-1579.7485151072758</v>
      </c>
      <c r="FE1037" s="76">
        <f>'Model Main'!FE132</f>
        <v>-202.61652438049714</v>
      </c>
      <c r="FF1037" s="76">
        <f>'Model Main'!FF132</f>
        <v>390.17106686817488</v>
      </c>
      <c r="FG1037" s="76">
        <f>'Model Main'!FG132</f>
        <v>591.64815932460897</v>
      </c>
      <c r="FH1037" s="76">
        <f>'Model Main'!FH132</f>
        <v>895.51751512356009</v>
      </c>
      <c r="FI1037" s="76">
        <f>'Model Main'!FI132</f>
        <v>1132.3785514169017</v>
      </c>
    </row>
    <row r="1038" spans="1:165" x14ac:dyDescent="0.3">
      <c r="A1038" s="347" t="s">
        <v>3842</v>
      </c>
      <c r="EJ1038" s="1434">
        <v>0</v>
      </c>
      <c r="EK1038" s="1434">
        <v>0</v>
      </c>
      <c r="EL1038" s="1434">
        <v>0</v>
      </c>
      <c r="EM1038" s="1434">
        <v>0</v>
      </c>
      <c r="EN1038" s="1434">
        <v>0</v>
      </c>
      <c r="EO1038" s="1434">
        <v>0</v>
      </c>
      <c r="EP1038" s="1434">
        <v>0</v>
      </c>
      <c r="EQ1038" s="1434">
        <v>0</v>
      </c>
      <c r="ER1038" s="1434">
        <v>0</v>
      </c>
      <c r="ES1038" s="1434">
        <v>0</v>
      </c>
      <c r="ET1038" s="1434">
        <v>0</v>
      </c>
      <c r="EU1038" s="1434">
        <v>0</v>
      </c>
      <c r="EV1038" s="1434">
        <v>0</v>
      </c>
      <c r="EW1038" s="1434">
        <v>0</v>
      </c>
      <c r="EX1038" s="1434">
        <v>0</v>
      </c>
      <c r="EY1038" s="1434">
        <v>0</v>
      </c>
      <c r="EZ1038" s="1434">
        <v>0</v>
      </c>
      <c r="FA1038" s="1434">
        <v>0</v>
      </c>
      <c r="FB1038" s="1434">
        <v>0</v>
      </c>
      <c r="FC1038" s="1434">
        <v>0</v>
      </c>
      <c r="FD1038" s="1434">
        <v>0</v>
      </c>
      <c r="FE1038" s="1434">
        <v>0</v>
      </c>
      <c r="FF1038" s="1434">
        <v>0</v>
      </c>
      <c r="FG1038" s="1434">
        <v>0</v>
      </c>
      <c r="FH1038" s="1434">
        <v>0</v>
      </c>
      <c r="FI1038" s="1434">
        <v>0</v>
      </c>
    </row>
    <row r="1039" spans="1:165" x14ac:dyDescent="0.3">
      <c r="A1039" s="347" t="s">
        <v>3843</v>
      </c>
      <c r="EJ1039" s="1434">
        <v>0</v>
      </c>
      <c r="EK1039" s="1434">
        <v>0</v>
      </c>
      <c r="EL1039" s="1434">
        <v>0</v>
      </c>
      <c r="EM1039" s="1434">
        <v>0</v>
      </c>
      <c r="EN1039" s="1434">
        <v>0</v>
      </c>
      <c r="EO1039" s="1434">
        <v>0</v>
      </c>
      <c r="EP1039" s="1434">
        <v>0</v>
      </c>
      <c r="EQ1039" s="1434">
        <v>0</v>
      </c>
      <c r="ER1039" s="1434">
        <v>0</v>
      </c>
      <c r="ES1039" s="1434">
        <v>0</v>
      </c>
      <c r="ET1039" s="1434">
        <v>0</v>
      </c>
      <c r="EU1039" s="1434">
        <v>0</v>
      </c>
      <c r="EV1039" s="1434">
        <v>0</v>
      </c>
      <c r="EW1039" s="1434">
        <v>0</v>
      </c>
      <c r="EX1039" s="1434">
        <v>0</v>
      </c>
      <c r="EY1039" s="1434">
        <v>0</v>
      </c>
      <c r="EZ1039" s="1434">
        <v>0</v>
      </c>
      <c r="FA1039" s="1434">
        <v>0</v>
      </c>
      <c r="FB1039" s="1434">
        <v>0</v>
      </c>
      <c r="FC1039" s="1434">
        <v>0</v>
      </c>
      <c r="FD1039" s="1434">
        <v>0</v>
      </c>
      <c r="FE1039" s="1434">
        <v>0</v>
      </c>
      <c r="FF1039" s="1434">
        <v>0</v>
      </c>
      <c r="FG1039" s="1434">
        <v>0</v>
      </c>
      <c r="FH1039" s="1434">
        <v>0</v>
      </c>
      <c r="FI1039" s="1434">
        <v>0</v>
      </c>
    </row>
    <row r="1040" spans="1:165" ht="13" x14ac:dyDescent="0.3">
      <c r="A1040" s="326"/>
    </row>
    <row r="1041" spans="1:1" ht="13" x14ac:dyDescent="0.3">
      <c r="A1041" s="326"/>
    </row>
    <row r="1042" spans="1:1" ht="13" x14ac:dyDescent="0.3">
      <c r="A1042" s="326"/>
    </row>
    <row r="1043" spans="1:1" ht="13" x14ac:dyDescent="0.3">
      <c r="A1043" s="326"/>
    </row>
    <row r="1044" spans="1:1" ht="13" x14ac:dyDescent="0.3">
      <c r="A1044" s="326"/>
    </row>
    <row r="1045" spans="1:1" ht="13" x14ac:dyDescent="0.3">
      <c r="A1045" s="326"/>
    </row>
    <row r="1046" spans="1:1" ht="13" x14ac:dyDescent="0.3">
      <c r="A1046" s="326"/>
    </row>
    <row r="1047" spans="1:1" ht="13" x14ac:dyDescent="0.3">
      <c r="A1047" s="326"/>
    </row>
    <row r="1048" spans="1:1" ht="13" x14ac:dyDescent="0.3">
      <c r="A1048" s="326"/>
    </row>
    <row r="1049" spans="1:1" ht="13" x14ac:dyDescent="0.3">
      <c r="A1049" s="326"/>
    </row>
    <row r="1050" spans="1:1" ht="13" x14ac:dyDescent="0.3">
      <c r="A1050" s="326"/>
    </row>
    <row r="1051" spans="1:1" ht="13" x14ac:dyDescent="0.3">
      <c r="A1051" s="326"/>
    </row>
    <row r="1052" spans="1:1" x14ac:dyDescent="0.3">
      <c r="A1052" s="361" t="s">
        <v>3844</v>
      </c>
    </row>
    <row r="1053" spans="1:1" x14ac:dyDescent="0.3">
      <c r="A1053" s="362"/>
    </row>
    <row r="1054" spans="1:1" x14ac:dyDescent="0.3">
      <c r="A1054" s="362" t="s">
        <v>108</v>
      </c>
    </row>
    <row r="1055" spans="1:1" x14ac:dyDescent="0.3">
      <c r="A1055" s="362" t="s">
        <v>3845</v>
      </c>
    </row>
    <row r="1056" spans="1:1" x14ac:dyDescent="0.3">
      <c r="A1056" s="362"/>
    </row>
    <row r="1057" spans="1:1" x14ac:dyDescent="0.3">
      <c r="A1057" s="59" t="s">
        <v>461</v>
      </c>
    </row>
    <row r="1058" spans="1:1" x14ac:dyDescent="0.3">
      <c r="A1058" s="59" t="s">
        <v>3763</v>
      </c>
    </row>
    <row r="1059" spans="1:1" x14ac:dyDescent="0.3">
      <c r="A1059" s="59" t="s">
        <v>3764</v>
      </c>
    </row>
    <row r="1060" spans="1:1" x14ac:dyDescent="0.3">
      <c r="A1060" s="59" t="s">
        <v>3652</v>
      </c>
    </row>
    <row r="1061" spans="1:1" x14ac:dyDescent="0.3">
      <c r="A1061" s="59" t="s">
        <v>3846</v>
      </c>
    </row>
    <row r="1062" spans="1:1" x14ac:dyDescent="0.3">
      <c r="A1062" s="59" t="s">
        <v>2447</v>
      </c>
    </row>
    <row r="1063" spans="1:1" x14ac:dyDescent="0.3">
      <c r="A1063" s="59" t="s">
        <v>1865</v>
      </c>
    </row>
    <row r="1064" spans="1:1" x14ac:dyDescent="0.3">
      <c r="A1064" s="59" t="s">
        <v>3765</v>
      </c>
    </row>
    <row r="1065" spans="1:1" x14ac:dyDescent="0.3">
      <c r="A1065" s="59" t="s">
        <v>34</v>
      </c>
    </row>
    <row r="1066" spans="1:1" x14ac:dyDescent="0.3">
      <c r="A1066" s="59" t="s">
        <v>3766</v>
      </c>
    </row>
    <row r="1067" spans="1:1" x14ac:dyDescent="0.3">
      <c r="A1067" s="362"/>
    </row>
    <row r="1068" spans="1:1" x14ac:dyDescent="0.3">
      <c r="A1068" s="363" t="s">
        <v>106</v>
      </c>
    </row>
    <row r="1069" spans="1:1" x14ac:dyDescent="0.3">
      <c r="A1069" s="362"/>
    </row>
    <row r="1070" spans="1:1" x14ac:dyDescent="0.3">
      <c r="A1070" s="59" t="s">
        <v>3847</v>
      </c>
    </row>
  </sheetData>
  <pageMargins left="0.7" right="0.7" top="0.75" bottom="0.75" header="0.3" footer="0.3"/>
  <pageSetup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8A496-E70B-47F0-BE09-07642337DF0E}">
  <dimension ref="A1:FG746"/>
  <sheetViews>
    <sheetView topLeftCell="DZ1" workbookViewId="0">
      <selection activeCell="ES9" sqref="ES9"/>
    </sheetView>
  </sheetViews>
  <sheetFormatPr defaultRowHeight="12" outlineLevelCol="1" x14ac:dyDescent="0.3"/>
  <cols>
    <col min="1" max="1" width="53.33203125" customWidth="1"/>
    <col min="2" max="4" width="2.44140625" customWidth="1"/>
    <col min="5" max="123" width="9.33203125" hidden="1" customWidth="1" outlineLevel="1"/>
    <col min="124" max="124" width="9.33203125" collapsed="1"/>
    <col min="125" max="128" width="10.109375" bestFit="1" customWidth="1"/>
    <col min="129" max="129" width="9.77734375" style="90" customWidth="1"/>
    <col min="130" max="130" width="9.77734375" bestFit="1" customWidth="1"/>
    <col min="134" max="134" width="9.33203125" style="90"/>
    <col min="135" max="137" width="10.44140625" bestFit="1" customWidth="1"/>
    <col min="139" max="139" width="9.33203125" style="90"/>
    <col min="144" max="148" width="9.33203125" style="90"/>
    <col min="156" max="156" width="10" bestFit="1" customWidth="1"/>
    <col min="162" max="162" width="10.77734375" bestFit="1" customWidth="1"/>
    <col min="165" max="165" width="14.77734375" bestFit="1" customWidth="1"/>
  </cols>
  <sheetData>
    <row r="1" spans="1:163" s="108" customFormat="1" ht="21.5" thickBot="1" x14ac:dyDescent="0.55000000000000004">
      <c r="A1" s="922" t="s">
        <v>13</v>
      </c>
      <c r="B1" s="922"/>
      <c r="C1" s="922"/>
      <c r="D1" s="922"/>
      <c r="E1" s="922"/>
      <c r="F1" s="922"/>
      <c r="G1" s="922"/>
      <c r="H1" s="922"/>
      <c r="I1" s="922"/>
      <c r="J1" s="922"/>
      <c r="K1" s="922"/>
      <c r="L1" s="922"/>
      <c r="M1" s="922"/>
      <c r="N1" s="922"/>
      <c r="O1" s="922"/>
      <c r="P1" s="922"/>
      <c r="Q1" s="922"/>
      <c r="R1" s="922"/>
      <c r="S1" s="922"/>
      <c r="T1" s="922"/>
      <c r="U1" s="922"/>
      <c r="V1" s="922"/>
      <c r="W1" s="922"/>
      <c r="X1" s="922"/>
      <c r="Y1" s="922"/>
      <c r="Z1" s="922"/>
      <c r="AA1" s="922"/>
      <c r="AB1" s="922"/>
      <c r="AC1" s="922"/>
      <c r="AD1" s="922"/>
      <c r="AE1" s="922"/>
      <c r="AF1" s="922"/>
      <c r="AG1" s="922"/>
      <c r="AH1" s="922"/>
      <c r="AI1" s="922"/>
      <c r="AJ1" s="922"/>
      <c r="AK1" s="922"/>
      <c r="AL1" s="922"/>
      <c r="AM1" s="922"/>
      <c r="AN1" s="922"/>
      <c r="AO1" s="922"/>
      <c r="AP1" s="922"/>
      <c r="AQ1" s="922"/>
      <c r="AR1" s="922"/>
      <c r="AS1" s="922"/>
      <c r="AT1" s="922"/>
      <c r="AU1" s="922"/>
      <c r="AV1" s="922"/>
      <c r="AW1" s="922"/>
      <c r="AX1" s="922"/>
      <c r="AY1" s="922"/>
      <c r="AZ1" s="922"/>
      <c r="BA1" s="922"/>
      <c r="BB1" s="922"/>
      <c r="BC1" s="922"/>
      <c r="BD1" s="922"/>
      <c r="BE1" s="922"/>
      <c r="BF1" s="922"/>
      <c r="BG1" s="922"/>
      <c r="BH1" s="922"/>
      <c r="BI1" s="922"/>
      <c r="BJ1" s="922"/>
      <c r="BK1" s="922"/>
      <c r="BL1" s="922"/>
      <c r="BM1" s="922"/>
      <c r="BN1" s="922"/>
      <c r="BO1" s="922"/>
      <c r="BP1" s="922"/>
      <c r="BQ1" s="922"/>
      <c r="BR1" s="922"/>
      <c r="BS1" s="922"/>
      <c r="BT1" s="922"/>
      <c r="BU1" s="922"/>
      <c r="BV1" s="922"/>
      <c r="BW1" s="922"/>
      <c r="BX1" s="922"/>
      <c r="BY1" s="922"/>
      <c r="BZ1" s="922"/>
      <c r="CA1" s="922"/>
      <c r="CB1" s="922"/>
      <c r="CC1" s="922"/>
      <c r="CD1" s="922"/>
      <c r="CE1" s="922"/>
      <c r="CF1" s="922"/>
      <c r="CG1" s="922"/>
      <c r="CH1" s="922"/>
      <c r="CI1" s="922"/>
      <c r="CJ1" s="922"/>
      <c r="CK1" s="922"/>
      <c r="CL1" s="922"/>
      <c r="CM1" s="922"/>
      <c r="CN1" s="922"/>
      <c r="CO1" s="922"/>
      <c r="CP1" s="922"/>
      <c r="CQ1" s="922"/>
      <c r="CR1" s="922"/>
      <c r="CS1" s="922"/>
      <c r="CT1" s="922"/>
      <c r="CU1" s="922"/>
      <c r="CV1" s="922"/>
      <c r="CW1" s="922"/>
      <c r="CX1" s="922"/>
      <c r="CY1" s="922"/>
      <c r="CZ1" s="922"/>
      <c r="DA1" s="922"/>
      <c r="DB1" s="922"/>
      <c r="DC1" s="922"/>
      <c r="DD1" s="922"/>
      <c r="DE1" s="922"/>
      <c r="DF1" s="922"/>
      <c r="DG1" s="922"/>
      <c r="DH1" s="922"/>
      <c r="DI1" s="922"/>
      <c r="DJ1" s="922"/>
      <c r="DK1" s="922"/>
      <c r="DL1" s="922"/>
      <c r="DM1" s="922"/>
      <c r="DN1" s="922"/>
      <c r="DO1" s="922"/>
      <c r="DP1" s="922"/>
      <c r="DQ1" s="922"/>
      <c r="DR1" s="922"/>
      <c r="DS1" s="922"/>
      <c r="DT1" s="922"/>
      <c r="DU1" s="922"/>
      <c r="DV1" s="922"/>
      <c r="DW1" s="922"/>
      <c r="DX1" s="922"/>
      <c r="DY1" s="1408"/>
      <c r="DZ1" s="922"/>
      <c r="EA1" s="922"/>
      <c r="EB1" s="922"/>
      <c r="EC1" s="922"/>
      <c r="ED1" s="1408"/>
      <c r="EE1" s="922"/>
      <c r="EF1" s="922"/>
      <c r="EG1" s="922"/>
      <c r="EH1" s="922"/>
      <c r="EI1" s="1408"/>
      <c r="EJ1" s="922"/>
      <c r="EK1" s="922"/>
      <c r="EL1" s="922"/>
      <c r="EM1" s="922"/>
      <c r="EN1" s="1408"/>
      <c r="EO1" s="1408"/>
      <c r="EP1" s="1408"/>
      <c r="EQ1" s="1408"/>
      <c r="ER1" s="1408"/>
      <c r="ES1" s="922"/>
      <c r="ET1" s="922"/>
      <c r="EU1" s="922"/>
      <c r="EV1" s="922"/>
      <c r="EW1" s="922"/>
      <c r="EX1" s="922"/>
      <c r="EY1" s="922"/>
      <c r="EZ1" s="922"/>
      <c r="FA1" s="922"/>
      <c r="FB1" s="922"/>
      <c r="FC1" s="922"/>
      <c r="FD1" s="922"/>
      <c r="FE1" s="922"/>
      <c r="FF1" s="922"/>
    </row>
    <row r="2" spans="1:163" s="108" customFormat="1" x14ac:dyDescent="0.3">
      <c r="A2" s="923" t="s">
        <v>282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923"/>
      <c r="N2" s="923"/>
      <c r="O2" s="923"/>
      <c r="P2" s="923"/>
      <c r="Q2" s="923"/>
      <c r="R2" s="923"/>
      <c r="S2" s="923"/>
      <c r="T2" s="923"/>
      <c r="U2" s="923"/>
      <c r="V2" s="923"/>
      <c r="W2" s="923"/>
      <c r="X2" s="923"/>
      <c r="Y2" s="923"/>
      <c r="Z2" s="923"/>
      <c r="AA2" s="923"/>
      <c r="AB2" s="923"/>
      <c r="AC2" s="923"/>
      <c r="AD2" s="923"/>
      <c r="AE2" s="923"/>
      <c r="AF2" s="923"/>
      <c r="AG2" s="923"/>
      <c r="AH2" s="923"/>
      <c r="AI2" s="923"/>
      <c r="AJ2" s="923"/>
      <c r="AK2" s="923"/>
      <c r="AL2" s="923"/>
      <c r="AM2" s="923"/>
      <c r="AN2" s="923"/>
      <c r="AO2" s="923"/>
      <c r="AP2" s="923"/>
      <c r="AQ2" s="923"/>
      <c r="AR2" s="923"/>
      <c r="AS2" s="923"/>
      <c r="AT2" s="923"/>
      <c r="AU2" s="923"/>
      <c r="AV2" s="923"/>
      <c r="AW2" s="923"/>
      <c r="AX2" s="923"/>
      <c r="AY2" s="923"/>
      <c r="AZ2" s="923"/>
      <c r="BA2" s="923"/>
      <c r="BB2" s="923"/>
      <c r="BC2" s="923"/>
      <c r="BD2" s="923"/>
      <c r="BE2" s="923"/>
      <c r="BF2" s="923"/>
      <c r="BG2" s="923"/>
      <c r="BH2" s="923"/>
      <c r="BI2" s="923"/>
      <c r="BJ2" s="923"/>
      <c r="BK2" s="923"/>
      <c r="BL2" s="923"/>
      <c r="BM2" s="923"/>
      <c r="BN2" s="923"/>
      <c r="BO2" s="923"/>
      <c r="BP2" s="923"/>
      <c r="BQ2" s="923"/>
      <c r="BR2" s="923"/>
      <c r="BS2" s="923"/>
      <c r="BT2" s="923"/>
      <c r="BU2" s="923"/>
      <c r="BV2" s="923"/>
      <c r="BW2" s="923"/>
      <c r="BX2" s="923"/>
      <c r="BY2" s="923"/>
      <c r="BZ2" s="923"/>
      <c r="CA2" s="923"/>
      <c r="CB2" s="923"/>
      <c r="CC2" s="923"/>
      <c r="CD2" s="923"/>
      <c r="CE2" s="923"/>
      <c r="CF2" s="923"/>
      <c r="CG2" s="923"/>
      <c r="CH2" s="923"/>
      <c r="CI2" s="923"/>
      <c r="CJ2" s="923"/>
      <c r="CK2" s="923"/>
      <c r="CL2" s="923"/>
      <c r="CM2" s="923"/>
      <c r="CN2" s="923"/>
      <c r="CO2" s="923"/>
      <c r="CP2" s="923"/>
      <c r="CQ2" s="923"/>
      <c r="CR2" s="923"/>
      <c r="CS2" s="923"/>
      <c r="CT2" s="923"/>
      <c r="CU2" s="923"/>
      <c r="CV2" s="923"/>
      <c r="CW2" s="923"/>
      <c r="CX2" s="923"/>
      <c r="CY2" s="923"/>
      <c r="CZ2" s="923"/>
      <c r="DA2" s="923"/>
      <c r="DB2" s="923"/>
      <c r="DC2" s="923"/>
      <c r="DD2" s="923"/>
      <c r="DE2" s="923"/>
      <c r="DF2" s="923"/>
      <c r="DG2" s="923"/>
      <c r="DH2" s="923"/>
      <c r="DI2" s="923"/>
      <c r="DJ2" s="923"/>
      <c r="DK2" s="923"/>
      <c r="DL2" s="923"/>
      <c r="DM2" s="923"/>
      <c r="DN2" s="923"/>
      <c r="DO2" s="923"/>
      <c r="DP2" s="923"/>
      <c r="DQ2" s="923"/>
      <c r="DR2" s="923"/>
      <c r="DS2" s="923"/>
      <c r="DT2" s="923"/>
      <c r="DU2" s="923"/>
      <c r="DV2" s="923"/>
      <c r="DW2" s="923"/>
      <c r="DX2" s="923"/>
      <c r="DY2" s="923"/>
      <c r="DZ2" s="923"/>
      <c r="EA2" s="923"/>
      <c r="EB2" s="923"/>
      <c r="EC2" s="923"/>
      <c r="ED2" s="923"/>
      <c r="EE2" s="923"/>
      <c r="EF2" s="923"/>
      <c r="EG2" s="923"/>
      <c r="EH2" s="923"/>
      <c r="EI2" s="923"/>
      <c r="EJ2" s="923"/>
      <c r="EK2" s="923"/>
      <c r="EL2" s="923"/>
      <c r="EM2" s="923"/>
      <c r="EN2" s="923"/>
      <c r="EO2" s="923"/>
      <c r="EP2" s="923"/>
      <c r="EQ2" s="923"/>
      <c r="ER2" s="923"/>
      <c r="ES2" s="923"/>
      <c r="ET2" s="923"/>
      <c r="EU2" s="923"/>
      <c r="EV2" s="923"/>
      <c r="EW2" s="923"/>
      <c r="EX2" s="923"/>
      <c r="EY2" s="923"/>
      <c r="EZ2" s="923"/>
      <c r="FA2" s="923"/>
      <c r="FB2" s="923"/>
      <c r="FC2" s="923"/>
      <c r="FD2" s="923"/>
      <c r="FE2" s="923"/>
      <c r="FF2" s="923"/>
    </row>
    <row r="3" spans="1:163" s="108" customFormat="1" x14ac:dyDescent="0.3">
      <c r="A3" s="1409" t="s">
        <v>15</v>
      </c>
      <c r="B3" s="1409"/>
      <c r="C3" s="1409"/>
      <c r="D3" s="1409"/>
      <c r="E3" s="1409"/>
      <c r="F3" s="1409"/>
      <c r="G3" s="1409"/>
      <c r="H3" s="1409"/>
      <c r="I3" s="1409"/>
      <c r="J3" s="1409"/>
      <c r="K3" s="1409"/>
      <c r="L3" s="1409"/>
      <c r="M3" s="1409"/>
      <c r="N3" s="1409"/>
      <c r="O3" s="1409"/>
      <c r="P3" s="1409"/>
      <c r="Q3" s="1409"/>
      <c r="R3" s="1409"/>
      <c r="S3" s="1409"/>
      <c r="T3" s="1409"/>
      <c r="U3" s="1409"/>
      <c r="V3" s="1409"/>
      <c r="W3" s="1409"/>
      <c r="X3" s="1409"/>
      <c r="Y3" s="1409"/>
      <c r="Z3" s="1409"/>
      <c r="AA3" s="1409"/>
      <c r="AB3" s="1409"/>
      <c r="AC3" s="1409"/>
      <c r="AD3" s="1409"/>
      <c r="AE3" s="1409"/>
      <c r="AF3" s="1409"/>
      <c r="AG3" s="1409"/>
      <c r="AH3" s="1409"/>
      <c r="AI3" s="1409"/>
      <c r="AJ3" s="1409"/>
      <c r="AK3" s="1409"/>
      <c r="AL3" s="1409"/>
      <c r="AM3" s="1409"/>
      <c r="AN3" s="1409"/>
      <c r="AO3" s="1409"/>
      <c r="AP3" s="1409"/>
      <c r="AQ3" s="1409"/>
      <c r="AR3" s="1409"/>
      <c r="AS3" s="1409"/>
      <c r="AT3" s="1409"/>
      <c r="AU3" s="1409"/>
      <c r="AV3" s="1409"/>
      <c r="AW3" s="1409"/>
      <c r="AX3" s="1409"/>
      <c r="AY3" s="1409"/>
      <c r="AZ3" s="1409"/>
      <c r="BA3" s="1409"/>
      <c r="BB3" s="1409"/>
      <c r="BC3" s="1409"/>
      <c r="BD3" s="1409"/>
      <c r="BE3" s="1409"/>
      <c r="BF3" s="1409"/>
      <c r="BG3" s="1409"/>
      <c r="BH3" s="1409"/>
      <c r="BI3" s="1409"/>
      <c r="BJ3" s="1409"/>
      <c r="BK3" s="1409"/>
      <c r="BL3" s="1409"/>
      <c r="BM3" s="1409"/>
      <c r="BN3" s="1409"/>
      <c r="BO3" s="1409"/>
      <c r="BP3" s="1409"/>
      <c r="BQ3" s="1409"/>
      <c r="BR3" s="1409"/>
      <c r="BS3" s="1409"/>
      <c r="BT3" s="1409"/>
      <c r="BU3" s="1409"/>
      <c r="BV3" s="1409"/>
      <c r="BW3" s="1409"/>
      <c r="BX3" s="1409"/>
      <c r="BY3" s="1409"/>
      <c r="BZ3" s="1409"/>
      <c r="CA3" s="1409"/>
      <c r="CB3" s="1409"/>
      <c r="CC3" s="1409"/>
      <c r="CD3" s="1409"/>
      <c r="CE3" s="1409"/>
      <c r="CF3" s="1409"/>
      <c r="CG3" s="1409"/>
      <c r="CH3" s="1409"/>
      <c r="CI3" s="1409"/>
      <c r="CJ3" s="1409"/>
      <c r="CK3" s="1409"/>
      <c r="CL3" s="1409"/>
      <c r="CM3" s="1409"/>
      <c r="CN3" s="1409"/>
      <c r="CO3" s="1409"/>
      <c r="CP3" s="1409"/>
      <c r="CQ3" s="1409"/>
      <c r="CR3" s="1409"/>
      <c r="CS3" s="1409"/>
      <c r="CT3" s="1409"/>
      <c r="CU3" s="1409"/>
      <c r="CV3" s="1409"/>
      <c r="CW3" s="1409"/>
      <c r="CX3" s="1409"/>
      <c r="CY3" s="1409"/>
      <c r="CZ3" s="1409"/>
      <c r="DA3" s="1409"/>
      <c r="DB3" s="1409"/>
      <c r="DC3" s="1409"/>
      <c r="DD3" s="1409"/>
      <c r="DE3" s="1409"/>
      <c r="DF3" s="1409"/>
      <c r="DG3" s="1409"/>
      <c r="DH3" s="1409"/>
      <c r="DI3" s="1409"/>
      <c r="DJ3" s="1409"/>
      <c r="DK3" s="1409"/>
      <c r="DL3" s="1409"/>
      <c r="DM3" s="1409"/>
      <c r="DN3" s="1409"/>
      <c r="DO3" s="1409"/>
      <c r="DP3" s="1409"/>
      <c r="DQ3" s="1409"/>
      <c r="DR3" s="1409"/>
      <c r="DS3" s="1409"/>
      <c r="DT3" s="1409"/>
      <c r="DU3" s="1409"/>
      <c r="DV3" s="1409"/>
      <c r="DW3" s="1409"/>
      <c r="DX3" s="1409"/>
      <c r="DY3" s="923"/>
      <c r="DZ3" s="1409"/>
      <c r="EA3" s="1409"/>
      <c r="EB3" s="1410"/>
      <c r="EC3" s="1409"/>
      <c r="ED3" s="923"/>
      <c r="EE3" s="1409"/>
      <c r="EF3" s="1409"/>
      <c r="EG3" s="1409"/>
      <c r="EH3" s="1409"/>
      <c r="EI3" s="923"/>
      <c r="EJ3" s="1409"/>
      <c r="EK3" s="1409"/>
      <c r="EL3" s="1409"/>
      <c r="EM3" s="1409"/>
      <c r="EN3" s="923"/>
      <c r="EO3" s="923"/>
      <c r="EP3" s="923"/>
      <c r="EQ3" s="923"/>
      <c r="ER3" s="923"/>
      <c r="ES3" s="1409"/>
      <c r="ET3" s="1409"/>
      <c r="EU3" s="1409"/>
      <c r="EV3" s="1409"/>
      <c r="EW3" s="1409"/>
      <c r="EX3" s="1409"/>
      <c r="EY3" s="1409"/>
      <c r="EZ3" s="1409"/>
      <c r="FA3" s="1409"/>
      <c r="FB3" s="1409"/>
      <c r="FC3" s="1409"/>
      <c r="FD3" s="1409"/>
      <c r="FE3" s="1409"/>
      <c r="FF3" s="1409"/>
    </row>
    <row r="4" spans="1:163" s="108" customFormat="1" x14ac:dyDescent="0.3">
      <c r="A4" s="1411"/>
      <c r="B4" s="1411"/>
      <c r="C4" s="1411"/>
      <c r="D4" s="1411"/>
      <c r="E4" s="1411"/>
      <c r="F4" s="1411"/>
      <c r="G4" s="1411"/>
      <c r="H4" s="1411"/>
      <c r="I4" s="1411"/>
      <c r="J4" s="1411"/>
      <c r="K4" s="1411"/>
      <c r="L4" s="1411"/>
      <c r="M4" s="1411"/>
      <c r="N4" s="1411"/>
      <c r="O4" s="1411"/>
      <c r="P4" s="1411"/>
      <c r="Q4" s="1411"/>
      <c r="R4" s="1411"/>
      <c r="S4" s="1411"/>
      <c r="T4" s="1411"/>
      <c r="U4" s="1411"/>
      <c r="V4" s="1411"/>
      <c r="W4" s="1411"/>
      <c r="X4" s="1411"/>
      <c r="Y4" s="1411"/>
      <c r="Z4" s="1411"/>
      <c r="AA4" s="1411"/>
      <c r="AB4" s="1411"/>
      <c r="AC4" s="1411"/>
      <c r="AD4" s="1411"/>
      <c r="AE4" s="1411"/>
      <c r="AF4" s="1411"/>
      <c r="AG4" s="1411"/>
      <c r="AH4" s="1411"/>
      <c r="AI4" s="1411"/>
      <c r="AJ4" s="1411"/>
      <c r="AK4" s="1411"/>
      <c r="AL4" s="1411"/>
      <c r="AM4" s="1411"/>
      <c r="AN4" s="1411"/>
      <c r="AO4" s="1411"/>
      <c r="AP4" s="1411"/>
      <c r="AQ4" s="1411"/>
      <c r="AR4" s="1411"/>
      <c r="AS4" s="1411"/>
      <c r="AT4" s="1411"/>
      <c r="AU4" s="1411"/>
      <c r="AV4" s="1411"/>
      <c r="AW4" s="1411"/>
      <c r="AX4" s="1411"/>
      <c r="AY4" s="1411"/>
      <c r="AZ4" s="1411"/>
      <c r="BA4" s="1411"/>
      <c r="BB4" s="1411"/>
      <c r="BC4" s="1411"/>
      <c r="BD4" s="1411"/>
      <c r="BE4" s="1411"/>
      <c r="BF4" s="1411"/>
      <c r="BG4" s="1411"/>
      <c r="BH4" s="1411"/>
      <c r="BI4" s="1411"/>
      <c r="BJ4" s="1411"/>
      <c r="BK4" s="1411"/>
      <c r="BL4" s="1411"/>
      <c r="BM4" s="1411"/>
      <c r="BN4" s="1411"/>
      <c r="BO4" s="1411"/>
      <c r="BP4" s="1411"/>
      <c r="BQ4" s="1411"/>
      <c r="BR4" s="1411"/>
      <c r="BS4" s="1411"/>
      <c r="BT4" s="1411"/>
      <c r="BU4" s="1411"/>
      <c r="BV4" s="1411"/>
      <c r="BW4" s="1411"/>
      <c r="BX4" s="1411"/>
      <c r="BY4" s="1411"/>
      <c r="BZ4" s="1411"/>
      <c r="CA4" s="1411"/>
      <c r="CB4" s="1411"/>
      <c r="CC4" s="1411"/>
      <c r="CD4" s="1411"/>
      <c r="CE4" s="1411"/>
      <c r="CF4" s="1411"/>
      <c r="CG4" s="1411"/>
      <c r="CH4" s="1411"/>
      <c r="CI4" s="1411"/>
      <c r="CJ4" s="1411"/>
      <c r="CK4" s="1411"/>
      <c r="CL4" s="1411"/>
      <c r="CM4" s="1411"/>
      <c r="CN4" s="1411"/>
      <c r="CO4" s="1411"/>
      <c r="CP4" s="1411"/>
      <c r="CQ4" s="1411"/>
      <c r="CR4" s="1411"/>
      <c r="CS4" s="1411"/>
      <c r="CT4" s="1411"/>
      <c r="CU4" s="1411"/>
      <c r="CV4" s="1411"/>
      <c r="CW4" s="1411"/>
      <c r="CX4" s="1411"/>
      <c r="CY4" s="1411"/>
      <c r="CZ4" s="1411"/>
      <c r="DA4" s="1411"/>
      <c r="DB4" s="1411"/>
      <c r="DC4" s="1411"/>
      <c r="DD4" s="1411"/>
      <c r="DE4" s="1411"/>
      <c r="DF4" s="1411"/>
      <c r="DG4" s="1411"/>
      <c r="DH4" s="1411"/>
      <c r="DI4" s="1411"/>
      <c r="DJ4" s="1411"/>
      <c r="DK4" s="1411"/>
      <c r="DL4" s="1411"/>
      <c r="DM4" s="1411"/>
      <c r="DN4" s="1411"/>
      <c r="DO4" s="1411"/>
      <c r="DP4" s="1411"/>
      <c r="DQ4" s="1411"/>
      <c r="DR4" s="1411"/>
      <c r="DS4" s="1411"/>
      <c r="DT4" s="1411"/>
      <c r="DU4" s="1411"/>
      <c r="DV4" s="1411"/>
      <c r="DW4" s="1411"/>
      <c r="DX4" s="1411"/>
      <c r="DY4" s="1412"/>
      <c r="DZ4" s="1411"/>
      <c r="EA4" s="1411"/>
      <c r="EB4" s="1411"/>
      <c r="EC4" s="1411"/>
      <c r="ED4" s="1412"/>
      <c r="EE4" s="1411"/>
      <c r="EF4" s="1411"/>
      <c r="EG4" s="1411"/>
      <c r="EH4" s="1411"/>
      <c r="EI4" s="1412"/>
      <c r="EJ4" s="1411"/>
      <c r="EK4" s="1411"/>
      <c r="EL4" s="1411"/>
      <c r="EM4" s="1411"/>
      <c r="EN4" s="1412"/>
      <c r="EO4" s="1412"/>
      <c r="EP4" s="1412"/>
      <c r="EQ4" s="1412"/>
      <c r="ER4" s="1412"/>
      <c r="ES4" s="1411"/>
      <c r="ET4" s="1411"/>
      <c r="EU4" s="1411"/>
      <c r="EV4" s="1411"/>
      <c r="EW4" s="1411"/>
      <c r="EX4" s="1411"/>
      <c r="EY4" s="1411"/>
      <c r="EZ4" s="1411"/>
      <c r="FA4" s="1411"/>
      <c r="FB4" s="1411"/>
      <c r="FC4" s="1411"/>
      <c r="FD4" s="1411"/>
      <c r="FE4" s="1411"/>
      <c r="FF4" s="1833" t="s">
        <v>3848</v>
      </c>
      <c r="FG4" s="1833" t="s">
        <v>283</v>
      </c>
    </row>
    <row r="5" spans="1:163" s="108" customFormat="1" x14ac:dyDescent="0.3">
      <c r="A5" s="1413"/>
      <c r="B5" s="1413"/>
      <c r="C5" s="1413"/>
      <c r="D5" s="1413"/>
      <c r="E5" s="1413"/>
      <c r="F5" s="1413"/>
      <c r="G5" s="1413"/>
      <c r="H5" s="1413"/>
      <c r="I5" s="1413"/>
      <c r="J5" s="1413"/>
      <c r="K5" s="1413"/>
      <c r="L5" s="1413"/>
      <c r="M5" s="1413"/>
      <c r="N5" s="1413"/>
      <c r="O5" s="1413"/>
      <c r="P5" s="1413"/>
      <c r="Q5" s="1413"/>
      <c r="R5" s="1413"/>
      <c r="S5" s="1413"/>
      <c r="T5" s="1413"/>
      <c r="U5" s="1413"/>
      <c r="V5" s="1413"/>
      <c r="W5" s="1413"/>
      <c r="X5" s="1413"/>
      <c r="Y5" s="1413"/>
      <c r="Z5" s="1413"/>
      <c r="AA5" s="1413"/>
      <c r="AB5" s="1413"/>
      <c r="AC5" s="1413"/>
      <c r="AD5" s="1413"/>
      <c r="AE5" s="1413"/>
      <c r="AF5" s="1413"/>
      <c r="AG5" s="1413"/>
      <c r="AH5" s="1413"/>
      <c r="AI5" s="1413"/>
      <c r="AJ5" s="1413"/>
      <c r="AK5" s="1413"/>
      <c r="AL5" s="1413"/>
      <c r="AM5" s="1413"/>
      <c r="AN5" s="1413"/>
      <c r="AO5" s="1413"/>
      <c r="AP5" s="1413"/>
      <c r="AQ5" s="1413"/>
      <c r="AR5" s="1413"/>
      <c r="AS5" s="1413"/>
      <c r="AT5" s="1413"/>
      <c r="AU5" s="1413"/>
      <c r="AV5" s="1413"/>
      <c r="AW5" s="1413"/>
      <c r="AX5" s="1413"/>
      <c r="AY5" s="1413"/>
      <c r="AZ5" s="1413"/>
      <c r="BA5" s="1413"/>
      <c r="BB5" s="1413"/>
      <c r="BC5" s="1414" t="str">
        <f>+Inputs!BC5</f>
        <v>1Q05</v>
      </c>
      <c r="BD5" s="1414" t="str">
        <f>+Inputs!BD5</f>
        <v>2Q05</v>
      </c>
      <c r="BE5" s="1414" t="str">
        <f>+Inputs!BE5</f>
        <v>3Q05</v>
      </c>
      <c r="BF5" s="1414" t="str">
        <f>+Inputs!BF5</f>
        <v>4Q05</v>
      </c>
      <c r="BG5" s="1414">
        <f>+Inputs!BG5</f>
        <v>2005</v>
      </c>
      <c r="BH5" s="1414" t="str">
        <f>+Inputs!BH5</f>
        <v>1Q06</v>
      </c>
      <c r="BI5" s="1414" t="str">
        <f>+Inputs!BI5</f>
        <v>2Q06</v>
      </c>
      <c r="BJ5" s="1414" t="str">
        <f>+Inputs!BJ5</f>
        <v>3Q06</v>
      </c>
      <c r="BK5" s="1414" t="str">
        <f>+Inputs!BK5</f>
        <v>4Q06</v>
      </c>
      <c r="BL5" s="1414">
        <f>+Inputs!BL5</f>
        <v>2006</v>
      </c>
      <c r="BM5" s="1414" t="str">
        <f>+Inputs!BM5</f>
        <v>1Q07</v>
      </c>
      <c r="BN5" s="1414" t="str">
        <f>+Inputs!BN5</f>
        <v>2Q07</v>
      </c>
      <c r="BO5" s="1414" t="str">
        <f>+Inputs!BO5</f>
        <v>3Q07</v>
      </c>
      <c r="BP5" s="1414" t="str">
        <f>+Inputs!BP5</f>
        <v>4Q07</v>
      </c>
      <c r="BQ5" s="1414">
        <f>+Inputs!BQ5</f>
        <v>2007</v>
      </c>
      <c r="BR5" s="1414" t="str">
        <f>+Inputs!BR5</f>
        <v>1Q08</v>
      </c>
      <c r="BS5" s="1414" t="str">
        <f>+Inputs!BS5</f>
        <v>2Q08</v>
      </c>
      <c r="BT5" s="1414" t="str">
        <f>+Inputs!BT5</f>
        <v>3Q08</v>
      </c>
      <c r="BU5" s="1414" t="str">
        <f>+Inputs!BU5</f>
        <v>4Q08</v>
      </c>
      <c r="BV5" s="1414">
        <f>+Inputs!BV5</f>
        <v>2008</v>
      </c>
      <c r="BW5" s="1414" t="str">
        <f>+Inputs!BW5</f>
        <v>1Q09</v>
      </c>
      <c r="BX5" s="1414" t="str">
        <f>+Inputs!BX5</f>
        <v>2Q09</v>
      </c>
      <c r="BY5" s="1414" t="str">
        <f>+Inputs!BY5</f>
        <v>3Q09</v>
      </c>
      <c r="BZ5" s="1414" t="str">
        <f>+Inputs!BZ5</f>
        <v>4Q09</v>
      </c>
      <c r="CA5" s="1414">
        <f>+Inputs!CA5</f>
        <v>2009</v>
      </c>
      <c r="CB5" s="1414" t="str">
        <f>+Inputs!CB5</f>
        <v>1Q10</v>
      </c>
      <c r="CC5" s="1414" t="str">
        <f>+Inputs!CC5</f>
        <v>2Q10</v>
      </c>
      <c r="CD5" s="1414" t="str">
        <f>+Inputs!CD5</f>
        <v>3Q10</v>
      </c>
      <c r="CE5" s="1414" t="str">
        <f>+Inputs!CE5</f>
        <v>4Q10</v>
      </c>
      <c r="CF5" s="1414">
        <f>+Inputs!CF5</f>
        <v>2010</v>
      </c>
      <c r="CG5" s="1414" t="str">
        <f>+Inputs!CG5</f>
        <v>1Q11</v>
      </c>
      <c r="CH5" s="1414" t="str">
        <f>+Inputs!CH5</f>
        <v>2Q11</v>
      </c>
      <c r="CI5" s="1414" t="str">
        <f>+Inputs!CI5</f>
        <v>3Q11</v>
      </c>
      <c r="CJ5" s="1414" t="str">
        <f>+Inputs!CJ5</f>
        <v>4Q11</v>
      </c>
      <c r="CK5" s="1414">
        <f>+Inputs!CK5</f>
        <v>2011</v>
      </c>
      <c r="CL5" s="1414" t="str">
        <f>+Inputs!CL5</f>
        <v>1Q12</v>
      </c>
      <c r="CM5" s="1414" t="str">
        <f>+Inputs!CM5</f>
        <v>2Q12</v>
      </c>
      <c r="CN5" s="1414" t="str">
        <f>+Inputs!CN5</f>
        <v>3Q12</v>
      </c>
      <c r="CO5" s="1414" t="str">
        <f>+Inputs!CO5</f>
        <v>4Q12</v>
      </c>
      <c r="CP5" s="1414">
        <f>+Inputs!CP5</f>
        <v>2012</v>
      </c>
      <c r="CQ5" s="1414" t="str">
        <f>+Inputs!CQ5</f>
        <v>1Q13</v>
      </c>
      <c r="CR5" s="1414" t="str">
        <f>+Inputs!CR5</f>
        <v>2Q13</v>
      </c>
      <c r="CS5" s="1414" t="str">
        <f>+Inputs!CS5</f>
        <v>3Q13</v>
      </c>
      <c r="CT5" s="1414" t="str">
        <f>+Inputs!CT5</f>
        <v>4Q13</v>
      </c>
      <c r="CU5" s="1414">
        <f>+Inputs!CU5</f>
        <v>2013</v>
      </c>
      <c r="CV5" s="1414" t="str">
        <f>+Inputs!CV5</f>
        <v>1Q14</v>
      </c>
      <c r="CW5" s="1414" t="str">
        <f>+Inputs!CW5</f>
        <v>2Q14</v>
      </c>
      <c r="CX5" s="1414" t="str">
        <f>+Inputs!CX5</f>
        <v>3Q14</v>
      </c>
      <c r="CY5" s="1414" t="str">
        <f>+Inputs!CY5</f>
        <v>4Q14</v>
      </c>
      <c r="CZ5" s="1414">
        <f>+Inputs!CZ5</f>
        <v>2014</v>
      </c>
      <c r="DA5" s="1414" t="str">
        <f>+Inputs!DA5</f>
        <v>1Q15</v>
      </c>
      <c r="DB5" s="1414" t="str">
        <f>+Inputs!DB5</f>
        <v>2Q15</v>
      </c>
      <c r="DC5" s="1414" t="str">
        <f>+Inputs!DC5</f>
        <v>3Q15</v>
      </c>
      <c r="DD5" s="1414" t="str">
        <f>+Inputs!DD5</f>
        <v>4Q15</v>
      </c>
      <c r="DE5" s="1414">
        <f>+Inputs!DE5</f>
        <v>2015</v>
      </c>
      <c r="DF5" s="1414" t="str">
        <f>+Inputs!DF5</f>
        <v>1Q16</v>
      </c>
      <c r="DG5" s="1414" t="str">
        <f>+Inputs!DG5</f>
        <v>2Q16</v>
      </c>
      <c r="DH5" s="1414" t="str">
        <f>+Inputs!DH5</f>
        <v>3Q16</v>
      </c>
      <c r="DI5" s="1414" t="str">
        <f>+Inputs!DI5</f>
        <v>4Q16</v>
      </c>
      <c r="DJ5" s="1414">
        <f>+Inputs!DJ5</f>
        <v>2016</v>
      </c>
      <c r="DK5" s="1414" t="str">
        <f>+Inputs!DK5</f>
        <v>1Q17</v>
      </c>
      <c r="DL5" s="1414" t="str">
        <f>+Inputs!DL5</f>
        <v>2Q17</v>
      </c>
      <c r="DM5" s="1414" t="str">
        <f>+Inputs!DM5</f>
        <v>3Q17</v>
      </c>
      <c r="DN5" s="1414" t="str">
        <f>+Inputs!DN5</f>
        <v>4Q17</v>
      </c>
      <c r="DO5" s="1414">
        <f>+Inputs!DO5</f>
        <v>2017</v>
      </c>
      <c r="DP5" s="1414" t="str">
        <f>+Inputs!DP5</f>
        <v>1Q18</v>
      </c>
      <c r="DQ5" s="1414" t="str">
        <f>+Inputs!DQ5</f>
        <v>2Q18</v>
      </c>
      <c r="DR5" s="1414" t="str">
        <f>+Inputs!DR5</f>
        <v>3Q18</v>
      </c>
      <c r="DS5" s="1414" t="str">
        <f>+Inputs!DS5</f>
        <v>4Q18</v>
      </c>
      <c r="DT5" s="1414">
        <f>+Inputs!DT5</f>
        <v>2018</v>
      </c>
      <c r="DU5" s="1414" t="str">
        <f>+Inputs!DU5</f>
        <v>1Q19</v>
      </c>
      <c r="DV5" s="1414" t="str">
        <f>+Inputs!DV5</f>
        <v>2Q19</v>
      </c>
      <c r="DW5" s="1414" t="str">
        <f>+Inputs!DW5</f>
        <v>3Q19</v>
      </c>
      <c r="DX5" s="1414" t="str">
        <f>+Inputs!DX5</f>
        <v>4Q19</v>
      </c>
      <c r="DY5" s="1414">
        <f>+Inputs!DY5</f>
        <v>2019</v>
      </c>
      <c r="DZ5" s="1414" t="str">
        <f>+Inputs!DZ5</f>
        <v>1Q20</v>
      </c>
      <c r="EA5" s="1414" t="str">
        <f>+Inputs!EA5</f>
        <v>2Q20</v>
      </c>
      <c r="EB5" s="1414" t="str">
        <f>+Inputs!EB5</f>
        <v>3Q20</v>
      </c>
      <c r="EC5" s="1414" t="str">
        <f>+Inputs!EC5</f>
        <v>4Q20</v>
      </c>
      <c r="ED5" s="1414">
        <f>+Inputs!ED5</f>
        <v>2020</v>
      </c>
      <c r="EE5" s="1414" t="str">
        <f>+Inputs!EE5</f>
        <v>1Q21</v>
      </c>
      <c r="EF5" s="1414" t="str">
        <f>+Inputs!EF5</f>
        <v>2Q21</v>
      </c>
      <c r="EG5" s="1414" t="str">
        <f>+Inputs!EG5</f>
        <v>3Q21</v>
      </c>
      <c r="EH5" s="1414" t="str">
        <f>+Inputs!EH5</f>
        <v>4Q21</v>
      </c>
      <c r="EI5" s="1414">
        <f>+Inputs!EI5</f>
        <v>2021</v>
      </c>
      <c r="EJ5" s="1414" t="str">
        <f>+Inputs!EJ5</f>
        <v>1Q22</v>
      </c>
      <c r="EK5" s="1414" t="str">
        <f>+Inputs!EK5</f>
        <v>2Q22</v>
      </c>
      <c r="EL5" s="1414" t="str">
        <f>+Inputs!EL5</f>
        <v>3Q22</v>
      </c>
      <c r="EM5" s="1414" t="str">
        <f>+Inputs!EM5</f>
        <v>4Q22</v>
      </c>
      <c r="EN5" s="1414">
        <f>+Inputs!EN5</f>
        <v>2022</v>
      </c>
      <c r="EO5" s="1414" t="str">
        <f>+Inputs!EO5</f>
        <v>1Q23</v>
      </c>
      <c r="EP5" s="1414" t="str">
        <f>+Inputs!EP5</f>
        <v>2Q23</v>
      </c>
      <c r="EQ5" s="1414" t="str">
        <f>+Inputs!EQ5</f>
        <v>3Q23</v>
      </c>
      <c r="ER5" s="1414" t="str">
        <f>+Inputs!ER5</f>
        <v>4Q23</v>
      </c>
      <c r="ES5" s="1414">
        <f>+Inputs!ES5</f>
        <v>2023</v>
      </c>
      <c r="ET5" s="1414" t="str">
        <f>+Inputs!ET5</f>
        <v>1Q24</v>
      </c>
      <c r="EU5" s="1414" t="str">
        <f>+Inputs!EU5</f>
        <v>2Q24</v>
      </c>
      <c r="EV5" s="1414" t="str">
        <f>+Inputs!EV5</f>
        <v>3Q24</v>
      </c>
      <c r="EW5" s="1414" t="str">
        <f>+Inputs!EW5</f>
        <v>4Q24</v>
      </c>
      <c r="EX5" s="1414">
        <f>+Inputs!EX5</f>
        <v>2024</v>
      </c>
      <c r="EY5" s="1414" t="str">
        <f>+Inputs!FC5</f>
        <v>2025E</v>
      </c>
      <c r="EZ5" s="1414" t="str">
        <f>+Inputs!FD5</f>
        <v>2026E</v>
      </c>
      <c r="FA5" s="1414" t="str">
        <f>+Inputs!FE5</f>
        <v>2027E</v>
      </c>
      <c r="FB5" s="1414" t="str">
        <f>+Inputs!FF5</f>
        <v>2028E</v>
      </c>
      <c r="FC5" s="1414" t="str">
        <f>+Inputs!FG5</f>
        <v>2029E</v>
      </c>
      <c r="FD5" s="1414" t="str">
        <f>+Inputs!FH5</f>
        <v>2030E</v>
      </c>
      <c r="FE5" s="1414" t="str">
        <f>+Inputs!FI5</f>
        <v>2031E</v>
      </c>
      <c r="FF5" s="1415" t="s">
        <v>17</v>
      </c>
      <c r="FG5" s="1415" t="s">
        <v>17</v>
      </c>
    </row>
    <row r="6" spans="1:163" s="108" customFormat="1" x14ac:dyDescent="0.3">
      <c r="A6" s="1413"/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202"/>
      <c r="DZ6" s="119"/>
      <c r="EA6" s="119"/>
      <c r="EB6" s="119"/>
      <c r="EC6" s="119"/>
      <c r="ED6" s="1202"/>
      <c r="EE6" s="119"/>
      <c r="EF6" s="119"/>
      <c r="EG6" s="119"/>
      <c r="EH6" s="119"/>
      <c r="EI6" s="1202"/>
      <c r="EJ6" s="119"/>
      <c r="EK6" s="119"/>
      <c r="EL6" s="119"/>
      <c r="EM6" s="119"/>
      <c r="EN6" s="1202"/>
      <c r="EO6" s="1202"/>
      <c r="EP6" s="1202"/>
      <c r="EQ6" s="1202"/>
      <c r="ER6" s="1202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</row>
    <row r="7" spans="1:163" x14ac:dyDescent="0.3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</row>
    <row r="8" spans="1:163" s="108" customFormat="1" x14ac:dyDescent="0.3">
      <c r="A8" s="108" t="s">
        <v>284</v>
      </c>
      <c r="DY8" s="538"/>
      <c r="DZ8" s="925">
        <f>Drivers!DZ12</f>
        <v>1789</v>
      </c>
      <c r="EA8" s="925">
        <f>Drivers!EA12</f>
        <v>1754</v>
      </c>
      <c r="EB8" s="925">
        <f>Drivers!EB12</f>
        <v>1727</v>
      </c>
      <c r="EC8" s="925">
        <f>Drivers!EC12</f>
        <v>1696</v>
      </c>
      <c r="ED8" s="925">
        <f>Drivers!ED12</f>
        <v>6966</v>
      </c>
      <c r="EE8" s="925">
        <f>Drivers!EE12</f>
        <v>1675</v>
      </c>
      <c r="EF8" s="925">
        <f>Drivers!EF12</f>
        <v>1617</v>
      </c>
      <c r="EG8" s="925">
        <f>Drivers!EG12</f>
        <v>1576</v>
      </c>
      <c r="EH8" s="925">
        <f>Drivers!EH12</f>
        <v>1543</v>
      </c>
      <c r="EI8" s="925">
        <f>Drivers!EI12</f>
        <v>6411</v>
      </c>
      <c r="EJ8" s="925">
        <f>Drivers!EJ12</f>
        <v>1447</v>
      </c>
      <c r="EK8" s="925">
        <f>Drivers!EK12</f>
        <v>1459</v>
      </c>
      <c r="EL8" s="925">
        <f>Drivers!EL12</f>
        <v>1444</v>
      </c>
      <c r="EM8" s="925">
        <f>Drivers!EM12</f>
        <v>1437</v>
      </c>
      <c r="EN8" s="925">
        <f>Drivers!EN12</f>
        <v>5787</v>
      </c>
      <c r="EO8" s="925">
        <f>Drivers!EO12</f>
        <v>1440</v>
      </c>
      <c r="EP8" s="925">
        <f>Drivers!EP12</f>
        <v>1449</v>
      </c>
      <c r="EQ8" s="925">
        <f>Drivers!EQ12</f>
        <v>1436</v>
      </c>
      <c r="ER8" s="925">
        <f>Drivers!ER12</f>
        <v>1426</v>
      </c>
      <c r="ES8" s="925">
        <f>Drivers!ES12</f>
        <v>5751</v>
      </c>
      <c r="ET8" s="925">
        <f>Drivers!ET12</f>
        <v>1462</v>
      </c>
      <c r="EU8" s="925">
        <f>Drivers!EU12</f>
        <v>1480</v>
      </c>
      <c r="EV8" s="925">
        <f>Drivers!EV12</f>
        <v>1489</v>
      </c>
      <c r="EW8" s="925">
        <f>Drivers!EW12</f>
        <v>1506</v>
      </c>
      <c r="EX8" s="925">
        <f>Drivers!EX12</f>
        <v>5937</v>
      </c>
      <c r="EY8" s="925">
        <f>Drivers!FC12</f>
        <v>6020.8233791249304</v>
      </c>
      <c r="EZ8" s="925">
        <f>Drivers!FD12</f>
        <v>6226.1974527353086</v>
      </c>
      <c r="FA8" s="925">
        <f>Drivers!FE12</f>
        <v>6504.264954012373</v>
      </c>
      <c r="FB8" s="925">
        <f>Drivers!FF12</f>
        <v>6801.1959800304503</v>
      </c>
      <c r="FC8" s="925">
        <f>Drivers!FG12</f>
        <v>7077.139317382117</v>
      </c>
      <c r="FD8" s="925">
        <f>Drivers!FH12</f>
        <v>7331.6741550276429</v>
      </c>
      <c r="FE8" s="925">
        <f>Drivers!FI12</f>
        <v>7559.8689514336202</v>
      </c>
    </row>
    <row r="9" spans="1:163" s="108" customFormat="1" x14ac:dyDescent="0.3">
      <c r="A9" s="108" t="s">
        <v>44</v>
      </c>
      <c r="DY9" s="538"/>
      <c r="DZ9" s="925">
        <f>Drivers!DZ30</f>
        <v>687</v>
      </c>
      <c r="EA9" s="925">
        <f>Drivers!EA30</f>
        <v>703</v>
      </c>
      <c r="EB9" s="925">
        <f>Drivers!EB30</f>
        <v>691</v>
      </c>
      <c r="EC9" s="925">
        <f>Drivers!EC30</f>
        <v>694</v>
      </c>
      <c r="ED9" s="925">
        <f>Drivers!ED30</f>
        <v>2775</v>
      </c>
      <c r="EE9" s="925">
        <f>Drivers!EE30</f>
        <v>669</v>
      </c>
      <c r="EF9" s="925">
        <f>Drivers!EF30</f>
        <v>634</v>
      </c>
      <c r="EG9" s="925">
        <f>Drivers!EG30</f>
        <v>587</v>
      </c>
      <c r="EH9" s="925">
        <f>Drivers!EH30</f>
        <v>585</v>
      </c>
      <c r="EI9" s="925">
        <f>Drivers!EI30</f>
        <v>2475</v>
      </c>
      <c r="EJ9" s="925">
        <f>Drivers!EJ30</f>
        <v>509</v>
      </c>
      <c r="EK9" s="925">
        <f>Drivers!EK30</f>
        <v>535</v>
      </c>
      <c r="EL9" s="925">
        <f>Drivers!EL30</f>
        <v>508</v>
      </c>
      <c r="EM9" s="925">
        <f>Drivers!EM30</f>
        <v>528</v>
      </c>
      <c r="EN9" s="925">
        <f>Drivers!EN30</f>
        <v>2080</v>
      </c>
      <c r="EO9" s="925">
        <f>Drivers!EO30</f>
        <v>519</v>
      </c>
      <c r="EP9" s="925">
        <f>Drivers!EP30</f>
        <v>533</v>
      </c>
      <c r="EQ9" s="925">
        <f>Drivers!EQ30</f>
        <v>526</v>
      </c>
      <c r="ER9" s="925">
        <f>Drivers!ER30</f>
        <v>549</v>
      </c>
      <c r="ES9" s="925">
        <f>Drivers!ES30</f>
        <v>2127</v>
      </c>
      <c r="ET9" s="925">
        <f>Drivers!ET30</f>
        <v>547</v>
      </c>
      <c r="EU9" s="925">
        <f>Drivers!EU30</f>
        <v>560</v>
      </c>
      <c r="EV9" s="925">
        <f>Drivers!EV30</f>
        <v>549</v>
      </c>
      <c r="EW9" s="925">
        <f>Drivers!EW30</f>
        <v>595</v>
      </c>
      <c r="EX9" s="925">
        <f>Drivers!EX30</f>
        <v>2251</v>
      </c>
      <c r="EY9" s="925">
        <f>Drivers!FC30</f>
        <v>2416.4545969116934</v>
      </c>
      <c r="EZ9" s="925">
        <f>Drivers!FD30</f>
        <v>2677.013038976258</v>
      </c>
      <c r="FA9" s="925">
        <f>Drivers!FE30</f>
        <v>2993.8763244864958</v>
      </c>
      <c r="FB9" s="925">
        <f>Drivers!FF30</f>
        <v>3272.0038286472327</v>
      </c>
      <c r="FC9" s="925">
        <f>Drivers!FG30</f>
        <v>3533.6794470944569</v>
      </c>
      <c r="FD9" s="925">
        <f>Drivers!FH30</f>
        <v>3778.5031908761962</v>
      </c>
      <c r="FE9" s="925">
        <f>Drivers!FI30</f>
        <v>4001.9646887265139</v>
      </c>
    </row>
    <row r="10" spans="1:163" s="108" customFormat="1" x14ac:dyDescent="0.3">
      <c r="A10" s="108" t="s">
        <v>198</v>
      </c>
      <c r="DY10" s="538"/>
      <c r="DZ10" s="120">
        <f>Drivers!DZ572</f>
        <v>286</v>
      </c>
      <c r="EA10" s="120">
        <f>Drivers!EA572</f>
        <v>225</v>
      </c>
      <c r="EB10" s="120">
        <f>Drivers!EB572</f>
        <v>314</v>
      </c>
      <c r="EC10" s="120">
        <f>Drivers!EC572</f>
        <v>356</v>
      </c>
      <c r="ED10" s="120">
        <f>Drivers!ED572</f>
        <v>1181</v>
      </c>
      <c r="EE10" s="120">
        <f>Drivers!EE572</f>
        <v>384</v>
      </c>
      <c r="EF10" s="120">
        <f>Drivers!EF572</f>
        <v>385</v>
      </c>
      <c r="EG10" s="120">
        <f>Drivers!EG572</f>
        <v>377</v>
      </c>
      <c r="EH10" s="120">
        <f>Drivers!EH572</f>
        <v>559</v>
      </c>
      <c r="EI10" s="120">
        <f>Drivers!EI572</f>
        <v>1705</v>
      </c>
      <c r="EJ10" s="120">
        <f>Drivers!EJ572</f>
        <v>447</v>
      </c>
      <c r="EK10" s="120">
        <f>Drivers!EK572</f>
        <v>641</v>
      </c>
      <c r="EL10" s="120">
        <f>Drivers!EL572</f>
        <v>772</v>
      </c>
      <c r="EM10" s="120">
        <f>Drivers!EM572</f>
        <v>878</v>
      </c>
      <c r="EN10" s="120">
        <f>Drivers!EN572</f>
        <v>2738</v>
      </c>
      <c r="EO10" s="120">
        <f>Drivers!EO572</f>
        <v>1154</v>
      </c>
      <c r="EP10" s="120">
        <f>Drivers!EP572</f>
        <v>1057</v>
      </c>
      <c r="EQ10" s="120">
        <f>Drivers!EQ572</f>
        <v>671</v>
      </c>
      <c r="ER10" s="120">
        <f>Drivers!ER572</f>
        <v>329</v>
      </c>
      <c r="ES10" s="120">
        <f>Drivers!ES572</f>
        <v>3211</v>
      </c>
      <c r="ET10" s="120">
        <f>Drivers!ET572</f>
        <v>666</v>
      </c>
      <c r="EU10" s="120">
        <f>Drivers!EU572</f>
        <v>626</v>
      </c>
      <c r="EV10" s="120">
        <f>Drivers!EV572</f>
        <v>699</v>
      </c>
      <c r="EW10" s="120">
        <f>Drivers!EW572</f>
        <v>792</v>
      </c>
      <c r="EX10" s="120">
        <f>Drivers!EX572</f>
        <v>2783</v>
      </c>
      <c r="EY10" s="120">
        <f>Drivers!FC572</f>
        <v>3194.4479521510066</v>
      </c>
      <c r="EZ10" s="120">
        <f>Drivers!FD572</f>
        <v>2782.4684202674325</v>
      </c>
      <c r="FA10" s="120">
        <f>Drivers!FE572</f>
        <v>1926.0215850968652</v>
      </c>
      <c r="FB10" s="120">
        <f>Drivers!FF572</f>
        <v>1586.100905365895</v>
      </c>
      <c r="FC10" s="120">
        <f>Drivers!FG572</f>
        <v>1521.0656290142479</v>
      </c>
      <c r="FD10" s="120">
        <f>Drivers!FH572</f>
        <v>1496.8753495613416</v>
      </c>
      <c r="FE10" s="120">
        <f>Drivers!FI572</f>
        <v>1474.2957441032881</v>
      </c>
    </row>
    <row r="11" spans="1:163" s="108" customFormat="1" x14ac:dyDescent="0.3">
      <c r="A11" s="108" t="s">
        <v>3834</v>
      </c>
      <c r="DY11" s="538"/>
      <c r="DZ11" s="929">
        <f>DZ9-DZ10</f>
        <v>401</v>
      </c>
      <c r="EA11" s="929">
        <f t="shared" ref="EA11:ES11" si="0">EA9-EA10</f>
        <v>478</v>
      </c>
      <c r="EB11" s="929">
        <f t="shared" si="0"/>
        <v>377</v>
      </c>
      <c r="EC11" s="929">
        <f t="shared" si="0"/>
        <v>338</v>
      </c>
      <c r="ED11" s="929">
        <f t="shared" si="0"/>
        <v>1594</v>
      </c>
      <c r="EE11" s="929">
        <f t="shared" si="0"/>
        <v>285</v>
      </c>
      <c r="EF11" s="929">
        <f t="shared" si="0"/>
        <v>249</v>
      </c>
      <c r="EG11" s="929">
        <f t="shared" si="0"/>
        <v>210</v>
      </c>
      <c r="EH11" s="929">
        <f t="shared" si="0"/>
        <v>26</v>
      </c>
      <c r="EI11" s="929">
        <f t="shared" si="0"/>
        <v>770</v>
      </c>
      <c r="EJ11" s="929">
        <f t="shared" si="0"/>
        <v>62</v>
      </c>
      <c r="EK11" s="929">
        <f t="shared" si="0"/>
        <v>-106</v>
      </c>
      <c r="EL11" s="929">
        <f t="shared" si="0"/>
        <v>-264</v>
      </c>
      <c r="EM11" s="929">
        <f t="shared" si="0"/>
        <v>-350</v>
      </c>
      <c r="EN11" s="929">
        <f t="shared" si="0"/>
        <v>-658</v>
      </c>
      <c r="EO11" s="929">
        <f t="shared" si="0"/>
        <v>-635</v>
      </c>
      <c r="EP11" s="929">
        <f t="shared" si="0"/>
        <v>-524</v>
      </c>
      <c r="EQ11" s="929">
        <f t="shared" si="0"/>
        <v>-145</v>
      </c>
      <c r="ER11" s="929">
        <f t="shared" si="0"/>
        <v>220</v>
      </c>
      <c r="ES11" s="929">
        <f t="shared" si="0"/>
        <v>-1084</v>
      </c>
      <c r="ET11" s="929">
        <f t="shared" ref="ET11:EX11" si="1">ET9-ET10</f>
        <v>-119</v>
      </c>
      <c r="EU11" s="929">
        <f t="shared" si="1"/>
        <v>-66</v>
      </c>
      <c r="EV11" s="929">
        <f t="shared" si="1"/>
        <v>-150</v>
      </c>
      <c r="EW11" s="929">
        <f t="shared" si="1"/>
        <v>-197</v>
      </c>
      <c r="EX11" s="929">
        <f t="shared" si="1"/>
        <v>-532</v>
      </c>
      <c r="EY11" s="929">
        <f t="shared" ref="EY11:FE11" si="2">EY9-EY10</f>
        <v>-777.99335523931313</v>
      </c>
      <c r="EZ11" s="929">
        <f t="shared" si="2"/>
        <v>-105.45538129117449</v>
      </c>
      <c r="FA11" s="929">
        <f t="shared" si="2"/>
        <v>1067.8547393896306</v>
      </c>
      <c r="FB11" s="929">
        <f t="shared" si="2"/>
        <v>1685.9029232813377</v>
      </c>
      <c r="FC11" s="929">
        <f t="shared" si="2"/>
        <v>2012.6138180802091</v>
      </c>
      <c r="FD11" s="929">
        <f t="shared" si="2"/>
        <v>2281.6278413148548</v>
      </c>
      <c r="FE11" s="929">
        <f t="shared" si="2"/>
        <v>2527.6689446232258</v>
      </c>
    </row>
    <row r="12" spans="1:163" s="108" customFormat="1" x14ac:dyDescent="0.3">
      <c r="A12" s="108" t="s">
        <v>3299</v>
      </c>
      <c r="DY12" s="538"/>
      <c r="DZ12" s="120">
        <f>-'Model Main'!DZ204</f>
        <v>-383</v>
      </c>
      <c r="EA12" s="120">
        <f>-'Model Main'!EA204</f>
        <v>-160</v>
      </c>
      <c r="EB12" s="120">
        <f>-'Model Main'!EB204</f>
        <v>-121</v>
      </c>
      <c r="EC12" s="120">
        <f>-'Model Main'!EC204</f>
        <v>-98</v>
      </c>
      <c r="ED12" s="120">
        <f>-'Model Main'!ED204</f>
        <v>-762</v>
      </c>
      <c r="EE12" s="120">
        <f>-'Model Main'!EE204</f>
        <v>-89</v>
      </c>
      <c r="EF12" s="120">
        <f>-'Model Main'!EF204</f>
        <v>-91</v>
      </c>
      <c r="EG12" s="120">
        <f>-'Model Main'!EG204</f>
        <v>-90</v>
      </c>
      <c r="EH12" s="120">
        <f>-'Model Main'!EH204</f>
        <v>-105</v>
      </c>
      <c r="EI12" s="120">
        <f>-'Model Main'!EI204</f>
        <v>-375</v>
      </c>
      <c r="EJ12" s="120">
        <f>-'Model Main'!EJ204</f>
        <v>-103</v>
      </c>
      <c r="EK12" s="120">
        <f>-'Model Main'!EK204</f>
        <v>-118</v>
      </c>
      <c r="EL12" s="120">
        <f>-'Model Main'!EL204</f>
        <v>-135</v>
      </c>
      <c r="EM12" s="120">
        <f>-'Model Main'!EM204</f>
        <v>-169</v>
      </c>
      <c r="EN12" s="120">
        <f>-'Model Main'!EN204</f>
        <v>-525</v>
      </c>
      <c r="EO12" s="120">
        <f>-'Model Main'!EO204</f>
        <v>-158</v>
      </c>
      <c r="EP12" s="120">
        <f>-'Model Main'!EP204</f>
        <v>-171</v>
      </c>
      <c r="EQ12" s="120">
        <f>-'Model Main'!EQ204</f>
        <v>-196</v>
      </c>
      <c r="ER12" s="120">
        <f>-'Model Main'!ER204</f>
        <v>-211</v>
      </c>
      <c r="ES12" s="120">
        <f>-'Model Main'!ES204</f>
        <v>-736</v>
      </c>
      <c r="ET12" s="120">
        <f>-'Model Main'!ET204</f>
        <v>-211</v>
      </c>
      <c r="EU12" s="120">
        <f>-'Model Main'!EU204</f>
        <v>-209</v>
      </c>
      <c r="EV12" s="120">
        <f>-'Model Main'!EV204</f>
        <v>-216</v>
      </c>
      <c r="EW12" s="120">
        <f>-'Model Main'!EW204</f>
        <v>-217</v>
      </c>
      <c r="EX12" s="120">
        <f>-'Model Main'!EX204</f>
        <v>-853</v>
      </c>
      <c r="EY12" s="120">
        <f>-'Model Main'!FC204</f>
        <v>-922.83749999999998</v>
      </c>
      <c r="EZ12" s="120">
        <f>-'Model Main'!FD204</f>
        <v>-1022.7375</v>
      </c>
      <c r="FA12" s="120">
        <f>-'Model Main'!FE204</f>
        <v>-1082.91265</v>
      </c>
      <c r="FB12" s="120">
        <f>-'Model Main'!FF204</f>
        <v>-1108.7077999999999</v>
      </c>
      <c r="FC12" s="120">
        <f>-'Model Main'!FG204</f>
        <v>-1108.9465499999999</v>
      </c>
      <c r="FD12" s="120">
        <f>-'Model Main'!FH204</f>
        <v>-1073.3536189670058</v>
      </c>
      <c r="FE12" s="120">
        <f>-'Model Main'!FI204</f>
        <v>-1082.7279519056276</v>
      </c>
    </row>
    <row r="13" spans="1:163" s="108" customFormat="1" x14ac:dyDescent="0.3">
      <c r="A13" s="108" t="s">
        <v>551</v>
      </c>
      <c r="DY13" s="538"/>
      <c r="DZ13" s="120">
        <f>-'Model Main'!DZ166</f>
        <v>-1</v>
      </c>
      <c r="EA13" s="120">
        <f>-'Model Main'!EA166</f>
        <v>0</v>
      </c>
      <c r="EB13" s="120">
        <f>-'Model Main'!EB166</f>
        <v>-5</v>
      </c>
      <c r="EC13" s="120">
        <f>-'Model Main'!EC166</f>
        <v>-2</v>
      </c>
      <c r="ED13" s="120">
        <f>-'Model Main'!ED166</f>
        <v>-8</v>
      </c>
      <c r="EE13" s="120">
        <f>-'Model Main'!EE166</f>
        <v>0</v>
      </c>
      <c r="EF13" s="120">
        <f>-'Model Main'!EF166</f>
        <v>-33</v>
      </c>
      <c r="EG13" s="120">
        <f>-'Model Main'!EG166</f>
        <v>-3</v>
      </c>
      <c r="EH13" s="120">
        <f>-'Model Main'!EH166</f>
        <v>-3</v>
      </c>
      <c r="EI13" s="120">
        <f>-'Model Main'!EI166</f>
        <v>-39</v>
      </c>
      <c r="EJ13" s="120">
        <f>-'Model Main'!EJ166</f>
        <v>-2</v>
      </c>
      <c r="EK13" s="120">
        <f>-'Model Main'!EK166</f>
        <v>-7</v>
      </c>
      <c r="EL13" s="120">
        <f>-'Model Main'!EL166</f>
        <v>2</v>
      </c>
      <c r="EM13" s="120">
        <f>-'Model Main'!EM166</f>
        <v>-1</v>
      </c>
      <c r="EN13" s="120">
        <f>-'Model Main'!EN166</f>
        <v>-8</v>
      </c>
      <c r="EO13" s="120">
        <f>-'Model Main'!EO166</f>
        <v>-5</v>
      </c>
      <c r="EP13" s="120">
        <f>-'Model Main'!EP166</f>
        <v>4</v>
      </c>
      <c r="EQ13" s="120">
        <f>-'Model Main'!EQ166</f>
        <v>0</v>
      </c>
      <c r="ER13" s="120">
        <f>-'Model Main'!ER166</f>
        <v>1</v>
      </c>
      <c r="ES13" s="120">
        <f>-'Model Main'!ES166</f>
        <v>0</v>
      </c>
      <c r="ET13" s="120">
        <f>-'Model Main'!ET166</f>
        <v>-13</v>
      </c>
      <c r="EU13" s="120">
        <f>-'Model Main'!EU166</f>
        <v>-4</v>
      </c>
      <c r="EV13" s="120">
        <f>-'Model Main'!EV166</f>
        <v>-1</v>
      </c>
      <c r="EW13" s="120">
        <f>-'Model Main'!EW166</f>
        <v>2</v>
      </c>
      <c r="EX13" s="120">
        <f>-'Model Main'!EX166</f>
        <v>-16</v>
      </c>
      <c r="EY13" s="120">
        <f>-'Model Main'!FC166</f>
        <v>-20</v>
      </c>
      <c r="EZ13" s="120">
        <f>-'Model Main'!FD166</f>
        <v>-20</v>
      </c>
      <c r="FA13" s="120">
        <f>-'Model Main'!FE166</f>
        <v>-20</v>
      </c>
      <c r="FB13" s="120">
        <f>-'Model Main'!FF166</f>
        <v>-20</v>
      </c>
      <c r="FC13" s="120">
        <f>-'Model Main'!FG166</f>
        <v>-20</v>
      </c>
      <c r="FD13" s="120">
        <f>-'Model Main'!FH166</f>
        <v>-20</v>
      </c>
      <c r="FE13" s="120">
        <f>-'Model Main'!FI166</f>
        <v>-20</v>
      </c>
    </row>
    <row r="14" spans="1:163" s="108" customFormat="1" x14ac:dyDescent="0.3">
      <c r="A14" s="108" t="s">
        <v>3849</v>
      </c>
      <c r="DY14" s="538"/>
      <c r="DZ14" s="120">
        <f>'Model Main'!DZ103</f>
        <v>141</v>
      </c>
      <c r="EA14" s="120">
        <f>'Model Main'!EA103</f>
        <v>37</v>
      </c>
      <c r="EB14" s="120">
        <f>'Model Main'!EB103</f>
        <v>139</v>
      </c>
      <c r="EC14" s="120">
        <f>'Model Main'!EC103</f>
        <v>57</v>
      </c>
      <c r="ED14" s="120">
        <f>'Model Main'!ED103</f>
        <v>374</v>
      </c>
      <c r="EE14" s="120">
        <f>'Model Main'!EE103</f>
        <v>134</v>
      </c>
      <c r="EF14" s="120">
        <f>'Model Main'!EF103</f>
        <v>-150</v>
      </c>
      <c r="EG14" s="120">
        <f>'Model Main'!EG103</f>
        <v>171</v>
      </c>
      <c r="EH14" s="120">
        <f>'Model Main'!EH103</f>
        <v>-19</v>
      </c>
      <c r="EI14" s="120">
        <f>'Model Main'!EI103</f>
        <v>136</v>
      </c>
      <c r="EJ14" s="120">
        <f>'Model Main'!EJ103</f>
        <v>102</v>
      </c>
      <c r="EK14" s="120">
        <f>'Model Main'!EK103</f>
        <v>-258</v>
      </c>
      <c r="EL14" s="120">
        <f>'Model Main'!EL103</f>
        <v>-268</v>
      </c>
      <c r="EM14" s="120">
        <f>'Model Main'!EM103</f>
        <v>-137</v>
      </c>
      <c r="EN14" s="120">
        <f>'Model Main'!EN103</f>
        <v>-561</v>
      </c>
      <c r="EO14" s="120">
        <f>'Model Main'!EO103</f>
        <v>38</v>
      </c>
      <c r="EP14" s="120">
        <f>'Model Main'!EP103</f>
        <v>-106</v>
      </c>
      <c r="EQ14" s="120">
        <f>'Model Main'!EQ103</f>
        <v>-28</v>
      </c>
      <c r="ER14" s="120">
        <f>'Model Main'!ER103</f>
        <v>-212</v>
      </c>
      <c r="ES14" s="120">
        <f>'Model Main'!ES103</f>
        <v>-308</v>
      </c>
      <c r="ET14" s="120">
        <f>'Model Main'!ET103</f>
        <v>-86</v>
      </c>
      <c r="EU14" s="120">
        <f>'Model Main'!EU103</f>
        <v>86</v>
      </c>
      <c r="EV14" s="120">
        <f>'Model Main'!EV103</f>
        <v>272</v>
      </c>
      <c r="EW14" s="120">
        <f>'Model Main'!EW103</f>
        <v>-27</v>
      </c>
      <c r="EX14" s="120">
        <f>'Model Main'!EX103</f>
        <v>245</v>
      </c>
      <c r="EY14" s="120">
        <f>'Model Main'!FC103</f>
        <v>24.5</v>
      </c>
      <c r="EZ14" s="120">
        <f>'Model Main'!FD103</f>
        <v>12.25</v>
      </c>
      <c r="FA14" s="120">
        <f>'Model Main'!FE103</f>
        <v>0</v>
      </c>
      <c r="FB14" s="120">
        <f>'Model Main'!FF103</f>
        <v>0</v>
      </c>
      <c r="FC14" s="120">
        <f>'Model Main'!FG103</f>
        <v>0</v>
      </c>
      <c r="FD14" s="120">
        <f>'Model Main'!FH103</f>
        <v>0</v>
      </c>
      <c r="FE14" s="120">
        <f>'Model Main'!FI103</f>
        <v>0</v>
      </c>
    </row>
    <row r="15" spans="1:163" s="108" customFormat="1" x14ac:dyDescent="0.3">
      <c r="A15" s="108" t="s">
        <v>2092</v>
      </c>
      <c r="DY15" s="538"/>
      <c r="DZ15" s="929">
        <f>DZ11+DZ12+DZ13+DZ14</f>
        <v>158</v>
      </c>
      <c r="EA15" s="929">
        <f t="shared" ref="EA15:ES15" si="3">EA11+EA12+EA13+EA14</f>
        <v>355</v>
      </c>
      <c r="EB15" s="929">
        <f t="shared" si="3"/>
        <v>390</v>
      </c>
      <c r="EC15" s="929">
        <f t="shared" si="3"/>
        <v>295</v>
      </c>
      <c r="ED15" s="929">
        <f t="shared" si="3"/>
        <v>1198</v>
      </c>
      <c r="EE15" s="929">
        <f t="shared" si="3"/>
        <v>330</v>
      </c>
      <c r="EF15" s="929">
        <f t="shared" si="3"/>
        <v>-25</v>
      </c>
      <c r="EG15" s="929">
        <f t="shared" si="3"/>
        <v>288</v>
      </c>
      <c r="EH15" s="929">
        <f t="shared" si="3"/>
        <v>-101</v>
      </c>
      <c r="EI15" s="929">
        <f t="shared" si="3"/>
        <v>492</v>
      </c>
      <c r="EJ15" s="929">
        <f t="shared" si="3"/>
        <v>59</v>
      </c>
      <c r="EK15" s="929">
        <f t="shared" si="3"/>
        <v>-489</v>
      </c>
      <c r="EL15" s="929">
        <f t="shared" si="3"/>
        <v>-665</v>
      </c>
      <c r="EM15" s="929">
        <f t="shared" si="3"/>
        <v>-657</v>
      </c>
      <c r="EN15" s="929">
        <f t="shared" si="3"/>
        <v>-1752</v>
      </c>
      <c r="EO15" s="929">
        <f t="shared" si="3"/>
        <v>-760</v>
      </c>
      <c r="EP15" s="929">
        <f t="shared" si="3"/>
        <v>-797</v>
      </c>
      <c r="EQ15" s="929">
        <f t="shared" si="3"/>
        <v>-369</v>
      </c>
      <c r="ER15" s="929">
        <f t="shared" si="3"/>
        <v>-202</v>
      </c>
      <c r="ES15" s="929">
        <f t="shared" si="3"/>
        <v>-2128</v>
      </c>
      <c r="ET15" s="929">
        <f t="shared" ref="ET15:EX15" si="4">ET11+ET12+ET13+ET14</f>
        <v>-429</v>
      </c>
      <c r="EU15" s="929">
        <f t="shared" si="4"/>
        <v>-193</v>
      </c>
      <c r="EV15" s="929">
        <f t="shared" si="4"/>
        <v>-95</v>
      </c>
      <c r="EW15" s="929">
        <f t="shared" si="4"/>
        <v>-439</v>
      </c>
      <c r="EX15" s="929">
        <f t="shared" si="4"/>
        <v>-1156</v>
      </c>
      <c r="EY15" s="929">
        <f t="shared" ref="EY15:FE15" si="5">EY11+EY12+EY13+EY14</f>
        <v>-1696.3308552393132</v>
      </c>
      <c r="EZ15" s="929">
        <f t="shared" si="5"/>
        <v>-1135.9428812911744</v>
      </c>
      <c r="FA15" s="929">
        <f t="shared" si="5"/>
        <v>-35.05791061036939</v>
      </c>
      <c r="FB15" s="929">
        <f t="shared" si="5"/>
        <v>557.19512328133783</v>
      </c>
      <c r="FC15" s="929">
        <f t="shared" si="5"/>
        <v>883.66726808020917</v>
      </c>
      <c r="FD15" s="929">
        <f t="shared" si="5"/>
        <v>1188.274222347849</v>
      </c>
      <c r="FE15" s="929">
        <f t="shared" si="5"/>
        <v>1424.9409927175982</v>
      </c>
    </row>
    <row r="16" spans="1:163" s="108" customFormat="1" x14ac:dyDescent="0.3">
      <c r="A16" s="108" t="s">
        <v>866</v>
      </c>
      <c r="DY16" s="120">
        <f>'Model Main'!DY198</f>
        <v>16542</v>
      </c>
      <c r="DZ16" s="120">
        <f>'Model Main'!DZ198</f>
        <v>16365</v>
      </c>
      <c r="EA16" s="120">
        <f>'Model Main'!EA198</f>
        <v>15221</v>
      </c>
      <c r="EB16" s="120">
        <f>'Model Main'!EB198</f>
        <v>15011.261264756416</v>
      </c>
      <c r="EC16" s="120">
        <f>'Model Main'!EC198</f>
        <v>15005.551127861221</v>
      </c>
      <c r="ED16" s="120">
        <f>'Model Main'!ED198</f>
        <v>15005.551127861221</v>
      </c>
      <c r="EE16" s="120">
        <f>'Model Main'!EE198</f>
        <v>14733.374217147924</v>
      </c>
      <c r="EF16" s="120">
        <f>'Model Main'!EF198</f>
        <v>6029</v>
      </c>
      <c r="EG16" s="120">
        <f>'Model Main'!EG198</f>
        <v>5800</v>
      </c>
      <c r="EH16" s="120">
        <f>'Model Main'!EH198</f>
        <v>5856</v>
      </c>
      <c r="EI16" s="120">
        <f>'Model Main'!EI198</f>
        <v>5856</v>
      </c>
      <c r="EJ16" s="120">
        <f>'Model Main'!EJ198</f>
        <v>5783.0000000000009</v>
      </c>
      <c r="EK16" s="120">
        <f>'Model Main'!EK198</f>
        <v>6167</v>
      </c>
      <c r="EL16" s="120">
        <f>'Model Main'!EL198</f>
        <v>6580</v>
      </c>
      <c r="EM16" s="120">
        <f>'Model Main'!EM198</f>
        <v>7053</v>
      </c>
      <c r="EN16" s="120">
        <f>'Model Main'!EN198</f>
        <v>7053</v>
      </c>
      <c r="EO16" s="120">
        <f>'Model Main'!EO198</f>
        <v>7822</v>
      </c>
      <c r="EP16" s="120">
        <f>'Model Main'!EP198</f>
        <v>8607</v>
      </c>
      <c r="EQ16" s="120">
        <f>'Model Main'!EQ198</f>
        <v>9050</v>
      </c>
      <c r="ER16" s="120">
        <f>'Model Main'!ER198</f>
        <v>9061</v>
      </c>
      <c r="ES16" s="120">
        <f>'Model Main'!ES198</f>
        <v>9061</v>
      </c>
      <c r="ET16" s="120">
        <f>'Model Main'!ET198</f>
        <v>9734</v>
      </c>
      <c r="EU16" s="120">
        <f>'Model Main'!EU198</f>
        <v>10052</v>
      </c>
      <c r="EV16" s="120">
        <f>'Model Main'!EV198</f>
        <v>10246</v>
      </c>
      <c r="EW16" s="120">
        <f>'Model Main'!EW198</f>
        <v>10811</v>
      </c>
      <c r="EX16" s="120">
        <f>'Model Main'!EX198</f>
        <v>10811</v>
      </c>
      <c r="EY16" s="120">
        <f>'Model Main'!FC198</f>
        <v>12678.206734041809</v>
      </c>
      <c r="EZ16" s="120">
        <f>'Model Main'!FD198</f>
        <v>14286.955249149083</v>
      </c>
      <c r="FA16" s="120">
        <f>'Model Main'!FE198</f>
        <v>14518.571773529582</v>
      </c>
      <c r="FB16" s="120">
        <f>'Model Main'!FF198</f>
        <v>14157.400706661409</v>
      </c>
      <c r="FC16" s="120">
        <f>'Model Main'!FG198</f>
        <v>13594.7525473368</v>
      </c>
      <c r="FD16" s="120">
        <f>'Model Main'!FH198</f>
        <v>13224.761168066691</v>
      </c>
      <c r="FE16" s="120">
        <f>'Model Main'!FI198</f>
        <v>14006.8764105428</v>
      </c>
    </row>
    <row r="17" spans="1:161" s="108" customFormat="1" x14ac:dyDescent="0.3">
      <c r="A17" s="108" t="s">
        <v>3850</v>
      </c>
      <c r="DY17" s="538"/>
      <c r="DZ17" s="120">
        <f>DY16-DZ16</f>
        <v>177</v>
      </c>
      <c r="EA17" s="120">
        <f t="shared" ref="EA17:ES17" si="6">DZ16-EA16</f>
        <v>1144</v>
      </c>
      <c r="EB17" s="120">
        <f t="shared" si="6"/>
        <v>209.73873524358351</v>
      </c>
      <c r="EC17" s="120">
        <f t="shared" si="6"/>
        <v>5.7101368951953191</v>
      </c>
      <c r="ED17" s="120">
        <f t="shared" si="6"/>
        <v>0</v>
      </c>
      <c r="EE17" s="120">
        <f t="shared" si="6"/>
        <v>272.17691071329682</v>
      </c>
      <c r="EF17" s="120">
        <f t="shared" si="6"/>
        <v>8704.3742171479244</v>
      </c>
      <c r="EG17" s="120">
        <f t="shared" si="6"/>
        <v>229</v>
      </c>
      <c r="EH17" s="120">
        <f t="shared" si="6"/>
        <v>-56</v>
      </c>
      <c r="EI17" s="120">
        <f t="shared" si="6"/>
        <v>0</v>
      </c>
      <c r="EJ17" s="120">
        <f t="shared" si="6"/>
        <v>72.999999999999091</v>
      </c>
      <c r="EK17" s="120">
        <f t="shared" si="6"/>
        <v>-383.99999999999909</v>
      </c>
      <c r="EL17" s="120">
        <f t="shared" si="6"/>
        <v>-413</v>
      </c>
      <c r="EM17" s="120">
        <f t="shared" si="6"/>
        <v>-473</v>
      </c>
      <c r="EN17" s="120">
        <f t="shared" si="6"/>
        <v>0</v>
      </c>
      <c r="EO17" s="120">
        <f t="shared" si="6"/>
        <v>-769</v>
      </c>
      <c r="EP17" s="120">
        <f t="shared" si="6"/>
        <v>-785</v>
      </c>
      <c r="EQ17" s="120">
        <f t="shared" si="6"/>
        <v>-443</v>
      </c>
      <c r="ER17" s="120">
        <f t="shared" si="6"/>
        <v>-11</v>
      </c>
      <c r="ES17" s="120">
        <f t="shared" si="6"/>
        <v>0</v>
      </c>
      <c r="ET17" s="120">
        <f t="shared" ref="ET17" si="7">ES16-ET16</f>
        <v>-673</v>
      </c>
      <c r="EU17" s="120">
        <f t="shared" ref="EU17" si="8">ET16-EU16</f>
        <v>-318</v>
      </c>
      <c r="EV17" s="120">
        <f t="shared" ref="EV17" si="9">EU16-EV16</f>
        <v>-194</v>
      </c>
      <c r="EW17" s="120">
        <f t="shared" ref="EW17" si="10">EV16-EW16</f>
        <v>-565</v>
      </c>
      <c r="EX17" s="120">
        <f t="shared" ref="EX17" si="11">EW16-EX16</f>
        <v>0</v>
      </c>
      <c r="EY17" s="120">
        <f t="shared" ref="EY17" si="12">EX16-EY16</f>
        <v>-1867.2067340418089</v>
      </c>
      <c r="EZ17" s="120">
        <f t="shared" ref="EZ17" si="13">EY16-EZ16</f>
        <v>-1608.7485151072742</v>
      </c>
      <c r="FA17" s="120">
        <f t="shared" ref="FA17" si="14">EZ16-FA16</f>
        <v>-231.61652438049896</v>
      </c>
      <c r="FB17" s="120">
        <f t="shared" ref="FB17" si="15">FA16-FB16</f>
        <v>361.17106686817351</v>
      </c>
      <c r="FC17" s="120">
        <f t="shared" ref="FC17" si="16">FB16-FC16</f>
        <v>562.64815932460806</v>
      </c>
      <c r="FD17" s="120">
        <f t="shared" ref="FD17" si="17">FC16-FD16</f>
        <v>369.99137927010997</v>
      </c>
      <c r="FE17" s="120">
        <f t="shared" ref="FE17" si="18">FD16-FE16</f>
        <v>-782.11524247610942</v>
      </c>
    </row>
    <row r="18" spans="1:161" s="108" customFormat="1" x14ac:dyDescent="0.3">
      <c r="DY18" s="538"/>
      <c r="ED18" s="538"/>
      <c r="EI18" s="538"/>
      <c r="EN18" s="538"/>
      <c r="EO18" s="538"/>
      <c r="EP18" s="538"/>
      <c r="EQ18" s="538"/>
      <c r="ER18" s="538"/>
    </row>
    <row r="19" spans="1:161" s="108" customFormat="1" x14ac:dyDescent="0.3">
      <c r="DY19" s="538"/>
      <c r="ED19" s="538"/>
      <c r="EI19" s="538"/>
      <c r="EN19" s="538"/>
      <c r="EO19" s="538"/>
      <c r="EP19" s="538"/>
      <c r="EQ19" s="538"/>
      <c r="ER19" s="538"/>
    </row>
    <row r="20" spans="1:161" s="108" customFormat="1" x14ac:dyDescent="0.3">
      <c r="DY20" s="538"/>
      <c r="ED20" s="538"/>
      <c r="EI20" s="538"/>
      <c r="EN20" s="538"/>
      <c r="EO20" s="538"/>
      <c r="EP20" s="538"/>
      <c r="EQ20" s="538"/>
      <c r="ER20" s="538"/>
    </row>
    <row r="21" spans="1:161" s="108" customFormat="1" x14ac:dyDescent="0.3">
      <c r="DY21" s="538"/>
      <c r="ED21" s="538"/>
      <c r="EI21" s="538"/>
      <c r="EN21" s="538"/>
      <c r="EO21" s="538"/>
      <c r="EP21" s="538"/>
      <c r="EQ21" s="538"/>
      <c r="ER21" s="538"/>
    </row>
    <row r="22" spans="1:161" s="108" customFormat="1" x14ac:dyDescent="0.3">
      <c r="DY22" s="538"/>
      <c r="ED22" s="538"/>
      <c r="EI22" s="538"/>
      <c r="EN22" s="538"/>
      <c r="EO22" s="538"/>
      <c r="EP22" s="538"/>
      <c r="EQ22" s="538"/>
      <c r="ER22" s="538"/>
    </row>
    <row r="23" spans="1:161" s="108" customFormat="1" x14ac:dyDescent="0.3">
      <c r="DY23" s="538"/>
      <c r="ED23" s="538"/>
      <c r="EI23" s="538"/>
      <c r="EN23" s="538"/>
      <c r="EO23" s="538"/>
      <c r="EP23" s="538"/>
      <c r="EQ23" s="538"/>
      <c r="ER23" s="538"/>
    </row>
    <row r="24" spans="1:161" s="108" customFormat="1" x14ac:dyDescent="0.3">
      <c r="DY24" s="538"/>
      <c r="ED24" s="538"/>
      <c r="EI24" s="538"/>
      <c r="EN24" s="538"/>
      <c r="EO24" s="538"/>
      <c r="EP24" s="538"/>
      <c r="EQ24" s="538"/>
      <c r="ER24" s="538"/>
    </row>
    <row r="25" spans="1:161" s="108" customFormat="1" x14ac:dyDescent="0.3">
      <c r="DY25" s="538"/>
      <c r="ED25" s="538"/>
      <c r="EI25" s="538"/>
      <c r="EN25" s="538"/>
      <c r="EO25" s="538"/>
      <c r="EP25" s="538"/>
      <c r="EQ25" s="538"/>
      <c r="ER25" s="538"/>
    </row>
    <row r="26" spans="1:161" s="108" customFormat="1" x14ac:dyDescent="0.3">
      <c r="DY26" s="538"/>
      <c r="ED26" s="538"/>
      <c r="EI26" s="538"/>
      <c r="EN26" s="538"/>
      <c r="EO26" s="538"/>
      <c r="EP26" s="538"/>
      <c r="EQ26" s="538"/>
      <c r="ER26" s="538"/>
    </row>
    <row r="27" spans="1:161" s="108" customFormat="1" x14ac:dyDescent="0.3">
      <c r="DY27" s="538"/>
      <c r="ED27" s="538"/>
      <c r="EI27" s="538"/>
      <c r="EN27" s="538"/>
      <c r="EO27" s="538"/>
      <c r="EP27" s="538"/>
      <c r="EQ27" s="538"/>
      <c r="ER27" s="538"/>
    </row>
    <row r="28" spans="1:161" s="108" customFormat="1" x14ac:dyDescent="0.3">
      <c r="DY28" s="538"/>
      <c r="ED28" s="538"/>
      <c r="EI28" s="538"/>
      <c r="EN28" s="538"/>
      <c r="EO28" s="538"/>
      <c r="EP28" s="538"/>
      <c r="EQ28" s="538"/>
      <c r="ER28" s="538"/>
    </row>
    <row r="29" spans="1:161" s="108" customFormat="1" x14ac:dyDescent="0.3">
      <c r="DY29" s="538"/>
      <c r="ED29" s="538"/>
      <c r="EI29" s="538"/>
      <c r="EN29" s="538"/>
      <c r="EO29" s="538"/>
      <c r="EP29" s="538"/>
      <c r="EQ29" s="538"/>
      <c r="ER29" s="538"/>
    </row>
    <row r="30" spans="1:161" s="108" customFormat="1" x14ac:dyDescent="0.3">
      <c r="DY30" s="538"/>
      <c r="ED30" s="538"/>
      <c r="EI30" s="538"/>
      <c r="EN30" s="538"/>
      <c r="EO30" s="538"/>
      <c r="EP30" s="538"/>
      <c r="EQ30" s="538"/>
      <c r="ER30" s="538"/>
    </row>
    <row r="31" spans="1:161" s="108" customFormat="1" x14ac:dyDescent="0.3">
      <c r="DY31" s="538"/>
      <c r="ED31" s="538"/>
      <c r="EI31" s="538"/>
      <c r="EN31" s="538"/>
      <c r="EO31" s="538"/>
      <c r="EP31" s="538"/>
      <c r="EQ31" s="538"/>
      <c r="ER31" s="538"/>
    </row>
    <row r="32" spans="1:161" s="108" customFormat="1" x14ac:dyDescent="0.3">
      <c r="DY32" s="538"/>
      <c r="ED32" s="538"/>
      <c r="EI32" s="538"/>
      <c r="EN32" s="538"/>
      <c r="EO32" s="538"/>
      <c r="EP32" s="538"/>
      <c r="EQ32" s="538"/>
      <c r="ER32" s="538"/>
    </row>
    <row r="33" spans="129:148" s="108" customFormat="1" x14ac:dyDescent="0.3">
      <c r="DY33" s="538"/>
      <c r="ED33" s="538"/>
      <c r="EI33" s="538"/>
      <c r="EN33" s="538"/>
      <c r="EO33" s="538"/>
      <c r="EP33" s="538"/>
      <c r="EQ33" s="538"/>
      <c r="ER33" s="538"/>
    </row>
    <row r="34" spans="129:148" s="108" customFormat="1" x14ac:dyDescent="0.3">
      <c r="DY34" s="538"/>
      <c r="ED34" s="538"/>
      <c r="EI34" s="538"/>
      <c r="EN34" s="538"/>
      <c r="EO34" s="538"/>
      <c r="EP34" s="538"/>
      <c r="EQ34" s="538"/>
      <c r="ER34" s="538"/>
    </row>
    <row r="35" spans="129:148" s="108" customFormat="1" x14ac:dyDescent="0.3">
      <c r="DY35" s="538"/>
      <c r="ED35" s="538"/>
      <c r="EI35" s="538"/>
      <c r="EN35" s="538"/>
      <c r="EO35" s="538"/>
      <c r="EP35" s="538"/>
      <c r="EQ35" s="538"/>
      <c r="ER35" s="538"/>
    </row>
    <row r="36" spans="129:148" s="108" customFormat="1" x14ac:dyDescent="0.3">
      <c r="DY36" s="538"/>
      <c r="ED36" s="538"/>
      <c r="EI36" s="538"/>
      <c r="EN36" s="538"/>
      <c r="EO36" s="538"/>
      <c r="EP36" s="538"/>
      <c r="EQ36" s="538"/>
      <c r="ER36" s="538"/>
    </row>
    <row r="37" spans="129:148" s="108" customFormat="1" x14ac:dyDescent="0.3">
      <c r="DY37" s="538"/>
      <c r="ED37" s="538"/>
      <c r="EI37" s="538"/>
      <c r="EN37" s="538"/>
      <c r="EO37" s="538"/>
      <c r="EP37" s="538"/>
      <c r="EQ37" s="538"/>
      <c r="ER37" s="538"/>
    </row>
    <row r="38" spans="129:148" s="108" customFormat="1" x14ac:dyDescent="0.3">
      <c r="DY38" s="538"/>
      <c r="ED38" s="538"/>
      <c r="EI38" s="538"/>
      <c r="EN38" s="538"/>
      <c r="EO38" s="538"/>
      <c r="EP38" s="538"/>
      <c r="EQ38" s="538"/>
      <c r="ER38" s="538"/>
    </row>
    <row r="39" spans="129:148" s="108" customFormat="1" x14ac:dyDescent="0.3">
      <c r="DY39" s="538"/>
      <c r="ED39" s="538"/>
      <c r="EI39" s="538"/>
      <c r="EN39" s="538"/>
      <c r="EO39" s="538"/>
      <c r="EP39" s="538"/>
      <c r="EQ39" s="538"/>
      <c r="ER39" s="538"/>
    </row>
    <row r="40" spans="129:148" s="108" customFormat="1" x14ac:dyDescent="0.3">
      <c r="DY40" s="538"/>
      <c r="ED40" s="538"/>
      <c r="EI40" s="538"/>
      <c r="EN40" s="538"/>
      <c r="EO40" s="538"/>
      <c r="EP40" s="538"/>
      <c r="EQ40" s="538"/>
      <c r="ER40" s="538"/>
    </row>
    <row r="41" spans="129:148" s="108" customFormat="1" x14ac:dyDescent="0.3">
      <c r="DY41" s="538"/>
      <c r="ED41" s="538"/>
      <c r="EI41" s="538"/>
      <c r="EN41" s="538"/>
      <c r="EO41" s="538"/>
      <c r="EP41" s="538"/>
      <c r="EQ41" s="538"/>
      <c r="ER41" s="538"/>
    </row>
    <row r="42" spans="129:148" s="108" customFormat="1" x14ac:dyDescent="0.3">
      <c r="DY42" s="538"/>
      <c r="ED42" s="538"/>
      <c r="EI42" s="538"/>
      <c r="EN42" s="538"/>
      <c r="EO42" s="538"/>
      <c r="EP42" s="538"/>
      <c r="EQ42" s="538"/>
      <c r="ER42" s="538"/>
    </row>
    <row r="43" spans="129:148" s="108" customFormat="1" x14ac:dyDescent="0.3">
      <c r="DY43" s="538"/>
      <c r="ED43" s="538"/>
      <c r="EI43" s="538"/>
      <c r="EN43" s="538"/>
      <c r="EO43" s="538"/>
      <c r="EP43" s="538"/>
      <c r="EQ43" s="538"/>
      <c r="ER43" s="538"/>
    </row>
    <row r="44" spans="129:148" s="108" customFormat="1" x14ac:dyDescent="0.3">
      <c r="DY44" s="538"/>
      <c r="ED44" s="538"/>
      <c r="EI44" s="538"/>
      <c r="EN44" s="538"/>
      <c r="EO44" s="538"/>
      <c r="EP44" s="538"/>
      <c r="EQ44" s="538"/>
      <c r="ER44" s="538"/>
    </row>
    <row r="45" spans="129:148" s="108" customFormat="1" x14ac:dyDescent="0.3">
      <c r="DY45" s="538"/>
      <c r="ED45" s="538"/>
      <c r="EI45" s="538"/>
      <c r="EN45" s="538"/>
      <c r="EO45" s="538"/>
      <c r="EP45" s="538"/>
      <c r="EQ45" s="538"/>
      <c r="ER45" s="538"/>
    </row>
    <row r="46" spans="129:148" s="108" customFormat="1" x14ac:dyDescent="0.3">
      <c r="DY46" s="538"/>
      <c r="ED46" s="538"/>
      <c r="EI46" s="538"/>
      <c r="EN46" s="538"/>
      <c r="EO46" s="538"/>
      <c r="EP46" s="538"/>
      <c r="EQ46" s="538"/>
      <c r="ER46" s="538"/>
    </row>
    <row r="47" spans="129:148" s="108" customFormat="1" x14ac:dyDescent="0.3">
      <c r="DY47" s="538"/>
      <c r="ED47" s="538"/>
      <c r="EI47" s="538"/>
      <c r="EN47" s="538"/>
      <c r="EO47" s="538"/>
      <c r="EP47" s="538"/>
      <c r="EQ47" s="538"/>
      <c r="ER47" s="538"/>
    </row>
    <row r="48" spans="129:148" s="108" customFormat="1" x14ac:dyDescent="0.3">
      <c r="DY48" s="538"/>
      <c r="ED48" s="538"/>
      <c r="EI48" s="538"/>
      <c r="EN48" s="538"/>
      <c r="EO48" s="538"/>
      <c r="EP48" s="538"/>
      <c r="EQ48" s="538"/>
      <c r="ER48" s="538"/>
    </row>
    <row r="49" spans="129:148" s="108" customFormat="1" x14ac:dyDescent="0.3">
      <c r="DY49" s="538"/>
      <c r="ED49" s="538"/>
      <c r="EI49" s="538"/>
      <c r="EN49" s="538"/>
      <c r="EO49" s="538"/>
      <c r="EP49" s="538"/>
      <c r="EQ49" s="538"/>
      <c r="ER49" s="538"/>
    </row>
    <row r="50" spans="129:148" s="108" customFormat="1" x14ac:dyDescent="0.3">
      <c r="DY50" s="538"/>
      <c r="ED50" s="538"/>
      <c r="EI50" s="538"/>
      <c r="EN50" s="538"/>
      <c r="EO50" s="538"/>
      <c r="EP50" s="538"/>
      <c r="EQ50" s="538"/>
      <c r="ER50" s="538"/>
    </row>
    <row r="51" spans="129:148" s="108" customFormat="1" x14ac:dyDescent="0.3">
      <c r="DY51" s="538"/>
      <c r="ED51" s="538"/>
      <c r="EI51" s="538"/>
      <c r="EN51" s="538"/>
      <c r="EO51" s="538"/>
      <c r="EP51" s="538"/>
      <c r="EQ51" s="538"/>
      <c r="ER51" s="538"/>
    </row>
    <row r="52" spans="129:148" s="108" customFormat="1" x14ac:dyDescent="0.3">
      <c r="DY52" s="538"/>
      <c r="ED52" s="538"/>
      <c r="EI52" s="538"/>
      <c r="EN52" s="538"/>
      <c r="EO52" s="538"/>
      <c r="EP52" s="538"/>
      <c r="EQ52" s="538"/>
      <c r="ER52" s="538"/>
    </row>
    <row r="53" spans="129:148" s="108" customFormat="1" x14ac:dyDescent="0.3">
      <c r="DY53" s="538"/>
      <c r="ED53" s="538"/>
      <c r="EI53" s="538"/>
      <c r="EN53" s="538"/>
      <c r="EO53" s="538"/>
      <c r="EP53" s="538"/>
      <c r="EQ53" s="538"/>
      <c r="ER53" s="538"/>
    </row>
    <row r="54" spans="129:148" s="108" customFormat="1" x14ac:dyDescent="0.3">
      <c r="DY54" s="538"/>
      <c r="ED54" s="538"/>
      <c r="EI54" s="538"/>
      <c r="EN54" s="538"/>
      <c r="EO54" s="538"/>
      <c r="EP54" s="538"/>
      <c r="EQ54" s="538"/>
      <c r="ER54" s="538"/>
    </row>
    <row r="55" spans="129:148" s="108" customFormat="1" x14ac:dyDescent="0.3">
      <c r="DY55" s="538"/>
      <c r="ED55" s="538"/>
      <c r="EI55" s="538"/>
      <c r="EN55" s="538"/>
      <c r="EO55" s="538"/>
      <c r="EP55" s="538"/>
      <c r="EQ55" s="538"/>
      <c r="ER55" s="538"/>
    </row>
    <row r="56" spans="129:148" s="108" customFormat="1" x14ac:dyDescent="0.3">
      <c r="DY56" s="538"/>
      <c r="ED56" s="538"/>
      <c r="EI56" s="538"/>
      <c r="EN56" s="538"/>
      <c r="EO56" s="538"/>
      <c r="EP56" s="538"/>
      <c r="EQ56" s="538"/>
      <c r="ER56" s="538"/>
    </row>
    <row r="57" spans="129:148" s="108" customFormat="1" x14ac:dyDescent="0.3">
      <c r="DY57" s="538"/>
      <c r="ED57" s="538"/>
      <c r="EI57" s="538"/>
      <c r="EN57" s="538"/>
      <c r="EO57" s="538"/>
      <c r="EP57" s="538"/>
      <c r="EQ57" s="538"/>
      <c r="ER57" s="538"/>
    </row>
    <row r="58" spans="129:148" s="108" customFormat="1" x14ac:dyDescent="0.3">
      <c r="DY58" s="538"/>
      <c r="ED58" s="538"/>
      <c r="EI58" s="538"/>
      <c r="EN58" s="538"/>
      <c r="EO58" s="538"/>
      <c r="EP58" s="538"/>
      <c r="EQ58" s="538"/>
      <c r="ER58" s="538"/>
    </row>
    <row r="59" spans="129:148" s="108" customFormat="1" x14ac:dyDescent="0.3">
      <c r="DY59" s="538"/>
      <c r="ED59" s="538"/>
      <c r="EI59" s="538"/>
      <c r="EN59" s="538"/>
      <c r="EO59" s="538"/>
      <c r="EP59" s="538"/>
      <c r="EQ59" s="538"/>
      <c r="ER59" s="538"/>
    </row>
    <row r="60" spans="129:148" s="108" customFormat="1" x14ac:dyDescent="0.3">
      <c r="DY60" s="538"/>
      <c r="ED60" s="538"/>
      <c r="EI60" s="538"/>
      <c r="EN60" s="538"/>
      <c r="EO60" s="538"/>
      <c r="EP60" s="538"/>
      <c r="EQ60" s="538"/>
      <c r="ER60" s="538"/>
    </row>
    <row r="61" spans="129:148" s="108" customFormat="1" x14ac:dyDescent="0.3">
      <c r="DY61" s="538"/>
      <c r="ED61" s="538"/>
      <c r="EI61" s="538"/>
      <c r="EN61" s="538"/>
      <c r="EO61" s="538"/>
      <c r="EP61" s="538"/>
      <c r="EQ61" s="538"/>
      <c r="ER61" s="538"/>
    </row>
    <row r="62" spans="129:148" s="108" customFormat="1" x14ac:dyDescent="0.3">
      <c r="DY62" s="538"/>
      <c r="ED62" s="538"/>
      <c r="EI62" s="538"/>
      <c r="EN62" s="538"/>
      <c r="EO62" s="538"/>
      <c r="EP62" s="538"/>
      <c r="EQ62" s="538"/>
      <c r="ER62" s="538"/>
    </row>
    <row r="63" spans="129:148" s="108" customFormat="1" x14ac:dyDescent="0.3">
      <c r="DY63" s="538"/>
      <c r="ED63" s="538"/>
      <c r="EI63" s="538"/>
      <c r="EN63" s="538"/>
      <c r="EO63" s="538"/>
      <c r="EP63" s="538"/>
      <c r="EQ63" s="538"/>
      <c r="ER63" s="538"/>
    </row>
    <row r="64" spans="129:148" s="108" customFormat="1" x14ac:dyDescent="0.3">
      <c r="DY64" s="538"/>
      <c r="ED64" s="538"/>
      <c r="EI64" s="538"/>
      <c r="EN64" s="538"/>
      <c r="EO64" s="538"/>
      <c r="EP64" s="538"/>
      <c r="EQ64" s="538"/>
      <c r="ER64" s="538"/>
    </row>
    <row r="65" spans="129:148" s="108" customFormat="1" x14ac:dyDescent="0.3">
      <c r="DY65" s="538"/>
      <c r="ED65" s="538"/>
      <c r="EI65" s="538"/>
      <c r="EN65" s="538"/>
      <c r="EO65" s="538"/>
      <c r="EP65" s="538"/>
      <c r="EQ65" s="538"/>
      <c r="ER65" s="538"/>
    </row>
    <row r="66" spans="129:148" s="108" customFormat="1" x14ac:dyDescent="0.3">
      <c r="DY66" s="538"/>
      <c r="ED66" s="538"/>
      <c r="EI66" s="538"/>
      <c r="EN66" s="538"/>
      <c r="EO66" s="538"/>
      <c r="EP66" s="538"/>
      <c r="EQ66" s="538"/>
      <c r="ER66" s="538"/>
    </row>
    <row r="67" spans="129:148" s="108" customFormat="1" x14ac:dyDescent="0.3">
      <c r="DY67" s="538"/>
      <c r="ED67" s="538"/>
      <c r="EI67" s="538"/>
      <c r="EN67" s="538"/>
      <c r="EO67" s="538"/>
      <c r="EP67" s="538"/>
      <c r="EQ67" s="538"/>
      <c r="ER67" s="538"/>
    </row>
    <row r="68" spans="129:148" s="108" customFormat="1" x14ac:dyDescent="0.3">
      <c r="DY68" s="538"/>
      <c r="ED68" s="538"/>
      <c r="EI68" s="538"/>
      <c r="EN68" s="538"/>
      <c r="EO68" s="538"/>
      <c r="EP68" s="538"/>
      <c r="EQ68" s="538"/>
      <c r="ER68" s="538"/>
    </row>
    <row r="69" spans="129:148" s="108" customFormat="1" x14ac:dyDescent="0.3">
      <c r="DY69" s="538"/>
      <c r="ED69" s="538"/>
      <c r="EI69" s="538"/>
      <c r="EN69" s="538"/>
      <c r="EO69" s="538"/>
      <c r="EP69" s="538"/>
      <c r="EQ69" s="538"/>
      <c r="ER69" s="538"/>
    </row>
    <row r="70" spans="129:148" s="108" customFormat="1" x14ac:dyDescent="0.3">
      <c r="DY70" s="538"/>
      <c r="ED70" s="538"/>
      <c r="EI70" s="538"/>
      <c r="EN70" s="538"/>
      <c r="EO70" s="538"/>
      <c r="EP70" s="538"/>
      <c r="EQ70" s="538"/>
      <c r="ER70" s="538"/>
    </row>
    <row r="71" spans="129:148" s="108" customFormat="1" x14ac:dyDescent="0.3">
      <c r="DY71" s="538"/>
      <c r="ED71" s="538"/>
      <c r="EI71" s="538"/>
      <c r="EN71" s="538"/>
      <c r="EO71" s="538"/>
      <c r="EP71" s="538"/>
      <c r="EQ71" s="538"/>
      <c r="ER71" s="538"/>
    </row>
    <row r="72" spans="129:148" s="108" customFormat="1" x14ac:dyDescent="0.3">
      <c r="DY72" s="538"/>
      <c r="ED72" s="538"/>
      <c r="EI72" s="538"/>
      <c r="EN72" s="538"/>
      <c r="EO72" s="538"/>
      <c r="EP72" s="538"/>
      <c r="EQ72" s="538"/>
      <c r="ER72" s="538"/>
    </row>
    <row r="73" spans="129:148" s="108" customFormat="1" x14ac:dyDescent="0.3">
      <c r="DY73" s="538"/>
      <c r="ED73" s="538"/>
      <c r="EI73" s="538"/>
      <c r="EN73" s="538"/>
      <c r="EO73" s="538"/>
      <c r="EP73" s="538"/>
      <c r="EQ73" s="538"/>
      <c r="ER73" s="538"/>
    </row>
    <row r="74" spans="129:148" s="108" customFormat="1" x14ac:dyDescent="0.3">
      <c r="DY74" s="538"/>
      <c r="ED74" s="538"/>
      <c r="EI74" s="538"/>
      <c r="EN74" s="538"/>
      <c r="EO74" s="538"/>
      <c r="EP74" s="538"/>
      <c r="EQ74" s="538"/>
      <c r="ER74" s="538"/>
    </row>
    <row r="75" spans="129:148" s="108" customFormat="1" x14ac:dyDescent="0.3">
      <c r="DY75" s="538"/>
      <c r="ED75" s="538"/>
      <c r="EI75" s="538"/>
      <c r="EN75" s="538"/>
      <c r="EO75" s="538"/>
      <c r="EP75" s="538"/>
      <c r="EQ75" s="538"/>
      <c r="ER75" s="538"/>
    </row>
    <row r="76" spans="129:148" s="108" customFormat="1" x14ac:dyDescent="0.3">
      <c r="DY76" s="538"/>
      <c r="ED76" s="538"/>
      <c r="EI76" s="538"/>
      <c r="EN76" s="538"/>
      <c r="EO76" s="538"/>
      <c r="EP76" s="538"/>
      <c r="EQ76" s="538"/>
      <c r="ER76" s="538"/>
    </row>
    <row r="77" spans="129:148" s="108" customFormat="1" x14ac:dyDescent="0.3">
      <c r="DY77" s="538"/>
      <c r="ED77" s="538"/>
      <c r="EI77" s="538"/>
      <c r="EN77" s="538"/>
      <c r="EO77" s="538"/>
      <c r="EP77" s="538"/>
      <c r="EQ77" s="538"/>
      <c r="ER77" s="538"/>
    </row>
    <row r="78" spans="129:148" s="108" customFormat="1" x14ac:dyDescent="0.3">
      <c r="DY78" s="538"/>
      <c r="ED78" s="538"/>
      <c r="EI78" s="538"/>
      <c r="EN78" s="538"/>
      <c r="EO78" s="538"/>
      <c r="EP78" s="538"/>
      <c r="EQ78" s="538"/>
      <c r="ER78" s="538"/>
    </row>
    <row r="79" spans="129:148" s="108" customFormat="1" x14ac:dyDescent="0.3">
      <c r="DY79" s="538"/>
      <c r="ED79" s="538"/>
      <c r="EI79" s="538"/>
      <c r="EN79" s="538"/>
      <c r="EO79" s="538"/>
      <c r="EP79" s="538"/>
      <c r="EQ79" s="538"/>
      <c r="ER79" s="538"/>
    </row>
    <row r="80" spans="129:148" s="108" customFormat="1" x14ac:dyDescent="0.3">
      <c r="DY80" s="538"/>
      <c r="ED80" s="538"/>
      <c r="EI80" s="538"/>
      <c r="EN80" s="538"/>
      <c r="EO80" s="538"/>
      <c r="EP80" s="538"/>
      <c r="EQ80" s="538"/>
      <c r="ER80" s="538"/>
    </row>
    <row r="81" spans="129:148" s="108" customFormat="1" x14ac:dyDescent="0.3">
      <c r="DY81" s="538"/>
      <c r="ED81" s="538"/>
      <c r="EI81" s="538"/>
      <c r="EN81" s="538"/>
      <c r="EO81" s="538"/>
      <c r="EP81" s="538"/>
      <c r="EQ81" s="538"/>
      <c r="ER81" s="538"/>
    </row>
    <row r="82" spans="129:148" s="108" customFormat="1" x14ac:dyDescent="0.3">
      <c r="DY82" s="538"/>
      <c r="ED82" s="538"/>
      <c r="EI82" s="538"/>
      <c r="EN82" s="538"/>
      <c r="EO82" s="538"/>
      <c r="EP82" s="538"/>
      <c r="EQ82" s="538"/>
      <c r="ER82" s="538"/>
    </row>
    <row r="83" spans="129:148" s="108" customFormat="1" x14ac:dyDescent="0.3">
      <c r="DY83" s="538"/>
      <c r="ED83" s="538"/>
      <c r="EI83" s="538"/>
      <c r="EN83" s="538"/>
      <c r="EO83" s="538"/>
      <c r="EP83" s="538"/>
      <c r="EQ83" s="538"/>
      <c r="ER83" s="538"/>
    </row>
    <row r="84" spans="129:148" s="108" customFormat="1" x14ac:dyDescent="0.3">
      <c r="DY84" s="538"/>
      <c r="ED84" s="538"/>
      <c r="EI84" s="538"/>
      <c r="EN84" s="538"/>
      <c r="EO84" s="538"/>
      <c r="EP84" s="538"/>
      <c r="EQ84" s="538"/>
      <c r="ER84" s="538"/>
    </row>
    <row r="85" spans="129:148" s="108" customFormat="1" x14ac:dyDescent="0.3">
      <c r="DY85" s="538"/>
      <c r="ED85" s="538"/>
      <c r="EI85" s="538"/>
      <c r="EN85" s="538"/>
      <c r="EO85" s="538"/>
      <c r="EP85" s="538"/>
      <c r="EQ85" s="538"/>
      <c r="ER85" s="538"/>
    </row>
    <row r="86" spans="129:148" s="108" customFormat="1" x14ac:dyDescent="0.3">
      <c r="DY86" s="538"/>
      <c r="ED86" s="538"/>
      <c r="EI86" s="538"/>
      <c r="EN86" s="538"/>
      <c r="EO86" s="538"/>
      <c r="EP86" s="538"/>
      <c r="EQ86" s="538"/>
      <c r="ER86" s="538"/>
    </row>
    <row r="87" spans="129:148" s="108" customFormat="1" x14ac:dyDescent="0.3">
      <c r="DY87" s="538"/>
      <c r="ED87" s="538"/>
      <c r="EI87" s="538"/>
      <c r="EN87" s="538"/>
      <c r="EO87" s="538"/>
      <c r="EP87" s="538"/>
      <c r="EQ87" s="538"/>
      <c r="ER87" s="538"/>
    </row>
    <row r="88" spans="129:148" s="108" customFormat="1" x14ac:dyDescent="0.3">
      <c r="DY88" s="538"/>
      <c r="ED88" s="538"/>
      <c r="EI88" s="538"/>
      <c r="EN88" s="538"/>
      <c r="EO88" s="538"/>
      <c r="EP88" s="538"/>
      <c r="EQ88" s="538"/>
      <c r="ER88" s="538"/>
    </row>
    <row r="89" spans="129:148" s="108" customFormat="1" x14ac:dyDescent="0.3">
      <c r="DY89" s="538"/>
      <c r="ED89" s="538"/>
      <c r="EI89" s="538"/>
      <c r="EN89" s="538"/>
      <c r="EO89" s="538"/>
      <c r="EP89" s="538"/>
      <c r="EQ89" s="538"/>
      <c r="ER89" s="538"/>
    </row>
    <row r="90" spans="129:148" s="108" customFormat="1" x14ac:dyDescent="0.3">
      <c r="DY90" s="538"/>
      <c r="ED90" s="538"/>
      <c r="EI90" s="538"/>
      <c r="EN90" s="538"/>
      <c r="EO90" s="538"/>
      <c r="EP90" s="538"/>
      <c r="EQ90" s="538"/>
      <c r="ER90" s="538"/>
    </row>
    <row r="91" spans="129:148" s="108" customFormat="1" x14ac:dyDescent="0.3">
      <c r="DY91" s="538"/>
      <c r="ED91" s="538"/>
      <c r="EI91" s="538"/>
      <c r="EN91" s="538"/>
      <c r="EO91" s="538"/>
      <c r="EP91" s="538"/>
      <c r="EQ91" s="538"/>
      <c r="ER91" s="538"/>
    </row>
    <row r="92" spans="129:148" s="108" customFormat="1" x14ac:dyDescent="0.3">
      <c r="DY92" s="538"/>
      <c r="ED92" s="538"/>
      <c r="EI92" s="538"/>
      <c r="EN92" s="538"/>
      <c r="EO92" s="538"/>
      <c r="EP92" s="538"/>
      <c r="EQ92" s="538"/>
      <c r="ER92" s="538"/>
    </row>
    <row r="93" spans="129:148" s="108" customFormat="1" x14ac:dyDescent="0.3">
      <c r="DY93" s="538"/>
      <c r="ED93" s="538"/>
      <c r="EI93" s="538"/>
      <c r="EN93" s="538"/>
      <c r="EO93" s="538"/>
      <c r="EP93" s="538"/>
      <c r="EQ93" s="538"/>
      <c r="ER93" s="538"/>
    </row>
    <row r="94" spans="129:148" s="108" customFormat="1" x14ac:dyDescent="0.3">
      <c r="DY94" s="538"/>
      <c r="ED94" s="538"/>
      <c r="EI94" s="538"/>
      <c r="EN94" s="538"/>
      <c r="EO94" s="538"/>
      <c r="EP94" s="538"/>
      <c r="EQ94" s="538"/>
      <c r="ER94" s="538"/>
    </row>
    <row r="95" spans="129:148" s="108" customFormat="1" x14ac:dyDescent="0.3">
      <c r="DY95" s="538"/>
      <c r="ED95" s="538"/>
      <c r="EI95" s="538"/>
      <c r="EN95" s="538"/>
      <c r="EO95" s="538"/>
      <c r="EP95" s="538"/>
      <c r="EQ95" s="538"/>
      <c r="ER95" s="538"/>
    </row>
    <row r="96" spans="129:148" s="108" customFormat="1" x14ac:dyDescent="0.3">
      <c r="DY96" s="538"/>
      <c r="ED96" s="538"/>
      <c r="EI96" s="538"/>
      <c r="EN96" s="538"/>
      <c r="EO96" s="538"/>
      <c r="EP96" s="538"/>
      <c r="EQ96" s="538"/>
      <c r="ER96" s="538"/>
    </row>
    <row r="97" spans="129:148" s="108" customFormat="1" x14ac:dyDescent="0.3">
      <c r="DY97" s="538"/>
      <c r="ED97" s="538"/>
      <c r="EI97" s="538"/>
      <c r="EN97" s="538"/>
      <c r="EO97" s="538"/>
      <c r="EP97" s="538"/>
      <c r="EQ97" s="538"/>
      <c r="ER97" s="538"/>
    </row>
    <row r="98" spans="129:148" s="108" customFormat="1" x14ac:dyDescent="0.3">
      <c r="DY98" s="538"/>
      <c r="ED98" s="538"/>
      <c r="EI98" s="538"/>
      <c r="EN98" s="538"/>
      <c r="EO98" s="538"/>
      <c r="EP98" s="538"/>
      <c r="EQ98" s="538"/>
      <c r="ER98" s="538"/>
    </row>
    <row r="99" spans="129:148" s="108" customFormat="1" x14ac:dyDescent="0.3">
      <c r="DY99" s="538"/>
      <c r="ED99" s="538"/>
      <c r="EI99" s="538"/>
      <c r="EN99" s="538"/>
      <c r="EO99" s="538"/>
      <c r="EP99" s="538"/>
      <c r="EQ99" s="538"/>
      <c r="ER99" s="538"/>
    </row>
    <row r="100" spans="129:148" s="108" customFormat="1" x14ac:dyDescent="0.3">
      <c r="DY100" s="538"/>
      <c r="ED100" s="538"/>
      <c r="EI100" s="538"/>
      <c r="EN100" s="538"/>
      <c r="EO100" s="538"/>
      <c r="EP100" s="538"/>
      <c r="EQ100" s="538"/>
      <c r="ER100" s="538"/>
    </row>
    <row r="101" spans="129:148" s="108" customFormat="1" x14ac:dyDescent="0.3">
      <c r="DY101" s="538"/>
      <c r="ED101" s="538"/>
      <c r="EI101" s="538"/>
      <c r="EN101" s="538"/>
      <c r="EO101" s="538"/>
      <c r="EP101" s="538"/>
      <c r="EQ101" s="538"/>
      <c r="ER101" s="538"/>
    </row>
    <row r="102" spans="129:148" s="108" customFormat="1" x14ac:dyDescent="0.3">
      <c r="DY102" s="538"/>
      <c r="ED102" s="538"/>
      <c r="EI102" s="538"/>
      <c r="EN102" s="538"/>
      <c r="EO102" s="538"/>
      <c r="EP102" s="538"/>
      <c r="EQ102" s="538"/>
      <c r="ER102" s="538"/>
    </row>
    <row r="103" spans="129:148" s="108" customFormat="1" x14ac:dyDescent="0.3">
      <c r="DY103" s="538"/>
      <c r="ED103" s="538"/>
      <c r="EI103" s="538"/>
      <c r="EN103" s="538"/>
      <c r="EO103" s="538"/>
      <c r="EP103" s="538"/>
      <c r="EQ103" s="538"/>
      <c r="ER103" s="538"/>
    </row>
    <row r="104" spans="129:148" s="108" customFormat="1" x14ac:dyDescent="0.3">
      <c r="DY104" s="538"/>
      <c r="ED104" s="538"/>
      <c r="EI104" s="538"/>
      <c r="EN104" s="538"/>
      <c r="EO104" s="538"/>
      <c r="EP104" s="538"/>
      <c r="EQ104" s="538"/>
      <c r="ER104" s="538"/>
    </row>
    <row r="105" spans="129:148" s="108" customFormat="1" x14ac:dyDescent="0.3">
      <c r="DY105" s="538"/>
      <c r="ED105" s="538"/>
      <c r="EI105" s="538"/>
      <c r="EN105" s="538"/>
      <c r="EO105" s="538"/>
      <c r="EP105" s="538"/>
      <c r="EQ105" s="538"/>
      <c r="ER105" s="538"/>
    </row>
    <row r="106" spans="129:148" s="108" customFormat="1" x14ac:dyDescent="0.3">
      <c r="DY106" s="538"/>
      <c r="ED106" s="538"/>
      <c r="EI106" s="538"/>
      <c r="EN106" s="538"/>
      <c r="EO106" s="538"/>
      <c r="EP106" s="538"/>
      <c r="EQ106" s="538"/>
      <c r="ER106" s="538"/>
    </row>
    <row r="107" spans="129:148" s="108" customFormat="1" x14ac:dyDescent="0.3">
      <c r="DY107" s="538"/>
      <c r="ED107" s="538"/>
      <c r="EI107" s="538"/>
      <c r="EN107" s="538"/>
      <c r="EO107" s="538"/>
      <c r="EP107" s="538"/>
      <c r="EQ107" s="538"/>
      <c r="ER107" s="538"/>
    </row>
    <row r="108" spans="129:148" s="108" customFormat="1" x14ac:dyDescent="0.3">
      <c r="DY108" s="538"/>
      <c r="ED108" s="538"/>
      <c r="EI108" s="538"/>
      <c r="EN108" s="538"/>
      <c r="EO108" s="538"/>
      <c r="EP108" s="538"/>
      <c r="EQ108" s="538"/>
      <c r="ER108" s="538"/>
    </row>
    <row r="109" spans="129:148" s="108" customFormat="1" x14ac:dyDescent="0.3">
      <c r="DY109" s="538"/>
      <c r="ED109" s="538"/>
      <c r="EI109" s="538"/>
      <c r="EN109" s="538"/>
      <c r="EO109" s="538"/>
      <c r="EP109" s="538"/>
      <c r="EQ109" s="538"/>
      <c r="ER109" s="538"/>
    </row>
    <row r="110" spans="129:148" s="108" customFormat="1" x14ac:dyDescent="0.3">
      <c r="DY110" s="538"/>
      <c r="ED110" s="538"/>
      <c r="EI110" s="538"/>
      <c r="EN110" s="538"/>
      <c r="EO110" s="538"/>
      <c r="EP110" s="538"/>
      <c r="EQ110" s="538"/>
      <c r="ER110" s="538"/>
    </row>
    <row r="111" spans="129:148" s="108" customFormat="1" x14ac:dyDescent="0.3">
      <c r="DY111" s="538"/>
      <c r="ED111" s="538"/>
      <c r="EI111" s="538"/>
      <c r="EN111" s="538"/>
      <c r="EO111" s="538"/>
      <c r="EP111" s="538"/>
      <c r="EQ111" s="538"/>
      <c r="ER111" s="538"/>
    </row>
    <row r="112" spans="129:148" s="108" customFormat="1" x14ac:dyDescent="0.3">
      <c r="DY112" s="538"/>
      <c r="ED112" s="538"/>
      <c r="EI112" s="538"/>
      <c r="EN112" s="538"/>
      <c r="EO112" s="538"/>
      <c r="EP112" s="538"/>
      <c r="EQ112" s="538"/>
      <c r="ER112" s="538"/>
    </row>
    <row r="113" spans="129:148" s="108" customFormat="1" x14ac:dyDescent="0.3">
      <c r="DY113" s="538"/>
      <c r="ED113" s="538"/>
      <c r="EI113" s="538"/>
      <c r="EN113" s="538"/>
      <c r="EO113" s="538"/>
      <c r="EP113" s="538"/>
      <c r="EQ113" s="538"/>
      <c r="ER113" s="538"/>
    </row>
    <row r="114" spans="129:148" s="108" customFormat="1" x14ac:dyDescent="0.3">
      <c r="DY114" s="538"/>
      <c r="ED114" s="538"/>
      <c r="EI114" s="538"/>
      <c r="EN114" s="538"/>
      <c r="EO114" s="538"/>
      <c r="EP114" s="538"/>
      <c r="EQ114" s="538"/>
      <c r="ER114" s="538"/>
    </row>
    <row r="115" spans="129:148" s="108" customFormat="1" x14ac:dyDescent="0.3">
      <c r="DY115" s="538"/>
      <c r="ED115" s="538"/>
      <c r="EI115" s="538"/>
      <c r="EN115" s="538"/>
      <c r="EO115" s="538"/>
      <c r="EP115" s="538"/>
      <c r="EQ115" s="538"/>
      <c r="ER115" s="538"/>
    </row>
    <row r="116" spans="129:148" s="108" customFormat="1" x14ac:dyDescent="0.3">
      <c r="DY116" s="538"/>
      <c r="ED116" s="538"/>
      <c r="EI116" s="538"/>
      <c r="EN116" s="538"/>
      <c r="EO116" s="538"/>
      <c r="EP116" s="538"/>
      <c r="EQ116" s="538"/>
      <c r="ER116" s="538"/>
    </row>
    <row r="117" spans="129:148" s="108" customFormat="1" x14ac:dyDescent="0.3">
      <c r="DY117" s="538"/>
      <c r="ED117" s="538"/>
      <c r="EI117" s="538"/>
      <c r="EN117" s="538"/>
      <c r="EO117" s="538"/>
      <c r="EP117" s="538"/>
      <c r="EQ117" s="538"/>
      <c r="ER117" s="538"/>
    </row>
    <row r="118" spans="129:148" s="108" customFormat="1" x14ac:dyDescent="0.3">
      <c r="DY118" s="538"/>
      <c r="ED118" s="538"/>
      <c r="EI118" s="538"/>
      <c r="EN118" s="538"/>
      <c r="EO118" s="538"/>
      <c r="EP118" s="538"/>
      <c r="EQ118" s="538"/>
      <c r="ER118" s="538"/>
    </row>
    <row r="119" spans="129:148" s="108" customFormat="1" x14ac:dyDescent="0.3">
      <c r="DY119" s="538"/>
      <c r="ED119" s="538"/>
      <c r="EI119" s="538"/>
      <c r="EN119" s="538"/>
      <c r="EO119" s="538"/>
      <c r="EP119" s="538"/>
      <c r="EQ119" s="538"/>
      <c r="ER119" s="538"/>
    </row>
    <row r="120" spans="129:148" s="108" customFormat="1" x14ac:dyDescent="0.3">
      <c r="DY120" s="538"/>
      <c r="ED120" s="538"/>
      <c r="EI120" s="538"/>
      <c r="EN120" s="538"/>
      <c r="EO120" s="538"/>
      <c r="EP120" s="538"/>
      <c r="EQ120" s="538"/>
      <c r="ER120" s="538"/>
    </row>
    <row r="121" spans="129:148" s="108" customFormat="1" x14ac:dyDescent="0.3">
      <c r="DY121" s="538"/>
      <c r="ED121" s="538"/>
      <c r="EI121" s="538"/>
      <c r="EN121" s="538"/>
      <c r="EO121" s="538"/>
      <c r="EP121" s="538"/>
      <c r="EQ121" s="538"/>
      <c r="ER121" s="538"/>
    </row>
    <row r="122" spans="129:148" s="108" customFormat="1" x14ac:dyDescent="0.3">
      <c r="DY122" s="538"/>
      <c r="ED122" s="538"/>
      <c r="EI122" s="538"/>
      <c r="EN122" s="538"/>
      <c r="EO122" s="538"/>
      <c r="EP122" s="538"/>
      <c r="EQ122" s="538"/>
      <c r="ER122" s="538"/>
    </row>
    <row r="123" spans="129:148" s="108" customFormat="1" x14ac:dyDescent="0.3">
      <c r="DY123" s="538"/>
      <c r="ED123" s="538"/>
      <c r="EI123" s="538"/>
      <c r="EN123" s="538"/>
      <c r="EO123" s="538"/>
      <c r="EP123" s="538"/>
      <c r="EQ123" s="538"/>
      <c r="ER123" s="538"/>
    </row>
    <row r="124" spans="129:148" s="108" customFormat="1" x14ac:dyDescent="0.3">
      <c r="DY124" s="538"/>
      <c r="ED124" s="538"/>
      <c r="EI124" s="538"/>
      <c r="EN124" s="538"/>
      <c r="EO124" s="538"/>
      <c r="EP124" s="538"/>
      <c r="EQ124" s="538"/>
      <c r="ER124" s="538"/>
    </row>
    <row r="125" spans="129:148" s="108" customFormat="1" x14ac:dyDescent="0.3">
      <c r="DY125" s="538"/>
      <c r="ED125" s="538"/>
      <c r="EI125" s="538"/>
      <c r="EN125" s="538"/>
      <c r="EO125" s="538"/>
      <c r="EP125" s="538"/>
      <c r="EQ125" s="538"/>
      <c r="ER125" s="538"/>
    </row>
    <row r="126" spans="129:148" s="108" customFormat="1" x14ac:dyDescent="0.3">
      <c r="DY126" s="538"/>
      <c r="ED126" s="538"/>
      <c r="EI126" s="538"/>
      <c r="EN126" s="538"/>
      <c r="EO126" s="538"/>
      <c r="EP126" s="538"/>
      <c r="EQ126" s="538"/>
      <c r="ER126" s="538"/>
    </row>
    <row r="127" spans="129:148" s="108" customFormat="1" x14ac:dyDescent="0.3">
      <c r="DY127" s="538"/>
      <c r="ED127" s="538"/>
      <c r="EI127" s="538"/>
      <c r="EN127" s="538"/>
      <c r="EO127" s="538"/>
      <c r="EP127" s="538"/>
      <c r="EQ127" s="538"/>
      <c r="ER127" s="538"/>
    </row>
    <row r="128" spans="129:148" s="108" customFormat="1" x14ac:dyDescent="0.3">
      <c r="DY128" s="538"/>
      <c r="ED128" s="538"/>
      <c r="EI128" s="538"/>
      <c r="EN128" s="538"/>
      <c r="EO128" s="538"/>
      <c r="EP128" s="538"/>
      <c r="EQ128" s="538"/>
      <c r="ER128" s="538"/>
    </row>
    <row r="129" spans="129:148" s="108" customFormat="1" x14ac:dyDescent="0.3">
      <c r="DY129" s="538"/>
      <c r="ED129" s="538"/>
      <c r="EI129" s="538"/>
      <c r="EN129" s="538"/>
      <c r="EO129" s="538"/>
      <c r="EP129" s="538"/>
      <c r="EQ129" s="538"/>
      <c r="ER129" s="538"/>
    </row>
    <row r="130" spans="129:148" s="108" customFormat="1" x14ac:dyDescent="0.3">
      <c r="DY130" s="538"/>
      <c r="ED130" s="538"/>
      <c r="EI130" s="538"/>
      <c r="EN130" s="538"/>
      <c r="EO130" s="538"/>
      <c r="EP130" s="538"/>
      <c r="EQ130" s="538"/>
      <c r="ER130" s="538"/>
    </row>
    <row r="131" spans="129:148" s="108" customFormat="1" x14ac:dyDescent="0.3">
      <c r="DY131" s="538"/>
      <c r="ED131" s="538"/>
      <c r="EI131" s="538"/>
      <c r="EN131" s="538"/>
      <c r="EO131" s="538"/>
      <c r="EP131" s="538"/>
      <c r="EQ131" s="538"/>
      <c r="ER131" s="538"/>
    </row>
    <row r="132" spans="129:148" s="108" customFormat="1" x14ac:dyDescent="0.3">
      <c r="DY132" s="538"/>
      <c r="ED132" s="538"/>
      <c r="EI132" s="538"/>
      <c r="EN132" s="538"/>
      <c r="EO132" s="538"/>
      <c r="EP132" s="538"/>
      <c r="EQ132" s="538"/>
      <c r="ER132" s="538"/>
    </row>
    <row r="133" spans="129:148" s="108" customFormat="1" x14ac:dyDescent="0.3">
      <c r="DY133" s="538"/>
      <c r="ED133" s="538"/>
      <c r="EI133" s="538"/>
      <c r="EN133" s="538"/>
      <c r="EO133" s="538"/>
      <c r="EP133" s="538"/>
      <c r="EQ133" s="538"/>
      <c r="ER133" s="538"/>
    </row>
    <row r="134" spans="129:148" s="108" customFormat="1" x14ac:dyDescent="0.3">
      <c r="DY134" s="538"/>
      <c r="ED134" s="538"/>
      <c r="EI134" s="538"/>
      <c r="EN134" s="538"/>
      <c r="EO134" s="538"/>
      <c r="EP134" s="538"/>
      <c r="EQ134" s="538"/>
      <c r="ER134" s="538"/>
    </row>
    <row r="135" spans="129:148" s="108" customFormat="1" x14ac:dyDescent="0.3">
      <c r="DY135" s="538"/>
      <c r="ED135" s="538"/>
      <c r="EI135" s="538"/>
      <c r="EN135" s="538"/>
      <c r="EO135" s="538"/>
      <c r="EP135" s="538"/>
      <c r="EQ135" s="538"/>
      <c r="ER135" s="538"/>
    </row>
    <row r="136" spans="129:148" s="108" customFormat="1" x14ac:dyDescent="0.3">
      <c r="DY136" s="538"/>
      <c r="ED136" s="538"/>
      <c r="EI136" s="538"/>
      <c r="EN136" s="538"/>
      <c r="EO136" s="538"/>
      <c r="EP136" s="538"/>
      <c r="EQ136" s="538"/>
      <c r="ER136" s="538"/>
    </row>
    <row r="137" spans="129:148" s="108" customFormat="1" x14ac:dyDescent="0.3">
      <c r="DY137" s="538"/>
      <c r="ED137" s="538"/>
      <c r="EI137" s="538"/>
      <c r="EN137" s="538"/>
      <c r="EO137" s="538"/>
      <c r="EP137" s="538"/>
      <c r="EQ137" s="538"/>
      <c r="ER137" s="538"/>
    </row>
    <row r="138" spans="129:148" s="108" customFormat="1" x14ac:dyDescent="0.3">
      <c r="DY138" s="538"/>
      <c r="ED138" s="538"/>
      <c r="EI138" s="538"/>
      <c r="EN138" s="538"/>
      <c r="EO138" s="538"/>
      <c r="EP138" s="538"/>
      <c r="EQ138" s="538"/>
      <c r="ER138" s="538"/>
    </row>
    <row r="139" spans="129:148" s="108" customFormat="1" x14ac:dyDescent="0.3">
      <c r="DY139" s="538"/>
      <c r="ED139" s="538"/>
      <c r="EI139" s="538"/>
      <c r="EN139" s="538"/>
      <c r="EO139" s="538"/>
      <c r="EP139" s="538"/>
      <c r="EQ139" s="538"/>
      <c r="ER139" s="538"/>
    </row>
    <row r="140" spans="129:148" s="108" customFormat="1" x14ac:dyDescent="0.3">
      <c r="DY140" s="538"/>
      <c r="ED140" s="538"/>
      <c r="EI140" s="538"/>
      <c r="EN140" s="538"/>
      <c r="EO140" s="538"/>
      <c r="EP140" s="538"/>
      <c r="EQ140" s="538"/>
      <c r="ER140" s="538"/>
    </row>
    <row r="141" spans="129:148" s="108" customFormat="1" x14ac:dyDescent="0.3">
      <c r="DY141" s="538"/>
      <c r="ED141" s="538"/>
      <c r="EI141" s="538"/>
      <c r="EN141" s="538"/>
      <c r="EO141" s="538"/>
      <c r="EP141" s="538"/>
      <c r="EQ141" s="538"/>
      <c r="ER141" s="538"/>
    </row>
    <row r="142" spans="129:148" s="108" customFormat="1" x14ac:dyDescent="0.3">
      <c r="DY142" s="538"/>
      <c r="ED142" s="538"/>
      <c r="EI142" s="538"/>
      <c r="EN142" s="538"/>
      <c r="EO142" s="538"/>
      <c r="EP142" s="538"/>
      <c r="EQ142" s="538"/>
      <c r="ER142" s="538"/>
    </row>
    <row r="143" spans="129:148" s="108" customFormat="1" x14ac:dyDescent="0.3">
      <c r="DY143" s="538"/>
      <c r="ED143" s="538"/>
      <c r="EI143" s="538"/>
      <c r="EN143" s="538"/>
      <c r="EO143" s="538"/>
      <c r="EP143" s="538"/>
      <c r="EQ143" s="538"/>
      <c r="ER143" s="538"/>
    </row>
    <row r="144" spans="129:148" s="108" customFormat="1" x14ac:dyDescent="0.3">
      <c r="DY144" s="538"/>
      <c r="ED144" s="538"/>
      <c r="EI144" s="538"/>
      <c r="EN144" s="538"/>
      <c r="EO144" s="538"/>
      <c r="EP144" s="538"/>
      <c r="EQ144" s="538"/>
      <c r="ER144" s="538"/>
    </row>
    <row r="145" spans="129:148" s="108" customFormat="1" x14ac:dyDescent="0.3">
      <c r="DY145" s="538"/>
      <c r="ED145" s="538"/>
      <c r="EI145" s="538"/>
      <c r="EN145" s="538"/>
      <c r="EO145" s="538"/>
      <c r="EP145" s="538"/>
      <c r="EQ145" s="538"/>
      <c r="ER145" s="538"/>
    </row>
    <row r="146" spans="129:148" s="108" customFormat="1" x14ac:dyDescent="0.3">
      <c r="DY146" s="538"/>
      <c r="ED146" s="538"/>
      <c r="EI146" s="538"/>
      <c r="EN146" s="538"/>
      <c r="EO146" s="538"/>
      <c r="EP146" s="538"/>
      <c r="EQ146" s="538"/>
      <c r="ER146" s="538"/>
    </row>
    <row r="147" spans="129:148" s="108" customFormat="1" x14ac:dyDescent="0.3">
      <c r="DY147" s="538"/>
      <c r="ED147" s="538"/>
      <c r="EI147" s="538"/>
      <c r="EN147" s="538"/>
      <c r="EO147" s="538"/>
      <c r="EP147" s="538"/>
      <c r="EQ147" s="538"/>
      <c r="ER147" s="538"/>
    </row>
    <row r="148" spans="129:148" s="108" customFormat="1" x14ac:dyDescent="0.3">
      <c r="DY148" s="538"/>
      <c r="ED148" s="538"/>
      <c r="EI148" s="538"/>
      <c r="EN148" s="538"/>
      <c r="EO148" s="538"/>
      <c r="EP148" s="538"/>
      <c r="EQ148" s="538"/>
      <c r="ER148" s="538"/>
    </row>
    <row r="149" spans="129:148" s="108" customFormat="1" x14ac:dyDescent="0.3">
      <c r="DY149" s="538"/>
      <c r="ED149" s="538"/>
      <c r="EI149" s="538"/>
      <c r="EN149" s="538"/>
      <c r="EO149" s="538"/>
      <c r="EP149" s="538"/>
      <c r="EQ149" s="538"/>
      <c r="ER149" s="538"/>
    </row>
    <row r="150" spans="129:148" s="108" customFormat="1" x14ac:dyDescent="0.3">
      <c r="DY150" s="538"/>
      <c r="ED150" s="538"/>
      <c r="EI150" s="538"/>
      <c r="EN150" s="538"/>
      <c r="EO150" s="538"/>
      <c r="EP150" s="538"/>
      <c r="EQ150" s="538"/>
      <c r="ER150" s="538"/>
    </row>
    <row r="151" spans="129:148" s="108" customFormat="1" x14ac:dyDescent="0.3">
      <c r="DY151" s="538"/>
      <c r="ED151" s="538"/>
      <c r="EI151" s="538"/>
      <c r="EN151" s="538"/>
      <c r="EO151" s="538"/>
      <c r="EP151" s="538"/>
      <c r="EQ151" s="538"/>
      <c r="ER151" s="538"/>
    </row>
    <row r="152" spans="129:148" s="108" customFormat="1" x14ac:dyDescent="0.3">
      <c r="DY152" s="538"/>
      <c r="ED152" s="538"/>
      <c r="EI152" s="538"/>
      <c r="EN152" s="538"/>
      <c r="EO152" s="538"/>
      <c r="EP152" s="538"/>
      <c r="EQ152" s="538"/>
      <c r="ER152" s="538"/>
    </row>
    <row r="153" spans="129:148" s="108" customFormat="1" x14ac:dyDescent="0.3">
      <c r="DY153" s="538"/>
      <c r="ED153" s="538"/>
      <c r="EI153" s="538"/>
      <c r="EN153" s="538"/>
      <c r="EO153" s="538"/>
      <c r="EP153" s="538"/>
      <c r="EQ153" s="538"/>
      <c r="ER153" s="538"/>
    </row>
    <row r="154" spans="129:148" s="108" customFormat="1" x14ac:dyDescent="0.3">
      <c r="DY154" s="538"/>
      <c r="ED154" s="538"/>
      <c r="EI154" s="538"/>
      <c r="EN154" s="538"/>
      <c r="EO154" s="538"/>
      <c r="EP154" s="538"/>
      <c r="EQ154" s="538"/>
      <c r="ER154" s="538"/>
    </row>
    <row r="155" spans="129:148" s="108" customFormat="1" x14ac:dyDescent="0.3">
      <c r="DY155" s="538"/>
      <c r="ED155" s="538"/>
      <c r="EI155" s="538"/>
      <c r="EN155" s="538"/>
      <c r="EO155" s="538"/>
      <c r="EP155" s="538"/>
      <c r="EQ155" s="538"/>
      <c r="ER155" s="538"/>
    </row>
    <row r="156" spans="129:148" s="108" customFormat="1" x14ac:dyDescent="0.3">
      <c r="DY156" s="538"/>
      <c r="ED156" s="538"/>
      <c r="EI156" s="538"/>
      <c r="EN156" s="538"/>
      <c r="EO156" s="538"/>
      <c r="EP156" s="538"/>
      <c r="EQ156" s="538"/>
      <c r="ER156" s="538"/>
    </row>
    <row r="157" spans="129:148" s="108" customFormat="1" x14ac:dyDescent="0.3">
      <c r="DY157" s="538"/>
      <c r="ED157" s="538"/>
      <c r="EI157" s="538"/>
      <c r="EN157" s="538"/>
      <c r="EO157" s="538"/>
      <c r="EP157" s="538"/>
      <c r="EQ157" s="538"/>
      <c r="ER157" s="538"/>
    </row>
    <row r="158" spans="129:148" s="108" customFormat="1" x14ac:dyDescent="0.3">
      <c r="DY158" s="538"/>
      <c r="ED158" s="538"/>
      <c r="EI158" s="538"/>
      <c r="EN158" s="538"/>
      <c r="EO158" s="538"/>
      <c r="EP158" s="538"/>
      <c r="EQ158" s="538"/>
      <c r="ER158" s="538"/>
    </row>
    <row r="159" spans="129:148" s="108" customFormat="1" x14ac:dyDescent="0.3">
      <c r="DY159" s="538"/>
      <c r="ED159" s="538"/>
      <c r="EI159" s="538"/>
      <c r="EN159" s="538"/>
      <c r="EO159" s="538"/>
      <c r="EP159" s="538"/>
      <c r="EQ159" s="538"/>
      <c r="ER159" s="538"/>
    </row>
    <row r="160" spans="129:148" s="108" customFormat="1" x14ac:dyDescent="0.3">
      <c r="DY160" s="538"/>
      <c r="ED160" s="538"/>
      <c r="EI160" s="538"/>
      <c r="EN160" s="538"/>
      <c r="EO160" s="538"/>
      <c r="EP160" s="538"/>
      <c r="EQ160" s="538"/>
      <c r="ER160" s="538"/>
    </row>
    <row r="161" spans="129:148" s="108" customFormat="1" x14ac:dyDescent="0.3">
      <c r="DY161" s="538"/>
      <c r="ED161" s="538"/>
      <c r="EI161" s="538"/>
      <c r="EN161" s="538"/>
      <c r="EO161" s="538"/>
      <c r="EP161" s="538"/>
      <c r="EQ161" s="538"/>
      <c r="ER161" s="538"/>
    </row>
    <row r="162" spans="129:148" s="108" customFormat="1" x14ac:dyDescent="0.3">
      <c r="DY162" s="538"/>
      <c r="ED162" s="538"/>
      <c r="EI162" s="538"/>
      <c r="EN162" s="538"/>
      <c r="EO162" s="538"/>
      <c r="EP162" s="538"/>
      <c r="EQ162" s="538"/>
      <c r="ER162" s="538"/>
    </row>
    <row r="163" spans="129:148" s="108" customFormat="1" x14ac:dyDescent="0.3">
      <c r="DY163" s="538"/>
      <c r="ED163" s="538"/>
      <c r="EI163" s="538"/>
      <c r="EN163" s="538"/>
      <c r="EO163" s="538"/>
      <c r="EP163" s="538"/>
      <c r="EQ163" s="538"/>
      <c r="ER163" s="538"/>
    </row>
    <row r="164" spans="129:148" s="108" customFormat="1" x14ac:dyDescent="0.3">
      <c r="DY164" s="538"/>
      <c r="ED164" s="538"/>
      <c r="EI164" s="538"/>
      <c r="EN164" s="538"/>
      <c r="EO164" s="538"/>
      <c r="EP164" s="538"/>
      <c r="EQ164" s="538"/>
      <c r="ER164" s="538"/>
    </row>
    <row r="165" spans="129:148" s="108" customFormat="1" x14ac:dyDescent="0.3">
      <c r="DY165" s="538"/>
      <c r="ED165" s="538"/>
      <c r="EI165" s="538"/>
      <c r="EN165" s="538"/>
      <c r="EO165" s="538"/>
      <c r="EP165" s="538"/>
      <c r="EQ165" s="538"/>
      <c r="ER165" s="538"/>
    </row>
    <row r="166" spans="129:148" s="108" customFormat="1" x14ac:dyDescent="0.3">
      <c r="DY166" s="538"/>
      <c r="ED166" s="538"/>
      <c r="EI166" s="538"/>
      <c r="EN166" s="538"/>
      <c r="EO166" s="538"/>
      <c r="EP166" s="538"/>
      <c r="EQ166" s="538"/>
      <c r="ER166" s="538"/>
    </row>
    <row r="167" spans="129:148" s="108" customFormat="1" x14ac:dyDescent="0.3">
      <c r="DY167" s="538"/>
      <c r="ED167" s="538"/>
      <c r="EI167" s="538"/>
      <c r="EN167" s="538"/>
      <c r="EO167" s="538"/>
      <c r="EP167" s="538"/>
      <c r="EQ167" s="538"/>
      <c r="ER167" s="538"/>
    </row>
    <row r="168" spans="129:148" s="108" customFormat="1" x14ac:dyDescent="0.3">
      <c r="DY168" s="538"/>
      <c r="ED168" s="538"/>
      <c r="EI168" s="538"/>
      <c r="EN168" s="538"/>
      <c r="EO168" s="538"/>
      <c r="EP168" s="538"/>
      <c r="EQ168" s="538"/>
      <c r="ER168" s="538"/>
    </row>
    <row r="169" spans="129:148" s="108" customFormat="1" x14ac:dyDescent="0.3">
      <c r="DY169" s="538"/>
      <c r="ED169" s="538"/>
      <c r="EI169" s="538"/>
      <c r="EN169" s="538"/>
      <c r="EO169" s="538"/>
      <c r="EP169" s="538"/>
      <c r="EQ169" s="538"/>
      <c r="ER169" s="538"/>
    </row>
    <row r="170" spans="129:148" s="108" customFormat="1" x14ac:dyDescent="0.3">
      <c r="DY170" s="538"/>
      <c r="ED170" s="538"/>
      <c r="EI170" s="538"/>
      <c r="EN170" s="538"/>
      <c r="EO170" s="538"/>
      <c r="EP170" s="538"/>
      <c r="EQ170" s="538"/>
      <c r="ER170" s="538"/>
    </row>
    <row r="171" spans="129:148" s="108" customFormat="1" x14ac:dyDescent="0.3">
      <c r="DY171" s="538"/>
      <c r="ED171" s="538"/>
      <c r="EI171" s="538"/>
      <c r="EN171" s="538"/>
      <c r="EO171" s="538"/>
      <c r="EP171" s="538"/>
      <c r="EQ171" s="538"/>
      <c r="ER171" s="538"/>
    </row>
    <row r="172" spans="129:148" s="108" customFormat="1" x14ac:dyDescent="0.3">
      <c r="DY172" s="538"/>
      <c r="ED172" s="538"/>
      <c r="EI172" s="538"/>
      <c r="EN172" s="538"/>
      <c r="EO172" s="538"/>
      <c r="EP172" s="538"/>
      <c r="EQ172" s="538"/>
      <c r="ER172" s="538"/>
    </row>
    <row r="173" spans="129:148" s="108" customFormat="1" x14ac:dyDescent="0.3">
      <c r="DY173" s="538"/>
      <c r="ED173" s="538"/>
      <c r="EI173" s="538"/>
      <c r="EN173" s="538"/>
      <c r="EO173" s="538"/>
      <c r="EP173" s="538"/>
      <c r="EQ173" s="538"/>
      <c r="ER173" s="538"/>
    </row>
    <row r="174" spans="129:148" s="108" customFormat="1" x14ac:dyDescent="0.3">
      <c r="DY174" s="538"/>
      <c r="ED174" s="538"/>
      <c r="EI174" s="538"/>
      <c r="EN174" s="538"/>
      <c r="EO174" s="538"/>
      <c r="EP174" s="538"/>
      <c r="EQ174" s="538"/>
      <c r="ER174" s="538"/>
    </row>
    <row r="175" spans="129:148" s="108" customFormat="1" x14ac:dyDescent="0.3">
      <c r="DY175" s="538"/>
      <c r="ED175" s="538"/>
      <c r="EI175" s="538"/>
      <c r="EN175" s="538"/>
      <c r="EO175" s="538"/>
      <c r="EP175" s="538"/>
      <c r="EQ175" s="538"/>
      <c r="ER175" s="538"/>
    </row>
    <row r="176" spans="129:148" s="108" customFormat="1" x14ac:dyDescent="0.3">
      <c r="DY176" s="538"/>
      <c r="ED176" s="538"/>
      <c r="EI176" s="538"/>
      <c r="EN176" s="538"/>
      <c r="EO176" s="538"/>
      <c r="EP176" s="538"/>
      <c r="EQ176" s="538"/>
      <c r="ER176" s="538"/>
    </row>
    <row r="177" spans="129:148" s="108" customFormat="1" x14ac:dyDescent="0.3">
      <c r="DY177" s="538"/>
      <c r="ED177" s="538"/>
      <c r="EI177" s="538"/>
      <c r="EN177" s="538"/>
      <c r="EO177" s="538"/>
      <c r="EP177" s="538"/>
      <c r="EQ177" s="538"/>
      <c r="ER177" s="538"/>
    </row>
    <row r="178" spans="129:148" s="108" customFormat="1" x14ac:dyDescent="0.3">
      <c r="DY178" s="538"/>
      <c r="ED178" s="538"/>
      <c r="EI178" s="538"/>
      <c r="EN178" s="538"/>
      <c r="EO178" s="538"/>
      <c r="EP178" s="538"/>
      <c r="EQ178" s="538"/>
      <c r="ER178" s="538"/>
    </row>
    <row r="179" spans="129:148" s="108" customFormat="1" x14ac:dyDescent="0.3">
      <c r="DY179" s="538"/>
      <c r="ED179" s="538"/>
      <c r="EI179" s="538"/>
      <c r="EN179" s="538"/>
      <c r="EO179" s="538"/>
      <c r="EP179" s="538"/>
      <c r="EQ179" s="538"/>
      <c r="ER179" s="538"/>
    </row>
    <row r="180" spans="129:148" s="108" customFormat="1" x14ac:dyDescent="0.3">
      <c r="DY180" s="538"/>
      <c r="ED180" s="538"/>
      <c r="EI180" s="538"/>
      <c r="EN180" s="538"/>
      <c r="EO180" s="538"/>
      <c r="EP180" s="538"/>
      <c r="EQ180" s="538"/>
      <c r="ER180" s="538"/>
    </row>
    <row r="181" spans="129:148" s="108" customFormat="1" x14ac:dyDescent="0.3">
      <c r="DY181" s="538"/>
      <c r="ED181" s="538"/>
      <c r="EI181" s="538"/>
      <c r="EN181" s="538"/>
      <c r="EO181" s="538"/>
      <c r="EP181" s="538"/>
      <c r="EQ181" s="538"/>
      <c r="ER181" s="538"/>
    </row>
    <row r="182" spans="129:148" s="108" customFormat="1" x14ac:dyDescent="0.3">
      <c r="DY182" s="538"/>
      <c r="ED182" s="538"/>
      <c r="EI182" s="538"/>
      <c r="EN182" s="538"/>
      <c r="EO182" s="538"/>
      <c r="EP182" s="538"/>
      <c r="EQ182" s="538"/>
      <c r="ER182" s="538"/>
    </row>
    <row r="183" spans="129:148" s="108" customFormat="1" x14ac:dyDescent="0.3">
      <c r="DY183" s="538"/>
      <c r="ED183" s="538"/>
      <c r="EI183" s="538"/>
      <c r="EN183" s="538"/>
      <c r="EO183" s="538"/>
      <c r="EP183" s="538"/>
      <c r="EQ183" s="538"/>
      <c r="ER183" s="538"/>
    </row>
    <row r="184" spans="129:148" s="108" customFormat="1" x14ac:dyDescent="0.3">
      <c r="DY184" s="538"/>
      <c r="ED184" s="538"/>
      <c r="EI184" s="538"/>
      <c r="EN184" s="538"/>
      <c r="EO184" s="538"/>
      <c r="EP184" s="538"/>
      <c r="EQ184" s="538"/>
      <c r="ER184" s="538"/>
    </row>
    <row r="185" spans="129:148" s="108" customFormat="1" x14ac:dyDescent="0.3">
      <c r="DY185" s="538"/>
      <c r="ED185" s="538"/>
      <c r="EI185" s="538"/>
      <c r="EN185" s="538"/>
      <c r="EO185" s="538"/>
      <c r="EP185" s="538"/>
      <c r="EQ185" s="538"/>
      <c r="ER185" s="538"/>
    </row>
    <row r="186" spans="129:148" s="108" customFormat="1" x14ac:dyDescent="0.3">
      <c r="DY186" s="538"/>
      <c r="ED186" s="538"/>
      <c r="EI186" s="538"/>
      <c r="EN186" s="538"/>
      <c r="EO186" s="538"/>
      <c r="EP186" s="538"/>
      <c r="EQ186" s="538"/>
      <c r="ER186" s="538"/>
    </row>
    <row r="187" spans="129:148" s="108" customFormat="1" x14ac:dyDescent="0.3">
      <c r="DY187" s="538"/>
      <c r="ED187" s="538"/>
      <c r="EI187" s="538"/>
      <c r="EN187" s="538"/>
      <c r="EO187" s="538"/>
      <c r="EP187" s="538"/>
      <c r="EQ187" s="538"/>
      <c r="ER187" s="538"/>
    </row>
    <row r="188" spans="129:148" s="108" customFormat="1" x14ac:dyDescent="0.3">
      <c r="DY188" s="538"/>
      <c r="ED188" s="538"/>
      <c r="EI188" s="538"/>
      <c r="EN188" s="538"/>
      <c r="EO188" s="538"/>
      <c r="EP188" s="538"/>
      <c r="EQ188" s="538"/>
      <c r="ER188" s="538"/>
    </row>
    <row r="189" spans="129:148" s="108" customFormat="1" x14ac:dyDescent="0.3">
      <c r="DY189" s="538"/>
      <c r="ED189" s="538"/>
      <c r="EI189" s="538"/>
      <c r="EN189" s="538"/>
      <c r="EO189" s="538"/>
      <c r="EP189" s="538"/>
      <c r="EQ189" s="538"/>
      <c r="ER189" s="538"/>
    </row>
    <row r="190" spans="129:148" s="108" customFormat="1" x14ac:dyDescent="0.3">
      <c r="DY190" s="538"/>
      <c r="ED190" s="538"/>
      <c r="EI190" s="538"/>
      <c r="EN190" s="538"/>
      <c r="EO190" s="538"/>
      <c r="EP190" s="538"/>
      <c r="EQ190" s="538"/>
      <c r="ER190" s="538"/>
    </row>
    <row r="191" spans="129:148" s="108" customFormat="1" x14ac:dyDescent="0.3">
      <c r="DY191" s="538"/>
      <c r="ED191" s="538"/>
      <c r="EI191" s="538"/>
      <c r="EN191" s="538"/>
      <c r="EO191" s="538"/>
      <c r="EP191" s="538"/>
      <c r="EQ191" s="538"/>
      <c r="ER191" s="538"/>
    </row>
    <row r="192" spans="129:148" s="108" customFormat="1" x14ac:dyDescent="0.3">
      <c r="DY192" s="538"/>
      <c r="ED192" s="538"/>
      <c r="EI192" s="538"/>
      <c r="EN192" s="538"/>
      <c r="EO192" s="538"/>
      <c r="EP192" s="538"/>
      <c r="EQ192" s="538"/>
      <c r="ER192" s="538"/>
    </row>
    <row r="193" spans="129:148" s="108" customFormat="1" x14ac:dyDescent="0.3">
      <c r="DY193" s="538"/>
      <c r="ED193" s="538"/>
      <c r="EI193" s="538"/>
      <c r="EN193" s="538"/>
      <c r="EO193" s="538"/>
      <c r="EP193" s="538"/>
      <c r="EQ193" s="538"/>
      <c r="ER193" s="538"/>
    </row>
    <row r="194" spans="129:148" s="108" customFormat="1" x14ac:dyDescent="0.3">
      <c r="DY194" s="538"/>
      <c r="ED194" s="538"/>
      <c r="EI194" s="538"/>
      <c r="EN194" s="538"/>
      <c r="EO194" s="538"/>
      <c r="EP194" s="538"/>
      <c r="EQ194" s="538"/>
      <c r="ER194" s="538"/>
    </row>
    <row r="195" spans="129:148" s="108" customFormat="1" x14ac:dyDescent="0.3">
      <c r="DY195" s="538"/>
      <c r="ED195" s="538"/>
      <c r="EI195" s="538"/>
      <c r="EN195" s="538"/>
      <c r="EO195" s="538"/>
      <c r="EP195" s="538"/>
      <c r="EQ195" s="538"/>
      <c r="ER195" s="538"/>
    </row>
    <row r="196" spans="129:148" s="108" customFormat="1" x14ac:dyDescent="0.3">
      <c r="DY196" s="538"/>
      <c r="ED196" s="538"/>
      <c r="EI196" s="538"/>
      <c r="EN196" s="538"/>
      <c r="EO196" s="538"/>
      <c r="EP196" s="538"/>
      <c r="EQ196" s="538"/>
      <c r="ER196" s="538"/>
    </row>
    <row r="197" spans="129:148" s="108" customFormat="1" x14ac:dyDescent="0.3">
      <c r="DY197" s="538"/>
      <c r="ED197" s="538"/>
      <c r="EI197" s="538"/>
      <c r="EN197" s="538"/>
      <c r="EO197" s="538"/>
      <c r="EP197" s="538"/>
      <c r="EQ197" s="538"/>
      <c r="ER197" s="538"/>
    </row>
    <row r="198" spans="129:148" s="108" customFormat="1" x14ac:dyDescent="0.3">
      <c r="DY198" s="538"/>
      <c r="ED198" s="538"/>
      <c r="EI198" s="538"/>
      <c r="EN198" s="538"/>
      <c r="EO198" s="538"/>
      <c r="EP198" s="538"/>
      <c r="EQ198" s="538"/>
      <c r="ER198" s="538"/>
    </row>
    <row r="199" spans="129:148" s="108" customFormat="1" x14ac:dyDescent="0.3">
      <c r="DY199" s="538"/>
      <c r="ED199" s="538"/>
      <c r="EI199" s="538"/>
      <c r="EN199" s="538"/>
      <c r="EO199" s="538"/>
      <c r="EP199" s="538"/>
      <c r="EQ199" s="538"/>
      <c r="ER199" s="538"/>
    </row>
    <row r="200" spans="129:148" s="108" customFormat="1" x14ac:dyDescent="0.3">
      <c r="DY200" s="538"/>
      <c r="ED200" s="538"/>
      <c r="EI200" s="538"/>
      <c r="EN200" s="538"/>
      <c r="EO200" s="538"/>
      <c r="EP200" s="538"/>
      <c r="EQ200" s="538"/>
      <c r="ER200" s="538"/>
    </row>
    <row r="201" spans="129:148" s="108" customFormat="1" x14ac:dyDescent="0.3">
      <c r="DY201" s="538"/>
      <c r="ED201" s="538"/>
      <c r="EI201" s="538"/>
      <c r="EN201" s="538"/>
      <c r="EO201" s="538"/>
      <c r="EP201" s="538"/>
      <c r="EQ201" s="538"/>
      <c r="ER201" s="538"/>
    </row>
    <row r="202" spans="129:148" s="108" customFormat="1" x14ac:dyDescent="0.3">
      <c r="DY202" s="538"/>
      <c r="ED202" s="538"/>
      <c r="EI202" s="538"/>
      <c r="EN202" s="538"/>
      <c r="EO202" s="538"/>
      <c r="EP202" s="538"/>
      <c r="EQ202" s="538"/>
      <c r="ER202" s="538"/>
    </row>
    <row r="203" spans="129:148" s="108" customFormat="1" x14ac:dyDescent="0.3">
      <c r="DY203" s="538"/>
      <c r="ED203" s="538"/>
      <c r="EI203" s="538"/>
      <c r="EN203" s="538"/>
      <c r="EO203" s="538"/>
      <c r="EP203" s="538"/>
      <c r="EQ203" s="538"/>
      <c r="ER203" s="538"/>
    </row>
    <row r="204" spans="129:148" s="108" customFormat="1" x14ac:dyDescent="0.3">
      <c r="DY204" s="538"/>
      <c r="ED204" s="538"/>
      <c r="EI204" s="538"/>
      <c r="EN204" s="538"/>
      <c r="EO204" s="538"/>
      <c r="EP204" s="538"/>
      <c r="EQ204" s="538"/>
      <c r="ER204" s="538"/>
    </row>
    <row r="205" spans="129:148" s="108" customFormat="1" x14ac:dyDescent="0.3">
      <c r="DY205" s="538"/>
      <c r="ED205" s="538"/>
      <c r="EI205" s="538"/>
      <c r="EN205" s="538"/>
      <c r="EO205" s="538"/>
      <c r="EP205" s="538"/>
      <c r="EQ205" s="538"/>
      <c r="ER205" s="538"/>
    </row>
    <row r="206" spans="129:148" s="108" customFormat="1" x14ac:dyDescent="0.3">
      <c r="DY206" s="538"/>
      <c r="ED206" s="538"/>
      <c r="EI206" s="538"/>
      <c r="EN206" s="538"/>
      <c r="EO206" s="538"/>
      <c r="EP206" s="538"/>
      <c r="EQ206" s="538"/>
      <c r="ER206" s="538"/>
    </row>
    <row r="207" spans="129:148" s="108" customFormat="1" x14ac:dyDescent="0.3">
      <c r="DY207" s="538"/>
      <c r="ED207" s="538"/>
      <c r="EI207" s="538"/>
      <c r="EN207" s="538"/>
      <c r="EO207" s="538"/>
      <c r="EP207" s="538"/>
      <c r="EQ207" s="538"/>
      <c r="ER207" s="538"/>
    </row>
    <row r="208" spans="129:148" s="108" customFormat="1" x14ac:dyDescent="0.3">
      <c r="DY208" s="538"/>
      <c r="ED208" s="538"/>
      <c r="EI208" s="538"/>
      <c r="EN208" s="538"/>
      <c r="EO208" s="538"/>
      <c r="EP208" s="538"/>
      <c r="EQ208" s="538"/>
      <c r="ER208" s="538"/>
    </row>
    <row r="209" spans="129:148" s="108" customFormat="1" x14ac:dyDescent="0.3">
      <c r="DY209" s="538"/>
      <c r="ED209" s="538"/>
      <c r="EI209" s="538"/>
      <c r="EN209" s="538"/>
      <c r="EO209" s="538"/>
      <c r="EP209" s="538"/>
      <c r="EQ209" s="538"/>
      <c r="ER209" s="538"/>
    </row>
    <row r="210" spans="129:148" s="108" customFormat="1" x14ac:dyDescent="0.3">
      <c r="DY210" s="538"/>
      <c r="ED210" s="538"/>
      <c r="EI210" s="538"/>
      <c r="EN210" s="538"/>
      <c r="EO210" s="538"/>
      <c r="EP210" s="538"/>
      <c r="EQ210" s="538"/>
      <c r="ER210" s="538"/>
    </row>
    <row r="211" spans="129:148" s="108" customFormat="1" x14ac:dyDescent="0.3">
      <c r="DY211" s="538"/>
      <c r="ED211" s="538"/>
      <c r="EI211" s="538"/>
      <c r="EN211" s="538"/>
      <c r="EO211" s="538"/>
      <c r="EP211" s="538"/>
      <c r="EQ211" s="538"/>
      <c r="ER211" s="538"/>
    </row>
    <row r="212" spans="129:148" s="108" customFormat="1" x14ac:dyDescent="0.3">
      <c r="DY212" s="538"/>
      <c r="ED212" s="538"/>
      <c r="EI212" s="538"/>
      <c r="EN212" s="538"/>
      <c r="EO212" s="538"/>
      <c r="EP212" s="538"/>
      <c r="EQ212" s="538"/>
      <c r="ER212" s="538"/>
    </row>
    <row r="213" spans="129:148" s="108" customFormat="1" x14ac:dyDescent="0.3">
      <c r="DY213" s="538"/>
      <c r="ED213" s="538"/>
      <c r="EI213" s="538"/>
      <c r="EN213" s="538"/>
      <c r="EO213" s="538"/>
      <c r="EP213" s="538"/>
      <c r="EQ213" s="538"/>
      <c r="ER213" s="538"/>
    </row>
    <row r="214" spans="129:148" s="108" customFormat="1" x14ac:dyDescent="0.3">
      <c r="DY214" s="538"/>
      <c r="ED214" s="538"/>
      <c r="EI214" s="538"/>
      <c r="EN214" s="538"/>
      <c r="EO214" s="538"/>
      <c r="EP214" s="538"/>
      <c r="EQ214" s="538"/>
      <c r="ER214" s="538"/>
    </row>
    <row r="215" spans="129:148" s="108" customFormat="1" x14ac:dyDescent="0.3">
      <c r="DY215" s="538"/>
      <c r="ED215" s="538"/>
      <c r="EI215" s="538"/>
      <c r="EN215" s="538"/>
      <c r="EO215" s="538"/>
      <c r="EP215" s="538"/>
      <c r="EQ215" s="538"/>
      <c r="ER215" s="538"/>
    </row>
    <row r="216" spans="129:148" s="108" customFormat="1" x14ac:dyDescent="0.3">
      <c r="DY216" s="538"/>
      <c r="ED216" s="538"/>
      <c r="EI216" s="538"/>
      <c r="EN216" s="538"/>
      <c r="EO216" s="538"/>
      <c r="EP216" s="538"/>
      <c r="EQ216" s="538"/>
      <c r="ER216" s="538"/>
    </row>
    <row r="217" spans="129:148" s="108" customFormat="1" x14ac:dyDescent="0.3">
      <c r="DY217" s="538"/>
      <c r="ED217" s="538"/>
      <c r="EI217" s="538"/>
      <c r="EN217" s="538"/>
      <c r="EO217" s="538"/>
      <c r="EP217" s="538"/>
      <c r="EQ217" s="538"/>
      <c r="ER217" s="538"/>
    </row>
    <row r="218" spans="129:148" s="108" customFormat="1" x14ac:dyDescent="0.3">
      <c r="DY218" s="538"/>
      <c r="ED218" s="538"/>
      <c r="EI218" s="538"/>
      <c r="EN218" s="538"/>
      <c r="EO218" s="538"/>
      <c r="EP218" s="538"/>
      <c r="EQ218" s="538"/>
      <c r="ER218" s="538"/>
    </row>
    <row r="219" spans="129:148" s="108" customFormat="1" x14ac:dyDescent="0.3">
      <c r="DY219" s="538"/>
      <c r="ED219" s="538"/>
      <c r="EI219" s="538"/>
      <c r="EN219" s="538"/>
      <c r="EO219" s="538"/>
      <c r="EP219" s="538"/>
      <c r="EQ219" s="538"/>
      <c r="ER219" s="538"/>
    </row>
    <row r="220" spans="129:148" s="108" customFormat="1" x14ac:dyDescent="0.3">
      <c r="DY220" s="538"/>
      <c r="ED220" s="538"/>
      <c r="EI220" s="538"/>
      <c r="EN220" s="538"/>
      <c r="EO220" s="538"/>
      <c r="EP220" s="538"/>
      <c r="EQ220" s="538"/>
      <c r="ER220" s="538"/>
    </row>
    <row r="221" spans="129:148" s="108" customFormat="1" x14ac:dyDescent="0.3">
      <c r="DY221" s="538"/>
      <c r="ED221" s="538"/>
      <c r="EI221" s="538"/>
      <c r="EN221" s="538"/>
      <c r="EO221" s="538"/>
      <c r="EP221" s="538"/>
      <c r="EQ221" s="538"/>
      <c r="ER221" s="538"/>
    </row>
    <row r="222" spans="129:148" s="108" customFormat="1" x14ac:dyDescent="0.3">
      <c r="DY222" s="538"/>
      <c r="ED222" s="538"/>
      <c r="EI222" s="538"/>
      <c r="EN222" s="538"/>
      <c r="EO222" s="538"/>
      <c r="EP222" s="538"/>
      <c r="EQ222" s="538"/>
      <c r="ER222" s="538"/>
    </row>
    <row r="223" spans="129:148" s="108" customFormat="1" x14ac:dyDescent="0.3">
      <c r="DY223" s="538"/>
      <c r="ED223" s="538"/>
      <c r="EI223" s="538"/>
      <c r="EN223" s="538"/>
      <c r="EO223" s="538"/>
      <c r="EP223" s="538"/>
      <c r="EQ223" s="538"/>
      <c r="ER223" s="538"/>
    </row>
    <row r="224" spans="129:148" s="108" customFormat="1" x14ac:dyDescent="0.3">
      <c r="DY224" s="538"/>
      <c r="ED224" s="538"/>
      <c r="EI224" s="538"/>
      <c r="EN224" s="538"/>
      <c r="EO224" s="538"/>
      <c r="EP224" s="538"/>
      <c r="EQ224" s="538"/>
      <c r="ER224" s="538"/>
    </row>
    <row r="225" spans="129:148" s="108" customFormat="1" x14ac:dyDescent="0.3">
      <c r="DY225" s="538"/>
      <c r="ED225" s="538"/>
      <c r="EI225" s="538"/>
      <c r="EN225" s="538"/>
      <c r="EO225" s="538"/>
      <c r="EP225" s="538"/>
      <c r="EQ225" s="538"/>
      <c r="ER225" s="538"/>
    </row>
    <row r="226" spans="129:148" s="108" customFormat="1" x14ac:dyDescent="0.3">
      <c r="DY226" s="538"/>
      <c r="ED226" s="538"/>
      <c r="EI226" s="538"/>
      <c r="EN226" s="538"/>
      <c r="EO226" s="538"/>
      <c r="EP226" s="538"/>
      <c r="EQ226" s="538"/>
      <c r="ER226" s="538"/>
    </row>
    <row r="227" spans="129:148" s="108" customFormat="1" x14ac:dyDescent="0.3">
      <c r="DY227" s="538"/>
      <c r="ED227" s="538"/>
      <c r="EI227" s="538"/>
      <c r="EN227" s="538"/>
      <c r="EO227" s="538"/>
      <c r="EP227" s="538"/>
      <c r="EQ227" s="538"/>
      <c r="ER227" s="538"/>
    </row>
    <row r="228" spans="129:148" s="108" customFormat="1" x14ac:dyDescent="0.3">
      <c r="DY228" s="538"/>
      <c r="ED228" s="538"/>
      <c r="EI228" s="538"/>
      <c r="EN228" s="538"/>
      <c r="EO228" s="538"/>
      <c r="EP228" s="538"/>
      <c r="EQ228" s="538"/>
      <c r="ER228" s="538"/>
    </row>
    <row r="229" spans="129:148" s="108" customFormat="1" x14ac:dyDescent="0.3">
      <c r="DY229" s="538"/>
      <c r="ED229" s="538"/>
      <c r="EI229" s="538"/>
      <c r="EN229" s="538"/>
      <c r="EO229" s="538"/>
      <c r="EP229" s="538"/>
      <c r="EQ229" s="538"/>
      <c r="ER229" s="538"/>
    </row>
    <row r="230" spans="129:148" s="108" customFormat="1" x14ac:dyDescent="0.3">
      <c r="DY230" s="538"/>
      <c r="ED230" s="538"/>
      <c r="EI230" s="538"/>
      <c r="EN230" s="538"/>
      <c r="EO230" s="538"/>
      <c r="EP230" s="538"/>
      <c r="EQ230" s="538"/>
      <c r="ER230" s="538"/>
    </row>
    <row r="231" spans="129:148" s="108" customFormat="1" x14ac:dyDescent="0.3">
      <c r="DY231" s="538"/>
      <c r="ED231" s="538"/>
      <c r="EI231" s="538"/>
      <c r="EN231" s="538"/>
      <c r="EO231" s="538"/>
      <c r="EP231" s="538"/>
      <c r="EQ231" s="538"/>
      <c r="ER231" s="538"/>
    </row>
    <row r="232" spans="129:148" s="108" customFormat="1" x14ac:dyDescent="0.3">
      <c r="DY232" s="538"/>
      <c r="ED232" s="538"/>
      <c r="EI232" s="538"/>
      <c r="EN232" s="538"/>
      <c r="EO232" s="538"/>
      <c r="EP232" s="538"/>
      <c r="EQ232" s="538"/>
      <c r="ER232" s="538"/>
    </row>
    <row r="233" spans="129:148" s="108" customFormat="1" x14ac:dyDescent="0.3">
      <c r="DY233" s="538"/>
      <c r="ED233" s="538"/>
      <c r="EI233" s="538"/>
      <c r="EN233" s="538"/>
      <c r="EO233" s="538"/>
      <c r="EP233" s="538"/>
      <c r="EQ233" s="538"/>
      <c r="ER233" s="538"/>
    </row>
    <row r="234" spans="129:148" s="108" customFormat="1" x14ac:dyDescent="0.3">
      <c r="DY234" s="538"/>
      <c r="ED234" s="538"/>
      <c r="EI234" s="538"/>
      <c r="EN234" s="538"/>
      <c r="EO234" s="538"/>
      <c r="EP234" s="538"/>
      <c r="EQ234" s="538"/>
      <c r="ER234" s="538"/>
    </row>
    <row r="235" spans="129:148" s="108" customFormat="1" x14ac:dyDescent="0.3">
      <c r="DY235" s="538"/>
      <c r="ED235" s="538"/>
      <c r="EI235" s="538"/>
      <c r="EN235" s="538"/>
      <c r="EO235" s="538"/>
      <c r="EP235" s="538"/>
      <c r="EQ235" s="538"/>
      <c r="ER235" s="538"/>
    </row>
    <row r="236" spans="129:148" s="108" customFormat="1" x14ac:dyDescent="0.3">
      <c r="DY236" s="538"/>
      <c r="ED236" s="538"/>
      <c r="EI236" s="538"/>
      <c r="EN236" s="538"/>
      <c r="EO236" s="538"/>
      <c r="EP236" s="538"/>
      <c r="EQ236" s="538"/>
      <c r="ER236" s="538"/>
    </row>
    <row r="237" spans="129:148" s="108" customFormat="1" x14ac:dyDescent="0.3">
      <c r="DY237" s="538"/>
      <c r="ED237" s="538"/>
      <c r="EI237" s="538"/>
      <c r="EN237" s="538"/>
      <c r="EO237" s="538"/>
      <c r="EP237" s="538"/>
      <c r="EQ237" s="538"/>
      <c r="ER237" s="538"/>
    </row>
    <row r="238" spans="129:148" s="108" customFormat="1" x14ac:dyDescent="0.3">
      <c r="DY238" s="538"/>
      <c r="ED238" s="538"/>
      <c r="EI238" s="538"/>
      <c r="EN238" s="538"/>
      <c r="EO238" s="538"/>
      <c r="EP238" s="538"/>
      <c r="EQ238" s="538"/>
      <c r="ER238" s="538"/>
    </row>
    <row r="239" spans="129:148" s="108" customFormat="1" x14ac:dyDescent="0.3">
      <c r="DY239" s="538"/>
      <c r="ED239" s="538"/>
      <c r="EI239" s="538"/>
      <c r="EN239" s="538"/>
      <c r="EO239" s="538"/>
      <c r="EP239" s="538"/>
      <c r="EQ239" s="538"/>
      <c r="ER239" s="538"/>
    </row>
    <row r="240" spans="129:148" s="108" customFormat="1" x14ac:dyDescent="0.3">
      <c r="DY240" s="538"/>
      <c r="ED240" s="538"/>
      <c r="EI240" s="538"/>
      <c r="EN240" s="538"/>
      <c r="EO240" s="538"/>
      <c r="EP240" s="538"/>
      <c r="EQ240" s="538"/>
      <c r="ER240" s="538"/>
    </row>
    <row r="241" spans="129:148" s="108" customFormat="1" x14ac:dyDescent="0.3">
      <c r="DY241" s="538"/>
      <c r="ED241" s="538"/>
      <c r="EI241" s="538"/>
      <c r="EN241" s="538"/>
      <c r="EO241" s="538"/>
      <c r="EP241" s="538"/>
      <c r="EQ241" s="538"/>
      <c r="ER241" s="538"/>
    </row>
    <row r="242" spans="129:148" s="108" customFormat="1" x14ac:dyDescent="0.3">
      <c r="DY242" s="538"/>
      <c r="ED242" s="538"/>
      <c r="EI242" s="538"/>
      <c r="EN242" s="538"/>
      <c r="EO242" s="538"/>
      <c r="EP242" s="538"/>
      <c r="EQ242" s="538"/>
      <c r="ER242" s="538"/>
    </row>
    <row r="243" spans="129:148" s="108" customFormat="1" x14ac:dyDescent="0.3">
      <c r="DY243" s="538"/>
      <c r="ED243" s="538"/>
      <c r="EI243" s="538"/>
      <c r="EN243" s="538"/>
      <c r="EO243" s="538"/>
      <c r="EP243" s="538"/>
      <c r="EQ243" s="538"/>
      <c r="ER243" s="538"/>
    </row>
    <row r="244" spans="129:148" s="108" customFormat="1" x14ac:dyDescent="0.3">
      <c r="DY244" s="538"/>
      <c r="ED244" s="538"/>
      <c r="EI244" s="538"/>
      <c r="EN244" s="538"/>
      <c r="EO244" s="538"/>
      <c r="EP244" s="538"/>
      <c r="EQ244" s="538"/>
      <c r="ER244" s="538"/>
    </row>
    <row r="245" spans="129:148" s="108" customFormat="1" x14ac:dyDescent="0.3">
      <c r="DY245" s="538"/>
      <c r="ED245" s="538"/>
      <c r="EI245" s="538"/>
      <c r="EN245" s="538"/>
      <c r="EO245" s="538"/>
      <c r="EP245" s="538"/>
      <c r="EQ245" s="538"/>
      <c r="ER245" s="538"/>
    </row>
    <row r="246" spans="129:148" s="108" customFormat="1" x14ac:dyDescent="0.3">
      <c r="DY246" s="538"/>
      <c r="ED246" s="538"/>
      <c r="EI246" s="538"/>
      <c r="EN246" s="538"/>
      <c r="EO246" s="538"/>
      <c r="EP246" s="538"/>
      <c r="EQ246" s="538"/>
      <c r="ER246" s="538"/>
    </row>
    <row r="247" spans="129:148" s="108" customFormat="1" x14ac:dyDescent="0.3">
      <c r="DY247" s="538"/>
      <c r="ED247" s="538"/>
      <c r="EI247" s="538"/>
      <c r="EN247" s="538"/>
      <c r="EO247" s="538"/>
      <c r="EP247" s="538"/>
      <c r="EQ247" s="538"/>
      <c r="ER247" s="538"/>
    </row>
    <row r="248" spans="129:148" s="108" customFormat="1" x14ac:dyDescent="0.3">
      <c r="DY248" s="538"/>
      <c r="ED248" s="538"/>
      <c r="EI248" s="538"/>
      <c r="EN248" s="538"/>
      <c r="EO248" s="538"/>
      <c r="EP248" s="538"/>
      <c r="EQ248" s="538"/>
      <c r="ER248" s="538"/>
    </row>
    <row r="249" spans="129:148" s="108" customFormat="1" x14ac:dyDescent="0.3">
      <c r="DY249" s="538"/>
      <c r="ED249" s="538"/>
      <c r="EI249" s="538"/>
      <c r="EN249" s="538"/>
      <c r="EO249" s="538"/>
      <c r="EP249" s="538"/>
      <c r="EQ249" s="538"/>
      <c r="ER249" s="538"/>
    </row>
    <row r="250" spans="129:148" s="108" customFormat="1" x14ac:dyDescent="0.3">
      <c r="DY250" s="538"/>
      <c r="ED250" s="538"/>
      <c r="EI250" s="538"/>
      <c r="EN250" s="538"/>
      <c r="EO250" s="538"/>
      <c r="EP250" s="538"/>
      <c r="EQ250" s="538"/>
      <c r="ER250" s="538"/>
    </row>
    <row r="251" spans="129:148" s="108" customFormat="1" x14ac:dyDescent="0.3">
      <c r="DY251" s="538"/>
      <c r="ED251" s="538"/>
      <c r="EI251" s="538"/>
      <c r="EN251" s="538"/>
      <c r="EO251" s="538"/>
      <c r="EP251" s="538"/>
      <c r="EQ251" s="538"/>
      <c r="ER251" s="538"/>
    </row>
    <row r="252" spans="129:148" s="108" customFormat="1" x14ac:dyDescent="0.3">
      <c r="DY252" s="538"/>
      <c r="ED252" s="538"/>
      <c r="EI252" s="538"/>
      <c r="EN252" s="538"/>
      <c r="EO252" s="538"/>
      <c r="EP252" s="538"/>
      <c r="EQ252" s="538"/>
      <c r="ER252" s="538"/>
    </row>
    <row r="253" spans="129:148" s="108" customFormat="1" x14ac:dyDescent="0.3">
      <c r="DY253" s="538"/>
      <c r="ED253" s="538"/>
      <c r="EI253" s="538"/>
      <c r="EN253" s="538"/>
      <c r="EO253" s="538"/>
      <c r="EP253" s="538"/>
      <c r="EQ253" s="538"/>
      <c r="ER253" s="538"/>
    </row>
    <row r="254" spans="129:148" s="108" customFormat="1" x14ac:dyDescent="0.3">
      <c r="DY254" s="538"/>
      <c r="ED254" s="538"/>
      <c r="EI254" s="538"/>
      <c r="EN254" s="538"/>
      <c r="EO254" s="538"/>
      <c r="EP254" s="538"/>
      <c r="EQ254" s="538"/>
      <c r="ER254" s="538"/>
    </row>
    <row r="255" spans="129:148" s="108" customFormat="1" x14ac:dyDescent="0.3">
      <c r="DY255" s="538"/>
      <c r="ED255" s="538"/>
      <c r="EI255" s="538"/>
      <c r="EN255" s="538"/>
      <c r="EO255" s="538"/>
      <c r="EP255" s="538"/>
      <c r="EQ255" s="538"/>
      <c r="ER255" s="538"/>
    </row>
    <row r="256" spans="129:148" s="108" customFormat="1" x14ac:dyDescent="0.3">
      <c r="DY256" s="538"/>
      <c r="ED256" s="538"/>
      <c r="EI256" s="538"/>
      <c r="EN256" s="538"/>
      <c r="EO256" s="538"/>
      <c r="EP256" s="538"/>
      <c r="EQ256" s="538"/>
      <c r="ER256" s="538"/>
    </row>
    <row r="257" spans="129:148" s="108" customFormat="1" x14ac:dyDescent="0.3">
      <c r="DY257" s="538"/>
      <c r="ED257" s="538"/>
      <c r="EI257" s="538"/>
      <c r="EN257" s="538"/>
      <c r="EO257" s="538"/>
      <c r="EP257" s="538"/>
      <c r="EQ257" s="538"/>
      <c r="ER257" s="538"/>
    </row>
    <row r="258" spans="129:148" s="108" customFormat="1" x14ac:dyDescent="0.3">
      <c r="DY258" s="538"/>
      <c r="ED258" s="538"/>
      <c r="EI258" s="538"/>
      <c r="EN258" s="538"/>
      <c r="EO258" s="538"/>
      <c r="EP258" s="538"/>
      <c r="EQ258" s="538"/>
      <c r="ER258" s="538"/>
    </row>
    <row r="259" spans="129:148" s="108" customFormat="1" x14ac:dyDescent="0.3">
      <c r="DY259" s="538"/>
      <c r="ED259" s="538"/>
      <c r="EI259" s="538"/>
      <c r="EN259" s="538"/>
      <c r="EO259" s="538"/>
      <c r="EP259" s="538"/>
      <c r="EQ259" s="538"/>
      <c r="ER259" s="538"/>
    </row>
    <row r="260" spans="129:148" s="108" customFormat="1" x14ac:dyDescent="0.3">
      <c r="DY260" s="538"/>
      <c r="ED260" s="538"/>
      <c r="EI260" s="538"/>
      <c r="EN260" s="538"/>
      <c r="EO260" s="538"/>
      <c r="EP260" s="538"/>
      <c r="EQ260" s="538"/>
      <c r="ER260" s="538"/>
    </row>
    <row r="261" spans="129:148" s="108" customFormat="1" x14ac:dyDescent="0.3">
      <c r="DY261" s="538"/>
      <c r="ED261" s="538"/>
      <c r="EI261" s="538"/>
      <c r="EN261" s="538"/>
      <c r="EO261" s="538"/>
      <c r="EP261" s="538"/>
      <c r="EQ261" s="538"/>
      <c r="ER261" s="538"/>
    </row>
    <row r="262" spans="129:148" s="108" customFormat="1" x14ac:dyDescent="0.3">
      <c r="DY262" s="538"/>
      <c r="ED262" s="538"/>
      <c r="EI262" s="538"/>
      <c r="EN262" s="538"/>
      <c r="EO262" s="538"/>
      <c r="EP262" s="538"/>
      <c r="EQ262" s="538"/>
      <c r="ER262" s="538"/>
    </row>
    <row r="263" spans="129:148" s="108" customFormat="1" x14ac:dyDescent="0.3">
      <c r="DY263" s="538"/>
      <c r="ED263" s="538"/>
      <c r="EI263" s="538"/>
      <c r="EN263" s="538"/>
      <c r="EO263" s="538"/>
      <c r="EP263" s="538"/>
      <c r="EQ263" s="538"/>
      <c r="ER263" s="538"/>
    </row>
    <row r="264" spans="129:148" s="108" customFormat="1" x14ac:dyDescent="0.3">
      <c r="DY264" s="538"/>
      <c r="ED264" s="538"/>
      <c r="EI264" s="538"/>
      <c r="EN264" s="538"/>
      <c r="EO264" s="538"/>
      <c r="EP264" s="538"/>
      <c r="EQ264" s="538"/>
      <c r="ER264" s="538"/>
    </row>
    <row r="265" spans="129:148" s="108" customFormat="1" x14ac:dyDescent="0.3">
      <c r="DY265" s="538"/>
      <c r="ED265" s="538"/>
      <c r="EI265" s="538"/>
      <c r="EN265" s="538"/>
      <c r="EO265" s="538"/>
      <c r="EP265" s="538"/>
      <c r="EQ265" s="538"/>
      <c r="ER265" s="538"/>
    </row>
    <row r="266" spans="129:148" s="108" customFormat="1" x14ac:dyDescent="0.3">
      <c r="DY266" s="538"/>
      <c r="ED266" s="538"/>
      <c r="EI266" s="538"/>
      <c r="EN266" s="538"/>
      <c r="EO266" s="538"/>
      <c r="EP266" s="538"/>
      <c r="EQ266" s="538"/>
      <c r="ER266" s="538"/>
    </row>
    <row r="267" spans="129:148" s="108" customFormat="1" x14ac:dyDescent="0.3">
      <c r="DY267" s="538"/>
      <c r="ED267" s="538"/>
      <c r="EI267" s="538"/>
      <c r="EN267" s="538"/>
      <c r="EO267" s="538"/>
      <c r="EP267" s="538"/>
      <c r="EQ267" s="538"/>
      <c r="ER267" s="538"/>
    </row>
    <row r="268" spans="129:148" s="108" customFormat="1" x14ac:dyDescent="0.3">
      <c r="DY268" s="538"/>
      <c r="ED268" s="538"/>
      <c r="EI268" s="538"/>
      <c r="EN268" s="538"/>
      <c r="EO268" s="538"/>
      <c r="EP268" s="538"/>
      <c r="EQ268" s="538"/>
      <c r="ER268" s="538"/>
    </row>
    <row r="269" spans="129:148" s="108" customFormat="1" x14ac:dyDescent="0.3">
      <c r="DY269" s="538"/>
      <c r="ED269" s="538"/>
      <c r="EI269" s="538"/>
      <c r="EN269" s="538"/>
      <c r="EO269" s="538"/>
      <c r="EP269" s="538"/>
      <c r="EQ269" s="538"/>
      <c r="ER269" s="538"/>
    </row>
    <row r="270" spans="129:148" s="108" customFormat="1" x14ac:dyDescent="0.3">
      <c r="DY270" s="538"/>
      <c r="ED270" s="538"/>
      <c r="EI270" s="538"/>
      <c r="EN270" s="538"/>
      <c r="EO270" s="538"/>
      <c r="EP270" s="538"/>
      <c r="EQ270" s="538"/>
      <c r="ER270" s="538"/>
    </row>
    <row r="271" spans="129:148" s="108" customFormat="1" x14ac:dyDescent="0.3">
      <c r="DY271" s="538"/>
      <c r="ED271" s="538"/>
      <c r="EI271" s="538"/>
      <c r="EN271" s="538"/>
      <c r="EO271" s="538"/>
      <c r="EP271" s="538"/>
      <c r="EQ271" s="538"/>
      <c r="ER271" s="538"/>
    </row>
    <row r="272" spans="129:148" s="108" customFormat="1" x14ac:dyDescent="0.3">
      <c r="DY272" s="538"/>
      <c r="ED272" s="538"/>
      <c r="EI272" s="538"/>
      <c r="EN272" s="538"/>
      <c r="EO272" s="538"/>
      <c r="EP272" s="538"/>
      <c r="EQ272" s="538"/>
      <c r="ER272" s="538"/>
    </row>
    <row r="273" spans="129:148" s="108" customFormat="1" x14ac:dyDescent="0.3">
      <c r="DY273" s="538"/>
      <c r="ED273" s="538"/>
      <c r="EI273" s="538"/>
      <c r="EN273" s="538"/>
      <c r="EO273" s="538"/>
      <c r="EP273" s="538"/>
      <c r="EQ273" s="538"/>
      <c r="ER273" s="538"/>
    </row>
    <row r="274" spans="129:148" s="108" customFormat="1" x14ac:dyDescent="0.3">
      <c r="DY274" s="538"/>
      <c r="ED274" s="538"/>
      <c r="EI274" s="538"/>
      <c r="EN274" s="538"/>
      <c r="EO274" s="538"/>
      <c r="EP274" s="538"/>
      <c r="EQ274" s="538"/>
      <c r="ER274" s="538"/>
    </row>
    <row r="275" spans="129:148" s="108" customFormat="1" x14ac:dyDescent="0.3">
      <c r="DY275" s="538"/>
      <c r="ED275" s="538"/>
      <c r="EI275" s="538"/>
      <c r="EN275" s="538"/>
      <c r="EO275" s="538"/>
      <c r="EP275" s="538"/>
      <c r="EQ275" s="538"/>
      <c r="ER275" s="538"/>
    </row>
    <row r="276" spans="129:148" s="108" customFormat="1" x14ac:dyDescent="0.3">
      <c r="DY276" s="538"/>
      <c r="ED276" s="538"/>
      <c r="EI276" s="538"/>
      <c r="EN276" s="538"/>
      <c r="EO276" s="538"/>
      <c r="EP276" s="538"/>
      <c r="EQ276" s="538"/>
      <c r="ER276" s="538"/>
    </row>
    <row r="277" spans="129:148" s="108" customFormat="1" x14ac:dyDescent="0.3">
      <c r="DY277" s="538"/>
      <c r="ED277" s="538"/>
      <c r="EI277" s="538"/>
      <c r="EN277" s="538"/>
      <c r="EO277" s="538"/>
      <c r="EP277" s="538"/>
      <c r="EQ277" s="538"/>
      <c r="ER277" s="538"/>
    </row>
    <row r="278" spans="129:148" s="108" customFormat="1" x14ac:dyDescent="0.3">
      <c r="DY278" s="538"/>
      <c r="ED278" s="538"/>
      <c r="EI278" s="538"/>
      <c r="EN278" s="538"/>
      <c r="EO278" s="538"/>
      <c r="EP278" s="538"/>
      <c r="EQ278" s="538"/>
      <c r="ER278" s="538"/>
    </row>
    <row r="279" spans="129:148" s="108" customFormat="1" x14ac:dyDescent="0.3">
      <c r="DY279" s="538"/>
      <c r="ED279" s="538"/>
      <c r="EI279" s="538"/>
      <c r="EN279" s="538"/>
      <c r="EO279" s="538"/>
      <c r="EP279" s="538"/>
      <c r="EQ279" s="538"/>
      <c r="ER279" s="538"/>
    </row>
    <row r="280" spans="129:148" s="108" customFormat="1" x14ac:dyDescent="0.3">
      <c r="DY280" s="538"/>
      <c r="ED280" s="538"/>
      <c r="EI280" s="538"/>
      <c r="EN280" s="538"/>
      <c r="EO280" s="538"/>
      <c r="EP280" s="538"/>
      <c r="EQ280" s="538"/>
      <c r="ER280" s="538"/>
    </row>
    <row r="281" spans="129:148" s="108" customFormat="1" x14ac:dyDescent="0.3">
      <c r="DY281" s="538"/>
      <c r="ED281" s="538"/>
      <c r="EI281" s="538"/>
      <c r="EN281" s="538"/>
      <c r="EO281" s="538"/>
      <c r="EP281" s="538"/>
      <c r="EQ281" s="538"/>
      <c r="ER281" s="538"/>
    </row>
    <row r="282" spans="129:148" s="108" customFormat="1" x14ac:dyDescent="0.3">
      <c r="DY282" s="538"/>
      <c r="ED282" s="538"/>
      <c r="EI282" s="538"/>
      <c r="EN282" s="538"/>
      <c r="EO282" s="538"/>
      <c r="EP282" s="538"/>
      <c r="EQ282" s="538"/>
      <c r="ER282" s="538"/>
    </row>
    <row r="283" spans="129:148" s="108" customFormat="1" x14ac:dyDescent="0.3">
      <c r="DY283" s="538"/>
      <c r="ED283" s="538"/>
      <c r="EI283" s="538"/>
      <c r="EN283" s="538"/>
      <c r="EO283" s="538"/>
      <c r="EP283" s="538"/>
      <c r="EQ283" s="538"/>
      <c r="ER283" s="538"/>
    </row>
    <row r="284" spans="129:148" s="108" customFormat="1" x14ac:dyDescent="0.3">
      <c r="DY284" s="538"/>
      <c r="ED284" s="538"/>
      <c r="EI284" s="538"/>
      <c r="EN284" s="538"/>
      <c r="EO284" s="538"/>
      <c r="EP284" s="538"/>
      <c r="EQ284" s="538"/>
      <c r="ER284" s="538"/>
    </row>
    <row r="285" spans="129:148" s="108" customFormat="1" x14ac:dyDescent="0.3">
      <c r="DY285" s="538"/>
      <c r="ED285" s="538"/>
      <c r="EI285" s="538"/>
      <c r="EN285" s="538"/>
      <c r="EO285" s="538"/>
      <c r="EP285" s="538"/>
      <c r="EQ285" s="538"/>
      <c r="ER285" s="538"/>
    </row>
    <row r="286" spans="129:148" s="108" customFormat="1" x14ac:dyDescent="0.3">
      <c r="DY286" s="538"/>
      <c r="ED286" s="538"/>
      <c r="EI286" s="538"/>
      <c r="EN286" s="538"/>
      <c r="EO286" s="538"/>
      <c r="EP286" s="538"/>
      <c r="EQ286" s="538"/>
      <c r="ER286" s="538"/>
    </row>
    <row r="287" spans="129:148" s="108" customFormat="1" x14ac:dyDescent="0.3">
      <c r="DY287" s="538"/>
      <c r="ED287" s="538"/>
      <c r="EI287" s="538"/>
      <c r="EN287" s="538"/>
      <c r="EO287" s="538"/>
      <c r="EP287" s="538"/>
      <c r="EQ287" s="538"/>
      <c r="ER287" s="538"/>
    </row>
    <row r="288" spans="129:148" s="108" customFormat="1" x14ac:dyDescent="0.3">
      <c r="DY288" s="538"/>
      <c r="ED288" s="538"/>
      <c r="EI288" s="538"/>
      <c r="EN288" s="538"/>
      <c r="EO288" s="538"/>
      <c r="EP288" s="538"/>
      <c r="EQ288" s="538"/>
      <c r="ER288" s="538"/>
    </row>
    <row r="289" spans="129:148" s="108" customFormat="1" x14ac:dyDescent="0.3">
      <c r="DY289" s="538"/>
      <c r="ED289" s="538"/>
      <c r="EI289" s="538"/>
      <c r="EN289" s="538"/>
      <c r="EO289" s="538"/>
      <c r="EP289" s="538"/>
      <c r="EQ289" s="538"/>
      <c r="ER289" s="538"/>
    </row>
    <row r="290" spans="129:148" s="108" customFormat="1" x14ac:dyDescent="0.3">
      <c r="DY290" s="538"/>
      <c r="ED290" s="538"/>
      <c r="EI290" s="538"/>
      <c r="EN290" s="538"/>
      <c r="EO290" s="538"/>
      <c r="EP290" s="538"/>
      <c r="EQ290" s="538"/>
      <c r="ER290" s="538"/>
    </row>
    <row r="291" spans="129:148" s="108" customFormat="1" x14ac:dyDescent="0.3">
      <c r="DY291" s="538"/>
      <c r="ED291" s="538"/>
      <c r="EI291" s="538"/>
      <c r="EN291" s="538"/>
      <c r="EO291" s="538"/>
      <c r="EP291" s="538"/>
      <c r="EQ291" s="538"/>
      <c r="ER291" s="538"/>
    </row>
    <row r="292" spans="129:148" s="108" customFormat="1" x14ac:dyDescent="0.3">
      <c r="DY292" s="538"/>
      <c r="ED292" s="538"/>
      <c r="EI292" s="538"/>
      <c r="EN292" s="538"/>
      <c r="EO292" s="538"/>
      <c r="EP292" s="538"/>
      <c r="EQ292" s="538"/>
      <c r="ER292" s="538"/>
    </row>
    <row r="293" spans="129:148" s="108" customFormat="1" x14ac:dyDescent="0.3">
      <c r="DY293" s="538"/>
      <c r="ED293" s="538"/>
      <c r="EI293" s="538"/>
      <c r="EN293" s="538"/>
      <c r="EO293" s="538"/>
      <c r="EP293" s="538"/>
      <c r="EQ293" s="538"/>
      <c r="ER293" s="538"/>
    </row>
    <row r="294" spans="129:148" s="108" customFormat="1" x14ac:dyDescent="0.3">
      <c r="DY294" s="538"/>
      <c r="ED294" s="538"/>
      <c r="EI294" s="538"/>
      <c r="EN294" s="538"/>
      <c r="EO294" s="538"/>
      <c r="EP294" s="538"/>
      <c r="EQ294" s="538"/>
      <c r="ER294" s="538"/>
    </row>
    <row r="295" spans="129:148" s="108" customFormat="1" x14ac:dyDescent="0.3">
      <c r="DY295" s="538"/>
      <c r="ED295" s="538"/>
      <c r="EI295" s="538"/>
      <c r="EN295" s="538"/>
      <c r="EO295" s="538"/>
      <c r="EP295" s="538"/>
      <c r="EQ295" s="538"/>
      <c r="ER295" s="538"/>
    </row>
    <row r="296" spans="129:148" s="108" customFormat="1" x14ac:dyDescent="0.3">
      <c r="DY296" s="538"/>
      <c r="ED296" s="538"/>
      <c r="EI296" s="538"/>
      <c r="EN296" s="538"/>
      <c r="EO296" s="538"/>
      <c r="EP296" s="538"/>
      <c r="EQ296" s="538"/>
      <c r="ER296" s="538"/>
    </row>
    <row r="297" spans="129:148" s="108" customFormat="1" x14ac:dyDescent="0.3">
      <c r="DY297" s="538"/>
      <c r="ED297" s="538"/>
      <c r="EI297" s="538"/>
      <c r="EN297" s="538"/>
      <c r="EO297" s="538"/>
      <c r="EP297" s="538"/>
      <c r="EQ297" s="538"/>
      <c r="ER297" s="538"/>
    </row>
    <row r="298" spans="129:148" s="108" customFormat="1" x14ac:dyDescent="0.3">
      <c r="DY298" s="538"/>
      <c r="ED298" s="538"/>
      <c r="EI298" s="538"/>
      <c r="EN298" s="538"/>
      <c r="EO298" s="538"/>
      <c r="EP298" s="538"/>
      <c r="EQ298" s="538"/>
      <c r="ER298" s="538"/>
    </row>
    <row r="299" spans="129:148" s="108" customFormat="1" x14ac:dyDescent="0.3">
      <c r="DY299" s="538"/>
      <c r="ED299" s="538"/>
      <c r="EI299" s="538"/>
      <c r="EN299" s="538"/>
      <c r="EO299" s="538"/>
      <c r="EP299" s="538"/>
      <c r="EQ299" s="538"/>
      <c r="ER299" s="538"/>
    </row>
    <row r="300" spans="129:148" s="108" customFormat="1" x14ac:dyDescent="0.3">
      <c r="DY300" s="538"/>
      <c r="ED300" s="538"/>
      <c r="EI300" s="538"/>
      <c r="EN300" s="538"/>
      <c r="EO300" s="538"/>
      <c r="EP300" s="538"/>
      <c r="EQ300" s="538"/>
      <c r="ER300" s="538"/>
    </row>
    <row r="301" spans="129:148" s="108" customFormat="1" x14ac:dyDescent="0.3">
      <c r="DY301" s="538"/>
      <c r="ED301" s="538"/>
      <c r="EI301" s="538"/>
      <c r="EN301" s="538"/>
      <c r="EO301" s="538"/>
      <c r="EP301" s="538"/>
      <c r="EQ301" s="538"/>
      <c r="ER301" s="538"/>
    </row>
    <row r="302" spans="129:148" s="108" customFormat="1" x14ac:dyDescent="0.3">
      <c r="DY302" s="538"/>
      <c r="ED302" s="538"/>
      <c r="EI302" s="538"/>
      <c r="EN302" s="538"/>
      <c r="EO302" s="538"/>
      <c r="EP302" s="538"/>
      <c r="EQ302" s="538"/>
      <c r="ER302" s="538"/>
    </row>
    <row r="303" spans="129:148" s="108" customFormat="1" x14ac:dyDescent="0.3">
      <c r="DY303" s="538"/>
      <c r="ED303" s="538"/>
      <c r="EI303" s="538"/>
      <c r="EN303" s="538"/>
      <c r="EO303" s="538"/>
      <c r="EP303" s="538"/>
      <c r="EQ303" s="538"/>
      <c r="ER303" s="538"/>
    </row>
    <row r="304" spans="129:148" s="108" customFormat="1" x14ac:dyDescent="0.3">
      <c r="DY304" s="538"/>
      <c r="ED304" s="538"/>
      <c r="EI304" s="538"/>
      <c r="EN304" s="538"/>
      <c r="EO304" s="538"/>
      <c r="EP304" s="538"/>
      <c r="EQ304" s="538"/>
      <c r="ER304" s="538"/>
    </row>
    <row r="305" spans="129:148" s="108" customFormat="1" x14ac:dyDescent="0.3">
      <c r="DY305" s="538"/>
      <c r="ED305" s="538"/>
      <c r="EI305" s="538"/>
      <c r="EN305" s="538"/>
      <c r="EO305" s="538"/>
      <c r="EP305" s="538"/>
      <c r="EQ305" s="538"/>
      <c r="ER305" s="538"/>
    </row>
    <row r="306" spans="129:148" s="108" customFormat="1" x14ac:dyDescent="0.3">
      <c r="DY306" s="538"/>
      <c r="ED306" s="538"/>
      <c r="EI306" s="538"/>
      <c r="EN306" s="538"/>
      <c r="EO306" s="538"/>
      <c r="EP306" s="538"/>
      <c r="EQ306" s="538"/>
      <c r="ER306" s="538"/>
    </row>
    <row r="307" spans="129:148" s="108" customFormat="1" x14ac:dyDescent="0.3">
      <c r="DY307" s="538"/>
      <c r="ED307" s="538"/>
      <c r="EI307" s="538"/>
      <c r="EN307" s="538"/>
      <c r="EO307" s="538"/>
      <c r="EP307" s="538"/>
      <c r="EQ307" s="538"/>
      <c r="ER307" s="538"/>
    </row>
    <row r="308" spans="129:148" s="108" customFormat="1" x14ac:dyDescent="0.3">
      <c r="DY308" s="538"/>
      <c r="ED308" s="538"/>
      <c r="EI308" s="538"/>
      <c r="EN308" s="538"/>
      <c r="EO308" s="538"/>
      <c r="EP308" s="538"/>
      <c r="EQ308" s="538"/>
      <c r="ER308" s="538"/>
    </row>
    <row r="309" spans="129:148" s="108" customFormat="1" x14ac:dyDescent="0.3">
      <c r="DY309" s="538"/>
      <c r="ED309" s="538"/>
      <c r="EI309" s="538"/>
      <c r="EN309" s="538"/>
      <c r="EO309" s="538"/>
      <c r="EP309" s="538"/>
      <c r="EQ309" s="538"/>
      <c r="ER309" s="538"/>
    </row>
    <row r="310" spans="129:148" s="108" customFormat="1" x14ac:dyDescent="0.3">
      <c r="DY310" s="538"/>
      <c r="ED310" s="538"/>
      <c r="EI310" s="538"/>
      <c r="EN310" s="538"/>
      <c r="EO310" s="538"/>
      <c r="EP310" s="538"/>
      <c r="EQ310" s="538"/>
      <c r="ER310" s="538"/>
    </row>
    <row r="311" spans="129:148" s="108" customFormat="1" x14ac:dyDescent="0.3">
      <c r="DY311" s="538"/>
      <c r="ED311" s="538"/>
      <c r="EI311" s="538"/>
      <c r="EN311" s="538"/>
      <c r="EO311" s="538"/>
      <c r="EP311" s="538"/>
      <c r="EQ311" s="538"/>
      <c r="ER311" s="538"/>
    </row>
    <row r="312" spans="129:148" s="108" customFormat="1" x14ac:dyDescent="0.3">
      <c r="DY312" s="538"/>
      <c r="ED312" s="538"/>
      <c r="EI312" s="538"/>
      <c r="EN312" s="538"/>
      <c r="EO312" s="538"/>
      <c r="EP312" s="538"/>
      <c r="EQ312" s="538"/>
      <c r="ER312" s="538"/>
    </row>
    <row r="313" spans="129:148" s="108" customFormat="1" x14ac:dyDescent="0.3">
      <c r="DY313" s="538"/>
      <c r="ED313" s="538"/>
      <c r="EI313" s="538"/>
      <c r="EN313" s="538"/>
      <c r="EO313" s="538"/>
      <c r="EP313" s="538"/>
      <c r="EQ313" s="538"/>
      <c r="ER313" s="538"/>
    </row>
    <row r="314" spans="129:148" s="108" customFormat="1" x14ac:dyDescent="0.3">
      <c r="DY314" s="538"/>
      <c r="ED314" s="538"/>
      <c r="EI314" s="538"/>
      <c r="EN314" s="538"/>
      <c r="EO314" s="538"/>
      <c r="EP314" s="538"/>
      <c r="EQ314" s="538"/>
      <c r="ER314" s="538"/>
    </row>
    <row r="315" spans="129:148" s="108" customFormat="1" x14ac:dyDescent="0.3">
      <c r="DY315" s="538"/>
      <c r="ED315" s="538"/>
      <c r="EI315" s="538"/>
      <c r="EN315" s="538"/>
      <c r="EO315" s="538"/>
      <c r="EP315" s="538"/>
      <c r="EQ315" s="538"/>
      <c r="ER315" s="538"/>
    </row>
    <row r="316" spans="129:148" s="108" customFormat="1" x14ac:dyDescent="0.3">
      <c r="DY316" s="538"/>
      <c r="ED316" s="538"/>
      <c r="EI316" s="538"/>
      <c r="EN316" s="538"/>
      <c r="EO316" s="538"/>
      <c r="EP316" s="538"/>
      <c r="EQ316" s="538"/>
      <c r="ER316" s="538"/>
    </row>
    <row r="317" spans="129:148" s="108" customFormat="1" x14ac:dyDescent="0.3">
      <c r="DY317" s="538"/>
      <c r="ED317" s="538"/>
      <c r="EI317" s="538"/>
      <c r="EN317" s="538"/>
      <c r="EO317" s="538"/>
      <c r="EP317" s="538"/>
      <c r="EQ317" s="538"/>
      <c r="ER317" s="538"/>
    </row>
    <row r="318" spans="129:148" s="108" customFormat="1" x14ac:dyDescent="0.3">
      <c r="DY318" s="538"/>
      <c r="ED318" s="538"/>
      <c r="EI318" s="538"/>
      <c r="EN318" s="538"/>
      <c r="EO318" s="538"/>
      <c r="EP318" s="538"/>
      <c r="EQ318" s="538"/>
      <c r="ER318" s="538"/>
    </row>
    <row r="319" spans="129:148" s="108" customFormat="1" x14ac:dyDescent="0.3">
      <c r="DY319" s="538"/>
      <c r="ED319" s="538"/>
      <c r="EI319" s="538"/>
      <c r="EN319" s="538"/>
      <c r="EO319" s="538"/>
      <c r="EP319" s="538"/>
      <c r="EQ319" s="538"/>
      <c r="ER319" s="538"/>
    </row>
    <row r="320" spans="129:148" s="108" customFormat="1" x14ac:dyDescent="0.3">
      <c r="DY320" s="538"/>
      <c r="ED320" s="538"/>
      <c r="EI320" s="538"/>
      <c r="EN320" s="538"/>
      <c r="EO320" s="538"/>
      <c r="EP320" s="538"/>
      <c r="EQ320" s="538"/>
      <c r="ER320" s="538"/>
    </row>
    <row r="321" spans="129:148" s="108" customFormat="1" x14ac:dyDescent="0.3">
      <c r="DY321" s="538"/>
      <c r="ED321" s="538"/>
      <c r="EI321" s="538"/>
      <c r="EN321" s="538"/>
      <c r="EO321" s="538"/>
      <c r="EP321" s="538"/>
      <c r="EQ321" s="538"/>
      <c r="ER321" s="538"/>
    </row>
    <row r="322" spans="129:148" s="108" customFormat="1" x14ac:dyDescent="0.3">
      <c r="DY322" s="538"/>
      <c r="ED322" s="538"/>
      <c r="EI322" s="538"/>
      <c r="EN322" s="538"/>
      <c r="EO322" s="538"/>
      <c r="EP322" s="538"/>
      <c r="EQ322" s="538"/>
      <c r="ER322" s="538"/>
    </row>
    <row r="323" spans="129:148" s="108" customFormat="1" x14ac:dyDescent="0.3">
      <c r="DY323" s="538"/>
      <c r="ED323" s="538"/>
      <c r="EI323" s="538"/>
      <c r="EN323" s="538"/>
      <c r="EO323" s="538"/>
      <c r="EP323" s="538"/>
      <c r="EQ323" s="538"/>
      <c r="ER323" s="538"/>
    </row>
    <row r="324" spans="129:148" s="108" customFormat="1" x14ac:dyDescent="0.3">
      <c r="DY324" s="538"/>
      <c r="ED324" s="538"/>
      <c r="EI324" s="538"/>
      <c r="EN324" s="538"/>
      <c r="EO324" s="538"/>
      <c r="EP324" s="538"/>
      <c r="EQ324" s="538"/>
      <c r="ER324" s="538"/>
    </row>
    <row r="325" spans="129:148" s="108" customFormat="1" x14ac:dyDescent="0.3">
      <c r="DY325" s="538"/>
      <c r="ED325" s="538"/>
      <c r="EI325" s="538"/>
      <c r="EN325" s="538"/>
      <c r="EO325" s="538"/>
      <c r="EP325" s="538"/>
      <c r="EQ325" s="538"/>
      <c r="ER325" s="538"/>
    </row>
    <row r="326" spans="129:148" s="108" customFormat="1" x14ac:dyDescent="0.3">
      <c r="DY326" s="538"/>
      <c r="ED326" s="538"/>
      <c r="EI326" s="538"/>
      <c r="EN326" s="538"/>
      <c r="EO326" s="538"/>
      <c r="EP326" s="538"/>
      <c r="EQ326" s="538"/>
      <c r="ER326" s="538"/>
    </row>
    <row r="327" spans="129:148" s="108" customFormat="1" x14ac:dyDescent="0.3">
      <c r="DY327" s="538"/>
      <c r="ED327" s="538"/>
      <c r="EI327" s="538"/>
      <c r="EN327" s="538"/>
      <c r="EO327" s="538"/>
      <c r="EP327" s="538"/>
      <c r="EQ327" s="538"/>
      <c r="ER327" s="538"/>
    </row>
    <row r="328" spans="129:148" s="108" customFormat="1" x14ac:dyDescent="0.3">
      <c r="DY328" s="538"/>
      <c r="ED328" s="538"/>
      <c r="EI328" s="538"/>
      <c r="EN328" s="538"/>
      <c r="EO328" s="538"/>
      <c r="EP328" s="538"/>
      <c r="EQ328" s="538"/>
      <c r="ER328" s="538"/>
    </row>
    <row r="329" spans="129:148" s="108" customFormat="1" x14ac:dyDescent="0.3">
      <c r="DY329" s="538"/>
      <c r="ED329" s="538"/>
      <c r="EI329" s="538"/>
      <c r="EN329" s="538"/>
      <c r="EO329" s="538"/>
      <c r="EP329" s="538"/>
      <c r="EQ329" s="538"/>
      <c r="ER329" s="538"/>
    </row>
    <row r="330" spans="129:148" s="108" customFormat="1" x14ac:dyDescent="0.3">
      <c r="DY330" s="538"/>
      <c r="ED330" s="538"/>
      <c r="EI330" s="538"/>
      <c r="EN330" s="538"/>
      <c r="EO330" s="538"/>
      <c r="EP330" s="538"/>
      <c r="EQ330" s="538"/>
      <c r="ER330" s="538"/>
    </row>
    <row r="331" spans="129:148" s="108" customFormat="1" x14ac:dyDescent="0.3">
      <c r="DY331" s="538"/>
      <c r="ED331" s="538"/>
      <c r="EI331" s="538"/>
      <c r="EN331" s="538"/>
      <c r="EO331" s="538"/>
      <c r="EP331" s="538"/>
      <c r="EQ331" s="538"/>
      <c r="ER331" s="538"/>
    </row>
    <row r="332" spans="129:148" s="108" customFormat="1" x14ac:dyDescent="0.3">
      <c r="DY332" s="538"/>
      <c r="ED332" s="538"/>
      <c r="EI332" s="538"/>
      <c r="EN332" s="538"/>
      <c r="EO332" s="538"/>
      <c r="EP332" s="538"/>
      <c r="EQ332" s="538"/>
      <c r="ER332" s="538"/>
    </row>
    <row r="333" spans="129:148" s="108" customFormat="1" x14ac:dyDescent="0.3">
      <c r="DY333" s="538"/>
      <c r="ED333" s="538"/>
      <c r="EI333" s="538"/>
      <c r="EN333" s="538"/>
      <c r="EO333" s="538"/>
      <c r="EP333" s="538"/>
      <c r="EQ333" s="538"/>
      <c r="ER333" s="538"/>
    </row>
    <row r="334" spans="129:148" s="108" customFormat="1" x14ac:dyDescent="0.3">
      <c r="DY334" s="538"/>
      <c r="ED334" s="538"/>
      <c r="EI334" s="538"/>
      <c r="EN334" s="538"/>
      <c r="EO334" s="538"/>
      <c r="EP334" s="538"/>
      <c r="EQ334" s="538"/>
      <c r="ER334" s="538"/>
    </row>
    <row r="335" spans="129:148" s="108" customFormat="1" x14ac:dyDescent="0.3">
      <c r="DY335" s="538"/>
      <c r="ED335" s="538"/>
      <c r="EI335" s="538"/>
      <c r="EN335" s="538"/>
      <c r="EO335" s="538"/>
      <c r="EP335" s="538"/>
      <c r="EQ335" s="538"/>
      <c r="ER335" s="538"/>
    </row>
    <row r="336" spans="129:148" s="108" customFormat="1" x14ac:dyDescent="0.3">
      <c r="DY336" s="538"/>
      <c r="ED336" s="538"/>
      <c r="EI336" s="538"/>
      <c r="EN336" s="538"/>
      <c r="EO336" s="538"/>
      <c r="EP336" s="538"/>
      <c r="EQ336" s="538"/>
      <c r="ER336" s="538"/>
    </row>
    <row r="337" spans="129:148" s="108" customFormat="1" x14ac:dyDescent="0.3">
      <c r="DY337" s="538"/>
      <c r="ED337" s="538"/>
      <c r="EI337" s="538"/>
      <c r="EN337" s="538"/>
      <c r="EO337" s="538"/>
      <c r="EP337" s="538"/>
      <c r="EQ337" s="538"/>
      <c r="ER337" s="538"/>
    </row>
    <row r="338" spans="129:148" s="108" customFormat="1" x14ac:dyDescent="0.3">
      <c r="DY338" s="538"/>
      <c r="ED338" s="538"/>
      <c r="EI338" s="538"/>
      <c r="EN338" s="538"/>
      <c r="EO338" s="538"/>
      <c r="EP338" s="538"/>
      <c r="EQ338" s="538"/>
      <c r="ER338" s="538"/>
    </row>
    <row r="339" spans="129:148" s="108" customFormat="1" x14ac:dyDescent="0.3">
      <c r="DY339" s="538"/>
      <c r="ED339" s="538"/>
      <c r="EI339" s="538"/>
      <c r="EN339" s="538"/>
      <c r="EO339" s="538"/>
      <c r="EP339" s="538"/>
      <c r="EQ339" s="538"/>
      <c r="ER339" s="538"/>
    </row>
    <row r="340" spans="129:148" s="108" customFormat="1" x14ac:dyDescent="0.3">
      <c r="DY340" s="538"/>
      <c r="ED340" s="538"/>
      <c r="EI340" s="538"/>
      <c r="EN340" s="538"/>
      <c r="EO340" s="538"/>
      <c r="EP340" s="538"/>
      <c r="EQ340" s="538"/>
      <c r="ER340" s="538"/>
    </row>
    <row r="341" spans="129:148" s="108" customFormat="1" x14ac:dyDescent="0.3">
      <c r="DY341" s="538"/>
      <c r="ED341" s="538"/>
      <c r="EI341" s="538"/>
      <c r="EN341" s="538"/>
      <c r="EO341" s="538"/>
      <c r="EP341" s="538"/>
      <c r="EQ341" s="538"/>
      <c r="ER341" s="538"/>
    </row>
    <row r="342" spans="129:148" s="108" customFormat="1" x14ac:dyDescent="0.3">
      <c r="DY342" s="538"/>
      <c r="ED342" s="538"/>
      <c r="EI342" s="538"/>
      <c r="EN342" s="538"/>
      <c r="EO342" s="538"/>
      <c r="EP342" s="538"/>
      <c r="EQ342" s="538"/>
      <c r="ER342" s="538"/>
    </row>
    <row r="343" spans="129:148" s="108" customFormat="1" x14ac:dyDescent="0.3">
      <c r="DY343" s="538"/>
      <c r="ED343" s="538"/>
      <c r="EI343" s="538"/>
      <c r="EN343" s="538"/>
      <c r="EO343" s="538"/>
      <c r="EP343" s="538"/>
      <c r="EQ343" s="538"/>
      <c r="ER343" s="538"/>
    </row>
    <row r="344" spans="129:148" s="108" customFormat="1" x14ac:dyDescent="0.3">
      <c r="DY344" s="538"/>
      <c r="ED344" s="538"/>
      <c r="EI344" s="538"/>
      <c r="EN344" s="538"/>
      <c r="EO344" s="538"/>
      <c r="EP344" s="538"/>
      <c r="EQ344" s="538"/>
      <c r="ER344" s="538"/>
    </row>
    <row r="345" spans="129:148" s="108" customFormat="1" x14ac:dyDescent="0.3">
      <c r="DY345" s="538"/>
      <c r="ED345" s="538"/>
      <c r="EI345" s="538"/>
      <c r="EN345" s="538"/>
      <c r="EO345" s="538"/>
      <c r="EP345" s="538"/>
      <c r="EQ345" s="538"/>
      <c r="ER345" s="538"/>
    </row>
    <row r="346" spans="129:148" s="108" customFormat="1" x14ac:dyDescent="0.3">
      <c r="DY346" s="538"/>
      <c r="ED346" s="538"/>
      <c r="EI346" s="538"/>
      <c r="EN346" s="538"/>
      <c r="EO346" s="538"/>
      <c r="EP346" s="538"/>
      <c r="EQ346" s="538"/>
      <c r="ER346" s="538"/>
    </row>
    <row r="347" spans="129:148" s="108" customFormat="1" x14ac:dyDescent="0.3">
      <c r="DY347" s="538"/>
      <c r="ED347" s="538"/>
      <c r="EI347" s="538"/>
      <c r="EN347" s="538"/>
      <c r="EO347" s="538"/>
      <c r="EP347" s="538"/>
      <c r="EQ347" s="538"/>
      <c r="ER347" s="538"/>
    </row>
    <row r="348" spans="129:148" s="108" customFormat="1" x14ac:dyDescent="0.3">
      <c r="DY348" s="538"/>
      <c r="ED348" s="538"/>
      <c r="EI348" s="538"/>
      <c r="EN348" s="538"/>
      <c r="EO348" s="538"/>
      <c r="EP348" s="538"/>
      <c r="EQ348" s="538"/>
      <c r="ER348" s="538"/>
    </row>
    <row r="349" spans="129:148" s="108" customFormat="1" x14ac:dyDescent="0.3">
      <c r="DY349" s="538"/>
      <c r="ED349" s="538"/>
      <c r="EI349" s="538"/>
      <c r="EN349" s="538"/>
      <c r="EO349" s="538"/>
      <c r="EP349" s="538"/>
      <c r="EQ349" s="538"/>
      <c r="ER349" s="538"/>
    </row>
    <row r="350" spans="129:148" s="108" customFormat="1" x14ac:dyDescent="0.3">
      <c r="DY350" s="538"/>
      <c r="ED350" s="538"/>
      <c r="EI350" s="538"/>
      <c r="EN350" s="538"/>
      <c r="EO350" s="538"/>
      <c r="EP350" s="538"/>
      <c r="EQ350" s="538"/>
      <c r="ER350" s="538"/>
    </row>
    <row r="351" spans="129:148" s="108" customFormat="1" x14ac:dyDescent="0.3">
      <c r="DY351" s="538"/>
      <c r="ED351" s="538"/>
      <c r="EI351" s="538"/>
      <c r="EN351" s="538"/>
      <c r="EO351" s="538"/>
      <c r="EP351" s="538"/>
      <c r="EQ351" s="538"/>
      <c r="ER351" s="538"/>
    </row>
    <row r="352" spans="129:148" s="108" customFormat="1" x14ac:dyDescent="0.3">
      <c r="DY352" s="538"/>
      <c r="ED352" s="538"/>
      <c r="EI352" s="538"/>
      <c r="EN352" s="538"/>
      <c r="EO352" s="538"/>
      <c r="EP352" s="538"/>
      <c r="EQ352" s="538"/>
      <c r="ER352" s="538"/>
    </row>
    <row r="353" spans="129:148" s="108" customFormat="1" x14ac:dyDescent="0.3">
      <c r="DY353" s="538"/>
      <c r="ED353" s="538"/>
      <c r="EI353" s="538"/>
      <c r="EN353" s="538"/>
      <c r="EO353" s="538"/>
      <c r="EP353" s="538"/>
      <c r="EQ353" s="538"/>
      <c r="ER353" s="538"/>
    </row>
    <row r="354" spans="129:148" s="108" customFormat="1" x14ac:dyDescent="0.3">
      <c r="DY354" s="538"/>
      <c r="ED354" s="538"/>
      <c r="EI354" s="538"/>
      <c r="EN354" s="538"/>
      <c r="EO354" s="538"/>
      <c r="EP354" s="538"/>
      <c r="EQ354" s="538"/>
      <c r="ER354" s="538"/>
    </row>
    <row r="355" spans="129:148" s="108" customFormat="1" x14ac:dyDescent="0.3">
      <c r="DY355" s="538"/>
      <c r="ED355" s="538"/>
      <c r="EI355" s="538"/>
      <c r="EN355" s="538"/>
      <c r="EO355" s="538"/>
      <c r="EP355" s="538"/>
      <c r="EQ355" s="538"/>
      <c r="ER355" s="538"/>
    </row>
    <row r="356" spans="129:148" s="108" customFormat="1" x14ac:dyDescent="0.3">
      <c r="DY356" s="538"/>
      <c r="ED356" s="538"/>
      <c r="EI356" s="538"/>
      <c r="EN356" s="538"/>
      <c r="EO356" s="538"/>
      <c r="EP356" s="538"/>
      <c r="EQ356" s="538"/>
      <c r="ER356" s="538"/>
    </row>
    <row r="357" spans="129:148" s="108" customFormat="1" x14ac:dyDescent="0.3">
      <c r="DY357" s="538"/>
      <c r="ED357" s="538"/>
      <c r="EI357" s="538"/>
      <c r="EN357" s="538"/>
      <c r="EO357" s="538"/>
      <c r="EP357" s="538"/>
      <c r="EQ357" s="538"/>
      <c r="ER357" s="538"/>
    </row>
    <row r="358" spans="129:148" s="108" customFormat="1" x14ac:dyDescent="0.3">
      <c r="DY358" s="538"/>
      <c r="ED358" s="538"/>
      <c r="EI358" s="538"/>
      <c r="EN358" s="538"/>
      <c r="EO358" s="538"/>
      <c r="EP358" s="538"/>
      <c r="EQ358" s="538"/>
      <c r="ER358" s="538"/>
    </row>
    <row r="359" spans="129:148" s="108" customFormat="1" x14ac:dyDescent="0.3">
      <c r="DY359" s="538"/>
      <c r="ED359" s="538"/>
      <c r="EI359" s="538"/>
      <c r="EN359" s="538"/>
      <c r="EO359" s="538"/>
      <c r="EP359" s="538"/>
      <c r="EQ359" s="538"/>
      <c r="ER359" s="538"/>
    </row>
    <row r="360" spans="129:148" s="108" customFormat="1" x14ac:dyDescent="0.3">
      <c r="DY360" s="538"/>
      <c r="ED360" s="538"/>
      <c r="EI360" s="538"/>
      <c r="EN360" s="538"/>
      <c r="EO360" s="538"/>
      <c r="EP360" s="538"/>
      <c r="EQ360" s="538"/>
      <c r="ER360" s="538"/>
    </row>
    <row r="361" spans="129:148" s="108" customFormat="1" x14ac:dyDescent="0.3">
      <c r="DY361" s="538"/>
      <c r="ED361" s="538"/>
      <c r="EI361" s="538"/>
      <c r="EN361" s="538"/>
      <c r="EO361" s="538"/>
      <c r="EP361" s="538"/>
      <c r="EQ361" s="538"/>
      <c r="ER361" s="538"/>
    </row>
    <row r="362" spans="129:148" s="108" customFormat="1" x14ac:dyDescent="0.3">
      <c r="DY362" s="538"/>
      <c r="ED362" s="538"/>
      <c r="EI362" s="538"/>
      <c r="EN362" s="538"/>
      <c r="EO362" s="538"/>
      <c r="EP362" s="538"/>
      <c r="EQ362" s="538"/>
      <c r="ER362" s="538"/>
    </row>
    <row r="363" spans="129:148" s="108" customFormat="1" x14ac:dyDescent="0.3">
      <c r="DY363" s="538"/>
      <c r="ED363" s="538"/>
      <c r="EI363" s="538"/>
      <c r="EN363" s="538"/>
      <c r="EO363" s="538"/>
      <c r="EP363" s="538"/>
      <c r="EQ363" s="538"/>
      <c r="ER363" s="538"/>
    </row>
    <row r="364" spans="129:148" s="108" customFormat="1" x14ac:dyDescent="0.3">
      <c r="DY364" s="538"/>
      <c r="ED364" s="538"/>
      <c r="EI364" s="538"/>
      <c r="EN364" s="538"/>
      <c r="EO364" s="538"/>
      <c r="EP364" s="538"/>
      <c r="EQ364" s="538"/>
      <c r="ER364" s="538"/>
    </row>
    <row r="365" spans="129:148" s="108" customFormat="1" x14ac:dyDescent="0.3">
      <c r="DY365" s="538"/>
      <c r="ED365" s="538"/>
      <c r="EI365" s="538"/>
      <c r="EN365" s="538"/>
      <c r="EO365" s="538"/>
      <c r="EP365" s="538"/>
      <c r="EQ365" s="538"/>
      <c r="ER365" s="538"/>
    </row>
    <row r="366" spans="129:148" s="108" customFormat="1" x14ac:dyDescent="0.3">
      <c r="DY366" s="538"/>
      <c r="ED366" s="538"/>
      <c r="EI366" s="538"/>
      <c r="EN366" s="538"/>
      <c r="EO366" s="538"/>
      <c r="EP366" s="538"/>
      <c r="EQ366" s="538"/>
      <c r="ER366" s="538"/>
    </row>
    <row r="367" spans="129:148" s="108" customFormat="1" x14ac:dyDescent="0.3">
      <c r="DY367" s="538"/>
      <c r="ED367" s="538"/>
      <c r="EI367" s="538"/>
      <c r="EN367" s="538"/>
      <c r="EO367" s="538"/>
      <c r="EP367" s="538"/>
      <c r="EQ367" s="538"/>
      <c r="ER367" s="538"/>
    </row>
    <row r="368" spans="129:148" s="108" customFormat="1" x14ac:dyDescent="0.3">
      <c r="DY368" s="538"/>
      <c r="ED368" s="538"/>
      <c r="EI368" s="538"/>
      <c r="EN368" s="538"/>
      <c r="EO368" s="538"/>
      <c r="EP368" s="538"/>
      <c r="EQ368" s="538"/>
      <c r="ER368" s="538"/>
    </row>
    <row r="369" spans="129:148" s="108" customFormat="1" x14ac:dyDescent="0.3">
      <c r="DY369" s="538"/>
      <c r="ED369" s="538"/>
      <c r="EI369" s="538"/>
      <c r="EN369" s="538"/>
      <c r="EO369" s="538"/>
      <c r="EP369" s="538"/>
      <c r="EQ369" s="538"/>
      <c r="ER369" s="538"/>
    </row>
    <row r="370" spans="129:148" s="108" customFormat="1" x14ac:dyDescent="0.3">
      <c r="DY370" s="538"/>
      <c r="ED370" s="538"/>
      <c r="EI370" s="538"/>
      <c r="EN370" s="538"/>
      <c r="EO370" s="538"/>
      <c r="EP370" s="538"/>
      <c r="EQ370" s="538"/>
      <c r="ER370" s="538"/>
    </row>
    <row r="371" spans="129:148" s="108" customFormat="1" x14ac:dyDescent="0.3">
      <c r="DY371" s="538"/>
      <c r="ED371" s="538"/>
      <c r="EI371" s="538"/>
      <c r="EN371" s="538"/>
      <c r="EO371" s="538"/>
      <c r="EP371" s="538"/>
      <c r="EQ371" s="538"/>
      <c r="ER371" s="538"/>
    </row>
    <row r="372" spans="129:148" s="108" customFormat="1" x14ac:dyDescent="0.3">
      <c r="DY372" s="538"/>
      <c r="ED372" s="538"/>
      <c r="EI372" s="538"/>
      <c r="EN372" s="538"/>
      <c r="EO372" s="538"/>
      <c r="EP372" s="538"/>
      <c r="EQ372" s="538"/>
      <c r="ER372" s="538"/>
    </row>
    <row r="373" spans="129:148" s="108" customFormat="1" x14ac:dyDescent="0.3">
      <c r="DY373" s="538"/>
      <c r="ED373" s="538"/>
      <c r="EI373" s="538"/>
      <c r="EN373" s="538"/>
      <c r="EO373" s="538"/>
      <c r="EP373" s="538"/>
      <c r="EQ373" s="538"/>
      <c r="ER373" s="538"/>
    </row>
    <row r="374" spans="129:148" s="108" customFormat="1" x14ac:dyDescent="0.3">
      <c r="DY374" s="538"/>
      <c r="ED374" s="538"/>
      <c r="EI374" s="538"/>
      <c r="EN374" s="538"/>
      <c r="EO374" s="538"/>
      <c r="EP374" s="538"/>
      <c r="EQ374" s="538"/>
      <c r="ER374" s="538"/>
    </row>
    <row r="375" spans="129:148" s="108" customFormat="1" x14ac:dyDescent="0.3">
      <c r="DY375" s="538"/>
      <c r="ED375" s="538"/>
      <c r="EI375" s="538"/>
      <c r="EN375" s="538"/>
      <c r="EO375" s="538"/>
      <c r="EP375" s="538"/>
      <c r="EQ375" s="538"/>
      <c r="ER375" s="538"/>
    </row>
    <row r="376" spans="129:148" s="108" customFormat="1" x14ac:dyDescent="0.3">
      <c r="DY376" s="538"/>
      <c r="ED376" s="538"/>
      <c r="EI376" s="538"/>
      <c r="EN376" s="538"/>
      <c r="EO376" s="538"/>
      <c r="EP376" s="538"/>
      <c r="EQ376" s="538"/>
      <c r="ER376" s="538"/>
    </row>
    <row r="377" spans="129:148" s="108" customFormat="1" x14ac:dyDescent="0.3">
      <c r="DY377" s="538"/>
      <c r="ED377" s="538"/>
      <c r="EI377" s="538"/>
      <c r="EN377" s="538"/>
      <c r="EO377" s="538"/>
      <c r="EP377" s="538"/>
      <c r="EQ377" s="538"/>
      <c r="ER377" s="538"/>
    </row>
    <row r="378" spans="129:148" s="108" customFormat="1" x14ac:dyDescent="0.3">
      <c r="DY378" s="538"/>
      <c r="ED378" s="538"/>
      <c r="EI378" s="538"/>
      <c r="EN378" s="538"/>
      <c r="EO378" s="538"/>
      <c r="EP378" s="538"/>
      <c r="EQ378" s="538"/>
      <c r="ER378" s="538"/>
    </row>
    <row r="379" spans="129:148" s="108" customFormat="1" x14ac:dyDescent="0.3">
      <c r="DY379" s="538"/>
      <c r="ED379" s="538"/>
      <c r="EI379" s="538"/>
      <c r="EN379" s="538"/>
      <c r="EO379" s="538"/>
      <c r="EP379" s="538"/>
      <c r="EQ379" s="538"/>
      <c r="ER379" s="538"/>
    </row>
    <row r="380" spans="129:148" s="108" customFormat="1" x14ac:dyDescent="0.3">
      <c r="DY380" s="538"/>
      <c r="ED380" s="538"/>
      <c r="EI380" s="538"/>
      <c r="EN380" s="538"/>
      <c r="EO380" s="538"/>
      <c r="EP380" s="538"/>
      <c r="EQ380" s="538"/>
      <c r="ER380" s="538"/>
    </row>
    <row r="381" spans="129:148" s="108" customFormat="1" x14ac:dyDescent="0.3">
      <c r="DY381" s="538"/>
      <c r="ED381" s="538"/>
      <c r="EI381" s="538"/>
      <c r="EN381" s="538"/>
      <c r="EO381" s="538"/>
      <c r="EP381" s="538"/>
      <c r="EQ381" s="538"/>
      <c r="ER381" s="538"/>
    </row>
    <row r="382" spans="129:148" s="108" customFormat="1" x14ac:dyDescent="0.3">
      <c r="DY382" s="538"/>
      <c r="ED382" s="538"/>
      <c r="EI382" s="538"/>
      <c r="EN382" s="538"/>
      <c r="EO382" s="538"/>
      <c r="EP382" s="538"/>
      <c r="EQ382" s="538"/>
      <c r="ER382" s="538"/>
    </row>
    <row r="383" spans="129:148" s="108" customFormat="1" x14ac:dyDescent="0.3">
      <c r="DY383" s="538"/>
      <c r="ED383" s="538"/>
      <c r="EI383" s="538"/>
      <c r="EN383" s="538"/>
      <c r="EO383" s="538"/>
      <c r="EP383" s="538"/>
      <c r="EQ383" s="538"/>
      <c r="ER383" s="538"/>
    </row>
    <row r="384" spans="129:148" s="108" customFormat="1" x14ac:dyDescent="0.3">
      <c r="DY384" s="538"/>
      <c r="ED384" s="538"/>
      <c r="EI384" s="538"/>
      <c r="EN384" s="538"/>
      <c r="EO384" s="538"/>
      <c r="EP384" s="538"/>
      <c r="EQ384" s="538"/>
      <c r="ER384" s="538"/>
    </row>
    <row r="385" spans="129:148" s="108" customFormat="1" x14ac:dyDescent="0.3">
      <c r="DY385" s="538"/>
      <c r="ED385" s="538"/>
      <c r="EI385" s="538"/>
      <c r="EN385" s="538"/>
      <c r="EO385" s="538"/>
      <c r="EP385" s="538"/>
      <c r="EQ385" s="538"/>
      <c r="ER385" s="538"/>
    </row>
    <row r="386" spans="129:148" s="108" customFormat="1" x14ac:dyDescent="0.3">
      <c r="DY386" s="538"/>
      <c r="ED386" s="538"/>
      <c r="EI386" s="538"/>
      <c r="EN386" s="538"/>
      <c r="EO386" s="538"/>
      <c r="EP386" s="538"/>
      <c r="EQ386" s="538"/>
      <c r="ER386" s="538"/>
    </row>
    <row r="387" spans="129:148" s="108" customFormat="1" x14ac:dyDescent="0.3">
      <c r="DY387" s="538"/>
      <c r="ED387" s="538"/>
      <c r="EI387" s="538"/>
      <c r="EN387" s="538"/>
      <c r="EO387" s="538"/>
      <c r="EP387" s="538"/>
      <c r="EQ387" s="538"/>
      <c r="ER387" s="538"/>
    </row>
    <row r="388" spans="129:148" s="108" customFormat="1" x14ac:dyDescent="0.3">
      <c r="DY388" s="538"/>
      <c r="ED388" s="538"/>
      <c r="EI388" s="538"/>
      <c r="EN388" s="538"/>
      <c r="EO388" s="538"/>
      <c r="EP388" s="538"/>
      <c r="EQ388" s="538"/>
      <c r="ER388" s="538"/>
    </row>
    <row r="389" spans="129:148" s="108" customFormat="1" x14ac:dyDescent="0.3">
      <c r="DY389" s="538"/>
      <c r="ED389" s="538"/>
      <c r="EI389" s="538"/>
      <c r="EN389" s="538"/>
      <c r="EO389" s="538"/>
      <c r="EP389" s="538"/>
      <c r="EQ389" s="538"/>
      <c r="ER389" s="538"/>
    </row>
    <row r="390" spans="129:148" s="108" customFormat="1" x14ac:dyDescent="0.3">
      <c r="DY390" s="538"/>
      <c r="ED390" s="538"/>
      <c r="EI390" s="538"/>
      <c r="EN390" s="538"/>
      <c r="EO390" s="538"/>
      <c r="EP390" s="538"/>
      <c r="EQ390" s="538"/>
      <c r="ER390" s="538"/>
    </row>
    <row r="391" spans="129:148" s="108" customFormat="1" x14ac:dyDescent="0.3">
      <c r="DY391" s="538"/>
      <c r="ED391" s="538"/>
      <c r="EI391" s="538"/>
      <c r="EN391" s="538"/>
      <c r="EO391" s="538"/>
      <c r="EP391" s="538"/>
      <c r="EQ391" s="538"/>
      <c r="ER391" s="538"/>
    </row>
    <row r="392" spans="129:148" s="108" customFormat="1" x14ac:dyDescent="0.3">
      <c r="DY392" s="538"/>
      <c r="ED392" s="538"/>
      <c r="EI392" s="538"/>
      <c r="EN392" s="538"/>
      <c r="EO392" s="538"/>
      <c r="EP392" s="538"/>
      <c r="EQ392" s="538"/>
      <c r="ER392" s="538"/>
    </row>
    <row r="393" spans="129:148" s="108" customFormat="1" x14ac:dyDescent="0.3">
      <c r="DY393" s="538"/>
      <c r="ED393" s="538"/>
      <c r="EI393" s="538"/>
      <c r="EN393" s="538"/>
      <c r="EO393" s="538"/>
      <c r="EP393" s="538"/>
      <c r="EQ393" s="538"/>
      <c r="ER393" s="538"/>
    </row>
    <row r="394" spans="129:148" s="108" customFormat="1" x14ac:dyDescent="0.3">
      <c r="DY394" s="538"/>
      <c r="ED394" s="538"/>
      <c r="EI394" s="538"/>
      <c r="EN394" s="538"/>
      <c r="EO394" s="538"/>
      <c r="EP394" s="538"/>
      <c r="EQ394" s="538"/>
      <c r="ER394" s="538"/>
    </row>
    <row r="395" spans="129:148" s="108" customFormat="1" x14ac:dyDescent="0.3">
      <c r="DY395" s="538"/>
      <c r="ED395" s="538"/>
      <c r="EI395" s="538"/>
      <c r="EN395" s="538"/>
      <c r="EO395" s="538"/>
      <c r="EP395" s="538"/>
      <c r="EQ395" s="538"/>
      <c r="ER395" s="538"/>
    </row>
    <row r="396" spans="129:148" s="108" customFormat="1" x14ac:dyDescent="0.3">
      <c r="DY396" s="538"/>
      <c r="ED396" s="538"/>
      <c r="EI396" s="538"/>
      <c r="EN396" s="538"/>
      <c r="EO396" s="538"/>
      <c r="EP396" s="538"/>
      <c r="EQ396" s="538"/>
      <c r="ER396" s="538"/>
    </row>
    <row r="397" spans="129:148" s="108" customFormat="1" x14ac:dyDescent="0.3">
      <c r="DY397" s="538"/>
      <c r="ED397" s="538"/>
      <c r="EI397" s="538"/>
      <c r="EN397" s="538"/>
      <c r="EO397" s="538"/>
      <c r="EP397" s="538"/>
      <c r="EQ397" s="538"/>
      <c r="ER397" s="538"/>
    </row>
    <row r="398" spans="129:148" s="108" customFormat="1" x14ac:dyDescent="0.3">
      <c r="DY398" s="538"/>
      <c r="ED398" s="538"/>
      <c r="EI398" s="538"/>
      <c r="EN398" s="538"/>
      <c r="EO398" s="538"/>
      <c r="EP398" s="538"/>
      <c r="EQ398" s="538"/>
      <c r="ER398" s="538"/>
    </row>
    <row r="399" spans="129:148" s="108" customFormat="1" x14ac:dyDescent="0.3">
      <c r="DY399" s="538"/>
      <c r="ED399" s="538"/>
      <c r="EI399" s="538"/>
      <c r="EN399" s="538"/>
      <c r="EO399" s="538"/>
      <c r="EP399" s="538"/>
      <c r="EQ399" s="538"/>
      <c r="ER399" s="538"/>
    </row>
    <row r="400" spans="129:148" s="108" customFormat="1" x14ac:dyDescent="0.3">
      <c r="DY400" s="538"/>
      <c r="ED400" s="538"/>
      <c r="EI400" s="538"/>
      <c r="EN400" s="538"/>
      <c r="EO400" s="538"/>
      <c r="EP400" s="538"/>
      <c r="EQ400" s="538"/>
      <c r="ER400" s="538"/>
    </row>
    <row r="401" spans="129:148" s="108" customFormat="1" x14ac:dyDescent="0.3">
      <c r="DY401" s="538"/>
      <c r="ED401" s="538"/>
      <c r="EI401" s="538"/>
      <c r="EN401" s="538"/>
      <c r="EO401" s="538"/>
      <c r="EP401" s="538"/>
      <c r="EQ401" s="538"/>
      <c r="ER401" s="538"/>
    </row>
    <row r="402" spans="129:148" s="108" customFormat="1" x14ac:dyDescent="0.3">
      <c r="DY402" s="538"/>
      <c r="ED402" s="538"/>
      <c r="EI402" s="538"/>
      <c r="EN402" s="538"/>
      <c r="EO402" s="538"/>
      <c r="EP402" s="538"/>
      <c r="EQ402" s="538"/>
      <c r="ER402" s="538"/>
    </row>
    <row r="403" spans="129:148" s="108" customFormat="1" x14ac:dyDescent="0.3">
      <c r="DY403" s="538"/>
      <c r="ED403" s="538"/>
      <c r="EI403" s="538"/>
      <c r="EN403" s="538"/>
      <c r="EO403" s="538"/>
      <c r="EP403" s="538"/>
      <c r="EQ403" s="538"/>
      <c r="ER403" s="538"/>
    </row>
    <row r="404" spans="129:148" s="108" customFormat="1" x14ac:dyDescent="0.3">
      <c r="DY404" s="538"/>
      <c r="ED404" s="538"/>
      <c r="EI404" s="538"/>
      <c r="EN404" s="538"/>
      <c r="EO404" s="538"/>
      <c r="EP404" s="538"/>
      <c r="EQ404" s="538"/>
      <c r="ER404" s="538"/>
    </row>
    <row r="405" spans="129:148" s="108" customFormat="1" x14ac:dyDescent="0.3">
      <c r="DY405" s="538"/>
      <c r="ED405" s="538"/>
      <c r="EI405" s="538"/>
      <c r="EN405" s="538"/>
      <c r="EO405" s="538"/>
      <c r="EP405" s="538"/>
      <c r="EQ405" s="538"/>
      <c r="ER405" s="538"/>
    </row>
    <row r="406" spans="129:148" s="108" customFormat="1" x14ac:dyDescent="0.3">
      <c r="DY406" s="538"/>
      <c r="ED406" s="538"/>
      <c r="EI406" s="538"/>
      <c r="EN406" s="538"/>
      <c r="EO406" s="538"/>
      <c r="EP406" s="538"/>
      <c r="EQ406" s="538"/>
      <c r="ER406" s="538"/>
    </row>
    <row r="407" spans="129:148" s="108" customFormat="1" x14ac:dyDescent="0.3">
      <c r="DY407" s="538"/>
      <c r="ED407" s="538"/>
      <c r="EI407" s="538"/>
      <c r="EN407" s="538"/>
      <c r="EO407" s="538"/>
      <c r="EP407" s="538"/>
      <c r="EQ407" s="538"/>
      <c r="ER407" s="538"/>
    </row>
    <row r="408" spans="129:148" s="108" customFormat="1" x14ac:dyDescent="0.3">
      <c r="DY408" s="538"/>
      <c r="ED408" s="538"/>
      <c r="EI408" s="538"/>
      <c r="EN408" s="538"/>
      <c r="EO408" s="538"/>
      <c r="EP408" s="538"/>
      <c r="EQ408" s="538"/>
      <c r="ER408" s="538"/>
    </row>
    <row r="409" spans="129:148" s="108" customFormat="1" x14ac:dyDescent="0.3">
      <c r="DY409" s="538"/>
      <c r="ED409" s="538"/>
      <c r="EI409" s="538"/>
      <c r="EN409" s="538"/>
      <c r="EO409" s="538"/>
      <c r="EP409" s="538"/>
      <c r="EQ409" s="538"/>
      <c r="ER409" s="538"/>
    </row>
    <row r="410" spans="129:148" s="108" customFormat="1" x14ac:dyDescent="0.3">
      <c r="DY410" s="538"/>
      <c r="ED410" s="538"/>
      <c r="EI410" s="538"/>
      <c r="EN410" s="538"/>
      <c r="EO410" s="538"/>
      <c r="EP410" s="538"/>
      <c r="EQ410" s="538"/>
      <c r="ER410" s="538"/>
    </row>
    <row r="411" spans="129:148" s="108" customFormat="1" x14ac:dyDescent="0.3">
      <c r="DY411" s="538"/>
      <c r="ED411" s="538"/>
      <c r="EI411" s="538"/>
      <c r="EN411" s="538"/>
      <c r="EO411" s="538"/>
      <c r="EP411" s="538"/>
      <c r="EQ411" s="538"/>
      <c r="ER411" s="538"/>
    </row>
    <row r="412" spans="129:148" s="108" customFormat="1" x14ac:dyDescent="0.3">
      <c r="DY412" s="538"/>
      <c r="ED412" s="538"/>
      <c r="EI412" s="538"/>
      <c r="EN412" s="538"/>
      <c r="EO412" s="538"/>
      <c r="EP412" s="538"/>
      <c r="EQ412" s="538"/>
      <c r="ER412" s="538"/>
    </row>
    <row r="413" spans="129:148" s="108" customFormat="1" x14ac:dyDescent="0.3">
      <c r="DY413" s="538"/>
      <c r="ED413" s="538"/>
      <c r="EI413" s="538"/>
      <c r="EN413" s="538"/>
      <c r="EO413" s="538"/>
      <c r="EP413" s="538"/>
      <c r="EQ413" s="538"/>
      <c r="ER413" s="538"/>
    </row>
    <row r="414" spans="129:148" s="108" customFormat="1" x14ac:dyDescent="0.3">
      <c r="DY414" s="538"/>
      <c r="ED414" s="538"/>
      <c r="EI414" s="538"/>
      <c r="EN414" s="538"/>
      <c r="EO414" s="538"/>
      <c r="EP414" s="538"/>
      <c r="EQ414" s="538"/>
      <c r="ER414" s="538"/>
    </row>
    <row r="415" spans="129:148" s="108" customFormat="1" x14ac:dyDescent="0.3">
      <c r="DY415" s="538"/>
      <c r="ED415" s="538"/>
      <c r="EI415" s="538"/>
      <c r="EN415" s="538"/>
      <c r="EO415" s="538"/>
      <c r="EP415" s="538"/>
      <c r="EQ415" s="538"/>
      <c r="ER415" s="538"/>
    </row>
    <row r="416" spans="129:148" s="108" customFormat="1" x14ac:dyDescent="0.3">
      <c r="DY416" s="538"/>
      <c r="ED416" s="538"/>
      <c r="EI416" s="538"/>
      <c r="EN416" s="538"/>
      <c r="EO416" s="538"/>
      <c r="EP416" s="538"/>
      <c r="EQ416" s="538"/>
      <c r="ER416" s="538"/>
    </row>
    <row r="417" spans="129:148" s="108" customFormat="1" x14ac:dyDescent="0.3">
      <c r="DY417" s="538"/>
      <c r="ED417" s="538"/>
      <c r="EI417" s="538"/>
      <c r="EN417" s="538"/>
      <c r="EO417" s="538"/>
      <c r="EP417" s="538"/>
      <c r="EQ417" s="538"/>
      <c r="ER417" s="538"/>
    </row>
    <row r="418" spans="129:148" s="108" customFormat="1" x14ac:dyDescent="0.3">
      <c r="DY418" s="538"/>
      <c r="ED418" s="538"/>
      <c r="EI418" s="538"/>
      <c r="EN418" s="538"/>
      <c r="EO418" s="538"/>
      <c r="EP418" s="538"/>
      <c r="EQ418" s="538"/>
      <c r="ER418" s="538"/>
    </row>
    <row r="419" spans="129:148" s="108" customFormat="1" x14ac:dyDescent="0.3">
      <c r="DY419" s="538"/>
      <c r="ED419" s="538"/>
      <c r="EI419" s="538"/>
      <c r="EN419" s="538"/>
      <c r="EO419" s="538"/>
      <c r="EP419" s="538"/>
      <c r="EQ419" s="538"/>
      <c r="ER419" s="538"/>
    </row>
    <row r="420" spans="129:148" s="108" customFormat="1" x14ac:dyDescent="0.3">
      <c r="DY420" s="538"/>
      <c r="ED420" s="538"/>
      <c r="EI420" s="538"/>
      <c r="EN420" s="538"/>
      <c r="EO420" s="538"/>
      <c r="EP420" s="538"/>
      <c r="EQ420" s="538"/>
      <c r="ER420" s="538"/>
    </row>
    <row r="421" spans="129:148" s="108" customFormat="1" x14ac:dyDescent="0.3">
      <c r="DY421" s="538"/>
      <c r="ED421" s="538"/>
      <c r="EI421" s="538"/>
      <c r="EN421" s="538"/>
      <c r="EO421" s="538"/>
      <c r="EP421" s="538"/>
      <c r="EQ421" s="538"/>
      <c r="ER421" s="538"/>
    </row>
    <row r="422" spans="129:148" s="108" customFormat="1" x14ac:dyDescent="0.3">
      <c r="DY422" s="538"/>
      <c r="ED422" s="538"/>
      <c r="EI422" s="538"/>
      <c r="EN422" s="538"/>
      <c r="EO422" s="538"/>
      <c r="EP422" s="538"/>
      <c r="EQ422" s="538"/>
      <c r="ER422" s="538"/>
    </row>
    <row r="423" spans="129:148" s="108" customFormat="1" x14ac:dyDescent="0.3">
      <c r="DY423" s="538"/>
      <c r="ED423" s="538"/>
      <c r="EI423" s="538"/>
      <c r="EN423" s="538"/>
      <c r="EO423" s="538"/>
      <c r="EP423" s="538"/>
      <c r="EQ423" s="538"/>
      <c r="ER423" s="538"/>
    </row>
    <row r="424" spans="129:148" s="108" customFormat="1" x14ac:dyDescent="0.3">
      <c r="DY424" s="538"/>
      <c r="ED424" s="538"/>
      <c r="EI424" s="538"/>
      <c r="EN424" s="538"/>
      <c r="EO424" s="538"/>
      <c r="EP424" s="538"/>
      <c r="EQ424" s="538"/>
      <c r="ER424" s="538"/>
    </row>
    <row r="425" spans="129:148" s="108" customFormat="1" x14ac:dyDescent="0.3">
      <c r="DY425" s="538"/>
      <c r="ED425" s="538"/>
      <c r="EI425" s="538"/>
      <c r="EN425" s="538"/>
      <c r="EO425" s="538"/>
      <c r="EP425" s="538"/>
      <c r="EQ425" s="538"/>
      <c r="ER425" s="538"/>
    </row>
    <row r="426" spans="129:148" s="108" customFormat="1" x14ac:dyDescent="0.3">
      <c r="DY426" s="538"/>
      <c r="ED426" s="538"/>
      <c r="EI426" s="538"/>
      <c r="EN426" s="538"/>
      <c r="EO426" s="538"/>
      <c r="EP426" s="538"/>
      <c r="EQ426" s="538"/>
      <c r="ER426" s="538"/>
    </row>
    <row r="427" spans="129:148" s="108" customFormat="1" x14ac:dyDescent="0.3">
      <c r="DY427" s="538"/>
      <c r="ED427" s="538"/>
      <c r="EI427" s="538"/>
      <c r="EN427" s="538"/>
      <c r="EO427" s="538"/>
      <c r="EP427" s="538"/>
      <c r="EQ427" s="538"/>
      <c r="ER427" s="538"/>
    </row>
    <row r="428" spans="129:148" s="108" customFormat="1" x14ac:dyDescent="0.3">
      <c r="DY428" s="538"/>
      <c r="ED428" s="538"/>
      <c r="EI428" s="538"/>
      <c r="EN428" s="538"/>
      <c r="EO428" s="538"/>
      <c r="EP428" s="538"/>
      <c r="EQ428" s="538"/>
      <c r="ER428" s="538"/>
    </row>
    <row r="429" spans="129:148" s="108" customFormat="1" x14ac:dyDescent="0.3">
      <c r="DY429" s="538"/>
      <c r="ED429" s="538"/>
      <c r="EI429" s="538"/>
      <c r="EN429" s="538"/>
      <c r="EO429" s="538"/>
      <c r="EP429" s="538"/>
      <c r="EQ429" s="538"/>
      <c r="ER429" s="538"/>
    </row>
    <row r="430" spans="129:148" s="108" customFormat="1" x14ac:dyDescent="0.3">
      <c r="DY430" s="538"/>
      <c r="ED430" s="538"/>
      <c r="EI430" s="538"/>
      <c r="EN430" s="538"/>
      <c r="EO430" s="538"/>
      <c r="EP430" s="538"/>
      <c r="EQ430" s="538"/>
      <c r="ER430" s="538"/>
    </row>
    <row r="431" spans="129:148" s="108" customFormat="1" x14ac:dyDescent="0.3">
      <c r="DY431" s="538"/>
      <c r="ED431" s="538"/>
      <c r="EI431" s="538"/>
      <c r="EN431" s="538"/>
      <c r="EO431" s="538"/>
      <c r="EP431" s="538"/>
      <c r="EQ431" s="538"/>
      <c r="ER431" s="538"/>
    </row>
    <row r="432" spans="129:148" s="108" customFormat="1" x14ac:dyDescent="0.3">
      <c r="DY432" s="538"/>
      <c r="ED432" s="538"/>
      <c r="EI432" s="538"/>
      <c r="EN432" s="538"/>
      <c r="EO432" s="538"/>
      <c r="EP432" s="538"/>
      <c r="EQ432" s="538"/>
      <c r="ER432" s="538"/>
    </row>
    <row r="433" spans="129:148" s="108" customFormat="1" x14ac:dyDescent="0.3">
      <c r="DY433" s="538"/>
      <c r="ED433" s="538"/>
      <c r="EI433" s="538"/>
      <c r="EN433" s="538"/>
      <c r="EO433" s="538"/>
      <c r="EP433" s="538"/>
      <c r="EQ433" s="538"/>
      <c r="ER433" s="538"/>
    </row>
    <row r="434" spans="129:148" s="108" customFormat="1" x14ac:dyDescent="0.3">
      <c r="DY434" s="538"/>
      <c r="ED434" s="538"/>
      <c r="EI434" s="538"/>
      <c r="EN434" s="538"/>
      <c r="EO434" s="538"/>
      <c r="EP434" s="538"/>
      <c r="EQ434" s="538"/>
      <c r="ER434" s="538"/>
    </row>
    <row r="435" spans="129:148" s="108" customFormat="1" x14ac:dyDescent="0.3">
      <c r="DY435" s="538"/>
      <c r="ED435" s="538"/>
      <c r="EI435" s="538"/>
      <c r="EN435" s="538"/>
      <c r="EO435" s="538"/>
      <c r="EP435" s="538"/>
      <c r="EQ435" s="538"/>
      <c r="ER435" s="538"/>
    </row>
    <row r="436" spans="129:148" s="108" customFormat="1" x14ac:dyDescent="0.3">
      <c r="DY436" s="538"/>
      <c r="ED436" s="538"/>
      <c r="EI436" s="538"/>
      <c r="EN436" s="538"/>
      <c r="EO436" s="538"/>
      <c r="EP436" s="538"/>
      <c r="EQ436" s="538"/>
      <c r="ER436" s="538"/>
    </row>
    <row r="437" spans="129:148" s="108" customFormat="1" x14ac:dyDescent="0.3">
      <c r="DY437" s="538"/>
      <c r="ED437" s="538"/>
      <c r="EI437" s="538"/>
      <c r="EN437" s="538"/>
      <c r="EO437" s="538"/>
      <c r="EP437" s="538"/>
      <c r="EQ437" s="538"/>
      <c r="ER437" s="538"/>
    </row>
    <row r="438" spans="129:148" s="108" customFormat="1" x14ac:dyDescent="0.3">
      <c r="DY438" s="538"/>
      <c r="ED438" s="538"/>
      <c r="EI438" s="538"/>
      <c r="EN438" s="538"/>
      <c r="EO438" s="538"/>
      <c r="EP438" s="538"/>
      <c r="EQ438" s="538"/>
      <c r="ER438" s="538"/>
    </row>
    <row r="439" spans="129:148" s="108" customFormat="1" x14ac:dyDescent="0.3">
      <c r="DY439" s="538"/>
      <c r="ED439" s="538"/>
      <c r="EI439" s="538"/>
      <c r="EN439" s="538"/>
      <c r="EO439" s="538"/>
      <c r="EP439" s="538"/>
      <c r="EQ439" s="538"/>
      <c r="ER439" s="538"/>
    </row>
    <row r="440" spans="129:148" s="108" customFormat="1" x14ac:dyDescent="0.3">
      <c r="DY440" s="538"/>
      <c r="ED440" s="538"/>
      <c r="EI440" s="538"/>
      <c r="EN440" s="538"/>
      <c r="EO440" s="538"/>
      <c r="EP440" s="538"/>
      <c r="EQ440" s="538"/>
      <c r="ER440" s="538"/>
    </row>
    <row r="441" spans="129:148" s="108" customFormat="1" x14ac:dyDescent="0.3">
      <c r="DY441" s="538"/>
      <c r="ED441" s="538"/>
      <c r="EI441" s="538"/>
      <c r="EN441" s="538"/>
      <c r="EO441" s="538"/>
      <c r="EP441" s="538"/>
      <c r="EQ441" s="538"/>
      <c r="ER441" s="538"/>
    </row>
    <row r="442" spans="129:148" s="108" customFormat="1" x14ac:dyDescent="0.3">
      <c r="DY442" s="538"/>
      <c r="ED442" s="538"/>
      <c r="EI442" s="538"/>
      <c r="EN442" s="538"/>
      <c r="EO442" s="538"/>
      <c r="EP442" s="538"/>
      <c r="EQ442" s="538"/>
      <c r="ER442" s="538"/>
    </row>
    <row r="443" spans="129:148" s="108" customFormat="1" x14ac:dyDescent="0.3">
      <c r="DY443" s="538"/>
      <c r="ED443" s="538"/>
      <c r="EI443" s="538"/>
      <c r="EN443" s="538"/>
      <c r="EO443" s="538"/>
      <c r="EP443" s="538"/>
      <c r="EQ443" s="538"/>
      <c r="ER443" s="538"/>
    </row>
    <row r="444" spans="129:148" s="108" customFormat="1" x14ac:dyDescent="0.3">
      <c r="DY444" s="538"/>
      <c r="ED444" s="538"/>
      <c r="EI444" s="538"/>
      <c r="EN444" s="538"/>
      <c r="EO444" s="538"/>
      <c r="EP444" s="538"/>
      <c r="EQ444" s="538"/>
      <c r="ER444" s="538"/>
    </row>
    <row r="445" spans="129:148" s="108" customFormat="1" x14ac:dyDescent="0.3">
      <c r="DY445" s="538"/>
      <c r="ED445" s="538"/>
      <c r="EI445" s="538"/>
      <c r="EN445" s="538"/>
      <c r="EO445" s="538"/>
      <c r="EP445" s="538"/>
      <c r="EQ445" s="538"/>
      <c r="ER445" s="538"/>
    </row>
    <row r="446" spans="129:148" s="108" customFormat="1" x14ac:dyDescent="0.3">
      <c r="DY446" s="538"/>
      <c r="ED446" s="538"/>
      <c r="EI446" s="538"/>
      <c r="EN446" s="538"/>
      <c r="EO446" s="538"/>
      <c r="EP446" s="538"/>
      <c r="EQ446" s="538"/>
      <c r="ER446" s="538"/>
    </row>
    <row r="447" spans="129:148" s="108" customFormat="1" x14ac:dyDescent="0.3">
      <c r="DY447" s="538"/>
      <c r="ED447" s="538"/>
      <c r="EI447" s="538"/>
      <c r="EN447" s="538"/>
      <c r="EO447" s="538"/>
      <c r="EP447" s="538"/>
      <c r="EQ447" s="538"/>
      <c r="ER447" s="538"/>
    </row>
    <row r="448" spans="129:148" s="108" customFormat="1" x14ac:dyDescent="0.3">
      <c r="DY448" s="538"/>
      <c r="ED448" s="538"/>
      <c r="EI448" s="538"/>
      <c r="EN448" s="538"/>
      <c r="EO448" s="538"/>
      <c r="EP448" s="538"/>
      <c r="EQ448" s="538"/>
      <c r="ER448" s="538"/>
    </row>
    <row r="449" spans="129:148" s="108" customFormat="1" x14ac:dyDescent="0.3">
      <c r="DY449" s="538"/>
      <c r="ED449" s="538"/>
      <c r="EI449" s="538"/>
      <c r="EN449" s="538"/>
      <c r="EO449" s="538"/>
      <c r="EP449" s="538"/>
      <c r="EQ449" s="538"/>
      <c r="ER449" s="538"/>
    </row>
    <row r="450" spans="129:148" s="108" customFormat="1" x14ac:dyDescent="0.3">
      <c r="DY450" s="538"/>
      <c r="ED450" s="538"/>
      <c r="EI450" s="538"/>
      <c r="EN450" s="538"/>
      <c r="EO450" s="538"/>
      <c r="EP450" s="538"/>
      <c r="EQ450" s="538"/>
      <c r="ER450" s="538"/>
    </row>
    <row r="451" spans="129:148" s="108" customFormat="1" x14ac:dyDescent="0.3">
      <c r="DY451" s="538"/>
      <c r="ED451" s="538"/>
      <c r="EI451" s="538"/>
      <c r="EN451" s="538"/>
      <c r="EO451" s="538"/>
      <c r="EP451" s="538"/>
      <c r="EQ451" s="538"/>
      <c r="ER451" s="538"/>
    </row>
    <row r="452" spans="129:148" s="108" customFormat="1" x14ac:dyDescent="0.3">
      <c r="DY452" s="538"/>
      <c r="ED452" s="538"/>
      <c r="EI452" s="538"/>
      <c r="EN452" s="538"/>
      <c r="EO452" s="538"/>
      <c r="EP452" s="538"/>
      <c r="EQ452" s="538"/>
      <c r="ER452" s="538"/>
    </row>
    <row r="453" spans="129:148" s="108" customFormat="1" x14ac:dyDescent="0.3">
      <c r="DY453" s="538"/>
      <c r="ED453" s="538"/>
      <c r="EI453" s="538"/>
      <c r="EN453" s="538"/>
      <c r="EO453" s="538"/>
      <c r="EP453" s="538"/>
      <c r="EQ453" s="538"/>
      <c r="ER453" s="538"/>
    </row>
    <row r="454" spans="129:148" s="108" customFormat="1" x14ac:dyDescent="0.3">
      <c r="DY454" s="538"/>
      <c r="ED454" s="538"/>
      <c r="EI454" s="538"/>
      <c r="EN454" s="538"/>
      <c r="EO454" s="538"/>
      <c r="EP454" s="538"/>
      <c r="EQ454" s="538"/>
      <c r="ER454" s="538"/>
    </row>
    <row r="455" spans="129:148" s="108" customFormat="1" x14ac:dyDescent="0.3">
      <c r="DY455" s="538"/>
      <c r="ED455" s="538"/>
      <c r="EI455" s="538"/>
      <c r="EN455" s="538"/>
      <c r="EO455" s="538"/>
      <c r="EP455" s="538"/>
      <c r="EQ455" s="538"/>
      <c r="ER455" s="538"/>
    </row>
    <row r="456" spans="129:148" s="108" customFormat="1" x14ac:dyDescent="0.3">
      <c r="DY456" s="538"/>
      <c r="ED456" s="538"/>
      <c r="EI456" s="538"/>
      <c r="EN456" s="538"/>
      <c r="EO456" s="538"/>
      <c r="EP456" s="538"/>
      <c r="EQ456" s="538"/>
      <c r="ER456" s="538"/>
    </row>
    <row r="457" spans="129:148" s="108" customFormat="1" x14ac:dyDescent="0.3">
      <c r="DY457" s="538"/>
      <c r="ED457" s="538"/>
      <c r="EI457" s="538"/>
      <c r="EN457" s="538"/>
      <c r="EO457" s="538"/>
      <c r="EP457" s="538"/>
      <c r="EQ457" s="538"/>
      <c r="ER457" s="538"/>
    </row>
    <row r="458" spans="129:148" s="108" customFormat="1" x14ac:dyDescent="0.3">
      <c r="DY458" s="538"/>
      <c r="ED458" s="538"/>
      <c r="EI458" s="538"/>
      <c r="EN458" s="538"/>
      <c r="EO458" s="538"/>
      <c r="EP458" s="538"/>
      <c r="EQ458" s="538"/>
      <c r="ER458" s="538"/>
    </row>
    <row r="459" spans="129:148" s="108" customFormat="1" x14ac:dyDescent="0.3">
      <c r="DY459" s="538"/>
      <c r="ED459" s="538"/>
      <c r="EI459" s="538"/>
      <c r="EN459" s="538"/>
      <c r="EO459" s="538"/>
      <c r="EP459" s="538"/>
      <c r="EQ459" s="538"/>
      <c r="ER459" s="538"/>
    </row>
    <row r="460" spans="129:148" s="108" customFormat="1" x14ac:dyDescent="0.3">
      <c r="DY460" s="538"/>
      <c r="ED460" s="538"/>
      <c r="EI460" s="538"/>
      <c r="EN460" s="538"/>
      <c r="EO460" s="538"/>
      <c r="EP460" s="538"/>
      <c r="EQ460" s="538"/>
      <c r="ER460" s="538"/>
    </row>
    <row r="461" spans="129:148" s="108" customFormat="1" x14ac:dyDescent="0.3">
      <c r="DY461" s="538"/>
      <c r="ED461" s="538"/>
      <c r="EI461" s="538"/>
      <c r="EN461" s="538"/>
      <c r="EO461" s="538"/>
      <c r="EP461" s="538"/>
      <c r="EQ461" s="538"/>
      <c r="ER461" s="538"/>
    </row>
    <row r="462" spans="129:148" s="108" customFormat="1" x14ac:dyDescent="0.3">
      <c r="DY462" s="538"/>
      <c r="ED462" s="538"/>
      <c r="EI462" s="538"/>
      <c r="EN462" s="538"/>
      <c r="EO462" s="538"/>
      <c r="EP462" s="538"/>
      <c r="EQ462" s="538"/>
      <c r="ER462" s="538"/>
    </row>
    <row r="463" spans="129:148" s="108" customFormat="1" x14ac:dyDescent="0.3">
      <c r="DY463" s="538"/>
      <c r="ED463" s="538"/>
      <c r="EI463" s="538"/>
      <c r="EN463" s="538"/>
      <c r="EO463" s="538"/>
      <c r="EP463" s="538"/>
      <c r="EQ463" s="538"/>
      <c r="ER463" s="538"/>
    </row>
    <row r="464" spans="129:148" s="108" customFormat="1" x14ac:dyDescent="0.3">
      <c r="DY464" s="538"/>
      <c r="ED464" s="538"/>
      <c r="EI464" s="538"/>
      <c r="EN464" s="538"/>
      <c r="EO464" s="538"/>
      <c r="EP464" s="538"/>
      <c r="EQ464" s="538"/>
      <c r="ER464" s="538"/>
    </row>
    <row r="465" spans="129:148" s="108" customFormat="1" x14ac:dyDescent="0.3">
      <c r="DY465" s="538"/>
      <c r="ED465" s="538"/>
      <c r="EI465" s="538"/>
      <c r="EN465" s="538"/>
      <c r="EO465" s="538"/>
      <c r="EP465" s="538"/>
      <c r="EQ465" s="538"/>
      <c r="ER465" s="538"/>
    </row>
    <row r="466" spans="129:148" s="108" customFormat="1" x14ac:dyDescent="0.3">
      <c r="DY466" s="538"/>
      <c r="ED466" s="538"/>
      <c r="EI466" s="538"/>
      <c r="EN466" s="538"/>
      <c r="EO466" s="538"/>
      <c r="EP466" s="538"/>
      <c r="EQ466" s="538"/>
      <c r="ER466" s="538"/>
    </row>
    <row r="467" spans="129:148" s="108" customFormat="1" x14ac:dyDescent="0.3">
      <c r="DY467" s="538"/>
      <c r="ED467" s="538"/>
      <c r="EI467" s="538"/>
      <c r="EN467" s="538"/>
      <c r="EO467" s="538"/>
      <c r="EP467" s="538"/>
      <c r="EQ467" s="538"/>
      <c r="ER467" s="538"/>
    </row>
    <row r="468" spans="129:148" s="108" customFormat="1" x14ac:dyDescent="0.3">
      <c r="DY468" s="538"/>
      <c r="ED468" s="538"/>
      <c r="EI468" s="538"/>
      <c r="EN468" s="538"/>
      <c r="EO468" s="538"/>
      <c r="EP468" s="538"/>
      <c r="EQ468" s="538"/>
      <c r="ER468" s="538"/>
    </row>
    <row r="469" spans="129:148" s="108" customFormat="1" x14ac:dyDescent="0.3">
      <c r="DY469" s="538"/>
      <c r="ED469" s="538"/>
      <c r="EI469" s="538"/>
      <c r="EN469" s="538"/>
      <c r="EO469" s="538"/>
      <c r="EP469" s="538"/>
      <c r="EQ469" s="538"/>
      <c r="ER469" s="538"/>
    </row>
    <row r="470" spans="129:148" s="108" customFormat="1" x14ac:dyDescent="0.3">
      <c r="DY470" s="538"/>
      <c r="ED470" s="538"/>
      <c r="EI470" s="538"/>
      <c r="EN470" s="538"/>
      <c r="EO470" s="538"/>
      <c r="EP470" s="538"/>
      <c r="EQ470" s="538"/>
      <c r="ER470" s="538"/>
    </row>
    <row r="471" spans="129:148" s="108" customFormat="1" x14ac:dyDescent="0.3">
      <c r="DY471" s="538"/>
      <c r="ED471" s="538"/>
      <c r="EI471" s="538"/>
      <c r="EN471" s="538"/>
      <c r="EO471" s="538"/>
      <c r="EP471" s="538"/>
      <c r="EQ471" s="538"/>
      <c r="ER471" s="538"/>
    </row>
    <row r="472" spans="129:148" s="108" customFormat="1" x14ac:dyDescent="0.3">
      <c r="DY472" s="538"/>
      <c r="ED472" s="538"/>
      <c r="EI472" s="538"/>
      <c r="EN472" s="538"/>
      <c r="EO472" s="538"/>
      <c r="EP472" s="538"/>
      <c r="EQ472" s="538"/>
      <c r="ER472" s="538"/>
    </row>
    <row r="473" spans="129:148" s="108" customFormat="1" x14ac:dyDescent="0.3">
      <c r="DY473" s="538"/>
      <c r="ED473" s="538"/>
      <c r="EI473" s="538"/>
      <c r="EN473" s="538"/>
      <c r="EO473" s="538"/>
      <c r="EP473" s="538"/>
      <c r="EQ473" s="538"/>
      <c r="ER473" s="538"/>
    </row>
    <row r="474" spans="129:148" s="108" customFormat="1" x14ac:dyDescent="0.3">
      <c r="DY474" s="538"/>
      <c r="ED474" s="538"/>
      <c r="EI474" s="538"/>
      <c r="EN474" s="538"/>
      <c r="EO474" s="538"/>
      <c r="EP474" s="538"/>
      <c r="EQ474" s="538"/>
      <c r="ER474" s="538"/>
    </row>
    <row r="475" spans="129:148" s="108" customFormat="1" x14ac:dyDescent="0.3">
      <c r="DY475" s="538"/>
      <c r="ED475" s="538"/>
      <c r="EI475" s="538"/>
      <c r="EN475" s="538"/>
      <c r="EO475" s="538"/>
      <c r="EP475" s="538"/>
      <c r="EQ475" s="538"/>
      <c r="ER475" s="538"/>
    </row>
    <row r="476" spans="129:148" s="108" customFormat="1" x14ac:dyDescent="0.3">
      <c r="DY476" s="538"/>
      <c r="ED476" s="538"/>
      <c r="EI476" s="538"/>
      <c r="EN476" s="538"/>
      <c r="EO476" s="538"/>
      <c r="EP476" s="538"/>
      <c r="EQ476" s="538"/>
      <c r="ER476" s="538"/>
    </row>
    <row r="477" spans="129:148" s="108" customFormat="1" x14ac:dyDescent="0.3">
      <c r="DY477" s="538"/>
      <c r="ED477" s="538"/>
      <c r="EI477" s="538"/>
      <c r="EN477" s="538"/>
      <c r="EO477" s="538"/>
      <c r="EP477" s="538"/>
      <c r="EQ477" s="538"/>
      <c r="ER477" s="538"/>
    </row>
    <row r="478" spans="129:148" s="108" customFormat="1" x14ac:dyDescent="0.3">
      <c r="DY478" s="538"/>
      <c r="ED478" s="538"/>
      <c r="EI478" s="538"/>
      <c r="EN478" s="538"/>
      <c r="EO478" s="538"/>
      <c r="EP478" s="538"/>
      <c r="EQ478" s="538"/>
      <c r="ER478" s="538"/>
    </row>
    <row r="479" spans="129:148" s="108" customFormat="1" x14ac:dyDescent="0.3">
      <c r="DY479" s="538"/>
      <c r="ED479" s="538"/>
      <c r="EI479" s="538"/>
      <c r="EN479" s="538"/>
      <c r="EO479" s="538"/>
      <c r="EP479" s="538"/>
      <c r="EQ479" s="538"/>
      <c r="ER479" s="538"/>
    </row>
    <row r="480" spans="129:148" s="108" customFormat="1" x14ac:dyDescent="0.3">
      <c r="DY480" s="538"/>
      <c r="ED480" s="538"/>
      <c r="EI480" s="538"/>
      <c r="EN480" s="538"/>
      <c r="EO480" s="538"/>
      <c r="EP480" s="538"/>
      <c r="EQ480" s="538"/>
      <c r="ER480" s="538"/>
    </row>
    <row r="481" spans="129:148" s="108" customFormat="1" x14ac:dyDescent="0.3">
      <c r="DY481" s="538"/>
      <c r="ED481" s="538"/>
      <c r="EI481" s="538"/>
      <c r="EN481" s="538"/>
      <c r="EO481" s="538"/>
      <c r="EP481" s="538"/>
      <c r="EQ481" s="538"/>
      <c r="ER481" s="538"/>
    </row>
    <row r="482" spans="129:148" s="108" customFormat="1" x14ac:dyDescent="0.3">
      <c r="DY482" s="538"/>
      <c r="ED482" s="538"/>
      <c r="EI482" s="538"/>
      <c r="EN482" s="538"/>
      <c r="EO482" s="538"/>
      <c r="EP482" s="538"/>
      <c r="EQ482" s="538"/>
      <c r="ER482" s="538"/>
    </row>
    <row r="483" spans="129:148" s="108" customFormat="1" x14ac:dyDescent="0.3">
      <c r="DY483" s="538"/>
      <c r="ED483" s="538"/>
      <c r="EI483" s="538"/>
      <c r="EN483" s="538"/>
      <c r="EO483" s="538"/>
      <c r="EP483" s="538"/>
      <c r="EQ483" s="538"/>
      <c r="ER483" s="538"/>
    </row>
    <row r="484" spans="129:148" s="108" customFormat="1" x14ac:dyDescent="0.3">
      <c r="DY484" s="538"/>
      <c r="ED484" s="538"/>
      <c r="EI484" s="538"/>
      <c r="EN484" s="538"/>
      <c r="EO484" s="538"/>
      <c r="EP484" s="538"/>
      <c r="EQ484" s="538"/>
      <c r="ER484" s="538"/>
    </row>
    <row r="485" spans="129:148" s="108" customFormat="1" x14ac:dyDescent="0.3">
      <c r="DY485" s="538"/>
      <c r="ED485" s="538"/>
      <c r="EI485" s="538"/>
      <c r="EN485" s="538"/>
      <c r="EO485" s="538"/>
      <c r="EP485" s="538"/>
      <c r="EQ485" s="538"/>
      <c r="ER485" s="538"/>
    </row>
    <row r="486" spans="129:148" s="108" customFormat="1" x14ac:dyDescent="0.3">
      <c r="DY486" s="538"/>
      <c r="ED486" s="538"/>
      <c r="EI486" s="538"/>
      <c r="EN486" s="538"/>
      <c r="EO486" s="538"/>
      <c r="EP486" s="538"/>
      <c r="EQ486" s="538"/>
      <c r="ER486" s="538"/>
    </row>
    <row r="487" spans="129:148" s="108" customFormat="1" x14ac:dyDescent="0.3">
      <c r="DY487" s="538"/>
      <c r="ED487" s="538"/>
      <c r="EI487" s="538"/>
      <c r="EN487" s="538"/>
      <c r="EO487" s="538"/>
      <c r="EP487" s="538"/>
      <c r="EQ487" s="538"/>
      <c r="ER487" s="538"/>
    </row>
    <row r="488" spans="129:148" s="108" customFormat="1" x14ac:dyDescent="0.3">
      <c r="DY488" s="538"/>
      <c r="ED488" s="538"/>
      <c r="EI488" s="538"/>
      <c r="EN488" s="538"/>
      <c r="EO488" s="538"/>
      <c r="EP488" s="538"/>
      <c r="EQ488" s="538"/>
      <c r="ER488" s="538"/>
    </row>
    <row r="489" spans="129:148" s="108" customFormat="1" x14ac:dyDescent="0.3">
      <c r="DY489" s="538"/>
      <c r="ED489" s="538"/>
      <c r="EI489" s="538"/>
      <c r="EN489" s="538"/>
      <c r="EO489" s="538"/>
      <c r="EP489" s="538"/>
      <c r="EQ489" s="538"/>
      <c r="ER489" s="538"/>
    </row>
    <row r="490" spans="129:148" s="108" customFormat="1" x14ac:dyDescent="0.3">
      <c r="DY490" s="538"/>
      <c r="ED490" s="538"/>
      <c r="EI490" s="538"/>
      <c r="EN490" s="538"/>
      <c r="EO490" s="538"/>
      <c r="EP490" s="538"/>
      <c r="EQ490" s="538"/>
      <c r="ER490" s="538"/>
    </row>
    <row r="491" spans="129:148" s="108" customFormat="1" x14ac:dyDescent="0.3">
      <c r="DY491" s="538"/>
      <c r="ED491" s="538"/>
      <c r="EI491" s="538"/>
      <c r="EN491" s="538"/>
      <c r="EO491" s="538"/>
      <c r="EP491" s="538"/>
      <c r="EQ491" s="538"/>
      <c r="ER491" s="538"/>
    </row>
    <row r="492" spans="129:148" s="108" customFormat="1" x14ac:dyDescent="0.3">
      <c r="DY492" s="538"/>
      <c r="ED492" s="538"/>
      <c r="EI492" s="538"/>
      <c r="EN492" s="538"/>
      <c r="EO492" s="538"/>
      <c r="EP492" s="538"/>
      <c r="EQ492" s="538"/>
      <c r="ER492" s="538"/>
    </row>
    <row r="493" spans="129:148" s="108" customFormat="1" x14ac:dyDescent="0.3">
      <c r="DY493" s="538"/>
      <c r="ED493" s="538"/>
      <c r="EI493" s="538"/>
      <c r="EN493" s="538"/>
      <c r="EO493" s="538"/>
      <c r="EP493" s="538"/>
      <c r="EQ493" s="538"/>
      <c r="ER493" s="538"/>
    </row>
    <row r="494" spans="129:148" s="108" customFormat="1" x14ac:dyDescent="0.3">
      <c r="DY494" s="538"/>
      <c r="ED494" s="538"/>
      <c r="EI494" s="538"/>
      <c r="EN494" s="538"/>
      <c r="EO494" s="538"/>
      <c r="EP494" s="538"/>
      <c r="EQ494" s="538"/>
      <c r="ER494" s="538"/>
    </row>
    <row r="495" spans="129:148" s="108" customFormat="1" x14ac:dyDescent="0.3">
      <c r="DY495" s="538"/>
      <c r="ED495" s="538"/>
      <c r="EI495" s="538"/>
      <c r="EN495" s="538"/>
      <c r="EO495" s="538"/>
      <c r="EP495" s="538"/>
      <c r="EQ495" s="538"/>
      <c r="ER495" s="538"/>
    </row>
    <row r="496" spans="129:148" s="108" customFormat="1" x14ac:dyDescent="0.3">
      <c r="DY496" s="538"/>
      <c r="ED496" s="538"/>
      <c r="EI496" s="538"/>
      <c r="EN496" s="538"/>
      <c r="EO496" s="538"/>
      <c r="EP496" s="538"/>
      <c r="EQ496" s="538"/>
      <c r="ER496" s="538"/>
    </row>
    <row r="497" spans="129:148" s="108" customFormat="1" x14ac:dyDescent="0.3">
      <c r="DY497" s="538"/>
      <c r="ED497" s="538"/>
      <c r="EI497" s="538"/>
      <c r="EN497" s="538"/>
      <c r="EO497" s="538"/>
      <c r="EP497" s="538"/>
      <c r="EQ497" s="538"/>
      <c r="ER497" s="538"/>
    </row>
    <row r="498" spans="129:148" s="108" customFormat="1" x14ac:dyDescent="0.3">
      <c r="DY498" s="538"/>
      <c r="ED498" s="538"/>
      <c r="EI498" s="538"/>
      <c r="EN498" s="538"/>
      <c r="EO498" s="538"/>
      <c r="EP498" s="538"/>
      <c r="EQ498" s="538"/>
      <c r="ER498" s="538"/>
    </row>
    <row r="499" spans="129:148" s="108" customFormat="1" x14ac:dyDescent="0.3">
      <c r="DY499" s="538"/>
      <c r="ED499" s="538"/>
      <c r="EI499" s="538"/>
      <c r="EN499" s="538"/>
      <c r="EO499" s="538"/>
      <c r="EP499" s="538"/>
      <c r="EQ499" s="538"/>
      <c r="ER499" s="538"/>
    </row>
    <row r="500" spans="129:148" s="108" customFormat="1" x14ac:dyDescent="0.3">
      <c r="DY500" s="538"/>
      <c r="ED500" s="538"/>
      <c r="EI500" s="538"/>
      <c r="EN500" s="538"/>
      <c r="EO500" s="538"/>
      <c r="EP500" s="538"/>
      <c r="EQ500" s="538"/>
      <c r="ER500" s="538"/>
    </row>
    <row r="501" spans="129:148" s="108" customFormat="1" x14ac:dyDescent="0.3">
      <c r="DY501" s="538"/>
      <c r="ED501" s="538"/>
      <c r="EI501" s="538"/>
      <c r="EN501" s="538"/>
      <c r="EO501" s="538"/>
      <c r="EP501" s="538"/>
      <c r="EQ501" s="538"/>
      <c r="ER501" s="538"/>
    </row>
    <row r="502" spans="129:148" s="108" customFormat="1" x14ac:dyDescent="0.3">
      <c r="DY502" s="538"/>
      <c r="ED502" s="538"/>
      <c r="EI502" s="538"/>
      <c r="EN502" s="538"/>
      <c r="EO502" s="538"/>
      <c r="EP502" s="538"/>
      <c r="EQ502" s="538"/>
      <c r="ER502" s="538"/>
    </row>
    <row r="503" spans="129:148" s="108" customFormat="1" x14ac:dyDescent="0.3">
      <c r="DY503" s="538"/>
      <c r="ED503" s="538"/>
      <c r="EI503" s="538"/>
      <c r="EN503" s="538"/>
      <c r="EO503" s="538"/>
      <c r="EP503" s="538"/>
      <c r="EQ503" s="538"/>
      <c r="ER503" s="538"/>
    </row>
    <row r="504" spans="129:148" s="108" customFormat="1" x14ac:dyDescent="0.3">
      <c r="DY504" s="538"/>
      <c r="ED504" s="538"/>
      <c r="EI504" s="538"/>
      <c r="EN504" s="538"/>
      <c r="EO504" s="538"/>
      <c r="EP504" s="538"/>
      <c r="EQ504" s="538"/>
      <c r="ER504" s="538"/>
    </row>
    <row r="505" spans="129:148" s="108" customFormat="1" x14ac:dyDescent="0.3">
      <c r="DY505" s="538"/>
      <c r="ED505" s="538"/>
      <c r="EI505" s="538"/>
      <c r="EN505" s="538"/>
      <c r="EO505" s="538"/>
      <c r="EP505" s="538"/>
      <c r="EQ505" s="538"/>
      <c r="ER505" s="538"/>
    </row>
    <row r="506" spans="129:148" s="108" customFormat="1" x14ac:dyDescent="0.3">
      <c r="DY506" s="538"/>
      <c r="ED506" s="538"/>
      <c r="EI506" s="538"/>
      <c r="EN506" s="538"/>
      <c r="EO506" s="538"/>
      <c r="EP506" s="538"/>
      <c r="EQ506" s="538"/>
      <c r="ER506" s="538"/>
    </row>
    <row r="507" spans="129:148" s="108" customFormat="1" x14ac:dyDescent="0.3">
      <c r="DY507" s="538"/>
      <c r="ED507" s="538"/>
      <c r="EI507" s="538"/>
      <c r="EN507" s="538"/>
      <c r="EO507" s="538"/>
      <c r="EP507" s="538"/>
      <c r="EQ507" s="538"/>
      <c r="ER507" s="538"/>
    </row>
    <row r="508" spans="129:148" s="108" customFormat="1" x14ac:dyDescent="0.3">
      <c r="DY508" s="538"/>
      <c r="ED508" s="538"/>
      <c r="EI508" s="538"/>
      <c r="EN508" s="538"/>
      <c r="EO508" s="538"/>
      <c r="EP508" s="538"/>
      <c r="EQ508" s="538"/>
      <c r="ER508" s="538"/>
    </row>
    <row r="509" spans="129:148" s="108" customFormat="1" x14ac:dyDescent="0.3">
      <c r="DY509" s="538"/>
      <c r="ED509" s="538"/>
      <c r="EI509" s="538"/>
      <c r="EN509" s="538"/>
      <c r="EO509" s="538"/>
      <c r="EP509" s="538"/>
      <c r="EQ509" s="538"/>
      <c r="ER509" s="538"/>
    </row>
    <row r="510" spans="129:148" s="108" customFormat="1" x14ac:dyDescent="0.3">
      <c r="DY510" s="538"/>
      <c r="ED510" s="538"/>
      <c r="EI510" s="538"/>
      <c r="EN510" s="538"/>
      <c r="EO510" s="538"/>
      <c r="EP510" s="538"/>
      <c r="EQ510" s="538"/>
      <c r="ER510" s="538"/>
    </row>
    <row r="511" spans="129:148" s="108" customFormat="1" x14ac:dyDescent="0.3">
      <c r="DY511" s="538"/>
      <c r="ED511" s="538"/>
      <c r="EI511" s="538"/>
      <c r="EN511" s="538"/>
      <c r="EO511" s="538"/>
      <c r="EP511" s="538"/>
      <c r="EQ511" s="538"/>
      <c r="ER511" s="538"/>
    </row>
    <row r="512" spans="129:148" s="108" customFormat="1" x14ac:dyDescent="0.3">
      <c r="DY512" s="538"/>
      <c r="ED512" s="538"/>
      <c r="EI512" s="538"/>
      <c r="EN512" s="538"/>
      <c r="EO512" s="538"/>
      <c r="EP512" s="538"/>
      <c r="EQ512" s="538"/>
      <c r="ER512" s="538"/>
    </row>
    <row r="513" spans="129:148" s="108" customFormat="1" x14ac:dyDescent="0.3">
      <c r="DY513" s="538"/>
      <c r="ED513" s="538"/>
      <c r="EI513" s="538"/>
      <c r="EN513" s="538"/>
      <c r="EO513" s="538"/>
      <c r="EP513" s="538"/>
      <c r="EQ513" s="538"/>
      <c r="ER513" s="538"/>
    </row>
    <row r="514" spans="129:148" s="108" customFormat="1" x14ac:dyDescent="0.3">
      <c r="DY514" s="538"/>
      <c r="ED514" s="538"/>
      <c r="EI514" s="538"/>
      <c r="EN514" s="538"/>
      <c r="EO514" s="538"/>
      <c r="EP514" s="538"/>
      <c r="EQ514" s="538"/>
      <c r="ER514" s="538"/>
    </row>
    <row r="515" spans="129:148" s="108" customFormat="1" x14ac:dyDescent="0.3">
      <c r="DY515" s="538"/>
      <c r="ED515" s="538"/>
      <c r="EI515" s="538"/>
      <c r="EN515" s="538"/>
      <c r="EO515" s="538"/>
      <c r="EP515" s="538"/>
      <c r="EQ515" s="538"/>
      <c r="ER515" s="538"/>
    </row>
    <row r="516" spans="129:148" s="108" customFormat="1" x14ac:dyDescent="0.3">
      <c r="DY516" s="538"/>
      <c r="ED516" s="538"/>
      <c r="EI516" s="538"/>
      <c r="EN516" s="538"/>
      <c r="EO516" s="538"/>
      <c r="EP516" s="538"/>
      <c r="EQ516" s="538"/>
      <c r="ER516" s="538"/>
    </row>
    <row r="517" spans="129:148" s="108" customFormat="1" x14ac:dyDescent="0.3">
      <c r="DY517" s="538"/>
      <c r="ED517" s="538"/>
      <c r="EI517" s="538"/>
      <c r="EN517" s="538"/>
      <c r="EO517" s="538"/>
      <c r="EP517" s="538"/>
      <c r="EQ517" s="538"/>
      <c r="ER517" s="538"/>
    </row>
    <row r="518" spans="129:148" s="108" customFormat="1" x14ac:dyDescent="0.3">
      <c r="DY518" s="538"/>
      <c r="ED518" s="538"/>
      <c r="EI518" s="538"/>
      <c r="EN518" s="538"/>
      <c r="EO518" s="538"/>
      <c r="EP518" s="538"/>
      <c r="EQ518" s="538"/>
      <c r="ER518" s="538"/>
    </row>
    <row r="519" spans="129:148" s="108" customFormat="1" x14ac:dyDescent="0.3">
      <c r="DY519" s="538"/>
      <c r="ED519" s="538"/>
      <c r="EI519" s="538"/>
      <c r="EN519" s="538"/>
      <c r="EO519" s="538"/>
      <c r="EP519" s="538"/>
      <c r="EQ519" s="538"/>
      <c r="ER519" s="538"/>
    </row>
    <row r="520" spans="129:148" s="108" customFormat="1" x14ac:dyDescent="0.3">
      <c r="DY520" s="538"/>
      <c r="ED520" s="538"/>
      <c r="EI520" s="538"/>
      <c r="EN520" s="538"/>
      <c r="EO520" s="538"/>
      <c r="EP520" s="538"/>
      <c r="EQ520" s="538"/>
      <c r="ER520" s="538"/>
    </row>
    <row r="521" spans="129:148" s="108" customFormat="1" x14ac:dyDescent="0.3">
      <c r="DY521" s="538"/>
      <c r="ED521" s="538"/>
      <c r="EI521" s="538"/>
      <c r="EN521" s="538"/>
      <c r="EO521" s="538"/>
      <c r="EP521" s="538"/>
      <c r="EQ521" s="538"/>
      <c r="ER521" s="538"/>
    </row>
    <row r="522" spans="129:148" s="108" customFormat="1" x14ac:dyDescent="0.3">
      <c r="DY522" s="538"/>
      <c r="ED522" s="538"/>
      <c r="EI522" s="538"/>
      <c r="EN522" s="538"/>
      <c r="EO522" s="538"/>
      <c r="EP522" s="538"/>
      <c r="EQ522" s="538"/>
      <c r="ER522" s="538"/>
    </row>
    <row r="523" spans="129:148" s="108" customFormat="1" x14ac:dyDescent="0.3">
      <c r="DY523" s="538"/>
      <c r="ED523" s="538"/>
      <c r="EI523" s="538"/>
      <c r="EN523" s="538"/>
      <c r="EO523" s="538"/>
      <c r="EP523" s="538"/>
      <c r="EQ523" s="538"/>
      <c r="ER523" s="538"/>
    </row>
    <row r="524" spans="129:148" s="108" customFormat="1" x14ac:dyDescent="0.3">
      <c r="DY524" s="538"/>
      <c r="ED524" s="538"/>
      <c r="EI524" s="538"/>
      <c r="EN524" s="538"/>
      <c r="EO524" s="538"/>
      <c r="EP524" s="538"/>
      <c r="EQ524" s="538"/>
      <c r="ER524" s="538"/>
    </row>
    <row r="525" spans="129:148" s="108" customFormat="1" x14ac:dyDescent="0.3">
      <c r="DY525" s="538"/>
      <c r="ED525" s="538"/>
      <c r="EI525" s="538"/>
      <c r="EN525" s="538"/>
      <c r="EO525" s="538"/>
      <c r="EP525" s="538"/>
      <c r="EQ525" s="538"/>
      <c r="ER525" s="538"/>
    </row>
    <row r="526" spans="129:148" s="108" customFormat="1" x14ac:dyDescent="0.3">
      <c r="DY526" s="538"/>
      <c r="ED526" s="538"/>
      <c r="EI526" s="538"/>
      <c r="EN526" s="538"/>
      <c r="EO526" s="538"/>
      <c r="EP526" s="538"/>
      <c r="EQ526" s="538"/>
      <c r="ER526" s="538"/>
    </row>
    <row r="527" spans="129:148" s="108" customFormat="1" x14ac:dyDescent="0.3">
      <c r="DY527" s="538"/>
      <c r="ED527" s="538"/>
      <c r="EI527" s="538"/>
      <c r="EN527" s="538"/>
      <c r="EO527" s="538"/>
      <c r="EP527" s="538"/>
      <c r="EQ527" s="538"/>
      <c r="ER527" s="538"/>
    </row>
    <row r="528" spans="129:148" s="108" customFormat="1" x14ac:dyDescent="0.3">
      <c r="DY528" s="538"/>
      <c r="ED528" s="538"/>
      <c r="EI528" s="538"/>
      <c r="EN528" s="538"/>
      <c r="EO528" s="538"/>
      <c r="EP528" s="538"/>
      <c r="EQ528" s="538"/>
      <c r="ER528" s="538"/>
    </row>
    <row r="529" spans="129:148" s="108" customFormat="1" x14ac:dyDescent="0.3">
      <c r="DY529" s="538"/>
      <c r="ED529" s="538"/>
      <c r="EI529" s="538"/>
      <c r="EN529" s="538"/>
      <c r="EO529" s="538"/>
      <c r="EP529" s="538"/>
      <c r="EQ529" s="538"/>
      <c r="ER529" s="538"/>
    </row>
    <row r="530" spans="129:148" s="108" customFormat="1" x14ac:dyDescent="0.3">
      <c r="DY530" s="538"/>
      <c r="ED530" s="538"/>
      <c r="EI530" s="538"/>
      <c r="EN530" s="538"/>
      <c r="EO530" s="538"/>
      <c r="EP530" s="538"/>
      <c r="EQ530" s="538"/>
      <c r="ER530" s="538"/>
    </row>
    <row r="531" spans="129:148" s="108" customFormat="1" x14ac:dyDescent="0.3">
      <c r="DY531" s="538"/>
      <c r="ED531" s="538"/>
      <c r="EI531" s="538"/>
      <c r="EN531" s="538"/>
      <c r="EO531" s="538"/>
      <c r="EP531" s="538"/>
      <c r="EQ531" s="538"/>
      <c r="ER531" s="538"/>
    </row>
    <row r="532" spans="129:148" s="108" customFormat="1" x14ac:dyDescent="0.3">
      <c r="DY532" s="538"/>
      <c r="ED532" s="538"/>
      <c r="EI532" s="538"/>
      <c r="EN532" s="538"/>
      <c r="EO532" s="538"/>
      <c r="EP532" s="538"/>
      <c r="EQ532" s="538"/>
      <c r="ER532" s="538"/>
    </row>
    <row r="533" spans="129:148" s="108" customFormat="1" x14ac:dyDescent="0.3">
      <c r="DY533" s="538"/>
      <c r="ED533" s="538"/>
      <c r="EI533" s="538"/>
      <c r="EN533" s="538"/>
      <c r="EO533" s="538"/>
      <c r="EP533" s="538"/>
      <c r="EQ533" s="538"/>
      <c r="ER533" s="538"/>
    </row>
    <row r="534" spans="129:148" s="108" customFormat="1" x14ac:dyDescent="0.3">
      <c r="DY534" s="538"/>
      <c r="ED534" s="538"/>
      <c r="EI534" s="538"/>
      <c r="EN534" s="538"/>
      <c r="EO534" s="538"/>
      <c r="EP534" s="538"/>
      <c r="EQ534" s="538"/>
      <c r="ER534" s="538"/>
    </row>
    <row r="535" spans="129:148" s="108" customFormat="1" x14ac:dyDescent="0.3">
      <c r="DY535" s="538"/>
      <c r="ED535" s="538"/>
      <c r="EI535" s="538"/>
      <c r="EN535" s="538"/>
      <c r="EO535" s="538"/>
      <c r="EP535" s="538"/>
      <c r="EQ535" s="538"/>
      <c r="ER535" s="538"/>
    </row>
    <row r="536" spans="129:148" s="108" customFormat="1" x14ac:dyDescent="0.3">
      <c r="DY536" s="538"/>
      <c r="ED536" s="538"/>
      <c r="EI536" s="538"/>
      <c r="EN536" s="538"/>
      <c r="EO536" s="538"/>
      <c r="EP536" s="538"/>
      <c r="EQ536" s="538"/>
      <c r="ER536" s="538"/>
    </row>
    <row r="537" spans="129:148" s="108" customFormat="1" x14ac:dyDescent="0.3">
      <c r="DY537" s="538"/>
      <c r="ED537" s="538"/>
      <c r="EI537" s="538"/>
      <c r="EN537" s="538"/>
      <c r="EO537" s="538"/>
      <c r="EP537" s="538"/>
      <c r="EQ537" s="538"/>
      <c r="ER537" s="538"/>
    </row>
    <row r="538" spans="129:148" s="108" customFormat="1" x14ac:dyDescent="0.3">
      <c r="DY538" s="538"/>
      <c r="ED538" s="538"/>
      <c r="EI538" s="538"/>
      <c r="EN538" s="538"/>
      <c r="EO538" s="538"/>
      <c r="EP538" s="538"/>
      <c r="EQ538" s="538"/>
      <c r="ER538" s="538"/>
    </row>
    <row r="539" spans="129:148" s="108" customFormat="1" x14ac:dyDescent="0.3">
      <c r="DY539" s="538"/>
      <c r="ED539" s="538"/>
      <c r="EI539" s="538"/>
      <c r="EN539" s="538"/>
      <c r="EO539" s="538"/>
      <c r="EP539" s="538"/>
      <c r="EQ539" s="538"/>
      <c r="ER539" s="538"/>
    </row>
    <row r="540" spans="129:148" s="108" customFormat="1" x14ac:dyDescent="0.3">
      <c r="DY540" s="538"/>
      <c r="ED540" s="538"/>
      <c r="EI540" s="538"/>
      <c r="EN540" s="538"/>
      <c r="EO540" s="538"/>
      <c r="EP540" s="538"/>
      <c r="EQ540" s="538"/>
      <c r="ER540" s="538"/>
    </row>
    <row r="541" spans="129:148" s="108" customFormat="1" x14ac:dyDescent="0.3">
      <c r="DY541" s="538"/>
      <c r="ED541" s="538"/>
      <c r="EI541" s="538"/>
      <c r="EN541" s="538"/>
      <c r="EO541" s="538"/>
      <c r="EP541" s="538"/>
      <c r="EQ541" s="538"/>
      <c r="ER541" s="538"/>
    </row>
    <row r="542" spans="129:148" s="108" customFormat="1" x14ac:dyDescent="0.3">
      <c r="DY542" s="538"/>
      <c r="ED542" s="538"/>
      <c r="EI542" s="538"/>
      <c r="EN542" s="538"/>
      <c r="EO542" s="538"/>
      <c r="EP542" s="538"/>
      <c r="EQ542" s="538"/>
      <c r="ER542" s="538"/>
    </row>
    <row r="543" spans="129:148" s="108" customFormat="1" x14ac:dyDescent="0.3">
      <c r="DY543" s="538"/>
      <c r="ED543" s="538"/>
      <c r="EI543" s="538"/>
      <c r="EN543" s="538"/>
      <c r="EO543" s="538"/>
      <c r="EP543" s="538"/>
      <c r="EQ543" s="538"/>
      <c r="ER543" s="538"/>
    </row>
    <row r="544" spans="129:148" s="108" customFormat="1" x14ac:dyDescent="0.3">
      <c r="DY544" s="538"/>
      <c r="ED544" s="538"/>
      <c r="EI544" s="538"/>
      <c r="EN544" s="538"/>
      <c r="EO544" s="538"/>
      <c r="EP544" s="538"/>
      <c r="EQ544" s="538"/>
      <c r="ER544" s="538"/>
    </row>
    <row r="545" spans="129:148" s="108" customFormat="1" x14ac:dyDescent="0.3">
      <c r="DY545" s="538"/>
      <c r="ED545" s="538"/>
      <c r="EI545" s="538"/>
      <c r="EN545" s="538"/>
      <c r="EO545" s="538"/>
      <c r="EP545" s="538"/>
      <c r="EQ545" s="538"/>
      <c r="ER545" s="538"/>
    </row>
    <row r="546" spans="129:148" s="108" customFormat="1" x14ac:dyDescent="0.3">
      <c r="DY546" s="538"/>
      <c r="ED546" s="538"/>
      <c r="EI546" s="538"/>
      <c r="EN546" s="538"/>
      <c r="EO546" s="538"/>
      <c r="EP546" s="538"/>
      <c r="EQ546" s="538"/>
      <c r="ER546" s="538"/>
    </row>
    <row r="547" spans="129:148" s="108" customFormat="1" x14ac:dyDescent="0.3">
      <c r="DY547" s="538"/>
      <c r="ED547" s="538"/>
      <c r="EI547" s="538"/>
      <c r="EN547" s="538"/>
      <c r="EO547" s="538"/>
      <c r="EP547" s="538"/>
      <c r="EQ547" s="538"/>
      <c r="ER547" s="538"/>
    </row>
    <row r="548" spans="129:148" s="108" customFormat="1" x14ac:dyDescent="0.3">
      <c r="DY548" s="538"/>
      <c r="ED548" s="538"/>
      <c r="EI548" s="538"/>
      <c r="EN548" s="538"/>
      <c r="EO548" s="538"/>
      <c r="EP548" s="538"/>
      <c r="EQ548" s="538"/>
      <c r="ER548" s="538"/>
    </row>
    <row r="549" spans="129:148" s="108" customFormat="1" x14ac:dyDescent="0.3">
      <c r="DY549" s="538"/>
      <c r="ED549" s="538"/>
      <c r="EI549" s="538"/>
      <c r="EN549" s="538"/>
      <c r="EO549" s="538"/>
      <c r="EP549" s="538"/>
      <c r="EQ549" s="538"/>
      <c r="ER549" s="538"/>
    </row>
    <row r="550" spans="129:148" s="108" customFormat="1" x14ac:dyDescent="0.3">
      <c r="DY550" s="538"/>
      <c r="ED550" s="538"/>
      <c r="EI550" s="538"/>
      <c r="EN550" s="538"/>
      <c r="EO550" s="538"/>
      <c r="EP550" s="538"/>
      <c r="EQ550" s="538"/>
      <c r="ER550" s="538"/>
    </row>
    <row r="551" spans="129:148" s="108" customFormat="1" x14ac:dyDescent="0.3">
      <c r="DY551" s="538"/>
      <c r="ED551" s="538"/>
      <c r="EI551" s="538"/>
      <c r="EN551" s="538"/>
      <c r="EO551" s="538"/>
      <c r="EP551" s="538"/>
      <c r="EQ551" s="538"/>
      <c r="ER551" s="538"/>
    </row>
    <row r="552" spans="129:148" s="108" customFormat="1" x14ac:dyDescent="0.3">
      <c r="DY552" s="538"/>
      <c r="ED552" s="538"/>
      <c r="EI552" s="538"/>
      <c r="EN552" s="538"/>
      <c r="EO552" s="538"/>
      <c r="EP552" s="538"/>
      <c r="EQ552" s="538"/>
      <c r="ER552" s="538"/>
    </row>
    <row r="553" spans="129:148" s="108" customFormat="1" x14ac:dyDescent="0.3">
      <c r="DY553" s="538"/>
      <c r="ED553" s="538"/>
      <c r="EI553" s="538"/>
      <c r="EN553" s="538"/>
      <c r="EO553" s="538"/>
      <c r="EP553" s="538"/>
      <c r="EQ553" s="538"/>
      <c r="ER553" s="538"/>
    </row>
    <row r="554" spans="129:148" s="108" customFormat="1" x14ac:dyDescent="0.3">
      <c r="DY554" s="538"/>
      <c r="ED554" s="538"/>
      <c r="EI554" s="538"/>
      <c r="EN554" s="538"/>
      <c r="EO554" s="538"/>
      <c r="EP554" s="538"/>
      <c r="EQ554" s="538"/>
      <c r="ER554" s="538"/>
    </row>
    <row r="555" spans="129:148" s="108" customFormat="1" x14ac:dyDescent="0.3">
      <c r="DY555" s="538"/>
      <c r="ED555" s="538"/>
      <c r="EI555" s="538"/>
      <c r="EN555" s="538"/>
      <c r="EO555" s="538"/>
      <c r="EP555" s="538"/>
      <c r="EQ555" s="538"/>
      <c r="ER555" s="538"/>
    </row>
    <row r="556" spans="129:148" s="108" customFormat="1" x14ac:dyDescent="0.3">
      <c r="DY556" s="538"/>
      <c r="ED556" s="538"/>
      <c r="EI556" s="538"/>
      <c r="EN556" s="538"/>
      <c r="EO556" s="538"/>
      <c r="EP556" s="538"/>
      <c r="EQ556" s="538"/>
      <c r="ER556" s="538"/>
    </row>
    <row r="557" spans="129:148" s="108" customFormat="1" x14ac:dyDescent="0.3">
      <c r="DY557" s="538"/>
      <c r="ED557" s="538"/>
      <c r="EI557" s="538"/>
      <c r="EN557" s="538"/>
      <c r="EO557" s="538"/>
      <c r="EP557" s="538"/>
      <c r="EQ557" s="538"/>
      <c r="ER557" s="538"/>
    </row>
    <row r="558" spans="129:148" s="108" customFormat="1" x14ac:dyDescent="0.3">
      <c r="DY558" s="538"/>
      <c r="ED558" s="538"/>
      <c r="EI558" s="538"/>
      <c r="EN558" s="538"/>
      <c r="EO558" s="538"/>
      <c r="EP558" s="538"/>
      <c r="EQ558" s="538"/>
      <c r="ER558" s="538"/>
    </row>
    <row r="559" spans="129:148" s="108" customFormat="1" x14ac:dyDescent="0.3">
      <c r="DY559" s="538"/>
      <c r="ED559" s="538"/>
      <c r="EI559" s="538"/>
      <c r="EN559" s="538"/>
      <c r="EO559" s="538"/>
      <c r="EP559" s="538"/>
      <c r="EQ559" s="538"/>
      <c r="ER559" s="538"/>
    </row>
    <row r="560" spans="129:148" s="108" customFormat="1" x14ac:dyDescent="0.3">
      <c r="DY560" s="538"/>
      <c r="ED560" s="538"/>
      <c r="EI560" s="538"/>
      <c r="EN560" s="538"/>
      <c r="EO560" s="538"/>
      <c r="EP560" s="538"/>
      <c r="EQ560" s="538"/>
      <c r="ER560" s="538"/>
    </row>
    <row r="561" spans="129:148" s="108" customFormat="1" x14ac:dyDescent="0.3">
      <c r="DY561" s="538"/>
      <c r="ED561" s="538"/>
      <c r="EI561" s="538"/>
      <c r="EN561" s="538"/>
      <c r="EO561" s="538"/>
      <c r="EP561" s="538"/>
      <c r="EQ561" s="538"/>
      <c r="ER561" s="538"/>
    </row>
    <row r="562" spans="129:148" s="108" customFormat="1" x14ac:dyDescent="0.3">
      <c r="DY562" s="538"/>
      <c r="ED562" s="538"/>
      <c r="EI562" s="538"/>
      <c r="EN562" s="538"/>
      <c r="EO562" s="538"/>
      <c r="EP562" s="538"/>
      <c r="EQ562" s="538"/>
      <c r="ER562" s="538"/>
    </row>
    <row r="563" spans="129:148" s="108" customFormat="1" x14ac:dyDescent="0.3">
      <c r="DY563" s="538"/>
      <c r="ED563" s="538"/>
      <c r="EI563" s="538"/>
      <c r="EN563" s="538"/>
      <c r="EO563" s="538"/>
      <c r="EP563" s="538"/>
      <c r="EQ563" s="538"/>
      <c r="ER563" s="538"/>
    </row>
    <row r="564" spans="129:148" s="108" customFormat="1" x14ac:dyDescent="0.3">
      <c r="DY564" s="538"/>
      <c r="ED564" s="538"/>
      <c r="EI564" s="538"/>
      <c r="EN564" s="538"/>
      <c r="EO564" s="538"/>
      <c r="EP564" s="538"/>
      <c r="EQ564" s="538"/>
      <c r="ER564" s="538"/>
    </row>
    <row r="565" spans="129:148" s="108" customFormat="1" x14ac:dyDescent="0.3">
      <c r="DY565" s="538"/>
      <c r="ED565" s="538"/>
      <c r="EI565" s="538"/>
      <c r="EN565" s="538"/>
      <c r="EO565" s="538"/>
      <c r="EP565" s="538"/>
      <c r="EQ565" s="538"/>
      <c r="ER565" s="538"/>
    </row>
    <row r="566" spans="129:148" s="108" customFormat="1" x14ac:dyDescent="0.3">
      <c r="DY566" s="538"/>
      <c r="ED566" s="538"/>
      <c r="EI566" s="538"/>
      <c r="EN566" s="538"/>
      <c r="EO566" s="538"/>
      <c r="EP566" s="538"/>
      <c r="EQ566" s="538"/>
      <c r="ER566" s="538"/>
    </row>
    <row r="567" spans="129:148" s="108" customFormat="1" x14ac:dyDescent="0.3">
      <c r="DY567" s="538"/>
      <c r="ED567" s="538"/>
      <c r="EI567" s="538"/>
      <c r="EN567" s="538"/>
      <c r="EO567" s="538"/>
      <c r="EP567" s="538"/>
      <c r="EQ567" s="538"/>
      <c r="ER567" s="538"/>
    </row>
    <row r="568" spans="129:148" s="108" customFormat="1" x14ac:dyDescent="0.3">
      <c r="DY568" s="538"/>
      <c r="ED568" s="538"/>
      <c r="EI568" s="538"/>
      <c r="EN568" s="538"/>
      <c r="EO568" s="538"/>
      <c r="EP568" s="538"/>
      <c r="EQ568" s="538"/>
      <c r="ER568" s="538"/>
    </row>
    <row r="569" spans="129:148" s="108" customFormat="1" x14ac:dyDescent="0.3">
      <c r="DY569" s="538"/>
      <c r="ED569" s="538"/>
      <c r="EI569" s="538"/>
      <c r="EN569" s="538"/>
      <c r="EO569" s="538"/>
      <c r="EP569" s="538"/>
      <c r="EQ569" s="538"/>
      <c r="ER569" s="538"/>
    </row>
    <row r="570" spans="129:148" s="108" customFormat="1" x14ac:dyDescent="0.3">
      <c r="DY570" s="538"/>
      <c r="ED570" s="538"/>
      <c r="EI570" s="538"/>
      <c r="EN570" s="538"/>
      <c r="EO570" s="538"/>
      <c r="EP570" s="538"/>
      <c r="EQ570" s="538"/>
      <c r="ER570" s="538"/>
    </row>
    <row r="571" spans="129:148" s="108" customFormat="1" x14ac:dyDescent="0.3">
      <c r="DY571" s="538"/>
      <c r="ED571" s="538"/>
      <c r="EI571" s="538"/>
      <c r="EN571" s="538"/>
      <c r="EO571" s="538"/>
      <c r="EP571" s="538"/>
      <c r="EQ571" s="538"/>
      <c r="ER571" s="538"/>
    </row>
    <row r="572" spans="129:148" s="108" customFormat="1" x14ac:dyDescent="0.3">
      <c r="DY572" s="538"/>
      <c r="ED572" s="538"/>
      <c r="EI572" s="538"/>
      <c r="EN572" s="538"/>
      <c r="EO572" s="538"/>
      <c r="EP572" s="538"/>
      <c r="EQ572" s="538"/>
      <c r="ER572" s="538"/>
    </row>
    <row r="573" spans="129:148" s="108" customFormat="1" x14ac:dyDescent="0.3">
      <c r="DY573" s="538"/>
      <c r="ED573" s="538"/>
      <c r="EI573" s="538"/>
      <c r="EN573" s="538"/>
      <c r="EO573" s="538"/>
      <c r="EP573" s="538"/>
      <c r="EQ573" s="538"/>
      <c r="ER573" s="538"/>
    </row>
    <row r="574" spans="129:148" s="108" customFormat="1" x14ac:dyDescent="0.3">
      <c r="DY574" s="538"/>
      <c r="ED574" s="538"/>
      <c r="EI574" s="538"/>
      <c r="EN574" s="538"/>
      <c r="EO574" s="538"/>
      <c r="EP574" s="538"/>
      <c r="EQ574" s="538"/>
      <c r="ER574" s="538"/>
    </row>
    <row r="575" spans="129:148" s="108" customFormat="1" x14ac:dyDescent="0.3">
      <c r="DY575" s="538"/>
      <c r="ED575" s="538"/>
      <c r="EI575" s="538"/>
      <c r="EN575" s="538"/>
      <c r="EO575" s="538"/>
      <c r="EP575" s="538"/>
      <c r="EQ575" s="538"/>
      <c r="ER575" s="538"/>
    </row>
    <row r="576" spans="129:148" s="108" customFormat="1" x14ac:dyDescent="0.3">
      <c r="DY576" s="538"/>
      <c r="ED576" s="538"/>
      <c r="EI576" s="538"/>
      <c r="EN576" s="538"/>
      <c r="EO576" s="538"/>
      <c r="EP576" s="538"/>
      <c r="EQ576" s="538"/>
      <c r="ER576" s="538"/>
    </row>
    <row r="577" spans="129:148" s="108" customFormat="1" x14ac:dyDescent="0.3">
      <c r="DY577" s="538"/>
      <c r="ED577" s="538"/>
      <c r="EI577" s="538"/>
      <c r="EN577" s="538"/>
      <c r="EO577" s="538"/>
      <c r="EP577" s="538"/>
      <c r="EQ577" s="538"/>
      <c r="ER577" s="538"/>
    </row>
    <row r="578" spans="129:148" s="108" customFormat="1" x14ac:dyDescent="0.3">
      <c r="DY578" s="538"/>
      <c r="ED578" s="538"/>
      <c r="EI578" s="538"/>
      <c r="EN578" s="538"/>
      <c r="EO578" s="538"/>
      <c r="EP578" s="538"/>
      <c r="EQ578" s="538"/>
      <c r="ER578" s="538"/>
    </row>
    <row r="579" spans="129:148" s="108" customFormat="1" x14ac:dyDescent="0.3">
      <c r="DY579" s="538"/>
      <c r="ED579" s="538"/>
      <c r="EI579" s="538"/>
      <c r="EN579" s="538"/>
      <c r="EO579" s="538"/>
      <c r="EP579" s="538"/>
      <c r="EQ579" s="538"/>
      <c r="ER579" s="538"/>
    </row>
    <row r="580" spans="129:148" s="108" customFormat="1" x14ac:dyDescent="0.3">
      <c r="DY580" s="538"/>
      <c r="ED580" s="538"/>
      <c r="EI580" s="538"/>
      <c r="EN580" s="538"/>
      <c r="EO580" s="538"/>
      <c r="EP580" s="538"/>
      <c r="EQ580" s="538"/>
      <c r="ER580" s="538"/>
    </row>
    <row r="581" spans="129:148" s="108" customFormat="1" x14ac:dyDescent="0.3">
      <c r="DY581" s="538"/>
      <c r="ED581" s="538"/>
      <c r="EI581" s="538"/>
      <c r="EN581" s="538"/>
      <c r="EO581" s="538"/>
      <c r="EP581" s="538"/>
      <c r="EQ581" s="538"/>
      <c r="ER581" s="538"/>
    </row>
    <row r="582" spans="129:148" s="108" customFormat="1" x14ac:dyDescent="0.3">
      <c r="DY582" s="538"/>
      <c r="ED582" s="538"/>
      <c r="EI582" s="538"/>
      <c r="EN582" s="538"/>
      <c r="EO582" s="538"/>
      <c r="EP582" s="538"/>
      <c r="EQ582" s="538"/>
      <c r="ER582" s="538"/>
    </row>
    <row r="583" spans="129:148" s="108" customFormat="1" x14ac:dyDescent="0.3">
      <c r="DY583" s="538"/>
      <c r="ED583" s="538"/>
      <c r="EI583" s="538"/>
      <c r="EN583" s="538"/>
      <c r="EO583" s="538"/>
      <c r="EP583" s="538"/>
      <c r="EQ583" s="538"/>
      <c r="ER583" s="538"/>
    </row>
    <row r="584" spans="129:148" s="108" customFormat="1" x14ac:dyDescent="0.3">
      <c r="DY584" s="538"/>
      <c r="ED584" s="538"/>
      <c r="EI584" s="538"/>
      <c r="EN584" s="538"/>
      <c r="EO584" s="538"/>
      <c r="EP584" s="538"/>
      <c r="EQ584" s="538"/>
      <c r="ER584" s="538"/>
    </row>
    <row r="585" spans="129:148" s="108" customFormat="1" x14ac:dyDescent="0.3">
      <c r="DY585" s="538"/>
      <c r="ED585" s="538"/>
      <c r="EI585" s="538"/>
      <c r="EN585" s="538"/>
      <c r="EO585" s="538"/>
      <c r="EP585" s="538"/>
      <c r="EQ585" s="538"/>
      <c r="ER585" s="538"/>
    </row>
    <row r="586" spans="129:148" s="108" customFormat="1" x14ac:dyDescent="0.3">
      <c r="DY586" s="538"/>
      <c r="ED586" s="538"/>
      <c r="EI586" s="538"/>
      <c r="EN586" s="538"/>
      <c r="EO586" s="538"/>
      <c r="EP586" s="538"/>
      <c r="EQ586" s="538"/>
      <c r="ER586" s="538"/>
    </row>
    <row r="587" spans="129:148" s="108" customFormat="1" x14ac:dyDescent="0.3">
      <c r="DY587" s="538"/>
      <c r="ED587" s="538"/>
      <c r="EI587" s="538"/>
      <c r="EN587" s="538"/>
      <c r="EO587" s="538"/>
      <c r="EP587" s="538"/>
      <c r="EQ587" s="538"/>
      <c r="ER587" s="538"/>
    </row>
    <row r="588" spans="129:148" s="108" customFormat="1" x14ac:dyDescent="0.3">
      <c r="DY588" s="538"/>
      <c r="ED588" s="538"/>
      <c r="EI588" s="538"/>
      <c r="EN588" s="538"/>
      <c r="EO588" s="538"/>
      <c r="EP588" s="538"/>
      <c r="EQ588" s="538"/>
      <c r="ER588" s="538"/>
    </row>
    <row r="589" spans="129:148" s="108" customFormat="1" x14ac:dyDescent="0.3">
      <c r="DY589" s="538"/>
      <c r="ED589" s="538"/>
      <c r="EI589" s="538"/>
      <c r="EN589" s="538"/>
      <c r="EO589" s="538"/>
      <c r="EP589" s="538"/>
      <c r="EQ589" s="538"/>
      <c r="ER589" s="538"/>
    </row>
    <row r="590" spans="129:148" s="108" customFormat="1" x14ac:dyDescent="0.3">
      <c r="DY590" s="538"/>
      <c r="ED590" s="538"/>
      <c r="EI590" s="538"/>
      <c r="EN590" s="538"/>
      <c r="EO590" s="538"/>
      <c r="EP590" s="538"/>
      <c r="EQ590" s="538"/>
      <c r="ER590" s="538"/>
    </row>
    <row r="591" spans="129:148" s="108" customFormat="1" x14ac:dyDescent="0.3">
      <c r="DY591" s="538"/>
      <c r="ED591" s="538"/>
      <c r="EI591" s="538"/>
      <c r="EN591" s="538"/>
      <c r="EO591" s="538"/>
      <c r="EP591" s="538"/>
      <c r="EQ591" s="538"/>
      <c r="ER591" s="538"/>
    </row>
    <row r="592" spans="129:148" s="108" customFormat="1" x14ac:dyDescent="0.3">
      <c r="DY592" s="538"/>
      <c r="ED592" s="538"/>
      <c r="EI592" s="538"/>
      <c r="EN592" s="538"/>
      <c r="EO592" s="538"/>
      <c r="EP592" s="538"/>
      <c r="EQ592" s="538"/>
      <c r="ER592" s="538"/>
    </row>
    <row r="593" spans="129:148" s="108" customFormat="1" x14ac:dyDescent="0.3">
      <c r="DY593" s="538"/>
      <c r="ED593" s="538"/>
      <c r="EI593" s="538"/>
      <c r="EN593" s="538"/>
      <c r="EO593" s="538"/>
      <c r="EP593" s="538"/>
      <c r="EQ593" s="538"/>
      <c r="ER593" s="538"/>
    </row>
    <row r="594" spans="129:148" s="108" customFormat="1" x14ac:dyDescent="0.3">
      <c r="DY594" s="538"/>
      <c r="ED594" s="538"/>
      <c r="EI594" s="538"/>
      <c r="EN594" s="538"/>
      <c r="EO594" s="538"/>
      <c r="EP594" s="538"/>
      <c r="EQ594" s="538"/>
      <c r="ER594" s="538"/>
    </row>
    <row r="595" spans="129:148" s="108" customFormat="1" x14ac:dyDescent="0.3">
      <c r="DY595" s="538"/>
      <c r="ED595" s="538"/>
      <c r="EI595" s="538"/>
      <c r="EN595" s="538"/>
      <c r="EO595" s="538"/>
      <c r="EP595" s="538"/>
      <c r="EQ595" s="538"/>
      <c r="ER595" s="538"/>
    </row>
    <row r="596" spans="129:148" s="108" customFormat="1" x14ac:dyDescent="0.3">
      <c r="DY596" s="538"/>
      <c r="ED596" s="538"/>
      <c r="EI596" s="538"/>
      <c r="EN596" s="538"/>
      <c r="EO596" s="538"/>
      <c r="EP596" s="538"/>
      <c r="EQ596" s="538"/>
      <c r="ER596" s="538"/>
    </row>
    <row r="597" spans="129:148" s="108" customFormat="1" x14ac:dyDescent="0.3">
      <c r="DY597" s="538"/>
      <c r="ED597" s="538"/>
      <c r="EI597" s="538"/>
      <c r="EN597" s="538"/>
      <c r="EO597" s="538"/>
      <c r="EP597" s="538"/>
      <c r="EQ597" s="538"/>
      <c r="ER597" s="538"/>
    </row>
    <row r="598" spans="129:148" s="108" customFormat="1" x14ac:dyDescent="0.3">
      <c r="DY598" s="538"/>
      <c r="ED598" s="538"/>
      <c r="EI598" s="538"/>
      <c r="EN598" s="538"/>
      <c r="EO598" s="538"/>
      <c r="EP598" s="538"/>
      <c r="EQ598" s="538"/>
      <c r="ER598" s="538"/>
    </row>
    <row r="599" spans="129:148" s="108" customFormat="1" x14ac:dyDescent="0.3">
      <c r="DY599" s="538"/>
      <c r="ED599" s="538"/>
      <c r="EI599" s="538"/>
      <c r="EN599" s="538"/>
      <c r="EO599" s="538"/>
      <c r="EP599" s="538"/>
      <c r="EQ599" s="538"/>
      <c r="ER599" s="538"/>
    </row>
    <row r="600" spans="129:148" s="108" customFormat="1" x14ac:dyDescent="0.3">
      <c r="DY600" s="538"/>
      <c r="ED600" s="538"/>
      <c r="EI600" s="538"/>
      <c r="EN600" s="538"/>
      <c r="EO600" s="538"/>
      <c r="EP600" s="538"/>
      <c r="EQ600" s="538"/>
      <c r="ER600" s="538"/>
    </row>
    <row r="601" spans="129:148" s="108" customFormat="1" x14ac:dyDescent="0.3">
      <c r="DY601" s="538"/>
      <c r="ED601" s="538"/>
      <c r="EI601" s="538"/>
      <c r="EN601" s="538"/>
      <c r="EO601" s="538"/>
      <c r="EP601" s="538"/>
      <c r="EQ601" s="538"/>
      <c r="ER601" s="538"/>
    </row>
    <row r="602" spans="129:148" s="108" customFormat="1" x14ac:dyDescent="0.3">
      <c r="DY602" s="538"/>
      <c r="ED602" s="538"/>
      <c r="EI602" s="538"/>
      <c r="EN602" s="538"/>
      <c r="EO602" s="538"/>
      <c r="EP602" s="538"/>
      <c r="EQ602" s="538"/>
      <c r="ER602" s="538"/>
    </row>
    <row r="603" spans="129:148" s="108" customFormat="1" x14ac:dyDescent="0.3">
      <c r="DY603" s="538"/>
      <c r="ED603" s="538"/>
      <c r="EI603" s="538"/>
      <c r="EN603" s="538"/>
      <c r="EO603" s="538"/>
      <c r="EP603" s="538"/>
      <c r="EQ603" s="538"/>
      <c r="ER603" s="538"/>
    </row>
    <row r="604" spans="129:148" s="108" customFormat="1" x14ac:dyDescent="0.3">
      <c r="DY604" s="538"/>
      <c r="ED604" s="538"/>
      <c r="EI604" s="538"/>
      <c r="EN604" s="538"/>
      <c r="EO604" s="538"/>
      <c r="EP604" s="538"/>
      <c r="EQ604" s="538"/>
      <c r="ER604" s="538"/>
    </row>
    <row r="605" spans="129:148" s="108" customFormat="1" x14ac:dyDescent="0.3">
      <c r="DY605" s="538"/>
      <c r="ED605" s="538"/>
      <c r="EI605" s="538"/>
      <c r="EN605" s="538"/>
      <c r="EO605" s="538"/>
      <c r="EP605" s="538"/>
      <c r="EQ605" s="538"/>
      <c r="ER605" s="538"/>
    </row>
    <row r="606" spans="129:148" s="108" customFormat="1" x14ac:dyDescent="0.3">
      <c r="DY606" s="538"/>
      <c r="ED606" s="538"/>
      <c r="EI606" s="538"/>
      <c r="EN606" s="538"/>
      <c r="EO606" s="538"/>
      <c r="EP606" s="538"/>
      <c r="EQ606" s="538"/>
      <c r="ER606" s="538"/>
    </row>
    <row r="607" spans="129:148" s="108" customFormat="1" x14ac:dyDescent="0.3">
      <c r="DY607" s="538"/>
      <c r="ED607" s="538"/>
      <c r="EI607" s="538"/>
      <c r="EN607" s="538"/>
      <c r="EO607" s="538"/>
      <c r="EP607" s="538"/>
      <c r="EQ607" s="538"/>
      <c r="ER607" s="538"/>
    </row>
    <row r="608" spans="129:148" s="108" customFormat="1" x14ac:dyDescent="0.3">
      <c r="DY608" s="538"/>
      <c r="ED608" s="538"/>
      <c r="EI608" s="538"/>
      <c r="EN608" s="538"/>
      <c r="EO608" s="538"/>
      <c r="EP608" s="538"/>
      <c r="EQ608" s="538"/>
      <c r="ER608" s="538"/>
    </row>
    <row r="609" spans="129:148" s="108" customFormat="1" x14ac:dyDescent="0.3">
      <c r="DY609" s="538"/>
      <c r="ED609" s="538"/>
      <c r="EI609" s="538"/>
      <c r="EN609" s="538"/>
      <c r="EO609" s="538"/>
      <c r="EP609" s="538"/>
      <c r="EQ609" s="538"/>
      <c r="ER609" s="538"/>
    </row>
    <row r="610" spans="129:148" s="108" customFormat="1" x14ac:dyDescent="0.3">
      <c r="DY610" s="538"/>
      <c r="ED610" s="538"/>
      <c r="EI610" s="538"/>
      <c r="EN610" s="538"/>
      <c r="EO610" s="538"/>
      <c r="EP610" s="538"/>
      <c r="EQ610" s="538"/>
      <c r="ER610" s="538"/>
    </row>
    <row r="611" spans="129:148" s="108" customFormat="1" x14ac:dyDescent="0.3">
      <c r="DY611" s="538"/>
      <c r="ED611" s="538"/>
      <c r="EI611" s="538"/>
      <c r="EN611" s="538"/>
      <c r="EO611" s="538"/>
      <c r="EP611" s="538"/>
      <c r="EQ611" s="538"/>
      <c r="ER611" s="538"/>
    </row>
    <row r="612" spans="129:148" s="108" customFormat="1" x14ac:dyDescent="0.3">
      <c r="DY612" s="538"/>
      <c r="ED612" s="538"/>
      <c r="EI612" s="538"/>
      <c r="EN612" s="538"/>
      <c r="EO612" s="538"/>
      <c r="EP612" s="538"/>
      <c r="EQ612" s="538"/>
      <c r="ER612" s="538"/>
    </row>
    <row r="613" spans="129:148" s="108" customFormat="1" x14ac:dyDescent="0.3">
      <c r="DY613" s="538"/>
      <c r="ED613" s="538"/>
      <c r="EI613" s="538"/>
      <c r="EN613" s="538"/>
      <c r="EO613" s="538"/>
      <c r="EP613" s="538"/>
      <c r="EQ613" s="538"/>
      <c r="ER613" s="538"/>
    </row>
    <row r="614" spans="129:148" s="108" customFormat="1" x14ac:dyDescent="0.3">
      <c r="DY614" s="538"/>
      <c r="ED614" s="538"/>
      <c r="EI614" s="538"/>
      <c r="EN614" s="538"/>
      <c r="EO614" s="538"/>
      <c r="EP614" s="538"/>
      <c r="EQ614" s="538"/>
      <c r="ER614" s="538"/>
    </row>
    <row r="615" spans="129:148" s="108" customFormat="1" x14ac:dyDescent="0.3">
      <c r="DY615" s="538"/>
      <c r="ED615" s="538"/>
      <c r="EI615" s="538"/>
      <c r="EN615" s="538"/>
      <c r="EO615" s="538"/>
      <c r="EP615" s="538"/>
      <c r="EQ615" s="538"/>
      <c r="ER615" s="538"/>
    </row>
    <row r="616" spans="129:148" s="108" customFormat="1" x14ac:dyDescent="0.3">
      <c r="DY616" s="538"/>
      <c r="ED616" s="538"/>
      <c r="EI616" s="538"/>
      <c r="EN616" s="538"/>
      <c r="EO616" s="538"/>
      <c r="EP616" s="538"/>
      <c r="EQ616" s="538"/>
      <c r="ER616" s="538"/>
    </row>
    <row r="617" spans="129:148" s="108" customFormat="1" x14ac:dyDescent="0.3">
      <c r="DY617" s="538"/>
      <c r="ED617" s="538"/>
      <c r="EI617" s="538"/>
      <c r="EN617" s="538"/>
      <c r="EO617" s="538"/>
      <c r="EP617" s="538"/>
      <c r="EQ617" s="538"/>
      <c r="ER617" s="538"/>
    </row>
    <row r="618" spans="129:148" s="108" customFormat="1" x14ac:dyDescent="0.3">
      <c r="DY618" s="538"/>
      <c r="ED618" s="538"/>
      <c r="EI618" s="538"/>
      <c r="EN618" s="538"/>
      <c r="EO618" s="538"/>
      <c r="EP618" s="538"/>
      <c r="EQ618" s="538"/>
      <c r="ER618" s="538"/>
    </row>
    <row r="619" spans="129:148" s="108" customFormat="1" x14ac:dyDescent="0.3">
      <c r="DY619" s="538"/>
      <c r="ED619" s="538"/>
      <c r="EI619" s="538"/>
      <c r="EN619" s="538"/>
      <c r="EO619" s="538"/>
      <c r="EP619" s="538"/>
      <c r="EQ619" s="538"/>
      <c r="ER619" s="538"/>
    </row>
    <row r="620" spans="129:148" s="108" customFormat="1" x14ac:dyDescent="0.3">
      <c r="DY620" s="538"/>
      <c r="ED620" s="538"/>
      <c r="EI620" s="538"/>
      <c r="EN620" s="538"/>
      <c r="EO620" s="538"/>
      <c r="EP620" s="538"/>
      <c r="EQ620" s="538"/>
      <c r="ER620" s="538"/>
    </row>
    <row r="621" spans="129:148" s="108" customFormat="1" x14ac:dyDescent="0.3">
      <c r="DY621" s="538"/>
      <c r="ED621" s="538"/>
      <c r="EI621" s="538"/>
      <c r="EN621" s="538"/>
      <c r="EO621" s="538"/>
      <c r="EP621" s="538"/>
      <c r="EQ621" s="538"/>
      <c r="ER621" s="538"/>
    </row>
    <row r="622" spans="129:148" s="108" customFormat="1" x14ac:dyDescent="0.3">
      <c r="DY622" s="538"/>
      <c r="ED622" s="538"/>
      <c r="EI622" s="538"/>
      <c r="EN622" s="538"/>
      <c r="EO622" s="538"/>
      <c r="EP622" s="538"/>
      <c r="EQ622" s="538"/>
      <c r="ER622" s="538"/>
    </row>
    <row r="623" spans="129:148" s="108" customFormat="1" x14ac:dyDescent="0.3">
      <c r="DY623" s="538"/>
      <c r="ED623" s="538"/>
      <c r="EI623" s="538"/>
      <c r="EN623" s="538"/>
      <c r="EO623" s="538"/>
      <c r="EP623" s="538"/>
      <c r="EQ623" s="538"/>
      <c r="ER623" s="538"/>
    </row>
    <row r="624" spans="129:148" s="108" customFormat="1" x14ac:dyDescent="0.3">
      <c r="DY624" s="538"/>
      <c r="ED624" s="538"/>
      <c r="EI624" s="538"/>
      <c r="EN624" s="538"/>
      <c r="EO624" s="538"/>
      <c r="EP624" s="538"/>
      <c r="EQ624" s="538"/>
      <c r="ER624" s="538"/>
    </row>
    <row r="625" spans="129:148" s="108" customFormat="1" x14ac:dyDescent="0.3">
      <c r="DY625" s="538"/>
      <c r="ED625" s="538"/>
      <c r="EI625" s="538"/>
      <c r="EN625" s="538"/>
      <c r="EO625" s="538"/>
      <c r="EP625" s="538"/>
      <c r="EQ625" s="538"/>
      <c r="ER625" s="538"/>
    </row>
    <row r="626" spans="129:148" s="108" customFormat="1" x14ac:dyDescent="0.3">
      <c r="DY626" s="538"/>
      <c r="ED626" s="538"/>
      <c r="EI626" s="538"/>
      <c r="EN626" s="538"/>
      <c r="EO626" s="538"/>
      <c r="EP626" s="538"/>
      <c r="EQ626" s="538"/>
      <c r="ER626" s="538"/>
    </row>
    <row r="627" spans="129:148" s="108" customFormat="1" x14ac:dyDescent="0.3">
      <c r="DY627" s="538"/>
      <c r="ED627" s="538"/>
      <c r="EI627" s="538"/>
      <c r="EN627" s="538"/>
      <c r="EO627" s="538"/>
      <c r="EP627" s="538"/>
      <c r="EQ627" s="538"/>
      <c r="ER627" s="538"/>
    </row>
    <row r="628" spans="129:148" s="108" customFormat="1" x14ac:dyDescent="0.3">
      <c r="DY628" s="538"/>
      <c r="ED628" s="538"/>
      <c r="EI628" s="538"/>
      <c r="EN628" s="538"/>
      <c r="EO628" s="538"/>
      <c r="EP628" s="538"/>
      <c r="EQ628" s="538"/>
      <c r="ER628" s="538"/>
    </row>
    <row r="629" spans="129:148" s="108" customFormat="1" x14ac:dyDescent="0.3">
      <c r="DY629" s="538"/>
      <c r="ED629" s="538"/>
      <c r="EI629" s="538"/>
      <c r="EN629" s="538"/>
      <c r="EO629" s="538"/>
      <c r="EP629" s="538"/>
      <c r="EQ629" s="538"/>
      <c r="ER629" s="538"/>
    </row>
    <row r="630" spans="129:148" s="108" customFormat="1" x14ac:dyDescent="0.3">
      <c r="DY630" s="538"/>
      <c r="ED630" s="538"/>
      <c r="EI630" s="538"/>
      <c r="EN630" s="538"/>
      <c r="EO630" s="538"/>
      <c r="EP630" s="538"/>
      <c r="EQ630" s="538"/>
      <c r="ER630" s="538"/>
    </row>
    <row r="631" spans="129:148" s="108" customFormat="1" x14ac:dyDescent="0.3">
      <c r="DY631" s="538"/>
      <c r="ED631" s="538"/>
      <c r="EI631" s="538"/>
      <c r="EN631" s="538"/>
      <c r="EO631" s="538"/>
      <c r="EP631" s="538"/>
      <c r="EQ631" s="538"/>
      <c r="ER631" s="538"/>
    </row>
    <row r="632" spans="129:148" s="108" customFormat="1" x14ac:dyDescent="0.3">
      <c r="DY632" s="538"/>
      <c r="ED632" s="538"/>
      <c r="EI632" s="538"/>
      <c r="EN632" s="538"/>
      <c r="EO632" s="538"/>
      <c r="EP632" s="538"/>
      <c r="EQ632" s="538"/>
      <c r="ER632" s="538"/>
    </row>
    <row r="633" spans="129:148" s="108" customFormat="1" x14ac:dyDescent="0.3">
      <c r="DY633" s="538"/>
      <c r="ED633" s="538"/>
      <c r="EI633" s="538"/>
      <c r="EN633" s="538"/>
      <c r="EO633" s="538"/>
      <c r="EP633" s="538"/>
      <c r="EQ633" s="538"/>
      <c r="ER633" s="538"/>
    </row>
    <row r="634" spans="129:148" s="108" customFormat="1" x14ac:dyDescent="0.3">
      <c r="DY634" s="538"/>
      <c r="ED634" s="538"/>
      <c r="EI634" s="538"/>
      <c r="EN634" s="538"/>
      <c r="EO634" s="538"/>
      <c r="EP634" s="538"/>
      <c r="EQ634" s="538"/>
      <c r="ER634" s="538"/>
    </row>
    <row r="635" spans="129:148" s="108" customFormat="1" x14ac:dyDescent="0.3">
      <c r="DY635" s="538"/>
      <c r="ED635" s="538"/>
      <c r="EI635" s="538"/>
      <c r="EN635" s="538"/>
      <c r="EO635" s="538"/>
      <c r="EP635" s="538"/>
      <c r="EQ635" s="538"/>
      <c r="ER635" s="538"/>
    </row>
    <row r="636" spans="129:148" s="108" customFormat="1" x14ac:dyDescent="0.3">
      <c r="DY636" s="538"/>
      <c r="ED636" s="538"/>
      <c r="EI636" s="538"/>
      <c r="EN636" s="538"/>
      <c r="EO636" s="538"/>
      <c r="EP636" s="538"/>
      <c r="EQ636" s="538"/>
      <c r="ER636" s="538"/>
    </row>
    <row r="637" spans="129:148" s="108" customFormat="1" x14ac:dyDescent="0.3">
      <c r="DY637" s="538"/>
      <c r="ED637" s="538"/>
      <c r="EI637" s="538"/>
      <c r="EN637" s="538"/>
      <c r="EO637" s="538"/>
      <c r="EP637" s="538"/>
      <c r="EQ637" s="538"/>
      <c r="ER637" s="538"/>
    </row>
    <row r="638" spans="129:148" s="108" customFormat="1" x14ac:dyDescent="0.3">
      <c r="DY638" s="538"/>
      <c r="ED638" s="538"/>
      <c r="EI638" s="538"/>
      <c r="EN638" s="538"/>
      <c r="EO638" s="538"/>
      <c r="EP638" s="538"/>
      <c r="EQ638" s="538"/>
      <c r="ER638" s="538"/>
    </row>
    <row r="639" spans="129:148" s="108" customFormat="1" x14ac:dyDescent="0.3">
      <c r="DY639" s="538"/>
      <c r="ED639" s="538"/>
      <c r="EI639" s="538"/>
      <c r="EN639" s="538"/>
      <c r="EO639" s="538"/>
      <c r="EP639" s="538"/>
      <c r="EQ639" s="538"/>
      <c r="ER639" s="538"/>
    </row>
    <row r="640" spans="129:148" s="108" customFormat="1" x14ac:dyDescent="0.3">
      <c r="DY640" s="538"/>
      <c r="ED640" s="538"/>
      <c r="EI640" s="538"/>
      <c r="EN640" s="538"/>
      <c r="EO640" s="538"/>
      <c r="EP640" s="538"/>
      <c r="EQ640" s="538"/>
      <c r="ER640" s="538"/>
    </row>
    <row r="641" spans="129:148" s="108" customFormat="1" x14ac:dyDescent="0.3">
      <c r="DY641" s="538"/>
      <c r="ED641" s="538"/>
      <c r="EI641" s="538"/>
      <c r="EN641" s="538"/>
      <c r="EO641" s="538"/>
      <c r="EP641" s="538"/>
      <c r="EQ641" s="538"/>
      <c r="ER641" s="538"/>
    </row>
    <row r="642" spans="129:148" s="108" customFormat="1" x14ac:dyDescent="0.3">
      <c r="DY642" s="538"/>
      <c r="ED642" s="538"/>
      <c r="EI642" s="538"/>
      <c r="EN642" s="538"/>
      <c r="EO642" s="538"/>
      <c r="EP642" s="538"/>
      <c r="EQ642" s="538"/>
      <c r="ER642" s="538"/>
    </row>
    <row r="643" spans="129:148" s="108" customFormat="1" x14ac:dyDescent="0.3">
      <c r="DY643" s="538"/>
      <c r="ED643" s="538"/>
      <c r="EI643" s="538"/>
      <c r="EN643" s="538"/>
      <c r="EO643" s="538"/>
      <c r="EP643" s="538"/>
      <c r="EQ643" s="538"/>
      <c r="ER643" s="538"/>
    </row>
    <row r="644" spans="129:148" s="108" customFormat="1" x14ac:dyDescent="0.3">
      <c r="DY644" s="538"/>
      <c r="ED644" s="538"/>
      <c r="EI644" s="538"/>
      <c r="EN644" s="538"/>
      <c r="EO644" s="538"/>
      <c r="EP644" s="538"/>
      <c r="EQ644" s="538"/>
      <c r="ER644" s="538"/>
    </row>
    <row r="645" spans="129:148" s="108" customFormat="1" x14ac:dyDescent="0.3">
      <c r="DY645" s="538"/>
      <c r="ED645" s="538"/>
      <c r="EI645" s="538"/>
      <c r="EN645" s="538"/>
      <c r="EO645" s="538"/>
      <c r="EP645" s="538"/>
      <c r="EQ645" s="538"/>
      <c r="ER645" s="538"/>
    </row>
    <row r="646" spans="129:148" s="108" customFormat="1" x14ac:dyDescent="0.3">
      <c r="DY646" s="538"/>
      <c r="ED646" s="538"/>
      <c r="EI646" s="538"/>
      <c r="EN646" s="538"/>
      <c r="EO646" s="538"/>
      <c r="EP646" s="538"/>
      <c r="EQ646" s="538"/>
      <c r="ER646" s="538"/>
    </row>
    <row r="647" spans="129:148" s="108" customFormat="1" x14ac:dyDescent="0.3">
      <c r="DY647" s="538"/>
      <c r="ED647" s="538"/>
      <c r="EI647" s="538"/>
      <c r="EN647" s="538"/>
      <c r="EO647" s="538"/>
      <c r="EP647" s="538"/>
      <c r="EQ647" s="538"/>
      <c r="ER647" s="538"/>
    </row>
    <row r="648" spans="129:148" s="108" customFormat="1" x14ac:dyDescent="0.3">
      <c r="DY648" s="538"/>
      <c r="ED648" s="538"/>
      <c r="EI648" s="538"/>
      <c r="EN648" s="538"/>
      <c r="EO648" s="538"/>
      <c r="EP648" s="538"/>
      <c r="EQ648" s="538"/>
      <c r="ER648" s="538"/>
    </row>
    <row r="649" spans="129:148" s="108" customFormat="1" x14ac:dyDescent="0.3">
      <c r="DY649" s="538"/>
      <c r="ED649" s="538"/>
      <c r="EI649" s="538"/>
      <c r="EN649" s="538"/>
      <c r="EO649" s="538"/>
      <c r="EP649" s="538"/>
      <c r="EQ649" s="538"/>
      <c r="ER649" s="538"/>
    </row>
    <row r="650" spans="129:148" s="108" customFormat="1" x14ac:dyDescent="0.3">
      <c r="DY650" s="538"/>
      <c r="ED650" s="538"/>
      <c r="EI650" s="538"/>
      <c r="EN650" s="538"/>
      <c r="EO650" s="538"/>
      <c r="EP650" s="538"/>
      <c r="EQ650" s="538"/>
      <c r="ER650" s="538"/>
    </row>
    <row r="651" spans="129:148" s="108" customFormat="1" x14ac:dyDescent="0.3">
      <c r="DY651" s="538"/>
      <c r="ED651" s="538"/>
      <c r="EI651" s="538"/>
      <c r="EN651" s="538"/>
      <c r="EO651" s="538"/>
      <c r="EP651" s="538"/>
      <c r="EQ651" s="538"/>
      <c r="ER651" s="538"/>
    </row>
    <row r="652" spans="129:148" s="108" customFormat="1" x14ac:dyDescent="0.3">
      <c r="DY652" s="538"/>
      <c r="ED652" s="538"/>
      <c r="EI652" s="538"/>
      <c r="EN652" s="538"/>
      <c r="EO652" s="538"/>
      <c r="EP652" s="538"/>
      <c r="EQ652" s="538"/>
      <c r="ER652" s="538"/>
    </row>
    <row r="653" spans="129:148" s="108" customFormat="1" x14ac:dyDescent="0.3">
      <c r="DY653" s="538"/>
      <c r="ED653" s="538"/>
      <c r="EI653" s="538"/>
      <c r="EN653" s="538"/>
      <c r="EO653" s="538"/>
      <c r="EP653" s="538"/>
      <c r="EQ653" s="538"/>
      <c r="ER653" s="538"/>
    </row>
    <row r="654" spans="129:148" s="108" customFormat="1" x14ac:dyDescent="0.3">
      <c r="DY654" s="538"/>
      <c r="ED654" s="538"/>
      <c r="EI654" s="538"/>
      <c r="EN654" s="538"/>
      <c r="EO654" s="538"/>
      <c r="EP654" s="538"/>
      <c r="EQ654" s="538"/>
      <c r="ER654" s="538"/>
    </row>
    <row r="655" spans="129:148" s="108" customFormat="1" x14ac:dyDescent="0.3">
      <c r="DY655" s="538"/>
      <c r="ED655" s="538"/>
      <c r="EI655" s="538"/>
      <c r="EN655" s="538"/>
      <c r="EO655" s="538"/>
      <c r="EP655" s="538"/>
      <c r="EQ655" s="538"/>
      <c r="ER655" s="538"/>
    </row>
    <row r="656" spans="129:148" s="108" customFormat="1" x14ac:dyDescent="0.3">
      <c r="DY656" s="538"/>
      <c r="ED656" s="538"/>
      <c r="EI656" s="538"/>
      <c r="EN656" s="538"/>
      <c r="EO656" s="538"/>
      <c r="EP656" s="538"/>
      <c r="EQ656" s="538"/>
      <c r="ER656" s="538"/>
    </row>
    <row r="657" spans="129:148" s="108" customFormat="1" x14ac:dyDescent="0.3">
      <c r="DY657" s="538"/>
      <c r="ED657" s="538"/>
      <c r="EI657" s="538"/>
      <c r="EN657" s="538"/>
      <c r="EO657" s="538"/>
      <c r="EP657" s="538"/>
      <c r="EQ657" s="538"/>
      <c r="ER657" s="538"/>
    </row>
    <row r="658" spans="129:148" s="108" customFormat="1" x14ac:dyDescent="0.3">
      <c r="DY658" s="538"/>
      <c r="ED658" s="538"/>
      <c r="EI658" s="538"/>
      <c r="EN658" s="538"/>
      <c r="EO658" s="538"/>
      <c r="EP658" s="538"/>
      <c r="EQ658" s="538"/>
      <c r="ER658" s="538"/>
    </row>
    <row r="659" spans="129:148" s="108" customFormat="1" x14ac:dyDescent="0.3">
      <c r="DY659" s="538"/>
      <c r="ED659" s="538"/>
      <c r="EI659" s="538"/>
      <c r="EN659" s="538"/>
      <c r="EO659" s="538"/>
      <c r="EP659" s="538"/>
      <c r="EQ659" s="538"/>
      <c r="ER659" s="538"/>
    </row>
    <row r="660" spans="129:148" s="108" customFormat="1" x14ac:dyDescent="0.3">
      <c r="DY660" s="538"/>
      <c r="ED660" s="538"/>
      <c r="EI660" s="538"/>
      <c r="EN660" s="538"/>
      <c r="EO660" s="538"/>
      <c r="EP660" s="538"/>
      <c r="EQ660" s="538"/>
      <c r="ER660" s="538"/>
    </row>
    <row r="661" spans="129:148" s="108" customFormat="1" x14ac:dyDescent="0.3">
      <c r="DY661" s="538"/>
      <c r="ED661" s="538"/>
      <c r="EI661" s="538"/>
      <c r="EN661" s="538"/>
      <c r="EO661" s="538"/>
      <c r="EP661" s="538"/>
      <c r="EQ661" s="538"/>
      <c r="ER661" s="538"/>
    </row>
    <row r="662" spans="129:148" s="108" customFormat="1" x14ac:dyDescent="0.3">
      <c r="DY662" s="538"/>
      <c r="ED662" s="538"/>
      <c r="EI662" s="538"/>
      <c r="EN662" s="538"/>
      <c r="EO662" s="538"/>
      <c r="EP662" s="538"/>
      <c r="EQ662" s="538"/>
      <c r="ER662" s="538"/>
    </row>
    <row r="663" spans="129:148" s="108" customFormat="1" x14ac:dyDescent="0.3">
      <c r="DY663" s="538"/>
      <c r="ED663" s="538"/>
      <c r="EI663" s="538"/>
      <c r="EN663" s="538"/>
      <c r="EO663" s="538"/>
      <c r="EP663" s="538"/>
      <c r="EQ663" s="538"/>
      <c r="ER663" s="538"/>
    </row>
    <row r="664" spans="129:148" s="108" customFormat="1" x14ac:dyDescent="0.3">
      <c r="DY664" s="538"/>
      <c r="ED664" s="538"/>
      <c r="EI664" s="538"/>
      <c r="EN664" s="538"/>
      <c r="EO664" s="538"/>
      <c r="EP664" s="538"/>
      <c r="EQ664" s="538"/>
      <c r="ER664" s="538"/>
    </row>
    <row r="665" spans="129:148" s="108" customFormat="1" x14ac:dyDescent="0.3">
      <c r="DY665" s="538"/>
      <c r="ED665" s="538"/>
      <c r="EI665" s="538"/>
      <c r="EN665" s="538"/>
      <c r="EO665" s="538"/>
      <c r="EP665" s="538"/>
      <c r="EQ665" s="538"/>
      <c r="ER665" s="538"/>
    </row>
    <row r="666" spans="129:148" s="108" customFormat="1" x14ac:dyDescent="0.3">
      <c r="DY666" s="538"/>
      <c r="ED666" s="538"/>
      <c r="EI666" s="538"/>
      <c r="EN666" s="538"/>
      <c r="EO666" s="538"/>
      <c r="EP666" s="538"/>
      <c r="EQ666" s="538"/>
      <c r="ER666" s="538"/>
    </row>
    <row r="667" spans="129:148" s="108" customFormat="1" x14ac:dyDescent="0.3">
      <c r="DY667" s="538"/>
      <c r="ED667" s="538"/>
      <c r="EI667" s="538"/>
      <c r="EN667" s="538"/>
      <c r="EO667" s="538"/>
      <c r="EP667" s="538"/>
      <c r="EQ667" s="538"/>
      <c r="ER667" s="538"/>
    </row>
    <row r="668" spans="129:148" s="108" customFormat="1" x14ac:dyDescent="0.3">
      <c r="DY668" s="538"/>
      <c r="ED668" s="538"/>
      <c r="EI668" s="538"/>
      <c r="EN668" s="538"/>
      <c r="EO668" s="538"/>
      <c r="EP668" s="538"/>
      <c r="EQ668" s="538"/>
      <c r="ER668" s="538"/>
    </row>
    <row r="669" spans="129:148" s="108" customFormat="1" x14ac:dyDescent="0.3">
      <c r="DY669" s="538"/>
      <c r="ED669" s="538"/>
      <c r="EI669" s="538"/>
      <c r="EN669" s="538"/>
      <c r="EO669" s="538"/>
      <c r="EP669" s="538"/>
      <c r="EQ669" s="538"/>
      <c r="ER669" s="538"/>
    </row>
    <row r="670" spans="129:148" s="108" customFormat="1" x14ac:dyDescent="0.3">
      <c r="DY670" s="538"/>
      <c r="ED670" s="538"/>
      <c r="EI670" s="538"/>
      <c r="EN670" s="538"/>
      <c r="EO670" s="538"/>
      <c r="EP670" s="538"/>
      <c r="EQ670" s="538"/>
      <c r="ER670" s="538"/>
    </row>
    <row r="671" spans="129:148" s="108" customFormat="1" x14ac:dyDescent="0.3">
      <c r="DY671" s="538"/>
      <c r="ED671" s="538"/>
      <c r="EI671" s="538"/>
      <c r="EN671" s="538"/>
      <c r="EO671" s="538"/>
      <c r="EP671" s="538"/>
      <c r="EQ671" s="538"/>
      <c r="ER671" s="538"/>
    </row>
    <row r="672" spans="129:148" s="108" customFormat="1" x14ac:dyDescent="0.3">
      <c r="DY672" s="538"/>
      <c r="ED672" s="538"/>
      <c r="EI672" s="538"/>
      <c r="EN672" s="538"/>
      <c r="EO672" s="538"/>
      <c r="EP672" s="538"/>
      <c r="EQ672" s="538"/>
      <c r="ER672" s="538"/>
    </row>
    <row r="673" spans="129:148" s="108" customFormat="1" x14ac:dyDescent="0.3">
      <c r="DY673" s="538"/>
      <c r="ED673" s="538"/>
      <c r="EI673" s="538"/>
      <c r="EN673" s="538"/>
      <c r="EO673" s="538"/>
      <c r="EP673" s="538"/>
      <c r="EQ673" s="538"/>
      <c r="ER673" s="538"/>
    </row>
    <row r="674" spans="129:148" s="108" customFormat="1" x14ac:dyDescent="0.3">
      <c r="DY674" s="538"/>
      <c r="ED674" s="538"/>
      <c r="EI674" s="538"/>
      <c r="EN674" s="538"/>
      <c r="EO674" s="538"/>
      <c r="EP674" s="538"/>
      <c r="EQ674" s="538"/>
      <c r="ER674" s="538"/>
    </row>
    <row r="675" spans="129:148" s="108" customFormat="1" x14ac:dyDescent="0.3">
      <c r="DY675" s="538"/>
      <c r="ED675" s="538"/>
      <c r="EI675" s="538"/>
      <c r="EN675" s="538"/>
      <c r="EO675" s="538"/>
      <c r="EP675" s="538"/>
      <c r="EQ675" s="538"/>
      <c r="ER675" s="538"/>
    </row>
    <row r="676" spans="129:148" s="108" customFormat="1" x14ac:dyDescent="0.3">
      <c r="DY676" s="538"/>
      <c r="ED676" s="538"/>
      <c r="EI676" s="538"/>
      <c r="EN676" s="538"/>
      <c r="EO676" s="538"/>
      <c r="EP676" s="538"/>
      <c r="EQ676" s="538"/>
      <c r="ER676" s="538"/>
    </row>
    <row r="677" spans="129:148" s="108" customFormat="1" x14ac:dyDescent="0.3">
      <c r="DY677" s="538"/>
      <c r="ED677" s="538"/>
      <c r="EI677" s="538"/>
      <c r="EN677" s="538"/>
      <c r="EO677" s="538"/>
      <c r="EP677" s="538"/>
      <c r="EQ677" s="538"/>
      <c r="ER677" s="538"/>
    </row>
    <row r="678" spans="129:148" s="108" customFormat="1" x14ac:dyDescent="0.3">
      <c r="DY678" s="538"/>
      <c r="ED678" s="538"/>
      <c r="EI678" s="538"/>
      <c r="EN678" s="538"/>
      <c r="EO678" s="538"/>
      <c r="EP678" s="538"/>
      <c r="EQ678" s="538"/>
      <c r="ER678" s="538"/>
    </row>
    <row r="679" spans="129:148" s="108" customFormat="1" x14ac:dyDescent="0.3">
      <c r="DY679" s="538"/>
      <c r="ED679" s="538"/>
      <c r="EI679" s="538"/>
      <c r="EN679" s="538"/>
      <c r="EO679" s="538"/>
      <c r="EP679" s="538"/>
      <c r="EQ679" s="538"/>
      <c r="ER679" s="538"/>
    </row>
    <row r="680" spans="129:148" s="108" customFormat="1" x14ac:dyDescent="0.3">
      <c r="DY680" s="538"/>
      <c r="ED680" s="538"/>
      <c r="EI680" s="538"/>
      <c r="EN680" s="538"/>
      <c r="EO680" s="538"/>
      <c r="EP680" s="538"/>
      <c r="EQ680" s="538"/>
      <c r="ER680" s="538"/>
    </row>
    <row r="681" spans="129:148" s="108" customFormat="1" x14ac:dyDescent="0.3">
      <c r="DY681" s="538"/>
      <c r="ED681" s="538"/>
      <c r="EI681" s="538"/>
      <c r="EN681" s="538"/>
      <c r="EO681" s="538"/>
      <c r="EP681" s="538"/>
      <c r="EQ681" s="538"/>
      <c r="ER681" s="538"/>
    </row>
    <row r="682" spans="129:148" s="108" customFormat="1" x14ac:dyDescent="0.3">
      <c r="DY682" s="538"/>
      <c r="ED682" s="538"/>
      <c r="EI682" s="538"/>
      <c r="EN682" s="538"/>
      <c r="EO682" s="538"/>
      <c r="EP682" s="538"/>
      <c r="EQ682" s="538"/>
      <c r="ER682" s="538"/>
    </row>
    <row r="683" spans="129:148" s="108" customFormat="1" x14ac:dyDescent="0.3">
      <c r="DY683" s="538"/>
      <c r="ED683" s="538"/>
      <c r="EI683" s="538"/>
      <c r="EN683" s="538"/>
      <c r="EO683" s="538"/>
      <c r="EP683" s="538"/>
      <c r="EQ683" s="538"/>
      <c r="ER683" s="538"/>
    </row>
    <row r="684" spans="129:148" s="108" customFormat="1" x14ac:dyDescent="0.3">
      <c r="DY684" s="538"/>
      <c r="ED684" s="538"/>
      <c r="EI684" s="538"/>
      <c r="EN684" s="538"/>
      <c r="EO684" s="538"/>
      <c r="EP684" s="538"/>
      <c r="EQ684" s="538"/>
      <c r="ER684" s="538"/>
    </row>
    <row r="685" spans="129:148" s="108" customFormat="1" x14ac:dyDescent="0.3">
      <c r="DY685" s="538"/>
      <c r="ED685" s="538"/>
      <c r="EI685" s="538"/>
      <c r="EN685" s="538"/>
      <c r="EO685" s="538"/>
      <c r="EP685" s="538"/>
      <c r="EQ685" s="538"/>
      <c r="ER685" s="538"/>
    </row>
    <row r="686" spans="129:148" s="108" customFormat="1" x14ac:dyDescent="0.3">
      <c r="DY686" s="538"/>
      <c r="ED686" s="538"/>
      <c r="EI686" s="538"/>
      <c r="EN686" s="538"/>
      <c r="EO686" s="538"/>
      <c r="EP686" s="538"/>
      <c r="EQ686" s="538"/>
      <c r="ER686" s="538"/>
    </row>
    <row r="687" spans="129:148" s="108" customFormat="1" x14ac:dyDescent="0.3">
      <c r="DY687" s="538"/>
      <c r="ED687" s="538"/>
      <c r="EI687" s="538"/>
      <c r="EN687" s="538"/>
      <c r="EO687" s="538"/>
      <c r="EP687" s="538"/>
      <c r="EQ687" s="538"/>
      <c r="ER687" s="538"/>
    </row>
    <row r="688" spans="129:148" s="108" customFormat="1" x14ac:dyDescent="0.3">
      <c r="DY688" s="538"/>
      <c r="ED688" s="538"/>
      <c r="EI688" s="538"/>
      <c r="EN688" s="538"/>
      <c r="EO688" s="538"/>
      <c r="EP688" s="538"/>
      <c r="EQ688" s="538"/>
      <c r="ER688" s="538"/>
    </row>
    <row r="689" spans="129:148" s="108" customFormat="1" x14ac:dyDescent="0.3">
      <c r="DY689" s="538"/>
      <c r="ED689" s="538"/>
      <c r="EI689" s="538"/>
      <c r="EN689" s="538"/>
      <c r="EO689" s="538"/>
      <c r="EP689" s="538"/>
      <c r="EQ689" s="538"/>
      <c r="ER689" s="538"/>
    </row>
    <row r="690" spans="129:148" s="108" customFormat="1" x14ac:dyDescent="0.3">
      <c r="DY690" s="538"/>
      <c r="ED690" s="538"/>
      <c r="EI690" s="538"/>
      <c r="EN690" s="538"/>
      <c r="EO690" s="538"/>
      <c r="EP690" s="538"/>
      <c r="EQ690" s="538"/>
      <c r="ER690" s="538"/>
    </row>
    <row r="691" spans="129:148" s="108" customFormat="1" x14ac:dyDescent="0.3">
      <c r="DY691" s="538"/>
      <c r="ED691" s="538"/>
      <c r="EI691" s="538"/>
      <c r="EN691" s="538"/>
      <c r="EO691" s="538"/>
      <c r="EP691" s="538"/>
      <c r="EQ691" s="538"/>
      <c r="ER691" s="538"/>
    </row>
    <row r="692" spans="129:148" s="108" customFormat="1" x14ac:dyDescent="0.3">
      <c r="DY692" s="538"/>
      <c r="ED692" s="538"/>
      <c r="EI692" s="538"/>
      <c r="EN692" s="538"/>
      <c r="EO692" s="538"/>
      <c r="EP692" s="538"/>
      <c r="EQ692" s="538"/>
      <c r="ER692" s="538"/>
    </row>
    <row r="693" spans="129:148" s="108" customFormat="1" x14ac:dyDescent="0.3">
      <c r="DY693" s="538"/>
      <c r="ED693" s="538"/>
      <c r="EI693" s="538"/>
      <c r="EN693" s="538"/>
      <c r="EO693" s="538"/>
      <c r="EP693" s="538"/>
      <c r="EQ693" s="538"/>
      <c r="ER693" s="538"/>
    </row>
    <row r="694" spans="129:148" s="108" customFormat="1" x14ac:dyDescent="0.3">
      <c r="DY694" s="538"/>
      <c r="ED694" s="538"/>
      <c r="EI694" s="538"/>
      <c r="EN694" s="538"/>
      <c r="EO694" s="538"/>
      <c r="EP694" s="538"/>
      <c r="EQ694" s="538"/>
      <c r="ER694" s="538"/>
    </row>
    <row r="695" spans="129:148" s="108" customFormat="1" x14ac:dyDescent="0.3">
      <c r="DY695" s="538"/>
      <c r="ED695" s="538"/>
      <c r="EI695" s="538"/>
      <c r="EN695" s="538"/>
      <c r="EO695" s="538"/>
      <c r="EP695" s="538"/>
      <c r="EQ695" s="538"/>
      <c r="ER695" s="538"/>
    </row>
    <row r="696" spans="129:148" s="108" customFormat="1" x14ac:dyDescent="0.3">
      <c r="DY696" s="538"/>
      <c r="ED696" s="538"/>
      <c r="EI696" s="538"/>
      <c r="EN696" s="538"/>
      <c r="EO696" s="538"/>
      <c r="EP696" s="538"/>
      <c r="EQ696" s="538"/>
      <c r="ER696" s="538"/>
    </row>
    <row r="697" spans="129:148" s="108" customFormat="1" x14ac:dyDescent="0.3">
      <c r="DY697" s="538"/>
      <c r="ED697" s="538"/>
      <c r="EI697" s="538"/>
      <c r="EN697" s="538"/>
      <c r="EO697" s="538"/>
      <c r="EP697" s="538"/>
      <c r="EQ697" s="538"/>
      <c r="ER697" s="538"/>
    </row>
    <row r="698" spans="129:148" s="108" customFormat="1" x14ac:dyDescent="0.3">
      <c r="DY698" s="538"/>
      <c r="ED698" s="538"/>
      <c r="EI698" s="538"/>
      <c r="EN698" s="538"/>
      <c r="EO698" s="538"/>
      <c r="EP698" s="538"/>
      <c r="EQ698" s="538"/>
      <c r="ER698" s="538"/>
    </row>
    <row r="699" spans="129:148" s="108" customFormat="1" x14ac:dyDescent="0.3">
      <c r="DY699" s="538"/>
      <c r="ED699" s="538"/>
      <c r="EI699" s="538"/>
      <c r="EN699" s="538"/>
      <c r="EO699" s="538"/>
      <c r="EP699" s="538"/>
      <c r="EQ699" s="538"/>
      <c r="ER699" s="538"/>
    </row>
    <row r="700" spans="129:148" s="108" customFormat="1" x14ac:dyDescent="0.3">
      <c r="DY700" s="538"/>
      <c r="ED700" s="538"/>
      <c r="EI700" s="538"/>
      <c r="EN700" s="538"/>
      <c r="EO700" s="538"/>
      <c r="EP700" s="538"/>
      <c r="EQ700" s="538"/>
      <c r="ER700" s="538"/>
    </row>
    <row r="701" spans="129:148" s="108" customFormat="1" x14ac:dyDescent="0.3">
      <c r="DY701" s="538"/>
      <c r="ED701" s="538"/>
      <c r="EI701" s="538"/>
      <c r="EN701" s="538"/>
      <c r="EO701" s="538"/>
      <c r="EP701" s="538"/>
      <c r="EQ701" s="538"/>
      <c r="ER701" s="538"/>
    </row>
    <row r="702" spans="129:148" s="108" customFormat="1" x14ac:dyDescent="0.3">
      <c r="DY702" s="538"/>
      <c r="ED702" s="538"/>
      <c r="EI702" s="538"/>
      <c r="EN702" s="538"/>
      <c r="EO702" s="538"/>
      <c r="EP702" s="538"/>
      <c r="EQ702" s="538"/>
      <c r="ER702" s="538"/>
    </row>
    <row r="703" spans="129:148" s="108" customFormat="1" x14ac:dyDescent="0.3">
      <c r="DY703" s="538"/>
      <c r="ED703" s="538"/>
      <c r="EI703" s="538"/>
      <c r="EN703" s="538"/>
      <c r="EO703" s="538"/>
      <c r="EP703" s="538"/>
      <c r="EQ703" s="538"/>
      <c r="ER703" s="538"/>
    </row>
    <row r="704" spans="129:148" s="108" customFormat="1" x14ac:dyDescent="0.3">
      <c r="DY704" s="538"/>
      <c r="ED704" s="538"/>
      <c r="EI704" s="538"/>
      <c r="EN704" s="538"/>
      <c r="EO704" s="538"/>
      <c r="EP704" s="538"/>
      <c r="EQ704" s="538"/>
      <c r="ER704" s="538"/>
    </row>
    <row r="705" spans="129:148" s="108" customFormat="1" x14ac:dyDescent="0.3">
      <c r="DY705" s="538"/>
      <c r="ED705" s="538"/>
      <c r="EI705" s="538"/>
      <c r="EN705" s="538"/>
      <c r="EO705" s="538"/>
      <c r="EP705" s="538"/>
      <c r="EQ705" s="538"/>
      <c r="ER705" s="538"/>
    </row>
    <row r="706" spans="129:148" s="108" customFormat="1" x14ac:dyDescent="0.3">
      <c r="DY706" s="538"/>
      <c r="ED706" s="538"/>
      <c r="EI706" s="538"/>
      <c r="EN706" s="538"/>
      <c r="EO706" s="538"/>
      <c r="EP706" s="538"/>
      <c r="EQ706" s="538"/>
      <c r="ER706" s="538"/>
    </row>
    <row r="707" spans="129:148" s="108" customFormat="1" x14ac:dyDescent="0.3">
      <c r="DY707" s="538"/>
      <c r="ED707" s="538"/>
      <c r="EI707" s="538"/>
      <c r="EN707" s="538"/>
      <c r="EO707" s="538"/>
      <c r="EP707" s="538"/>
      <c r="EQ707" s="538"/>
      <c r="ER707" s="538"/>
    </row>
    <row r="708" spans="129:148" s="108" customFormat="1" x14ac:dyDescent="0.3">
      <c r="DY708" s="538"/>
      <c r="ED708" s="538"/>
      <c r="EI708" s="538"/>
      <c r="EN708" s="538"/>
      <c r="EO708" s="538"/>
      <c r="EP708" s="538"/>
      <c r="EQ708" s="538"/>
      <c r="ER708" s="538"/>
    </row>
    <row r="709" spans="129:148" s="108" customFormat="1" x14ac:dyDescent="0.3">
      <c r="DY709" s="538"/>
      <c r="ED709" s="538"/>
      <c r="EI709" s="538"/>
      <c r="EN709" s="538"/>
      <c r="EO709" s="538"/>
      <c r="EP709" s="538"/>
      <c r="EQ709" s="538"/>
      <c r="ER709" s="538"/>
    </row>
    <row r="710" spans="129:148" s="108" customFormat="1" x14ac:dyDescent="0.3">
      <c r="DY710" s="538"/>
      <c r="ED710" s="538"/>
      <c r="EI710" s="538"/>
      <c r="EN710" s="538"/>
      <c r="EO710" s="538"/>
      <c r="EP710" s="538"/>
      <c r="EQ710" s="538"/>
      <c r="ER710" s="538"/>
    </row>
    <row r="711" spans="129:148" s="108" customFormat="1" x14ac:dyDescent="0.3">
      <c r="DY711" s="538"/>
      <c r="ED711" s="538"/>
      <c r="EI711" s="538"/>
      <c r="EN711" s="538"/>
      <c r="EO711" s="538"/>
      <c r="EP711" s="538"/>
      <c r="EQ711" s="538"/>
      <c r="ER711" s="538"/>
    </row>
    <row r="712" spans="129:148" s="108" customFormat="1" x14ac:dyDescent="0.3">
      <c r="DY712" s="538"/>
      <c r="ED712" s="538"/>
      <c r="EI712" s="538"/>
      <c r="EN712" s="538"/>
      <c r="EO712" s="538"/>
      <c r="EP712" s="538"/>
      <c r="EQ712" s="538"/>
      <c r="ER712" s="538"/>
    </row>
    <row r="713" spans="129:148" s="108" customFormat="1" x14ac:dyDescent="0.3">
      <c r="DY713" s="538"/>
      <c r="ED713" s="538"/>
      <c r="EI713" s="538"/>
      <c r="EN713" s="538"/>
      <c r="EO713" s="538"/>
      <c r="EP713" s="538"/>
      <c r="EQ713" s="538"/>
      <c r="ER713" s="538"/>
    </row>
    <row r="714" spans="129:148" s="108" customFormat="1" x14ac:dyDescent="0.3">
      <c r="DY714" s="538"/>
      <c r="ED714" s="538"/>
      <c r="EI714" s="538"/>
      <c r="EN714" s="538"/>
      <c r="EO714" s="538"/>
      <c r="EP714" s="538"/>
      <c r="EQ714" s="538"/>
      <c r="ER714" s="538"/>
    </row>
    <row r="715" spans="129:148" s="108" customFormat="1" x14ac:dyDescent="0.3">
      <c r="DY715" s="538"/>
      <c r="ED715" s="538"/>
      <c r="EI715" s="538"/>
      <c r="EN715" s="538"/>
      <c r="EO715" s="538"/>
      <c r="EP715" s="538"/>
      <c r="EQ715" s="538"/>
      <c r="ER715" s="538"/>
    </row>
    <row r="716" spans="129:148" s="108" customFormat="1" x14ac:dyDescent="0.3">
      <c r="DY716" s="538"/>
      <c r="ED716" s="538"/>
      <c r="EI716" s="538"/>
      <c r="EN716" s="538"/>
      <c r="EO716" s="538"/>
      <c r="EP716" s="538"/>
      <c r="EQ716" s="538"/>
      <c r="ER716" s="538"/>
    </row>
    <row r="717" spans="129:148" s="108" customFormat="1" x14ac:dyDescent="0.3">
      <c r="DY717" s="538"/>
      <c r="ED717" s="538"/>
      <c r="EI717" s="538"/>
      <c r="EN717" s="538"/>
      <c r="EO717" s="538"/>
      <c r="EP717" s="538"/>
      <c r="EQ717" s="538"/>
      <c r="ER717" s="538"/>
    </row>
    <row r="718" spans="129:148" s="108" customFormat="1" x14ac:dyDescent="0.3">
      <c r="DY718" s="538"/>
      <c r="ED718" s="538"/>
      <c r="EI718" s="538"/>
      <c r="EN718" s="538"/>
      <c r="EO718" s="538"/>
      <c r="EP718" s="538"/>
      <c r="EQ718" s="538"/>
      <c r="ER718" s="538"/>
    </row>
    <row r="719" spans="129:148" s="108" customFormat="1" x14ac:dyDescent="0.3">
      <c r="DY719" s="538"/>
      <c r="ED719" s="538"/>
      <c r="EI719" s="538"/>
      <c r="EN719" s="538"/>
      <c r="EO719" s="538"/>
      <c r="EP719" s="538"/>
      <c r="EQ719" s="538"/>
      <c r="ER719" s="538"/>
    </row>
    <row r="720" spans="129:148" s="108" customFormat="1" x14ac:dyDescent="0.3">
      <c r="DY720" s="538"/>
      <c r="ED720" s="538"/>
      <c r="EI720" s="538"/>
      <c r="EN720" s="538"/>
      <c r="EO720" s="538"/>
      <c r="EP720" s="538"/>
      <c r="EQ720" s="538"/>
      <c r="ER720" s="538"/>
    </row>
    <row r="721" spans="129:148" s="108" customFormat="1" x14ac:dyDescent="0.3">
      <c r="DY721" s="538"/>
      <c r="ED721" s="538"/>
      <c r="EI721" s="538"/>
      <c r="EN721" s="538"/>
      <c r="EO721" s="538"/>
      <c r="EP721" s="538"/>
      <c r="EQ721" s="538"/>
      <c r="ER721" s="538"/>
    </row>
    <row r="722" spans="129:148" s="108" customFormat="1" x14ac:dyDescent="0.3">
      <c r="DY722" s="538"/>
      <c r="ED722" s="538"/>
      <c r="EI722" s="538"/>
      <c r="EN722" s="538"/>
      <c r="EO722" s="538"/>
      <c r="EP722" s="538"/>
      <c r="EQ722" s="538"/>
      <c r="ER722" s="538"/>
    </row>
    <row r="723" spans="129:148" s="108" customFormat="1" x14ac:dyDescent="0.3">
      <c r="DY723" s="538"/>
      <c r="ED723" s="538"/>
      <c r="EI723" s="538"/>
      <c r="EN723" s="538"/>
      <c r="EO723" s="538"/>
      <c r="EP723" s="538"/>
      <c r="EQ723" s="538"/>
      <c r="ER723" s="538"/>
    </row>
    <row r="724" spans="129:148" s="108" customFormat="1" x14ac:dyDescent="0.3">
      <c r="DY724" s="538"/>
      <c r="ED724" s="538"/>
      <c r="EI724" s="538"/>
      <c r="EN724" s="538"/>
      <c r="EO724" s="538"/>
      <c r="EP724" s="538"/>
      <c r="EQ724" s="538"/>
      <c r="ER724" s="538"/>
    </row>
    <row r="725" spans="129:148" s="108" customFormat="1" x14ac:dyDescent="0.3">
      <c r="DY725" s="538"/>
      <c r="ED725" s="538"/>
      <c r="EI725" s="538"/>
      <c r="EN725" s="538"/>
      <c r="EO725" s="538"/>
      <c r="EP725" s="538"/>
      <c r="EQ725" s="538"/>
      <c r="ER725" s="538"/>
    </row>
    <row r="726" spans="129:148" s="108" customFormat="1" x14ac:dyDescent="0.3">
      <c r="DY726" s="538"/>
      <c r="ED726" s="538"/>
      <c r="EI726" s="538"/>
      <c r="EN726" s="538"/>
      <c r="EO726" s="538"/>
      <c r="EP726" s="538"/>
      <c r="EQ726" s="538"/>
      <c r="ER726" s="538"/>
    </row>
    <row r="727" spans="129:148" s="108" customFormat="1" x14ac:dyDescent="0.3">
      <c r="DY727" s="538"/>
      <c r="ED727" s="538"/>
      <c r="EI727" s="538"/>
      <c r="EN727" s="538"/>
      <c r="EO727" s="538"/>
      <c r="EP727" s="538"/>
      <c r="EQ727" s="538"/>
      <c r="ER727" s="538"/>
    </row>
    <row r="728" spans="129:148" s="108" customFormat="1" x14ac:dyDescent="0.3">
      <c r="DY728" s="538"/>
      <c r="ED728" s="538"/>
      <c r="EI728" s="538"/>
      <c r="EN728" s="538"/>
      <c r="EO728" s="538"/>
      <c r="EP728" s="538"/>
      <c r="EQ728" s="538"/>
      <c r="ER728" s="538"/>
    </row>
    <row r="729" spans="129:148" s="108" customFormat="1" x14ac:dyDescent="0.3">
      <c r="DY729" s="538"/>
      <c r="ED729" s="538"/>
      <c r="EI729" s="538"/>
      <c r="EN729" s="538"/>
      <c r="EO729" s="538"/>
      <c r="EP729" s="538"/>
      <c r="EQ729" s="538"/>
      <c r="ER729" s="538"/>
    </row>
    <row r="730" spans="129:148" s="108" customFormat="1" x14ac:dyDescent="0.3">
      <c r="DY730" s="538"/>
      <c r="ED730" s="538"/>
      <c r="EI730" s="538"/>
      <c r="EN730" s="538"/>
      <c r="EO730" s="538"/>
      <c r="EP730" s="538"/>
      <c r="EQ730" s="538"/>
      <c r="ER730" s="538"/>
    </row>
    <row r="731" spans="129:148" s="108" customFormat="1" x14ac:dyDescent="0.3">
      <c r="DY731" s="538"/>
      <c r="ED731" s="538"/>
      <c r="EI731" s="538"/>
      <c r="EN731" s="538"/>
      <c r="EO731" s="538"/>
      <c r="EP731" s="538"/>
      <c r="EQ731" s="538"/>
      <c r="ER731" s="538"/>
    </row>
    <row r="732" spans="129:148" s="108" customFormat="1" x14ac:dyDescent="0.3">
      <c r="DY732" s="538"/>
      <c r="ED732" s="538"/>
      <c r="EI732" s="538"/>
      <c r="EN732" s="538"/>
      <c r="EO732" s="538"/>
      <c r="EP732" s="538"/>
      <c r="EQ732" s="538"/>
      <c r="ER732" s="538"/>
    </row>
    <row r="733" spans="129:148" s="108" customFormat="1" x14ac:dyDescent="0.3">
      <c r="DY733" s="538"/>
      <c r="ED733" s="538"/>
      <c r="EI733" s="538"/>
      <c r="EN733" s="538"/>
      <c r="EO733" s="538"/>
      <c r="EP733" s="538"/>
      <c r="EQ733" s="538"/>
      <c r="ER733" s="538"/>
    </row>
    <row r="734" spans="129:148" s="108" customFormat="1" x14ac:dyDescent="0.3">
      <c r="DY734" s="538"/>
      <c r="ED734" s="538"/>
      <c r="EI734" s="538"/>
      <c r="EN734" s="538"/>
      <c r="EO734" s="538"/>
      <c r="EP734" s="538"/>
      <c r="EQ734" s="538"/>
      <c r="ER734" s="538"/>
    </row>
    <row r="735" spans="129:148" s="108" customFormat="1" x14ac:dyDescent="0.3">
      <c r="DY735" s="538"/>
      <c r="ED735" s="538"/>
      <c r="EI735" s="538"/>
      <c r="EN735" s="538"/>
      <c r="EO735" s="538"/>
      <c r="EP735" s="538"/>
      <c r="EQ735" s="538"/>
      <c r="ER735" s="538"/>
    </row>
    <row r="736" spans="129:148" s="108" customFormat="1" x14ac:dyDescent="0.3">
      <c r="DY736" s="538"/>
      <c r="ED736" s="538"/>
      <c r="EI736" s="538"/>
      <c r="EN736" s="538"/>
      <c r="EO736" s="538"/>
      <c r="EP736" s="538"/>
      <c r="EQ736" s="538"/>
      <c r="ER736" s="538"/>
    </row>
    <row r="737" spans="129:148" s="108" customFormat="1" x14ac:dyDescent="0.3">
      <c r="DY737" s="538"/>
      <c r="ED737" s="538"/>
      <c r="EI737" s="538"/>
      <c r="EN737" s="538"/>
      <c r="EO737" s="538"/>
      <c r="EP737" s="538"/>
      <c r="EQ737" s="538"/>
      <c r="ER737" s="538"/>
    </row>
    <row r="738" spans="129:148" s="108" customFormat="1" x14ac:dyDescent="0.3">
      <c r="DY738" s="538"/>
      <c r="ED738" s="538"/>
      <c r="EI738" s="538"/>
      <c r="EN738" s="538"/>
      <c r="EO738" s="538"/>
      <c r="EP738" s="538"/>
      <c r="EQ738" s="538"/>
      <c r="ER738" s="538"/>
    </row>
    <row r="739" spans="129:148" s="108" customFormat="1" x14ac:dyDescent="0.3">
      <c r="DY739" s="538"/>
      <c r="ED739" s="538"/>
      <c r="EI739" s="538"/>
      <c r="EN739" s="538"/>
      <c r="EO739" s="538"/>
      <c r="EP739" s="538"/>
      <c r="EQ739" s="538"/>
      <c r="ER739" s="538"/>
    </row>
    <row r="740" spans="129:148" s="108" customFormat="1" x14ac:dyDescent="0.3">
      <c r="DY740" s="538"/>
      <c r="ED740" s="538"/>
      <c r="EI740" s="538"/>
      <c r="EN740" s="538"/>
      <c r="EO740" s="538"/>
      <c r="EP740" s="538"/>
      <c r="EQ740" s="538"/>
      <c r="ER740" s="538"/>
    </row>
    <row r="741" spans="129:148" s="108" customFormat="1" x14ac:dyDescent="0.3">
      <c r="DY741" s="538"/>
      <c r="ED741" s="538"/>
      <c r="EI741" s="538"/>
      <c r="EN741" s="538"/>
      <c r="EO741" s="538"/>
      <c r="EP741" s="538"/>
      <c r="EQ741" s="538"/>
      <c r="ER741" s="538"/>
    </row>
    <row r="742" spans="129:148" s="108" customFormat="1" x14ac:dyDescent="0.3">
      <c r="DY742" s="538"/>
      <c r="ED742" s="538"/>
      <c r="EI742" s="538"/>
      <c r="EN742" s="538"/>
      <c r="EO742" s="538"/>
      <c r="EP742" s="538"/>
      <c r="EQ742" s="538"/>
      <c r="ER742" s="538"/>
    </row>
    <row r="743" spans="129:148" s="108" customFormat="1" x14ac:dyDescent="0.3">
      <c r="DY743" s="538"/>
      <c r="ED743" s="538"/>
      <c r="EI743" s="538"/>
      <c r="EN743" s="538"/>
      <c r="EO743" s="538"/>
      <c r="EP743" s="538"/>
      <c r="EQ743" s="538"/>
      <c r="ER743" s="538"/>
    </row>
    <row r="744" spans="129:148" s="108" customFormat="1" x14ac:dyDescent="0.3">
      <c r="DY744" s="538"/>
      <c r="ED744" s="538"/>
      <c r="EI744" s="538"/>
      <c r="EN744" s="538"/>
      <c r="EO744" s="538"/>
      <c r="EP744" s="538"/>
      <c r="EQ744" s="538"/>
      <c r="ER744" s="538"/>
    </row>
    <row r="745" spans="129:148" s="108" customFormat="1" x14ac:dyDescent="0.3">
      <c r="DY745" s="538"/>
      <c r="ED745" s="538"/>
      <c r="EI745" s="538"/>
      <c r="EN745" s="538"/>
      <c r="EO745" s="538"/>
      <c r="EP745" s="538"/>
      <c r="EQ745" s="538"/>
      <c r="ER745" s="538"/>
    </row>
    <row r="746" spans="129:148" s="108" customFormat="1" x14ac:dyDescent="0.3">
      <c r="DY746" s="538"/>
      <c r="ED746" s="538"/>
      <c r="EI746" s="538"/>
      <c r="EN746" s="538"/>
      <c r="EO746" s="538"/>
      <c r="EP746" s="538"/>
      <c r="EQ746" s="538"/>
      <c r="ER746" s="538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7DA60-94D4-4303-8D25-FA35F9DC2578}">
  <dimension ref="A1:Y140"/>
  <sheetViews>
    <sheetView showGridLines="0" zoomScaleNormal="100" workbookViewId="0">
      <selection activeCell="ES9" sqref="ES9"/>
    </sheetView>
  </sheetViews>
  <sheetFormatPr defaultRowHeight="12" outlineLevelCol="1" x14ac:dyDescent="0.3"/>
  <cols>
    <col min="1" max="1" width="28" customWidth="1"/>
    <col min="2" max="2" width="12.6640625" customWidth="1" outlineLevel="1"/>
    <col min="3" max="4" width="12.6640625" customWidth="1"/>
    <col min="5" max="14" width="10.44140625" bestFit="1" customWidth="1"/>
  </cols>
  <sheetData>
    <row r="1" spans="1:19" ht="21.5" thickBot="1" x14ac:dyDescent="0.55000000000000004">
      <c r="A1" s="38" t="s">
        <v>13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</row>
    <row r="2" spans="1:19" x14ac:dyDescent="0.3">
      <c r="A2" s="39" t="s">
        <v>548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x14ac:dyDescent="0.3">
      <c r="A3" s="481" t="s">
        <v>15</v>
      </c>
      <c r="B3" s="481"/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</row>
    <row r="5" spans="1:19" x14ac:dyDescent="0.3">
      <c r="A5" s="533" t="s">
        <v>1780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  <c r="L5" s="534"/>
      <c r="M5" s="534"/>
      <c r="N5" s="534"/>
      <c r="O5" s="534"/>
      <c r="P5" s="534"/>
      <c r="Q5" s="534"/>
      <c r="R5" s="534"/>
      <c r="S5" s="534"/>
    </row>
    <row r="6" spans="1:19" x14ac:dyDescent="0.3">
      <c r="B6" s="374" t="s">
        <v>1166</v>
      </c>
      <c r="C6" s="374" t="s">
        <v>1167</v>
      </c>
      <c r="D6" s="374" t="s">
        <v>1168</v>
      </c>
      <c r="E6" s="374" t="s">
        <v>1169</v>
      </c>
      <c r="F6" s="374" t="s">
        <v>1125</v>
      </c>
      <c r="G6" s="374" t="s">
        <v>1126</v>
      </c>
      <c r="H6" s="374" t="s">
        <v>1127</v>
      </c>
      <c r="I6" s="374" t="s">
        <v>1128</v>
      </c>
      <c r="J6" s="374" t="s">
        <v>922</v>
      </c>
      <c r="K6" s="374" t="s">
        <v>923</v>
      </c>
      <c r="L6" s="374" t="s">
        <v>924</v>
      </c>
      <c r="M6" s="374" t="s">
        <v>925</v>
      </c>
    </row>
    <row r="7" spans="1:19" x14ac:dyDescent="0.3">
      <c r="A7" t="s">
        <v>1781</v>
      </c>
      <c r="B7" s="885">
        <f>Drivers!DZ91</f>
        <v>9</v>
      </c>
      <c r="C7" s="885">
        <f>Drivers!EA91</f>
        <v>8</v>
      </c>
      <c r="D7" s="885">
        <f>Drivers!EB91</f>
        <v>9</v>
      </c>
      <c r="E7" s="885">
        <f>Drivers!EC91</f>
        <v>60</v>
      </c>
      <c r="F7" s="885">
        <f>Drivers!EE91</f>
        <v>104</v>
      </c>
      <c r="G7" s="885">
        <f>Drivers!EF91</f>
        <v>157</v>
      </c>
      <c r="H7" s="885">
        <f>Drivers!EG91</f>
        <v>185</v>
      </c>
      <c r="I7" s="885">
        <f>Drivers!EH91</f>
        <v>192</v>
      </c>
      <c r="J7" s="885">
        <f>Drivers!EJ91</f>
        <v>211</v>
      </c>
      <c r="K7" s="885">
        <f>Drivers!EK91</f>
        <v>281</v>
      </c>
      <c r="L7" s="885">
        <f>Drivers!EL91</f>
        <v>351</v>
      </c>
      <c r="M7" s="885">
        <f>Drivers!EM91</f>
        <v>381</v>
      </c>
    </row>
    <row r="8" spans="1:19" x14ac:dyDescent="0.3">
      <c r="A8" t="s">
        <v>1782</v>
      </c>
      <c r="B8" s="885">
        <f>B7</f>
        <v>9</v>
      </c>
      <c r="C8" s="885">
        <f>B8+C7</f>
        <v>17</v>
      </c>
      <c r="D8" s="885">
        <f t="shared" ref="D8:M8" si="0">C8+D7</f>
        <v>26</v>
      </c>
      <c r="E8" s="885">
        <f t="shared" si="0"/>
        <v>86</v>
      </c>
      <c r="F8" s="885">
        <f t="shared" si="0"/>
        <v>190</v>
      </c>
      <c r="G8" s="885">
        <f t="shared" si="0"/>
        <v>347</v>
      </c>
      <c r="H8" s="885">
        <f t="shared" si="0"/>
        <v>532</v>
      </c>
      <c r="I8" s="885">
        <f t="shared" si="0"/>
        <v>724</v>
      </c>
      <c r="J8" s="885">
        <f t="shared" si="0"/>
        <v>935</v>
      </c>
      <c r="K8" s="885">
        <f t="shared" si="0"/>
        <v>1216</v>
      </c>
      <c r="L8" s="885">
        <f t="shared" si="0"/>
        <v>1567</v>
      </c>
      <c r="M8" s="885">
        <f t="shared" si="0"/>
        <v>1948</v>
      </c>
    </row>
    <row r="10" spans="1:19" x14ac:dyDescent="0.3">
      <c r="A10" s="63" t="s">
        <v>335</v>
      </c>
      <c r="B10" s="899">
        <v>0</v>
      </c>
      <c r="C10" s="1179">
        <f>B13</f>
        <v>0.27</v>
      </c>
      <c r="D10" s="1179">
        <f t="shared" ref="D10:M10" si="1">C13</f>
        <v>0.76663500000000007</v>
      </c>
      <c r="E10" s="1179">
        <f t="shared" si="1"/>
        <v>1.5086865675000003</v>
      </c>
      <c r="F10" s="1179">
        <f t="shared" si="1"/>
        <v>4.0140065824087499</v>
      </c>
      <c r="G10" s="1179">
        <f t="shared" si="1"/>
        <v>9.5153132565795175</v>
      </c>
      <c r="H10" s="1179">
        <f t="shared" si="1"/>
        <v>19.45430525037883</v>
      </c>
      <c r="I10" s="1179">
        <f t="shared" si="1"/>
        <v>34.451317140485081</v>
      </c>
      <c r="J10" s="1179">
        <f t="shared" si="1"/>
        <v>54.46597694203107</v>
      </c>
      <c r="K10" s="1179">
        <f t="shared" si="1"/>
        <v>79.819911083400541</v>
      </c>
      <c r="L10" s="1179">
        <f t="shared" si="1"/>
        <v>112.34882548477221</v>
      </c>
      <c r="M10" s="1179">
        <f t="shared" si="1"/>
        <v>153.79755862327599</v>
      </c>
    </row>
    <row r="11" spans="1:19" x14ac:dyDescent="0.3">
      <c r="A11" s="63" t="s">
        <v>336</v>
      </c>
      <c r="B11" s="899">
        <f>B8*B16</f>
        <v>0.27</v>
      </c>
      <c r="C11" s="899">
        <f t="shared" ref="C11:M11" si="2">C8*C16</f>
        <v>0.51</v>
      </c>
      <c r="D11" s="899">
        <f t="shared" si="2"/>
        <v>0.78</v>
      </c>
      <c r="E11" s="899">
        <f t="shared" si="2"/>
        <v>2.58</v>
      </c>
      <c r="F11" s="899">
        <f t="shared" si="2"/>
        <v>5.7</v>
      </c>
      <c r="G11" s="899">
        <f t="shared" si="2"/>
        <v>10.41</v>
      </c>
      <c r="H11" s="899">
        <f t="shared" si="2"/>
        <v>15.959999999999999</v>
      </c>
      <c r="I11" s="899">
        <f t="shared" si="2"/>
        <v>21.72</v>
      </c>
      <c r="J11" s="899">
        <f t="shared" si="2"/>
        <v>28.05</v>
      </c>
      <c r="K11" s="899">
        <f t="shared" si="2"/>
        <v>36.479999999999997</v>
      </c>
      <c r="L11" s="899">
        <f t="shared" si="2"/>
        <v>47.01</v>
      </c>
      <c r="M11" s="899">
        <f t="shared" si="2"/>
        <v>58.44</v>
      </c>
    </row>
    <row r="12" spans="1:19" x14ac:dyDescent="0.3">
      <c r="A12" s="63" t="s">
        <v>337</v>
      </c>
      <c r="B12" s="904">
        <f>-B10*B17*3</f>
        <v>0</v>
      </c>
      <c r="C12" s="904">
        <f t="shared" ref="C12:M12" si="3">-C10*C17*3</f>
        <v>-1.3365000000000002E-2</v>
      </c>
      <c r="D12" s="904">
        <f t="shared" si="3"/>
        <v>-3.7948432500000004E-2</v>
      </c>
      <c r="E12" s="904">
        <f t="shared" si="3"/>
        <v>-7.4679985091250012E-2</v>
      </c>
      <c r="F12" s="904">
        <f t="shared" si="3"/>
        <v>-0.19869332582923313</v>
      </c>
      <c r="G12" s="904">
        <f t="shared" si="3"/>
        <v>-0.47100800620068617</v>
      </c>
      <c r="H12" s="904">
        <f t="shared" si="3"/>
        <v>-0.96298810989375205</v>
      </c>
      <c r="I12" s="904">
        <f t="shared" si="3"/>
        <v>-1.7053401984540115</v>
      </c>
      <c r="J12" s="904">
        <f t="shared" si="3"/>
        <v>-2.6960658586305382</v>
      </c>
      <c r="K12" s="904">
        <f t="shared" si="3"/>
        <v>-3.9510855986283264</v>
      </c>
      <c r="L12" s="904">
        <f t="shared" si="3"/>
        <v>-5.5612668614962244</v>
      </c>
      <c r="M12" s="904">
        <f t="shared" si="3"/>
        <v>-7.6129791518521621</v>
      </c>
    </row>
    <row r="13" spans="1:19" x14ac:dyDescent="0.3">
      <c r="A13" s="64" t="s">
        <v>338</v>
      </c>
      <c r="B13" s="905">
        <f>SUM(B10:B12)</f>
        <v>0.27</v>
      </c>
      <c r="C13" s="905">
        <f>SUM(C10:C12)</f>
        <v>0.76663500000000007</v>
      </c>
      <c r="D13" s="905">
        <f t="shared" ref="D13:M13" si="4">SUM(D10:D12)</f>
        <v>1.5086865675000003</v>
      </c>
      <c r="E13" s="905">
        <f t="shared" si="4"/>
        <v>4.0140065824087499</v>
      </c>
      <c r="F13" s="905">
        <f t="shared" si="4"/>
        <v>9.5153132565795175</v>
      </c>
      <c r="G13" s="905">
        <f t="shared" si="4"/>
        <v>19.45430525037883</v>
      </c>
      <c r="H13" s="905">
        <f t="shared" si="4"/>
        <v>34.451317140485081</v>
      </c>
      <c r="I13" s="905">
        <f t="shared" si="4"/>
        <v>54.46597694203107</v>
      </c>
      <c r="J13" s="905">
        <f t="shared" si="4"/>
        <v>79.819911083400541</v>
      </c>
      <c r="K13" s="905">
        <f t="shared" si="4"/>
        <v>112.34882548477221</v>
      </c>
      <c r="L13" s="905">
        <f t="shared" si="4"/>
        <v>153.79755862327599</v>
      </c>
      <c r="M13" s="905">
        <f t="shared" si="4"/>
        <v>204.62457947142383</v>
      </c>
    </row>
    <row r="14" spans="1:19" x14ac:dyDescent="0.3">
      <c r="A14" s="61" t="s">
        <v>339</v>
      </c>
    </row>
    <row r="15" spans="1:19" x14ac:dyDescent="0.3">
      <c r="A15" s="65" t="s">
        <v>340</v>
      </c>
    </row>
    <row r="16" spans="1:19" x14ac:dyDescent="0.3">
      <c r="A16" s="65" t="s">
        <v>341</v>
      </c>
      <c r="B16" s="948">
        <v>0.03</v>
      </c>
      <c r="C16" s="948">
        <v>0.03</v>
      </c>
      <c r="D16" s="948">
        <v>0.03</v>
      </c>
      <c r="E16" s="948">
        <v>0.03</v>
      </c>
      <c r="F16" s="948">
        <v>0.03</v>
      </c>
      <c r="G16" s="948">
        <v>0.03</v>
      </c>
      <c r="H16" s="948">
        <v>0.03</v>
      </c>
      <c r="I16" s="948">
        <v>0.03</v>
      </c>
      <c r="J16" s="948">
        <v>0.03</v>
      </c>
      <c r="K16" s="948">
        <v>0.03</v>
      </c>
      <c r="L16" s="948">
        <v>0.03</v>
      </c>
      <c r="M16" s="948">
        <v>0.03</v>
      </c>
    </row>
    <row r="17" spans="1:25" x14ac:dyDescent="0.3">
      <c r="A17" s="65" t="s">
        <v>342</v>
      </c>
      <c r="B17" s="948">
        <v>1.6500000000000001E-2</v>
      </c>
      <c r="C17" s="948">
        <v>1.6500000000000001E-2</v>
      </c>
      <c r="D17" s="948">
        <v>1.6500000000000001E-2</v>
      </c>
      <c r="E17" s="948">
        <v>1.6500000000000001E-2</v>
      </c>
      <c r="F17" s="948">
        <v>1.6500000000000001E-2</v>
      </c>
      <c r="G17" s="948">
        <v>1.6500000000000001E-2</v>
      </c>
      <c r="H17" s="948">
        <v>1.6500000000000001E-2</v>
      </c>
      <c r="I17" s="948">
        <v>1.6500000000000001E-2</v>
      </c>
      <c r="J17" s="948">
        <v>1.6500000000000001E-2</v>
      </c>
      <c r="K17" s="948">
        <v>1.6500000000000001E-2</v>
      </c>
      <c r="L17" s="948">
        <v>1.6500000000000001E-2</v>
      </c>
      <c r="M17" s="948">
        <v>1.6500000000000001E-2</v>
      </c>
    </row>
    <row r="18" spans="1:25" x14ac:dyDescent="0.3">
      <c r="A18" s="65" t="s">
        <v>210</v>
      </c>
      <c r="B18" s="898">
        <f>B13/B8</f>
        <v>3.0000000000000002E-2</v>
      </c>
      <c r="C18" s="898">
        <f t="shared" ref="C18:M18" si="5">C13/C8</f>
        <v>4.5096176470588237E-2</v>
      </c>
      <c r="D18" s="898">
        <f t="shared" si="5"/>
        <v>5.8026406442307707E-2</v>
      </c>
      <c r="E18" s="898">
        <f t="shared" si="5"/>
        <v>4.6674495144287786E-2</v>
      </c>
      <c r="F18" s="898">
        <f t="shared" si="5"/>
        <v>5.008059608726062E-2</v>
      </c>
      <c r="G18" s="898">
        <f t="shared" si="5"/>
        <v>5.6064280260457726E-2</v>
      </c>
      <c r="H18" s="898">
        <f t="shared" si="5"/>
        <v>6.4758114925723836E-2</v>
      </c>
      <c r="I18" s="898">
        <f t="shared" si="5"/>
        <v>7.522924991993242E-2</v>
      </c>
      <c r="J18" s="898">
        <f t="shared" si="5"/>
        <v>8.536888885925191E-2</v>
      </c>
      <c r="K18" s="898">
        <f t="shared" si="5"/>
        <v>9.2392126221029769E-2</v>
      </c>
      <c r="L18" s="898">
        <f t="shared" si="5"/>
        <v>9.8147771935721759E-2</v>
      </c>
      <c r="M18" s="898">
        <f t="shared" si="5"/>
        <v>0.10504341861982743</v>
      </c>
    </row>
    <row r="20" spans="1:25" x14ac:dyDescent="0.3">
      <c r="A20" s="68" t="s">
        <v>1783</v>
      </c>
      <c r="B20" s="374" t="s">
        <v>1166</v>
      </c>
      <c r="C20" s="374" t="s">
        <v>1167</v>
      </c>
      <c r="D20" s="374" t="s">
        <v>1168</v>
      </c>
      <c r="E20" s="374" t="s">
        <v>1169</v>
      </c>
      <c r="F20" s="374" t="s">
        <v>1125</v>
      </c>
      <c r="G20" s="374" t="s">
        <v>1126</v>
      </c>
      <c r="H20" s="374" t="s">
        <v>1127</v>
      </c>
      <c r="I20" s="374" t="s">
        <v>1128</v>
      </c>
      <c r="J20" s="374" t="s">
        <v>922</v>
      </c>
      <c r="K20" s="374" t="s">
        <v>923</v>
      </c>
      <c r="L20" s="374" t="s">
        <v>924</v>
      </c>
      <c r="M20" s="374" t="s">
        <v>925</v>
      </c>
      <c r="N20" s="374" t="s">
        <v>883</v>
      </c>
      <c r="O20" s="374" t="s">
        <v>884</v>
      </c>
      <c r="P20" s="374" t="s">
        <v>885</v>
      </c>
      <c r="Q20" s="374" t="s">
        <v>886</v>
      </c>
      <c r="R20" s="374" t="s">
        <v>887</v>
      </c>
      <c r="S20" s="374" t="s">
        <v>888</v>
      </c>
      <c r="T20" s="374" t="s">
        <v>1027</v>
      </c>
      <c r="U20" s="374" t="s">
        <v>1028</v>
      </c>
      <c r="V20" s="374" t="s">
        <v>1047</v>
      </c>
      <c r="W20" s="374" t="s">
        <v>1048</v>
      </c>
      <c r="X20" s="374" t="s">
        <v>1049</v>
      </c>
      <c r="Y20" s="374" t="s">
        <v>1050</v>
      </c>
    </row>
    <row r="21" spans="1:25" x14ac:dyDescent="0.3">
      <c r="A21" t="s">
        <v>1781</v>
      </c>
      <c r="B21" s="885">
        <f>Drivers!DZ91</f>
        <v>9</v>
      </c>
      <c r="C21" s="885">
        <f>Drivers!EA91</f>
        <v>8</v>
      </c>
      <c r="D21" s="885">
        <f>Drivers!EB91</f>
        <v>9</v>
      </c>
      <c r="E21" s="885">
        <f>Drivers!EC91</f>
        <v>60</v>
      </c>
      <c r="F21" s="885">
        <v>0</v>
      </c>
      <c r="G21" s="885">
        <v>0</v>
      </c>
      <c r="H21" s="885">
        <v>0</v>
      </c>
      <c r="I21" s="885">
        <v>0</v>
      </c>
      <c r="J21" s="885">
        <v>0</v>
      </c>
      <c r="K21" s="885">
        <v>0</v>
      </c>
      <c r="L21" s="885">
        <v>0</v>
      </c>
      <c r="M21" s="885">
        <v>0</v>
      </c>
      <c r="N21" s="885">
        <v>0</v>
      </c>
      <c r="O21" s="885">
        <v>0</v>
      </c>
      <c r="P21" s="885">
        <v>0</v>
      </c>
      <c r="Q21" s="885">
        <v>0</v>
      </c>
      <c r="R21" s="885">
        <v>0</v>
      </c>
      <c r="S21" s="885">
        <v>0</v>
      </c>
      <c r="T21" s="885">
        <v>0</v>
      </c>
      <c r="U21" s="885">
        <v>0</v>
      </c>
      <c r="V21" s="885">
        <v>0</v>
      </c>
      <c r="W21" s="885">
        <v>0</v>
      </c>
      <c r="X21" s="885">
        <v>0</v>
      </c>
      <c r="Y21" s="885">
        <v>0</v>
      </c>
    </row>
    <row r="22" spans="1:25" x14ac:dyDescent="0.3">
      <c r="A22" t="s">
        <v>1782</v>
      </c>
      <c r="B22" s="885">
        <f>B21</f>
        <v>9</v>
      </c>
      <c r="C22" s="885">
        <f t="shared" ref="C22:Y22" si="6">B22+C21</f>
        <v>17</v>
      </c>
      <c r="D22" s="885">
        <f t="shared" si="6"/>
        <v>26</v>
      </c>
      <c r="E22" s="885">
        <f t="shared" si="6"/>
        <v>86</v>
      </c>
      <c r="F22" s="885">
        <f t="shared" si="6"/>
        <v>86</v>
      </c>
      <c r="G22" s="885">
        <f t="shared" si="6"/>
        <v>86</v>
      </c>
      <c r="H22" s="885">
        <f t="shared" si="6"/>
        <v>86</v>
      </c>
      <c r="I22" s="885">
        <f t="shared" si="6"/>
        <v>86</v>
      </c>
      <c r="J22" s="885">
        <f t="shared" si="6"/>
        <v>86</v>
      </c>
      <c r="K22" s="885">
        <f t="shared" si="6"/>
        <v>86</v>
      </c>
      <c r="L22" s="885">
        <f t="shared" si="6"/>
        <v>86</v>
      </c>
      <c r="M22" s="885">
        <f t="shared" si="6"/>
        <v>86</v>
      </c>
      <c r="N22" s="885">
        <f t="shared" si="6"/>
        <v>86</v>
      </c>
      <c r="O22" s="885">
        <f t="shared" si="6"/>
        <v>86</v>
      </c>
      <c r="P22" s="885">
        <f t="shared" si="6"/>
        <v>86</v>
      </c>
      <c r="Q22" s="885">
        <f t="shared" si="6"/>
        <v>86</v>
      </c>
      <c r="R22" s="885">
        <f t="shared" si="6"/>
        <v>86</v>
      </c>
      <c r="S22" s="885">
        <f t="shared" si="6"/>
        <v>86</v>
      </c>
      <c r="T22" s="885">
        <f t="shared" si="6"/>
        <v>86</v>
      </c>
      <c r="U22" s="885">
        <f t="shared" si="6"/>
        <v>86</v>
      </c>
      <c r="V22" s="885">
        <f t="shared" si="6"/>
        <v>86</v>
      </c>
      <c r="W22" s="885">
        <f t="shared" si="6"/>
        <v>86</v>
      </c>
      <c r="X22" s="885">
        <f t="shared" si="6"/>
        <v>86</v>
      </c>
      <c r="Y22" s="885">
        <f t="shared" si="6"/>
        <v>86</v>
      </c>
    </row>
    <row r="24" spans="1:25" x14ac:dyDescent="0.3">
      <c r="A24" s="63" t="s">
        <v>335</v>
      </c>
      <c r="B24" s="899">
        <v>0</v>
      </c>
      <c r="C24" s="1179">
        <f>B27</f>
        <v>0.27</v>
      </c>
      <c r="D24" s="1179">
        <f>C27</f>
        <v>0.76663500000000007</v>
      </c>
      <c r="E24" s="1179">
        <f>D27</f>
        <v>1.5086865675000003</v>
      </c>
      <c r="F24" s="1179">
        <f t="shared" ref="F24:Y24" si="7">E27</f>
        <v>4.0140065824087499</v>
      </c>
      <c r="G24" s="1179">
        <f t="shared" si="7"/>
        <v>6.3953132565795165</v>
      </c>
      <c r="H24" s="1179">
        <f t="shared" si="7"/>
        <v>8.6587452503788302</v>
      </c>
      <c r="I24" s="1179">
        <f t="shared" si="7"/>
        <v>10.810137360485077</v>
      </c>
      <c r="J24" s="1179">
        <f t="shared" si="7"/>
        <v>12.855035561141067</v>
      </c>
      <c r="K24" s="1179">
        <f t="shared" si="7"/>
        <v>14.798711300864584</v>
      </c>
      <c r="L24" s="1179">
        <f t="shared" si="7"/>
        <v>16.646175091471786</v>
      </c>
      <c r="M24" s="1179">
        <f t="shared" si="7"/>
        <v>18.402189424443936</v>
      </c>
      <c r="N24" s="1179">
        <f t="shared" si="7"/>
        <v>20.071281047933962</v>
      </c>
      <c r="O24" s="1179">
        <f t="shared" si="7"/>
        <v>21.657752636061232</v>
      </c>
      <c r="P24" s="1179">
        <f t="shared" si="7"/>
        <v>23.1656938805762</v>
      </c>
      <c r="Q24" s="1179">
        <f t="shared" si="7"/>
        <v>24.598992033487676</v>
      </c>
      <c r="R24" s="1179">
        <f t="shared" si="7"/>
        <v>25.961341927830034</v>
      </c>
      <c r="S24" s="1179">
        <f t="shared" si="7"/>
        <v>27.256255502402446</v>
      </c>
      <c r="T24" s="1179">
        <f t="shared" si="7"/>
        <v>28.487070855033522</v>
      </c>
      <c r="U24" s="1179">
        <f t="shared" si="7"/>
        <v>29.65696084770936</v>
      </c>
      <c r="V24" s="1179">
        <f t="shared" si="7"/>
        <v>30.768941285747747</v>
      </c>
      <c r="W24" s="1179">
        <f t="shared" si="7"/>
        <v>31.825878692103235</v>
      </c>
      <c r="X24" s="1179">
        <f t="shared" si="7"/>
        <v>32.830497696844127</v>
      </c>
      <c r="Y24" s="1179">
        <f t="shared" si="7"/>
        <v>33.785388060850337</v>
      </c>
    </row>
    <row r="25" spans="1:25" x14ac:dyDescent="0.3">
      <c r="A25" s="63" t="s">
        <v>336</v>
      </c>
      <c r="B25" s="899">
        <f>B22*B30</f>
        <v>0.27</v>
      </c>
      <c r="C25" s="899">
        <f t="shared" ref="C25:Y25" si="8">C22*C30</f>
        <v>0.51</v>
      </c>
      <c r="D25" s="899">
        <f t="shared" si="8"/>
        <v>0.78</v>
      </c>
      <c r="E25" s="899">
        <f t="shared" si="8"/>
        <v>2.58</v>
      </c>
      <c r="F25" s="899">
        <f t="shared" si="8"/>
        <v>2.58</v>
      </c>
      <c r="G25" s="899">
        <f t="shared" si="8"/>
        <v>2.58</v>
      </c>
      <c r="H25" s="899">
        <f t="shared" si="8"/>
        <v>2.58</v>
      </c>
      <c r="I25" s="899">
        <f t="shared" si="8"/>
        <v>2.58</v>
      </c>
      <c r="J25" s="899">
        <f t="shared" si="8"/>
        <v>2.58</v>
      </c>
      <c r="K25" s="899">
        <f t="shared" si="8"/>
        <v>2.58</v>
      </c>
      <c r="L25" s="899">
        <f t="shared" si="8"/>
        <v>2.58</v>
      </c>
      <c r="M25" s="899">
        <f t="shared" si="8"/>
        <v>2.58</v>
      </c>
      <c r="N25" s="899">
        <f t="shared" si="8"/>
        <v>2.58</v>
      </c>
      <c r="O25" s="899">
        <f t="shared" si="8"/>
        <v>2.58</v>
      </c>
      <c r="P25" s="899">
        <f t="shared" si="8"/>
        <v>2.58</v>
      </c>
      <c r="Q25" s="899">
        <f t="shared" si="8"/>
        <v>2.58</v>
      </c>
      <c r="R25" s="899">
        <f t="shared" si="8"/>
        <v>2.58</v>
      </c>
      <c r="S25" s="899">
        <f t="shared" si="8"/>
        <v>2.58</v>
      </c>
      <c r="T25" s="899">
        <f t="shared" si="8"/>
        <v>2.58</v>
      </c>
      <c r="U25" s="899">
        <f t="shared" si="8"/>
        <v>2.58</v>
      </c>
      <c r="V25" s="899">
        <f t="shared" si="8"/>
        <v>2.58</v>
      </c>
      <c r="W25" s="899">
        <f t="shared" si="8"/>
        <v>2.58</v>
      </c>
      <c r="X25" s="899">
        <f t="shared" si="8"/>
        <v>2.58</v>
      </c>
      <c r="Y25" s="899">
        <f t="shared" si="8"/>
        <v>2.58</v>
      </c>
    </row>
    <row r="26" spans="1:25" x14ac:dyDescent="0.3">
      <c r="A26" s="63" t="s">
        <v>337</v>
      </c>
      <c r="B26" s="904">
        <f>-B24*B31*3</f>
        <v>0</v>
      </c>
      <c r="C26" s="904">
        <f t="shared" ref="C26:Y26" si="9">-C24*C31*3</f>
        <v>-1.3365000000000002E-2</v>
      </c>
      <c r="D26" s="904">
        <f t="shared" si="9"/>
        <v>-3.7948432500000004E-2</v>
      </c>
      <c r="E26" s="904">
        <f t="shared" si="9"/>
        <v>-7.4679985091250012E-2</v>
      </c>
      <c r="F26" s="904">
        <f t="shared" si="9"/>
        <v>-0.19869332582923313</v>
      </c>
      <c r="G26" s="904">
        <f t="shared" si="9"/>
        <v>-0.31656800620068609</v>
      </c>
      <c r="H26" s="904">
        <f t="shared" si="9"/>
        <v>-0.42860788989375209</v>
      </c>
      <c r="I26" s="904">
        <f t="shared" si="9"/>
        <v>-0.53510179934401136</v>
      </c>
      <c r="J26" s="904">
        <f t="shared" si="9"/>
        <v>-0.63632426027648281</v>
      </c>
      <c r="K26" s="904">
        <f t="shared" si="9"/>
        <v>-0.73253620939279696</v>
      </c>
      <c r="L26" s="904">
        <f t="shared" si="9"/>
        <v>-0.82398566702785359</v>
      </c>
      <c r="M26" s="904">
        <f t="shared" si="9"/>
        <v>-0.91090837650997492</v>
      </c>
      <c r="N26" s="904">
        <f t="shared" si="9"/>
        <v>-0.99352841187273122</v>
      </c>
      <c r="O26" s="904">
        <f t="shared" si="9"/>
        <v>-1.0720587554850309</v>
      </c>
      <c r="P26" s="904">
        <f t="shared" si="9"/>
        <v>-1.146701847088522</v>
      </c>
      <c r="Q26" s="904">
        <f t="shared" si="9"/>
        <v>-1.2176501056576399</v>
      </c>
      <c r="R26" s="904">
        <f t="shared" si="9"/>
        <v>-1.2850864254275867</v>
      </c>
      <c r="S26" s="904">
        <f t="shared" si="9"/>
        <v>-1.3491846473689213</v>
      </c>
      <c r="T26" s="904">
        <f t="shared" si="9"/>
        <v>-1.4101100073241595</v>
      </c>
      <c r="U26" s="904">
        <f t="shared" si="9"/>
        <v>-1.4680195619616134</v>
      </c>
      <c r="V26" s="904">
        <f t="shared" si="9"/>
        <v>-1.5230625936445137</v>
      </c>
      <c r="W26" s="904">
        <f t="shared" si="9"/>
        <v>-1.5753809952591102</v>
      </c>
      <c r="X26" s="904">
        <f t="shared" si="9"/>
        <v>-1.6251096359937844</v>
      </c>
      <c r="Y26" s="904">
        <f t="shared" si="9"/>
        <v>-1.6723767090120916</v>
      </c>
    </row>
    <row r="27" spans="1:25" x14ac:dyDescent="0.3">
      <c r="A27" s="64" t="s">
        <v>338</v>
      </c>
      <c r="B27" s="905">
        <f t="shared" ref="B27:Y27" si="10">SUM(B24:B26)</f>
        <v>0.27</v>
      </c>
      <c r="C27" s="905">
        <f t="shared" si="10"/>
        <v>0.76663500000000007</v>
      </c>
      <c r="D27" s="905">
        <f t="shared" si="10"/>
        <v>1.5086865675000003</v>
      </c>
      <c r="E27" s="905">
        <f t="shared" si="10"/>
        <v>4.0140065824087499</v>
      </c>
      <c r="F27" s="905">
        <f t="shared" si="10"/>
        <v>6.3953132565795165</v>
      </c>
      <c r="G27" s="905">
        <f t="shared" si="10"/>
        <v>8.6587452503788302</v>
      </c>
      <c r="H27" s="905">
        <f t="shared" si="10"/>
        <v>10.810137360485077</v>
      </c>
      <c r="I27" s="905">
        <f t="shared" si="10"/>
        <v>12.855035561141067</v>
      </c>
      <c r="J27" s="905">
        <f t="shared" si="10"/>
        <v>14.798711300864584</v>
      </c>
      <c r="K27" s="905">
        <f t="shared" si="10"/>
        <v>16.646175091471786</v>
      </c>
      <c r="L27" s="905">
        <f t="shared" si="10"/>
        <v>18.402189424443936</v>
      </c>
      <c r="M27" s="905">
        <f t="shared" si="10"/>
        <v>20.071281047933962</v>
      </c>
      <c r="N27" s="905">
        <f t="shared" si="10"/>
        <v>21.657752636061232</v>
      </c>
      <c r="O27" s="905">
        <f t="shared" si="10"/>
        <v>23.1656938805762</v>
      </c>
      <c r="P27" s="905">
        <f t="shared" si="10"/>
        <v>24.598992033487676</v>
      </c>
      <c r="Q27" s="905">
        <f t="shared" si="10"/>
        <v>25.961341927830034</v>
      </c>
      <c r="R27" s="905">
        <f t="shared" si="10"/>
        <v>27.256255502402446</v>
      </c>
      <c r="S27" s="905">
        <f t="shared" si="10"/>
        <v>28.487070855033522</v>
      </c>
      <c r="T27" s="905">
        <f t="shared" si="10"/>
        <v>29.65696084770936</v>
      </c>
      <c r="U27" s="905">
        <f t="shared" si="10"/>
        <v>30.768941285747747</v>
      </c>
      <c r="V27" s="905">
        <f t="shared" si="10"/>
        <v>31.825878692103235</v>
      </c>
      <c r="W27" s="905">
        <f t="shared" si="10"/>
        <v>32.830497696844127</v>
      </c>
      <c r="X27" s="905">
        <f t="shared" si="10"/>
        <v>33.785388060850337</v>
      </c>
      <c r="Y27" s="905">
        <f t="shared" si="10"/>
        <v>34.693011351838244</v>
      </c>
    </row>
    <row r="28" spans="1:25" x14ac:dyDescent="0.3">
      <c r="A28" s="61" t="s">
        <v>339</v>
      </c>
    </row>
    <row r="29" spans="1:25" x14ac:dyDescent="0.3">
      <c r="A29" s="65" t="s">
        <v>340</v>
      </c>
    </row>
    <row r="30" spans="1:25" x14ac:dyDescent="0.3">
      <c r="A30" s="65" t="s">
        <v>341</v>
      </c>
      <c r="B30" s="948">
        <v>0.03</v>
      </c>
      <c r="C30" s="948">
        <v>0.03</v>
      </c>
      <c r="D30" s="948">
        <v>0.03</v>
      </c>
      <c r="E30" s="948">
        <v>0.03</v>
      </c>
      <c r="F30" s="948">
        <v>0.03</v>
      </c>
      <c r="G30" s="948">
        <v>0.03</v>
      </c>
      <c r="H30" s="948">
        <v>0.03</v>
      </c>
      <c r="I30" s="948">
        <v>0.03</v>
      </c>
      <c r="J30" s="948">
        <v>0.03</v>
      </c>
      <c r="K30" s="948">
        <v>0.03</v>
      </c>
      <c r="L30" s="948">
        <v>0.03</v>
      </c>
      <c r="M30" s="948">
        <v>0.03</v>
      </c>
      <c r="N30" s="948">
        <v>0.03</v>
      </c>
      <c r="O30" s="948">
        <v>0.03</v>
      </c>
      <c r="P30" s="948">
        <v>0.03</v>
      </c>
      <c r="Q30" s="948">
        <v>0.03</v>
      </c>
      <c r="R30" s="948">
        <v>0.03</v>
      </c>
      <c r="S30" s="948">
        <v>0.03</v>
      </c>
      <c r="T30" s="948">
        <v>0.03</v>
      </c>
      <c r="U30" s="948">
        <v>0.03</v>
      </c>
      <c r="V30" s="948">
        <v>0.03</v>
      </c>
      <c r="W30" s="948">
        <v>0.03</v>
      </c>
      <c r="X30" s="948">
        <v>0.03</v>
      </c>
      <c r="Y30" s="948">
        <v>0.03</v>
      </c>
    </row>
    <row r="31" spans="1:25" x14ac:dyDescent="0.3">
      <c r="A31" s="65" t="s">
        <v>342</v>
      </c>
      <c r="B31" s="948">
        <v>1.6500000000000001E-2</v>
      </c>
      <c r="C31" s="948">
        <v>1.6500000000000001E-2</v>
      </c>
      <c r="D31" s="948">
        <v>1.6500000000000001E-2</v>
      </c>
      <c r="E31" s="948">
        <v>1.6500000000000001E-2</v>
      </c>
      <c r="F31" s="948">
        <v>1.6500000000000001E-2</v>
      </c>
      <c r="G31" s="948">
        <v>1.6500000000000001E-2</v>
      </c>
      <c r="H31" s="948">
        <v>1.6500000000000001E-2</v>
      </c>
      <c r="I31" s="948">
        <v>1.6500000000000001E-2</v>
      </c>
      <c r="J31" s="948">
        <v>1.6500000000000001E-2</v>
      </c>
      <c r="K31" s="948">
        <v>1.6500000000000001E-2</v>
      </c>
      <c r="L31" s="948">
        <v>1.6500000000000001E-2</v>
      </c>
      <c r="M31" s="948">
        <v>1.6500000000000001E-2</v>
      </c>
      <c r="N31" s="948">
        <v>1.6500000000000001E-2</v>
      </c>
      <c r="O31" s="948">
        <v>1.6500000000000001E-2</v>
      </c>
      <c r="P31" s="948">
        <v>1.6500000000000001E-2</v>
      </c>
      <c r="Q31" s="948">
        <v>1.6500000000000001E-2</v>
      </c>
      <c r="R31" s="948">
        <v>1.6500000000000001E-2</v>
      </c>
      <c r="S31" s="948">
        <v>1.6500000000000001E-2</v>
      </c>
      <c r="T31" s="948">
        <v>1.6500000000000001E-2</v>
      </c>
      <c r="U31" s="948">
        <v>1.6500000000000001E-2</v>
      </c>
      <c r="V31" s="948">
        <v>1.6500000000000001E-2</v>
      </c>
      <c r="W31" s="948">
        <v>1.6500000000000001E-2</v>
      </c>
      <c r="X31" s="948">
        <v>1.6500000000000001E-2</v>
      </c>
      <c r="Y31" s="948">
        <v>1.6500000000000001E-2</v>
      </c>
    </row>
    <row r="32" spans="1:25" x14ac:dyDescent="0.3">
      <c r="A32" s="65" t="s">
        <v>210</v>
      </c>
      <c r="B32" s="898">
        <f>B27/B22</f>
        <v>3.0000000000000002E-2</v>
      </c>
      <c r="C32" s="898">
        <f t="shared" ref="C32:Y32" si="11">C27/C22</f>
        <v>4.5096176470588237E-2</v>
      </c>
      <c r="D32" s="898">
        <f t="shared" si="11"/>
        <v>5.8026406442307707E-2</v>
      </c>
      <c r="E32" s="898">
        <f t="shared" si="11"/>
        <v>4.6674495144287786E-2</v>
      </c>
      <c r="F32" s="898">
        <f t="shared" si="11"/>
        <v>7.4364107634645543E-2</v>
      </c>
      <c r="G32" s="898">
        <f t="shared" si="11"/>
        <v>0.10068308430673058</v>
      </c>
      <c r="H32" s="898">
        <f t="shared" si="11"/>
        <v>0.12569927163354741</v>
      </c>
      <c r="I32" s="898">
        <f t="shared" si="11"/>
        <v>0.14947715768768682</v>
      </c>
      <c r="J32" s="898">
        <f t="shared" si="11"/>
        <v>0.17207803838214633</v>
      </c>
      <c r="K32" s="898">
        <f t="shared" si="11"/>
        <v>0.19356017548223006</v>
      </c>
      <c r="L32" s="898">
        <f t="shared" si="11"/>
        <v>0.21397894679585971</v>
      </c>
      <c r="M32" s="898">
        <f t="shared" si="11"/>
        <v>0.23338698892946466</v>
      </c>
      <c r="N32" s="898">
        <f t="shared" si="11"/>
        <v>0.25183433297745617</v>
      </c>
      <c r="O32" s="898">
        <f t="shared" si="11"/>
        <v>0.26936853349507212</v>
      </c>
      <c r="P32" s="898">
        <f t="shared" si="11"/>
        <v>0.28603479108706598</v>
      </c>
      <c r="Q32" s="898">
        <f t="shared" si="11"/>
        <v>0.30187606892825619</v>
      </c>
      <c r="R32" s="898">
        <f t="shared" si="11"/>
        <v>0.31693320351630749</v>
      </c>
      <c r="S32" s="898">
        <f t="shared" si="11"/>
        <v>0.33124500994225026</v>
      </c>
      <c r="T32" s="898">
        <f t="shared" si="11"/>
        <v>0.34484838195010886</v>
      </c>
      <c r="U32" s="898">
        <f t="shared" si="11"/>
        <v>0.35777838704357845</v>
      </c>
      <c r="V32" s="898">
        <f t="shared" si="11"/>
        <v>0.37006835688492135</v>
      </c>
      <c r="W32" s="898">
        <f t="shared" si="11"/>
        <v>0.38174997321911774</v>
      </c>
      <c r="X32" s="898">
        <f t="shared" si="11"/>
        <v>0.39285334954477136</v>
      </c>
      <c r="Y32" s="898">
        <f t="shared" si="11"/>
        <v>0.40340710874230518</v>
      </c>
    </row>
    <row r="35" spans="1:21" x14ac:dyDescent="0.3">
      <c r="A35" s="68" t="s">
        <v>1784</v>
      </c>
      <c r="B35" s="374" t="s">
        <v>1125</v>
      </c>
      <c r="C35" s="374" t="s">
        <v>1126</v>
      </c>
      <c r="D35" s="374" t="s">
        <v>1127</v>
      </c>
      <c r="E35" s="374" t="s">
        <v>1128</v>
      </c>
      <c r="F35" s="374" t="s">
        <v>922</v>
      </c>
      <c r="G35" s="374" t="s">
        <v>923</v>
      </c>
      <c r="H35" s="374" t="s">
        <v>924</v>
      </c>
      <c r="I35" s="374" t="s">
        <v>925</v>
      </c>
      <c r="J35" s="374" t="s">
        <v>883</v>
      </c>
      <c r="K35" s="374" t="s">
        <v>884</v>
      </c>
      <c r="L35" s="374" t="s">
        <v>885</v>
      </c>
      <c r="M35" s="374" t="s">
        <v>886</v>
      </c>
      <c r="N35" s="374" t="s">
        <v>887</v>
      </c>
      <c r="O35" s="374" t="s">
        <v>888</v>
      </c>
      <c r="P35" s="374" t="s">
        <v>1027</v>
      </c>
      <c r="Q35" s="374" t="s">
        <v>1028</v>
      </c>
      <c r="R35" s="374" t="s">
        <v>1047</v>
      </c>
      <c r="S35" s="374" t="s">
        <v>1048</v>
      </c>
      <c r="T35" s="374" t="s">
        <v>1049</v>
      </c>
      <c r="U35" s="374" t="s">
        <v>1050</v>
      </c>
    </row>
    <row r="36" spans="1:21" x14ac:dyDescent="0.3">
      <c r="A36" t="s">
        <v>1781</v>
      </c>
      <c r="B36" s="76">
        <f>Drivers!EE91</f>
        <v>104</v>
      </c>
      <c r="C36" s="76">
        <f>Drivers!EF91</f>
        <v>157</v>
      </c>
      <c r="D36" s="76">
        <f>Drivers!EG91</f>
        <v>185</v>
      </c>
      <c r="E36" s="76">
        <f>Drivers!EH91</f>
        <v>192</v>
      </c>
      <c r="F36" s="885">
        <v>0</v>
      </c>
      <c r="G36" s="885">
        <v>0</v>
      </c>
      <c r="H36" s="885">
        <v>0</v>
      </c>
      <c r="I36" s="885">
        <v>0</v>
      </c>
      <c r="J36" s="885">
        <v>0</v>
      </c>
      <c r="K36" s="885">
        <v>0</v>
      </c>
      <c r="L36" s="885">
        <v>0</v>
      </c>
      <c r="M36" s="885">
        <v>0</v>
      </c>
      <c r="N36" s="885">
        <v>0</v>
      </c>
      <c r="O36" s="885">
        <v>0</v>
      </c>
      <c r="P36" s="885">
        <v>0</v>
      </c>
      <c r="Q36" s="885">
        <v>0</v>
      </c>
      <c r="R36" s="885">
        <v>0</v>
      </c>
      <c r="S36" s="885">
        <v>0</v>
      </c>
      <c r="T36" s="885">
        <v>0</v>
      </c>
      <c r="U36" s="885">
        <v>0</v>
      </c>
    </row>
    <row r="37" spans="1:21" x14ac:dyDescent="0.3">
      <c r="A37" t="s">
        <v>1782</v>
      </c>
      <c r="B37" s="885">
        <f>B36</f>
        <v>104</v>
      </c>
      <c r="C37" s="885">
        <f t="shared" ref="C37:U37" si="12">B37+C36</f>
        <v>261</v>
      </c>
      <c r="D37" s="885">
        <f t="shared" si="12"/>
        <v>446</v>
      </c>
      <c r="E37" s="885">
        <f t="shared" si="12"/>
        <v>638</v>
      </c>
      <c r="F37" s="885">
        <f t="shared" si="12"/>
        <v>638</v>
      </c>
      <c r="G37" s="885">
        <f t="shared" si="12"/>
        <v>638</v>
      </c>
      <c r="H37" s="885">
        <f t="shared" si="12"/>
        <v>638</v>
      </c>
      <c r="I37" s="885">
        <f t="shared" si="12"/>
        <v>638</v>
      </c>
      <c r="J37" s="885">
        <f t="shared" si="12"/>
        <v>638</v>
      </c>
      <c r="K37" s="885">
        <f t="shared" si="12"/>
        <v>638</v>
      </c>
      <c r="L37" s="885">
        <f t="shared" si="12"/>
        <v>638</v>
      </c>
      <c r="M37" s="885">
        <f t="shared" si="12"/>
        <v>638</v>
      </c>
      <c r="N37" s="885">
        <f t="shared" si="12"/>
        <v>638</v>
      </c>
      <c r="O37" s="885">
        <f t="shared" si="12"/>
        <v>638</v>
      </c>
      <c r="P37" s="885">
        <f t="shared" si="12"/>
        <v>638</v>
      </c>
      <c r="Q37" s="885">
        <f t="shared" si="12"/>
        <v>638</v>
      </c>
      <c r="R37" s="885">
        <f t="shared" si="12"/>
        <v>638</v>
      </c>
      <c r="S37" s="885">
        <f t="shared" si="12"/>
        <v>638</v>
      </c>
      <c r="T37" s="885">
        <f t="shared" si="12"/>
        <v>638</v>
      </c>
      <c r="U37" s="885">
        <f t="shared" si="12"/>
        <v>638</v>
      </c>
    </row>
    <row r="39" spans="1:21" x14ac:dyDescent="0.3">
      <c r="A39" s="63" t="s">
        <v>335</v>
      </c>
      <c r="B39" s="899">
        <v>0</v>
      </c>
      <c r="C39" s="1179">
        <f t="shared" ref="C39:U39" si="13">B42</f>
        <v>3.12</v>
      </c>
      <c r="D39" s="1179">
        <f t="shared" si="13"/>
        <v>10.79556</v>
      </c>
      <c r="E39" s="1179">
        <f t="shared" si="13"/>
        <v>23.641179779999998</v>
      </c>
      <c r="F39" s="1179">
        <f t="shared" si="13"/>
        <v>41.610941380890004</v>
      </c>
      <c r="G39" s="1179">
        <f t="shared" si="13"/>
        <v>58.691199782535946</v>
      </c>
      <c r="H39" s="1179">
        <f t="shared" si="13"/>
        <v>74.925985393300422</v>
      </c>
      <c r="I39" s="1179">
        <f t="shared" si="13"/>
        <v>90.357149116332053</v>
      </c>
      <c r="J39" s="1179">
        <f t="shared" si="13"/>
        <v>105.02447023507362</v>
      </c>
      <c r="K39" s="1179">
        <f t="shared" si="13"/>
        <v>118.96575895843748</v>
      </c>
      <c r="L39" s="1179">
        <f t="shared" si="13"/>
        <v>132.21695388999484</v>
      </c>
      <c r="M39" s="1179">
        <f t="shared" si="13"/>
        <v>144.81221467244009</v>
      </c>
      <c r="N39" s="1179">
        <f t="shared" si="13"/>
        <v>156.78401004615432</v>
      </c>
      <c r="O39" s="1179">
        <f t="shared" si="13"/>
        <v>168.16320154886967</v>
      </c>
      <c r="P39" s="1179">
        <f t="shared" si="13"/>
        <v>178.97912307220059</v>
      </c>
      <c r="Q39" s="1179">
        <f t="shared" si="13"/>
        <v>189.25965648012664</v>
      </c>
      <c r="R39" s="1179">
        <f t="shared" si="13"/>
        <v>199.03130348436036</v>
      </c>
      <c r="S39" s="1179">
        <f t="shared" si="13"/>
        <v>208.3192539618845</v>
      </c>
      <c r="T39" s="1179">
        <f t="shared" si="13"/>
        <v>217.14745089077121</v>
      </c>
      <c r="U39" s="1179">
        <f t="shared" si="13"/>
        <v>225.53865207167803</v>
      </c>
    </row>
    <row r="40" spans="1:21" x14ac:dyDescent="0.3">
      <c r="A40" s="63" t="s">
        <v>336</v>
      </c>
      <c r="B40" s="899">
        <f>B37*B45</f>
        <v>3.12</v>
      </c>
      <c r="C40" s="899">
        <f t="shared" ref="C40:U40" si="14">C37*C45</f>
        <v>7.83</v>
      </c>
      <c r="D40" s="899">
        <f t="shared" si="14"/>
        <v>13.379999999999999</v>
      </c>
      <c r="E40" s="899">
        <f t="shared" si="14"/>
        <v>19.14</v>
      </c>
      <c r="F40" s="899">
        <f t="shared" si="14"/>
        <v>19.14</v>
      </c>
      <c r="G40" s="899">
        <f t="shared" si="14"/>
        <v>19.14</v>
      </c>
      <c r="H40" s="899">
        <f t="shared" si="14"/>
        <v>19.14</v>
      </c>
      <c r="I40" s="899">
        <f t="shared" si="14"/>
        <v>19.14</v>
      </c>
      <c r="J40" s="899">
        <f t="shared" si="14"/>
        <v>19.14</v>
      </c>
      <c r="K40" s="899">
        <f t="shared" si="14"/>
        <v>19.14</v>
      </c>
      <c r="L40" s="899">
        <f t="shared" si="14"/>
        <v>19.14</v>
      </c>
      <c r="M40" s="899">
        <f t="shared" si="14"/>
        <v>19.14</v>
      </c>
      <c r="N40" s="899">
        <f t="shared" si="14"/>
        <v>19.14</v>
      </c>
      <c r="O40" s="899">
        <f t="shared" si="14"/>
        <v>19.14</v>
      </c>
      <c r="P40" s="899">
        <f t="shared" si="14"/>
        <v>19.14</v>
      </c>
      <c r="Q40" s="899">
        <f t="shared" si="14"/>
        <v>19.14</v>
      </c>
      <c r="R40" s="899">
        <f t="shared" si="14"/>
        <v>19.14</v>
      </c>
      <c r="S40" s="899">
        <f t="shared" si="14"/>
        <v>19.14</v>
      </c>
      <c r="T40" s="899">
        <f t="shared" si="14"/>
        <v>19.14</v>
      </c>
      <c r="U40" s="899">
        <f t="shared" si="14"/>
        <v>19.14</v>
      </c>
    </row>
    <row r="41" spans="1:21" x14ac:dyDescent="0.3">
      <c r="A41" s="63" t="s">
        <v>337</v>
      </c>
      <c r="B41" s="904">
        <f>-B39*B46*3</f>
        <v>0</v>
      </c>
      <c r="C41" s="904">
        <f t="shared" ref="C41:U41" si="15">-C39*C46*3</f>
        <v>-0.15444000000000002</v>
      </c>
      <c r="D41" s="904">
        <f t="shared" si="15"/>
        <v>-0.53438022000000007</v>
      </c>
      <c r="E41" s="904">
        <f t="shared" si="15"/>
        <v>-1.1702383991099998</v>
      </c>
      <c r="F41" s="904">
        <f t="shared" si="15"/>
        <v>-2.0597415983540555</v>
      </c>
      <c r="G41" s="904">
        <f t="shared" si="15"/>
        <v>-2.9052143892355295</v>
      </c>
      <c r="H41" s="904">
        <f t="shared" si="15"/>
        <v>-3.7088362769683711</v>
      </c>
      <c r="I41" s="904">
        <f t="shared" si="15"/>
        <v>-4.472678881258437</v>
      </c>
      <c r="J41" s="904">
        <f t="shared" si="15"/>
        <v>-5.1987112766361445</v>
      </c>
      <c r="K41" s="904">
        <f t="shared" si="15"/>
        <v>-5.8888050684426556</v>
      </c>
      <c r="L41" s="904">
        <f t="shared" si="15"/>
        <v>-6.5447392175547439</v>
      </c>
      <c r="M41" s="904">
        <f t="shared" si="15"/>
        <v>-7.1682046262857844</v>
      </c>
      <c r="N41" s="904">
        <f t="shared" si="15"/>
        <v>-7.7608084972846392</v>
      </c>
      <c r="O41" s="904">
        <f t="shared" si="15"/>
        <v>-8.3240784766690474</v>
      </c>
      <c r="P41" s="904">
        <f t="shared" si="15"/>
        <v>-8.8594665920739288</v>
      </c>
      <c r="Q41" s="904">
        <f t="shared" si="15"/>
        <v>-9.3683529957662692</v>
      </c>
      <c r="R41" s="904">
        <f t="shared" si="15"/>
        <v>-9.8520495224758378</v>
      </c>
      <c r="S41" s="904">
        <f t="shared" si="15"/>
        <v>-10.311803071113284</v>
      </c>
      <c r="T41" s="904">
        <f t="shared" si="15"/>
        <v>-10.748798819093174</v>
      </c>
      <c r="U41" s="904">
        <f t="shared" si="15"/>
        <v>-11.164163277548063</v>
      </c>
    </row>
    <row r="42" spans="1:21" x14ac:dyDescent="0.3">
      <c r="A42" s="64" t="s">
        <v>338</v>
      </c>
      <c r="B42" s="905">
        <f t="shared" ref="B42:U42" si="16">SUM(B39:B41)</f>
        <v>3.12</v>
      </c>
      <c r="C42" s="905">
        <f t="shared" si="16"/>
        <v>10.79556</v>
      </c>
      <c r="D42" s="905">
        <f t="shared" si="16"/>
        <v>23.641179779999998</v>
      </c>
      <c r="E42" s="905">
        <f t="shared" si="16"/>
        <v>41.610941380890004</v>
      </c>
      <c r="F42" s="905">
        <f t="shared" si="16"/>
        <v>58.691199782535946</v>
      </c>
      <c r="G42" s="905">
        <f t="shared" si="16"/>
        <v>74.925985393300422</v>
      </c>
      <c r="H42" s="905">
        <f t="shared" si="16"/>
        <v>90.357149116332053</v>
      </c>
      <c r="I42" s="905">
        <f t="shared" si="16"/>
        <v>105.02447023507362</v>
      </c>
      <c r="J42" s="905">
        <f t="shared" si="16"/>
        <v>118.96575895843748</v>
      </c>
      <c r="K42" s="905">
        <f t="shared" si="16"/>
        <v>132.21695388999484</v>
      </c>
      <c r="L42" s="905">
        <f t="shared" si="16"/>
        <v>144.81221467244009</v>
      </c>
      <c r="M42" s="905">
        <f t="shared" si="16"/>
        <v>156.78401004615432</v>
      </c>
      <c r="N42" s="905">
        <f t="shared" si="16"/>
        <v>168.16320154886967</v>
      </c>
      <c r="O42" s="905">
        <f t="shared" si="16"/>
        <v>178.97912307220059</v>
      </c>
      <c r="P42" s="905">
        <f t="shared" si="16"/>
        <v>189.25965648012664</v>
      </c>
      <c r="Q42" s="905">
        <f t="shared" si="16"/>
        <v>199.03130348436036</v>
      </c>
      <c r="R42" s="905">
        <f t="shared" si="16"/>
        <v>208.3192539618845</v>
      </c>
      <c r="S42" s="905">
        <f t="shared" si="16"/>
        <v>217.14745089077121</v>
      </c>
      <c r="T42" s="905">
        <f t="shared" si="16"/>
        <v>225.53865207167803</v>
      </c>
      <c r="U42" s="905">
        <f t="shared" si="16"/>
        <v>233.51448879412996</v>
      </c>
    </row>
    <row r="43" spans="1:21" x14ac:dyDescent="0.3">
      <c r="A43" s="61" t="s">
        <v>339</v>
      </c>
    </row>
    <row r="44" spans="1:21" x14ac:dyDescent="0.3">
      <c r="A44" s="65" t="s">
        <v>340</v>
      </c>
    </row>
    <row r="45" spans="1:21" x14ac:dyDescent="0.3">
      <c r="A45" s="65" t="s">
        <v>341</v>
      </c>
      <c r="B45" s="948">
        <v>0.03</v>
      </c>
      <c r="C45" s="948">
        <v>0.03</v>
      </c>
      <c r="D45" s="948">
        <v>0.03</v>
      </c>
      <c r="E45" s="948">
        <v>0.03</v>
      </c>
      <c r="F45" s="948">
        <v>0.03</v>
      </c>
      <c r="G45" s="948">
        <v>0.03</v>
      </c>
      <c r="H45" s="948">
        <v>0.03</v>
      </c>
      <c r="I45" s="948">
        <v>0.03</v>
      </c>
      <c r="J45" s="948">
        <v>0.03</v>
      </c>
      <c r="K45" s="948">
        <v>0.03</v>
      </c>
      <c r="L45" s="948">
        <v>0.03</v>
      </c>
      <c r="M45" s="948">
        <v>0.03</v>
      </c>
      <c r="N45" s="948">
        <v>0.03</v>
      </c>
      <c r="O45" s="948">
        <v>0.03</v>
      </c>
      <c r="P45" s="948">
        <v>0.03</v>
      </c>
      <c r="Q45" s="948">
        <v>0.03</v>
      </c>
      <c r="R45" s="948">
        <v>0.03</v>
      </c>
      <c r="S45" s="948">
        <v>0.03</v>
      </c>
      <c r="T45" s="948">
        <v>0.03</v>
      </c>
      <c r="U45" s="948">
        <v>0.03</v>
      </c>
    </row>
    <row r="46" spans="1:21" x14ac:dyDescent="0.3">
      <c r="A46" s="65" t="s">
        <v>342</v>
      </c>
      <c r="B46" s="948">
        <v>1.6500000000000001E-2</v>
      </c>
      <c r="C46" s="948">
        <v>1.6500000000000001E-2</v>
      </c>
      <c r="D46" s="948">
        <v>1.6500000000000001E-2</v>
      </c>
      <c r="E46" s="948">
        <v>1.6500000000000001E-2</v>
      </c>
      <c r="F46" s="948">
        <v>1.6500000000000001E-2</v>
      </c>
      <c r="G46" s="948">
        <v>1.6500000000000001E-2</v>
      </c>
      <c r="H46" s="948">
        <v>1.6500000000000001E-2</v>
      </c>
      <c r="I46" s="948">
        <v>1.6500000000000001E-2</v>
      </c>
      <c r="J46" s="948">
        <v>1.6500000000000001E-2</v>
      </c>
      <c r="K46" s="948">
        <v>1.6500000000000001E-2</v>
      </c>
      <c r="L46" s="948">
        <v>1.6500000000000001E-2</v>
      </c>
      <c r="M46" s="948">
        <v>1.6500000000000001E-2</v>
      </c>
      <c r="N46" s="948">
        <v>1.6500000000000001E-2</v>
      </c>
      <c r="O46" s="948">
        <v>1.6500000000000001E-2</v>
      </c>
      <c r="P46" s="948">
        <v>1.6500000000000001E-2</v>
      </c>
      <c r="Q46" s="948">
        <v>1.6500000000000001E-2</v>
      </c>
      <c r="R46" s="948">
        <v>1.6500000000000001E-2</v>
      </c>
      <c r="S46" s="948">
        <v>1.6500000000000001E-2</v>
      </c>
      <c r="T46" s="948">
        <v>1.6500000000000001E-2</v>
      </c>
      <c r="U46" s="948">
        <v>1.6500000000000001E-2</v>
      </c>
    </row>
    <row r="47" spans="1:21" x14ac:dyDescent="0.3">
      <c r="A47" s="65" t="s">
        <v>210</v>
      </c>
      <c r="B47" s="898">
        <f t="shared" ref="B47:U47" si="17">B42/B37</f>
        <v>3.0000000000000002E-2</v>
      </c>
      <c r="C47" s="898">
        <f t="shared" si="17"/>
        <v>4.1362298850574714E-2</v>
      </c>
      <c r="D47" s="898">
        <f t="shared" si="17"/>
        <v>5.3007129551569505E-2</v>
      </c>
      <c r="E47" s="898">
        <f t="shared" si="17"/>
        <v>6.5220911255313485E-2</v>
      </c>
      <c r="F47" s="898">
        <f t="shared" si="17"/>
        <v>9.1992476148175462E-2</v>
      </c>
      <c r="G47" s="898">
        <f t="shared" si="17"/>
        <v>0.11743884857884079</v>
      </c>
      <c r="H47" s="898">
        <f t="shared" si="17"/>
        <v>0.14162562557418817</v>
      </c>
      <c r="I47" s="898">
        <f t="shared" si="17"/>
        <v>0.16461515710826585</v>
      </c>
      <c r="J47" s="898">
        <f t="shared" si="17"/>
        <v>0.1864667068314067</v>
      </c>
      <c r="K47" s="898">
        <f t="shared" si="17"/>
        <v>0.2072366048432521</v>
      </c>
      <c r="L47" s="898">
        <f t="shared" si="17"/>
        <v>0.22697839290351113</v>
      </c>
      <c r="M47" s="898">
        <f t="shared" si="17"/>
        <v>0.24574296245478733</v>
      </c>
      <c r="N47" s="898">
        <f t="shared" si="17"/>
        <v>0.26357868581327532</v>
      </c>
      <c r="O47" s="898">
        <f t="shared" si="17"/>
        <v>0.28053154086551818</v>
      </c>
      <c r="P47" s="898">
        <f t="shared" si="17"/>
        <v>0.29664522959267497</v>
      </c>
      <c r="Q47" s="898">
        <f t="shared" si="17"/>
        <v>0.31196129072783757</v>
      </c>
      <c r="R47" s="898">
        <f t="shared" si="17"/>
        <v>0.32651920683680957</v>
      </c>
      <c r="S47" s="898">
        <f t="shared" si="17"/>
        <v>0.34035650609838747</v>
      </c>
      <c r="T47" s="898">
        <f t="shared" si="17"/>
        <v>0.3535088590465173</v>
      </c>
      <c r="U47" s="898">
        <f t="shared" si="17"/>
        <v>0.36601017052371465</v>
      </c>
    </row>
    <row r="51" spans="1:24" x14ac:dyDescent="0.3">
      <c r="A51" s="68" t="s">
        <v>1785</v>
      </c>
      <c r="B51" s="374" t="s">
        <v>922</v>
      </c>
      <c r="C51" s="374" t="s">
        <v>923</v>
      </c>
      <c r="D51" s="374" t="s">
        <v>924</v>
      </c>
      <c r="E51" s="374" t="s">
        <v>925</v>
      </c>
      <c r="F51" s="374" t="s">
        <v>883</v>
      </c>
      <c r="G51" s="374" t="s">
        <v>884</v>
      </c>
      <c r="H51" s="374" t="s">
        <v>885</v>
      </c>
      <c r="I51" s="374" t="s">
        <v>886</v>
      </c>
      <c r="J51" s="374" t="s">
        <v>887</v>
      </c>
      <c r="K51" s="374" t="s">
        <v>888</v>
      </c>
      <c r="L51" s="374" t="s">
        <v>1027</v>
      </c>
      <c r="M51" s="374" t="s">
        <v>1028</v>
      </c>
      <c r="N51" s="374" t="s">
        <v>1047</v>
      </c>
      <c r="O51" s="374" t="s">
        <v>1048</v>
      </c>
      <c r="P51" s="374" t="s">
        <v>1049</v>
      </c>
      <c r="Q51" s="374" t="s">
        <v>1050</v>
      </c>
    </row>
    <row r="52" spans="1:24" x14ac:dyDescent="0.3">
      <c r="A52" t="s">
        <v>1781</v>
      </c>
      <c r="B52" s="885">
        <f>Drivers!EJ91</f>
        <v>211</v>
      </c>
      <c r="C52" s="885">
        <f>Drivers!EK91</f>
        <v>281</v>
      </c>
      <c r="D52" s="885">
        <f>Drivers!EL91</f>
        <v>351</v>
      </c>
      <c r="E52" s="885">
        <f>Drivers!EM91</f>
        <v>381</v>
      </c>
      <c r="F52" s="885">
        <v>0</v>
      </c>
      <c r="G52" s="885">
        <v>0</v>
      </c>
      <c r="H52" s="885">
        <v>0</v>
      </c>
      <c r="I52" s="885">
        <v>0</v>
      </c>
      <c r="J52" s="885">
        <v>0</v>
      </c>
      <c r="K52" s="885">
        <v>0</v>
      </c>
      <c r="L52" s="885">
        <v>0</v>
      </c>
      <c r="M52" s="885">
        <v>0</v>
      </c>
      <c r="N52" s="885">
        <v>0</v>
      </c>
      <c r="O52" s="885">
        <v>0</v>
      </c>
      <c r="P52" s="885">
        <v>0</v>
      </c>
      <c r="Q52" s="885">
        <v>0</v>
      </c>
    </row>
    <row r="53" spans="1:24" x14ac:dyDescent="0.3">
      <c r="A53" t="s">
        <v>1782</v>
      </c>
      <c r="B53" s="885">
        <f>B52</f>
        <v>211</v>
      </c>
      <c r="C53" s="885">
        <f t="shared" ref="C53:Q53" si="18">B53+C52</f>
        <v>492</v>
      </c>
      <c r="D53" s="885">
        <f t="shared" si="18"/>
        <v>843</v>
      </c>
      <c r="E53" s="885">
        <f t="shared" si="18"/>
        <v>1224</v>
      </c>
      <c r="F53" s="885">
        <f t="shared" si="18"/>
        <v>1224</v>
      </c>
      <c r="G53" s="885">
        <f t="shared" si="18"/>
        <v>1224</v>
      </c>
      <c r="H53" s="885">
        <f t="shared" si="18"/>
        <v>1224</v>
      </c>
      <c r="I53" s="885">
        <f t="shared" si="18"/>
        <v>1224</v>
      </c>
      <c r="J53" s="885">
        <f t="shared" si="18"/>
        <v>1224</v>
      </c>
      <c r="K53" s="885">
        <f t="shared" si="18"/>
        <v>1224</v>
      </c>
      <c r="L53" s="885">
        <f t="shared" si="18"/>
        <v>1224</v>
      </c>
      <c r="M53" s="885">
        <f t="shared" si="18"/>
        <v>1224</v>
      </c>
      <c r="N53" s="885">
        <f t="shared" si="18"/>
        <v>1224</v>
      </c>
      <c r="O53" s="885">
        <f t="shared" si="18"/>
        <v>1224</v>
      </c>
      <c r="P53" s="885">
        <f t="shared" si="18"/>
        <v>1224</v>
      </c>
      <c r="Q53" s="885">
        <f t="shared" si="18"/>
        <v>1224</v>
      </c>
    </row>
    <row r="55" spans="1:24" x14ac:dyDescent="0.3">
      <c r="A55" s="63" t="s">
        <v>335</v>
      </c>
      <c r="B55" s="899">
        <v>0</v>
      </c>
      <c r="C55" s="1179">
        <f>B58</f>
        <v>6.33</v>
      </c>
      <c r="D55" s="1179">
        <f>C58</f>
        <v>20.776665000000001</v>
      </c>
      <c r="E55" s="1179">
        <f>D58</f>
        <v>45.038220082499997</v>
      </c>
      <c r="F55" s="1179">
        <f t="shared" ref="F55:Q55" si="19">E58</f>
        <v>79.528828188416256</v>
      </c>
      <c r="G55" s="1179">
        <f t="shared" si="19"/>
        <v>112.31215119308965</v>
      </c>
      <c r="H55" s="1179">
        <f t="shared" si="19"/>
        <v>143.4726997090317</v>
      </c>
      <c r="I55" s="1179">
        <f t="shared" si="19"/>
        <v>173.09080107343462</v>
      </c>
      <c r="J55" s="1179">
        <f t="shared" si="19"/>
        <v>201.24280642029962</v>
      </c>
      <c r="K55" s="1179">
        <f t="shared" si="19"/>
        <v>228.00128750249479</v>
      </c>
      <c r="L55" s="1179">
        <f t="shared" si="19"/>
        <v>253.43522377112126</v>
      </c>
      <c r="M55" s="1179">
        <f t="shared" si="19"/>
        <v>277.61018019445078</v>
      </c>
      <c r="N55" s="1179">
        <f t="shared" si="19"/>
        <v>300.5884762748255</v>
      </c>
      <c r="O55" s="1179">
        <f t="shared" si="19"/>
        <v>322.42934669922158</v>
      </c>
      <c r="P55" s="1179">
        <f t="shared" si="19"/>
        <v>343.18909403761012</v>
      </c>
      <c r="Q55" s="1179">
        <f t="shared" si="19"/>
        <v>362.92123388274837</v>
      </c>
    </row>
    <row r="56" spans="1:24" x14ac:dyDescent="0.3">
      <c r="A56" s="63" t="s">
        <v>336</v>
      </c>
      <c r="B56" s="899">
        <f>B53*B61</f>
        <v>6.33</v>
      </c>
      <c r="C56" s="899">
        <f>C53*C61</f>
        <v>14.76</v>
      </c>
      <c r="D56" s="899">
        <f>D53*D61</f>
        <v>25.29</v>
      </c>
      <c r="E56" s="899">
        <f>E53*E61</f>
        <v>36.72</v>
      </c>
      <c r="F56" s="899">
        <f t="shared" ref="F56:Q56" si="20">F53*F61</f>
        <v>36.72</v>
      </c>
      <c r="G56" s="899">
        <f t="shared" si="20"/>
        <v>36.72</v>
      </c>
      <c r="H56" s="899">
        <f t="shared" si="20"/>
        <v>36.72</v>
      </c>
      <c r="I56" s="899">
        <f t="shared" si="20"/>
        <v>36.72</v>
      </c>
      <c r="J56" s="899">
        <f t="shared" si="20"/>
        <v>36.72</v>
      </c>
      <c r="K56" s="899">
        <f t="shared" si="20"/>
        <v>36.72</v>
      </c>
      <c r="L56" s="899">
        <f t="shared" si="20"/>
        <v>36.72</v>
      </c>
      <c r="M56" s="899">
        <f t="shared" si="20"/>
        <v>36.72</v>
      </c>
      <c r="N56" s="899">
        <f t="shared" si="20"/>
        <v>36.72</v>
      </c>
      <c r="O56" s="899">
        <f t="shared" si="20"/>
        <v>36.72</v>
      </c>
      <c r="P56" s="899">
        <f t="shared" si="20"/>
        <v>36.72</v>
      </c>
      <c r="Q56" s="899">
        <f t="shared" si="20"/>
        <v>36.72</v>
      </c>
    </row>
    <row r="57" spans="1:24" x14ac:dyDescent="0.3">
      <c r="A57" s="63" t="s">
        <v>337</v>
      </c>
      <c r="B57" s="904">
        <f>-B55*B62*3</f>
        <v>0</v>
      </c>
      <c r="C57" s="904">
        <f>-C55*C62*3</f>
        <v>-0.31333500000000003</v>
      </c>
      <c r="D57" s="904">
        <f>-D55*D62*3</f>
        <v>-1.0284449175000001</v>
      </c>
      <c r="E57" s="904">
        <f>-E55*E62*3</f>
        <v>-2.2293918940837498</v>
      </c>
      <c r="F57" s="904">
        <f t="shared" ref="F57:Q57" si="21">-F55*F62*3</f>
        <v>-3.9366769953266045</v>
      </c>
      <c r="G57" s="904">
        <f t="shared" si="21"/>
        <v>-5.5594514840579379</v>
      </c>
      <c r="H57" s="904">
        <f t="shared" si="21"/>
        <v>-7.1018986355970704</v>
      </c>
      <c r="I57" s="904">
        <f t="shared" si="21"/>
        <v>-8.5679946531350133</v>
      </c>
      <c r="J57" s="904">
        <f t="shared" si="21"/>
        <v>-9.9615189178048311</v>
      </c>
      <c r="K57" s="904">
        <f t="shared" si="21"/>
        <v>-11.286063731373494</v>
      </c>
      <c r="L57" s="904">
        <f t="shared" si="21"/>
        <v>-12.545043576670505</v>
      </c>
      <c r="M57" s="904">
        <f t="shared" si="21"/>
        <v>-13.741703919625312</v>
      </c>
      <c r="N57" s="904">
        <f t="shared" si="21"/>
        <v>-14.879129575603864</v>
      </c>
      <c r="O57" s="904">
        <f t="shared" si="21"/>
        <v>-15.960252661611468</v>
      </c>
      <c r="P57" s="904">
        <f t="shared" si="21"/>
        <v>-16.9878601548617</v>
      </c>
      <c r="Q57" s="904">
        <f t="shared" si="21"/>
        <v>-17.964601077196043</v>
      </c>
    </row>
    <row r="58" spans="1:24" x14ac:dyDescent="0.3">
      <c r="A58" s="64" t="s">
        <v>338</v>
      </c>
      <c r="B58" s="905">
        <f t="shared" ref="B58:Q58" si="22">SUM(B55:B57)</f>
        <v>6.33</v>
      </c>
      <c r="C58" s="905">
        <f t="shared" si="22"/>
        <v>20.776665000000001</v>
      </c>
      <c r="D58" s="905">
        <f t="shared" si="22"/>
        <v>45.038220082499997</v>
      </c>
      <c r="E58" s="905">
        <f t="shared" si="22"/>
        <v>79.528828188416256</v>
      </c>
      <c r="F58" s="905">
        <f t="shared" si="22"/>
        <v>112.31215119308965</v>
      </c>
      <c r="G58" s="905">
        <f t="shared" si="22"/>
        <v>143.4726997090317</v>
      </c>
      <c r="H58" s="905">
        <f t="shared" si="22"/>
        <v>173.09080107343462</v>
      </c>
      <c r="I58" s="905">
        <f t="shared" si="22"/>
        <v>201.24280642029962</v>
      </c>
      <c r="J58" s="905">
        <f t="shared" si="22"/>
        <v>228.00128750249479</v>
      </c>
      <c r="K58" s="905">
        <f t="shared" si="22"/>
        <v>253.43522377112126</v>
      </c>
      <c r="L58" s="905">
        <f t="shared" si="22"/>
        <v>277.61018019445078</v>
      </c>
      <c r="M58" s="905">
        <f t="shared" si="22"/>
        <v>300.5884762748255</v>
      </c>
      <c r="N58" s="905">
        <f t="shared" si="22"/>
        <v>322.42934669922158</v>
      </c>
      <c r="O58" s="905">
        <f t="shared" si="22"/>
        <v>343.18909403761012</v>
      </c>
      <c r="P58" s="905">
        <f t="shared" si="22"/>
        <v>362.92123388274837</v>
      </c>
      <c r="Q58" s="905">
        <f t="shared" si="22"/>
        <v>381.67663280555229</v>
      </c>
    </row>
    <row r="59" spans="1:24" x14ac:dyDescent="0.3">
      <c r="A59" s="61" t="s">
        <v>339</v>
      </c>
    </row>
    <row r="60" spans="1:24" x14ac:dyDescent="0.3">
      <c r="A60" s="65" t="s">
        <v>340</v>
      </c>
    </row>
    <row r="61" spans="1:24" x14ac:dyDescent="0.3">
      <c r="A61" s="65" t="s">
        <v>341</v>
      </c>
      <c r="B61" s="948">
        <v>0.03</v>
      </c>
      <c r="C61" s="948">
        <v>0.03</v>
      </c>
      <c r="D61" s="948">
        <v>0.03</v>
      </c>
      <c r="E61" s="948">
        <v>0.03</v>
      </c>
      <c r="F61" s="948">
        <v>0.03</v>
      </c>
      <c r="G61" s="948">
        <v>0.03</v>
      </c>
      <c r="H61" s="948">
        <v>0.03</v>
      </c>
      <c r="I61" s="948">
        <v>0.03</v>
      </c>
      <c r="J61" s="948">
        <v>0.03</v>
      </c>
      <c r="K61" s="948">
        <v>0.03</v>
      </c>
      <c r="L61" s="948">
        <v>0.03</v>
      </c>
      <c r="M61" s="948">
        <v>0.03</v>
      </c>
      <c r="N61" s="948">
        <v>0.03</v>
      </c>
      <c r="O61" s="948">
        <v>0.03</v>
      </c>
      <c r="P61" s="948">
        <v>0.03</v>
      </c>
      <c r="Q61" s="948">
        <v>0.03</v>
      </c>
      <c r="V61" t="s">
        <v>1789</v>
      </c>
      <c r="W61" s="146">
        <v>0.15</v>
      </c>
      <c r="X61" s="146">
        <v>0.2</v>
      </c>
    </row>
    <row r="62" spans="1:24" x14ac:dyDescent="0.3">
      <c r="A62" s="65" t="s">
        <v>342</v>
      </c>
      <c r="B62" s="948">
        <v>1.6500000000000001E-2</v>
      </c>
      <c r="C62" s="948">
        <v>1.6500000000000001E-2</v>
      </c>
      <c r="D62" s="948">
        <v>1.6500000000000001E-2</v>
      </c>
      <c r="E62" s="948">
        <v>1.6500000000000001E-2</v>
      </c>
      <c r="F62" s="948">
        <v>1.6500000000000001E-2</v>
      </c>
      <c r="G62" s="948">
        <v>1.6500000000000001E-2</v>
      </c>
      <c r="H62" s="948">
        <v>1.6500000000000001E-2</v>
      </c>
      <c r="I62" s="948">
        <v>1.6500000000000001E-2</v>
      </c>
      <c r="J62" s="948">
        <v>1.6500000000000001E-2</v>
      </c>
      <c r="K62" s="948">
        <v>1.6500000000000001E-2</v>
      </c>
      <c r="L62" s="948">
        <v>1.6500000000000001E-2</v>
      </c>
      <c r="M62" s="948">
        <v>1.6500000000000001E-2</v>
      </c>
      <c r="N62" s="948">
        <v>1.6500000000000001E-2</v>
      </c>
      <c r="O62" s="948">
        <v>1.6500000000000001E-2</v>
      </c>
      <c r="P62" s="948">
        <v>1.6500000000000001E-2</v>
      </c>
      <c r="Q62" s="948">
        <v>1.6500000000000001E-2</v>
      </c>
      <c r="V62" t="s">
        <v>1791</v>
      </c>
      <c r="W62" s="146">
        <v>0.25</v>
      </c>
      <c r="X62" s="146">
        <v>0.3</v>
      </c>
    </row>
    <row r="63" spans="1:24" x14ac:dyDescent="0.3">
      <c r="A63" s="65" t="s">
        <v>210</v>
      </c>
      <c r="B63" s="898">
        <f>B58/B53</f>
        <v>0.03</v>
      </c>
      <c r="C63" s="898">
        <f>C58/C53</f>
        <v>4.2228993902439026E-2</v>
      </c>
      <c r="D63" s="898">
        <f>D58/D53</f>
        <v>5.3426121094306049E-2</v>
      </c>
      <c r="E63" s="898">
        <f>E58/E53</f>
        <v>6.497453283367341E-2</v>
      </c>
      <c r="F63" s="898">
        <f t="shared" ref="F63:Q63" si="23">F58/F53</f>
        <v>9.1758293458406581E-2</v>
      </c>
      <c r="G63" s="898">
        <f t="shared" si="23"/>
        <v>0.11721625793221545</v>
      </c>
      <c r="H63" s="898">
        <f t="shared" si="23"/>
        <v>0.14141405316457076</v>
      </c>
      <c r="I63" s="898">
        <f t="shared" si="23"/>
        <v>0.16441405753292451</v>
      </c>
      <c r="J63" s="898">
        <f t="shared" si="23"/>
        <v>0.18627556168504478</v>
      </c>
      <c r="K63" s="898">
        <f t="shared" si="23"/>
        <v>0.207054921381635</v>
      </c>
      <c r="L63" s="898">
        <f t="shared" si="23"/>
        <v>0.22680570277324411</v>
      </c>
      <c r="M63" s="898">
        <f t="shared" si="23"/>
        <v>0.24557882048596855</v>
      </c>
      <c r="N63" s="898">
        <f t="shared" si="23"/>
        <v>0.26342266887191307</v>
      </c>
      <c r="O63" s="898">
        <f t="shared" si="23"/>
        <v>0.28038324676275339</v>
      </c>
      <c r="P63" s="898">
        <f t="shared" si="23"/>
        <v>0.29650427604799701</v>
      </c>
      <c r="Q63" s="898">
        <f t="shared" si="23"/>
        <v>0.31182731438362116</v>
      </c>
      <c r="V63" t="s">
        <v>1793</v>
      </c>
      <c r="W63" s="146">
        <v>0.4</v>
      </c>
    </row>
    <row r="66" spans="1:23" x14ac:dyDescent="0.3">
      <c r="A66" s="533"/>
      <c r="B66" s="534"/>
      <c r="C66" s="534"/>
      <c r="D66" s="534"/>
      <c r="E66" s="534"/>
      <c r="F66" s="534"/>
      <c r="G66" s="534"/>
      <c r="H66" s="534"/>
      <c r="I66" s="534"/>
      <c r="J66" s="534"/>
      <c r="K66" s="534"/>
      <c r="L66" s="534"/>
      <c r="M66" s="534"/>
      <c r="N66" s="534"/>
      <c r="O66" s="534"/>
      <c r="P66" s="534"/>
      <c r="Q66" s="534"/>
      <c r="R66" s="534"/>
      <c r="S66" s="534"/>
      <c r="T66" s="534"/>
      <c r="U66" s="534"/>
      <c r="V66" s="534"/>
    </row>
    <row r="67" spans="1:23" x14ac:dyDescent="0.3">
      <c r="B67" s="147">
        <v>2019</v>
      </c>
      <c r="C67" s="374" t="s">
        <v>1166</v>
      </c>
      <c r="D67" s="374" t="s">
        <v>1167</v>
      </c>
      <c r="E67" s="374" t="s">
        <v>1168</v>
      </c>
      <c r="F67" s="374" t="s">
        <v>1169</v>
      </c>
      <c r="G67" s="374" t="s">
        <v>1125</v>
      </c>
      <c r="H67" s="374" t="s">
        <v>1126</v>
      </c>
      <c r="I67" s="374" t="s">
        <v>1127</v>
      </c>
      <c r="J67" s="374" t="s">
        <v>1128</v>
      </c>
      <c r="K67" s="374" t="s">
        <v>922</v>
      </c>
      <c r="L67" s="374" t="s">
        <v>923</v>
      </c>
      <c r="M67" s="374" t="s">
        <v>924</v>
      </c>
      <c r="N67" s="374" t="s">
        <v>925</v>
      </c>
      <c r="O67" s="374" t="s">
        <v>883</v>
      </c>
      <c r="P67" s="374" t="s">
        <v>884</v>
      </c>
      <c r="Q67" s="374" t="s">
        <v>885</v>
      </c>
      <c r="R67" s="374" t="s">
        <v>886</v>
      </c>
      <c r="S67" s="374" t="s">
        <v>887</v>
      </c>
      <c r="T67" s="374" t="s">
        <v>888</v>
      </c>
      <c r="U67" s="374" t="s">
        <v>1027</v>
      </c>
      <c r="V67" s="374" t="s">
        <v>1028</v>
      </c>
    </row>
    <row r="68" spans="1:23" x14ac:dyDescent="0.3">
      <c r="A68" t="s">
        <v>271</v>
      </c>
      <c r="B68" s="76">
        <f>Drivers!DY90</f>
        <v>3223</v>
      </c>
      <c r="C68" s="76">
        <f>Drivers!DZ90</f>
        <v>3232</v>
      </c>
      <c r="D68" s="76">
        <f>Drivers!EA90</f>
        <v>3240</v>
      </c>
      <c r="E68" s="76">
        <f>Drivers!EB90</f>
        <v>3249</v>
      </c>
      <c r="F68" s="76">
        <f>Drivers!EC90</f>
        <v>3309</v>
      </c>
      <c r="G68" s="76">
        <f>Drivers!EE90</f>
        <v>3413</v>
      </c>
      <c r="H68" s="76">
        <f>Drivers!EF90</f>
        <v>3570</v>
      </c>
      <c r="I68" s="76">
        <f>Drivers!EG90</f>
        <v>3755</v>
      </c>
      <c r="J68" s="76">
        <f>Drivers!EH90</f>
        <v>3947</v>
      </c>
      <c r="K68" s="76">
        <f>Drivers!EJ90</f>
        <v>4158</v>
      </c>
      <c r="L68" s="76">
        <f>Drivers!EK90</f>
        <v>4439</v>
      </c>
      <c r="M68" s="76">
        <f>Drivers!EL90</f>
        <v>4790</v>
      </c>
      <c r="N68" s="76">
        <f>Drivers!EM90</f>
        <v>5171</v>
      </c>
      <c r="O68" s="76">
        <f>Drivers!EO90</f>
        <v>5510</v>
      </c>
      <c r="P68" s="76">
        <f>Drivers!EP90</f>
        <v>5826</v>
      </c>
      <c r="Q68" s="76">
        <f>Drivers!EQ90</f>
        <v>6158</v>
      </c>
      <c r="R68" s="76">
        <f>Drivers!ER90</f>
        <v>6491</v>
      </c>
      <c r="S68" s="76">
        <f>Drivers!ET90</f>
        <v>6813</v>
      </c>
      <c r="T68" s="76">
        <f>Drivers!EU90</f>
        <v>7201</v>
      </c>
      <c r="U68" s="76">
        <f>Drivers!EV90</f>
        <v>7582</v>
      </c>
      <c r="V68" s="76">
        <f>Drivers!EW90</f>
        <v>7823</v>
      </c>
    </row>
    <row r="69" spans="1:23" x14ac:dyDescent="0.3">
      <c r="A69" t="s">
        <v>1790</v>
      </c>
      <c r="C69" s="76">
        <f>C68-B68</f>
        <v>9</v>
      </c>
      <c r="D69" s="76">
        <f t="shared" ref="D69:N69" si="24">D68-C68</f>
        <v>8</v>
      </c>
      <c r="E69" s="76">
        <f t="shared" si="24"/>
        <v>9</v>
      </c>
      <c r="F69" s="76">
        <f t="shared" si="24"/>
        <v>60</v>
      </c>
      <c r="G69" s="76">
        <f t="shared" si="24"/>
        <v>104</v>
      </c>
      <c r="H69" s="76">
        <f t="shared" si="24"/>
        <v>157</v>
      </c>
      <c r="I69" s="76">
        <f t="shared" si="24"/>
        <v>185</v>
      </c>
      <c r="J69" s="76">
        <f t="shared" si="24"/>
        <v>192</v>
      </c>
      <c r="K69" s="76">
        <f t="shared" si="24"/>
        <v>211</v>
      </c>
      <c r="L69" s="76">
        <f t="shared" si="24"/>
        <v>281</v>
      </c>
      <c r="M69" s="76">
        <f t="shared" si="24"/>
        <v>351</v>
      </c>
      <c r="N69" s="76">
        <f t="shared" si="24"/>
        <v>381</v>
      </c>
      <c r="O69" s="76">
        <f t="shared" ref="O69" si="25">O68-N68</f>
        <v>339</v>
      </c>
      <c r="P69" s="76">
        <f t="shared" ref="P69" si="26">P68-O68</f>
        <v>316</v>
      </c>
      <c r="Q69" s="76">
        <f t="shared" ref="Q69" si="27">Q68-P68</f>
        <v>332</v>
      </c>
      <c r="R69" s="76">
        <f t="shared" ref="R69" si="28">R68-Q68</f>
        <v>333</v>
      </c>
      <c r="S69" s="76">
        <f t="shared" ref="S69" si="29">S68-R68</f>
        <v>322</v>
      </c>
      <c r="T69" s="76">
        <f t="shared" ref="T69" si="30">T68-S68</f>
        <v>388</v>
      </c>
      <c r="U69" s="76">
        <f t="shared" ref="U69" si="31">U68-T68</f>
        <v>381</v>
      </c>
      <c r="V69" s="76">
        <f t="shared" ref="V69" si="32">V68-U68</f>
        <v>241</v>
      </c>
    </row>
    <row r="70" spans="1:23" x14ac:dyDescent="0.3">
      <c r="A70" t="s">
        <v>1792</v>
      </c>
      <c r="B70" s="898">
        <f>Drivers!DY120</f>
        <v>0.37387527148619298</v>
      </c>
      <c r="C70" s="898">
        <f>C94/$B$68</f>
        <v>0.37689419795221846</v>
      </c>
      <c r="D70" s="898">
        <f t="shared" ref="D70:R70" si="33">D94/$B$68</f>
        <v>0.37912038473471921</v>
      </c>
      <c r="E70" s="898">
        <f t="shared" si="33"/>
        <v>0.38054917778467268</v>
      </c>
      <c r="F70" s="898">
        <f t="shared" si="33"/>
        <v>0.38224557865342845</v>
      </c>
      <c r="G70" s="898">
        <f t="shared" si="33"/>
        <v>0.38388923363326094</v>
      </c>
      <c r="H70" s="898">
        <f t="shared" si="33"/>
        <v>0.38359602854483399</v>
      </c>
      <c r="I70" s="898">
        <f t="shared" si="33"/>
        <v>0.38669252249457026</v>
      </c>
      <c r="J70" s="898">
        <f t="shared" si="33"/>
        <v>0.39247362705553834</v>
      </c>
      <c r="K70" s="898">
        <f t="shared" si="33"/>
        <v>0.39879149860378532</v>
      </c>
      <c r="L70" s="898">
        <f t="shared" si="33"/>
        <v>0.40177707105181509</v>
      </c>
      <c r="M70" s="898">
        <f t="shared" si="33"/>
        <v>0.40590986658392803</v>
      </c>
      <c r="N70" s="898">
        <f t="shared" si="33"/>
        <v>0.40938566552901023</v>
      </c>
      <c r="O70" s="898">
        <f t="shared" si="33"/>
        <v>0.41320043437790877</v>
      </c>
      <c r="P70" s="898">
        <f t="shared" si="33"/>
        <v>0.4083532423208191</v>
      </c>
      <c r="Q70" s="898">
        <f t="shared" si="33"/>
        <v>0.40524356189885197</v>
      </c>
      <c r="R70" s="898">
        <f t="shared" si="33"/>
        <v>0.40221532733478133</v>
      </c>
      <c r="S70" s="898">
        <f t="shared" ref="S70:V70" si="34">R70+0.125%</f>
        <v>0.4034653273347813</v>
      </c>
      <c r="T70" s="898">
        <f>S70+(P70-O70)*0.9</f>
        <v>0.3991028544834006</v>
      </c>
      <c r="U70" s="898">
        <f t="shared" si="34"/>
        <v>0.40035285448340058</v>
      </c>
      <c r="V70" s="898">
        <f t="shared" si="34"/>
        <v>0.40160285448340055</v>
      </c>
    </row>
    <row r="71" spans="1:23" x14ac:dyDescent="0.3">
      <c r="A71" t="s">
        <v>1794</v>
      </c>
      <c r="B71" s="898"/>
      <c r="C71" s="948">
        <v>0.03</v>
      </c>
      <c r="D71" s="898">
        <f>C71+($G71-$C71)/4</f>
        <v>9.5000000000000001E-2</v>
      </c>
      <c r="E71" s="898">
        <f>D71+($G71-$C71)/4</f>
        <v>0.16</v>
      </c>
      <c r="F71" s="898">
        <f>E71+($G71-$C71)/4</f>
        <v>0.22500000000000001</v>
      </c>
      <c r="G71" s="948">
        <v>0.28999999999999998</v>
      </c>
      <c r="H71" s="898">
        <f>G71+($K71-$G71)/4</f>
        <v>0.32750000000000001</v>
      </c>
      <c r="I71" s="898">
        <f>H71+($K71-$G71)/4</f>
        <v>0.36499999999999999</v>
      </c>
      <c r="J71" s="898">
        <f>I71+($K71-$G71)/4</f>
        <v>0.40249999999999997</v>
      </c>
      <c r="K71" s="948">
        <v>0.44</v>
      </c>
      <c r="L71" s="898">
        <f>MIN(K71+2%,45%)</f>
        <v>0.45</v>
      </c>
      <c r="M71" s="898">
        <f t="shared" ref="M71:T77" si="35">MIN(L71+2%,45%)</f>
        <v>0.45</v>
      </c>
      <c r="N71" s="898">
        <f t="shared" si="35"/>
        <v>0.45</v>
      </c>
      <c r="O71" s="898">
        <f>MIN(N71+1%,45%)</f>
        <v>0.45</v>
      </c>
      <c r="P71" s="898">
        <f>MIN(O71+1%,45%)</f>
        <v>0.45</v>
      </c>
      <c r="Q71" s="898">
        <f t="shared" ref="Q71:V76" si="36">MIN(P71+1%,45%)</f>
        <v>0.45</v>
      </c>
      <c r="R71" s="898">
        <f t="shared" si="36"/>
        <v>0.45</v>
      </c>
      <c r="S71" s="898">
        <f t="shared" ref="S71:V74" si="37">MIN(R71+0.5%,45%)</f>
        <v>0.45</v>
      </c>
      <c r="T71" s="898">
        <f t="shared" si="37"/>
        <v>0.45</v>
      </c>
      <c r="U71" s="898">
        <f t="shared" si="37"/>
        <v>0.45</v>
      </c>
      <c r="V71" s="898">
        <f t="shared" si="37"/>
        <v>0.45</v>
      </c>
    </row>
    <row r="72" spans="1:23" x14ac:dyDescent="0.3">
      <c r="A72" t="s">
        <v>1795</v>
      </c>
      <c r="B72" s="898"/>
      <c r="C72" s="898"/>
      <c r="D72" s="898">
        <f t="shared" ref="D72:I77" si="38">C71</f>
        <v>0.03</v>
      </c>
      <c r="E72" s="898">
        <f>D72+($H72-$D72)/4</f>
        <v>9.7500000000000003E-2</v>
      </c>
      <c r="F72" s="898">
        <f t="shared" ref="F72:G72" si="39">E72+($H72-$D72)/4</f>
        <v>0.16500000000000001</v>
      </c>
      <c r="G72" s="898">
        <f t="shared" si="39"/>
        <v>0.23250000000000001</v>
      </c>
      <c r="H72" s="948">
        <v>0.3</v>
      </c>
      <c r="I72" s="898">
        <f>H72+($L72-$H72)/4</f>
        <v>0.33499999999999996</v>
      </c>
      <c r="J72" s="898">
        <f t="shared" ref="J72:K72" si="40">I72+($L72-$H72)/4</f>
        <v>0.37</v>
      </c>
      <c r="K72" s="898">
        <f t="shared" si="40"/>
        <v>0.40500000000000003</v>
      </c>
      <c r="L72" s="948">
        <v>0.44</v>
      </c>
      <c r="M72" s="898">
        <f>MIN(L72+2%,45%)</f>
        <v>0.45</v>
      </c>
      <c r="N72" s="898">
        <f t="shared" si="35"/>
        <v>0.45</v>
      </c>
      <c r="O72" s="898">
        <f t="shared" si="35"/>
        <v>0.45</v>
      </c>
      <c r="P72" s="898">
        <f>MIN(O72+1%,45%)</f>
        <v>0.45</v>
      </c>
      <c r="Q72" s="898">
        <f>MIN(P72+1%,45%)</f>
        <v>0.45</v>
      </c>
      <c r="R72" s="898">
        <f t="shared" si="36"/>
        <v>0.45</v>
      </c>
      <c r="S72" s="898">
        <f t="shared" si="36"/>
        <v>0.45</v>
      </c>
      <c r="T72" s="898">
        <f t="shared" si="37"/>
        <v>0.45</v>
      </c>
      <c r="U72" s="898">
        <f t="shared" si="37"/>
        <v>0.45</v>
      </c>
      <c r="V72" s="898">
        <f t="shared" si="37"/>
        <v>0.45</v>
      </c>
    </row>
    <row r="73" spans="1:23" x14ac:dyDescent="0.3">
      <c r="A73" t="s">
        <v>1796</v>
      </c>
      <c r="B73" s="898"/>
      <c r="C73" s="898"/>
      <c r="D73" s="898"/>
      <c r="E73" s="898">
        <f t="shared" si="38"/>
        <v>0.03</v>
      </c>
      <c r="F73" s="898">
        <f>E73+($I73-$E73)/4</f>
        <v>9.7500000000000003E-2</v>
      </c>
      <c r="G73" s="898">
        <f t="shared" ref="G73:H73" si="41">F73+($I73-$E73)/4</f>
        <v>0.16500000000000001</v>
      </c>
      <c r="H73" s="898">
        <f t="shared" si="41"/>
        <v>0.23250000000000001</v>
      </c>
      <c r="I73" s="948">
        <v>0.3</v>
      </c>
      <c r="J73" s="898">
        <f>I73+($M73-$I73)/4</f>
        <v>0.32999999999999996</v>
      </c>
      <c r="K73" s="898">
        <f t="shared" ref="K73:L73" si="42">J73+($M73-$I73)/4</f>
        <v>0.36</v>
      </c>
      <c r="L73" s="898">
        <f t="shared" si="42"/>
        <v>0.39</v>
      </c>
      <c r="M73" s="948">
        <v>0.42</v>
      </c>
      <c r="N73" s="898">
        <f>MIN(M73+2%,45%)</f>
        <v>0.44</v>
      </c>
      <c r="O73" s="898">
        <f t="shared" si="35"/>
        <v>0.45</v>
      </c>
      <c r="P73" s="898">
        <f t="shared" si="35"/>
        <v>0.45</v>
      </c>
      <c r="Q73" s="898">
        <f>MIN(P73+1%,45%)</f>
        <v>0.45</v>
      </c>
      <c r="R73" s="898">
        <f>MIN(Q73+1%,45%)</f>
        <v>0.45</v>
      </c>
      <c r="S73" s="898">
        <f t="shared" si="36"/>
        <v>0.45</v>
      </c>
      <c r="T73" s="898">
        <f t="shared" si="36"/>
        <v>0.45</v>
      </c>
      <c r="U73" s="898">
        <f t="shared" si="37"/>
        <v>0.45</v>
      </c>
      <c r="V73" s="898">
        <f t="shared" si="37"/>
        <v>0.45</v>
      </c>
    </row>
    <row r="74" spans="1:23" x14ac:dyDescent="0.3">
      <c r="A74" t="s">
        <v>1797</v>
      </c>
      <c r="B74" s="898"/>
      <c r="C74" s="898"/>
      <c r="D74" s="898"/>
      <c r="E74" s="898"/>
      <c r="F74" s="898">
        <f t="shared" si="38"/>
        <v>0.03</v>
      </c>
      <c r="G74" s="898">
        <f>F74+($J74-$F74)/4</f>
        <v>7.7499999999999999E-2</v>
      </c>
      <c r="H74" s="898">
        <f t="shared" ref="H74:I74" si="43">G74+($J74-$F74)/4</f>
        <v>0.125</v>
      </c>
      <c r="I74" s="898">
        <f t="shared" si="43"/>
        <v>0.17249999999999999</v>
      </c>
      <c r="J74" s="948">
        <v>0.22</v>
      </c>
      <c r="K74" s="898">
        <f>J74+($N74-$J74)/4</f>
        <v>0.24249999999999999</v>
      </c>
      <c r="L74" s="898">
        <f t="shared" ref="L74:M74" si="44">K74+($N74-$J74)/4</f>
        <v>0.26500000000000001</v>
      </c>
      <c r="M74" s="898">
        <f t="shared" si="44"/>
        <v>0.28750000000000003</v>
      </c>
      <c r="N74" s="948">
        <v>0.31</v>
      </c>
      <c r="O74" s="898">
        <f>MIN(N74+2%,45%)</f>
        <v>0.33</v>
      </c>
      <c r="P74" s="898">
        <f t="shared" si="35"/>
        <v>0.35000000000000003</v>
      </c>
      <c r="Q74" s="898">
        <f t="shared" si="35"/>
        <v>0.37000000000000005</v>
      </c>
      <c r="R74" s="898">
        <f>MIN(Q74+1%,45%)</f>
        <v>0.38000000000000006</v>
      </c>
      <c r="S74" s="898">
        <f>MIN(R74+1%,45%)</f>
        <v>0.39000000000000007</v>
      </c>
      <c r="T74" s="898">
        <f t="shared" si="36"/>
        <v>0.40000000000000008</v>
      </c>
      <c r="U74" s="898">
        <f t="shared" si="36"/>
        <v>0.41000000000000009</v>
      </c>
      <c r="V74" s="898">
        <f t="shared" si="37"/>
        <v>0.41500000000000009</v>
      </c>
    </row>
    <row r="75" spans="1:23" x14ac:dyDescent="0.3">
      <c r="A75" t="s">
        <v>1798</v>
      </c>
      <c r="B75" s="898"/>
      <c r="C75" s="898"/>
      <c r="D75" s="898"/>
      <c r="E75" s="898"/>
      <c r="F75" s="898"/>
      <c r="G75" s="898">
        <f t="shared" si="38"/>
        <v>0.03</v>
      </c>
      <c r="H75" s="898">
        <f>G75+($K75-$G75)/4</f>
        <v>6.7500000000000004E-2</v>
      </c>
      <c r="I75" s="898">
        <f t="shared" ref="I75:J75" si="45">H75+($K75-$G75)/4</f>
        <v>0.10500000000000001</v>
      </c>
      <c r="J75" s="898">
        <f t="shared" si="45"/>
        <v>0.14250000000000002</v>
      </c>
      <c r="K75" s="948">
        <v>0.18</v>
      </c>
      <c r="L75" s="898">
        <f>K75+($O75-$K75)/4</f>
        <v>0.19750000000000001</v>
      </c>
      <c r="M75" s="898">
        <f t="shared" ref="M75:N75" si="46">L75+($O75-$K75)/4</f>
        <v>0.21500000000000002</v>
      </c>
      <c r="N75" s="898">
        <f t="shared" si="46"/>
        <v>0.23250000000000004</v>
      </c>
      <c r="O75" s="948">
        <v>0.25</v>
      </c>
      <c r="P75" s="898">
        <f>MIN(O75+2%,45%)</f>
        <v>0.27</v>
      </c>
      <c r="Q75" s="898">
        <f t="shared" si="35"/>
        <v>0.29000000000000004</v>
      </c>
      <c r="R75" s="898">
        <f t="shared" si="35"/>
        <v>0.31000000000000005</v>
      </c>
      <c r="S75" s="898">
        <f>MIN(R75+1%,45%)</f>
        <v>0.32000000000000006</v>
      </c>
      <c r="T75" s="898">
        <f>MIN(S75+1%,45%)</f>
        <v>0.33000000000000007</v>
      </c>
      <c r="U75" s="898">
        <f t="shared" si="36"/>
        <v>0.34000000000000008</v>
      </c>
      <c r="V75" s="898">
        <f t="shared" si="36"/>
        <v>0.35000000000000009</v>
      </c>
    </row>
    <row r="76" spans="1:23" x14ac:dyDescent="0.3">
      <c r="A76" t="s">
        <v>1799</v>
      </c>
      <c r="B76" s="898"/>
      <c r="C76" s="898"/>
      <c r="D76" s="898"/>
      <c r="E76" s="898"/>
      <c r="F76" s="898"/>
      <c r="G76" s="898"/>
      <c r="H76" s="898">
        <f t="shared" si="38"/>
        <v>0.03</v>
      </c>
      <c r="I76" s="898">
        <f>H76+($L76-$H76)/4</f>
        <v>6.5000000000000002E-2</v>
      </c>
      <c r="J76" s="898">
        <f t="shared" ref="J76:K76" si="47">I76+($L76-$H76)/4</f>
        <v>0.1</v>
      </c>
      <c r="K76" s="898">
        <f t="shared" si="47"/>
        <v>0.13500000000000001</v>
      </c>
      <c r="L76" s="948">
        <v>0.17</v>
      </c>
      <c r="M76" s="898">
        <f>L76+($P76-$L76)/4</f>
        <v>0.1875</v>
      </c>
      <c r="N76" s="898">
        <f t="shared" ref="N76:O76" si="48">M76+($P76-$L76)/4</f>
        <v>0.20499999999999999</v>
      </c>
      <c r="O76" s="898">
        <f t="shared" si="48"/>
        <v>0.22249999999999998</v>
      </c>
      <c r="P76" s="948">
        <v>0.24</v>
      </c>
      <c r="Q76" s="898">
        <f>MIN(P76+2%,45%)</f>
        <v>0.26</v>
      </c>
      <c r="R76" s="898">
        <f t="shared" si="35"/>
        <v>0.28000000000000003</v>
      </c>
      <c r="S76" s="898">
        <f t="shared" si="35"/>
        <v>0.30000000000000004</v>
      </c>
      <c r="T76" s="898">
        <f>MIN(S76+1%,45%)</f>
        <v>0.31000000000000005</v>
      </c>
      <c r="U76" s="898">
        <f>MIN(T76+1%,45%)</f>
        <v>0.32000000000000006</v>
      </c>
      <c r="V76" s="898">
        <f t="shared" si="36"/>
        <v>0.33000000000000007</v>
      </c>
    </row>
    <row r="77" spans="1:23" x14ac:dyDescent="0.3">
      <c r="A77" t="s">
        <v>1800</v>
      </c>
      <c r="B77" s="898"/>
      <c r="C77" s="898"/>
      <c r="D77" s="898"/>
      <c r="E77" s="898"/>
      <c r="F77" s="898"/>
      <c r="G77" s="898"/>
      <c r="H77" s="898"/>
      <c r="I77" s="898">
        <f t="shared" si="38"/>
        <v>0.03</v>
      </c>
      <c r="J77" s="898">
        <f>I77+($M77-$I77)/4</f>
        <v>6.5000000000000002E-2</v>
      </c>
      <c r="K77" s="898">
        <f t="shared" ref="K77:L77" si="49">J77+($M77-$I77)/4</f>
        <v>0.1</v>
      </c>
      <c r="L77" s="898">
        <f t="shared" si="49"/>
        <v>0.13500000000000001</v>
      </c>
      <c r="M77" s="948">
        <v>0.17</v>
      </c>
      <c r="N77" s="898">
        <f>M77+($Q77-$M77)/4</f>
        <v>0.19</v>
      </c>
      <c r="O77" s="898">
        <f t="shared" ref="O77:P77" si="50">N77+($Q77-$M77)/4</f>
        <v>0.21</v>
      </c>
      <c r="P77" s="898">
        <f t="shared" si="50"/>
        <v>0.22999999999999998</v>
      </c>
      <c r="Q77" s="948">
        <v>0.25</v>
      </c>
      <c r="R77" s="898">
        <f>MIN(Q77+2%,45%)</f>
        <v>0.27</v>
      </c>
      <c r="S77" s="898">
        <f t="shared" si="35"/>
        <v>0.29000000000000004</v>
      </c>
      <c r="T77" s="898">
        <f t="shared" si="35"/>
        <v>0.31000000000000005</v>
      </c>
      <c r="U77" s="898">
        <f>MIN(T77+1%,45%)</f>
        <v>0.32000000000000006</v>
      </c>
      <c r="V77" s="898">
        <f>MIN(U77+1%,45%)</f>
        <v>0.33000000000000007</v>
      </c>
    </row>
    <row r="78" spans="1:23" x14ac:dyDescent="0.3">
      <c r="A78" t="s">
        <v>1801</v>
      </c>
      <c r="B78" s="898"/>
      <c r="C78" s="898"/>
      <c r="D78" s="898"/>
      <c r="E78" s="898"/>
      <c r="F78" s="898"/>
      <c r="G78" s="898"/>
      <c r="H78" s="898"/>
      <c r="I78" s="898"/>
      <c r="J78" s="898">
        <f>I77</f>
        <v>0.03</v>
      </c>
      <c r="K78" s="898">
        <f>J78+($N78-$J78)/4</f>
        <v>6.7500000000000004E-2</v>
      </c>
      <c r="L78" s="898">
        <f t="shared" ref="L78:M78" si="51">K78+($N78-$J78)/4</f>
        <v>0.10500000000000001</v>
      </c>
      <c r="M78" s="898">
        <f t="shared" si="51"/>
        <v>0.14250000000000002</v>
      </c>
      <c r="N78" s="948">
        <v>0.18</v>
      </c>
      <c r="O78" s="898">
        <f>K74+($N78-$J74)</f>
        <v>0.20249999999999999</v>
      </c>
      <c r="P78" s="898">
        <f t="shared" ref="P78:V78" si="52">L74+($N78-$J74)</f>
        <v>0.22500000000000001</v>
      </c>
      <c r="Q78" s="898">
        <f t="shared" si="52"/>
        <v>0.24750000000000003</v>
      </c>
      <c r="R78" s="898">
        <f t="shared" si="52"/>
        <v>0.27</v>
      </c>
      <c r="S78" s="898">
        <f t="shared" si="52"/>
        <v>0.29000000000000004</v>
      </c>
      <c r="T78" s="898">
        <f t="shared" si="52"/>
        <v>0.31000000000000005</v>
      </c>
      <c r="U78" s="898">
        <f t="shared" si="52"/>
        <v>0.33000000000000007</v>
      </c>
      <c r="V78" s="898">
        <f t="shared" si="52"/>
        <v>0.34000000000000008</v>
      </c>
    </row>
    <row r="79" spans="1:23" x14ac:dyDescent="0.3">
      <c r="A79" t="s">
        <v>1802</v>
      </c>
      <c r="B79" s="898"/>
      <c r="C79" s="898"/>
      <c r="D79" s="898"/>
      <c r="E79" s="898"/>
      <c r="F79" s="898"/>
      <c r="G79" s="898"/>
      <c r="H79" s="898"/>
      <c r="I79" s="898"/>
      <c r="J79" s="898"/>
      <c r="K79" s="898">
        <f>J78</f>
        <v>0.03</v>
      </c>
      <c r="L79" s="898">
        <f>K79+($O79-$K79)/4</f>
        <v>7.2500000000000009E-2</v>
      </c>
      <c r="M79" s="898">
        <f t="shared" ref="M79:N79" si="53">L79+($O79-$K79)/4</f>
        <v>0.11500000000000002</v>
      </c>
      <c r="N79" s="898">
        <f t="shared" si="53"/>
        <v>0.15750000000000003</v>
      </c>
      <c r="O79" s="948">
        <v>0.2</v>
      </c>
      <c r="P79" s="898">
        <f>L75+($O79-$K75)</f>
        <v>0.21750000000000003</v>
      </c>
      <c r="Q79" s="898">
        <f t="shared" ref="Q79:V79" si="54">M75+($O79-$K75)</f>
        <v>0.23500000000000004</v>
      </c>
      <c r="R79" s="898">
        <f t="shared" si="54"/>
        <v>0.25250000000000006</v>
      </c>
      <c r="S79" s="898">
        <f t="shared" si="54"/>
        <v>0.27</v>
      </c>
      <c r="T79" s="898">
        <f t="shared" si="54"/>
        <v>0.29000000000000004</v>
      </c>
      <c r="U79" s="898">
        <f t="shared" si="54"/>
        <v>0.31000000000000005</v>
      </c>
      <c r="V79" s="898">
        <f t="shared" si="54"/>
        <v>0.33000000000000007</v>
      </c>
    </row>
    <row r="80" spans="1:23" x14ac:dyDescent="0.3">
      <c r="A80" t="s">
        <v>1803</v>
      </c>
      <c r="B80" s="898"/>
      <c r="C80" s="898"/>
      <c r="D80" s="898"/>
      <c r="E80" s="898"/>
      <c r="F80" s="898"/>
      <c r="G80" s="898"/>
      <c r="H80" s="898"/>
      <c r="I80" s="898"/>
      <c r="J80" s="898"/>
      <c r="K80" s="898"/>
      <c r="L80" s="898">
        <f>K79</f>
        <v>0.03</v>
      </c>
      <c r="M80" s="898">
        <f>L80+($P80-$L80)/4</f>
        <v>7.0000000000000007E-2</v>
      </c>
      <c r="N80" s="898">
        <f t="shared" ref="N80:O80" si="55">M80+($P80-$L80)/4</f>
        <v>0.11000000000000001</v>
      </c>
      <c r="O80" s="898">
        <f t="shared" si="55"/>
        <v>0.15000000000000002</v>
      </c>
      <c r="P80" s="948">
        <v>0.19</v>
      </c>
      <c r="Q80" s="898">
        <f>M76+($P80-$L76)</f>
        <v>0.20749999999999999</v>
      </c>
      <c r="R80" s="898">
        <f t="shared" ref="R80:V80" si="56">N76+($P80-$L76)</f>
        <v>0.22499999999999998</v>
      </c>
      <c r="S80" s="898">
        <f t="shared" si="56"/>
        <v>0.24249999999999997</v>
      </c>
      <c r="T80" s="898">
        <f t="shared" si="56"/>
        <v>0.26</v>
      </c>
      <c r="U80" s="898">
        <f t="shared" si="56"/>
        <v>0.28000000000000003</v>
      </c>
      <c r="V80" s="898">
        <f t="shared" si="56"/>
        <v>0.30000000000000004</v>
      </c>
      <c r="W80" s="898"/>
    </row>
    <row r="81" spans="1:24" x14ac:dyDescent="0.3">
      <c r="A81" t="s">
        <v>1804</v>
      </c>
      <c r="B81" s="898"/>
      <c r="C81" s="898"/>
      <c r="D81" s="898"/>
      <c r="E81" s="898"/>
      <c r="F81" s="898"/>
      <c r="G81" s="898"/>
      <c r="H81" s="898"/>
      <c r="I81" s="898"/>
      <c r="J81" s="898"/>
      <c r="K81" s="898"/>
      <c r="L81" s="898"/>
      <c r="M81" s="898">
        <f>L80</f>
        <v>0.03</v>
      </c>
      <c r="N81" s="898">
        <f>M81+($Q81-$M81)/4</f>
        <v>6.7500000000000004E-2</v>
      </c>
      <c r="O81" s="898">
        <f t="shared" ref="O81:P81" si="57">N81+($Q81-$M81)/4</f>
        <v>0.10500000000000001</v>
      </c>
      <c r="P81" s="898">
        <f t="shared" si="57"/>
        <v>0.14250000000000002</v>
      </c>
      <c r="Q81" s="948">
        <v>0.18</v>
      </c>
      <c r="R81" s="898">
        <f>N77+($Q81-$M77)</f>
        <v>0.19999999999999998</v>
      </c>
      <c r="S81" s="898">
        <f t="shared" ref="S81:V81" si="58">O77+($Q81-$M77)</f>
        <v>0.21999999999999997</v>
      </c>
      <c r="T81" s="898">
        <f t="shared" si="58"/>
        <v>0.23999999999999996</v>
      </c>
      <c r="U81" s="898">
        <f t="shared" si="58"/>
        <v>0.26</v>
      </c>
      <c r="V81" s="898">
        <f t="shared" si="58"/>
        <v>0.28000000000000003</v>
      </c>
      <c r="W81" s="898"/>
      <c r="X81" s="898"/>
    </row>
    <row r="82" spans="1:24" x14ac:dyDescent="0.3">
      <c r="A82" t="s">
        <v>1805</v>
      </c>
      <c r="B82" s="898"/>
      <c r="C82" s="898"/>
      <c r="D82" s="898"/>
      <c r="E82" s="898"/>
      <c r="F82" s="898"/>
      <c r="G82" s="898"/>
      <c r="H82" s="898"/>
      <c r="I82" s="898"/>
      <c r="J82" s="898"/>
      <c r="K82" s="898"/>
      <c r="L82" s="898"/>
      <c r="M82" s="898"/>
      <c r="N82" s="898">
        <f>M81</f>
        <v>0.03</v>
      </c>
      <c r="O82" s="898">
        <f>N81</f>
        <v>6.7500000000000004E-2</v>
      </c>
      <c r="P82" s="898">
        <f>O81</f>
        <v>0.10500000000000001</v>
      </c>
      <c r="Q82" s="898">
        <f>P81</f>
        <v>0.14250000000000002</v>
      </c>
      <c r="R82" s="898">
        <f>Q81</f>
        <v>0.18</v>
      </c>
      <c r="S82" s="898">
        <f t="shared" ref="S82:V82" si="59">R81</f>
        <v>0.19999999999999998</v>
      </c>
      <c r="T82" s="898">
        <f t="shared" si="59"/>
        <v>0.21999999999999997</v>
      </c>
      <c r="U82" s="898">
        <f t="shared" si="59"/>
        <v>0.23999999999999996</v>
      </c>
      <c r="V82" s="898">
        <f t="shared" si="59"/>
        <v>0.26</v>
      </c>
    </row>
    <row r="83" spans="1:24" x14ac:dyDescent="0.3">
      <c r="A83" t="s">
        <v>3851</v>
      </c>
      <c r="B83" s="898"/>
      <c r="C83" s="898"/>
      <c r="D83" s="898"/>
      <c r="E83" s="898"/>
      <c r="F83" s="898"/>
      <c r="G83" s="898"/>
      <c r="H83" s="898"/>
      <c r="I83" s="898"/>
      <c r="J83" s="898"/>
      <c r="K83" s="898"/>
      <c r="L83" s="898"/>
      <c r="M83" s="898"/>
      <c r="N83" s="898"/>
      <c r="O83" s="898">
        <f>N82</f>
        <v>0.03</v>
      </c>
      <c r="P83" s="898">
        <f>O82</f>
        <v>6.7500000000000004E-2</v>
      </c>
      <c r="Q83" s="898">
        <f>P82</f>
        <v>0.10500000000000001</v>
      </c>
      <c r="R83" s="898">
        <f>Q82</f>
        <v>0.14250000000000002</v>
      </c>
      <c r="S83" s="898">
        <f>R82</f>
        <v>0.18</v>
      </c>
      <c r="T83" s="898">
        <f t="shared" ref="T83" si="60">S82</f>
        <v>0.19999999999999998</v>
      </c>
      <c r="U83" s="898">
        <f t="shared" ref="U83:U84" si="61">T82</f>
        <v>0.21999999999999997</v>
      </c>
      <c r="V83" s="898">
        <f t="shared" ref="V83:V85" si="62">U82</f>
        <v>0.23999999999999996</v>
      </c>
    </row>
    <row r="84" spans="1:24" x14ac:dyDescent="0.3">
      <c r="A84" t="s">
        <v>3852</v>
      </c>
      <c r="B84" s="898"/>
      <c r="C84" s="898"/>
      <c r="D84" s="898"/>
      <c r="E84" s="898"/>
      <c r="F84" s="898"/>
      <c r="G84" s="898"/>
      <c r="H84" s="898"/>
      <c r="I84" s="898"/>
      <c r="J84" s="898"/>
      <c r="K84" s="898"/>
      <c r="L84" s="898"/>
      <c r="M84" s="898"/>
      <c r="N84" s="898"/>
      <c r="P84" s="898">
        <f>O83</f>
        <v>0.03</v>
      </c>
      <c r="Q84" s="898">
        <f>P83</f>
        <v>6.7500000000000004E-2</v>
      </c>
      <c r="R84" s="898">
        <f>Q83</f>
        <v>0.10500000000000001</v>
      </c>
      <c r="S84" s="898">
        <f>R83</f>
        <v>0.14250000000000002</v>
      </c>
      <c r="T84" s="898">
        <f>S83</f>
        <v>0.18</v>
      </c>
      <c r="U84" s="898">
        <f t="shared" si="61"/>
        <v>0.19999999999999998</v>
      </c>
      <c r="V84" s="898">
        <f t="shared" si="62"/>
        <v>0.21999999999999997</v>
      </c>
    </row>
    <row r="85" spans="1:24" x14ac:dyDescent="0.3">
      <c r="A85" t="s">
        <v>3853</v>
      </c>
      <c r="B85" s="898"/>
      <c r="C85" s="898"/>
      <c r="D85" s="898"/>
      <c r="E85" s="898"/>
      <c r="F85" s="898"/>
      <c r="G85" s="898"/>
      <c r="H85" s="898"/>
      <c r="I85" s="898"/>
      <c r="J85" s="898"/>
      <c r="K85" s="898"/>
      <c r="L85" s="898"/>
      <c r="M85" s="898"/>
      <c r="N85" s="898"/>
      <c r="Q85" s="898">
        <f>P84</f>
        <v>0.03</v>
      </c>
      <c r="R85" s="898">
        <f>Q84</f>
        <v>6.7500000000000004E-2</v>
      </c>
      <c r="S85" s="898">
        <f>R84</f>
        <v>0.10500000000000001</v>
      </c>
      <c r="T85" s="898">
        <f>S84</f>
        <v>0.14250000000000002</v>
      </c>
      <c r="U85" s="898">
        <f>T84</f>
        <v>0.18</v>
      </c>
      <c r="V85" s="898">
        <f t="shared" si="62"/>
        <v>0.19999999999999998</v>
      </c>
    </row>
    <row r="86" spans="1:24" x14ac:dyDescent="0.3">
      <c r="A86" t="s">
        <v>3854</v>
      </c>
      <c r="B86" s="898"/>
      <c r="C86" s="898"/>
      <c r="D86" s="898"/>
      <c r="E86" s="898"/>
      <c r="F86" s="898"/>
      <c r="G86" s="898"/>
      <c r="H86" s="898"/>
      <c r="I86" s="898"/>
      <c r="J86" s="898"/>
      <c r="K86" s="898"/>
      <c r="L86" s="898"/>
      <c r="M86" s="898"/>
      <c r="N86" s="898"/>
      <c r="R86" s="898">
        <f>Q85</f>
        <v>0.03</v>
      </c>
      <c r="S86" s="898">
        <f>R85</f>
        <v>6.7500000000000004E-2</v>
      </c>
      <c r="T86" s="898">
        <f>S85</f>
        <v>0.10500000000000001</v>
      </c>
      <c r="U86" s="898">
        <f>T85</f>
        <v>0.14250000000000002</v>
      </c>
      <c r="V86" s="898">
        <f>U85</f>
        <v>0.18</v>
      </c>
    </row>
    <row r="87" spans="1:24" x14ac:dyDescent="0.3">
      <c r="A87" t="s">
        <v>3855</v>
      </c>
      <c r="B87" s="898"/>
      <c r="C87" s="898"/>
      <c r="D87" s="898"/>
      <c r="E87" s="898"/>
      <c r="F87" s="898"/>
      <c r="G87" s="898"/>
      <c r="H87" s="898"/>
      <c r="I87" s="898"/>
      <c r="J87" s="898"/>
      <c r="K87" s="898"/>
      <c r="L87" s="898"/>
      <c r="M87" s="898"/>
      <c r="N87" s="898"/>
      <c r="S87" s="898">
        <f>R86</f>
        <v>0.03</v>
      </c>
      <c r="T87" s="898">
        <f>S86</f>
        <v>6.7500000000000004E-2</v>
      </c>
      <c r="U87" s="898">
        <f>T86</f>
        <v>0.10500000000000001</v>
      </c>
      <c r="V87" s="898">
        <f>U86</f>
        <v>0.14250000000000002</v>
      </c>
    </row>
    <row r="88" spans="1:24" x14ac:dyDescent="0.3">
      <c r="A88" t="s">
        <v>3856</v>
      </c>
      <c r="B88" s="898"/>
      <c r="C88" s="898"/>
      <c r="D88" s="898"/>
      <c r="E88" s="898"/>
      <c r="F88" s="898"/>
      <c r="G88" s="898"/>
      <c r="H88" s="898"/>
      <c r="I88" s="898"/>
      <c r="J88" s="898"/>
      <c r="K88" s="898"/>
      <c r="L88" s="898"/>
      <c r="M88" s="898"/>
      <c r="N88" s="898"/>
      <c r="T88" s="898">
        <f>S87</f>
        <v>0.03</v>
      </c>
      <c r="U88" s="898">
        <f>T87</f>
        <v>6.7500000000000004E-2</v>
      </c>
      <c r="V88" s="898">
        <f>U87</f>
        <v>0.10500000000000001</v>
      </c>
    </row>
    <row r="89" spans="1:24" x14ac:dyDescent="0.3">
      <c r="A89" t="s">
        <v>3857</v>
      </c>
      <c r="B89" s="898"/>
      <c r="C89" s="898"/>
      <c r="D89" s="898"/>
      <c r="E89" s="898"/>
      <c r="F89" s="898"/>
      <c r="G89" s="898"/>
      <c r="H89" s="898"/>
      <c r="I89" s="898"/>
      <c r="J89" s="898"/>
      <c r="K89" s="898"/>
      <c r="L89" s="898"/>
      <c r="M89" s="898"/>
      <c r="N89" s="898"/>
      <c r="U89" s="898">
        <f>T88</f>
        <v>0.03</v>
      </c>
      <c r="V89" s="898">
        <f>U88</f>
        <v>6.7500000000000004E-2</v>
      </c>
    </row>
    <row r="90" spans="1:24" x14ac:dyDescent="0.3">
      <c r="A90" t="s">
        <v>3858</v>
      </c>
      <c r="B90" s="898"/>
      <c r="C90" s="898"/>
      <c r="D90" s="898"/>
      <c r="E90" s="898"/>
      <c r="F90" s="898"/>
      <c r="G90" s="898"/>
      <c r="H90" s="898"/>
      <c r="I90" s="898"/>
      <c r="J90" s="898"/>
      <c r="K90" s="898"/>
      <c r="L90" s="898"/>
      <c r="M90" s="898"/>
      <c r="N90" s="898"/>
      <c r="V90" s="898">
        <f>U89</f>
        <v>0.03</v>
      </c>
    </row>
    <row r="91" spans="1:24" x14ac:dyDescent="0.3">
      <c r="B91" s="898"/>
      <c r="C91" s="898"/>
      <c r="D91" s="898"/>
      <c r="E91" s="898"/>
      <c r="F91" s="898"/>
      <c r="G91" s="898"/>
      <c r="H91" s="898"/>
      <c r="I91" s="898"/>
      <c r="J91" s="898"/>
      <c r="K91" s="898"/>
      <c r="L91" s="898"/>
      <c r="M91" s="898"/>
      <c r="N91" s="898"/>
    </row>
    <row r="92" spans="1:24" x14ac:dyDescent="0.3">
      <c r="B92" s="898"/>
      <c r="C92" s="898"/>
      <c r="D92" s="898"/>
      <c r="E92" s="898"/>
      <c r="F92" s="898"/>
      <c r="G92" s="898"/>
      <c r="H92" s="898"/>
      <c r="I92" s="898"/>
      <c r="J92" s="898"/>
      <c r="K92" s="898"/>
      <c r="L92" s="898"/>
      <c r="M92" s="898"/>
      <c r="N92" s="898"/>
    </row>
    <row r="94" spans="1:24" x14ac:dyDescent="0.3">
      <c r="A94" t="s">
        <v>1807</v>
      </c>
      <c r="B94" s="899">
        <f>$B$68*B70</f>
        <v>1205</v>
      </c>
      <c r="C94" s="899">
        <f>C115-SUM(C95:C106)</f>
        <v>1214.73</v>
      </c>
      <c r="D94" s="899">
        <f t="shared" ref="D94:N94" si="63">D115-SUM(D95:D106)</f>
        <v>1221.905</v>
      </c>
      <c r="E94" s="899">
        <f t="shared" si="63"/>
        <v>1226.51</v>
      </c>
      <c r="F94" s="899">
        <f t="shared" si="63"/>
        <v>1231.9775</v>
      </c>
      <c r="G94" s="899">
        <f t="shared" si="63"/>
        <v>1237.2750000000001</v>
      </c>
      <c r="H94" s="899">
        <f t="shared" si="63"/>
        <v>1236.33</v>
      </c>
      <c r="I94" s="899">
        <f t="shared" si="63"/>
        <v>1246.31</v>
      </c>
      <c r="J94" s="899">
        <f t="shared" si="63"/>
        <v>1264.9425000000001</v>
      </c>
      <c r="K94" s="899">
        <f t="shared" si="63"/>
        <v>1285.3050000000001</v>
      </c>
      <c r="L94" s="899">
        <f t="shared" si="63"/>
        <v>1294.9275</v>
      </c>
      <c r="M94" s="899">
        <f t="shared" si="63"/>
        <v>1308.2474999999999</v>
      </c>
      <c r="N94" s="899">
        <f t="shared" si="63"/>
        <v>1319.45</v>
      </c>
      <c r="O94" s="899">
        <f>O115-SUM(O95:O114)</f>
        <v>1331.7449999999999</v>
      </c>
      <c r="P94" s="899">
        <f t="shared" ref="P94:R94" si="64">P115-SUM(P95:P114)</f>
        <v>1316.1224999999999</v>
      </c>
      <c r="Q94" s="899">
        <f t="shared" si="64"/>
        <v>1306.0999999999999</v>
      </c>
      <c r="R94" s="899">
        <f t="shared" si="64"/>
        <v>1296.3400000000001</v>
      </c>
      <c r="S94" s="899">
        <f>$B$68*S70</f>
        <v>1300.3687500000001</v>
      </c>
      <c r="T94" s="899">
        <f>$B$68*T70</f>
        <v>1286.3085000000001</v>
      </c>
      <c r="U94" s="899">
        <f>$B$68*U70</f>
        <v>1290.33725</v>
      </c>
      <c r="V94" s="899">
        <f>$B$68*V70</f>
        <v>1294.366</v>
      </c>
    </row>
    <row r="95" spans="1:24" x14ac:dyDescent="0.3">
      <c r="A95" t="s">
        <v>1808</v>
      </c>
      <c r="B95" s="899"/>
      <c r="C95" s="899">
        <f t="shared" ref="C95:V95" si="65">$C$69*C71</f>
        <v>0.27</v>
      </c>
      <c r="D95" s="899">
        <f t="shared" si="65"/>
        <v>0.85499999999999998</v>
      </c>
      <c r="E95" s="899">
        <f t="shared" si="65"/>
        <v>1.44</v>
      </c>
      <c r="F95" s="899">
        <f t="shared" si="65"/>
        <v>2.0249999999999999</v>
      </c>
      <c r="G95" s="899">
        <f t="shared" si="65"/>
        <v>2.61</v>
      </c>
      <c r="H95" s="899">
        <f t="shared" si="65"/>
        <v>2.9475000000000002</v>
      </c>
      <c r="I95" s="899">
        <f t="shared" si="65"/>
        <v>3.2850000000000001</v>
      </c>
      <c r="J95" s="899">
        <f t="shared" si="65"/>
        <v>3.6224999999999996</v>
      </c>
      <c r="K95" s="899">
        <f t="shared" si="65"/>
        <v>3.96</v>
      </c>
      <c r="L95" s="899">
        <f t="shared" si="65"/>
        <v>4.05</v>
      </c>
      <c r="M95" s="899">
        <f t="shared" si="65"/>
        <v>4.05</v>
      </c>
      <c r="N95" s="899">
        <f t="shared" si="65"/>
        <v>4.05</v>
      </c>
      <c r="O95" s="899">
        <f t="shared" si="65"/>
        <v>4.05</v>
      </c>
      <c r="P95" s="899">
        <f t="shared" si="65"/>
        <v>4.05</v>
      </c>
      <c r="Q95" s="899">
        <f t="shared" si="65"/>
        <v>4.05</v>
      </c>
      <c r="R95" s="899">
        <f t="shared" si="65"/>
        <v>4.05</v>
      </c>
      <c r="S95" s="899">
        <f t="shared" si="65"/>
        <v>4.05</v>
      </c>
      <c r="T95" s="899">
        <f t="shared" si="65"/>
        <v>4.05</v>
      </c>
      <c r="U95" s="899">
        <f t="shared" si="65"/>
        <v>4.05</v>
      </c>
      <c r="V95" s="899">
        <f t="shared" si="65"/>
        <v>4.05</v>
      </c>
    </row>
    <row r="96" spans="1:24" x14ac:dyDescent="0.3">
      <c r="A96" t="s">
        <v>1809</v>
      </c>
      <c r="B96" s="899"/>
      <c r="C96" s="899"/>
      <c r="D96" s="899">
        <f t="shared" ref="D96:V96" si="66">$D$69*D72</f>
        <v>0.24</v>
      </c>
      <c r="E96" s="899">
        <f t="shared" si="66"/>
        <v>0.78</v>
      </c>
      <c r="F96" s="899">
        <f t="shared" si="66"/>
        <v>1.32</v>
      </c>
      <c r="G96" s="899">
        <f t="shared" si="66"/>
        <v>1.86</v>
      </c>
      <c r="H96" s="899">
        <f t="shared" si="66"/>
        <v>2.4</v>
      </c>
      <c r="I96" s="899">
        <f t="shared" si="66"/>
        <v>2.6799999999999997</v>
      </c>
      <c r="J96" s="899">
        <f t="shared" si="66"/>
        <v>2.96</v>
      </c>
      <c r="K96" s="899">
        <f t="shared" si="66"/>
        <v>3.24</v>
      </c>
      <c r="L96" s="899">
        <f t="shared" si="66"/>
        <v>3.52</v>
      </c>
      <c r="M96" s="899">
        <f t="shared" si="66"/>
        <v>3.6</v>
      </c>
      <c r="N96" s="899">
        <f t="shared" si="66"/>
        <v>3.6</v>
      </c>
      <c r="O96" s="899">
        <f t="shared" si="66"/>
        <v>3.6</v>
      </c>
      <c r="P96" s="899">
        <f t="shared" si="66"/>
        <v>3.6</v>
      </c>
      <c r="Q96" s="899">
        <f t="shared" si="66"/>
        <v>3.6</v>
      </c>
      <c r="R96" s="899">
        <f t="shared" si="66"/>
        <v>3.6</v>
      </c>
      <c r="S96" s="899">
        <f t="shared" si="66"/>
        <v>3.6</v>
      </c>
      <c r="T96" s="899">
        <f t="shared" si="66"/>
        <v>3.6</v>
      </c>
      <c r="U96" s="899">
        <f t="shared" si="66"/>
        <v>3.6</v>
      </c>
      <c r="V96" s="899">
        <f t="shared" si="66"/>
        <v>3.6</v>
      </c>
    </row>
    <row r="97" spans="1:22" x14ac:dyDescent="0.3">
      <c r="A97" t="s">
        <v>1810</v>
      </c>
      <c r="B97" s="899"/>
      <c r="C97" s="899"/>
      <c r="D97" s="899"/>
      <c r="E97" s="899">
        <f t="shared" ref="E97:V97" si="67">$E$69*E73</f>
        <v>0.27</v>
      </c>
      <c r="F97" s="899">
        <f t="shared" si="67"/>
        <v>0.87750000000000006</v>
      </c>
      <c r="G97" s="899">
        <f t="shared" si="67"/>
        <v>1.4850000000000001</v>
      </c>
      <c r="H97" s="899">
        <f t="shared" si="67"/>
        <v>2.0925000000000002</v>
      </c>
      <c r="I97" s="899">
        <f t="shared" si="67"/>
        <v>2.6999999999999997</v>
      </c>
      <c r="J97" s="899">
        <f t="shared" si="67"/>
        <v>2.9699999999999998</v>
      </c>
      <c r="K97" s="899">
        <f t="shared" si="67"/>
        <v>3.2399999999999998</v>
      </c>
      <c r="L97" s="899">
        <f t="shared" si="67"/>
        <v>3.5100000000000002</v>
      </c>
      <c r="M97" s="899">
        <f t="shared" si="67"/>
        <v>3.78</v>
      </c>
      <c r="N97" s="899">
        <f t="shared" si="67"/>
        <v>3.96</v>
      </c>
      <c r="O97" s="899">
        <f t="shared" si="67"/>
        <v>4.05</v>
      </c>
      <c r="P97" s="899">
        <f t="shared" si="67"/>
        <v>4.05</v>
      </c>
      <c r="Q97" s="899">
        <f t="shared" si="67"/>
        <v>4.05</v>
      </c>
      <c r="R97" s="899">
        <f t="shared" si="67"/>
        <v>4.05</v>
      </c>
      <c r="S97" s="899">
        <f t="shared" si="67"/>
        <v>4.05</v>
      </c>
      <c r="T97" s="899">
        <f t="shared" si="67"/>
        <v>4.05</v>
      </c>
      <c r="U97" s="899">
        <f t="shared" si="67"/>
        <v>4.05</v>
      </c>
      <c r="V97" s="899">
        <f t="shared" si="67"/>
        <v>4.05</v>
      </c>
    </row>
    <row r="98" spans="1:22" x14ac:dyDescent="0.3">
      <c r="A98" t="s">
        <v>1811</v>
      </c>
      <c r="B98" s="899"/>
      <c r="C98" s="899"/>
      <c r="D98" s="899"/>
      <c r="E98" s="899"/>
      <c r="F98" s="899">
        <f t="shared" ref="F98:V98" si="68">$F$69*F74</f>
        <v>1.7999999999999998</v>
      </c>
      <c r="G98" s="899">
        <f t="shared" si="68"/>
        <v>4.6500000000000004</v>
      </c>
      <c r="H98" s="899">
        <f t="shared" si="68"/>
        <v>7.5</v>
      </c>
      <c r="I98" s="899">
        <f t="shared" si="68"/>
        <v>10.35</v>
      </c>
      <c r="J98" s="899">
        <f t="shared" si="68"/>
        <v>13.2</v>
      </c>
      <c r="K98" s="899">
        <f t="shared" si="68"/>
        <v>14.549999999999999</v>
      </c>
      <c r="L98" s="899">
        <f t="shared" si="68"/>
        <v>15.9</v>
      </c>
      <c r="M98" s="899">
        <f t="shared" si="68"/>
        <v>17.250000000000004</v>
      </c>
      <c r="N98" s="899">
        <f t="shared" si="68"/>
        <v>18.600000000000001</v>
      </c>
      <c r="O98" s="899">
        <f t="shared" si="68"/>
        <v>19.8</v>
      </c>
      <c r="P98" s="899">
        <f t="shared" si="68"/>
        <v>21.000000000000004</v>
      </c>
      <c r="Q98" s="899">
        <f t="shared" si="68"/>
        <v>22.200000000000003</v>
      </c>
      <c r="R98" s="899">
        <f t="shared" si="68"/>
        <v>22.800000000000004</v>
      </c>
      <c r="S98" s="899">
        <f t="shared" si="68"/>
        <v>23.400000000000006</v>
      </c>
      <c r="T98" s="899">
        <f t="shared" si="68"/>
        <v>24.000000000000004</v>
      </c>
      <c r="U98" s="899">
        <f t="shared" si="68"/>
        <v>24.600000000000005</v>
      </c>
      <c r="V98" s="899">
        <f t="shared" si="68"/>
        <v>24.900000000000006</v>
      </c>
    </row>
    <row r="99" spans="1:22" x14ac:dyDescent="0.3">
      <c r="A99" t="s">
        <v>1812</v>
      </c>
      <c r="B99" s="899"/>
      <c r="C99" s="899"/>
      <c r="D99" s="899"/>
      <c r="E99" s="899"/>
      <c r="F99" s="899"/>
      <c r="G99" s="899">
        <f t="shared" ref="G99:V99" si="69">$G$69*G75</f>
        <v>3.12</v>
      </c>
      <c r="H99" s="899">
        <f t="shared" si="69"/>
        <v>7.0200000000000005</v>
      </c>
      <c r="I99" s="899">
        <f t="shared" si="69"/>
        <v>10.920000000000002</v>
      </c>
      <c r="J99" s="899">
        <f t="shared" si="69"/>
        <v>14.820000000000002</v>
      </c>
      <c r="K99" s="899">
        <f t="shared" si="69"/>
        <v>18.72</v>
      </c>
      <c r="L99" s="899">
        <f t="shared" si="69"/>
        <v>20.54</v>
      </c>
      <c r="M99" s="899">
        <f t="shared" si="69"/>
        <v>22.360000000000003</v>
      </c>
      <c r="N99" s="899">
        <f t="shared" si="69"/>
        <v>24.180000000000003</v>
      </c>
      <c r="O99" s="899">
        <f t="shared" si="69"/>
        <v>26</v>
      </c>
      <c r="P99" s="899">
        <f t="shared" si="69"/>
        <v>28.080000000000002</v>
      </c>
      <c r="Q99" s="899">
        <f t="shared" si="69"/>
        <v>30.160000000000004</v>
      </c>
      <c r="R99" s="899">
        <f t="shared" si="69"/>
        <v>32.240000000000009</v>
      </c>
      <c r="S99" s="899">
        <f t="shared" si="69"/>
        <v>33.280000000000008</v>
      </c>
      <c r="T99" s="899">
        <f t="shared" si="69"/>
        <v>34.320000000000007</v>
      </c>
      <c r="U99" s="899">
        <f t="shared" si="69"/>
        <v>35.360000000000007</v>
      </c>
      <c r="V99" s="899">
        <f t="shared" si="69"/>
        <v>36.400000000000006</v>
      </c>
    </row>
    <row r="100" spans="1:22" x14ac:dyDescent="0.3">
      <c r="A100" t="s">
        <v>1813</v>
      </c>
      <c r="B100" s="899"/>
      <c r="C100" s="899"/>
      <c r="D100" s="899"/>
      <c r="E100" s="899"/>
      <c r="F100" s="899"/>
      <c r="G100" s="899"/>
      <c r="H100" s="899">
        <f t="shared" ref="H100:V100" si="70">$H$69*H76</f>
        <v>4.71</v>
      </c>
      <c r="I100" s="899">
        <f t="shared" si="70"/>
        <v>10.205</v>
      </c>
      <c r="J100" s="899">
        <f t="shared" si="70"/>
        <v>15.700000000000001</v>
      </c>
      <c r="K100" s="899">
        <f t="shared" si="70"/>
        <v>21.195</v>
      </c>
      <c r="L100" s="899">
        <f t="shared" si="70"/>
        <v>26.69</v>
      </c>
      <c r="M100" s="899">
        <f t="shared" si="70"/>
        <v>29.4375</v>
      </c>
      <c r="N100" s="899">
        <f t="shared" si="70"/>
        <v>32.184999999999995</v>
      </c>
      <c r="O100" s="899">
        <f t="shared" si="70"/>
        <v>34.932499999999997</v>
      </c>
      <c r="P100" s="899">
        <f t="shared" si="70"/>
        <v>37.68</v>
      </c>
      <c r="Q100" s="899">
        <f t="shared" si="70"/>
        <v>40.82</v>
      </c>
      <c r="R100" s="899">
        <f t="shared" si="70"/>
        <v>43.96</v>
      </c>
      <c r="S100" s="899">
        <f t="shared" si="70"/>
        <v>47.100000000000009</v>
      </c>
      <c r="T100" s="899">
        <f t="shared" si="70"/>
        <v>48.670000000000009</v>
      </c>
      <c r="U100" s="899">
        <f t="shared" si="70"/>
        <v>50.240000000000009</v>
      </c>
      <c r="V100" s="899">
        <f t="shared" si="70"/>
        <v>51.810000000000009</v>
      </c>
    </row>
    <row r="101" spans="1:22" x14ac:dyDescent="0.3">
      <c r="A101" t="s">
        <v>1814</v>
      </c>
      <c r="B101" s="899"/>
      <c r="C101" s="899"/>
      <c r="D101" s="899"/>
      <c r="E101" s="899"/>
      <c r="F101" s="899"/>
      <c r="G101" s="899"/>
      <c r="H101" s="899"/>
      <c r="I101" s="899">
        <f t="shared" ref="I101:V101" si="71">$I$69*I77</f>
        <v>5.55</v>
      </c>
      <c r="J101" s="899">
        <f t="shared" si="71"/>
        <v>12.025</v>
      </c>
      <c r="K101" s="899">
        <f t="shared" si="71"/>
        <v>18.5</v>
      </c>
      <c r="L101" s="899">
        <f t="shared" si="71"/>
        <v>24.975000000000001</v>
      </c>
      <c r="M101" s="899">
        <f t="shared" si="71"/>
        <v>31.450000000000003</v>
      </c>
      <c r="N101" s="899">
        <f t="shared" si="71"/>
        <v>35.15</v>
      </c>
      <c r="O101" s="899">
        <f t="shared" si="71"/>
        <v>38.85</v>
      </c>
      <c r="P101" s="899">
        <f t="shared" si="71"/>
        <v>42.55</v>
      </c>
      <c r="Q101" s="899">
        <f t="shared" si="71"/>
        <v>46.25</v>
      </c>
      <c r="R101" s="899">
        <f t="shared" si="71"/>
        <v>49.95</v>
      </c>
      <c r="S101" s="899">
        <f t="shared" si="71"/>
        <v>53.650000000000006</v>
      </c>
      <c r="T101" s="899">
        <f t="shared" si="71"/>
        <v>57.350000000000009</v>
      </c>
      <c r="U101" s="899">
        <f t="shared" si="71"/>
        <v>59.20000000000001</v>
      </c>
      <c r="V101" s="899">
        <f t="shared" si="71"/>
        <v>61.050000000000011</v>
      </c>
    </row>
    <row r="102" spans="1:22" x14ac:dyDescent="0.3">
      <c r="A102" t="s">
        <v>1815</v>
      </c>
      <c r="B102" s="899"/>
      <c r="C102" s="899"/>
      <c r="D102" s="899"/>
      <c r="E102" s="899"/>
      <c r="F102" s="899"/>
      <c r="G102" s="899"/>
      <c r="H102" s="899"/>
      <c r="I102" s="899"/>
      <c r="J102" s="899">
        <f t="shared" ref="J102:V102" si="72">$J$69*J78</f>
        <v>5.76</v>
      </c>
      <c r="K102" s="899">
        <f t="shared" si="72"/>
        <v>12.96</v>
      </c>
      <c r="L102" s="899">
        <f t="shared" si="72"/>
        <v>20.160000000000004</v>
      </c>
      <c r="M102" s="899">
        <f t="shared" si="72"/>
        <v>27.360000000000003</v>
      </c>
      <c r="N102" s="899">
        <f t="shared" si="72"/>
        <v>34.56</v>
      </c>
      <c r="O102" s="899">
        <f t="shared" si="72"/>
        <v>38.879999999999995</v>
      </c>
      <c r="P102" s="899">
        <f t="shared" si="72"/>
        <v>43.2</v>
      </c>
      <c r="Q102" s="899">
        <f t="shared" si="72"/>
        <v>47.52</v>
      </c>
      <c r="R102" s="899">
        <f t="shared" si="72"/>
        <v>51.84</v>
      </c>
      <c r="S102" s="899">
        <f t="shared" si="72"/>
        <v>55.680000000000007</v>
      </c>
      <c r="T102" s="899">
        <f t="shared" si="72"/>
        <v>59.52000000000001</v>
      </c>
      <c r="U102" s="899">
        <f t="shared" si="72"/>
        <v>63.360000000000014</v>
      </c>
      <c r="V102" s="899">
        <f t="shared" si="72"/>
        <v>65.280000000000015</v>
      </c>
    </row>
    <row r="103" spans="1:22" x14ac:dyDescent="0.3">
      <c r="A103" t="s">
        <v>1816</v>
      </c>
      <c r="B103" s="899"/>
      <c r="C103" s="899"/>
      <c r="D103" s="899"/>
      <c r="E103" s="899"/>
      <c r="F103" s="899"/>
      <c r="G103" s="899"/>
      <c r="H103" s="899"/>
      <c r="I103" s="899"/>
      <c r="J103" s="899"/>
      <c r="K103" s="899">
        <f t="shared" ref="K103:V103" si="73">$K$69*K79</f>
        <v>6.33</v>
      </c>
      <c r="L103" s="899">
        <f t="shared" si="73"/>
        <v>15.297500000000001</v>
      </c>
      <c r="M103" s="899">
        <f t="shared" si="73"/>
        <v>24.265000000000004</v>
      </c>
      <c r="N103" s="899">
        <f t="shared" si="73"/>
        <v>33.232500000000009</v>
      </c>
      <c r="O103" s="899">
        <f t="shared" si="73"/>
        <v>42.2</v>
      </c>
      <c r="P103" s="899">
        <f t="shared" si="73"/>
        <v>45.892500000000005</v>
      </c>
      <c r="Q103" s="899">
        <f t="shared" si="73"/>
        <v>49.585000000000008</v>
      </c>
      <c r="R103" s="899">
        <f t="shared" si="73"/>
        <v>53.277500000000011</v>
      </c>
      <c r="S103" s="899">
        <f t="shared" si="73"/>
        <v>56.970000000000006</v>
      </c>
      <c r="T103" s="899">
        <f t="shared" si="73"/>
        <v>61.190000000000005</v>
      </c>
      <c r="U103" s="899">
        <f t="shared" si="73"/>
        <v>65.410000000000011</v>
      </c>
      <c r="V103" s="899">
        <f t="shared" si="73"/>
        <v>69.63000000000001</v>
      </c>
    </row>
    <row r="104" spans="1:22" x14ac:dyDescent="0.3">
      <c r="A104" t="s">
        <v>1817</v>
      </c>
      <c r="B104" s="899"/>
      <c r="C104" s="899"/>
      <c r="D104" s="899"/>
      <c r="E104" s="899"/>
      <c r="F104" s="899"/>
      <c r="G104" s="899"/>
      <c r="H104" s="899"/>
      <c r="I104" s="899"/>
      <c r="J104" s="899"/>
      <c r="K104" s="899"/>
      <c r="L104" s="899">
        <f t="shared" ref="L104:V104" si="74">$L$69*L80</f>
        <v>8.43</v>
      </c>
      <c r="M104" s="899">
        <f t="shared" si="74"/>
        <v>19.670000000000002</v>
      </c>
      <c r="N104" s="899">
        <f t="shared" si="74"/>
        <v>30.910000000000004</v>
      </c>
      <c r="O104" s="899">
        <f t="shared" si="74"/>
        <v>42.150000000000006</v>
      </c>
      <c r="P104" s="899">
        <f t="shared" si="74"/>
        <v>53.39</v>
      </c>
      <c r="Q104" s="899">
        <f t="shared" si="74"/>
        <v>58.307499999999997</v>
      </c>
      <c r="R104" s="899">
        <f t="shared" si="74"/>
        <v>63.224999999999994</v>
      </c>
      <c r="S104" s="899">
        <f t="shared" si="74"/>
        <v>68.142499999999984</v>
      </c>
      <c r="T104" s="899">
        <f t="shared" si="74"/>
        <v>73.06</v>
      </c>
      <c r="U104" s="899">
        <f t="shared" si="74"/>
        <v>78.680000000000007</v>
      </c>
      <c r="V104" s="899">
        <f t="shared" si="74"/>
        <v>84.300000000000011</v>
      </c>
    </row>
    <row r="105" spans="1:22" x14ac:dyDescent="0.3">
      <c r="A105" t="s">
        <v>1818</v>
      </c>
      <c r="B105" s="899"/>
      <c r="C105" s="899"/>
      <c r="D105" s="899"/>
      <c r="E105" s="899"/>
      <c r="F105" s="899"/>
      <c r="G105" s="899"/>
      <c r="H105" s="899"/>
      <c r="I105" s="899"/>
      <c r="J105" s="899"/>
      <c r="K105" s="899"/>
      <c r="L105" s="899"/>
      <c r="M105" s="899">
        <f t="shared" ref="M105:V105" si="75">$M$69*M81</f>
        <v>10.53</v>
      </c>
      <c r="N105" s="899">
        <f t="shared" si="75"/>
        <v>23.692500000000003</v>
      </c>
      <c r="O105" s="899">
        <f t="shared" si="75"/>
        <v>36.855000000000004</v>
      </c>
      <c r="P105" s="899">
        <f t="shared" si="75"/>
        <v>50.017500000000005</v>
      </c>
      <c r="Q105" s="899">
        <f t="shared" si="75"/>
        <v>63.18</v>
      </c>
      <c r="R105" s="899">
        <f t="shared" si="75"/>
        <v>70.199999999999989</v>
      </c>
      <c r="S105" s="899">
        <f t="shared" si="75"/>
        <v>77.219999999999985</v>
      </c>
      <c r="T105" s="899">
        <f t="shared" si="75"/>
        <v>84.239999999999981</v>
      </c>
      <c r="U105" s="899">
        <f t="shared" si="75"/>
        <v>91.26</v>
      </c>
      <c r="V105" s="899">
        <f t="shared" si="75"/>
        <v>98.280000000000015</v>
      </c>
    </row>
    <row r="106" spans="1:22" x14ac:dyDescent="0.3">
      <c r="A106" t="s">
        <v>1819</v>
      </c>
      <c r="B106" s="1462"/>
      <c r="C106" s="1462"/>
      <c r="D106" s="1462"/>
      <c r="E106" s="1462"/>
      <c r="F106" s="1462"/>
      <c r="G106" s="1462"/>
      <c r="H106" s="1462"/>
      <c r="I106" s="1462"/>
      <c r="J106" s="1462"/>
      <c r="K106" s="1462"/>
      <c r="L106" s="1462"/>
      <c r="M106" s="1462"/>
      <c r="N106" s="1462">
        <f t="shared" ref="N106:V106" si="76">$N$69*N82</f>
        <v>11.43</v>
      </c>
      <c r="O106" s="1462">
        <f t="shared" si="76"/>
        <v>25.717500000000001</v>
      </c>
      <c r="P106" s="1462">
        <f t="shared" si="76"/>
        <v>40.005000000000003</v>
      </c>
      <c r="Q106" s="1462">
        <f t="shared" si="76"/>
        <v>54.292500000000004</v>
      </c>
      <c r="R106" s="1462">
        <f t="shared" si="76"/>
        <v>68.58</v>
      </c>
      <c r="S106" s="1462">
        <f t="shared" si="76"/>
        <v>76.199999999999989</v>
      </c>
      <c r="T106" s="1462">
        <f t="shared" si="76"/>
        <v>83.82</v>
      </c>
      <c r="U106" s="1462">
        <f t="shared" si="76"/>
        <v>91.439999999999984</v>
      </c>
      <c r="V106" s="1462">
        <f t="shared" si="76"/>
        <v>99.06</v>
      </c>
    </row>
    <row r="107" spans="1:22" x14ac:dyDescent="0.3">
      <c r="A107" t="s">
        <v>3859</v>
      </c>
      <c r="B107" s="1462"/>
      <c r="C107" s="1462"/>
      <c r="D107" s="1462"/>
      <c r="E107" s="1462"/>
      <c r="F107" s="1462"/>
      <c r="G107" s="1462"/>
      <c r="H107" s="1462"/>
      <c r="I107" s="1462"/>
      <c r="J107" s="1462"/>
      <c r="K107" s="1462"/>
      <c r="L107" s="1462"/>
      <c r="M107" s="1462"/>
      <c r="N107" s="1462"/>
      <c r="O107" s="1462">
        <f t="shared" ref="O107:V107" si="77">$O$69*O83</f>
        <v>10.17</v>
      </c>
      <c r="P107" s="1462">
        <f t="shared" si="77"/>
        <v>22.8825</v>
      </c>
      <c r="Q107" s="1462">
        <f t="shared" si="77"/>
        <v>35.595000000000006</v>
      </c>
      <c r="R107" s="1462">
        <f t="shared" si="77"/>
        <v>48.307500000000005</v>
      </c>
      <c r="S107" s="1462">
        <f t="shared" si="77"/>
        <v>61.019999999999996</v>
      </c>
      <c r="T107" s="1462">
        <f t="shared" si="77"/>
        <v>67.8</v>
      </c>
      <c r="U107" s="1462">
        <f t="shared" si="77"/>
        <v>74.579999999999984</v>
      </c>
      <c r="V107" s="1462">
        <f t="shared" si="77"/>
        <v>81.359999999999985</v>
      </c>
    </row>
    <row r="108" spans="1:22" x14ac:dyDescent="0.3">
      <c r="A108" t="s">
        <v>3860</v>
      </c>
      <c r="B108" s="1462"/>
      <c r="C108" s="1462"/>
      <c r="D108" s="1462"/>
      <c r="E108" s="1462"/>
      <c r="F108" s="1462"/>
      <c r="G108" s="1462"/>
      <c r="H108" s="1462"/>
      <c r="I108" s="1462"/>
      <c r="J108" s="1462"/>
      <c r="K108" s="1462"/>
      <c r="L108" s="1462"/>
      <c r="M108" s="1462"/>
      <c r="N108" s="1462"/>
      <c r="P108" s="1462">
        <f t="shared" ref="P108:V108" si="78">$P$69*P84</f>
        <v>9.48</v>
      </c>
      <c r="Q108" s="1462">
        <f t="shared" si="78"/>
        <v>21.330000000000002</v>
      </c>
      <c r="R108" s="1462">
        <f t="shared" si="78"/>
        <v>33.18</v>
      </c>
      <c r="S108" s="1462">
        <f t="shared" si="78"/>
        <v>45.030000000000008</v>
      </c>
      <c r="T108" s="1462">
        <f t="shared" si="78"/>
        <v>56.879999999999995</v>
      </c>
      <c r="U108" s="1462">
        <f t="shared" si="78"/>
        <v>63.199999999999996</v>
      </c>
      <c r="V108" s="1462">
        <f t="shared" si="78"/>
        <v>69.52</v>
      </c>
    </row>
    <row r="109" spans="1:22" x14ac:dyDescent="0.3">
      <c r="A109" t="s">
        <v>3861</v>
      </c>
      <c r="B109" s="1462"/>
      <c r="C109" s="1462"/>
      <c r="D109" s="1462"/>
      <c r="E109" s="1462"/>
      <c r="F109" s="1462"/>
      <c r="G109" s="1462"/>
      <c r="H109" s="1462"/>
      <c r="I109" s="1462"/>
      <c r="J109" s="1462"/>
      <c r="K109" s="1462"/>
      <c r="L109" s="1462"/>
      <c r="M109" s="1462"/>
      <c r="N109" s="1462"/>
      <c r="Q109" s="1462">
        <f t="shared" ref="Q109:V109" si="79">$Q$69*Q85</f>
        <v>9.9599999999999991</v>
      </c>
      <c r="R109" s="1462">
        <f t="shared" si="79"/>
        <v>22.41</v>
      </c>
      <c r="S109" s="1462">
        <f t="shared" si="79"/>
        <v>34.860000000000007</v>
      </c>
      <c r="T109" s="1462">
        <f t="shared" si="79"/>
        <v>47.31</v>
      </c>
      <c r="U109" s="1462">
        <f t="shared" si="79"/>
        <v>59.76</v>
      </c>
      <c r="V109" s="1462">
        <f t="shared" si="79"/>
        <v>66.399999999999991</v>
      </c>
    </row>
    <row r="110" spans="1:22" x14ac:dyDescent="0.3">
      <c r="A110" t="s">
        <v>3862</v>
      </c>
      <c r="B110" s="1462"/>
      <c r="C110" s="1462"/>
      <c r="D110" s="1462"/>
      <c r="E110" s="1462"/>
      <c r="F110" s="1462"/>
      <c r="G110" s="1462"/>
      <c r="H110" s="1462"/>
      <c r="I110" s="1462"/>
      <c r="J110" s="1462"/>
      <c r="K110" s="1462"/>
      <c r="L110" s="1462"/>
      <c r="M110" s="1462"/>
      <c r="N110" s="1462"/>
      <c r="R110" s="1462">
        <f>$R$69*R86</f>
        <v>9.99</v>
      </c>
      <c r="S110" s="1462">
        <f>$R$69*S86</f>
        <v>22.477500000000003</v>
      </c>
      <c r="T110" s="1462">
        <f>$R$69*T86</f>
        <v>34.965000000000003</v>
      </c>
      <c r="U110" s="1462">
        <f>$R$69*U86</f>
        <v>47.452500000000008</v>
      </c>
      <c r="V110" s="1462">
        <f>$R$69*V86</f>
        <v>59.94</v>
      </c>
    </row>
    <row r="111" spans="1:22" x14ac:dyDescent="0.3">
      <c r="A111" t="s">
        <v>3863</v>
      </c>
      <c r="B111" s="1462"/>
      <c r="C111" s="1462"/>
      <c r="D111" s="1462"/>
      <c r="E111" s="1462"/>
      <c r="F111" s="1462"/>
      <c r="G111" s="1462"/>
      <c r="H111" s="1462"/>
      <c r="I111" s="1462"/>
      <c r="J111" s="1462"/>
      <c r="K111" s="1462"/>
      <c r="L111" s="1462"/>
      <c r="M111" s="1462"/>
      <c r="N111" s="1462"/>
      <c r="S111" s="1462">
        <f>$S$69*S87</f>
        <v>9.66</v>
      </c>
      <c r="T111" s="1462">
        <f>$S$69*T87</f>
        <v>21.735000000000003</v>
      </c>
      <c r="U111" s="1462">
        <f>$S$69*U87</f>
        <v>33.81</v>
      </c>
      <c r="V111" s="1462">
        <f>$S$69*V87</f>
        <v>45.885000000000005</v>
      </c>
    </row>
    <row r="112" spans="1:22" x14ac:dyDescent="0.3">
      <c r="A112" t="s">
        <v>3864</v>
      </c>
      <c r="B112" s="1462"/>
      <c r="C112" s="1462"/>
      <c r="D112" s="1462"/>
      <c r="E112" s="1462"/>
      <c r="F112" s="1462"/>
      <c r="G112" s="1462"/>
      <c r="H112" s="1462"/>
      <c r="I112" s="1462"/>
      <c r="J112" s="1462"/>
      <c r="K112" s="1462"/>
      <c r="L112" s="1462"/>
      <c r="M112" s="1462"/>
      <c r="N112" s="1462"/>
      <c r="T112" s="1462">
        <f>$T$69*T88</f>
        <v>11.639999999999999</v>
      </c>
      <c r="U112" s="1462">
        <f>$T$69*U88</f>
        <v>26.19</v>
      </c>
      <c r="V112" s="1462">
        <f>$T$69*V88</f>
        <v>40.74</v>
      </c>
    </row>
    <row r="113" spans="1:22" x14ac:dyDescent="0.3">
      <c r="A113" t="s">
        <v>3865</v>
      </c>
      <c r="B113" s="1462"/>
      <c r="C113" s="1462"/>
      <c r="D113" s="1462"/>
      <c r="E113" s="1462"/>
      <c r="F113" s="1462"/>
      <c r="G113" s="1462"/>
      <c r="H113" s="1462"/>
      <c r="I113" s="1462"/>
      <c r="J113" s="1462"/>
      <c r="K113" s="1462"/>
      <c r="L113" s="1462"/>
      <c r="M113" s="1462"/>
      <c r="N113" s="1462"/>
      <c r="U113" s="1462">
        <f>$U$69*U89</f>
        <v>11.43</v>
      </c>
      <c r="V113" s="1462">
        <f>$U$69*V89</f>
        <v>25.717500000000001</v>
      </c>
    </row>
    <row r="114" spans="1:22" x14ac:dyDescent="0.3">
      <c r="A114" t="s">
        <v>3866</v>
      </c>
      <c r="B114" s="904"/>
      <c r="C114" s="904"/>
      <c r="D114" s="904"/>
      <c r="E114" s="904"/>
      <c r="F114" s="904"/>
      <c r="G114" s="904"/>
      <c r="H114" s="904"/>
      <c r="I114" s="904"/>
      <c r="J114" s="904"/>
      <c r="K114" s="904"/>
      <c r="L114" s="904"/>
      <c r="M114" s="904"/>
      <c r="N114" s="904"/>
      <c r="O114" s="114"/>
      <c r="P114" s="114"/>
      <c r="Q114" s="114"/>
      <c r="R114" s="114"/>
      <c r="S114" s="114"/>
      <c r="T114" s="114"/>
      <c r="U114" s="114"/>
      <c r="V114" s="904">
        <f>$V$69*V90</f>
        <v>7.2299999999999995</v>
      </c>
    </row>
    <row r="115" spans="1:22" x14ac:dyDescent="0.3">
      <c r="A115" s="90" t="s">
        <v>1734</v>
      </c>
      <c r="B115" s="905">
        <f>Drivers!DY115</f>
        <v>1205</v>
      </c>
      <c r="C115" s="905">
        <f>Drivers!DZ115</f>
        <v>1215</v>
      </c>
      <c r="D115" s="905">
        <f>Drivers!EA115</f>
        <v>1223</v>
      </c>
      <c r="E115" s="905">
        <f>Drivers!EB115</f>
        <v>1229</v>
      </c>
      <c r="F115" s="905">
        <f>Drivers!EC115</f>
        <v>1238</v>
      </c>
      <c r="G115" s="905">
        <f>Drivers!EE115</f>
        <v>1251</v>
      </c>
      <c r="H115" s="905">
        <f>Drivers!EF115</f>
        <v>1263</v>
      </c>
      <c r="I115" s="905">
        <f>Drivers!EG115</f>
        <v>1292</v>
      </c>
      <c r="J115" s="905">
        <f>Drivers!EH115</f>
        <v>1336</v>
      </c>
      <c r="K115" s="905">
        <f>Drivers!EJ115</f>
        <v>1388</v>
      </c>
      <c r="L115" s="905">
        <f>Drivers!EK115</f>
        <v>1438</v>
      </c>
      <c r="M115" s="905">
        <f>Drivers!EL115</f>
        <v>1502</v>
      </c>
      <c r="N115" s="905">
        <f>Drivers!EM115</f>
        <v>1575</v>
      </c>
      <c r="O115" s="905">
        <f>Drivers!EO115</f>
        <v>1659</v>
      </c>
      <c r="P115" s="905">
        <f>Drivers!EP115</f>
        <v>1722</v>
      </c>
      <c r="Q115" s="905">
        <f>Drivers!EQ115</f>
        <v>1797</v>
      </c>
      <c r="R115" s="905">
        <f>Drivers!ER115</f>
        <v>1878</v>
      </c>
      <c r="S115" s="905">
        <f>SUM(S94:S114)</f>
        <v>1976.75875</v>
      </c>
      <c r="T115" s="905">
        <f t="shared" ref="T115:V115" si="80">SUM(T94:T114)</f>
        <v>2064.5084999999995</v>
      </c>
      <c r="U115" s="905">
        <f t="shared" si="80"/>
        <v>2178.0097499999997</v>
      </c>
      <c r="V115" s="905">
        <f t="shared" si="80"/>
        <v>2293.5684999999999</v>
      </c>
    </row>
    <row r="116" spans="1:22" x14ac:dyDescent="0.3">
      <c r="A116" s="90" t="s">
        <v>1740</v>
      </c>
      <c r="B116" s="90"/>
      <c r="C116" s="905">
        <f>C115-B115</f>
        <v>10</v>
      </c>
      <c r="D116" s="905">
        <f t="shared" ref="D116:N116" si="81">D115-C115</f>
        <v>8</v>
      </c>
      <c r="E116" s="905">
        <f t="shared" si="81"/>
        <v>6</v>
      </c>
      <c r="F116" s="905">
        <f t="shared" si="81"/>
        <v>9</v>
      </c>
      <c r="G116" s="905">
        <f t="shared" si="81"/>
        <v>13</v>
      </c>
      <c r="H116" s="905">
        <f t="shared" si="81"/>
        <v>12</v>
      </c>
      <c r="I116" s="905">
        <f t="shared" si="81"/>
        <v>29</v>
      </c>
      <c r="J116" s="905">
        <f t="shared" si="81"/>
        <v>44</v>
      </c>
      <c r="K116" s="905">
        <f t="shared" si="81"/>
        <v>52</v>
      </c>
      <c r="L116" s="905">
        <f t="shared" si="81"/>
        <v>50</v>
      </c>
      <c r="M116" s="905">
        <f t="shared" si="81"/>
        <v>64</v>
      </c>
      <c r="N116" s="905">
        <f t="shared" si="81"/>
        <v>73</v>
      </c>
      <c r="O116" s="905">
        <f t="shared" ref="O116" si="82">O115-N115</f>
        <v>84</v>
      </c>
      <c r="P116" s="905">
        <f t="shared" ref="P116" si="83">P115-O115</f>
        <v>63</v>
      </c>
      <c r="Q116" s="905">
        <f t="shared" ref="Q116" si="84">Q115-P115</f>
        <v>75</v>
      </c>
      <c r="R116" s="905">
        <f t="shared" ref="R116" si="85">R115-Q115</f>
        <v>81</v>
      </c>
      <c r="S116" s="905">
        <f t="shared" ref="S116" si="86">S115-R115</f>
        <v>98.758749999999964</v>
      </c>
      <c r="T116" s="905">
        <f t="shared" ref="T116" si="87">T115-S115</f>
        <v>87.749749999999494</v>
      </c>
      <c r="U116" s="905">
        <f t="shared" ref="U116" si="88">U115-T115</f>
        <v>113.50125000000025</v>
      </c>
      <c r="V116" s="905">
        <f t="shared" ref="V116" si="89">V115-U115</f>
        <v>115.55875000000015</v>
      </c>
    </row>
    <row r="117" spans="1:22" x14ac:dyDescent="0.3">
      <c r="A117" s="94" t="s">
        <v>3867</v>
      </c>
      <c r="B117" s="94"/>
      <c r="C117" s="94"/>
      <c r="D117" s="94"/>
      <c r="E117" s="94"/>
      <c r="F117" s="94"/>
      <c r="G117" s="1463">
        <f>G116-C116</f>
        <v>3</v>
      </c>
      <c r="H117" s="1463">
        <f t="shared" ref="H117:V117" si="90">H116-D116</f>
        <v>4</v>
      </c>
      <c r="I117" s="1463">
        <f t="shared" si="90"/>
        <v>23</v>
      </c>
      <c r="J117" s="1463">
        <f t="shared" si="90"/>
        <v>35</v>
      </c>
      <c r="K117" s="1463">
        <f t="shared" si="90"/>
        <v>39</v>
      </c>
      <c r="L117" s="1463">
        <f t="shared" si="90"/>
        <v>38</v>
      </c>
      <c r="M117" s="1463">
        <f t="shared" si="90"/>
        <v>35</v>
      </c>
      <c r="N117" s="1463">
        <f t="shared" si="90"/>
        <v>29</v>
      </c>
      <c r="O117" s="1463">
        <f t="shared" si="90"/>
        <v>32</v>
      </c>
      <c r="P117" s="1463">
        <f t="shared" si="90"/>
        <v>13</v>
      </c>
      <c r="Q117" s="1463">
        <f t="shared" si="90"/>
        <v>11</v>
      </c>
      <c r="R117" s="1463">
        <f t="shared" si="90"/>
        <v>8</v>
      </c>
      <c r="S117" s="1463">
        <f t="shared" si="90"/>
        <v>14.758749999999964</v>
      </c>
      <c r="T117" s="1463">
        <f t="shared" si="90"/>
        <v>24.749749999999494</v>
      </c>
      <c r="U117" s="1463">
        <f t="shared" si="90"/>
        <v>38.501250000000255</v>
      </c>
      <c r="V117" s="1463">
        <f t="shared" si="90"/>
        <v>34.558750000000146</v>
      </c>
    </row>
    <row r="118" spans="1:22" x14ac:dyDescent="0.3">
      <c r="A118" s="94" t="s">
        <v>3868</v>
      </c>
      <c r="B118" s="1168">
        <f t="shared" ref="B118:V118" si="91">B115/B68</f>
        <v>0.37387527148619298</v>
      </c>
      <c r="C118" s="1168">
        <f t="shared" si="91"/>
        <v>0.37592821782178215</v>
      </c>
      <c r="D118" s="1168">
        <f t="shared" si="91"/>
        <v>0.37746913580246916</v>
      </c>
      <c r="E118" s="1168">
        <f t="shared" si="91"/>
        <v>0.37827023699599877</v>
      </c>
      <c r="F118" s="1168">
        <f t="shared" si="91"/>
        <v>0.37413115744938047</v>
      </c>
      <c r="G118" s="1168">
        <f t="shared" si="91"/>
        <v>0.36653970114268969</v>
      </c>
      <c r="H118" s="1168">
        <f t="shared" si="91"/>
        <v>0.35378151260504204</v>
      </c>
      <c r="I118" s="1168">
        <f t="shared" si="91"/>
        <v>0.34407456724367508</v>
      </c>
      <c r="J118" s="1168">
        <f t="shared" si="91"/>
        <v>0.33848492525969093</v>
      </c>
      <c r="K118" s="1168">
        <f t="shared" si="91"/>
        <v>0.33381433381433384</v>
      </c>
      <c r="L118" s="1168">
        <f t="shared" si="91"/>
        <v>0.32394683487271908</v>
      </c>
      <c r="M118" s="1168">
        <f t="shared" si="91"/>
        <v>0.31356993736951982</v>
      </c>
      <c r="N118" s="1168">
        <f t="shared" si="91"/>
        <v>0.30458325275575326</v>
      </c>
      <c r="O118" s="1168">
        <f t="shared" si="91"/>
        <v>0.30108892921960073</v>
      </c>
      <c r="P118" s="1168">
        <f t="shared" si="91"/>
        <v>0.29557157569515963</v>
      </c>
      <c r="Q118" s="1168">
        <f t="shared" si="91"/>
        <v>0.29181552452094833</v>
      </c>
      <c r="R118" s="1168">
        <f t="shared" si="91"/>
        <v>0.28932367894007088</v>
      </c>
      <c r="S118" s="1168">
        <f t="shared" si="91"/>
        <v>0.29014512696315864</v>
      </c>
      <c r="T118" s="1168">
        <f t="shared" si="91"/>
        <v>0.28669747257325362</v>
      </c>
      <c r="U118" s="1168">
        <f t="shared" si="91"/>
        <v>0.28726058427855444</v>
      </c>
      <c r="V118" s="1168">
        <f t="shared" si="91"/>
        <v>0.2931827304103285</v>
      </c>
    </row>
    <row r="122" spans="1:22" x14ac:dyDescent="0.3">
      <c r="A122" s="533"/>
      <c r="B122" s="534"/>
      <c r="C122" s="534"/>
      <c r="D122" s="534"/>
      <c r="E122" s="534"/>
      <c r="F122" s="534"/>
      <c r="G122" s="534"/>
      <c r="H122" s="534"/>
      <c r="I122" s="534"/>
      <c r="J122" s="534"/>
      <c r="K122" s="534"/>
      <c r="L122" s="534"/>
      <c r="M122" s="534"/>
      <c r="N122" s="534"/>
      <c r="O122" s="534"/>
      <c r="P122" s="534"/>
      <c r="Q122" s="534"/>
      <c r="R122" s="534"/>
      <c r="S122" s="534"/>
    </row>
    <row r="123" spans="1:22" x14ac:dyDescent="0.3">
      <c r="B123" s="147">
        <v>2020</v>
      </c>
      <c r="C123" s="147">
        <v>2021</v>
      </c>
      <c r="D123" s="147">
        <v>2022</v>
      </c>
    </row>
    <row r="124" spans="1:22" x14ac:dyDescent="0.3">
      <c r="A124" t="s">
        <v>271</v>
      </c>
      <c r="B124" s="885">
        <f>Drivers!ED90</f>
        <v>3309</v>
      </c>
      <c r="C124" s="885">
        <f>Drivers!EI90</f>
        <v>3947</v>
      </c>
      <c r="D124" s="885">
        <f>Drivers!EN90</f>
        <v>5171</v>
      </c>
    </row>
    <row r="125" spans="1:22" x14ac:dyDescent="0.3">
      <c r="A125" t="s">
        <v>1790</v>
      </c>
      <c r="B125" s="885">
        <v>0</v>
      </c>
      <c r="C125" s="885">
        <f>C124-B124</f>
        <v>638</v>
      </c>
      <c r="D125" s="885">
        <f>D124-C124</f>
        <v>1224</v>
      </c>
    </row>
    <row r="126" spans="1:22" x14ac:dyDescent="0.3">
      <c r="A126" t="s">
        <v>1820</v>
      </c>
      <c r="B126" s="898">
        <f>Drivers!ED120</f>
        <v>0.37413115744938047</v>
      </c>
      <c r="C126" s="898">
        <f>B126+0.5%</f>
        <v>0.37913115744938047</v>
      </c>
      <c r="D126" s="898">
        <f>C126+0.5%</f>
        <v>0.38413115744938048</v>
      </c>
    </row>
    <row r="127" spans="1:22" x14ac:dyDescent="0.3">
      <c r="A127" t="s">
        <v>1821</v>
      </c>
      <c r="B127" s="898"/>
      <c r="C127" s="898">
        <f>C131/C125</f>
        <v>0.12767241379310335</v>
      </c>
      <c r="D127" s="898">
        <f>0.175+0.1/2</f>
        <v>0.22499999999999998</v>
      </c>
    </row>
    <row r="128" spans="1:22" x14ac:dyDescent="0.3">
      <c r="A128" t="s">
        <v>1822</v>
      </c>
      <c r="B128" s="898"/>
      <c r="C128" s="898"/>
      <c r="D128" s="898">
        <f>0.175/2</f>
        <v>8.7499999999999994E-2</v>
      </c>
    </row>
    <row r="130" spans="1:19" x14ac:dyDescent="0.3">
      <c r="A130" t="s">
        <v>1823</v>
      </c>
      <c r="B130" s="885">
        <f>$B124*B126</f>
        <v>1238</v>
      </c>
      <c r="C130" s="885">
        <f>$B124*C126</f>
        <v>1254.5450000000001</v>
      </c>
      <c r="D130" s="885">
        <f>$B124*D126</f>
        <v>1271.0899999999999</v>
      </c>
    </row>
    <row r="131" spans="1:19" x14ac:dyDescent="0.3">
      <c r="A131" t="s">
        <v>1824</v>
      </c>
      <c r="B131" s="885"/>
      <c r="C131" s="885">
        <f>C133-C130</f>
        <v>81.454999999999927</v>
      </c>
      <c r="D131" s="885">
        <f>$C125*D127</f>
        <v>143.54999999999998</v>
      </c>
    </row>
    <row r="132" spans="1:19" x14ac:dyDescent="0.3">
      <c r="A132" t="s">
        <v>1825</v>
      </c>
      <c r="B132" s="901"/>
      <c r="C132" s="901"/>
      <c r="D132" s="901">
        <f>$D125*D128</f>
        <v>107.1</v>
      </c>
    </row>
    <row r="133" spans="1:19" ht="12.5" thickBot="1" x14ac:dyDescent="0.35">
      <c r="A133" t="s">
        <v>1734</v>
      </c>
      <c r="B133" s="885">
        <f>SUM(B130:B132)</f>
        <v>1238</v>
      </c>
      <c r="C133" s="885">
        <f>Drivers!EI115</f>
        <v>1336</v>
      </c>
      <c r="D133" s="885">
        <f>SUM(D130:D132)</f>
        <v>1521.7399999999998</v>
      </c>
    </row>
    <row r="134" spans="1:19" ht="12.5" thickBot="1" x14ac:dyDescent="0.35">
      <c r="A134" s="1126" t="s">
        <v>1740</v>
      </c>
      <c r="B134" s="1127"/>
      <c r="C134" s="1127">
        <f>C133-B133</f>
        <v>98</v>
      </c>
      <c r="D134" s="1128">
        <f>D133-C133</f>
        <v>185.73999999999978</v>
      </c>
    </row>
    <row r="136" spans="1:19" x14ac:dyDescent="0.3">
      <c r="A136" s="533"/>
      <c r="B136" s="534"/>
      <c r="C136" s="534"/>
      <c r="D136" s="534"/>
      <c r="E136" s="534"/>
      <c r="F136" s="534"/>
      <c r="G136" s="534"/>
      <c r="H136" s="534"/>
      <c r="I136" s="534"/>
      <c r="J136" s="534"/>
      <c r="K136" s="534"/>
      <c r="L136" s="534"/>
      <c r="M136" s="534"/>
      <c r="N136" s="534"/>
      <c r="O136" s="534"/>
      <c r="P136" s="534"/>
      <c r="Q136" s="534"/>
      <c r="R136" s="534"/>
      <c r="S136" s="534"/>
    </row>
    <row r="137" spans="1:19" x14ac:dyDescent="0.3">
      <c r="B137" s="374" t="s">
        <v>1126</v>
      </c>
      <c r="C137" s="374" t="s">
        <v>1127</v>
      </c>
    </row>
    <row r="138" spans="1:19" x14ac:dyDescent="0.3">
      <c r="A138" t="s">
        <v>324</v>
      </c>
      <c r="B138">
        <v>3.2</v>
      </c>
      <c r="C138">
        <f>B138</f>
        <v>3.2</v>
      </c>
    </row>
    <row r="139" spans="1:19" ht="12.5" thickBot="1" x14ac:dyDescent="0.35">
      <c r="A139" t="s">
        <v>270</v>
      </c>
      <c r="B139" s="1102">
        <v>0.41199999999999998</v>
      </c>
      <c r="C139" s="1102">
        <v>0.41499999999999998</v>
      </c>
    </row>
    <row r="140" spans="1:19" ht="12.5" thickBot="1" x14ac:dyDescent="0.35">
      <c r="A140" s="90" t="s">
        <v>1398</v>
      </c>
      <c r="B140" s="90">
        <f>B138*B139*1000</f>
        <v>1318.4</v>
      </c>
      <c r="C140" s="90">
        <f>C138*C139*1000</f>
        <v>1328</v>
      </c>
      <c r="D140" s="1101">
        <f>C140-B140</f>
        <v>9.5999999999999091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F57AA-504B-44A3-8D70-C9777DB9CE19}">
  <sheetPr>
    <tabColor rgb="FFFF0000"/>
  </sheetPr>
  <dimension ref="A1:T156"/>
  <sheetViews>
    <sheetView showGridLines="0" workbookViewId="0">
      <selection activeCell="C23" sqref="C23"/>
    </sheetView>
  </sheetViews>
  <sheetFormatPr defaultRowHeight="12" outlineLevelRow="1" x14ac:dyDescent="0.3"/>
  <cols>
    <col min="1" max="1" width="62.6640625" bestFit="1" customWidth="1"/>
    <col min="2" max="4" width="11.109375" customWidth="1"/>
  </cols>
  <sheetData>
    <row r="1" spans="1:20" ht="21.5" thickBot="1" x14ac:dyDescent="0.55000000000000004">
      <c r="A1" s="38" t="s">
        <v>13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</row>
    <row r="2" spans="1:20" x14ac:dyDescent="0.3">
      <c r="A2" s="39" t="s">
        <v>3646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</row>
    <row r="3" spans="1:20" x14ac:dyDescent="0.3">
      <c r="A3" s="481" t="s">
        <v>15</v>
      </c>
      <c r="B3" s="481"/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  <c r="T3" s="481"/>
    </row>
    <row r="6" spans="1:20" x14ac:dyDescent="0.3">
      <c r="A6" s="141" t="s">
        <v>3869</v>
      </c>
    </row>
    <row r="7" spans="1:20" x14ac:dyDescent="0.3">
      <c r="A7" s="147"/>
      <c r="B7" s="147">
        <v>2020</v>
      </c>
      <c r="C7" s="147">
        <v>2021</v>
      </c>
      <c r="D7" s="147">
        <f>+C7+1</f>
        <v>2022</v>
      </c>
      <c r="E7" s="147">
        <f t="shared" ref="E7:M7" si="0">+D7+1</f>
        <v>2023</v>
      </c>
      <c r="F7" s="147">
        <f t="shared" si="0"/>
        <v>2024</v>
      </c>
      <c r="G7" s="147">
        <f t="shared" si="0"/>
        <v>2025</v>
      </c>
      <c r="H7" s="147">
        <f t="shared" si="0"/>
        <v>2026</v>
      </c>
      <c r="I7" s="147">
        <f t="shared" si="0"/>
        <v>2027</v>
      </c>
      <c r="J7" s="147">
        <f t="shared" si="0"/>
        <v>2028</v>
      </c>
      <c r="K7" s="147">
        <f t="shared" si="0"/>
        <v>2029</v>
      </c>
      <c r="L7" s="147">
        <f t="shared" si="0"/>
        <v>2030</v>
      </c>
      <c r="M7" s="147">
        <f t="shared" si="0"/>
        <v>2031</v>
      </c>
    </row>
    <row r="8" spans="1:20" x14ac:dyDescent="0.3">
      <c r="A8" t="s">
        <v>3870</v>
      </c>
      <c r="B8" s="76"/>
      <c r="C8" s="76"/>
      <c r="D8" s="76"/>
      <c r="E8" s="76"/>
      <c r="F8" s="76"/>
      <c r="G8" s="95">
        <v>625</v>
      </c>
      <c r="H8" s="76"/>
      <c r="I8" s="76"/>
      <c r="J8" s="76"/>
      <c r="K8" s="76"/>
      <c r="L8" s="76"/>
    </row>
    <row r="9" spans="1:20" x14ac:dyDescent="0.3">
      <c r="A9" t="s">
        <v>3871</v>
      </c>
      <c r="B9" s="76"/>
      <c r="C9" s="76"/>
      <c r="D9" s="76"/>
      <c r="E9" s="76"/>
      <c r="F9" s="76"/>
      <c r="G9" s="76"/>
      <c r="H9" s="76"/>
      <c r="I9" s="95">
        <v>1250</v>
      </c>
      <c r="J9" s="76"/>
      <c r="K9" s="76"/>
      <c r="L9" s="76"/>
    </row>
    <row r="10" spans="1:20" x14ac:dyDescent="0.3">
      <c r="A10" t="s">
        <v>3872</v>
      </c>
      <c r="B10" s="76"/>
      <c r="C10" s="76"/>
      <c r="D10" s="76"/>
      <c r="E10" s="76"/>
      <c r="F10" s="76"/>
      <c r="G10" s="76"/>
      <c r="H10" s="76"/>
      <c r="I10" s="76"/>
      <c r="J10" s="95">
        <v>1550</v>
      </c>
      <c r="K10" s="76"/>
      <c r="L10" s="76"/>
    </row>
    <row r="11" spans="1:20" x14ac:dyDescent="0.3">
      <c r="A11" t="s">
        <v>3873</v>
      </c>
      <c r="B11" s="76"/>
      <c r="C11" s="76"/>
      <c r="D11" s="76"/>
      <c r="E11" s="76"/>
      <c r="F11" s="76"/>
      <c r="G11" s="76"/>
      <c r="H11" s="76"/>
      <c r="I11" s="95">
        <v>1150</v>
      </c>
      <c r="J11" s="76"/>
      <c r="K11" s="76"/>
      <c r="L11" s="76"/>
    </row>
    <row r="12" spans="1:20" x14ac:dyDescent="0.3">
      <c r="A12" t="s">
        <v>3874</v>
      </c>
      <c r="B12" s="76"/>
      <c r="C12" s="76"/>
      <c r="D12" s="76"/>
      <c r="E12" s="76"/>
      <c r="F12" s="76"/>
      <c r="G12" s="76"/>
      <c r="H12" s="76"/>
      <c r="I12" s="76"/>
      <c r="J12" s="76"/>
      <c r="K12" s="95">
        <v>1000</v>
      </c>
      <c r="L12" s="76"/>
    </row>
    <row r="13" spans="1:20" x14ac:dyDescent="0.3">
      <c r="A13" t="s">
        <v>3875</v>
      </c>
      <c r="B13" s="76"/>
      <c r="C13" s="76"/>
      <c r="D13" s="76"/>
      <c r="E13" s="76"/>
      <c r="F13" s="76"/>
      <c r="G13" s="76"/>
      <c r="H13" s="76"/>
      <c r="I13" s="95">
        <v>200</v>
      </c>
      <c r="J13" s="95">
        <v>506</v>
      </c>
      <c r="K13" s="95">
        <v>50</v>
      </c>
      <c r="L13" s="95">
        <v>14</v>
      </c>
      <c r="M13" s="95">
        <v>850</v>
      </c>
    </row>
    <row r="14" spans="1:20" x14ac:dyDescent="0.3">
      <c r="A14" s="90" t="s">
        <v>266</v>
      </c>
      <c r="B14" s="381">
        <f>+SUM(B8:B13)</f>
        <v>0</v>
      </c>
      <c r="C14" s="381">
        <f t="shared" ref="C14:M14" si="1">+SUM(C8:C13)</f>
        <v>0</v>
      </c>
      <c r="D14" s="381">
        <f t="shared" si="1"/>
        <v>0</v>
      </c>
      <c r="E14" s="381">
        <f t="shared" si="1"/>
        <v>0</v>
      </c>
      <c r="F14" s="381">
        <f t="shared" si="1"/>
        <v>0</v>
      </c>
      <c r="G14" s="473">
        <v>0</v>
      </c>
      <c r="H14" s="381">
        <f t="shared" si="1"/>
        <v>0</v>
      </c>
      <c r="I14" s="473">
        <v>2740</v>
      </c>
      <c r="J14" s="473">
        <v>2050</v>
      </c>
      <c r="K14" s="473">
        <v>1800</v>
      </c>
      <c r="L14" s="473">
        <v>2214</v>
      </c>
      <c r="M14" s="381">
        <f t="shared" si="1"/>
        <v>850</v>
      </c>
    </row>
    <row r="15" spans="1:20" x14ac:dyDescent="0.3">
      <c r="A15" s="90"/>
    </row>
    <row r="19" spans="1:7" x14ac:dyDescent="0.3">
      <c r="A19" s="489" t="s">
        <v>3876</v>
      </c>
    </row>
    <row r="20" spans="1:7" ht="36" x14ac:dyDescent="0.3">
      <c r="A20" s="492"/>
      <c r="B20" s="492" t="s">
        <v>3877</v>
      </c>
      <c r="C20" s="492" t="s">
        <v>1403</v>
      </c>
      <c r="D20" s="492" t="s">
        <v>3878</v>
      </c>
      <c r="E20" s="492" t="s">
        <v>3879</v>
      </c>
      <c r="G20" s="492" t="s">
        <v>3880</v>
      </c>
    </row>
    <row r="21" spans="1:7" x14ac:dyDescent="0.3">
      <c r="A21" s="496" t="s">
        <v>3881</v>
      </c>
      <c r="B21" s="497">
        <f>+SUM(B72,B74,B75,B76)</f>
        <v>3963</v>
      </c>
      <c r="C21" s="490">
        <f>+(C72*$B72+C74*$B74+C75*$B75+C76*$B76)/$B21</f>
        <v>6.2056775170325512E-2</v>
      </c>
      <c r="D21" s="378">
        <f>+(D72*$B72+D74*$B74+D75*$B75+D76*$B76)/$B21</f>
        <v>100.88001514004542</v>
      </c>
      <c r="E21" s="497">
        <f>+SUM(E72,E74,E75,E76)</f>
        <v>3997.875</v>
      </c>
      <c r="F21" s="488"/>
      <c r="G21" s="76">
        <f>+B21</f>
        <v>3963</v>
      </c>
    </row>
    <row r="22" spans="1:7" x14ac:dyDescent="0.3">
      <c r="A22" s="496" t="s">
        <v>3882</v>
      </c>
      <c r="B22" s="497">
        <f>+B73</f>
        <v>1000</v>
      </c>
      <c r="C22" s="490">
        <f>+SUM(C73)</f>
        <v>6.7500000000000004E-2</v>
      </c>
      <c r="D22" s="378">
        <f>+D73</f>
        <v>104.25</v>
      </c>
      <c r="E22" s="497">
        <f>+E73</f>
        <v>1042.5</v>
      </c>
      <c r="F22" s="488"/>
      <c r="G22" s="76">
        <f>+B22</f>
        <v>1000</v>
      </c>
    </row>
    <row r="23" spans="1:7" hidden="1" outlineLevel="1" x14ac:dyDescent="0.3">
      <c r="A23" s="496" t="s">
        <v>3883</v>
      </c>
      <c r="B23" s="497"/>
      <c r="C23" s="490"/>
      <c r="D23" s="378"/>
      <c r="E23" s="497"/>
      <c r="F23" s="488"/>
      <c r="G23" s="95">
        <v>750</v>
      </c>
    </row>
    <row r="24" spans="1:7" collapsed="1" x14ac:dyDescent="0.3">
      <c r="A24" s="496" t="s">
        <v>3875</v>
      </c>
      <c r="B24" s="497">
        <f>+SUM(B102,B109)</f>
        <v>856</v>
      </c>
      <c r="C24" s="490">
        <f>+(C102*$B102+C109*$B109)/$B24</f>
        <v>7.0805186915887844E-2</v>
      </c>
      <c r="D24" s="378">
        <f>+(D102*$B102+D109*$B109)/$B24</f>
        <v>102.24299065420561</v>
      </c>
      <c r="E24" s="497">
        <f>+SUM(E102,E109)</f>
        <v>875.2</v>
      </c>
      <c r="F24" s="488"/>
      <c r="G24" s="76">
        <f>+B24</f>
        <v>856</v>
      </c>
    </row>
    <row r="25" spans="1:7" x14ac:dyDescent="0.3">
      <c r="A25" s="496" t="s">
        <v>3884</v>
      </c>
      <c r="B25" s="497">
        <f>+B97</f>
        <v>10949</v>
      </c>
      <c r="C25" s="490">
        <f>+C97</f>
        <v>9.3807133071513379E-2</v>
      </c>
      <c r="D25" s="103">
        <v>0.69</v>
      </c>
      <c r="E25" s="497">
        <f>+B25*D25</f>
        <v>7554.8099999999995</v>
      </c>
      <c r="F25" s="488"/>
      <c r="G25" s="95">
        <v>0</v>
      </c>
    </row>
    <row r="26" spans="1:7" x14ac:dyDescent="0.3">
      <c r="A26" s="498" t="s">
        <v>2568</v>
      </c>
      <c r="B26" s="1834">
        <f>+SUM(B21:B25)</f>
        <v>16768</v>
      </c>
      <c r="C26" s="1835">
        <f>+SUMPRODUCT(C21:C25,$B21:$B25)/$B26</f>
        <v>8.3560027433206105E-2</v>
      </c>
      <c r="D26" s="1836">
        <f>+SUMPRODUCT(D21:D25,$B21:$B25)/$B26</f>
        <v>35.729503220419851</v>
      </c>
      <c r="E26" s="1834">
        <f>+SUM(E21:E25)</f>
        <v>13470.384999999998</v>
      </c>
      <c r="F26" s="488"/>
      <c r="G26" s="1834">
        <f>+SUM(G21:G25)</f>
        <v>6569</v>
      </c>
    </row>
    <row r="27" spans="1:7" x14ac:dyDescent="0.3">
      <c r="A27" s="499"/>
      <c r="B27" s="499"/>
      <c r="C27" s="499"/>
      <c r="D27" s="499"/>
      <c r="E27" s="499"/>
      <c r="F27" s="488"/>
    </row>
    <row r="28" spans="1:7" x14ac:dyDescent="0.3">
      <c r="A28" s="487"/>
      <c r="B28" s="512"/>
      <c r="C28" s="487"/>
      <c r="D28" s="487"/>
      <c r="E28" s="487"/>
      <c r="F28" s="488"/>
    </row>
    <row r="29" spans="1:7" x14ac:dyDescent="0.3">
      <c r="A29" s="487"/>
      <c r="B29" s="512"/>
      <c r="C29" s="487"/>
      <c r="D29" s="487"/>
      <c r="E29" s="487"/>
      <c r="F29" s="488"/>
    </row>
    <row r="30" spans="1:7" x14ac:dyDescent="0.3">
      <c r="A30" s="489" t="s">
        <v>3885</v>
      </c>
      <c r="B30" s="512"/>
      <c r="C30" s="487"/>
      <c r="D30" s="487"/>
      <c r="E30" s="487"/>
      <c r="F30" s="488"/>
    </row>
    <row r="31" spans="1:7" x14ac:dyDescent="0.3">
      <c r="A31" s="1794" t="s">
        <v>3886</v>
      </c>
      <c r="B31" s="1837">
        <v>1829</v>
      </c>
      <c r="C31" s="487"/>
      <c r="D31" s="487"/>
      <c r="E31" s="487"/>
      <c r="F31" s="488"/>
    </row>
    <row r="32" spans="1:7" x14ac:dyDescent="0.3">
      <c r="A32" s="467" t="s">
        <v>3887</v>
      </c>
      <c r="B32" s="602">
        <v>165</v>
      </c>
      <c r="C32" s="487"/>
      <c r="D32" s="487"/>
      <c r="E32" s="487"/>
      <c r="F32" s="488"/>
    </row>
    <row r="33" spans="1:6" x14ac:dyDescent="0.3">
      <c r="A33" s="467" t="s">
        <v>3888</v>
      </c>
      <c r="B33" s="602">
        <v>24.6</v>
      </c>
      <c r="C33" s="487"/>
      <c r="D33" s="487"/>
      <c r="E33" s="487"/>
      <c r="F33" s="488"/>
    </row>
    <row r="34" spans="1:6" ht="12" customHeight="1" x14ac:dyDescent="0.3">
      <c r="A34" s="468" t="s">
        <v>3889</v>
      </c>
      <c r="B34" s="1838">
        <f>+SUM(B31:B33)</f>
        <v>2018.6</v>
      </c>
      <c r="C34" s="487"/>
      <c r="D34" s="487"/>
      <c r="E34" s="487"/>
      <c r="F34" s="488"/>
    </row>
    <row r="35" spans="1:6" x14ac:dyDescent="0.3">
      <c r="A35" s="467" t="s">
        <v>3890</v>
      </c>
      <c r="B35" s="602">
        <v>-211.4</v>
      </c>
      <c r="C35" s="487"/>
      <c r="D35" s="487"/>
      <c r="E35" s="487"/>
      <c r="F35" s="488"/>
    </row>
    <row r="36" spans="1:6" x14ac:dyDescent="0.3">
      <c r="A36" s="468" t="s">
        <v>3891</v>
      </c>
      <c r="B36" s="511">
        <f>+B34+B35</f>
        <v>1807.1999999999998</v>
      </c>
      <c r="C36" s="487"/>
      <c r="D36" s="487"/>
      <c r="E36" s="487"/>
      <c r="F36" s="488"/>
    </row>
    <row r="37" spans="1:6" x14ac:dyDescent="0.3">
      <c r="A37" s="368"/>
      <c r="B37" s="512"/>
      <c r="C37" s="487"/>
      <c r="D37" s="487"/>
      <c r="E37" s="487"/>
      <c r="F37" s="488"/>
    </row>
    <row r="38" spans="1:6" x14ac:dyDescent="0.3">
      <c r="A38" s="670" t="s">
        <v>3892</v>
      </c>
      <c r="B38" s="512"/>
      <c r="C38" s="487"/>
      <c r="D38" s="487"/>
      <c r="E38" s="487"/>
      <c r="F38" s="488"/>
    </row>
    <row r="39" spans="1:6" x14ac:dyDescent="0.3">
      <c r="A39" s="1794" t="s">
        <v>3893</v>
      </c>
      <c r="B39" s="1839">
        <f>+B36</f>
        <v>1807.1999999999998</v>
      </c>
      <c r="C39" s="487"/>
      <c r="D39" s="487"/>
      <c r="E39" s="487"/>
      <c r="F39" s="488"/>
    </row>
    <row r="40" spans="1:6" x14ac:dyDescent="0.3">
      <c r="A40" s="467" t="s">
        <v>3894</v>
      </c>
      <c r="B40" s="602">
        <v>-150</v>
      </c>
      <c r="C40" s="487"/>
      <c r="D40" s="487"/>
      <c r="E40" s="487"/>
      <c r="F40" s="488"/>
    </row>
    <row r="41" spans="1:6" x14ac:dyDescent="0.3">
      <c r="A41" s="467" t="s">
        <v>3895</v>
      </c>
      <c r="B41" s="602">
        <v>-255</v>
      </c>
      <c r="C41" s="487"/>
      <c r="D41" s="487"/>
      <c r="E41" s="487"/>
      <c r="F41" s="488"/>
    </row>
    <row r="42" spans="1:6" x14ac:dyDescent="0.3">
      <c r="A42" s="467" t="s">
        <v>3896</v>
      </c>
      <c r="B42" s="602">
        <v>-89</v>
      </c>
      <c r="C42" s="487"/>
      <c r="D42" s="487"/>
      <c r="E42" s="487"/>
      <c r="F42" s="488"/>
    </row>
    <row r="43" spans="1:6" x14ac:dyDescent="0.3">
      <c r="A43" s="468" t="s">
        <v>3897</v>
      </c>
      <c r="B43" s="1838">
        <f>+SUM(B39:B42)</f>
        <v>1313.1999999999998</v>
      </c>
      <c r="C43" s="487"/>
      <c r="D43" s="487"/>
      <c r="E43" s="487"/>
      <c r="F43" s="488"/>
    </row>
    <row r="44" spans="1:6" x14ac:dyDescent="0.3">
      <c r="A44" s="1794"/>
      <c r="B44" s="1838"/>
      <c r="C44" s="487"/>
      <c r="D44" s="487"/>
      <c r="E44" s="487"/>
      <c r="F44" s="488"/>
    </row>
    <row r="45" spans="1:6" x14ac:dyDescent="0.3">
      <c r="A45" s="489" t="s">
        <v>3898</v>
      </c>
      <c r="B45" s="512"/>
      <c r="C45" s="487"/>
      <c r="D45" s="487"/>
      <c r="E45" s="487"/>
      <c r="F45" s="488"/>
    </row>
    <row r="46" spans="1:6" x14ac:dyDescent="0.3">
      <c r="A46" s="806" t="s">
        <v>3893</v>
      </c>
      <c r="B46" s="1840">
        <f>+B36</f>
        <v>1807.1999999999998</v>
      </c>
      <c r="C46" s="487"/>
      <c r="D46" s="487"/>
      <c r="E46" s="487"/>
      <c r="F46" s="488"/>
    </row>
    <row r="47" spans="1:6" ht="12" customHeight="1" x14ac:dyDescent="0.3">
      <c r="A47" s="666" t="s">
        <v>3899</v>
      </c>
      <c r="B47" s="497">
        <f>+B43</f>
        <v>1313.1999999999998</v>
      </c>
      <c r="C47" s="487"/>
      <c r="D47" s="487"/>
      <c r="E47" s="487"/>
      <c r="F47" s="488"/>
    </row>
    <row r="48" spans="1:6" x14ac:dyDescent="0.3">
      <c r="A48" s="666" t="s">
        <v>3900</v>
      </c>
      <c r="B48" s="602">
        <v>225</v>
      </c>
      <c r="C48" s="487"/>
      <c r="D48" s="487"/>
      <c r="E48" s="487"/>
      <c r="F48" s="488"/>
    </row>
    <row r="49" spans="1:6" ht="12" customHeight="1" x14ac:dyDescent="0.3">
      <c r="A49" s="669" t="s">
        <v>3901</v>
      </c>
      <c r="B49" s="1838">
        <f>+B46-B47+B48</f>
        <v>719</v>
      </c>
      <c r="C49" s="487"/>
      <c r="D49" s="487"/>
      <c r="E49" s="487"/>
      <c r="F49" s="488"/>
    </row>
    <row r="50" spans="1:6" x14ac:dyDescent="0.3">
      <c r="A50" s="467" t="s">
        <v>3902</v>
      </c>
      <c r="B50" s="671">
        <v>625</v>
      </c>
      <c r="C50" s="487"/>
      <c r="D50" s="487"/>
      <c r="E50" s="487"/>
      <c r="F50" s="488"/>
    </row>
    <row r="51" spans="1:6" x14ac:dyDescent="0.3">
      <c r="A51" s="468" t="s">
        <v>3903</v>
      </c>
      <c r="B51" s="512">
        <f>+B49+B50</f>
        <v>1344</v>
      </c>
      <c r="C51" s="487"/>
      <c r="D51" s="487"/>
      <c r="E51" s="487"/>
      <c r="F51" s="488"/>
    </row>
    <row r="52" spans="1:6" x14ac:dyDescent="0.3">
      <c r="A52" s="467" t="s">
        <v>3895</v>
      </c>
      <c r="B52" s="497">
        <f>+B41</f>
        <v>-255</v>
      </c>
      <c r="C52" s="487"/>
      <c r="D52" s="487"/>
      <c r="E52" s="487"/>
      <c r="F52" s="488"/>
    </row>
    <row r="53" spans="1:6" ht="12.5" thickBot="1" x14ac:dyDescent="0.35">
      <c r="A53" s="298" t="s">
        <v>3904</v>
      </c>
      <c r="B53" s="604">
        <f>+B51+B52</f>
        <v>1089</v>
      </c>
      <c r="C53" s="487"/>
      <c r="D53" s="487"/>
      <c r="E53" s="487"/>
      <c r="F53" s="488"/>
    </row>
    <row r="54" spans="1:6" ht="12.5" thickTop="1" x14ac:dyDescent="0.3">
      <c r="A54" s="672"/>
      <c r="B54" s="667"/>
      <c r="C54" s="487"/>
      <c r="D54" s="487"/>
      <c r="E54" s="487"/>
      <c r="F54" s="488"/>
    </row>
    <row r="55" spans="1:6" x14ac:dyDescent="0.3">
      <c r="C55" s="487"/>
      <c r="D55" s="487"/>
      <c r="E55" s="487"/>
      <c r="F55" s="488"/>
    </row>
    <row r="56" spans="1:6" x14ac:dyDescent="0.3">
      <c r="A56" s="489" t="s">
        <v>3905</v>
      </c>
      <c r="B56" s="512"/>
      <c r="C56" s="487"/>
      <c r="D56" s="487"/>
      <c r="E56" s="487"/>
      <c r="F56" s="488"/>
    </row>
    <row r="57" spans="1:6" x14ac:dyDescent="0.3">
      <c r="A57" s="1841" t="s">
        <v>3906</v>
      </c>
      <c r="B57" s="1839">
        <f>+E25</f>
        <v>7554.8099999999995</v>
      </c>
      <c r="C57" s="487"/>
      <c r="D57" s="487"/>
      <c r="E57" s="487"/>
      <c r="F57" s="488"/>
    </row>
    <row r="58" spans="1:6" x14ac:dyDescent="0.3">
      <c r="A58" s="597" t="s">
        <v>3907</v>
      </c>
      <c r="B58" s="497">
        <f>+B43</f>
        <v>1313.1999999999998</v>
      </c>
      <c r="C58" s="487"/>
      <c r="E58" s="487"/>
      <c r="F58" s="488"/>
    </row>
    <row r="59" spans="1:6" x14ac:dyDescent="0.3">
      <c r="A59" s="597" t="s">
        <v>3647</v>
      </c>
      <c r="B59" s="602">
        <v>750</v>
      </c>
      <c r="C59" s="487"/>
      <c r="E59" s="487"/>
      <c r="F59" s="488"/>
    </row>
    <row r="60" spans="1:6" x14ac:dyDescent="0.3">
      <c r="A60" s="598" t="s">
        <v>3648</v>
      </c>
      <c r="B60" s="1834">
        <f>+B57-B58-B59</f>
        <v>5491.61</v>
      </c>
      <c r="C60" s="487"/>
      <c r="D60" s="487"/>
      <c r="E60" s="487"/>
      <c r="F60" s="488"/>
    </row>
    <row r="61" spans="1:6" x14ac:dyDescent="0.3">
      <c r="A61" s="597" t="s">
        <v>3649</v>
      </c>
      <c r="B61" s="603">
        <v>0.06</v>
      </c>
      <c r="C61" s="487"/>
      <c r="D61" s="487"/>
      <c r="E61" s="487"/>
      <c r="F61" s="488"/>
    </row>
    <row r="62" spans="1:6" ht="12.5" thickBot="1" x14ac:dyDescent="0.35">
      <c r="A62" s="598" t="s">
        <v>3650</v>
      </c>
      <c r="B62" s="604">
        <f>+B60/(1-B61)</f>
        <v>5842.1382978723404</v>
      </c>
      <c r="C62" s="487"/>
      <c r="D62" s="768"/>
      <c r="E62" s="512"/>
      <c r="F62" s="488"/>
    </row>
    <row r="63" spans="1:6" ht="12.5" thickTop="1" x14ac:dyDescent="0.3">
      <c r="A63" s="668"/>
      <c r="B63" s="667"/>
      <c r="C63" s="487"/>
      <c r="D63" s="487"/>
      <c r="E63" s="487"/>
      <c r="F63" s="488"/>
    </row>
    <row r="64" spans="1:6" hidden="1" outlineLevel="1" x14ac:dyDescent="0.3">
      <c r="A64" s="599" t="s">
        <v>3908</v>
      </c>
      <c r="B64" s="601">
        <f>+'Model Main'!$EC$124</f>
        <v>1887</v>
      </c>
      <c r="C64" s="512"/>
      <c r="D64" s="512"/>
      <c r="E64" s="512"/>
      <c r="F64" s="488"/>
    </row>
    <row r="65" spans="1:6" hidden="1" outlineLevel="1" x14ac:dyDescent="0.3">
      <c r="A65" s="599" t="s">
        <v>3909</v>
      </c>
      <c r="B65" s="600">
        <v>375</v>
      </c>
      <c r="C65" s="512"/>
      <c r="D65" s="487"/>
      <c r="E65" s="487"/>
      <c r="F65" s="488"/>
    </row>
    <row r="66" spans="1:6" collapsed="1" x14ac:dyDescent="0.3">
      <c r="A66" s="487"/>
      <c r="B66" s="512"/>
      <c r="C66" s="487"/>
      <c r="D66" s="487"/>
      <c r="E66" s="487"/>
      <c r="F66" s="488"/>
    </row>
    <row r="67" spans="1:6" x14ac:dyDescent="0.3">
      <c r="A67" s="373"/>
      <c r="B67" s="512"/>
      <c r="C67" s="487"/>
      <c r="D67" s="487"/>
      <c r="E67" s="487"/>
      <c r="F67" s="488"/>
    </row>
    <row r="68" spans="1:6" x14ac:dyDescent="0.3">
      <c r="A68" s="373"/>
      <c r="B68" s="512"/>
      <c r="C68" s="487"/>
      <c r="D68" s="487"/>
      <c r="E68" s="487"/>
      <c r="F68" s="488"/>
    </row>
    <row r="69" spans="1:6" x14ac:dyDescent="0.3">
      <c r="A69" s="489" t="s">
        <v>3910</v>
      </c>
      <c r="F69" s="488"/>
    </row>
    <row r="70" spans="1:6" ht="36" x14ac:dyDescent="0.3">
      <c r="A70" s="492"/>
      <c r="B70" s="492" t="s">
        <v>3877</v>
      </c>
      <c r="C70" s="492" t="s">
        <v>1403</v>
      </c>
      <c r="D70" s="492" t="s">
        <v>3878</v>
      </c>
      <c r="E70" s="492" t="s">
        <v>3879</v>
      </c>
      <c r="F70" s="483" t="s">
        <v>3911</v>
      </c>
    </row>
    <row r="71" spans="1:6" x14ac:dyDescent="0.3">
      <c r="A71" s="495" t="s">
        <v>3912</v>
      </c>
      <c r="B71" s="144"/>
      <c r="C71" s="144"/>
      <c r="D71" s="144"/>
      <c r="E71" s="144"/>
      <c r="F71" s="368"/>
    </row>
    <row r="72" spans="1:6" x14ac:dyDescent="0.3">
      <c r="A72" s="144" t="s">
        <v>3913</v>
      </c>
      <c r="B72" s="95">
        <v>1550</v>
      </c>
      <c r="C72" s="482">
        <v>0.05</v>
      </c>
      <c r="D72" s="103">
        <v>102.25</v>
      </c>
      <c r="E72" s="365">
        <f t="shared" ref="E72:E77" si="2">+B72*D72/100</f>
        <v>1584.875</v>
      </c>
      <c r="F72" s="368"/>
    </row>
    <row r="73" spans="1:6" x14ac:dyDescent="0.3">
      <c r="A73" s="144" t="s">
        <v>3914</v>
      </c>
      <c r="B73" s="95">
        <v>1000</v>
      </c>
      <c r="C73" s="482">
        <v>6.7500000000000004E-2</v>
      </c>
      <c r="D73" s="103">
        <v>104.25</v>
      </c>
      <c r="E73" s="365">
        <f t="shared" si="2"/>
        <v>1042.5</v>
      </c>
      <c r="F73" s="368"/>
    </row>
    <row r="74" spans="1:6" x14ac:dyDescent="0.3">
      <c r="A74" s="144" t="s">
        <v>3915</v>
      </c>
      <c r="B74" s="95">
        <v>750</v>
      </c>
      <c r="C74" s="482">
        <v>4.7500000000000001E-2</v>
      </c>
      <c r="D74" s="103">
        <v>100</v>
      </c>
      <c r="E74" s="365">
        <f t="shared" si="2"/>
        <v>750</v>
      </c>
      <c r="F74" s="368"/>
    </row>
    <row r="75" spans="1:6" x14ac:dyDescent="0.3">
      <c r="A75" s="144" t="s">
        <v>3916</v>
      </c>
      <c r="B75" s="95">
        <v>1650</v>
      </c>
      <c r="C75" s="482">
        <v>0.08</v>
      </c>
      <c r="D75" s="485">
        <f>+D74</f>
        <v>100</v>
      </c>
      <c r="E75" s="365">
        <f t="shared" si="2"/>
        <v>1650</v>
      </c>
      <c r="F75" s="484"/>
    </row>
    <row r="76" spans="1:6" x14ac:dyDescent="0.3">
      <c r="A76" s="144" t="s">
        <v>3917</v>
      </c>
      <c r="B76" s="95">
        <v>13</v>
      </c>
      <c r="C76" s="482">
        <v>6.2E-2</v>
      </c>
      <c r="D76" s="485">
        <f>+D75</f>
        <v>100</v>
      </c>
      <c r="E76" s="365">
        <f t="shared" si="2"/>
        <v>13</v>
      </c>
      <c r="F76" s="368"/>
    </row>
    <row r="77" spans="1:6" x14ac:dyDescent="0.3">
      <c r="A77" s="493" t="s">
        <v>3912</v>
      </c>
      <c r="B77" s="850">
        <f>+SUM(B72:B76)</f>
        <v>4963</v>
      </c>
      <c r="C77" s="1835">
        <f>+SUMPRODUCT(B72:B76,C72:C76)/B77</f>
        <v>6.3153536167640537E-2</v>
      </c>
      <c r="D77" s="1842">
        <f>+SUMPRODUCT(D72:D76,B72:B76)/B77</f>
        <v>101.55903687285915</v>
      </c>
      <c r="E77" s="850">
        <f t="shared" si="2"/>
        <v>5040.375</v>
      </c>
      <c r="F77" s="484"/>
    </row>
    <row r="78" spans="1:6" x14ac:dyDescent="0.3">
      <c r="A78" s="144"/>
      <c r="B78" s="144"/>
      <c r="C78" s="144"/>
      <c r="D78" s="144"/>
      <c r="E78" s="144"/>
    </row>
    <row r="79" spans="1:6" x14ac:dyDescent="0.3">
      <c r="A79" s="495" t="s">
        <v>3918</v>
      </c>
      <c r="B79" s="144"/>
      <c r="C79" s="490"/>
      <c r="D79" s="144"/>
      <c r="E79" s="144"/>
    </row>
    <row r="80" spans="1:6" x14ac:dyDescent="0.3">
      <c r="A80" s="144" t="s">
        <v>3919</v>
      </c>
      <c r="B80" s="95">
        <v>172</v>
      </c>
      <c r="C80" s="482">
        <v>8.5000000000000006E-2</v>
      </c>
      <c r="D80" s="103">
        <v>45.5</v>
      </c>
      <c r="E80" s="365">
        <f>+B80*D80/100</f>
        <v>78.260000000000005</v>
      </c>
    </row>
    <row r="81" spans="1:5" x14ac:dyDescent="0.3">
      <c r="A81" s="144" t="s">
        <v>3920</v>
      </c>
      <c r="B81" s="95">
        <v>55</v>
      </c>
      <c r="C81" s="482">
        <v>8.8749999999999996E-2</v>
      </c>
      <c r="D81" s="103">
        <v>45.5</v>
      </c>
      <c r="E81" s="365">
        <f t="shared" ref="E81:E97" si="3">+B81*D81/100</f>
        <v>25.024999999999999</v>
      </c>
    </row>
    <row r="82" spans="1:5" x14ac:dyDescent="0.3">
      <c r="A82" s="144" t="s">
        <v>3921</v>
      </c>
      <c r="B82" s="95">
        <v>89</v>
      </c>
      <c r="C82" s="482">
        <v>9.2499999999999999E-2</v>
      </c>
      <c r="D82" s="103">
        <v>46</v>
      </c>
      <c r="E82" s="365">
        <f t="shared" si="3"/>
        <v>40.94</v>
      </c>
    </row>
    <row r="83" spans="1:5" x14ac:dyDescent="0.3">
      <c r="A83" s="144" t="s">
        <v>3922</v>
      </c>
      <c r="B83" s="95">
        <v>220</v>
      </c>
      <c r="C83" s="482">
        <v>6.25E-2</v>
      </c>
      <c r="D83" s="103">
        <v>45.5</v>
      </c>
      <c r="E83" s="365">
        <f t="shared" si="3"/>
        <v>100.1</v>
      </c>
    </row>
    <row r="84" spans="1:5" x14ac:dyDescent="0.3">
      <c r="A84" s="144" t="s">
        <v>3923</v>
      </c>
      <c r="B84" s="95">
        <v>500</v>
      </c>
      <c r="C84" s="482">
        <v>8.7499999999999994E-2</v>
      </c>
      <c r="D84" s="103">
        <v>46.5</v>
      </c>
      <c r="E84" s="365">
        <f t="shared" si="3"/>
        <v>232.5</v>
      </c>
    </row>
    <row r="85" spans="1:5" x14ac:dyDescent="0.3">
      <c r="A85" s="144" t="s">
        <v>3924</v>
      </c>
      <c r="B85" s="95">
        <v>2188</v>
      </c>
      <c r="C85" s="482">
        <v>0.105</v>
      </c>
      <c r="D85" s="103">
        <v>49.5</v>
      </c>
      <c r="E85" s="365">
        <f t="shared" si="3"/>
        <v>1083.06</v>
      </c>
    </row>
    <row r="86" spans="1:5" x14ac:dyDescent="0.3">
      <c r="A86" s="144" t="s">
        <v>3925</v>
      </c>
      <c r="B86" s="95">
        <v>850</v>
      </c>
      <c r="C86" s="482">
        <v>7.1249999999999994E-2</v>
      </c>
      <c r="D86" s="103">
        <v>46</v>
      </c>
      <c r="E86" s="365">
        <f t="shared" si="3"/>
        <v>391</v>
      </c>
    </row>
    <row r="87" spans="1:5" x14ac:dyDescent="0.3">
      <c r="A87" s="144" t="s">
        <v>3926</v>
      </c>
      <c r="B87" s="95">
        <v>750</v>
      </c>
      <c r="C87" s="482">
        <v>7.6249999999999998E-2</v>
      </c>
      <c r="D87" s="103">
        <v>46.5</v>
      </c>
      <c r="E87" s="365">
        <f t="shared" si="3"/>
        <v>348.75</v>
      </c>
    </row>
    <row r="88" spans="1:5" x14ac:dyDescent="0.3">
      <c r="A88" s="144" t="s">
        <v>3927</v>
      </c>
      <c r="B88" s="95">
        <v>775</v>
      </c>
      <c r="C88" s="482">
        <v>6.8750000000000006E-2</v>
      </c>
      <c r="D88" s="103">
        <v>46</v>
      </c>
      <c r="E88" s="365">
        <f t="shared" si="3"/>
        <v>356.5</v>
      </c>
    </row>
    <row r="89" spans="1:5" x14ac:dyDescent="0.3">
      <c r="A89" s="144" t="s">
        <v>3928</v>
      </c>
      <c r="B89" s="95">
        <v>3600</v>
      </c>
      <c r="C89" s="482">
        <v>0.11</v>
      </c>
      <c r="D89" s="103">
        <v>49.5</v>
      </c>
      <c r="E89" s="365">
        <f t="shared" si="3"/>
        <v>1782</v>
      </c>
    </row>
    <row r="90" spans="1:5" x14ac:dyDescent="0.3">
      <c r="A90" s="144" t="s">
        <v>3929</v>
      </c>
      <c r="B90" s="95">
        <v>138</v>
      </c>
      <c r="C90" s="482">
        <v>7.0000000000000007E-2</v>
      </c>
      <c r="D90" s="103">
        <v>45.5</v>
      </c>
      <c r="E90" s="365">
        <f t="shared" si="3"/>
        <v>62.79</v>
      </c>
    </row>
    <row r="91" spans="1:5" x14ac:dyDescent="0.3">
      <c r="A91" s="144" t="s">
        <v>3930</v>
      </c>
      <c r="B91" s="95">
        <v>2</v>
      </c>
      <c r="C91" s="482">
        <v>6.8000000000000005E-2</v>
      </c>
      <c r="D91" s="485">
        <f>+D90</f>
        <v>45.5</v>
      </c>
      <c r="E91" s="365">
        <f t="shared" si="3"/>
        <v>0.91</v>
      </c>
    </row>
    <row r="92" spans="1:5" x14ac:dyDescent="0.3">
      <c r="A92" s="144" t="s">
        <v>3931</v>
      </c>
      <c r="B92" s="95">
        <v>346</v>
      </c>
      <c r="C92" s="482">
        <v>7.8750000000000001E-2</v>
      </c>
      <c r="D92" s="103">
        <v>46</v>
      </c>
      <c r="E92" s="365">
        <f t="shared" si="3"/>
        <v>159.16</v>
      </c>
    </row>
    <row r="93" spans="1:5" ht="12" customHeight="1" x14ac:dyDescent="0.3">
      <c r="A93" s="144" t="s">
        <v>3932</v>
      </c>
      <c r="B93" s="95">
        <v>945</v>
      </c>
      <c r="C93" s="482">
        <v>0.09</v>
      </c>
      <c r="D93" s="103">
        <v>46</v>
      </c>
      <c r="E93" s="365">
        <f t="shared" si="3"/>
        <v>434.7</v>
      </c>
    </row>
    <row r="94" spans="1:5" x14ac:dyDescent="0.3">
      <c r="A94" s="144" t="s">
        <v>3933</v>
      </c>
      <c r="B94" s="95">
        <v>1</v>
      </c>
      <c r="C94" s="482">
        <v>7.6799999999999993E-2</v>
      </c>
      <c r="D94" s="103">
        <v>45.5</v>
      </c>
      <c r="E94" s="365">
        <f t="shared" si="3"/>
        <v>0.45500000000000002</v>
      </c>
    </row>
    <row r="95" spans="1:5" x14ac:dyDescent="0.3">
      <c r="A95" s="144" t="s">
        <v>3934</v>
      </c>
      <c r="B95" s="95">
        <v>125</v>
      </c>
      <c r="C95" s="482">
        <v>7.4499999999999997E-2</v>
      </c>
      <c r="D95" s="103">
        <v>45.5</v>
      </c>
      <c r="E95" s="365">
        <f t="shared" si="3"/>
        <v>56.875</v>
      </c>
    </row>
    <row r="96" spans="1:5" x14ac:dyDescent="0.3">
      <c r="A96" s="144" t="s">
        <v>3935</v>
      </c>
      <c r="B96" s="95">
        <v>193</v>
      </c>
      <c r="C96" s="482">
        <v>7.0499999999999993E-2</v>
      </c>
      <c r="D96" s="103">
        <v>45.5</v>
      </c>
      <c r="E96" s="365">
        <f t="shared" si="3"/>
        <v>87.814999999999998</v>
      </c>
    </row>
    <row r="97" spans="1:5" x14ac:dyDescent="0.3">
      <c r="A97" s="493" t="s">
        <v>3918</v>
      </c>
      <c r="B97" s="850">
        <f>+SUM(B80:B96)</f>
        <v>10949</v>
      </c>
      <c r="C97" s="1835">
        <f>+SUMPRODUCT(B80:B96,C80:C96)/B97</f>
        <v>9.3807133071513379E-2</v>
      </c>
      <c r="D97" s="1842">
        <f>+SUMPRODUCT(D80:D96,B80:B96)/B97</f>
        <v>47.865923828660151</v>
      </c>
      <c r="E97" s="850">
        <f t="shared" si="3"/>
        <v>5240.84</v>
      </c>
    </row>
    <row r="98" spans="1:5" x14ac:dyDescent="0.3">
      <c r="A98" s="144"/>
      <c r="B98" s="144"/>
      <c r="C98" s="490"/>
      <c r="D98" s="144"/>
      <c r="E98" s="144"/>
    </row>
    <row r="99" spans="1:5" x14ac:dyDescent="0.3">
      <c r="A99" s="495" t="s">
        <v>3936</v>
      </c>
      <c r="B99" s="144"/>
      <c r="C99" s="490"/>
      <c r="D99" s="144"/>
      <c r="E99" s="144"/>
    </row>
    <row r="100" spans="1:5" x14ac:dyDescent="0.3">
      <c r="A100" s="144" t="s">
        <v>3937</v>
      </c>
      <c r="B100" s="95">
        <v>100</v>
      </c>
      <c r="C100" s="482">
        <v>8.5000000000000006E-2</v>
      </c>
      <c r="D100" s="103">
        <v>107.5</v>
      </c>
      <c r="E100" s="365">
        <f>+B100*D100/100</f>
        <v>107.5</v>
      </c>
    </row>
    <row r="101" spans="1:5" x14ac:dyDescent="0.3">
      <c r="A101" s="144" t="s">
        <v>3938</v>
      </c>
      <c r="B101" s="95">
        <v>6</v>
      </c>
      <c r="C101" s="482">
        <v>6.1539999999999997E-2</v>
      </c>
      <c r="D101" s="485">
        <f>+D100</f>
        <v>107.5</v>
      </c>
      <c r="E101" s="365">
        <f>+B101*D101/100</f>
        <v>6.45</v>
      </c>
    </row>
    <row r="102" spans="1:5" x14ac:dyDescent="0.3">
      <c r="A102" s="493" t="s">
        <v>3936</v>
      </c>
      <c r="B102" s="850">
        <f>+SUM(B100:B101)</f>
        <v>106</v>
      </c>
      <c r="C102" s="1835">
        <f>+SUMPRODUCT(B100:B101,C100:C101)/B102</f>
        <v>8.367207547169811E-2</v>
      </c>
      <c r="D102" s="1842">
        <f>+SUMPRODUCT(D100:D101,B100:B101)/B102</f>
        <v>107.5</v>
      </c>
      <c r="E102" s="850">
        <f>+B102*D102/100</f>
        <v>113.95</v>
      </c>
    </row>
    <row r="103" spans="1:5" x14ac:dyDescent="0.3">
      <c r="A103" s="144"/>
      <c r="B103" s="144"/>
      <c r="C103" s="490"/>
      <c r="D103" s="144"/>
      <c r="E103" s="144"/>
    </row>
    <row r="104" spans="1:5" x14ac:dyDescent="0.3">
      <c r="A104" s="495" t="s">
        <v>3939</v>
      </c>
      <c r="B104" s="144"/>
      <c r="C104" s="490"/>
      <c r="D104" s="144"/>
      <c r="E104" s="144"/>
    </row>
    <row r="105" spans="1:5" x14ac:dyDescent="0.3">
      <c r="A105" s="144" t="s">
        <v>3940</v>
      </c>
      <c r="B105" s="95">
        <v>200</v>
      </c>
      <c r="C105" s="482">
        <v>6.7500000000000004E-2</v>
      </c>
      <c r="D105" s="103">
        <v>101.5</v>
      </c>
      <c r="E105" s="365">
        <f>+B105*D105/100</f>
        <v>203</v>
      </c>
    </row>
    <row r="106" spans="1:5" x14ac:dyDescent="0.3">
      <c r="A106" s="144" t="s">
        <v>3941</v>
      </c>
      <c r="B106" s="95">
        <v>300</v>
      </c>
      <c r="C106" s="482">
        <v>6.8599999999999994E-2</v>
      </c>
      <c r="D106" s="103">
        <v>101.5</v>
      </c>
      <c r="E106" s="365">
        <f>+B106*D106/100</f>
        <v>304.5</v>
      </c>
    </row>
    <row r="107" spans="1:5" x14ac:dyDescent="0.3">
      <c r="A107" s="144" t="s">
        <v>3942</v>
      </c>
      <c r="B107" s="95">
        <v>200</v>
      </c>
      <c r="C107" s="482">
        <v>6.7299999999999999E-2</v>
      </c>
      <c r="D107" s="103">
        <v>101.5</v>
      </c>
      <c r="E107" s="365">
        <f>+B107*D107/100</f>
        <v>203</v>
      </c>
    </row>
    <row r="108" spans="1:5" x14ac:dyDescent="0.3">
      <c r="A108" s="144" t="s">
        <v>3943</v>
      </c>
      <c r="B108" s="95">
        <v>50</v>
      </c>
      <c r="C108" s="482">
        <v>8.4000000000000005E-2</v>
      </c>
      <c r="D108" s="485">
        <v>101.5</v>
      </c>
      <c r="E108" s="365">
        <f>+B108*D108/100</f>
        <v>50.75</v>
      </c>
    </row>
    <row r="109" spans="1:5" x14ac:dyDescent="0.3">
      <c r="A109" s="493" t="s">
        <v>3939</v>
      </c>
      <c r="B109" s="850">
        <f>+SUM(B105:B108)</f>
        <v>750</v>
      </c>
      <c r="C109" s="1835">
        <f>+SUMPRODUCT(B105:B108,C105:C108)/B109</f>
        <v>6.8986666666666668E-2</v>
      </c>
      <c r="D109" s="1842">
        <f>+SUMPRODUCT(D105:D108,B105:B108)/B109</f>
        <v>101.5</v>
      </c>
      <c r="E109" s="850">
        <f>+B109*D109/100</f>
        <v>761.25</v>
      </c>
    </row>
    <row r="110" spans="1:5" x14ac:dyDescent="0.3">
      <c r="A110" s="144"/>
      <c r="B110" s="144"/>
      <c r="C110" s="490"/>
      <c r="D110" s="144"/>
      <c r="E110" s="144"/>
    </row>
    <row r="111" spans="1:5" x14ac:dyDescent="0.3">
      <c r="A111" s="144" t="s">
        <v>3944</v>
      </c>
      <c r="B111" s="475">
        <f>+SUM(B109,B102,B97,B77)</f>
        <v>16768</v>
      </c>
      <c r="C111" s="590">
        <f>+($B77*C77+$B97*C97+$B102*C102+$B109*C109)/$B111</f>
        <v>8.3560027433206105E-2</v>
      </c>
      <c r="D111" s="591">
        <f>+($B77*D77+$B97*D97+$B102*D102+$B109*D109)/$B111</f>
        <v>66.533963501908403</v>
      </c>
      <c r="E111" s="475">
        <f>+SUM(E109,E102,E97,E77)</f>
        <v>11156.415000000001</v>
      </c>
    </row>
    <row r="112" spans="1:5" x14ac:dyDescent="0.3">
      <c r="A112" s="144" t="s">
        <v>3945</v>
      </c>
      <c r="B112" s="365">
        <f>+B113-B111</f>
        <v>72.374217147924355</v>
      </c>
      <c r="C112" s="144"/>
      <c r="D112" s="144"/>
      <c r="E112" s="144"/>
    </row>
    <row r="113" spans="1:6" ht="12.5" thickBot="1" x14ac:dyDescent="0.35">
      <c r="A113" s="493" t="s">
        <v>3464</v>
      </c>
      <c r="B113" s="477">
        <f>+'Model Main'!EE196</f>
        <v>16840.374217147924</v>
      </c>
      <c r="C113" s="486">
        <f>480/B113</f>
        <v>2.8502929555522225E-2</v>
      </c>
      <c r="D113" s="144"/>
      <c r="E113" s="144"/>
    </row>
    <row r="114" spans="1:6" ht="12.5" thickTop="1" x14ac:dyDescent="0.3">
      <c r="A114" s="494"/>
      <c r="B114" s="494"/>
      <c r="C114" s="494"/>
      <c r="D114" s="494"/>
      <c r="E114" s="494"/>
    </row>
    <row r="119" spans="1:6" x14ac:dyDescent="0.3">
      <c r="A119" t="s">
        <v>3946</v>
      </c>
    </row>
    <row r="120" spans="1:6" x14ac:dyDescent="0.3">
      <c r="B120" s="101">
        <v>0.47</v>
      </c>
      <c r="C120" s="101">
        <v>0.66500000000000004</v>
      </c>
      <c r="D120" s="101">
        <f>+C120+0.05</f>
        <v>0.71500000000000008</v>
      </c>
      <c r="E120" s="101">
        <f>+D120+0.05</f>
        <v>0.76500000000000012</v>
      </c>
      <c r="F120" s="101">
        <f>+E120+0.05</f>
        <v>0.81500000000000017</v>
      </c>
    </row>
    <row r="121" spans="1:6" x14ac:dyDescent="0.3">
      <c r="A121" s="76">
        <f>+E25</f>
        <v>7554.8099999999995</v>
      </c>
      <c r="B121" s="76"/>
      <c r="C121" s="76"/>
      <c r="D121" s="76"/>
      <c r="E121" s="76"/>
      <c r="F121" s="76"/>
    </row>
    <row r="123" spans="1:6" x14ac:dyDescent="0.3">
      <c r="A123" t="s">
        <v>3947</v>
      </c>
      <c r="B123" s="707">
        <f>+B58</f>
        <v>1313.1999999999998</v>
      </c>
      <c r="C123" s="76">
        <f>+B123</f>
        <v>1313.1999999999998</v>
      </c>
      <c r="D123" s="76">
        <f t="shared" ref="D123:F124" si="4">+C123</f>
        <v>1313.1999999999998</v>
      </c>
      <c r="E123" s="76">
        <f t="shared" si="4"/>
        <v>1313.1999999999998</v>
      </c>
      <c r="F123" s="76">
        <f t="shared" si="4"/>
        <v>1313.1999999999998</v>
      </c>
    </row>
    <row r="124" spans="1:6" x14ac:dyDescent="0.3">
      <c r="A124" t="s">
        <v>3948</v>
      </c>
      <c r="B124" s="707">
        <f>+B59</f>
        <v>750</v>
      </c>
      <c r="C124" s="76">
        <f>+B124</f>
        <v>750</v>
      </c>
      <c r="D124" s="76">
        <f t="shared" si="4"/>
        <v>750</v>
      </c>
      <c r="E124" s="76">
        <f t="shared" si="4"/>
        <v>750</v>
      </c>
      <c r="F124" s="76">
        <f t="shared" si="4"/>
        <v>750</v>
      </c>
    </row>
    <row r="125" spans="1:6" x14ac:dyDescent="0.3">
      <c r="A125" t="s">
        <v>3642</v>
      </c>
      <c r="B125" s="76">
        <f>+B121-B123-B124</f>
        <v>-2063.1999999999998</v>
      </c>
      <c r="C125" s="76">
        <f>+C121-C123-C124</f>
        <v>-2063.1999999999998</v>
      </c>
      <c r="D125" s="76">
        <f>+D121-D123-D124</f>
        <v>-2063.1999999999998</v>
      </c>
      <c r="E125" s="76">
        <f>+E121-E123-E124</f>
        <v>-2063.1999999999998</v>
      </c>
      <c r="F125" s="76">
        <f>+F121-F123-F124</f>
        <v>-2063.1999999999998</v>
      </c>
    </row>
    <row r="126" spans="1:6" x14ac:dyDescent="0.3">
      <c r="A126" t="s">
        <v>3949</v>
      </c>
      <c r="B126" s="149">
        <v>0.05</v>
      </c>
      <c r="C126" s="149">
        <v>0.05</v>
      </c>
      <c r="D126" s="149">
        <v>0.05</v>
      </c>
      <c r="E126" s="149">
        <v>0.05</v>
      </c>
      <c r="F126" s="149">
        <v>0.05</v>
      </c>
    </row>
    <row r="127" spans="1:6" x14ac:dyDescent="0.3">
      <c r="A127" t="s">
        <v>3642</v>
      </c>
      <c r="B127" s="76">
        <f>+B125/(1-B126)</f>
        <v>-2171.7894736842104</v>
      </c>
      <c r="C127" s="76">
        <f>+C125/(1-C126)</f>
        <v>-2171.7894736842104</v>
      </c>
      <c r="D127" s="76">
        <f>+D125/(1-D126)</f>
        <v>-2171.7894736842104</v>
      </c>
      <c r="E127" s="76">
        <f>+E125/(1-E126)</f>
        <v>-2171.7894736842104</v>
      </c>
      <c r="F127" s="76">
        <f>+F125/(1-F126)</f>
        <v>-2171.7894736842104</v>
      </c>
    </row>
    <row r="128" spans="1:6" x14ac:dyDescent="0.3">
      <c r="A128" t="s">
        <v>148</v>
      </c>
      <c r="B128" s="76">
        <f>+Valuation!B9-Valuation!B10</f>
        <v>10811</v>
      </c>
      <c r="C128" s="76">
        <f>+B128</f>
        <v>10811</v>
      </c>
    </row>
    <row r="129" spans="1:3" x14ac:dyDescent="0.3">
      <c r="A129" t="s">
        <v>865</v>
      </c>
      <c r="B129" s="76">
        <f>+B127+B128</f>
        <v>8639.21052631579</v>
      </c>
      <c r="C129" s="76">
        <f>+C127+C128</f>
        <v>8639.21052631579</v>
      </c>
    </row>
    <row r="130" spans="1:3" x14ac:dyDescent="0.3">
      <c r="A130" t="s">
        <v>3651</v>
      </c>
      <c r="B130" s="76">
        <f>+'Model Main'!EI48</f>
        <v>2475</v>
      </c>
      <c r="C130" s="76">
        <f>+B130</f>
        <v>2475</v>
      </c>
    </row>
    <row r="131" spans="1:3" ht="12.5" thickBot="1" x14ac:dyDescent="0.35">
      <c r="A131" t="s">
        <v>2714</v>
      </c>
      <c r="B131" s="706">
        <f>+B129/B130</f>
        <v>3.4905901116427436</v>
      </c>
      <c r="C131" s="706">
        <f>+C129/C130</f>
        <v>3.4905901116427436</v>
      </c>
    </row>
    <row r="132" spans="1:3" ht="12.5" thickTop="1" x14ac:dyDescent="0.3"/>
    <row r="135" spans="1:3" x14ac:dyDescent="0.3">
      <c r="A135" s="818"/>
      <c r="B135" s="818" t="s">
        <v>1708</v>
      </c>
      <c r="C135" s="818" t="s">
        <v>1707</v>
      </c>
    </row>
    <row r="136" spans="1:3" x14ac:dyDescent="0.3">
      <c r="A136" s="872" t="s">
        <v>3950</v>
      </c>
      <c r="B136" s="1799">
        <f>+B25</f>
        <v>10949</v>
      </c>
      <c r="C136" s="1799">
        <f>+B136</f>
        <v>10949</v>
      </c>
    </row>
    <row r="137" spans="1:3" x14ac:dyDescent="0.3">
      <c r="A137" s="708" t="s">
        <v>3951</v>
      </c>
      <c r="B137" s="711">
        <f>+'Debt-old'!B120</f>
        <v>0.47</v>
      </c>
      <c r="C137" s="711">
        <f>+D25</f>
        <v>0.69</v>
      </c>
    </row>
    <row r="138" spans="1:3" x14ac:dyDescent="0.3">
      <c r="A138" s="709" t="s">
        <v>3952</v>
      </c>
      <c r="B138" s="475">
        <f>+B136*B137</f>
        <v>5146.03</v>
      </c>
      <c r="C138" s="475">
        <f>+C136*C137</f>
        <v>7554.8099999999995</v>
      </c>
    </row>
    <row r="139" spans="1:3" x14ac:dyDescent="0.3">
      <c r="A139" s="708" t="s">
        <v>3953</v>
      </c>
      <c r="B139" s="365">
        <f>+'Debt-old'!B123</f>
        <v>1313.1999999999998</v>
      </c>
      <c r="C139" s="365">
        <f>+'Debt-old'!C123</f>
        <v>1313.1999999999998</v>
      </c>
    </row>
    <row r="140" spans="1:3" x14ac:dyDescent="0.3">
      <c r="A140" s="708" t="s">
        <v>3954</v>
      </c>
      <c r="B140" s="365">
        <f>+'Debt-old'!B124</f>
        <v>750</v>
      </c>
      <c r="C140" s="365">
        <f>+'Debt-old'!C124</f>
        <v>750</v>
      </c>
    </row>
    <row r="141" spans="1:3" x14ac:dyDescent="0.3">
      <c r="A141" s="709" t="s">
        <v>3955</v>
      </c>
      <c r="B141" s="850">
        <f>+B138-SUM(B139:B140)</f>
        <v>3082.83</v>
      </c>
      <c r="C141" s="850">
        <f>+C138-SUM(C139:C140)</f>
        <v>5491.61</v>
      </c>
    </row>
    <row r="142" spans="1:3" x14ac:dyDescent="0.3">
      <c r="A142" s="708" t="s">
        <v>3956</v>
      </c>
      <c r="B142" s="191">
        <v>0.06</v>
      </c>
      <c r="C142" s="191">
        <v>0.06</v>
      </c>
    </row>
    <row r="143" spans="1:3" x14ac:dyDescent="0.3">
      <c r="A143" s="709" t="s">
        <v>3957</v>
      </c>
      <c r="B143" s="850">
        <f>+B141/(1-B142)</f>
        <v>3279.6063829787236</v>
      </c>
      <c r="C143" s="850">
        <f>+C141/(1-C142)</f>
        <v>5842.1382978723404</v>
      </c>
    </row>
    <row r="144" spans="1:3" x14ac:dyDescent="0.3">
      <c r="A144" s="708" t="s">
        <v>3958</v>
      </c>
      <c r="B144" s="365">
        <f>+Valuation!B9-Valuation!B10</f>
        <v>10811</v>
      </c>
      <c r="C144" s="365">
        <f>+B144</f>
        <v>10811</v>
      </c>
    </row>
    <row r="145" spans="1:3" x14ac:dyDescent="0.3">
      <c r="A145" s="709" t="s">
        <v>1339</v>
      </c>
      <c r="B145" s="850">
        <f>+B143+B144</f>
        <v>14090.606382978724</v>
      </c>
      <c r="C145" s="850">
        <f>+C143+C144</f>
        <v>16653.138297872341</v>
      </c>
    </row>
    <row r="146" spans="1:3" x14ac:dyDescent="0.3">
      <c r="A146" s="708" t="s">
        <v>3959</v>
      </c>
      <c r="B146" s="365">
        <f>+'Model Main'!EI48</f>
        <v>2475</v>
      </c>
      <c r="C146" s="365">
        <f>+B146</f>
        <v>2475</v>
      </c>
    </row>
    <row r="147" spans="1:3" ht="12.5" thickBot="1" x14ac:dyDescent="0.35">
      <c r="A147" s="709" t="s">
        <v>3960</v>
      </c>
      <c r="B147" s="710">
        <f>+B145/B146</f>
        <v>5.6931742961530194</v>
      </c>
      <c r="C147" s="710">
        <f>+C145/C146</f>
        <v>6.7285407264130672</v>
      </c>
    </row>
    <row r="148" spans="1:3" ht="12.5" thickTop="1" x14ac:dyDescent="0.3">
      <c r="A148" s="765"/>
      <c r="B148" s="766"/>
      <c r="C148" s="766"/>
    </row>
    <row r="149" spans="1:3" x14ac:dyDescent="0.3">
      <c r="A149" s="712" t="s">
        <v>3961</v>
      </c>
      <c r="B149" s="385">
        <v>12.5</v>
      </c>
      <c r="C149" s="386">
        <f>+B149</f>
        <v>12.5</v>
      </c>
    </row>
    <row r="150" spans="1:3" x14ac:dyDescent="0.3">
      <c r="A150" s="712" t="s">
        <v>3962</v>
      </c>
      <c r="B150" s="386">
        <f>+(B145-B155)/(B156-B154)</f>
        <v>0.54176673278723819</v>
      </c>
      <c r="C150" s="386">
        <f>+(C145-C155)/(C156-C154)</f>
        <v>2.3606987620139637</v>
      </c>
    </row>
    <row r="151" spans="1:3" x14ac:dyDescent="0.3">
      <c r="A151" s="494"/>
      <c r="B151" s="494"/>
      <c r="C151" s="494"/>
    </row>
    <row r="154" spans="1:3" x14ac:dyDescent="0.3">
      <c r="A154" t="s">
        <v>3639</v>
      </c>
      <c r="B154" s="79">
        <f>+Analysis!D4876</f>
        <v>1066.188744978549</v>
      </c>
      <c r="C154" s="76">
        <f>+B154</f>
        <v>1066.188744978549</v>
      </c>
    </row>
    <row r="155" spans="1:3" x14ac:dyDescent="0.3">
      <c r="A155" t="s">
        <v>3963</v>
      </c>
      <c r="B155" s="76">
        <f>+B154*12.5</f>
        <v>13327.359312231863</v>
      </c>
      <c r="C155" s="76">
        <f>+C154*C149</f>
        <v>13327.359312231863</v>
      </c>
    </row>
    <row r="156" spans="1:3" x14ac:dyDescent="0.3">
      <c r="A156" t="s">
        <v>3964</v>
      </c>
      <c r="B156" s="76">
        <f>+'Model Main'!$EI$48</f>
        <v>2475</v>
      </c>
      <c r="C156" s="76">
        <f>+B156</f>
        <v>2475</v>
      </c>
    </row>
  </sheetData>
  <pageMargins left="0.7" right="0.7" top="0.75" bottom="0.75" header="0.3" footer="0.3"/>
  <pageSetup orientation="portrait" r:id="rId1"/>
  <ignoredErrors>
    <ignoredError sqref="B52" 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6254C-7D9A-441A-8AD5-D6EBE72D39D7}">
  <dimension ref="A1:EX702"/>
  <sheetViews>
    <sheetView showGridLines="0" workbookViewId="0">
      <pane xSplit="124" ySplit="5" topLeftCell="DU167" activePane="bottomRight" state="frozen"/>
      <selection pane="topRight" activeCell="ES196" sqref="ES196"/>
      <selection pane="bottomLeft" activeCell="ES196" sqref="ES196"/>
      <selection pane="bottomRight" activeCell="ES196" sqref="ES196"/>
    </sheetView>
  </sheetViews>
  <sheetFormatPr defaultRowHeight="12" outlineLevelRow="2" outlineLevelCol="1" x14ac:dyDescent="0.3"/>
  <cols>
    <col min="1" max="1" width="44" bestFit="1" customWidth="1"/>
    <col min="2" max="124" width="9.33203125" hidden="1" customWidth="1" outlineLevel="1"/>
    <col min="125" max="125" width="10.44140625" bestFit="1" customWidth="1" collapsed="1"/>
    <col min="126" max="134" width="10.44140625" bestFit="1" customWidth="1"/>
    <col min="135" max="135" width="10.6640625" bestFit="1" customWidth="1"/>
    <col min="136" max="139" width="10.44140625" bestFit="1" customWidth="1"/>
    <col min="140" max="140" width="9.77734375" bestFit="1" customWidth="1"/>
    <col min="141" max="141" width="11.44140625" bestFit="1" customWidth="1"/>
  </cols>
  <sheetData>
    <row r="1" spans="1:150" ht="21.5" thickBot="1" x14ac:dyDescent="0.55000000000000004">
      <c r="A1" s="38" t="s">
        <v>13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</row>
    <row r="2" spans="1:150" x14ac:dyDescent="0.3">
      <c r="A2" s="39" t="s">
        <v>3965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</row>
    <row r="3" spans="1:150" x14ac:dyDescent="0.3">
      <c r="A3" s="481" t="s">
        <v>15</v>
      </c>
      <c r="B3" s="481"/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  <c r="T3" s="481"/>
      <c r="U3" s="481"/>
      <c r="V3" s="481"/>
      <c r="W3" s="481"/>
      <c r="X3" s="481"/>
      <c r="Y3" s="481"/>
      <c r="Z3" s="481"/>
      <c r="AA3" s="481"/>
      <c r="AB3" s="481"/>
      <c r="AC3" s="481"/>
      <c r="AD3" s="481"/>
      <c r="AE3" s="481"/>
      <c r="AF3" s="481"/>
      <c r="AG3" s="481"/>
      <c r="AH3" s="481"/>
      <c r="AI3" s="481"/>
      <c r="AJ3" s="481"/>
      <c r="AK3" s="481"/>
      <c r="AL3" s="481"/>
      <c r="AM3" s="481"/>
      <c r="AN3" s="481"/>
      <c r="AO3" s="481"/>
      <c r="AP3" s="481"/>
      <c r="AQ3" s="481"/>
      <c r="AR3" s="481"/>
      <c r="AS3" s="481"/>
      <c r="AT3" s="481"/>
      <c r="AU3" s="481"/>
      <c r="AV3" s="481"/>
      <c r="AW3" s="481"/>
      <c r="AX3" s="481"/>
      <c r="AY3" s="481"/>
      <c r="AZ3" s="481"/>
      <c r="BA3" s="481"/>
      <c r="BB3" s="481"/>
      <c r="BC3" s="481"/>
      <c r="BD3" s="481"/>
      <c r="BE3" s="481"/>
      <c r="BF3" s="481"/>
      <c r="BG3" s="481"/>
      <c r="BH3" s="481"/>
      <c r="BI3" s="481"/>
      <c r="BJ3" s="481"/>
      <c r="BK3" s="481"/>
      <c r="BL3" s="481"/>
      <c r="BM3" s="481"/>
      <c r="BN3" s="481"/>
      <c r="BO3" s="481"/>
      <c r="BP3" s="481"/>
      <c r="BQ3" s="481"/>
      <c r="BR3" s="481"/>
      <c r="BS3" s="481"/>
      <c r="BT3" s="481"/>
      <c r="BU3" s="481"/>
      <c r="BV3" s="481"/>
      <c r="BW3" s="481"/>
      <c r="BX3" s="481"/>
      <c r="BY3" s="481"/>
      <c r="BZ3" s="481"/>
      <c r="CA3" s="481"/>
      <c r="CB3" s="481"/>
      <c r="CC3" s="481"/>
      <c r="CD3" s="481"/>
      <c r="CE3" s="481"/>
      <c r="CF3" s="481"/>
      <c r="CG3" s="481"/>
      <c r="CH3" s="481"/>
      <c r="CI3" s="481"/>
      <c r="CJ3" s="481"/>
      <c r="CK3" s="481"/>
      <c r="CL3" s="481"/>
      <c r="CM3" s="481"/>
      <c r="CN3" s="481"/>
      <c r="CO3" s="481"/>
      <c r="CP3" s="481"/>
      <c r="CQ3" s="481"/>
      <c r="CR3" s="481"/>
      <c r="CS3" s="481"/>
      <c r="CT3" s="481"/>
      <c r="CU3" s="481"/>
      <c r="CV3" s="481"/>
      <c r="CW3" s="481"/>
      <c r="CX3" s="481"/>
      <c r="CY3" s="481"/>
      <c r="CZ3" s="481"/>
      <c r="DA3" s="481"/>
      <c r="DB3" s="481"/>
      <c r="DC3" s="481"/>
      <c r="DD3" s="481"/>
      <c r="DE3" s="481"/>
      <c r="DF3" s="481"/>
      <c r="DG3" s="481"/>
      <c r="DH3" s="481"/>
      <c r="DI3" s="481"/>
      <c r="DJ3" s="481"/>
      <c r="DK3" s="481"/>
      <c r="DL3" s="481"/>
      <c r="DM3" s="481"/>
      <c r="DN3" s="481"/>
      <c r="DO3" s="481"/>
      <c r="DP3" s="481"/>
      <c r="DQ3" s="481"/>
      <c r="DR3" s="481"/>
      <c r="DS3" s="481"/>
      <c r="DT3" s="481"/>
      <c r="DU3" s="481"/>
      <c r="DV3" s="481"/>
      <c r="DW3" s="481"/>
      <c r="DX3" s="481"/>
      <c r="DY3" s="481"/>
      <c r="DZ3" s="481"/>
      <c r="EA3" s="481"/>
      <c r="EB3" s="481"/>
      <c r="EC3" s="481"/>
      <c r="ED3" s="481"/>
      <c r="EE3" s="481"/>
      <c r="EF3" s="481"/>
      <c r="EG3" s="481"/>
      <c r="EH3" s="481"/>
      <c r="EI3" s="481"/>
      <c r="EJ3" s="481"/>
      <c r="EK3" s="481"/>
      <c r="EL3" s="481"/>
      <c r="EM3" s="481"/>
      <c r="EN3" s="481"/>
      <c r="EO3" s="481"/>
      <c r="EP3" s="481"/>
      <c r="EQ3" s="481"/>
      <c r="ER3" s="481"/>
      <c r="ES3" s="481"/>
      <c r="ET3" s="481"/>
    </row>
    <row r="5" spans="1:150" x14ac:dyDescent="0.3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2" t="str">
        <f>+Inputs!BC5</f>
        <v>1Q05</v>
      </c>
      <c r="BD5" s="42" t="str">
        <f>+Inputs!BD5</f>
        <v>2Q05</v>
      </c>
      <c r="BE5" s="42" t="str">
        <f>+Inputs!BE5</f>
        <v>3Q05</v>
      </c>
      <c r="BF5" s="42" t="str">
        <f>+Inputs!BF5</f>
        <v>4Q05</v>
      </c>
      <c r="BG5" s="42">
        <f>+Inputs!BG5</f>
        <v>2005</v>
      </c>
      <c r="BH5" s="42" t="str">
        <f>+Inputs!BH5</f>
        <v>1Q06</v>
      </c>
      <c r="BI5" s="42" t="str">
        <f>+Inputs!BI5</f>
        <v>2Q06</v>
      </c>
      <c r="BJ5" s="42" t="str">
        <f>+Inputs!BJ5</f>
        <v>3Q06</v>
      </c>
      <c r="BK5" s="42" t="str">
        <f>+Inputs!BK5</f>
        <v>4Q06</v>
      </c>
      <c r="BL5" s="42">
        <f>+Inputs!BL5</f>
        <v>2006</v>
      </c>
      <c r="BM5" s="42" t="str">
        <f>+Inputs!BM5</f>
        <v>1Q07</v>
      </c>
      <c r="BN5" s="42" t="str">
        <f>+Inputs!BN5</f>
        <v>2Q07</v>
      </c>
      <c r="BO5" s="42" t="str">
        <f>+Inputs!BO5</f>
        <v>3Q07</v>
      </c>
      <c r="BP5" s="42" t="str">
        <f>+Inputs!BP5</f>
        <v>4Q07</v>
      </c>
      <c r="BQ5" s="42">
        <f>+Inputs!BQ5</f>
        <v>2007</v>
      </c>
      <c r="BR5" s="42" t="str">
        <f>+Inputs!BR5</f>
        <v>1Q08</v>
      </c>
      <c r="BS5" s="42" t="str">
        <f>+Inputs!BS5</f>
        <v>2Q08</v>
      </c>
      <c r="BT5" s="42" t="str">
        <f>+Inputs!BT5</f>
        <v>3Q08</v>
      </c>
      <c r="BU5" s="42" t="str">
        <f>+Inputs!BU5</f>
        <v>4Q08</v>
      </c>
      <c r="BV5" s="42">
        <f>+Inputs!BV5</f>
        <v>2008</v>
      </c>
      <c r="BW5" s="42" t="str">
        <f>+Inputs!BW5</f>
        <v>1Q09</v>
      </c>
      <c r="BX5" s="42" t="str">
        <f>+Inputs!BX5</f>
        <v>2Q09</v>
      </c>
      <c r="BY5" s="42" t="str">
        <f>+Inputs!BY5</f>
        <v>3Q09</v>
      </c>
      <c r="BZ5" s="42" t="str">
        <f>+Inputs!BZ5</f>
        <v>4Q09</v>
      </c>
      <c r="CA5" s="42">
        <f>+Inputs!CA5</f>
        <v>2009</v>
      </c>
      <c r="CB5" s="42" t="str">
        <f>+Inputs!CB5</f>
        <v>1Q10</v>
      </c>
      <c r="CC5" s="42" t="str">
        <f>+Inputs!CC5</f>
        <v>2Q10</v>
      </c>
      <c r="CD5" s="42" t="str">
        <f>+Inputs!CD5</f>
        <v>3Q10</v>
      </c>
      <c r="CE5" s="42" t="str">
        <f>+Inputs!CE5</f>
        <v>4Q10</v>
      </c>
      <c r="CF5" s="42">
        <f>+Inputs!CF5</f>
        <v>2010</v>
      </c>
      <c r="CG5" s="42" t="str">
        <f>+Inputs!CG5</f>
        <v>1Q11</v>
      </c>
      <c r="CH5" s="42" t="str">
        <f>+Inputs!CH5</f>
        <v>2Q11</v>
      </c>
      <c r="CI5" s="42" t="str">
        <f>+Inputs!CI5</f>
        <v>3Q11</v>
      </c>
      <c r="CJ5" s="42" t="str">
        <f>+Inputs!CJ5</f>
        <v>4Q11</v>
      </c>
      <c r="CK5" s="42">
        <f>+Inputs!CK5</f>
        <v>2011</v>
      </c>
      <c r="CL5" s="42" t="str">
        <f>+Inputs!CL5</f>
        <v>1Q12</v>
      </c>
      <c r="CM5" s="42" t="str">
        <f>+Inputs!CM5</f>
        <v>2Q12</v>
      </c>
      <c r="CN5" s="42" t="str">
        <f>+Inputs!CN5</f>
        <v>3Q12</v>
      </c>
      <c r="CO5" s="42" t="str">
        <f>+Inputs!CO5</f>
        <v>4Q12</v>
      </c>
      <c r="CP5" s="42">
        <f>+Inputs!CP5</f>
        <v>2012</v>
      </c>
      <c r="CQ5" s="42" t="str">
        <f>+Inputs!CQ5</f>
        <v>1Q13</v>
      </c>
      <c r="CR5" s="42" t="str">
        <f>+Inputs!CR5</f>
        <v>2Q13</v>
      </c>
      <c r="CS5" s="42" t="str">
        <f>+Inputs!CS5</f>
        <v>3Q13</v>
      </c>
      <c r="CT5" s="42" t="str">
        <f>+Inputs!CT5</f>
        <v>4Q13</v>
      </c>
      <c r="CU5" s="42">
        <f>+Inputs!CU5</f>
        <v>2013</v>
      </c>
      <c r="CV5" s="42" t="str">
        <f>+Inputs!CV5</f>
        <v>1Q14</v>
      </c>
      <c r="CW5" s="42" t="str">
        <f>+Inputs!CW5</f>
        <v>2Q14</v>
      </c>
      <c r="CX5" s="42" t="str">
        <f>+Inputs!CX5</f>
        <v>3Q14</v>
      </c>
      <c r="CY5" s="42" t="str">
        <f>+Inputs!CY5</f>
        <v>4Q14</v>
      </c>
      <c r="CZ5" s="42">
        <f>+Inputs!CZ5</f>
        <v>2014</v>
      </c>
      <c r="DA5" s="42" t="str">
        <f>+Inputs!DA5</f>
        <v>1Q15</v>
      </c>
      <c r="DB5" s="42" t="str">
        <f>+Inputs!DB5</f>
        <v>2Q15</v>
      </c>
      <c r="DC5" s="42" t="str">
        <f>+Inputs!DC5</f>
        <v>3Q15</v>
      </c>
      <c r="DD5" s="42" t="str">
        <f>+Inputs!DD5</f>
        <v>4Q15</v>
      </c>
      <c r="DE5" s="42">
        <f>+Inputs!DE5</f>
        <v>2015</v>
      </c>
      <c r="DF5" s="42" t="str">
        <f>+Inputs!DF5</f>
        <v>1Q16</v>
      </c>
      <c r="DG5" s="42" t="str">
        <f>+Inputs!DG5</f>
        <v>2Q16</v>
      </c>
      <c r="DH5" s="42" t="str">
        <f>+Inputs!DH5</f>
        <v>3Q16</v>
      </c>
      <c r="DI5" s="42" t="str">
        <f>+Inputs!DI5</f>
        <v>4Q16</v>
      </c>
      <c r="DJ5" s="42">
        <f>+Inputs!DJ5</f>
        <v>2016</v>
      </c>
      <c r="DK5" s="42" t="str">
        <f>+Inputs!DK5</f>
        <v>1Q17</v>
      </c>
      <c r="DL5" s="42" t="str">
        <f>+Inputs!DL5</f>
        <v>2Q17</v>
      </c>
      <c r="DM5" s="42" t="str">
        <f>+Inputs!DM5</f>
        <v>3Q17</v>
      </c>
      <c r="DN5" s="42" t="str">
        <f>+Inputs!DN5</f>
        <v>4Q17</v>
      </c>
      <c r="DO5" s="42">
        <f>+Inputs!DO5</f>
        <v>2017</v>
      </c>
      <c r="DP5" s="42" t="str">
        <f>+Inputs!DP5</f>
        <v>1Q18</v>
      </c>
      <c r="DQ5" s="42" t="str">
        <f>+Inputs!DQ5</f>
        <v>2Q18</v>
      </c>
      <c r="DR5" s="42" t="str">
        <f>+Inputs!DR5</f>
        <v>3Q18</v>
      </c>
      <c r="DS5" s="42" t="str">
        <f>+Inputs!DS5</f>
        <v>4Q18</v>
      </c>
      <c r="DT5" s="42">
        <f>+Inputs!DT5</f>
        <v>2018</v>
      </c>
      <c r="DU5" s="42" t="str">
        <f>+Inputs!DU5</f>
        <v>1Q19</v>
      </c>
      <c r="DV5" s="42" t="str">
        <f>+Inputs!DV5</f>
        <v>2Q19</v>
      </c>
      <c r="DW5" s="42" t="str">
        <f>+Inputs!DW5</f>
        <v>3Q19</v>
      </c>
      <c r="DX5" s="42" t="str">
        <f>+Inputs!DX5</f>
        <v>4Q19</v>
      </c>
      <c r="DY5" s="42">
        <f>+Inputs!DY5</f>
        <v>2019</v>
      </c>
      <c r="DZ5" s="42" t="str">
        <f>+Inputs!DZ5</f>
        <v>1Q20</v>
      </c>
      <c r="EA5" s="42" t="str">
        <f>+Inputs!EA5</f>
        <v>2Q20</v>
      </c>
      <c r="EB5" s="42" t="str">
        <f>+Inputs!EB5</f>
        <v>3Q20</v>
      </c>
      <c r="EC5" s="42" t="str">
        <f>+Inputs!EC5</f>
        <v>4Q20</v>
      </c>
      <c r="ED5" s="42">
        <f>+Inputs!ED5</f>
        <v>2020</v>
      </c>
      <c r="EE5" s="42" t="str">
        <f>+Inputs!EE5</f>
        <v>1Q21</v>
      </c>
      <c r="EF5" s="42" t="str">
        <f>+Inputs!EF5</f>
        <v>2Q21</v>
      </c>
      <c r="EG5" s="42" t="str">
        <f>+Inputs!EG5</f>
        <v>3Q21</v>
      </c>
      <c r="EH5" s="42" t="str">
        <f>+Inputs!EH5</f>
        <v>4Q21</v>
      </c>
      <c r="EI5" s="42">
        <f>+Inputs!EI5</f>
        <v>2021</v>
      </c>
      <c r="EJ5" s="42">
        <f>+Inputs!EN5</f>
        <v>2022</v>
      </c>
      <c r="EK5" s="42">
        <f>+Inputs!ES5</f>
        <v>2023</v>
      </c>
      <c r="EL5" s="42">
        <f>+Inputs!EX5</f>
        <v>2024</v>
      </c>
      <c r="EM5" s="42" t="str">
        <f>+Inputs!FC5</f>
        <v>2025E</v>
      </c>
      <c r="EN5" s="42" t="str">
        <f>+Inputs!FD5</f>
        <v>2026E</v>
      </c>
      <c r="EO5" s="42" t="str">
        <f>+Inputs!FE5</f>
        <v>2027E</v>
      </c>
      <c r="EP5" s="42" t="str">
        <f>+Inputs!FF5</f>
        <v>2028E</v>
      </c>
      <c r="EQ5" s="42" t="str">
        <f>+Inputs!FG5</f>
        <v>2029E</v>
      </c>
      <c r="ER5" s="42" t="str">
        <f>+Inputs!FH5</f>
        <v>2030E</v>
      </c>
      <c r="ES5" s="42" t="str">
        <f>+Inputs!FI5</f>
        <v>2031E</v>
      </c>
      <c r="ET5" s="190" t="s">
        <v>17</v>
      </c>
    </row>
    <row r="6" spans="1:150" ht="4.5" customHeight="1" x14ac:dyDescent="0.3">
      <c r="A6" s="4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</row>
    <row r="7" spans="1:150" x14ac:dyDescent="0.3">
      <c r="A7" s="909" t="s">
        <v>211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</row>
    <row r="8" spans="1:150" hidden="1" outlineLevel="1" x14ac:dyDescent="0.3">
      <c r="A8" s="27" t="s">
        <v>31</v>
      </c>
    </row>
    <row r="9" spans="1:150" hidden="1" outlineLevel="1" x14ac:dyDescent="0.3">
      <c r="A9" s="27" t="s">
        <v>32</v>
      </c>
    </row>
    <row r="10" spans="1:150" hidden="1" outlineLevel="1" x14ac:dyDescent="0.3">
      <c r="A10" s="27" t="s">
        <v>33</v>
      </c>
    </row>
    <row r="11" spans="1:150" hidden="1" outlineLevel="1" x14ac:dyDescent="0.3">
      <c r="A11" s="27" t="s">
        <v>34</v>
      </c>
    </row>
    <row r="12" spans="1:150" hidden="1" outlineLevel="1" x14ac:dyDescent="0.3">
      <c r="A12" s="29" t="s">
        <v>38</v>
      </c>
    </row>
    <row r="13" spans="1:150" hidden="1" outlineLevel="1" x14ac:dyDescent="0.3">
      <c r="A13" s="30" t="s">
        <v>39</v>
      </c>
    </row>
    <row r="14" spans="1:150" hidden="1" outlineLevel="1" x14ac:dyDescent="0.3">
      <c r="A14" s="29" t="s">
        <v>3966</v>
      </c>
    </row>
    <row r="15" spans="1:150" hidden="1" outlineLevel="1" x14ac:dyDescent="0.3">
      <c r="A15" s="30" t="s">
        <v>3638</v>
      </c>
    </row>
    <row r="16" spans="1:150" hidden="1" outlineLevel="1" x14ac:dyDescent="0.3">
      <c r="A16" s="4" t="s">
        <v>19</v>
      </c>
    </row>
    <row r="17" spans="1:149" hidden="1" outlineLevel="1" x14ac:dyDescent="0.3">
      <c r="A17" s="46" t="s">
        <v>3967</v>
      </c>
    </row>
    <row r="18" spans="1:149" hidden="1" outlineLevel="1" x14ac:dyDescent="0.3">
      <c r="A18" s="46" t="s">
        <v>3968</v>
      </c>
    </row>
    <row r="19" spans="1:149" hidden="1" outlineLevel="1" x14ac:dyDescent="0.3">
      <c r="A19" s="46" t="s">
        <v>3969</v>
      </c>
    </row>
    <row r="20" spans="1:149" hidden="1" outlineLevel="1" x14ac:dyDescent="0.3">
      <c r="A20" s="4"/>
    </row>
    <row r="21" spans="1:149" hidden="1" outlineLevel="1" x14ac:dyDescent="0.3">
      <c r="A21" s="30" t="s">
        <v>47</v>
      </c>
    </row>
    <row r="22" spans="1:149" hidden="1" outlineLevel="1" x14ac:dyDescent="0.3">
      <c r="A22" s="30" t="s">
        <v>48</v>
      </c>
    </row>
    <row r="23" spans="1:149" hidden="1" outlineLevel="1" x14ac:dyDescent="0.3">
      <c r="A23" s="30" t="s">
        <v>42</v>
      </c>
    </row>
    <row r="24" spans="1:149" hidden="1" outlineLevel="1" x14ac:dyDescent="0.3">
      <c r="A24" s="48" t="s">
        <v>43</v>
      </c>
    </row>
    <row r="25" spans="1:149" hidden="1" outlineLevel="1" x14ac:dyDescent="0.3">
      <c r="A25" s="49"/>
    </row>
    <row r="26" spans="1:149" hidden="1" outlineLevel="1" x14ac:dyDescent="0.3">
      <c r="A26" s="48" t="s">
        <v>44</v>
      </c>
    </row>
    <row r="27" spans="1:149" hidden="1" outlineLevel="1" x14ac:dyDescent="0.3">
      <c r="A27" s="46" t="s">
        <v>45</v>
      </c>
    </row>
    <row r="28" spans="1:149" hidden="1" outlineLevel="1" x14ac:dyDescent="0.3">
      <c r="A28" s="46" t="s">
        <v>29</v>
      </c>
    </row>
    <row r="29" spans="1:149" hidden="1" outlineLevel="1" x14ac:dyDescent="0.3">
      <c r="A29" s="30"/>
    </row>
    <row r="30" spans="1:149" hidden="1" outlineLevel="1" x14ac:dyDescent="0.3">
      <c r="A30" s="30"/>
    </row>
    <row r="31" spans="1:149" collapsed="1" x14ac:dyDescent="0.3">
      <c r="A31" s="846" t="s">
        <v>284</v>
      </c>
    </row>
    <row r="32" spans="1:149" x14ac:dyDescent="0.3">
      <c r="A32" s="67" t="s">
        <v>1899</v>
      </c>
      <c r="DU32" s="885">
        <f t="shared" ref="DU32:DX33" si="0">DU149</f>
        <v>210.08420999999996</v>
      </c>
      <c r="DV32" s="885">
        <f t="shared" si="0"/>
        <v>204.85115999999999</v>
      </c>
      <c r="DW32" s="885">
        <f t="shared" si="0"/>
        <v>203.10110999999998</v>
      </c>
      <c r="DX32" s="885">
        <f t="shared" si="0"/>
        <v>204.59420999999998</v>
      </c>
      <c r="DY32" s="916">
        <f t="shared" ref="DY32:DY54" si="1">SUM(DU32:DX32)</f>
        <v>822.63068999999984</v>
      </c>
      <c r="DZ32" s="885">
        <f t="shared" ref="DZ32:EC33" si="2">DZ149</f>
        <v>206.13852697674417</v>
      </c>
      <c r="EA32" s="885">
        <f t="shared" si="2"/>
        <v>208.02479595348839</v>
      </c>
      <c r="EB32" s="885">
        <f t="shared" si="2"/>
        <v>211.55899649999995</v>
      </c>
      <c r="EC32" s="885">
        <f t="shared" si="2"/>
        <v>220.39888213953486</v>
      </c>
      <c r="ED32" s="916">
        <f t="shared" ref="ED32:ED54" si="3">SUM(DZ32:EC32)</f>
        <v>846.12120156976732</v>
      </c>
      <c r="EE32" s="885">
        <f t="shared" ref="EE32:EH33" si="4">EE149</f>
        <v>225.56943899999999</v>
      </c>
      <c r="EF32" s="885">
        <f t="shared" si="4"/>
        <v>235.87982055000001</v>
      </c>
      <c r="EG32" s="885">
        <f t="shared" si="4"/>
        <v>239.10052333649998</v>
      </c>
      <c r="EH32" s="885">
        <f t="shared" si="4"/>
        <v>239.26971476590197</v>
      </c>
      <c r="EI32" s="916">
        <f t="shared" ref="EI32:EI54" si="5">SUM(EE32:EH32)</f>
        <v>939.81949765240199</v>
      </c>
      <c r="EJ32" s="885">
        <f>EJ149</f>
        <v>1055.1224004873256</v>
      </c>
      <c r="EK32" s="885">
        <f t="shared" ref="EK32:ES32" si="6">EK149</f>
        <v>1171.516204000319</v>
      </c>
      <c r="EL32" s="885">
        <f t="shared" si="6"/>
        <v>1238.6483878387799</v>
      </c>
      <c r="EM32" s="885">
        <f t="shared" si="6"/>
        <v>1253.5360341770015</v>
      </c>
      <c r="EN32" s="885">
        <f t="shared" si="6"/>
        <v>1249.0780523185069</v>
      </c>
      <c r="EO32" s="885">
        <f t="shared" si="6"/>
        <v>1257.2009991937589</v>
      </c>
      <c r="EP32" s="885">
        <f t="shared" si="6"/>
        <v>1270.1080539678394</v>
      </c>
      <c r="EQ32" s="885">
        <f t="shared" si="6"/>
        <v>1302.9685332521804</v>
      </c>
      <c r="ER32" s="885">
        <f t="shared" si="6"/>
        <v>1390.1331129409098</v>
      </c>
      <c r="ES32" s="885">
        <f t="shared" si="6"/>
        <v>1530.1010627357671</v>
      </c>
    </row>
    <row r="33" spans="1:149" x14ac:dyDescent="0.3">
      <c r="A33" s="67" t="s">
        <v>1902</v>
      </c>
      <c r="DU33" s="901">
        <f t="shared" si="0"/>
        <v>269.684443875</v>
      </c>
      <c r="DV33" s="901">
        <f t="shared" si="0"/>
        <v>261.59391055875</v>
      </c>
      <c r="DW33" s="901">
        <f t="shared" si="0"/>
        <v>253.7460932419875</v>
      </c>
      <c r="DX33" s="901">
        <f t="shared" si="0"/>
        <v>242.34486232426252</v>
      </c>
      <c r="DY33" s="941">
        <f t="shared" si="1"/>
        <v>1027.36931</v>
      </c>
      <c r="DZ33" s="901">
        <f t="shared" si="2"/>
        <v>273.3292053660611</v>
      </c>
      <c r="EA33" s="901">
        <f t="shared" si="2"/>
        <v>265.12932920507927</v>
      </c>
      <c r="EB33" s="901">
        <f t="shared" si="2"/>
        <v>257.1754493289269</v>
      </c>
      <c r="EC33" s="901">
        <f t="shared" si="2"/>
        <v>245.62013178016537</v>
      </c>
      <c r="ED33" s="941">
        <f t="shared" si="3"/>
        <v>1041.2541156802326</v>
      </c>
      <c r="EE33" s="901">
        <f t="shared" si="4"/>
        <v>274.14369379676123</v>
      </c>
      <c r="EF33" s="901">
        <f t="shared" si="4"/>
        <v>266.30570909429207</v>
      </c>
      <c r="EG33" s="901">
        <f t="shared" si="4"/>
        <v>259.90246301203609</v>
      </c>
      <c r="EH33" s="901">
        <f t="shared" si="4"/>
        <v>252.24541132688319</v>
      </c>
      <c r="EI33" s="941">
        <f t="shared" si="5"/>
        <v>1052.5972772299726</v>
      </c>
      <c r="EJ33" s="901">
        <f t="shared" ref="EJ33:ES33" si="7">EJ150</f>
        <v>1119.9096217652796</v>
      </c>
      <c r="EK33" s="901">
        <f t="shared" si="7"/>
        <v>1182.7023339321834</v>
      </c>
      <c r="EL33" s="901">
        <f t="shared" si="7"/>
        <v>1192.6333344732257</v>
      </c>
      <c r="EM33" s="901">
        <f t="shared" si="7"/>
        <v>1153.4901817112848</v>
      </c>
      <c r="EN33" s="901">
        <f t="shared" si="7"/>
        <v>1105.1807648507108</v>
      </c>
      <c r="EO33" s="901">
        <f t="shared" si="7"/>
        <v>1074.9324664802912</v>
      </c>
      <c r="EP33" s="901">
        <f t="shared" si="7"/>
        <v>1054.6422537231529</v>
      </c>
      <c r="EQ33" s="901">
        <f t="shared" si="7"/>
        <v>1050.7186943116756</v>
      </c>
      <c r="ER33" s="901">
        <f t="shared" si="7"/>
        <v>1088.6717523762136</v>
      </c>
      <c r="ES33" s="901">
        <f t="shared" si="7"/>
        <v>1163.7205871703939</v>
      </c>
    </row>
    <row r="34" spans="1:149" s="90" customFormat="1" x14ac:dyDescent="0.3">
      <c r="A34" s="64" t="s">
        <v>1903</v>
      </c>
      <c r="DU34" s="900">
        <f>SUM(DU32:DU33)</f>
        <v>479.76865387499993</v>
      </c>
      <c r="DV34" s="900">
        <f>SUM(DV32:DV33)</f>
        <v>466.44507055874999</v>
      </c>
      <c r="DW34" s="900">
        <f>SUM(DW32:DW33)</f>
        <v>456.84720324198747</v>
      </c>
      <c r="DX34" s="900">
        <f>SUM(DX32:DX33)</f>
        <v>446.9390723242625</v>
      </c>
      <c r="DY34" s="916">
        <f t="shared" si="1"/>
        <v>1849.9999999999998</v>
      </c>
      <c r="DZ34" s="900">
        <f>SUM(DZ32:DZ33)</f>
        <v>479.46773234280528</v>
      </c>
      <c r="EA34" s="900">
        <f>SUM(EA32:EA33)</f>
        <v>473.15412515856769</v>
      </c>
      <c r="EB34" s="900">
        <f>SUM(EB32:EB33)</f>
        <v>468.73444582892682</v>
      </c>
      <c r="EC34" s="900">
        <f>SUM(EC32:EC33)</f>
        <v>466.01901391970023</v>
      </c>
      <c r="ED34" s="916">
        <f t="shared" si="3"/>
        <v>1887.3753172500001</v>
      </c>
      <c r="EE34" s="900">
        <f>SUM(EE32:EE33)</f>
        <v>499.71313279676122</v>
      </c>
      <c r="EF34" s="900">
        <f>SUM(EF32:EF33)</f>
        <v>502.18552964429205</v>
      </c>
      <c r="EG34" s="900">
        <f>SUM(EG32:EG33)</f>
        <v>499.00298634853607</v>
      </c>
      <c r="EH34" s="900">
        <f>SUM(EH32:EH33)</f>
        <v>491.51512609278518</v>
      </c>
      <c r="EI34" s="916">
        <f t="shared" si="5"/>
        <v>1992.4167748823743</v>
      </c>
      <c r="EJ34" s="900">
        <f t="shared" ref="EJ34:ES34" si="8">SUM(EJ32:EJ33)</f>
        <v>2175.0320222526052</v>
      </c>
      <c r="EK34" s="900">
        <f t="shared" si="8"/>
        <v>2354.2185379325024</v>
      </c>
      <c r="EL34" s="900">
        <f t="shared" si="8"/>
        <v>2431.2817223120055</v>
      </c>
      <c r="EM34" s="900">
        <f t="shared" si="8"/>
        <v>2407.0262158882861</v>
      </c>
      <c r="EN34" s="900">
        <f t="shared" si="8"/>
        <v>2354.2588171692178</v>
      </c>
      <c r="EO34" s="900">
        <f t="shared" si="8"/>
        <v>2332.1334656740501</v>
      </c>
      <c r="EP34" s="900">
        <f t="shared" si="8"/>
        <v>2324.7503076909925</v>
      </c>
      <c r="EQ34" s="900">
        <f t="shared" si="8"/>
        <v>2353.6872275638561</v>
      </c>
      <c r="ER34" s="900">
        <f t="shared" si="8"/>
        <v>2478.8048653171236</v>
      </c>
      <c r="ES34" s="900">
        <f t="shared" si="8"/>
        <v>2693.8216499061609</v>
      </c>
    </row>
    <row r="35" spans="1:149" s="90" customFormat="1" x14ac:dyDescent="0.3">
      <c r="A35" s="64"/>
      <c r="DU35" s="900"/>
      <c r="DV35" s="900"/>
      <c r="DW35" s="900"/>
      <c r="DX35" s="900"/>
      <c r="DY35" s="916"/>
      <c r="DZ35" s="900"/>
      <c r="EA35" s="900"/>
      <c r="EB35" s="900"/>
      <c r="EC35" s="900"/>
      <c r="ED35" s="916"/>
      <c r="EE35" s="900"/>
      <c r="EF35" s="900"/>
      <c r="EG35" s="900"/>
      <c r="EH35" s="900"/>
      <c r="EI35" s="916"/>
      <c r="EJ35" s="900"/>
      <c r="EK35" s="900"/>
      <c r="EL35" s="900"/>
      <c r="EM35" s="900"/>
      <c r="EN35" s="900"/>
      <c r="EO35" s="900"/>
      <c r="EP35" s="900"/>
      <c r="EQ35" s="900"/>
      <c r="ER35" s="900"/>
      <c r="ES35" s="900"/>
    </row>
    <row r="36" spans="1:149" x14ac:dyDescent="0.3">
      <c r="A36" s="30" t="s">
        <v>372</v>
      </c>
      <c r="DU36" s="885">
        <f t="shared" ref="DU36:DX37" si="9">DU158</f>
        <v>28.27008</v>
      </c>
      <c r="DV36" s="885">
        <f t="shared" si="9"/>
        <v>29.056319999999999</v>
      </c>
      <c r="DW36" s="885">
        <f t="shared" si="9"/>
        <v>28.784654999999997</v>
      </c>
      <c r="DX36" s="885">
        <f t="shared" si="9"/>
        <v>28.380300000000002</v>
      </c>
      <c r="DY36" s="916">
        <f t="shared" si="1"/>
        <v>114.491355</v>
      </c>
      <c r="DZ36" s="885">
        <f t="shared" ref="DZ36:EC37" si="10">DZ158</f>
        <v>28.435050000000004</v>
      </c>
      <c r="EA36" s="885">
        <f t="shared" si="10"/>
        <v>28.125734999999995</v>
      </c>
      <c r="EB36" s="885">
        <f t="shared" si="10"/>
        <v>28.288425000000004</v>
      </c>
      <c r="EC36" s="885">
        <f t="shared" si="10"/>
        <v>28.792260000000002</v>
      </c>
      <c r="ED36" s="916">
        <f t="shared" si="3"/>
        <v>113.64147</v>
      </c>
      <c r="EE36" s="885">
        <f t="shared" ref="EE36:EH37" si="11">EE158</f>
        <v>28.881900000000002</v>
      </c>
      <c r="EF36" s="885">
        <f t="shared" si="11"/>
        <v>29.828099999999999</v>
      </c>
      <c r="EG36" s="885">
        <f t="shared" si="11"/>
        <v>28.699136624999998</v>
      </c>
      <c r="EH36" s="885">
        <f t="shared" si="11"/>
        <v>28.773146661900007</v>
      </c>
      <c r="EI36" s="916">
        <f t="shared" si="5"/>
        <v>116.1822832869</v>
      </c>
      <c r="EJ36" s="885">
        <f>EJ158</f>
        <v>114.32636612114293</v>
      </c>
      <c r="EK36" s="885">
        <f t="shared" ref="EK36:ES36" si="12">EK158</f>
        <v>112.71353434341225</v>
      </c>
      <c r="EL36" s="885">
        <f t="shared" si="12"/>
        <v>112.16081496741288</v>
      </c>
      <c r="EM36" s="885">
        <f t="shared" si="12"/>
        <v>112.45194506319163</v>
      </c>
      <c r="EN36" s="885">
        <f t="shared" si="12"/>
        <v>113.41477933850575</v>
      </c>
      <c r="EO36" s="885">
        <f t="shared" si="12"/>
        <v>114.91229014073005</v>
      </c>
      <c r="EP36" s="885">
        <f t="shared" si="12"/>
        <v>116.83540345837484</v>
      </c>
      <c r="EQ36" s="885">
        <f t="shared" si="12"/>
        <v>119.0972963782943</v>
      </c>
      <c r="ER36" s="885">
        <f t="shared" si="12"/>
        <v>121.62885786162447</v>
      </c>
      <c r="ES36" s="885">
        <f t="shared" si="12"/>
        <v>124.37507552142951</v>
      </c>
    </row>
    <row r="37" spans="1:149" x14ac:dyDescent="0.3">
      <c r="A37" s="30" t="s">
        <v>3970</v>
      </c>
      <c r="DU37" s="901">
        <f t="shared" si="9"/>
        <v>155.6845041692589</v>
      </c>
      <c r="DV37" s="901">
        <f t="shared" si="9"/>
        <v>160.01436048936972</v>
      </c>
      <c r="DW37" s="901">
        <f t="shared" si="9"/>
        <v>158.51829005641929</v>
      </c>
      <c r="DX37" s="901">
        <f t="shared" si="9"/>
        <v>156.29149028495212</v>
      </c>
      <c r="DY37" s="941">
        <f t="shared" si="1"/>
        <v>630.508645</v>
      </c>
      <c r="DZ37" s="901">
        <f t="shared" si="10"/>
        <v>147.90027896079596</v>
      </c>
      <c r="EA37" s="901">
        <f t="shared" si="10"/>
        <v>152.01364246490124</v>
      </c>
      <c r="EB37" s="901">
        <f t="shared" si="10"/>
        <v>150.59237555359832</v>
      </c>
      <c r="EC37" s="901">
        <f t="shared" si="10"/>
        <v>148.47691577070449</v>
      </c>
      <c r="ED37" s="941">
        <f t="shared" si="3"/>
        <v>598.98321275000001</v>
      </c>
      <c r="EE37" s="901">
        <f t="shared" si="11"/>
        <v>140.50526501275615</v>
      </c>
      <c r="EF37" s="901">
        <f t="shared" si="11"/>
        <v>106.40954972543086</v>
      </c>
      <c r="EG37" s="901">
        <f t="shared" si="11"/>
        <v>105.41466288751882</v>
      </c>
      <c r="EH37" s="901">
        <f t="shared" si="11"/>
        <v>103.93384103949315</v>
      </c>
      <c r="EI37" s="941">
        <f t="shared" si="5"/>
        <v>456.26331866519899</v>
      </c>
      <c r="EJ37" s="901">
        <f>EJ159</f>
        <v>410.63698679867912</v>
      </c>
      <c r="EK37" s="901">
        <f t="shared" ref="EK37:ES37" si="13">EK159</f>
        <v>390.10513745874516</v>
      </c>
      <c r="EL37" s="901">
        <f t="shared" si="13"/>
        <v>370.59988058580791</v>
      </c>
      <c r="EM37" s="901">
        <f t="shared" si="13"/>
        <v>352.06988655651747</v>
      </c>
      <c r="EN37" s="901">
        <f t="shared" si="13"/>
        <v>334.46639222869157</v>
      </c>
      <c r="EO37" s="901">
        <f t="shared" si="13"/>
        <v>317.74307261725698</v>
      </c>
      <c r="EP37" s="901">
        <f t="shared" si="13"/>
        <v>301.8559189863941</v>
      </c>
      <c r="EQ37" s="901">
        <f t="shared" si="13"/>
        <v>286.76312303707437</v>
      </c>
      <c r="ER37" s="901">
        <f t="shared" si="13"/>
        <v>272.42496688522061</v>
      </c>
      <c r="ES37" s="901">
        <f t="shared" si="13"/>
        <v>258.80371854095955</v>
      </c>
    </row>
    <row r="38" spans="1:149" s="90" customFormat="1" x14ac:dyDescent="0.3">
      <c r="A38" s="29" t="s">
        <v>3971</v>
      </c>
      <c r="DU38" s="900">
        <f>SUM(DU36:DU37)</f>
        <v>183.95458416925891</v>
      </c>
      <c r="DV38" s="900">
        <f>SUM(DV36:DV37)</f>
        <v>189.07068048936972</v>
      </c>
      <c r="DW38" s="900">
        <f>SUM(DW36:DW37)</f>
        <v>187.30294505641928</v>
      </c>
      <c r="DX38" s="900">
        <f>SUM(DX36:DX37)</f>
        <v>184.67179028495212</v>
      </c>
      <c r="DY38" s="916">
        <f t="shared" si="1"/>
        <v>745</v>
      </c>
      <c r="DZ38" s="900">
        <f>SUM(DZ36:DZ37)</f>
        <v>176.33532896079595</v>
      </c>
      <c r="EA38" s="900">
        <f>SUM(EA36:EA37)</f>
        <v>180.13937746490123</v>
      </c>
      <c r="EB38" s="900">
        <f>SUM(EB36:EB37)</f>
        <v>178.88080055359831</v>
      </c>
      <c r="EC38" s="900">
        <f>SUM(EC36:EC37)</f>
        <v>177.26917577070449</v>
      </c>
      <c r="ED38" s="916">
        <f t="shared" si="3"/>
        <v>712.62468274999992</v>
      </c>
      <c r="EE38" s="900">
        <f>SUM(EE36:EE37)</f>
        <v>169.38716501275616</v>
      </c>
      <c r="EF38" s="900">
        <f>SUM(EF36:EF37)</f>
        <v>136.23764972543086</v>
      </c>
      <c r="EG38" s="900">
        <f>SUM(EG36:EG37)</f>
        <v>134.11379951251882</v>
      </c>
      <c r="EH38" s="900">
        <f>SUM(EH36:EH37)</f>
        <v>132.70698770139316</v>
      </c>
      <c r="EI38" s="916">
        <f t="shared" si="5"/>
        <v>572.44560195209897</v>
      </c>
      <c r="EJ38" s="900">
        <f>SUM(EJ36:EJ37)</f>
        <v>524.963352919822</v>
      </c>
      <c r="EK38" s="900">
        <f t="shared" ref="EK38:ES38" si="14">SUM(EK36:EK37)</f>
        <v>502.81867180215738</v>
      </c>
      <c r="EL38" s="900">
        <f t="shared" si="14"/>
        <v>482.76069555322078</v>
      </c>
      <c r="EM38" s="900">
        <f t="shared" si="14"/>
        <v>464.52183161970913</v>
      </c>
      <c r="EN38" s="900">
        <f t="shared" si="14"/>
        <v>447.88117156719733</v>
      </c>
      <c r="EO38" s="900">
        <f t="shared" si="14"/>
        <v>432.65536275798706</v>
      </c>
      <c r="EP38" s="900">
        <f t="shared" si="14"/>
        <v>418.69132244476896</v>
      </c>
      <c r="EQ38" s="900">
        <f t="shared" si="14"/>
        <v>405.86041941536865</v>
      </c>
      <c r="ER38" s="900">
        <f t="shared" si="14"/>
        <v>394.05382474684507</v>
      </c>
      <c r="ES38" s="900">
        <f t="shared" si="14"/>
        <v>383.17879406238904</v>
      </c>
    </row>
    <row r="39" spans="1:149" s="90" customFormat="1" x14ac:dyDescent="0.3">
      <c r="A39" s="29"/>
      <c r="DU39" s="900"/>
      <c r="DV39" s="900"/>
      <c r="DW39" s="900"/>
      <c r="DX39" s="900"/>
      <c r="DY39" s="916"/>
      <c r="DZ39" s="900"/>
      <c r="EA39" s="900"/>
      <c r="EB39" s="900"/>
      <c r="EC39" s="900"/>
      <c r="ED39" s="916"/>
      <c r="EE39" s="900"/>
      <c r="EF39" s="900"/>
      <c r="EG39" s="900"/>
      <c r="EH39" s="900"/>
      <c r="EI39" s="916"/>
      <c r="EJ39" s="900"/>
      <c r="EK39" s="900"/>
      <c r="EL39" s="900"/>
      <c r="EM39" s="900"/>
      <c r="EN39" s="900"/>
      <c r="EO39" s="900"/>
      <c r="EP39" s="900"/>
      <c r="EQ39" s="900"/>
      <c r="ER39" s="900"/>
      <c r="ES39" s="900"/>
    </row>
    <row r="40" spans="1:149" s="90" customFormat="1" x14ac:dyDescent="0.3">
      <c r="A40" s="64" t="s">
        <v>3972</v>
      </c>
      <c r="DU40" s="900">
        <f>DU34+DU38</f>
        <v>663.72323804425878</v>
      </c>
      <c r="DV40" s="900">
        <f>DV34+DV38</f>
        <v>655.51575104811968</v>
      </c>
      <c r="DW40" s="900">
        <f>DW34+DW38</f>
        <v>644.15014829840675</v>
      </c>
      <c r="DX40" s="900">
        <f>DX34+DX38</f>
        <v>631.61086260921456</v>
      </c>
      <c r="DY40" s="916">
        <f t="shared" si="1"/>
        <v>2595</v>
      </c>
      <c r="DZ40" s="900">
        <f>DZ34+DZ38</f>
        <v>655.80306130360123</v>
      </c>
      <c r="EA40" s="900">
        <f>EA34+EA38</f>
        <v>653.29350262346895</v>
      </c>
      <c r="EB40" s="900">
        <f>EB34+EB38</f>
        <v>647.61524638252513</v>
      </c>
      <c r="EC40" s="900">
        <f>EC34+EC38</f>
        <v>643.28818969040469</v>
      </c>
      <c r="ED40" s="916">
        <f t="shared" si="3"/>
        <v>2600</v>
      </c>
      <c r="EE40" s="900">
        <f>EE34+EE38</f>
        <v>669.10029780951731</v>
      </c>
      <c r="EF40" s="900">
        <f>EF34+EF38</f>
        <v>638.4231793697229</v>
      </c>
      <c r="EG40" s="900">
        <f>EG34+EG38</f>
        <v>633.11678586105495</v>
      </c>
      <c r="EH40" s="900">
        <f>EH34+EH38</f>
        <v>624.22211379417831</v>
      </c>
      <c r="EI40" s="916">
        <f t="shared" si="5"/>
        <v>2564.8623768344733</v>
      </c>
      <c r="EJ40" s="900">
        <f t="shared" ref="EJ40:ES40" si="15">EJ34+EJ38</f>
        <v>2699.995375172427</v>
      </c>
      <c r="EK40" s="900">
        <f t="shared" si="15"/>
        <v>2857.0372097346599</v>
      </c>
      <c r="EL40" s="900">
        <f t="shared" si="15"/>
        <v>2914.0424178652265</v>
      </c>
      <c r="EM40" s="900">
        <f t="shared" si="15"/>
        <v>2871.5480475079953</v>
      </c>
      <c r="EN40" s="900">
        <f t="shared" si="15"/>
        <v>2802.139988736415</v>
      </c>
      <c r="EO40" s="900">
        <f t="shared" si="15"/>
        <v>2764.788828432037</v>
      </c>
      <c r="EP40" s="900">
        <f t="shared" si="15"/>
        <v>2743.4416301357614</v>
      </c>
      <c r="EQ40" s="900">
        <f t="shared" si="15"/>
        <v>2759.5476469792247</v>
      </c>
      <c r="ER40" s="900">
        <f t="shared" si="15"/>
        <v>2872.8586900639684</v>
      </c>
      <c r="ES40" s="900">
        <f t="shared" si="15"/>
        <v>3077.0004439685499</v>
      </c>
    </row>
    <row r="41" spans="1:149" s="90" customFormat="1" x14ac:dyDescent="0.3">
      <c r="A41" s="64"/>
      <c r="DU41" s="900"/>
      <c r="DV41" s="900"/>
      <c r="DW41" s="900"/>
      <c r="DX41" s="900"/>
      <c r="DY41" s="916"/>
      <c r="DZ41" s="900"/>
      <c r="EA41" s="900"/>
      <c r="EB41" s="900"/>
      <c r="EC41" s="900"/>
      <c r="ED41" s="916"/>
      <c r="EE41" s="900"/>
      <c r="EF41" s="900"/>
      <c r="EG41" s="900"/>
      <c r="EH41" s="900"/>
      <c r="EI41" s="916"/>
      <c r="EJ41" s="900"/>
      <c r="EK41" s="900"/>
      <c r="EL41" s="900"/>
      <c r="EM41" s="900"/>
      <c r="EN41" s="900"/>
      <c r="EO41" s="900"/>
      <c r="EP41" s="900"/>
      <c r="EQ41" s="900"/>
      <c r="ER41" s="900"/>
      <c r="ES41" s="900"/>
    </row>
    <row r="42" spans="1:149" x14ac:dyDescent="0.3">
      <c r="A42" s="67" t="s">
        <v>3973</v>
      </c>
      <c r="DU42" s="885">
        <f t="shared" ref="DU42:DX44" si="16">DU257</f>
        <v>0</v>
      </c>
      <c r="DV42" s="885">
        <f t="shared" si="16"/>
        <v>0</v>
      </c>
      <c r="DW42" s="885">
        <f t="shared" si="16"/>
        <v>0</v>
      </c>
      <c r="DX42" s="885">
        <f t="shared" si="16"/>
        <v>0</v>
      </c>
      <c r="DY42" s="916">
        <f t="shared" si="1"/>
        <v>0</v>
      </c>
      <c r="DZ42" s="885">
        <f t="shared" ref="DZ42:EC44" si="17">DZ257</f>
        <v>4.5473023255813955E-2</v>
      </c>
      <c r="EA42" s="885">
        <f t="shared" si="17"/>
        <v>0.13164404651162789</v>
      </c>
      <c r="EB42" s="885">
        <f t="shared" si="17"/>
        <v>0.22024349999999998</v>
      </c>
      <c r="EC42" s="885">
        <f t="shared" si="17"/>
        <v>0.59497786046511625</v>
      </c>
      <c r="ED42" s="916">
        <f t="shared" si="3"/>
        <v>0.99233843023255808</v>
      </c>
      <c r="EE42" s="885">
        <f t="shared" ref="EE42:EH44" si="18">EE257</f>
        <v>1.1660159999999999</v>
      </c>
      <c r="EF42" s="885">
        <f t="shared" si="18"/>
        <v>2.0702794500000001</v>
      </c>
      <c r="EG42" s="885">
        <f t="shared" si="18"/>
        <v>3.6883516635000002</v>
      </c>
      <c r="EH42" s="885">
        <f t="shared" si="18"/>
        <v>5.9621052340980008</v>
      </c>
      <c r="EI42" s="916">
        <f t="shared" si="5"/>
        <v>12.886752347598001</v>
      </c>
      <c r="EJ42" s="885">
        <f>EJ257</f>
        <v>72.028199219191336</v>
      </c>
      <c r="EK42" s="885">
        <f t="shared" ref="EK42:ES42" si="19">EK257</f>
        <v>212.35062389417229</v>
      </c>
      <c r="EL42" s="885">
        <f t="shared" si="19"/>
        <v>470.41591503115842</v>
      </c>
      <c r="EM42" s="885">
        <f t="shared" si="19"/>
        <v>864.00398388894109</v>
      </c>
      <c r="EN42" s="885">
        <f t="shared" si="19"/>
        <v>1353.7090428143329</v>
      </c>
      <c r="EO42" s="885">
        <f t="shared" si="19"/>
        <v>1851.9931495135454</v>
      </c>
      <c r="EP42" s="885">
        <f t="shared" si="19"/>
        <v>2301.9952024097834</v>
      </c>
      <c r="EQ42" s="885">
        <f t="shared" si="19"/>
        <v>2674.4790509930385</v>
      </c>
      <c r="ER42" s="885">
        <f t="shared" si="19"/>
        <v>2948.0184821159019</v>
      </c>
      <c r="ES42" s="885">
        <f t="shared" si="19"/>
        <v>3124.9045532581404</v>
      </c>
    </row>
    <row r="43" spans="1:149" x14ac:dyDescent="0.3">
      <c r="A43" s="67" t="s">
        <v>3974</v>
      </c>
      <c r="DU43" s="885">
        <f t="shared" si="16"/>
        <v>0</v>
      </c>
      <c r="DV43" s="885">
        <f t="shared" si="16"/>
        <v>0</v>
      </c>
      <c r="DW43" s="885">
        <f t="shared" si="16"/>
        <v>0</v>
      </c>
      <c r="DX43" s="885">
        <f t="shared" si="16"/>
        <v>0</v>
      </c>
      <c r="DY43" s="916">
        <f t="shared" si="1"/>
        <v>0</v>
      </c>
      <c r="DZ43" s="885">
        <f t="shared" si="17"/>
        <v>1.2480020137648712E-2</v>
      </c>
      <c r="EA43" s="885">
        <f t="shared" si="17"/>
        <v>3.4577062695084974E-2</v>
      </c>
      <c r="EB43" s="885">
        <f t="shared" si="17"/>
        <v>5.4760721954888493E-2</v>
      </c>
      <c r="EC43" s="885">
        <f t="shared" si="17"/>
        <v>0.13674417668224778</v>
      </c>
      <c r="ED43" s="916">
        <f t="shared" si="3"/>
        <v>0.23856198146986995</v>
      </c>
      <c r="EE43" s="885">
        <f t="shared" si="18"/>
        <v>0.3027027025410971</v>
      </c>
      <c r="EF43" s="885">
        <f t="shared" si="18"/>
        <v>0.49888962116525748</v>
      </c>
      <c r="EG43" s="885">
        <f t="shared" si="18"/>
        <v>0.86120758398386288</v>
      </c>
      <c r="EH43" s="885">
        <f t="shared" si="18"/>
        <v>1.3480122565803716</v>
      </c>
      <c r="EI43" s="916">
        <f t="shared" si="5"/>
        <v>3.0108121642705887</v>
      </c>
      <c r="EJ43" s="885">
        <f t="shared" ref="EJ43:ES43" si="20">EJ258</f>
        <v>17.581713678065999</v>
      </c>
      <c r="EK43" s="885">
        <f t="shared" si="20"/>
        <v>49.141698525722518</v>
      </c>
      <c r="EL43" s="885">
        <f t="shared" si="20"/>
        <v>101.83898636226316</v>
      </c>
      <c r="EM43" s="885">
        <f t="shared" si="20"/>
        <v>173.72449092044906</v>
      </c>
      <c r="EN43" s="885">
        <f t="shared" si="20"/>
        <v>248.40612795044413</v>
      </c>
      <c r="EO43" s="885">
        <f t="shared" si="20"/>
        <v>302.0804241771794</v>
      </c>
      <c r="EP43" s="885">
        <f t="shared" si="20"/>
        <v>326.73169291917748</v>
      </c>
      <c r="EQ43" s="885">
        <f t="shared" si="20"/>
        <v>324.14976114641183</v>
      </c>
      <c r="ER43" s="885">
        <f t="shared" si="20"/>
        <v>297.49480384024838</v>
      </c>
      <c r="ES43" s="885">
        <f t="shared" si="20"/>
        <v>255.08209383082445</v>
      </c>
    </row>
    <row r="44" spans="1:149" x14ac:dyDescent="0.3">
      <c r="A44" s="67" t="s">
        <v>3975</v>
      </c>
      <c r="DU44" s="901">
        <f t="shared" si="16"/>
        <v>0</v>
      </c>
      <c r="DV44" s="901">
        <f t="shared" si="16"/>
        <v>0</v>
      </c>
      <c r="DW44" s="901">
        <f t="shared" si="16"/>
        <v>0</v>
      </c>
      <c r="DX44" s="901">
        <f t="shared" si="16"/>
        <v>0</v>
      </c>
      <c r="DY44" s="941">
        <f t="shared" si="1"/>
        <v>0</v>
      </c>
      <c r="DZ44" s="901">
        <f t="shared" si="17"/>
        <v>0</v>
      </c>
      <c r="EA44" s="901">
        <f t="shared" si="17"/>
        <v>0</v>
      </c>
      <c r="EB44" s="901">
        <f t="shared" si="17"/>
        <v>0</v>
      </c>
      <c r="EC44" s="901">
        <f t="shared" si="17"/>
        <v>0</v>
      </c>
      <c r="ED44" s="941">
        <f t="shared" si="3"/>
        <v>0</v>
      </c>
      <c r="EE44" s="901">
        <f t="shared" si="18"/>
        <v>0</v>
      </c>
      <c r="EF44" s="901">
        <f t="shared" si="18"/>
        <v>0</v>
      </c>
      <c r="EG44" s="901">
        <f t="shared" si="18"/>
        <v>0</v>
      </c>
      <c r="EH44" s="901">
        <f t="shared" si="18"/>
        <v>0</v>
      </c>
      <c r="EI44" s="941">
        <f t="shared" si="5"/>
        <v>0</v>
      </c>
      <c r="EJ44" s="901">
        <f t="shared" ref="EJ44:ES44" si="21">EJ259</f>
        <v>0</v>
      </c>
      <c r="EK44" s="901">
        <f t="shared" si="21"/>
        <v>0</v>
      </c>
      <c r="EL44" s="901">
        <f t="shared" si="21"/>
        <v>0</v>
      </c>
      <c r="EM44" s="901">
        <f t="shared" si="21"/>
        <v>0</v>
      </c>
      <c r="EN44" s="901">
        <f t="shared" si="21"/>
        <v>0</v>
      </c>
      <c r="EO44" s="901">
        <f t="shared" si="21"/>
        <v>0</v>
      </c>
      <c r="EP44" s="901">
        <f t="shared" si="21"/>
        <v>0</v>
      </c>
      <c r="EQ44" s="901">
        <f t="shared" si="21"/>
        <v>0</v>
      </c>
      <c r="ER44" s="901">
        <f t="shared" si="21"/>
        <v>0</v>
      </c>
      <c r="ES44" s="901">
        <f t="shared" si="21"/>
        <v>0</v>
      </c>
    </row>
    <row r="45" spans="1:149" s="90" customFormat="1" x14ac:dyDescent="0.3">
      <c r="A45" s="64" t="s">
        <v>3976</v>
      </c>
      <c r="DU45" s="900">
        <f>SUM(DU42:DU44)</f>
        <v>0</v>
      </c>
      <c r="DV45" s="900">
        <f>SUM(DV42:DV44)</f>
        <v>0</v>
      </c>
      <c r="DW45" s="900">
        <f>SUM(DW42:DW44)</f>
        <v>0</v>
      </c>
      <c r="DX45" s="900">
        <f>SUM(DX42:DX44)</f>
        <v>0</v>
      </c>
      <c r="DY45" s="916">
        <f t="shared" si="1"/>
        <v>0</v>
      </c>
      <c r="DZ45" s="900">
        <f>SUM(DZ42:DZ44)</f>
        <v>5.7953043393462668E-2</v>
      </c>
      <c r="EA45" s="900">
        <f>SUM(EA42:EA44)</f>
        <v>0.16622110920671287</v>
      </c>
      <c r="EB45" s="900">
        <f>SUM(EB42:EB44)</f>
        <v>0.27500422195488849</v>
      </c>
      <c r="EC45" s="900">
        <f>SUM(EC42:EC44)</f>
        <v>0.73172203714736406</v>
      </c>
      <c r="ED45" s="916">
        <f t="shared" si="3"/>
        <v>1.230900411702428</v>
      </c>
      <c r="EE45" s="900">
        <f>SUM(EE42:EE44)</f>
        <v>1.468718702541097</v>
      </c>
      <c r="EF45" s="900">
        <f>SUM(EF42:EF44)</f>
        <v>2.5691690711652577</v>
      </c>
      <c r="EG45" s="900">
        <f>SUM(EG42:EG44)</f>
        <v>4.5495592474838631</v>
      </c>
      <c r="EH45" s="900">
        <f>SUM(EH42:EH44)</f>
        <v>7.3101174906783726</v>
      </c>
      <c r="EI45" s="916">
        <f t="shared" si="5"/>
        <v>15.897564511868591</v>
      </c>
      <c r="EJ45" s="900">
        <f t="shared" ref="EJ45:ES45" si="22">SUM(EJ42:EJ44)</f>
        <v>89.609912897257331</v>
      </c>
      <c r="EK45" s="900">
        <f t="shared" si="22"/>
        <v>261.49232241989478</v>
      </c>
      <c r="EL45" s="900">
        <f t="shared" si="22"/>
        <v>572.25490139342162</v>
      </c>
      <c r="EM45" s="900">
        <f t="shared" si="22"/>
        <v>1037.7284748093903</v>
      </c>
      <c r="EN45" s="900">
        <f t="shared" si="22"/>
        <v>1602.1151707647771</v>
      </c>
      <c r="EO45" s="900">
        <f t="shared" si="22"/>
        <v>2154.073573690725</v>
      </c>
      <c r="EP45" s="900">
        <f t="shared" si="22"/>
        <v>2628.7268953289608</v>
      </c>
      <c r="EQ45" s="900">
        <f t="shared" si="22"/>
        <v>2998.6288121394505</v>
      </c>
      <c r="ER45" s="900">
        <f t="shared" si="22"/>
        <v>3245.5132859561504</v>
      </c>
      <c r="ES45" s="900">
        <f t="shared" si="22"/>
        <v>3379.9866470889647</v>
      </c>
    </row>
    <row r="46" spans="1:149" s="90" customFormat="1" x14ac:dyDescent="0.3">
      <c r="A46" s="64"/>
      <c r="DU46" s="900"/>
      <c r="DV46" s="900"/>
      <c r="DW46" s="900"/>
      <c r="DX46" s="900"/>
      <c r="DY46" s="916"/>
      <c r="DZ46" s="900"/>
      <c r="EA46" s="900"/>
      <c r="EB46" s="900"/>
      <c r="EC46" s="900"/>
      <c r="ED46" s="916"/>
      <c r="EE46" s="900"/>
      <c r="EF46" s="900"/>
      <c r="EG46" s="900"/>
      <c r="EH46" s="900"/>
      <c r="EI46" s="916"/>
      <c r="EJ46" s="900"/>
      <c r="EK46" s="900"/>
      <c r="EL46" s="900"/>
      <c r="EM46" s="900"/>
      <c r="EN46" s="900"/>
      <c r="EO46" s="900"/>
      <c r="EP46" s="900"/>
      <c r="EQ46" s="900"/>
      <c r="ER46" s="900"/>
      <c r="ES46" s="900"/>
    </row>
    <row r="47" spans="1:149" x14ac:dyDescent="0.3">
      <c r="A47" s="67" t="s">
        <v>1905</v>
      </c>
      <c r="DU47" s="885">
        <f>DU276</f>
        <v>186.71995500000003</v>
      </c>
      <c r="DV47" s="885">
        <f>DV276</f>
        <v>186.11376000000001</v>
      </c>
      <c r="DW47" s="885">
        <f>DW276</f>
        <v>183.25274999999999</v>
      </c>
      <c r="DX47" s="885">
        <f>DX276</f>
        <v>179.26423499999999</v>
      </c>
      <c r="DY47" s="916">
        <f t="shared" si="1"/>
        <v>735.35070000000007</v>
      </c>
      <c r="DZ47" s="885">
        <f t="shared" ref="DZ47:EC49" si="23">DZ276</f>
        <v>176.59522499999997</v>
      </c>
      <c r="EA47" s="885">
        <f t="shared" si="23"/>
        <v>177.36390000000003</v>
      </c>
      <c r="EB47" s="885">
        <f t="shared" si="23"/>
        <v>175.93367999999998</v>
      </c>
      <c r="EC47" s="885">
        <f t="shared" si="23"/>
        <v>174.48795000000001</v>
      </c>
      <c r="ED47" s="916">
        <f t="shared" si="3"/>
        <v>704.38075499999991</v>
      </c>
      <c r="EE47" s="885">
        <f t="shared" ref="EE47:EH49" si="24">EE276</f>
        <v>173.52521999999999</v>
      </c>
      <c r="EF47" s="885">
        <f t="shared" si="24"/>
        <v>176.33279999999999</v>
      </c>
      <c r="EG47" s="885">
        <f t="shared" si="24"/>
        <v>172.18841266722498</v>
      </c>
      <c r="EH47" s="885">
        <f t="shared" si="24"/>
        <v>167.95600451098724</v>
      </c>
      <c r="EI47" s="916">
        <f t="shared" si="5"/>
        <v>690.00243717821218</v>
      </c>
      <c r="EJ47" s="885">
        <f>EJ276</f>
        <v>633.49329979879462</v>
      </c>
      <c r="EK47" s="885">
        <f t="shared" ref="EK47:ES47" si="25">EK276</f>
        <v>578.98477977617154</v>
      </c>
      <c r="EL47" s="885">
        <f t="shared" si="25"/>
        <v>517.948630186012</v>
      </c>
      <c r="EM47" s="885">
        <f t="shared" si="25"/>
        <v>452.21280560353432</v>
      </c>
      <c r="EN47" s="885">
        <f t="shared" si="25"/>
        <v>385.83555262748422</v>
      </c>
      <c r="EO47" s="885">
        <f t="shared" si="25"/>
        <v>324.38850147684082</v>
      </c>
      <c r="EP47" s="885">
        <f t="shared" si="25"/>
        <v>271.70626245417043</v>
      </c>
      <c r="EQ47" s="885">
        <f t="shared" si="25"/>
        <v>227.92311879413168</v>
      </c>
      <c r="ER47" s="885">
        <f t="shared" si="25"/>
        <v>191.70951843036693</v>
      </c>
      <c r="ES47" s="885">
        <f t="shared" si="25"/>
        <v>161.87447886288487</v>
      </c>
    </row>
    <row r="48" spans="1:149" x14ac:dyDescent="0.3">
      <c r="A48" s="67" t="s">
        <v>1907</v>
      </c>
      <c r="DU48" s="885">
        <f>DU277</f>
        <v>244.6831838011359</v>
      </c>
      <c r="DV48" s="885">
        <f t="shared" ref="DV48:DX49" si="26">DV277</f>
        <v>239.94336982467695</v>
      </c>
      <c r="DW48" s="885">
        <f t="shared" si="26"/>
        <v>232.9502016626883</v>
      </c>
      <c r="DX48" s="885">
        <f t="shared" si="26"/>
        <v>226.65635031689848</v>
      </c>
      <c r="DY48" s="916">
        <f t="shared" si="1"/>
        <v>944.2331056053996</v>
      </c>
      <c r="DZ48" s="885">
        <f t="shared" si="23"/>
        <v>200.07454111449505</v>
      </c>
      <c r="EA48" s="885">
        <f t="shared" si="23"/>
        <v>197.20734216807969</v>
      </c>
      <c r="EB48" s="885">
        <f t="shared" si="23"/>
        <v>194.54993826652401</v>
      </c>
      <c r="EC48" s="885">
        <f t="shared" si="23"/>
        <v>190.91349082228993</v>
      </c>
      <c r="ED48" s="916">
        <f t="shared" si="3"/>
        <v>782.74531237138876</v>
      </c>
      <c r="EE48" s="885">
        <f t="shared" si="24"/>
        <v>140.35288501111202</v>
      </c>
      <c r="EF48" s="885">
        <f t="shared" si="24"/>
        <v>137.62554942793648</v>
      </c>
      <c r="EG48" s="885">
        <f t="shared" si="24"/>
        <v>133.65774962037327</v>
      </c>
      <c r="EH48" s="885">
        <f t="shared" si="24"/>
        <v>128.99557861880885</v>
      </c>
      <c r="EI48" s="916">
        <f t="shared" si="5"/>
        <v>540.63176267823064</v>
      </c>
      <c r="EJ48" s="885">
        <f t="shared" ref="EJ48:ES48" si="27">EJ277</f>
        <v>471.07600461311279</v>
      </c>
      <c r="EK48" s="885">
        <f t="shared" si="27"/>
        <v>408.61483393451584</v>
      </c>
      <c r="EL48" s="885">
        <f t="shared" si="27"/>
        <v>346.92188287122281</v>
      </c>
      <c r="EM48" s="885">
        <f t="shared" si="27"/>
        <v>287.4656034111278</v>
      </c>
      <c r="EN48" s="885">
        <f t="shared" si="27"/>
        <v>232.77873183853728</v>
      </c>
      <c r="EO48" s="885">
        <f t="shared" si="27"/>
        <v>185.73961062084797</v>
      </c>
      <c r="EP48" s="885">
        <f t="shared" si="27"/>
        <v>147.65112221827462</v>
      </c>
      <c r="EQ48" s="885">
        <f t="shared" si="27"/>
        <v>117.55023647628163</v>
      </c>
      <c r="ER48" s="885">
        <f t="shared" si="27"/>
        <v>93.837586427434985</v>
      </c>
      <c r="ES48" s="885">
        <f t="shared" si="27"/>
        <v>75.198566249280901</v>
      </c>
    </row>
    <row r="49" spans="1:149" x14ac:dyDescent="0.3">
      <c r="A49" s="67" t="s">
        <v>1908</v>
      </c>
      <c r="DU49" s="901">
        <f>DU278</f>
        <v>84.828207323864149</v>
      </c>
      <c r="DV49" s="901">
        <f t="shared" si="26"/>
        <v>76.497799616573047</v>
      </c>
      <c r="DW49" s="901">
        <f t="shared" si="26"/>
        <v>69.949845095324235</v>
      </c>
      <c r="DX49" s="901">
        <f t="shared" si="26"/>
        <v>70.140342358839007</v>
      </c>
      <c r="DY49" s="941">
        <f t="shared" si="1"/>
        <v>301.41619439460044</v>
      </c>
      <c r="DZ49" s="901">
        <f t="shared" si="23"/>
        <v>37.804548499306236</v>
      </c>
      <c r="EA49" s="901">
        <f t="shared" si="23"/>
        <v>26.108411564145854</v>
      </c>
      <c r="EB49" s="901">
        <f t="shared" si="23"/>
        <v>19.506931682594313</v>
      </c>
      <c r="EC49" s="901">
        <f t="shared" si="23"/>
        <v>24.847823220862438</v>
      </c>
      <c r="ED49" s="941">
        <f t="shared" si="3"/>
        <v>108.26771496690884</v>
      </c>
      <c r="EE49" s="901">
        <f t="shared" si="24"/>
        <v>28.940043489585719</v>
      </c>
      <c r="EF49" s="901">
        <f t="shared" si="24"/>
        <v>7.2869518566062084</v>
      </c>
      <c r="EG49" s="901">
        <f t="shared" si="24"/>
        <v>7.2869518566062084</v>
      </c>
      <c r="EH49" s="901">
        <f t="shared" si="24"/>
        <v>7.2869518566062084</v>
      </c>
      <c r="EI49" s="941">
        <f t="shared" si="5"/>
        <v>50.800899059404344</v>
      </c>
      <c r="EJ49" s="901">
        <f t="shared" ref="EJ49:ES49" si="28">EJ278</f>
        <v>50.800899059404344</v>
      </c>
      <c r="EK49" s="901">
        <f t="shared" si="28"/>
        <v>50.800899059404344</v>
      </c>
      <c r="EL49" s="901">
        <f t="shared" si="28"/>
        <v>50.800899059404344</v>
      </c>
      <c r="EM49" s="901">
        <f t="shared" si="28"/>
        <v>50.800899059404344</v>
      </c>
      <c r="EN49" s="901">
        <f t="shared" si="28"/>
        <v>50.800899059404344</v>
      </c>
      <c r="EO49" s="901">
        <f t="shared" si="28"/>
        <v>50.800899059404344</v>
      </c>
      <c r="EP49" s="901">
        <f t="shared" si="28"/>
        <v>50.800899059404344</v>
      </c>
      <c r="EQ49" s="901">
        <f t="shared" si="28"/>
        <v>50.800899059404344</v>
      </c>
      <c r="ER49" s="901">
        <f t="shared" si="28"/>
        <v>50.800899059404344</v>
      </c>
      <c r="ES49" s="901">
        <f t="shared" si="28"/>
        <v>50.800899059404344</v>
      </c>
    </row>
    <row r="50" spans="1:149" s="90" customFormat="1" x14ac:dyDescent="0.3">
      <c r="A50" s="64" t="s">
        <v>1909</v>
      </c>
      <c r="DU50" s="900">
        <f>SUM(DU47:DU49)</f>
        <v>516.23134612500007</v>
      </c>
      <c r="DV50" s="900">
        <f>SUM(DV47:DV49)</f>
        <v>502.55492944125001</v>
      </c>
      <c r="DW50" s="900">
        <f>SUM(DW47:DW49)</f>
        <v>486.15279675801253</v>
      </c>
      <c r="DX50" s="900">
        <f>SUM(DX47:DX49)</f>
        <v>476.0609276757375</v>
      </c>
      <c r="DY50" s="916">
        <f t="shared" si="1"/>
        <v>1981.0000000000002</v>
      </c>
      <c r="DZ50" s="900">
        <f>SUM(DZ47:DZ49)</f>
        <v>414.47431461380125</v>
      </c>
      <c r="EA50" s="900">
        <f>SUM(EA47:EA49)</f>
        <v>400.67965373222557</v>
      </c>
      <c r="EB50" s="900">
        <f>SUM(EB47:EB49)</f>
        <v>389.9905499491183</v>
      </c>
      <c r="EC50" s="900">
        <f>SUM(EC47:EC49)</f>
        <v>390.24926404315238</v>
      </c>
      <c r="ED50" s="916">
        <f t="shared" si="3"/>
        <v>1595.3937823382976</v>
      </c>
      <c r="EE50" s="900">
        <f>SUM(EE47:EE49)</f>
        <v>342.8181485006977</v>
      </c>
      <c r="EF50" s="900">
        <f>SUM(EF47:EF49)</f>
        <v>321.24530128454268</v>
      </c>
      <c r="EG50" s="900">
        <f>SUM(EG47:EG49)</f>
        <v>313.13311414420446</v>
      </c>
      <c r="EH50" s="900">
        <f>SUM(EH47:EH49)</f>
        <v>304.23853498640227</v>
      </c>
      <c r="EI50" s="916">
        <f t="shared" si="5"/>
        <v>1281.4350989158472</v>
      </c>
      <c r="EJ50" s="900">
        <f t="shared" ref="EJ50:ES50" si="29">SUM(EJ47:EJ49)</f>
        <v>1155.3702034713119</v>
      </c>
      <c r="EK50" s="900">
        <f t="shared" si="29"/>
        <v>1038.4005127700918</v>
      </c>
      <c r="EL50" s="900">
        <f t="shared" si="29"/>
        <v>915.6714121166392</v>
      </c>
      <c r="EM50" s="900">
        <f t="shared" si="29"/>
        <v>790.47930807406647</v>
      </c>
      <c r="EN50" s="900">
        <f t="shared" si="29"/>
        <v>669.41518352542585</v>
      </c>
      <c r="EO50" s="900">
        <f t="shared" si="29"/>
        <v>560.9290111570931</v>
      </c>
      <c r="EP50" s="900">
        <f t="shared" si="29"/>
        <v>470.15828373184939</v>
      </c>
      <c r="EQ50" s="900">
        <f t="shared" si="29"/>
        <v>396.27425432981767</v>
      </c>
      <c r="ER50" s="900">
        <f t="shared" si="29"/>
        <v>336.34800391720626</v>
      </c>
      <c r="ES50" s="900">
        <f t="shared" si="29"/>
        <v>287.87394417157009</v>
      </c>
    </row>
    <row r="51" spans="1:149" s="90" customFormat="1" x14ac:dyDescent="0.3">
      <c r="A51" s="64"/>
      <c r="DU51" s="900"/>
      <c r="DV51" s="900"/>
      <c r="DW51" s="900"/>
      <c r="DX51" s="900"/>
      <c r="DY51" s="916"/>
      <c r="DZ51" s="900"/>
      <c r="EA51" s="900"/>
      <c r="EB51" s="900"/>
      <c r="EC51" s="900"/>
      <c r="ED51" s="916"/>
      <c r="EE51" s="900"/>
      <c r="EF51" s="900"/>
      <c r="EG51" s="900"/>
      <c r="EH51" s="900"/>
      <c r="EI51" s="916"/>
      <c r="EJ51" s="900"/>
      <c r="EK51" s="900"/>
      <c r="EL51" s="900"/>
      <c r="EM51" s="900"/>
      <c r="EN51" s="900"/>
      <c r="EO51" s="900"/>
      <c r="EP51" s="900"/>
      <c r="EQ51" s="900"/>
      <c r="ER51" s="900"/>
      <c r="ES51" s="900"/>
    </row>
    <row r="52" spans="1:149" x14ac:dyDescent="0.3">
      <c r="A52" s="30" t="s">
        <v>372</v>
      </c>
      <c r="DU52" s="885">
        <f>DU305</f>
        <v>0</v>
      </c>
      <c r="DV52" s="885">
        <f>DV305</f>
        <v>0</v>
      </c>
      <c r="DW52" s="885">
        <f>DW305</f>
        <v>0</v>
      </c>
      <c r="DX52" s="885">
        <f>DX305</f>
        <v>0</v>
      </c>
      <c r="DY52" s="916">
        <f t="shared" si="1"/>
        <v>0</v>
      </c>
      <c r="DZ52" s="885">
        <f t="shared" ref="DZ52:EC54" si="30">DZ305</f>
        <v>0</v>
      </c>
      <c r="EA52" s="885">
        <f t="shared" si="30"/>
        <v>0</v>
      </c>
      <c r="EB52" s="885">
        <f t="shared" si="30"/>
        <v>0</v>
      </c>
      <c r="EC52" s="885">
        <f t="shared" si="30"/>
        <v>0</v>
      </c>
      <c r="ED52" s="916">
        <f t="shared" si="3"/>
        <v>0</v>
      </c>
      <c r="EE52" s="885">
        <f t="shared" ref="EE52:EH54" si="31">EE305</f>
        <v>0</v>
      </c>
      <c r="EF52" s="885">
        <f t="shared" si="31"/>
        <v>0</v>
      </c>
      <c r="EG52" s="885">
        <f t="shared" si="31"/>
        <v>8.6799349511718873E-2</v>
      </c>
      <c r="EH52" s="885">
        <f t="shared" si="31"/>
        <v>0.29226944397164106</v>
      </c>
      <c r="EI52" s="916">
        <f t="shared" si="5"/>
        <v>0.37906879348335992</v>
      </c>
      <c r="EJ52" s="885">
        <f>EJ305</f>
        <v>5.432831175604659</v>
      </c>
      <c r="EK52" s="885">
        <f t="shared" ref="EK52:ES52" si="32">EK305</f>
        <v>16.848149727925893</v>
      </c>
      <c r="EL52" s="885">
        <f t="shared" si="32"/>
        <v>36.712342789836605</v>
      </c>
      <c r="EM52" s="885">
        <f t="shared" si="32"/>
        <v>65.405819586926441</v>
      </c>
      <c r="EN52" s="885">
        <f t="shared" si="32"/>
        <v>100.56017053188663</v>
      </c>
      <c r="EO52" s="885">
        <f t="shared" si="32"/>
        <v>136.9035671331051</v>
      </c>
      <c r="EP52" s="885">
        <f t="shared" si="32"/>
        <v>169.87678132629429</v>
      </c>
      <c r="EQ52" s="885">
        <f t="shared" si="32"/>
        <v>198.70384460663976</v>
      </c>
      <c r="ER52" s="885">
        <f t="shared" si="32"/>
        <v>224.28528821812804</v>
      </c>
      <c r="ES52" s="885">
        <f t="shared" si="32"/>
        <v>247.3387156735576</v>
      </c>
    </row>
    <row r="53" spans="1:149" x14ac:dyDescent="0.3">
      <c r="A53" s="30" t="s">
        <v>418</v>
      </c>
      <c r="DU53" s="885">
        <f>DU306</f>
        <v>37.077075000000008</v>
      </c>
      <c r="DV53" s="885">
        <f t="shared" ref="DV53:DX54" si="33">DV306</f>
        <v>37.000424999999993</v>
      </c>
      <c r="DW53" s="885">
        <f t="shared" si="33"/>
        <v>35.449739999999998</v>
      </c>
      <c r="DX53" s="885">
        <f t="shared" si="33"/>
        <v>34.608600000000003</v>
      </c>
      <c r="DY53" s="916">
        <f t="shared" si="1"/>
        <v>144.13584</v>
      </c>
      <c r="DZ53" s="885">
        <f t="shared" si="30"/>
        <v>33.941805000000002</v>
      </c>
      <c r="EA53" s="885">
        <f t="shared" si="30"/>
        <v>32.434739999999998</v>
      </c>
      <c r="EB53" s="885">
        <f t="shared" si="30"/>
        <v>31.258980000000001</v>
      </c>
      <c r="EC53" s="885">
        <f t="shared" si="30"/>
        <v>30.646620000000002</v>
      </c>
      <c r="ED53" s="916">
        <f t="shared" si="3"/>
        <v>128.28214500000001</v>
      </c>
      <c r="EE53" s="885">
        <f t="shared" si="31"/>
        <v>29.484389999999998</v>
      </c>
      <c r="EF53" s="885">
        <f t="shared" si="31"/>
        <v>27.927</v>
      </c>
      <c r="EG53" s="885">
        <f t="shared" si="31"/>
        <v>27.106972056604455</v>
      </c>
      <c r="EH53" s="885">
        <f t="shared" si="31"/>
        <v>26.695288735034264</v>
      </c>
      <c r="EI53" s="916">
        <f t="shared" si="5"/>
        <v>111.21365079163871</v>
      </c>
      <c r="EJ53" s="885">
        <f>EJ306</f>
        <v>104.27184975992161</v>
      </c>
      <c r="EK53" s="885">
        <f t="shared" ref="EK53:ES53" si="34">EK306</f>
        <v>99.306132335007248</v>
      </c>
      <c r="EL53" s="885">
        <f t="shared" si="34"/>
        <v>93.067734414341004</v>
      </c>
      <c r="EM53" s="885">
        <f t="shared" si="34"/>
        <v>85.404972604940212</v>
      </c>
      <c r="EN53" s="885">
        <f t="shared" si="34"/>
        <v>76.889324935257179</v>
      </c>
      <c r="EO53" s="885">
        <f t="shared" si="34"/>
        <v>68.787130721311641</v>
      </c>
      <c r="EP53" s="885">
        <f t="shared" si="34"/>
        <v>62.133482209725507</v>
      </c>
      <c r="EQ53" s="885">
        <f t="shared" si="34"/>
        <v>57.007898955145883</v>
      </c>
      <c r="ER53" s="885">
        <f t="shared" si="34"/>
        <v>53.094144155327214</v>
      </c>
      <c r="ES53" s="885">
        <f t="shared" si="34"/>
        <v>50.14196792495413</v>
      </c>
    </row>
    <row r="54" spans="1:149" x14ac:dyDescent="0.3">
      <c r="A54" s="30" t="s">
        <v>3977</v>
      </c>
      <c r="DU54" s="901">
        <f>DU307</f>
        <v>642.96834083074111</v>
      </c>
      <c r="DV54" s="901">
        <f t="shared" si="33"/>
        <v>630.92889451063036</v>
      </c>
      <c r="DW54" s="901">
        <f t="shared" si="33"/>
        <v>598.2473149435807</v>
      </c>
      <c r="DX54" s="901">
        <f t="shared" si="33"/>
        <v>564.71960971504791</v>
      </c>
      <c r="DY54" s="941">
        <f t="shared" si="1"/>
        <v>2436.8641600000001</v>
      </c>
      <c r="DZ54" s="901">
        <f t="shared" si="30"/>
        <v>599.72286603920395</v>
      </c>
      <c r="EA54" s="901">
        <f t="shared" si="30"/>
        <v>573.42588253509871</v>
      </c>
      <c r="EB54" s="901">
        <f t="shared" si="30"/>
        <v>557.86021944640174</v>
      </c>
      <c r="EC54" s="901">
        <f t="shared" si="30"/>
        <v>541.08420422929555</v>
      </c>
      <c r="ED54" s="941">
        <f t="shared" si="3"/>
        <v>2272.09317225</v>
      </c>
      <c r="EE54" s="901">
        <f t="shared" si="31"/>
        <v>550.12844498724382</v>
      </c>
      <c r="EF54" s="901">
        <f t="shared" si="31"/>
        <v>542.83535027456912</v>
      </c>
      <c r="EG54" s="901">
        <f t="shared" si="31"/>
        <v>528.10006811804465</v>
      </c>
      <c r="EH54" s="901">
        <f t="shared" si="31"/>
        <v>512.21900244948904</v>
      </c>
      <c r="EI54" s="941">
        <f t="shared" si="5"/>
        <v>2133.2828658293465</v>
      </c>
      <c r="EJ54" s="901">
        <f>EJ307</f>
        <v>2013.61939232451</v>
      </c>
      <c r="EK54" s="901">
        <f t="shared" ref="EK54:ES54" si="35">EK307</f>
        <v>1910.7363684282932</v>
      </c>
      <c r="EL54" s="901">
        <f t="shared" si="35"/>
        <v>1822.6636884059685</v>
      </c>
      <c r="EM54" s="901">
        <f t="shared" si="35"/>
        <v>1747.7639119649336</v>
      </c>
      <c r="EN54" s="901">
        <f t="shared" si="35"/>
        <v>1684.6808550532035</v>
      </c>
      <c r="EO54" s="901">
        <f t="shared" si="35"/>
        <v>1632.2980957900866</v>
      </c>
      <c r="EP54" s="901">
        <f t="shared" si="35"/>
        <v>1589.7055945317022</v>
      </c>
      <c r="EQ54" s="901">
        <f t="shared" si="35"/>
        <v>1556.1730120931045</v>
      </c>
      <c r="ER54" s="901">
        <f t="shared" si="35"/>
        <v>1531.1286169316577</v>
      </c>
      <c r="ES54" s="901">
        <f t="shared" si="35"/>
        <v>1514.142918836739</v>
      </c>
    </row>
    <row r="55" spans="1:149" s="90" customFormat="1" x14ac:dyDescent="0.3">
      <c r="A55" s="29" t="s">
        <v>3978</v>
      </c>
      <c r="DU55" s="900">
        <f t="shared" ref="DU55:ES55" si="36">SUM(DU52:DU54)</f>
        <v>680.04541583074115</v>
      </c>
      <c r="DV55" s="900">
        <f t="shared" si="36"/>
        <v>667.92931951063031</v>
      </c>
      <c r="DW55" s="900">
        <f t="shared" si="36"/>
        <v>633.69705494358072</v>
      </c>
      <c r="DX55" s="900">
        <f t="shared" si="36"/>
        <v>599.32820971504793</v>
      </c>
      <c r="DY55" s="900">
        <f t="shared" si="36"/>
        <v>2581</v>
      </c>
      <c r="DZ55" s="900">
        <f t="shared" si="36"/>
        <v>633.66467103920399</v>
      </c>
      <c r="EA55" s="900">
        <f t="shared" si="36"/>
        <v>605.86062253509874</v>
      </c>
      <c r="EB55" s="900">
        <f t="shared" si="36"/>
        <v>589.11919944640169</v>
      </c>
      <c r="EC55" s="900">
        <f t="shared" si="36"/>
        <v>571.73082422929554</v>
      </c>
      <c r="ED55" s="900">
        <f t="shared" si="36"/>
        <v>2400.3753172500001</v>
      </c>
      <c r="EE55" s="900">
        <f t="shared" si="36"/>
        <v>579.61283498724379</v>
      </c>
      <c r="EF55" s="900">
        <f t="shared" si="36"/>
        <v>570.76235027456914</v>
      </c>
      <c r="EG55" s="900">
        <f t="shared" si="36"/>
        <v>555.29383952416083</v>
      </c>
      <c r="EH55" s="900">
        <f t="shared" si="36"/>
        <v>539.20656062849491</v>
      </c>
      <c r="EI55" s="900">
        <f t="shared" si="36"/>
        <v>2244.8755854144688</v>
      </c>
      <c r="EJ55" s="900">
        <f t="shared" si="36"/>
        <v>2123.3240732600361</v>
      </c>
      <c r="EK55" s="900">
        <f t="shared" si="36"/>
        <v>2026.8906504912263</v>
      </c>
      <c r="EL55" s="900">
        <f t="shared" si="36"/>
        <v>1952.4437656101461</v>
      </c>
      <c r="EM55" s="900">
        <f t="shared" si="36"/>
        <v>1898.5747041568002</v>
      </c>
      <c r="EN55" s="900">
        <f t="shared" si="36"/>
        <v>1862.1303505203473</v>
      </c>
      <c r="EO55" s="900">
        <f t="shared" si="36"/>
        <v>1837.9887936445034</v>
      </c>
      <c r="EP55" s="900">
        <f t="shared" si="36"/>
        <v>1821.7158580677219</v>
      </c>
      <c r="EQ55" s="900">
        <f t="shared" si="36"/>
        <v>1811.8847556548901</v>
      </c>
      <c r="ER55" s="900">
        <f t="shared" si="36"/>
        <v>1808.508049305113</v>
      </c>
      <c r="ES55" s="900">
        <f t="shared" si="36"/>
        <v>1811.6236024352506</v>
      </c>
    </row>
    <row r="56" spans="1:149" s="90" customFormat="1" x14ac:dyDescent="0.3">
      <c r="A56" s="29"/>
      <c r="DU56" s="900"/>
      <c r="DV56" s="900"/>
      <c r="DW56" s="900"/>
      <c r="DX56" s="900"/>
      <c r="DY56" s="900"/>
      <c r="DZ56" s="900"/>
      <c r="EA56" s="900"/>
      <c r="EB56" s="900"/>
      <c r="EC56" s="900"/>
      <c r="ED56" s="900"/>
      <c r="EE56" s="900"/>
      <c r="EF56" s="900"/>
      <c r="EG56" s="900"/>
      <c r="EH56" s="900"/>
      <c r="EI56" s="900"/>
      <c r="EJ56" s="900"/>
      <c r="EK56" s="900"/>
      <c r="EL56" s="900"/>
      <c r="EM56" s="900"/>
      <c r="EN56" s="900"/>
      <c r="EO56" s="900"/>
      <c r="EP56" s="900"/>
      <c r="EQ56" s="900"/>
      <c r="ER56" s="900"/>
      <c r="ES56" s="900"/>
    </row>
    <row r="57" spans="1:149" s="90" customFormat="1" x14ac:dyDescent="0.3">
      <c r="A57" s="64" t="s">
        <v>3979</v>
      </c>
      <c r="DU57" s="900">
        <f>DU45+DU50+DU55</f>
        <v>1196.2767619557412</v>
      </c>
      <c r="DV57" s="900">
        <f>DV45+DV50+DV55</f>
        <v>1170.4842489518803</v>
      </c>
      <c r="DW57" s="900">
        <f>DW45+DW50+DW55</f>
        <v>1119.8498517015933</v>
      </c>
      <c r="DX57" s="900">
        <f>DX45+DX50+DX55</f>
        <v>1075.3891373907854</v>
      </c>
      <c r="DY57" s="916">
        <f>SUM(DU57:DX57)</f>
        <v>4562</v>
      </c>
      <c r="DZ57" s="900">
        <f>DZ45+DZ50+DZ55</f>
        <v>1048.1969386963988</v>
      </c>
      <c r="EA57" s="900">
        <f>EA45+EA50+EA55</f>
        <v>1006.706497376531</v>
      </c>
      <c r="EB57" s="900">
        <f>EB45+EB50+EB55</f>
        <v>979.38475361747487</v>
      </c>
      <c r="EC57" s="900">
        <f>EC45+EC50+EC55</f>
        <v>962.71181030959531</v>
      </c>
      <c r="ED57" s="916">
        <f>SUM(DZ57:EC57)</f>
        <v>3997</v>
      </c>
      <c r="EE57" s="900">
        <f>EE45+EE50+EE55</f>
        <v>923.89970219048257</v>
      </c>
      <c r="EF57" s="900">
        <f>EF45+EF50+EF55</f>
        <v>894.5768206302771</v>
      </c>
      <c r="EG57" s="900">
        <f>EG45+EG50+EG55</f>
        <v>872.97651291584907</v>
      </c>
      <c r="EH57" s="900">
        <f>EH45+EH50+EH55</f>
        <v>850.75521310557554</v>
      </c>
      <c r="EI57" s="916">
        <f>SUM(EE57:EH57)</f>
        <v>3542.2082488421843</v>
      </c>
      <c r="EJ57" s="900">
        <f t="shared" ref="EJ57:ES57" si="37">EJ45+EJ50+EJ55</f>
        <v>3368.3041896286054</v>
      </c>
      <c r="EK57" s="900">
        <f t="shared" si="37"/>
        <v>3326.7834856812133</v>
      </c>
      <c r="EL57" s="900">
        <f t="shared" si="37"/>
        <v>3440.3700791202073</v>
      </c>
      <c r="EM57" s="900">
        <f t="shared" si="37"/>
        <v>3726.7824870402569</v>
      </c>
      <c r="EN57" s="900">
        <f t="shared" si="37"/>
        <v>4133.6607048105507</v>
      </c>
      <c r="EO57" s="900">
        <f t="shared" si="37"/>
        <v>4552.991378492321</v>
      </c>
      <c r="EP57" s="900">
        <f t="shared" si="37"/>
        <v>4920.601037128532</v>
      </c>
      <c r="EQ57" s="900">
        <f t="shared" si="37"/>
        <v>5206.7878221241581</v>
      </c>
      <c r="ER57" s="900">
        <f t="shared" si="37"/>
        <v>5390.36933917847</v>
      </c>
      <c r="ES57" s="900">
        <f t="shared" si="37"/>
        <v>5479.4841936957855</v>
      </c>
    </row>
    <row r="58" spans="1:149" x14ac:dyDescent="0.3">
      <c r="A58" s="30" t="s">
        <v>36</v>
      </c>
      <c r="DU58" s="945">
        <f>DU339</f>
        <v>86</v>
      </c>
      <c r="DV58" s="945">
        <f>DV339</f>
        <v>89</v>
      </c>
      <c r="DW58" s="945">
        <f>DW339</f>
        <v>85</v>
      </c>
      <c r="DX58" s="945">
        <f>DX339</f>
        <v>85</v>
      </c>
      <c r="DY58" s="941">
        <f>SUM(DU58:DX58)</f>
        <v>345</v>
      </c>
      <c r="DZ58" s="945">
        <f>DZ339</f>
        <v>84</v>
      </c>
      <c r="EA58" s="945">
        <f>EA339</f>
        <v>94</v>
      </c>
      <c r="EB58" s="945">
        <f>EB339</f>
        <v>99</v>
      </c>
      <c r="EC58" s="945">
        <f>EC339</f>
        <v>89</v>
      </c>
      <c r="ED58" s="941">
        <f>SUM(DZ58:EC58)</f>
        <v>366</v>
      </c>
      <c r="EE58" s="945">
        <f>EE339</f>
        <v>83</v>
      </c>
      <c r="EF58" s="945">
        <f>EF339</f>
        <v>83</v>
      </c>
      <c r="EG58" s="945">
        <f>EG339</f>
        <v>87.414893617021278</v>
      </c>
      <c r="EH58" s="945">
        <f>EH339</f>
        <v>78.585106382978722</v>
      </c>
      <c r="EI58" s="941">
        <f>SUM(EE58:EH58)</f>
        <v>332</v>
      </c>
      <c r="EJ58" s="945">
        <f t="shared" ref="EJ58:ES58" si="38">EJ339</f>
        <v>49.800000000000004</v>
      </c>
      <c r="EK58" s="945">
        <f t="shared" si="38"/>
        <v>19.920000000000002</v>
      </c>
      <c r="EL58" s="945">
        <f t="shared" si="38"/>
        <v>19.920000000000002</v>
      </c>
      <c r="EM58" s="945">
        <f t="shared" si="38"/>
        <v>19.920000000000002</v>
      </c>
      <c r="EN58" s="945">
        <f t="shared" si="38"/>
        <v>19.920000000000002</v>
      </c>
      <c r="EO58" s="945">
        <f t="shared" si="38"/>
        <v>19.920000000000002</v>
      </c>
      <c r="EP58" s="945">
        <f t="shared" si="38"/>
        <v>19.920000000000002</v>
      </c>
      <c r="EQ58" s="945">
        <f t="shared" si="38"/>
        <v>19.920000000000002</v>
      </c>
      <c r="ER58" s="945">
        <f t="shared" si="38"/>
        <v>19.920000000000002</v>
      </c>
      <c r="ES58" s="945">
        <f t="shared" si="38"/>
        <v>19.920000000000002</v>
      </c>
    </row>
    <row r="59" spans="1:149" s="90" customFormat="1" x14ac:dyDescent="0.3">
      <c r="A59" s="29" t="s">
        <v>19</v>
      </c>
      <c r="DU59" s="886">
        <f>DU40+DU57+DU58</f>
        <v>1946</v>
      </c>
      <c r="DV59" s="886">
        <f>DV40+DV57+DV58</f>
        <v>1915</v>
      </c>
      <c r="DW59" s="886">
        <f>DW40+DW57+DW58</f>
        <v>1849</v>
      </c>
      <c r="DX59" s="886">
        <f>DX40+DX57+DX58</f>
        <v>1792</v>
      </c>
      <c r="DY59" s="921">
        <f>SUM(DU59:DX59)</f>
        <v>7502</v>
      </c>
      <c r="DZ59" s="886">
        <f>DZ40+DZ57+DZ58</f>
        <v>1788</v>
      </c>
      <c r="EA59" s="886">
        <f>EA40+EA57+EA58</f>
        <v>1754</v>
      </c>
      <c r="EB59" s="886">
        <f>EB40+EB57+EB58</f>
        <v>1726</v>
      </c>
      <c r="EC59" s="886">
        <f>EC40+EC57+EC58</f>
        <v>1695</v>
      </c>
      <c r="ED59" s="921">
        <f>SUM(DZ59:EC59)</f>
        <v>6963</v>
      </c>
      <c r="EE59" s="886">
        <f>EE40+EE57+EE58</f>
        <v>1676</v>
      </c>
      <c r="EF59" s="886">
        <f>EF40+EF57+EF58</f>
        <v>1616</v>
      </c>
      <c r="EG59" s="886">
        <f>EG40+EG57+EG58</f>
        <v>1593.5081923939254</v>
      </c>
      <c r="EH59" s="886">
        <f>EH40+EH57+EH58</f>
        <v>1553.5624332827324</v>
      </c>
      <c r="EI59" s="921">
        <f>SUM(EE59:EH59)</f>
        <v>6439.0706256766571</v>
      </c>
      <c r="EJ59" s="886">
        <f t="shared" ref="EJ59:ES59" si="39">EJ40+EJ57+EJ58</f>
        <v>6118.099564801033</v>
      </c>
      <c r="EK59" s="886">
        <f t="shared" si="39"/>
        <v>6203.7406954158732</v>
      </c>
      <c r="EL59" s="886">
        <f t="shared" si="39"/>
        <v>6374.3324969854339</v>
      </c>
      <c r="EM59" s="886">
        <f t="shared" si="39"/>
        <v>6618.2505345482523</v>
      </c>
      <c r="EN59" s="886">
        <f t="shared" si="39"/>
        <v>6955.7206935469658</v>
      </c>
      <c r="EO59" s="886">
        <f t="shared" si="39"/>
        <v>7337.7002069243581</v>
      </c>
      <c r="EP59" s="886">
        <f t="shared" si="39"/>
        <v>7683.9626672642935</v>
      </c>
      <c r="EQ59" s="886">
        <f t="shared" si="39"/>
        <v>7986.2554691033829</v>
      </c>
      <c r="ER59" s="886">
        <f t="shared" si="39"/>
        <v>8283.1480292424385</v>
      </c>
      <c r="ES59" s="886">
        <f t="shared" si="39"/>
        <v>8576.4046376643364</v>
      </c>
    </row>
    <row r="60" spans="1:149" x14ac:dyDescent="0.3">
      <c r="A60" s="30" t="s">
        <v>3980</v>
      </c>
      <c r="DU60" s="76">
        <f>DU355</f>
        <v>1946</v>
      </c>
      <c r="DV60" s="76">
        <f t="shared" ref="DV60:EE60" si="40">DV355</f>
        <v>1915</v>
      </c>
      <c r="DW60" s="76">
        <f t="shared" si="40"/>
        <v>1849</v>
      </c>
      <c r="DX60" s="76">
        <f t="shared" si="40"/>
        <v>1792</v>
      </c>
      <c r="DY60" s="85">
        <f t="shared" si="40"/>
        <v>7502</v>
      </c>
      <c r="DZ60" s="76">
        <f t="shared" si="40"/>
        <v>1788</v>
      </c>
      <c r="EA60" s="76">
        <f t="shared" si="40"/>
        <v>1754</v>
      </c>
      <c r="EB60" s="76">
        <f t="shared" si="40"/>
        <v>1726</v>
      </c>
      <c r="EC60" s="76">
        <f t="shared" si="40"/>
        <v>1695</v>
      </c>
      <c r="ED60" s="85">
        <f t="shared" si="40"/>
        <v>6963</v>
      </c>
      <c r="EE60" s="76">
        <f t="shared" si="40"/>
        <v>1676</v>
      </c>
      <c r="EF60" s="76" t="e">
        <f>'Model Main'!EF40</f>
        <v>#REF!</v>
      </c>
      <c r="EG60" s="76" t="e">
        <f>'Model Main'!EG40</f>
        <v>#REF!</v>
      </c>
      <c r="EH60" s="76" t="e">
        <f>'Model Main'!EH40</f>
        <v>#REF!</v>
      </c>
      <c r="EI60" s="85" t="e">
        <f>'Model Main'!EI40</f>
        <v>#REF!</v>
      </c>
      <c r="EJ60" s="76" t="e">
        <f>'Model Main'!EN40</f>
        <v>#REF!</v>
      </c>
      <c r="EK60" s="76" t="e">
        <f>'Model Main'!ES40</f>
        <v>#REF!</v>
      </c>
      <c r="EL60" s="76" t="e">
        <f>'Model Main'!EX40</f>
        <v>#REF!</v>
      </c>
      <c r="EM60" s="76" t="e">
        <f>'Model Main'!FC40</f>
        <v>#REF!</v>
      </c>
      <c r="EN60" s="76" t="e">
        <f>'Model Main'!FD40</f>
        <v>#REF!</v>
      </c>
      <c r="EO60" s="76" t="e">
        <f>'Model Main'!FE40</f>
        <v>#REF!</v>
      </c>
      <c r="EP60" s="76" t="e">
        <f>'Model Main'!FF40</f>
        <v>#REF!</v>
      </c>
      <c r="EQ60" s="76" t="e">
        <f>'Model Main'!FG40</f>
        <v>#REF!</v>
      </c>
      <c r="ER60" s="76" t="e">
        <f>'Model Main'!FH40</f>
        <v>#REF!</v>
      </c>
      <c r="ES60" s="76" t="e">
        <f>'Model Main'!FI40</f>
        <v>#REF!</v>
      </c>
    </row>
    <row r="61" spans="1:149" x14ac:dyDescent="0.3">
      <c r="A61" s="942" t="s">
        <v>3981</v>
      </c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4"/>
      <c r="DA61" s="94"/>
      <c r="DB61" s="94"/>
      <c r="DC61" s="94"/>
      <c r="DD61" s="94"/>
      <c r="DE61" s="94"/>
      <c r="DF61" s="94"/>
      <c r="DG61" s="94"/>
      <c r="DH61" s="94"/>
      <c r="DI61" s="94"/>
      <c r="DJ61" s="94"/>
      <c r="DK61" s="94"/>
      <c r="DL61" s="94"/>
      <c r="DM61" s="94"/>
      <c r="DN61" s="94"/>
      <c r="DO61" s="94"/>
      <c r="DP61" s="94"/>
      <c r="DQ61" s="94"/>
      <c r="DR61" s="94"/>
      <c r="DS61" s="94"/>
      <c r="DT61" s="94"/>
      <c r="DU61" s="943">
        <f>DU59-DU60</f>
        <v>0</v>
      </c>
      <c r="DV61" s="943">
        <f t="shared" ref="DV61:ES61" si="41">DV59-DV60</f>
        <v>0</v>
      </c>
      <c r="DW61" s="943">
        <f t="shared" si="41"/>
        <v>0</v>
      </c>
      <c r="DX61" s="943">
        <f t="shared" si="41"/>
        <v>0</v>
      </c>
      <c r="DY61" s="944">
        <f t="shared" si="41"/>
        <v>0</v>
      </c>
      <c r="DZ61" s="943">
        <f t="shared" si="41"/>
        <v>0</v>
      </c>
      <c r="EA61" s="943">
        <f t="shared" si="41"/>
        <v>0</v>
      </c>
      <c r="EB61" s="943">
        <f t="shared" si="41"/>
        <v>0</v>
      </c>
      <c r="EC61" s="943">
        <f t="shared" si="41"/>
        <v>0</v>
      </c>
      <c r="ED61" s="944">
        <f t="shared" si="41"/>
        <v>0</v>
      </c>
      <c r="EE61" s="943">
        <f t="shared" si="41"/>
        <v>0</v>
      </c>
      <c r="EF61" s="943" t="e">
        <f t="shared" si="41"/>
        <v>#REF!</v>
      </c>
      <c r="EG61" s="943" t="e">
        <f t="shared" si="41"/>
        <v>#REF!</v>
      </c>
      <c r="EH61" s="943" t="e">
        <f t="shared" si="41"/>
        <v>#REF!</v>
      </c>
      <c r="EI61" s="944" t="e">
        <f t="shared" si="41"/>
        <v>#REF!</v>
      </c>
      <c r="EJ61" s="943" t="e">
        <f t="shared" si="41"/>
        <v>#REF!</v>
      </c>
      <c r="EK61" s="943" t="e">
        <f t="shared" si="41"/>
        <v>#REF!</v>
      </c>
      <c r="EL61" s="943" t="e">
        <f t="shared" si="41"/>
        <v>#REF!</v>
      </c>
      <c r="EM61" s="943" t="e">
        <f t="shared" si="41"/>
        <v>#REF!</v>
      </c>
      <c r="EN61" s="943" t="e">
        <f t="shared" si="41"/>
        <v>#REF!</v>
      </c>
      <c r="EO61" s="943" t="e">
        <f t="shared" si="41"/>
        <v>#REF!</v>
      </c>
      <c r="EP61" s="943" t="e">
        <f t="shared" si="41"/>
        <v>#REF!</v>
      </c>
      <c r="EQ61" s="943" t="e">
        <f t="shared" si="41"/>
        <v>#REF!</v>
      </c>
      <c r="ER61" s="943" t="e">
        <f t="shared" si="41"/>
        <v>#REF!</v>
      </c>
      <c r="ES61" s="943" t="e">
        <f t="shared" si="41"/>
        <v>#REF!</v>
      </c>
    </row>
    <row r="62" spans="1:149" x14ac:dyDescent="0.3">
      <c r="A62" s="30"/>
      <c r="DU62" s="887"/>
      <c r="DV62" s="887"/>
      <c r="DW62" s="887"/>
      <c r="DX62" s="887"/>
      <c r="DY62" s="916"/>
      <c r="DZ62" s="887"/>
      <c r="EA62" s="887"/>
      <c r="EB62" s="887"/>
      <c r="EC62" s="887"/>
      <c r="ED62" s="916"/>
      <c r="EE62" s="887"/>
      <c r="EF62" s="887"/>
      <c r="EG62" s="887"/>
      <c r="EH62" s="887"/>
      <c r="EI62" s="916"/>
      <c r="EJ62" s="887"/>
      <c r="EK62" s="887"/>
      <c r="EL62" s="887"/>
      <c r="EM62" s="887"/>
      <c r="EN62" s="887"/>
      <c r="EO62" s="887"/>
      <c r="EP62" s="887"/>
      <c r="EQ62" s="887"/>
      <c r="ER62" s="887"/>
      <c r="ES62" s="887"/>
    </row>
    <row r="63" spans="1:149" x14ac:dyDescent="0.3">
      <c r="A63" s="29" t="s">
        <v>3416</v>
      </c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16">
        <f>DU168+DU317</f>
        <v>1175</v>
      </c>
      <c r="DV63" s="916">
        <f>DV168+DV317</f>
        <v>1134</v>
      </c>
      <c r="DW63" s="916">
        <f>DW168+DW317</f>
        <v>1144</v>
      </c>
      <c r="DX63" s="916">
        <f>DX168+DX317</f>
        <v>1119</v>
      </c>
      <c r="DY63" s="916">
        <f>SUM(DU63:DX63)</f>
        <v>4572</v>
      </c>
      <c r="DZ63" s="916">
        <f>DZ168+DZ317</f>
        <v>1102</v>
      </c>
      <c r="EA63" s="916">
        <f>EA168+EA317</f>
        <v>1051</v>
      </c>
      <c r="EB63" s="916">
        <f>EB168+EB317</f>
        <v>1036</v>
      </c>
      <c r="EC63" s="916">
        <f>EC168+EC317</f>
        <v>1002</v>
      </c>
      <c r="ED63" s="916">
        <f>SUM(DZ63:EC63)</f>
        <v>4191</v>
      </c>
      <c r="EE63" s="916">
        <f>EE168+EE317</f>
        <v>1006</v>
      </c>
      <c r="EF63" s="916">
        <f>EF168+EF317</f>
        <v>983</v>
      </c>
      <c r="EG63" s="916">
        <f>EG168+EG317</f>
        <v>968.9723552514306</v>
      </c>
      <c r="EH63" s="916">
        <f>EH168+EH317</f>
        <v>937.38015573816915</v>
      </c>
      <c r="EI63" s="916">
        <f>SUM(EE63:EH63)</f>
        <v>3895.3525109896</v>
      </c>
      <c r="EJ63" s="916">
        <f t="shared" ref="EJ63:ES63" si="42">EJ168+EJ317</f>
        <v>3841.1989858797037</v>
      </c>
      <c r="EK63" s="916">
        <f t="shared" si="42"/>
        <v>3810.8209909503053</v>
      </c>
      <c r="EL63" s="916">
        <f t="shared" si="42"/>
        <v>3803.4660909503054</v>
      </c>
      <c r="EM63" s="916">
        <f t="shared" si="42"/>
        <v>3822.4834214050561</v>
      </c>
      <c r="EN63" s="916">
        <f t="shared" si="42"/>
        <v>3875.4176878741068</v>
      </c>
      <c r="EO63" s="916">
        <f t="shared" si="42"/>
        <v>3960.4278520816388</v>
      </c>
      <c r="EP63" s="916">
        <f t="shared" si="42"/>
        <v>4079.2406876440882</v>
      </c>
      <c r="EQ63" s="916">
        <f t="shared" si="42"/>
        <v>4202.8101332366505</v>
      </c>
      <c r="ER63" s="916">
        <f t="shared" si="42"/>
        <v>4348.6399444714434</v>
      </c>
      <c r="ES63" s="916">
        <f t="shared" si="42"/>
        <v>4498.6823717244079</v>
      </c>
    </row>
    <row r="64" spans="1:149" x14ac:dyDescent="0.3">
      <c r="A64" s="30"/>
    </row>
    <row r="65" spans="1:150" x14ac:dyDescent="0.3">
      <c r="A65" s="29" t="s">
        <v>106</v>
      </c>
      <c r="DU65" s="916">
        <f>DU59-DU63</f>
        <v>771</v>
      </c>
      <c r="DV65" s="916">
        <f>DV59-DV63</f>
        <v>781</v>
      </c>
      <c r="DW65" s="916">
        <f>DW59-DW63</f>
        <v>705</v>
      </c>
      <c r="DX65" s="916">
        <f>DX59-DX63</f>
        <v>673</v>
      </c>
      <c r="DY65" s="916">
        <f>SUM(DU65:DX65)</f>
        <v>2930</v>
      </c>
      <c r="DZ65" s="916">
        <f>DZ59-DZ63</f>
        <v>686</v>
      </c>
      <c r="EA65" s="916">
        <f>EA59-EA63</f>
        <v>703</v>
      </c>
      <c r="EB65" s="916">
        <f>EB59-EB63</f>
        <v>690</v>
      </c>
      <c r="EC65" s="916">
        <f>EC59-EC63</f>
        <v>693</v>
      </c>
      <c r="ED65" s="916">
        <f>SUM(DZ65:EC65)</f>
        <v>2772</v>
      </c>
      <c r="EE65" s="1063">
        <f>Inputs!EE99</f>
        <v>670</v>
      </c>
      <c r="EF65" s="1063">
        <f>Inputs!EF99</f>
        <v>633</v>
      </c>
      <c r="EG65" s="916">
        <f>EG59-EG63</f>
        <v>624.53583714249476</v>
      </c>
      <c r="EH65" s="916">
        <f>EH59-EH63</f>
        <v>616.18227754456325</v>
      </c>
      <c r="EI65" s="916">
        <f>SUM(EE65:EH65)</f>
        <v>2543.718114687058</v>
      </c>
      <c r="EJ65" s="916">
        <f t="shared" ref="EJ65:ES65" si="43">EJ59-EJ63</f>
        <v>2276.9005789213293</v>
      </c>
      <c r="EK65" s="916">
        <f t="shared" si="43"/>
        <v>2392.919704465568</v>
      </c>
      <c r="EL65" s="916">
        <f t="shared" si="43"/>
        <v>2570.8664060351284</v>
      </c>
      <c r="EM65" s="916">
        <f t="shared" si="43"/>
        <v>2795.7671131431962</v>
      </c>
      <c r="EN65" s="916">
        <f t="shared" si="43"/>
        <v>3080.3030056728589</v>
      </c>
      <c r="EO65" s="916">
        <f t="shared" si="43"/>
        <v>3377.2723548427193</v>
      </c>
      <c r="EP65" s="916">
        <f t="shared" si="43"/>
        <v>3604.7219796202053</v>
      </c>
      <c r="EQ65" s="916">
        <f t="shared" si="43"/>
        <v>3783.4453358667324</v>
      </c>
      <c r="ER65" s="916">
        <f t="shared" si="43"/>
        <v>3934.5080847709951</v>
      </c>
      <c r="ES65" s="916">
        <f t="shared" si="43"/>
        <v>4077.7222659399285</v>
      </c>
    </row>
    <row r="66" spans="1:150" x14ac:dyDescent="0.3">
      <c r="A66" s="70" t="s">
        <v>363</v>
      </c>
      <c r="DZ66" s="890">
        <f>DZ65/DU65-1</f>
        <v>-0.1102464332036317</v>
      </c>
      <c r="EA66" s="890">
        <f t="shared" ref="EA66:EI66" si="44">EA65/DV65-1</f>
        <v>-9.9871959026888613E-2</v>
      </c>
      <c r="EB66" s="890">
        <f t="shared" si="44"/>
        <v>-2.1276595744680882E-2</v>
      </c>
      <c r="EC66" s="890">
        <f t="shared" si="44"/>
        <v>2.9717682020802272E-2</v>
      </c>
      <c r="ED66" s="890">
        <f t="shared" si="44"/>
        <v>-5.3924914675767877E-2</v>
      </c>
      <c r="EE66" s="890">
        <f t="shared" si="44"/>
        <v>-2.3323615160349864E-2</v>
      </c>
      <c r="EF66" s="890">
        <f t="shared" si="44"/>
        <v>-9.9573257467994281E-2</v>
      </c>
      <c r="EG66" s="890">
        <f t="shared" si="44"/>
        <v>-9.4875598344210443E-2</v>
      </c>
      <c r="EH66" s="890">
        <f t="shared" si="44"/>
        <v>-0.11084808435127957</v>
      </c>
      <c r="EI66" s="890">
        <f t="shared" si="44"/>
        <v>-8.2352772479416303E-2</v>
      </c>
      <c r="EJ66" s="890">
        <f>EJ65/EI65-1</f>
        <v>-0.10489272935753502</v>
      </c>
      <c r="EK66" s="890">
        <f t="shared" ref="EK66:ES66" si="45">EK65/EJ65-1</f>
        <v>5.0954849156919391E-2</v>
      </c>
      <c r="EL66" s="890">
        <f t="shared" si="45"/>
        <v>7.4363841476788206E-2</v>
      </c>
      <c r="EM66" s="890">
        <f t="shared" si="45"/>
        <v>8.7480511075998191E-2</v>
      </c>
      <c r="EN66" s="890">
        <f t="shared" si="45"/>
        <v>0.10177381770893201</v>
      </c>
      <c r="EO66" s="890">
        <f t="shared" si="45"/>
        <v>9.6409135277583102E-2</v>
      </c>
      <c r="EP66" s="890">
        <f t="shared" si="45"/>
        <v>6.7347137239714305E-2</v>
      </c>
      <c r="EQ66" s="890">
        <f t="shared" si="45"/>
        <v>4.9580344131104903E-2</v>
      </c>
      <c r="ER66" s="890">
        <f t="shared" si="45"/>
        <v>3.9927297871123146E-2</v>
      </c>
      <c r="ES66" s="890">
        <f t="shared" si="45"/>
        <v>3.6399513759613811E-2</v>
      </c>
    </row>
    <row r="67" spans="1:150" x14ac:dyDescent="0.3">
      <c r="A67" s="70" t="s">
        <v>3982</v>
      </c>
      <c r="DU67" s="898">
        <f t="shared" ref="DU67:ES67" si="46">DU65/DU59</f>
        <v>0.39619732785200412</v>
      </c>
      <c r="DV67" s="898">
        <f t="shared" si="46"/>
        <v>0.40783289817232377</v>
      </c>
      <c r="DW67" s="898">
        <f t="shared" si="46"/>
        <v>0.38128718226068142</v>
      </c>
      <c r="DX67" s="898">
        <f t="shared" si="46"/>
        <v>0.3755580357142857</v>
      </c>
      <c r="DY67" s="898">
        <f t="shared" si="46"/>
        <v>0.39056251666222341</v>
      </c>
      <c r="DZ67" s="898">
        <f t="shared" si="46"/>
        <v>0.38366890380313201</v>
      </c>
      <c r="EA67" s="898">
        <f t="shared" si="46"/>
        <v>0.40079817559863168</v>
      </c>
      <c r="EB67" s="898">
        <f t="shared" si="46"/>
        <v>0.39976825028968715</v>
      </c>
      <c r="EC67" s="898">
        <f t="shared" si="46"/>
        <v>0.40884955752212387</v>
      </c>
      <c r="ED67" s="898">
        <f t="shared" si="46"/>
        <v>0.3981042654028436</v>
      </c>
      <c r="EE67" s="898">
        <f t="shared" si="46"/>
        <v>0.3997613365155131</v>
      </c>
      <c r="EF67" s="898">
        <f t="shared" si="46"/>
        <v>0.39170792079207922</v>
      </c>
      <c r="EG67" s="898">
        <f t="shared" si="46"/>
        <v>0.39192508712757562</v>
      </c>
      <c r="EH67" s="898">
        <f t="shared" si="46"/>
        <v>0.39662537169011503</v>
      </c>
      <c r="EI67" s="898">
        <f t="shared" si="46"/>
        <v>0.3950442948309405</v>
      </c>
      <c r="EJ67" s="898">
        <f t="shared" si="46"/>
        <v>0.3721581440127113</v>
      </c>
      <c r="EK67" s="898">
        <f t="shared" si="46"/>
        <v>0.38572207027185501</v>
      </c>
      <c r="EL67" s="898">
        <f t="shared" si="46"/>
        <v>0.40331539141564227</v>
      </c>
      <c r="EM67" s="898">
        <f t="shared" si="46"/>
        <v>0.42243295241678686</v>
      </c>
      <c r="EN67" s="898">
        <f t="shared" si="46"/>
        <v>0.44284455074950752</v>
      </c>
      <c r="EO67" s="898">
        <f t="shared" si="46"/>
        <v>0.46026306057798505</v>
      </c>
      <c r="EP67" s="898">
        <f t="shared" si="46"/>
        <v>0.46912278673310986</v>
      </c>
      <c r="EQ67" s="898">
        <f t="shared" si="46"/>
        <v>0.47374459163043781</v>
      </c>
      <c r="ER67" s="898">
        <f t="shared" si="46"/>
        <v>0.47500154179072879</v>
      </c>
      <c r="ES67" s="898">
        <f t="shared" si="46"/>
        <v>0.47545824132785308</v>
      </c>
    </row>
    <row r="68" spans="1:150" x14ac:dyDescent="0.3">
      <c r="A68" s="942" t="s">
        <v>3981</v>
      </c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4"/>
      <c r="CM68" s="94"/>
      <c r="CN68" s="94"/>
      <c r="CO68" s="94"/>
      <c r="CP68" s="94"/>
      <c r="CQ68" s="94"/>
      <c r="CR68" s="94"/>
      <c r="CS68" s="94"/>
      <c r="CT68" s="94"/>
      <c r="CU68" s="94"/>
      <c r="CV68" s="94"/>
      <c r="CW68" s="94"/>
      <c r="CX68" s="94"/>
      <c r="CY68" s="94"/>
      <c r="CZ68" s="94"/>
      <c r="DA68" s="94"/>
      <c r="DB68" s="94"/>
      <c r="DC68" s="94"/>
      <c r="DD68" s="94"/>
      <c r="DE68" s="94"/>
      <c r="DF68" s="94"/>
      <c r="DG68" s="94"/>
      <c r="DH68" s="94"/>
      <c r="DI68" s="94"/>
      <c r="DJ68" s="94"/>
      <c r="DK68" s="94"/>
      <c r="DL68" s="94"/>
      <c r="DM68" s="94"/>
      <c r="DN68" s="94"/>
      <c r="DO68" s="94"/>
      <c r="DP68" s="94"/>
      <c r="DQ68" s="94"/>
      <c r="DR68" s="94"/>
      <c r="DS68" s="94"/>
      <c r="DT68" s="94"/>
      <c r="DU68" s="943">
        <f>DU65-'Model Main'!DU48</f>
        <v>0</v>
      </c>
      <c r="DV68" s="943">
        <f>DV65-'Model Main'!DV48</f>
        <v>0</v>
      </c>
      <c r="DW68" s="943">
        <f>DW65-'Model Main'!DW48</f>
        <v>0</v>
      </c>
      <c r="DX68" s="943">
        <f>DX65-'Model Main'!DX48</f>
        <v>0</v>
      </c>
      <c r="DY68" s="943">
        <f>DY65-'Model Main'!DY48</f>
        <v>0</v>
      </c>
      <c r="DZ68" s="943">
        <f>DZ65-'Model Main'!DZ48</f>
        <v>-1</v>
      </c>
      <c r="EA68" s="943">
        <f>EA65-'Model Main'!EA48</f>
        <v>0</v>
      </c>
      <c r="EB68" s="943">
        <f>EB65-'Model Main'!EB48</f>
        <v>-1</v>
      </c>
      <c r="EC68" s="943">
        <f>EC65-'Model Main'!EC48</f>
        <v>-1</v>
      </c>
      <c r="ED68" s="943">
        <f>ED65-'Model Main'!ED48</f>
        <v>-3</v>
      </c>
      <c r="EE68" s="943">
        <f>EE65-'Model Main'!EE48</f>
        <v>1</v>
      </c>
      <c r="EF68" s="943">
        <f>EF65-'Model Main'!EF48</f>
        <v>-1</v>
      </c>
      <c r="EG68" s="943">
        <f>EG65-'Model Main'!EG48</f>
        <v>37.535837142494756</v>
      </c>
      <c r="EH68" s="943">
        <f>EH65-'Model Main'!EH48</f>
        <v>31.182277544563249</v>
      </c>
      <c r="EI68" s="943">
        <f>EI65-'Model Main'!EI48</f>
        <v>68.718114687058005</v>
      </c>
      <c r="EJ68" s="943">
        <f>EJ65-'Model Main'!EN48</f>
        <v>196.90057892132927</v>
      </c>
      <c r="EK68" s="943">
        <f>EK65-'Model Main'!ES48</f>
        <v>265.91970446556797</v>
      </c>
      <c r="EL68" s="943">
        <f>EL65-'Model Main'!EX48</f>
        <v>319.86640603512842</v>
      </c>
      <c r="EM68" s="943">
        <f>EM65-'Model Main'!FC48</f>
        <v>379.31251623150183</v>
      </c>
      <c r="EN68" s="943">
        <f>EN65-'Model Main'!FD48</f>
        <v>403.28996669659909</v>
      </c>
      <c r="EO68" s="943">
        <f>EO65-'Model Main'!FE48</f>
        <v>383.39603035622349</v>
      </c>
      <c r="EP68" s="943">
        <f>EP65-'Model Main'!FF48</f>
        <v>332.71815097297258</v>
      </c>
      <c r="EQ68" s="943">
        <f>EQ65-'Model Main'!FG48</f>
        <v>249.76588877227459</v>
      </c>
      <c r="ER68" s="943">
        <f>ER65-'Model Main'!FH48</f>
        <v>156.00489389479799</v>
      </c>
      <c r="ES68" s="943">
        <f>ES65-'Model Main'!FI48</f>
        <v>75.757577213414152</v>
      </c>
    </row>
    <row r="69" spans="1:150" x14ac:dyDescent="0.3">
      <c r="A69" s="30"/>
    </row>
    <row r="70" spans="1:150" x14ac:dyDescent="0.3">
      <c r="A70" s="30"/>
    </row>
    <row r="71" spans="1:150" x14ac:dyDescent="0.3">
      <c r="A71" s="43" t="s">
        <v>3983</v>
      </c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857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</row>
    <row r="72" spans="1:150" x14ac:dyDescent="0.3">
      <c r="A72" s="30"/>
    </row>
    <row r="73" spans="1:150" x14ac:dyDescent="0.3">
      <c r="A73" s="29" t="s">
        <v>331</v>
      </c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0">
        <v>14000</v>
      </c>
      <c r="DV73" s="900">
        <f>DU73</f>
        <v>14000</v>
      </c>
      <c r="DW73" s="900">
        <f t="shared" ref="DW73:ED73" si="47">DV73</f>
        <v>14000</v>
      </c>
      <c r="DX73" s="900">
        <f t="shared" si="47"/>
        <v>14000</v>
      </c>
      <c r="DY73" s="900">
        <f t="shared" si="47"/>
        <v>14000</v>
      </c>
      <c r="DZ73" s="900">
        <f t="shared" si="47"/>
        <v>14000</v>
      </c>
      <c r="EA73" s="900">
        <f t="shared" si="47"/>
        <v>14000</v>
      </c>
      <c r="EB73" s="900">
        <f t="shared" si="47"/>
        <v>14000</v>
      </c>
      <c r="EC73" s="900">
        <f t="shared" si="47"/>
        <v>14000</v>
      </c>
      <c r="ED73" s="900">
        <f t="shared" si="47"/>
        <v>14000</v>
      </c>
      <c r="EE73" s="900">
        <f>DZ73*(1+EE75)</f>
        <v>14028</v>
      </c>
      <c r="EF73" s="900">
        <f>EA73*(1+EF75)</f>
        <v>14056</v>
      </c>
      <c r="EG73" s="900">
        <f>EB73*(1+EG75)</f>
        <v>14105</v>
      </c>
      <c r="EH73" s="900">
        <f>EC73*(1+EH75)</f>
        <v>14125.999999999998</v>
      </c>
      <c r="EI73" s="900">
        <f>EH73</f>
        <v>14125.999999999998</v>
      </c>
      <c r="EJ73" s="900">
        <f>EI73*(1+EJ75)</f>
        <v>14253.133999999996</v>
      </c>
      <c r="EK73" s="900">
        <f t="shared" ref="EK73:ES73" si="48">EJ73*(1+EK75)</f>
        <v>14381.412205999995</v>
      </c>
      <c r="EL73" s="900">
        <f t="shared" si="48"/>
        <v>14510.844915853993</v>
      </c>
      <c r="EM73" s="900">
        <f t="shared" si="48"/>
        <v>14641.442520096678</v>
      </c>
      <c r="EN73" s="900">
        <f t="shared" si="48"/>
        <v>14773.215502777546</v>
      </c>
      <c r="EO73" s="900">
        <f t="shared" si="48"/>
        <v>14906.174442302543</v>
      </c>
      <c r="EP73" s="900">
        <f t="shared" si="48"/>
        <v>15040.330012283264</v>
      </c>
      <c r="EQ73" s="900">
        <f t="shared" si="48"/>
        <v>15175.692982393812</v>
      </c>
      <c r="ER73" s="900">
        <f t="shared" si="48"/>
        <v>15312.274219235354</v>
      </c>
      <c r="ES73" s="900">
        <f t="shared" si="48"/>
        <v>15450.084687208471</v>
      </c>
    </row>
    <row r="74" spans="1:150" x14ac:dyDescent="0.3">
      <c r="A74" s="61" t="s">
        <v>3984</v>
      </c>
      <c r="DU74" s="816">
        <f>DV74</f>
        <v>0</v>
      </c>
      <c r="DV74" s="1015">
        <f>DV73-DU73</f>
        <v>0</v>
      </c>
      <c r="DW74" s="1015">
        <f>DW73-DV73</f>
        <v>0</v>
      </c>
      <c r="DX74" s="1015">
        <f>DX73-DW73</f>
        <v>0</v>
      </c>
      <c r="DY74" s="1015">
        <f>SUM(DU74:DX74)</f>
        <v>0</v>
      </c>
      <c r="DZ74" s="1015">
        <f>DZ73-DY73</f>
        <v>0</v>
      </c>
      <c r="EA74" s="1015">
        <f>EA73-DZ73</f>
        <v>0</v>
      </c>
      <c r="EB74" s="1015">
        <f>EB73-EA73</f>
        <v>0</v>
      </c>
      <c r="EC74" s="1015">
        <f>EC73-EB73</f>
        <v>0</v>
      </c>
      <c r="ED74" s="1015">
        <f>SUM(DZ74:EC74)</f>
        <v>0</v>
      </c>
      <c r="EE74" s="885">
        <f>EE73-ED73</f>
        <v>28</v>
      </c>
      <c r="EF74" s="885">
        <f>EF73-EE73</f>
        <v>28</v>
      </c>
      <c r="EG74" s="885">
        <f>EG73-EF73</f>
        <v>49</v>
      </c>
      <c r="EH74" s="885">
        <f>EH73-EG73</f>
        <v>20.999999999998181</v>
      </c>
      <c r="EI74" s="885">
        <f>SUM(EE74:EH74)</f>
        <v>125.99999999999818</v>
      </c>
      <c r="EJ74" s="885">
        <f t="shared" ref="EJ74:ES74" si="49">EJ73-EI73</f>
        <v>127.1339999999982</v>
      </c>
      <c r="EK74" s="885">
        <f t="shared" si="49"/>
        <v>128.27820599999905</v>
      </c>
      <c r="EL74" s="885">
        <f t="shared" si="49"/>
        <v>129.43270985399795</v>
      </c>
      <c r="EM74" s="885">
        <f t="shared" si="49"/>
        <v>130.59760424268461</v>
      </c>
      <c r="EN74" s="885">
        <f t="shared" si="49"/>
        <v>131.77298268086815</v>
      </c>
      <c r="EO74" s="885">
        <f t="shared" si="49"/>
        <v>132.95893952499682</v>
      </c>
      <c r="EP74" s="885">
        <f t="shared" si="49"/>
        <v>134.15556998072134</v>
      </c>
      <c r="EQ74" s="885">
        <f t="shared" si="49"/>
        <v>135.36297011054739</v>
      </c>
      <c r="ER74" s="885">
        <f t="shared" si="49"/>
        <v>136.5812368415427</v>
      </c>
      <c r="ES74" s="885">
        <f t="shared" si="49"/>
        <v>137.81046797311683</v>
      </c>
    </row>
    <row r="75" spans="1:150" x14ac:dyDescent="0.3">
      <c r="A75" s="61" t="s">
        <v>3985</v>
      </c>
      <c r="DZ75" s="898">
        <f>DZ73/DU73-1</f>
        <v>0</v>
      </c>
      <c r="EA75" s="898">
        <f>EA73/DV73-1</f>
        <v>0</v>
      </c>
      <c r="EB75" s="898">
        <f>EB73/DW73-1</f>
        <v>0</v>
      </c>
      <c r="EC75" s="898">
        <f>EC73/DX73-1</f>
        <v>0</v>
      </c>
      <c r="ED75" s="898">
        <f>ED73/DY73-1</f>
        <v>0</v>
      </c>
      <c r="EE75" s="482">
        <v>2E-3</v>
      </c>
      <c r="EF75" s="482">
        <v>4.0000000000000001E-3</v>
      </c>
      <c r="EG75" s="482">
        <v>7.4999999999999997E-3</v>
      </c>
      <c r="EH75" s="482">
        <v>8.9999999999999993E-3</v>
      </c>
      <c r="EI75" s="898">
        <f>EI73/ED73-1</f>
        <v>8.999999999999897E-3</v>
      </c>
      <c r="EJ75" s="482">
        <v>8.9999999999999993E-3</v>
      </c>
      <c r="EK75" s="482">
        <v>8.9999999999999993E-3</v>
      </c>
      <c r="EL75" s="482">
        <v>8.9999999999999993E-3</v>
      </c>
      <c r="EM75" s="482">
        <v>8.9999999999999993E-3</v>
      </c>
      <c r="EN75" s="482">
        <v>8.9999999999999993E-3</v>
      </c>
      <c r="EO75" s="482">
        <v>8.9999999999999993E-3</v>
      </c>
      <c r="EP75" s="482">
        <v>8.9999999999999993E-3</v>
      </c>
      <c r="EQ75" s="482">
        <v>8.9999999999999993E-3</v>
      </c>
      <c r="ER75" s="482">
        <v>8.9999999999999993E-3</v>
      </c>
      <c r="ES75" s="482">
        <v>8.9999999999999993E-3</v>
      </c>
    </row>
    <row r="76" spans="1:150" x14ac:dyDescent="0.3">
      <c r="A76" s="30"/>
    </row>
    <row r="77" spans="1:150" x14ac:dyDescent="0.3">
      <c r="A77" s="56" t="s">
        <v>353</v>
      </c>
      <c r="DU77" s="76">
        <f>DU101</f>
        <v>3200</v>
      </c>
      <c r="DV77" s="76">
        <f t="shared" ref="DV77:ES77" si="50">DV101</f>
        <v>3200</v>
      </c>
      <c r="DW77" s="76">
        <f t="shared" si="50"/>
        <v>3200</v>
      </c>
      <c r="DX77" s="76">
        <f t="shared" si="50"/>
        <v>3200</v>
      </c>
      <c r="DY77" s="76">
        <f t="shared" si="50"/>
        <v>3200</v>
      </c>
      <c r="DZ77" s="76">
        <f t="shared" si="50"/>
        <v>3200</v>
      </c>
      <c r="EA77" s="76">
        <f t="shared" si="50"/>
        <v>3200</v>
      </c>
      <c r="EB77" s="76">
        <f t="shared" si="50"/>
        <v>3200</v>
      </c>
      <c r="EC77" s="76">
        <f t="shared" si="50"/>
        <v>3200</v>
      </c>
      <c r="ED77" s="76">
        <f t="shared" si="50"/>
        <v>3200</v>
      </c>
      <c r="EE77" s="76">
        <f t="shared" si="50"/>
        <v>3200</v>
      </c>
      <c r="EF77" s="76">
        <f t="shared" si="50"/>
        <v>3200</v>
      </c>
      <c r="EG77" s="76">
        <f t="shared" si="50"/>
        <v>3200</v>
      </c>
      <c r="EH77" s="76">
        <f t="shared" si="50"/>
        <v>3200</v>
      </c>
      <c r="EI77" s="76">
        <f t="shared" si="50"/>
        <v>3200</v>
      </c>
      <c r="EJ77" s="76">
        <f t="shared" si="50"/>
        <v>3200</v>
      </c>
      <c r="EK77" s="76">
        <f t="shared" si="50"/>
        <v>3200</v>
      </c>
      <c r="EL77" s="76">
        <f t="shared" si="50"/>
        <v>3200</v>
      </c>
      <c r="EM77" s="76">
        <f t="shared" si="50"/>
        <v>3200</v>
      </c>
      <c r="EN77" s="76">
        <f t="shared" si="50"/>
        <v>3200</v>
      </c>
      <c r="EO77" s="76">
        <f t="shared" si="50"/>
        <v>3200</v>
      </c>
      <c r="EP77" s="76">
        <f t="shared" si="50"/>
        <v>3200</v>
      </c>
      <c r="EQ77" s="76">
        <f t="shared" si="50"/>
        <v>3200</v>
      </c>
      <c r="ER77" s="76">
        <f t="shared" si="50"/>
        <v>3200</v>
      </c>
      <c r="ES77" s="76">
        <f t="shared" si="50"/>
        <v>3200</v>
      </c>
    </row>
    <row r="78" spans="1:150" x14ac:dyDescent="0.3">
      <c r="A78" s="56" t="s">
        <v>3986</v>
      </c>
      <c r="DU78" s="104">
        <f>DU79-DU77</f>
        <v>10800</v>
      </c>
      <c r="DV78" s="104">
        <f>DV79-DV77</f>
        <v>10800</v>
      </c>
      <c r="DW78" s="104">
        <f>DW79-DW77</f>
        <v>10800</v>
      </c>
      <c r="DX78" s="104">
        <f>DX79-DX77</f>
        <v>10800</v>
      </c>
      <c r="DY78" s="104">
        <f>DX78</f>
        <v>10800</v>
      </c>
      <c r="DZ78" s="104">
        <f>DZ79-DZ77</f>
        <v>10800</v>
      </c>
      <c r="EA78" s="104">
        <f>EA79-EA77</f>
        <v>10800</v>
      </c>
      <c r="EB78" s="104">
        <f>EB79-EB77</f>
        <v>10800</v>
      </c>
      <c r="EC78" s="104">
        <f>EC79-EC77</f>
        <v>10800</v>
      </c>
      <c r="ED78" s="104">
        <f>EC78</f>
        <v>10800</v>
      </c>
      <c r="EE78" s="104">
        <f>EE79-EE77</f>
        <v>10828</v>
      </c>
      <c r="EF78" s="104">
        <f>EF79-EF77</f>
        <v>10856</v>
      </c>
      <c r="EG78" s="104">
        <f>EG79-EG77</f>
        <v>10905</v>
      </c>
      <c r="EH78" s="104">
        <f>EH79-EH77</f>
        <v>10925.999999999998</v>
      </c>
      <c r="EI78" s="104">
        <f>EH78</f>
        <v>10925.999999999998</v>
      </c>
      <c r="EJ78" s="104">
        <f t="shared" ref="EJ78:ES78" si="51">EJ79-EJ77</f>
        <v>11053.133999999996</v>
      </c>
      <c r="EK78" s="104">
        <f t="shared" si="51"/>
        <v>11181.412205999995</v>
      </c>
      <c r="EL78" s="104">
        <f t="shared" si="51"/>
        <v>11310.844915853993</v>
      </c>
      <c r="EM78" s="104">
        <f t="shared" si="51"/>
        <v>11441.442520096678</v>
      </c>
      <c r="EN78" s="104">
        <f t="shared" si="51"/>
        <v>11573.215502777546</v>
      </c>
      <c r="EO78" s="104">
        <f t="shared" si="51"/>
        <v>11706.174442302543</v>
      </c>
      <c r="EP78" s="104">
        <f t="shared" si="51"/>
        <v>11840.330012283264</v>
      </c>
      <c r="EQ78" s="104">
        <f t="shared" si="51"/>
        <v>11975.692982393812</v>
      </c>
      <c r="ER78" s="104">
        <f t="shared" si="51"/>
        <v>12112.274219235354</v>
      </c>
      <c r="ES78" s="104">
        <f t="shared" si="51"/>
        <v>12250.084687208471</v>
      </c>
    </row>
    <row r="79" spans="1:150" x14ac:dyDescent="0.3">
      <c r="A79" s="60" t="s">
        <v>266</v>
      </c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90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85">
        <f>DU73</f>
        <v>14000</v>
      </c>
      <c r="DV79" s="85">
        <f t="shared" ref="DV79:ES79" si="52">DV73</f>
        <v>14000</v>
      </c>
      <c r="DW79" s="85">
        <f t="shared" si="52"/>
        <v>14000</v>
      </c>
      <c r="DX79" s="85">
        <f t="shared" si="52"/>
        <v>14000</v>
      </c>
      <c r="DY79" s="85">
        <f t="shared" si="52"/>
        <v>14000</v>
      </c>
      <c r="DZ79" s="85">
        <f t="shared" si="52"/>
        <v>14000</v>
      </c>
      <c r="EA79" s="85">
        <f t="shared" si="52"/>
        <v>14000</v>
      </c>
      <c r="EB79" s="85">
        <f t="shared" si="52"/>
        <v>14000</v>
      </c>
      <c r="EC79" s="85">
        <f t="shared" si="52"/>
        <v>14000</v>
      </c>
      <c r="ED79" s="85">
        <f t="shared" si="52"/>
        <v>14000</v>
      </c>
      <c r="EE79" s="85">
        <f t="shared" si="52"/>
        <v>14028</v>
      </c>
      <c r="EF79" s="85">
        <f t="shared" si="52"/>
        <v>14056</v>
      </c>
      <c r="EG79" s="85">
        <f t="shared" si="52"/>
        <v>14105</v>
      </c>
      <c r="EH79" s="85">
        <f t="shared" si="52"/>
        <v>14125.999999999998</v>
      </c>
      <c r="EI79" s="85">
        <f t="shared" si="52"/>
        <v>14125.999999999998</v>
      </c>
      <c r="EJ79" s="85">
        <f t="shared" si="52"/>
        <v>14253.133999999996</v>
      </c>
      <c r="EK79" s="85">
        <f t="shared" si="52"/>
        <v>14381.412205999995</v>
      </c>
      <c r="EL79" s="85">
        <f t="shared" si="52"/>
        <v>14510.844915853993</v>
      </c>
      <c r="EM79" s="85">
        <f t="shared" si="52"/>
        <v>14641.442520096678</v>
      </c>
      <c r="EN79" s="85">
        <f t="shared" si="52"/>
        <v>14773.215502777546</v>
      </c>
      <c r="EO79" s="85">
        <f t="shared" si="52"/>
        <v>14906.174442302543</v>
      </c>
      <c r="EP79" s="85">
        <f t="shared" si="52"/>
        <v>15040.330012283264</v>
      </c>
      <c r="EQ79" s="85">
        <f t="shared" si="52"/>
        <v>15175.692982393812</v>
      </c>
      <c r="ER79" s="85">
        <f t="shared" si="52"/>
        <v>15312.274219235354</v>
      </c>
      <c r="ES79" s="85">
        <f t="shared" si="52"/>
        <v>15450.084687208471</v>
      </c>
    </row>
    <row r="80" spans="1:150" x14ac:dyDescent="0.3">
      <c r="A80" s="61" t="s">
        <v>3987</v>
      </c>
      <c r="DU80" s="885">
        <f>DV80</f>
        <v>0</v>
      </c>
      <c r="DV80" s="885">
        <f t="shared" ref="DV80:DX81" si="53">DV77-DU77</f>
        <v>0</v>
      </c>
      <c r="DW80" s="885">
        <f t="shared" si="53"/>
        <v>0</v>
      </c>
      <c r="DX80" s="885">
        <f t="shared" si="53"/>
        <v>0</v>
      </c>
      <c r="DY80" s="885">
        <f>SUM(DU80:DX80)</f>
        <v>0</v>
      </c>
      <c r="DZ80" s="885">
        <f t="shared" ref="DZ80:EH81" si="54">DZ77-DY77</f>
        <v>0</v>
      </c>
      <c r="EA80" s="885">
        <f t="shared" si="54"/>
        <v>0</v>
      </c>
      <c r="EB80" s="885">
        <f t="shared" si="54"/>
        <v>0</v>
      </c>
      <c r="EC80" s="885">
        <f t="shared" si="54"/>
        <v>0</v>
      </c>
      <c r="ED80" s="887">
        <f>SUM(DZ80:EC80)</f>
        <v>0</v>
      </c>
      <c r="EE80" s="885">
        <f t="shared" si="54"/>
        <v>0</v>
      </c>
      <c r="EF80" s="885">
        <f t="shared" si="54"/>
        <v>0</v>
      </c>
      <c r="EG80" s="885">
        <f t="shared" si="54"/>
        <v>0</v>
      </c>
      <c r="EH80" s="885">
        <f t="shared" si="54"/>
        <v>0</v>
      </c>
      <c r="EI80" s="887">
        <f>SUM(EE80:EH80)</f>
        <v>0</v>
      </c>
      <c r="EJ80" s="885">
        <f>EJ77-EI77</f>
        <v>0</v>
      </c>
      <c r="EK80" s="885">
        <f t="shared" ref="EK80:ES81" si="55">EK77-EJ77</f>
        <v>0</v>
      </c>
      <c r="EL80" s="885">
        <f t="shared" si="55"/>
        <v>0</v>
      </c>
      <c r="EM80" s="885">
        <f t="shared" si="55"/>
        <v>0</v>
      </c>
      <c r="EN80" s="885">
        <f t="shared" si="55"/>
        <v>0</v>
      </c>
      <c r="EO80" s="885">
        <f t="shared" si="55"/>
        <v>0</v>
      </c>
      <c r="EP80" s="885">
        <f t="shared" si="55"/>
        <v>0</v>
      </c>
      <c r="EQ80" s="885">
        <f t="shared" si="55"/>
        <v>0</v>
      </c>
      <c r="ER80" s="885">
        <f t="shared" si="55"/>
        <v>0</v>
      </c>
      <c r="ES80" s="885">
        <f t="shared" si="55"/>
        <v>0</v>
      </c>
    </row>
    <row r="81" spans="1:150" x14ac:dyDescent="0.3">
      <c r="A81" s="61" t="s">
        <v>3988</v>
      </c>
      <c r="DU81" s="885">
        <f>DV81</f>
        <v>0</v>
      </c>
      <c r="DV81" s="885">
        <f t="shared" si="53"/>
        <v>0</v>
      </c>
      <c r="DW81" s="885">
        <f t="shared" si="53"/>
        <v>0</v>
      </c>
      <c r="DX81" s="885">
        <f t="shared" si="53"/>
        <v>0</v>
      </c>
      <c r="DY81" s="885">
        <f>SUM(DU81:DX81)</f>
        <v>0</v>
      </c>
      <c r="DZ81" s="885">
        <f t="shared" si="54"/>
        <v>0</v>
      </c>
      <c r="EA81" s="885">
        <f t="shared" si="54"/>
        <v>0</v>
      </c>
      <c r="EB81" s="885">
        <f t="shared" si="54"/>
        <v>0</v>
      </c>
      <c r="EC81" s="885">
        <f t="shared" si="54"/>
        <v>0</v>
      </c>
      <c r="ED81" s="887">
        <f>SUM(DZ81:EC81)</f>
        <v>0</v>
      </c>
      <c r="EE81" s="885">
        <f t="shared" si="54"/>
        <v>28</v>
      </c>
      <c r="EF81" s="885">
        <f t="shared" si="54"/>
        <v>28</v>
      </c>
      <c r="EG81" s="885">
        <f t="shared" si="54"/>
        <v>49</v>
      </c>
      <c r="EH81" s="885">
        <f t="shared" si="54"/>
        <v>20.999999999998181</v>
      </c>
      <c r="EI81" s="887">
        <f>SUM(EE81:EH81)</f>
        <v>125.99999999999818</v>
      </c>
      <c r="EJ81" s="885">
        <f>EJ78-EI78</f>
        <v>127.1339999999982</v>
      </c>
      <c r="EK81" s="885">
        <f t="shared" si="55"/>
        <v>128.27820599999905</v>
      </c>
      <c r="EL81" s="885">
        <f t="shared" si="55"/>
        <v>129.43270985399795</v>
      </c>
      <c r="EM81" s="885">
        <f t="shared" si="55"/>
        <v>130.59760424268461</v>
      </c>
      <c r="EN81" s="885">
        <f t="shared" si="55"/>
        <v>131.77298268086815</v>
      </c>
      <c r="EO81" s="885">
        <f t="shared" si="55"/>
        <v>132.95893952499682</v>
      </c>
      <c r="EP81" s="885">
        <f t="shared" si="55"/>
        <v>134.15556998072134</v>
      </c>
      <c r="EQ81" s="885">
        <f t="shared" si="55"/>
        <v>135.36297011054739</v>
      </c>
      <c r="ER81" s="885">
        <f t="shared" si="55"/>
        <v>136.5812368415427</v>
      </c>
      <c r="ES81" s="885">
        <f t="shared" si="55"/>
        <v>137.81046797311683</v>
      </c>
    </row>
    <row r="82" spans="1:150" x14ac:dyDescent="0.3">
      <c r="A82" s="30"/>
    </row>
    <row r="83" spans="1:150" x14ac:dyDescent="0.3">
      <c r="A83" s="56" t="s">
        <v>628</v>
      </c>
      <c r="DU83" s="76">
        <f t="shared" ref="DU83:ES83" si="56">DU101+DU195</f>
        <v>3209</v>
      </c>
      <c r="DV83" s="76">
        <f t="shared" si="56"/>
        <v>3209</v>
      </c>
      <c r="DW83" s="76">
        <f t="shared" si="56"/>
        <v>3209</v>
      </c>
      <c r="DX83" s="76">
        <f t="shared" si="56"/>
        <v>3209</v>
      </c>
      <c r="DY83" s="76">
        <f t="shared" si="56"/>
        <v>3209</v>
      </c>
      <c r="DZ83" s="76">
        <f t="shared" si="56"/>
        <v>3209</v>
      </c>
      <c r="EA83" s="76">
        <f t="shared" si="56"/>
        <v>3217</v>
      </c>
      <c r="EB83" s="76">
        <f t="shared" si="56"/>
        <v>3226</v>
      </c>
      <c r="EC83" s="76">
        <f t="shared" si="56"/>
        <v>3286</v>
      </c>
      <c r="ED83" s="76">
        <f t="shared" si="56"/>
        <v>3286</v>
      </c>
      <c r="EE83" s="76">
        <f t="shared" si="56"/>
        <v>3390</v>
      </c>
      <c r="EF83" s="76">
        <f t="shared" si="56"/>
        <v>3547</v>
      </c>
      <c r="EG83" s="76">
        <f t="shared" si="56"/>
        <v>3712</v>
      </c>
      <c r="EH83" s="76">
        <f t="shared" si="56"/>
        <v>3886</v>
      </c>
      <c r="EI83" s="76">
        <f t="shared" si="56"/>
        <v>3886</v>
      </c>
      <c r="EJ83" s="76">
        <f t="shared" si="56"/>
        <v>4886</v>
      </c>
      <c r="EK83" s="76">
        <f t="shared" si="56"/>
        <v>6486</v>
      </c>
      <c r="EL83" s="76">
        <f t="shared" si="56"/>
        <v>8186</v>
      </c>
      <c r="EM83" s="76">
        <f t="shared" si="56"/>
        <v>9886</v>
      </c>
      <c r="EN83" s="76">
        <f t="shared" si="56"/>
        <v>10786</v>
      </c>
      <c r="EO83" s="76">
        <f t="shared" si="56"/>
        <v>10886.23</v>
      </c>
      <c r="EP83" s="76">
        <f t="shared" si="56"/>
        <v>10987.462299999999</v>
      </c>
      <c r="EQ83" s="76">
        <f t="shared" si="56"/>
        <v>11089.706922999998</v>
      </c>
      <c r="ER83" s="76">
        <f t="shared" si="56"/>
        <v>11192.97399223</v>
      </c>
      <c r="ES83" s="76">
        <f t="shared" si="56"/>
        <v>11297.273732152298</v>
      </c>
    </row>
    <row r="84" spans="1:150" x14ac:dyDescent="0.3">
      <c r="A84" s="56" t="s">
        <v>629</v>
      </c>
      <c r="DU84" s="104">
        <f>DU200</f>
        <v>10791</v>
      </c>
      <c r="DV84" s="104">
        <f>DV200</f>
        <v>10791</v>
      </c>
      <c r="DW84" s="104">
        <f>DW200</f>
        <v>10791</v>
      </c>
      <c r="DX84" s="104">
        <f>DX200</f>
        <v>10791</v>
      </c>
      <c r="DY84" s="104">
        <f>DX84</f>
        <v>10791</v>
      </c>
      <c r="DZ84" s="104">
        <f>DZ200</f>
        <v>10791</v>
      </c>
      <c r="EA84" s="104">
        <f>EA200</f>
        <v>10783</v>
      </c>
      <c r="EB84" s="104">
        <f>EB200</f>
        <v>10774</v>
      </c>
      <c r="EC84" s="104">
        <f>EC200</f>
        <v>10714</v>
      </c>
      <c r="ED84" s="104">
        <f>EC84</f>
        <v>10714</v>
      </c>
      <c r="EE84" s="104">
        <f>EE200</f>
        <v>10638</v>
      </c>
      <c r="EF84" s="104">
        <f>EF200</f>
        <v>10509</v>
      </c>
      <c r="EG84" s="104">
        <f>EG200</f>
        <v>10393</v>
      </c>
      <c r="EH84" s="104">
        <f>EH200</f>
        <v>10239.999999999998</v>
      </c>
      <c r="EI84" s="104">
        <f>EH84</f>
        <v>10239.999999999998</v>
      </c>
      <c r="EJ84" s="104">
        <f t="shared" ref="EJ84:ES84" si="57">EJ200</f>
        <v>9367.1339999999964</v>
      </c>
      <c r="EK84" s="104">
        <f t="shared" si="57"/>
        <v>7895.4122059999954</v>
      </c>
      <c r="EL84" s="104">
        <f t="shared" si="57"/>
        <v>6324.8449158539934</v>
      </c>
      <c r="EM84" s="104">
        <f t="shared" si="57"/>
        <v>4755.442520096678</v>
      </c>
      <c r="EN84" s="104">
        <f t="shared" si="57"/>
        <v>3987.2155027775461</v>
      </c>
      <c r="EO84" s="104">
        <f t="shared" si="57"/>
        <v>4019.9444423025434</v>
      </c>
      <c r="EP84" s="104">
        <f t="shared" si="57"/>
        <v>4052.8677122832651</v>
      </c>
      <c r="EQ84" s="104">
        <f t="shared" si="57"/>
        <v>4085.9860593938138</v>
      </c>
      <c r="ER84" s="104">
        <f t="shared" si="57"/>
        <v>4119.3002270053548</v>
      </c>
      <c r="ES84" s="104">
        <f t="shared" si="57"/>
        <v>4152.810955056173</v>
      </c>
    </row>
    <row r="85" spans="1:150" x14ac:dyDescent="0.3">
      <c r="A85" s="60" t="s">
        <v>266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85">
        <f t="shared" ref="DU85:ES85" si="58">SUM(DU83:DU84)</f>
        <v>14000</v>
      </c>
      <c r="DV85" s="85">
        <f t="shared" si="58"/>
        <v>14000</v>
      </c>
      <c r="DW85" s="85">
        <f t="shared" si="58"/>
        <v>14000</v>
      </c>
      <c r="DX85" s="85">
        <f t="shared" si="58"/>
        <v>14000</v>
      </c>
      <c r="DY85" s="85">
        <f t="shared" si="58"/>
        <v>14000</v>
      </c>
      <c r="DZ85" s="85">
        <f t="shared" si="58"/>
        <v>14000</v>
      </c>
      <c r="EA85" s="85">
        <f t="shared" si="58"/>
        <v>14000</v>
      </c>
      <c r="EB85" s="85">
        <f t="shared" si="58"/>
        <v>14000</v>
      </c>
      <c r="EC85" s="85">
        <f t="shared" si="58"/>
        <v>14000</v>
      </c>
      <c r="ED85" s="85">
        <f t="shared" si="58"/>
        <v>14000</v>
      </c>
      <c r="EE85" s="85">
        <f t="shared" si="58"/>
        <v>14028</v>
      </c>
      <c r="EF85" s="85">
        <f t="shared" si="58"/>
        <v>14056</v>
      </c>
      <c r="EG85" s="85">
        <f t="shared" si="58"/>
        <v>14105</v>
      </c>
      <c r="EH85" s="85">
        <f t="shared" si="58"/>
        <v>14125.999999999998</v>
      </c>
      <c r="EI85" s="85">
        <f t="shared" si="58"/>
        <v>14125.999999999998</v>
      </c>
      <c r="EJ85" s="85">
        <f t="shared" si="58"/>
        <v>14253.133999999996</v>
      </c>
      <c r="EK85" s="85">
        <f t="shared" si="58"/>
        <v>14381.412205999995</v>
      </c>
      <c r="EL85" s="85">
        <f t="shared" si="58"/>
        <v>14510.844915853993</v>
      </c>
      <c r="EM85" s="85">
        <f t="shared" si="58"/>
        <v>14641.442520096678</v>
      </c>
      <c r="EN85" s="85">
        <f t="shared" si="58"/>
        <v>14773.215502777546</v>
      </c>
      <c r="EO85" s="85">
        <f t="shared" si="58"/>
        <v>14906.174442302543</v>
      </c>
      <c r="EP85" s="85">
        <f t="shared" si="58"/>
        <v>15040.330012283264</v>
      </c>
      <c r="EQ85" s="85">
        <f t="shared" si="58"/>
        <v>15175.692982393812</v>
      </c>
      <c r="ER85" s="85">
        <f t="shared" si="58"/>
        <v>15312.274219235354</v>
      </c>
      <c r="ES85" s="85">
        <f t="shared" si="58"/>
        <v>15450.084687208471</v>
      </c>
    </row>
    <row r="86" spans="1:150" x14ac:dyDescent="0.3">
      <c r="A86" s="61" t="s">
        <v>3989</v>
      </c>
      <c r="DU86" s="885">
        <f>DV86</f>
        <v>0</v>
      </c>
      <c r="DV86" s="885">
        <f t="shared" ref="DV86:DX87" si="59">DV83-DU83</f>
        <v>0</v>
      </c>
      <c r="DW86" s="885">
        <f t="shared" si="59"/>
        <v>0</v>
      </c>
      <c r="DX86" s="885">
        <f t="shared" si="59"/>
        <v>0</v>
      </c>
      <c r="DY86" s="885">
        <f>SUM(DU86:DX86)</f>
        <v>0</v>
      </c>
      <c r="DZ86" s="885">
        <f t="shared" ref="DZ86:EC87" si="60">DZ83-DY83</f>
        <v>0</v>
      </c>
      <c r="EA86" s="885">
        <f t="shared" si="60"/>
        <v>8</v>
      </c>
      <c r="EB86" s="885">
        <f t="shared" si="60"/>
        <v>9</v>
      </c>
      <c r="EC86" s="885">
        <f t="shared" si="60"/>
        <v>60</v>
      </c>
      <c r="ED86" s="887">
        <f>SUM(DZ86:EC86)</f>
        <v>77</v>
      </c>
      <c r="EE86" s="885">
        <f t="shared" ref="EE86:EH87" si="61">EE83-ED83</f>
        <v>104</v>
      </c>
      <c r="EF86" s="885">
        <f t="shared" si="61"/>
        <v>157</v>
      </c>
      <c r="EG86" s="885">
        <f t="shared" si="61"/>
        <v>165</v>
      </c>
      <c r="EH86" s="885">
        <f t="shared" si="61"/>
        <v>174</v>
      </c>
      <c r="EI86" s="887">
        <f>SUM(EE86:EH86)</f>
        <v>600</v>
      </c>
      <c r="EJ86" s="885">
        <f>EJ83-EI83</f>
        <v>1000</v>
      </c>
      <c r="EK86" s="885">
        <f t="shared" ref="EK86:ES86" si="62">EK83-EJ83</f>
        <v>1600</v>
      </c>
      <c r="EL86" s="885">
        <f t="shared" si="62"/>
        <v>1700</v>
      </c>
      <c r="EM86" s="885">
        <f t="shared" si="62"/>
        <v>1700</v>
      </c>
      <c r="EN86" s="885">
        <f t="shared" si="62"/>
        <v>900</v>
      </c>
      <c r="EO86" s="885">
        <f t="shared" si="62"/>
        <v>100.22999999999956</v>
      </c>
      <c r="EP86" s="885">
        <f t="shared" si="62"/>
        <v>101.23229999999967</v>
      </c>
      <c r="EQ86" s="885">
        <f t="shared" si="62"/>
        <v>102.24462299999868</v>
      </c>
      <c r="ER86" s="885">
        <f t="shared" si="62"/>
        <v>103.26706923000165</v>
      </c>
      <c r="ES86" s="885">
        <f t="shared" si="62"/>
        <v>104.29973992229861</v>
      </c>
    </row>
    <row r="87" spans="1:150" x14ac:dyDescent="0.3">
      <c r="A87" s="61" t="s">
        <v>3990</v>
      </c>
      <c r="DU87" s="885">
        <f>DV87</f>
        <v>0</v>
      </c>
      <c r="DV87" s="885">
        <f t="shared" si="59"/>
        <v>0</v>
      </c>
      <c r="DW87" s="885">
        <f t="shared" si="59"/>
        <v>0</v>
      </c>
      <c r="DX87" s="885">
        <f t="shared" si="59"/>
        <v>0</v>
      </c>
      <c r="DY87" s="885">
        <f>SUM(DU87:DX87)</f>
        <v>0</v>
      </c>
      <c r="DZ87" s="885">
        <f t="shared" si="60"/>
        <v>0</v>
      </c>
      <c r="EA87" s="885">
        <f t="shared" si="60"/>
        <v>-8</v>
      </c>
      <c r="EB87" s="885">
        <f t="shared" si="60"/>
        <v>-9</v>
      </c>
      <c r="EC87" s="885">
        <f t="shared" si="60"/>
        <v>-60</v>
      </c>
      <c r="ED87" s="887">
        <f>SUM(DZ87:EC87)</f>
        <v>-77</v>
      </c>
      <c r="EE87" s="885">
        <f t="shared" si="61"/>
        <v>-76</v>
      </c>
      <c r="EF87" s="885">
        <f t="shared" si="61"/>
        <v>-129</v>
      </c>
      <c r="EG87" s="885">
        <f t="shared" si="61"/>
        <v>-116</v>
      </c>
      <c r="EH87" s="885">
        <f t="shared" si="61"/>
        <v>-153.00000000000182</v>
      </c>
      <c r="EI87" s="887">
        <f>SUM(EE87:EH87)</f>
        <v>-474.00000000000182</v>
      </c>
      <c r="EJ87" s="885">
        <f>EJ84-EI84</f>
        <v>-872.8660000000018</v>
      </c>
      <c r="EK87" s="885">
        <f t="shared" ref="EK87:ES87" si="63">EK84-EJ84</f>
        <v>-1471.721794000001</v>
      </c>
      <c r="EL87" s="885">
        <f t="shared" si="63"/>
        <v>-1570.5672901460021</v>
      </c>
      <c r="EM87" s="885">
        <f t="shared" si="63"/>
        <v>-1569.4023957573154</v>
      </c>
      <c r="EN87" s="885">
        <f t="shared" si="63"/>
        <v>-768.22701731913185</v>
      </c>
      <c r="EO87" s="885">
        <f t="shared" si="63"/>
        <v>32.728939524997259</v>
      </c>
      <c r="EP87" s="885">
        <f t="shared" si="63"/>
        <v>32.92326998072167</v>
      </c>
      <c r="EQ87" s="885">
        <f t="shared" si="63"/>
        <v>33.118347110548711</v>
      </c>
      <c r="ER87" s="885">
        <f t="shared" si="63"/>
        <v>33.314167611541052</v>
      </c>
      <c r="ES87" s="885">
        <f t="shared" si="63"/>
        <v>33.510728050818216</v>
      </c>
    </row>
    <row r="88" spans="1:150" x14ac:dyDescent="0.3">
      <c r="A88" s="30"/>
    </row>
    <row r="89" spans="1:150" x14ac:dyDescent="0.3">
      <c r="A89" s="43" t="s">
        <v>3991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857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</row>
    <row r="90" spans="1:150" x14ac:dyDescent="0.3">
      <c r="A90" s="141" t="s">
        <v>3071</v>
      </c>
    </row>
    <row r="91" spans="1:150" x14ac:dyDescent="0.3">
      <c r="A91" t="s">
        <v>3992</v>
      </c>
      <c r="DU91" s="95">
        <f>+DV91</f>
        <v>2933.9853300733498</v>
      </c>
      <c r="DV91" s="95">
        <f>+DW91</f>
        <v>2933.9853300733498</v>
      </c>
      <c r="DW91" s="95">
        <f>+DX91</f>
        <v>2933.9853300733498</v>
      </c>
      <c r="DX91" s="95">
        <f>+DZ91</f>
        <v>2933.9853300733498</v>
      </c>
      <c r="DY91" s="475">
        <f>+DX91</f>
        <v>2933.9853300733498</v>
      </c>
      <c r="DZ91" s="79">
        <f>+Inputs!DZ553</f>
        <v>2933.9853300733498</v>
      </c>
      <c r="EA91" s="79">
        <f>+Inputs!EA553</f>
        <v>2936.7396593673966</v>
      </c>
      <c r="EB91" s="79">
        <f>+Inputs!EB553</f>
        <v>2946.6019417475732</v>
      </c>
      <c r="EC91" s="79">
        <f>+Inputs!EC553</f>
        <v>2954.1062801932367</v>
      </c>
      <c r="ED91" s="475">
        <f>+EC91</f>
        <v>2954.1062801932367</v>
      </c>
      <c r="EE91" s="79">
        <f>+Inputs!EE553</f>
        <v>2961.4457831325303</v>
      </c>
      <c r="EF91" s="365">
        <f>EE91+EF92</f>
        <v>2961.4457831325303</v>
      </c>
      <c r="EG91" s="365">
        <f>EF91+EG92</f>
        <v>2961.4457831325303</v>
      </c>
      <c r="EH91" s="365">
        <f>EG91+EH92</f>
        <v>2961.4457831325303</v>
      </c>
      <c r="EI91" s="475">
        <f>+EH91</f>
        <v>2961.4457831325303</v>
      </c>
      <c r="EJ91" s="365">
        <f t="shared" ref="EJ91:ES91" si="64">EI91+EJ92</f>
        <v>2961.4457831325303</v>
      </c>
      <c r="EK91" s="365">
        <f t="shared" si="64"/>
        <v>2961.4457831325303</v>
      </c>
      <c r="EL91" s="365">
        <f t="shared" si="64"/>
        <v>2961.4457831325303</v>
      </c>
      <c r="EM91" s="365">
        <f t="shared" si="64"/>
        <v>2961.4457831325303</v>
      </c>
      <c r="EN91" s="365">
        <f t="shared" si="64"/>
        <v>2961.4457831325303</v>
      </c>
      <c r="EO91" s="365">
        <f t="shared" si="64"/>
        <v>2961.4457831325303</v>
      </c>
      <c r="EP91" s="365">
        <f t="shared" si="64"/>
        <v>2961.4457831325303</v>
      </c>
      <c r="EQ91" s="365">
        <f t="shared" si="64"/>
        <v>2961.4457831325303</v>
      </c>
      <c r="ER91" s="365">
        <f t="shared" si="64"/>
        <v>2961.4457831325303</v>
      </c>
      <c r="ES91" s="365">
        <f t="shared" si="64"/>
        <v>2961.4457831325303</v>
      </c>
    </row>
    <row r="92" spans="1:150" x14ac:dyDescent="0.3">
      <c r="A92" s="61" t="s">
        <v>3993</v>
      </c>
      <c r="DU92" s="96">
        <f>+DV92</f>
        <v>0</v>
      </c>
      <c r="DV92" s="77">
        <f>+DV91-DU91</f>
        <v>0</v>
      </c>
      <c r="DW92" s="77">
        <f>+DW91-DV91</f>
        <v>0</v>
      </c>
      <c r="DX92" s="77">
        <f>+DX91-DW91</f>
        <v>0</v>
      </c>
      <c r="DY92" s="86">
        <f>+SUM(DU92:DX92)</f>
        <v>0</v>
      </c>
      <c r="DZ92" s="77">
        <f>+DZ91-DY91</f>
        <v>0</v>
      </c>
      <c r="EA92" s="77">
        <f>+EA91-DZ91</f>
        <v>2.7543292940467836</v>
      </c>
      <c r="EB92" s="77">
        <f>+EB91-EA91</f>
        <v>9.8622823801765662</v>
      </c>
      <c r="EC92" s="77">
        <f>+EC91-EB91</f>
        <v>7.5043384456635067</v>
      </c>
      <c r="ED92" s="86">
        <f>+SUM(DZ92:EC92)</f>
        <v>20.120950119886857</v>
      </c>
      <c r="EE92" s="77">
        <f>+EE91-ED91</f>
        <v>7.3395029392936522</v>
      </c>
      <c r="EF92" s="96">
        <v>0</v>
      </c>
      <c r="EG92" s="96">
        <v>0</v>
      </c>
      <c r="EH92" s="96">
        <v>0</v>
      </c>
      <c r="EI92" s="86">
        <f>+SUM(EE92:EH92)</f>
        <v>7.3395029392936522</v>
      </c>
      <c r="EJ92" s="96">
        <v>0</v>
      </c>
      <c r="EK92" s="96">
        <v>0</v>
      </c>
      <c r="EL92" s="96">
        <v>0</v>
      </c>
      <c r="EM92" s="96">
        <v>0</v>
      </c>
      <c r="EN92" s="96">
        <v>0</v>
      </c>
      <c r="EO92" s="96">
        <v>0</v>
      </c>
      <c r="EP92" s="96">
        <v>0</v>
      </c>
      <c r="EQ92" s="96">
        <v>0</v>
      </c>
      <c r="ER92" s="96">
        <v>0</v>
      </c>
      <c r="ES92" s="96">
        <v>0</v>
      </c>
    </row>
    <row r="93" spans="1:150" x14ac:dyDescent="0.3">
      <c r="A93" s="61" t="s">
        <v>3994</v>
      </c>
      <c r="DU93" s="96"/>
      <c r="DV93" s="77"/>
      <c r="DW93" s="77"/>
      <c r="DX93" s="77"/>
      <c r="DY93" s="86"/>
      <c r="DZ93" s="75">
        <f t="shared" ref="DZ93:ES93" si="65">DZ91/DU91-1</f>
        <v>0</v>
      </c>
      <c r="EA93" s="75">
        <f t="shared" si="65"/>
        <v>9.3876723438768295E-4</v>
      </c>
      <c r="EB93" s="75">
        <f t="shared" si="65"/>
        <v>4.3001618122977536E-3</v>
      </c>
      <c r="EC93" s="75">
        <f t="shared" si="65"/>
        <v>6.8578904991947187E-3</v>
      </c>
      <c r="ED93" s="84">
        <f t="shared" si="65"/>
        <v>6.8578904991947187E-3</v>
      </c>
      <c r="EE93" s="75">
        <f t="shared" si="65"/>
        <v>9.3594377510040072E-3</v>
      </c>
      <c r="EF93" s="75">
        <f t="shared" si="65"/>
        <v>8.4127728810852176E-3</v>
      </c>
      <c r="EG93" s="75">
        <f t="shared" si="65"/>
        <v>5.0376133859986183E-3</v>
      </c>
      <c r="EH93" s="75">
        <f t="shared" si="65"/>
        <v>2.4845087627698437E-3</v>
      </c>
      <c r="EI93" s="84">
        <f t="shared" si="65"/>
        <v>2.4845087627698437E-3</v>
      </c>
      <c r="EJ93" s="75">
        <f t="shared" si="65"/>
        <v>0</v>
      </c>
      <c r="EK93" s="75">
        <f t="shared" si="65"/>
        <v>0</v>
      </c>
      <c r="EL93" s="75">
        <f t="shared" si="65"/>
        <v>0</v>
      </c>
      <c r="EM93" s="75">
        <f t="shared" si="65"/>
        <v>0</v>
      </c>
      <c r="EN93" s="75">
        <f t="shared" si="65"/>
        <v>0</v>
      </c>
      <c r="EO93" s="75">
        <f t="shared" si="65"/>
        <v>0</v>
      </c>
      <c r="EP93" s="75">
        <f t="shared" si="65"/>
        <v>0</v>
      </c>
      <c r="EQ93" s="75">
        <f t="shared" si="65"/>
        <v>0</v>
      </c>
      <c r="ER93" s="75">
        <f t="shared" si="65"/>
        <v>0</v>
      </c>
      <c r="ES93" s="75">
        <f t="shared" si="65"/>
        <v>0</v>
      </c>
    </row>
    <row r="95" spans="1:150" x14ac:dyDescent="0.3">
      <c r="A95" s="141" t="s">
        <v>3995</v>
      </c>
    </row>
    <row r="96" spans="1:150" x14ac:dyDescent="0.3">
      <c r="A96" t="s">
        <v>3992</v>
      </c>
      <c r="DU96" s="134">
        <f>DU101-DU91</f>
        <v>266.01466992665019</v>
      </c>
      <c r="DV96" s="134">
        <f>DV101-DV91</f>
        <v>266.01466992665019</v>
      </c>
      <c r="DW96" s="134">
        <f>DW101-DW91</f>
        <v>266.01466992665019</v>
      </c>
      <c r="DX96" s="134">
        <f>DX101-DX91</f>
        <v>266.01466992665019</v>
      </c>
      <c r="DY96" s="475">
        <f>+DX96</f>
        <v>266.01466992665019</v>
      </c>
      <c r="DZ96" s="134">
        <f>DZ101-DZ91</f>
        <v>266.01466992665019</v>
      </c>
      <c r="EA96" s="134">
        <f>EA101-EA91</f>
        <v>263.2603406326034</v>
      </c>
      <c r="EB96" s="134">
        <f>EB101-EB91</f>
        <v>253.39805825242684</v>
      </c>
      <c r="EC96" s="134">
        <f>EC101-EC91</f>
        <v>245.89371980676333</v>
      </c>
      <c r="ED96" s="475">
        <f>+EC96</f>
        <v>245.89371980676333</v>
      </c>
      <c r="EE96" s="134">
        <f>EE101-EE91</f>
        <v>238.55421686746968</v>
      </c>
      <c r="EF96" s="134">
        <f>EF101-EF91</f>
        <v>238.55421686746968</v>
      </c>
      <c r="EG96" s="134">
        <f>EF96+EG97</f>
        <v>238.55421686746968</v>
      </c>
      <c r="EH96" s="134">
        <f>EG96+EH97</f>
        <v>238.55421686746968</v>
      </c>
      <c r="EI96" s="475">
        <f>+EH96</f>
        <v>238.55421686746968</v>
      </c>
      <c r="EJ96" s="134">
        <f t="shared" ref="EJ96:ES96" si="66">EI96+EJ97</f>
        <v>238.55421686746968</v>
      </c>
      <c r="EK96" s="134">
        <f t="shared" si="66"/>
        <v>238.55421686746968</v>
      </c>
      <c r="EL96" s="134">
        <f t="shared" si="66"/>
        <v>238.55421686746968</v>
      </c>
      <c r="EM96" s="134">
        <f t="shared" si="66"/>
        <v>238.55421686746968</v>
      </c>
      <c r="EN96" s="134">
        <f t="shared" si="66"/>
        <v>238.55421686746968</v>
      </c>
      <c r="EO96" s="134">
        <f t="shared" si="66"/>
        <v>238.55421686746968</v>
      </c>
      <c r="EP96" s="134">
        <f t="shared" si="66"/>
        <v>238.55421686746968</v>
      </c>
      <c r="EQ96" s="134">
        <f t="shared" si="66"/>
        <v>238.55421686746968</v>
      </c>
      <c r="ER96" s="134">
        <f t="shared" si="66"/>
        <v>238.55421686746968</v>
      </c>
      <c r="ES96" s="134">
        <f t="shared" si="66"/>
        <v>238.55421686746968</v>
      </c>
    </row>
    <row r="97" spans="1:149" x14ac:dyDescent="0.3">
      <c r="A97" s="61" t="s">
        <v>3993</v>
      </c>
      <c r="DU97" s="96">
        <f>+DV97</f>
        <v>0</v>
      </c>
      <c r="DV97" s="77">
        <f>+DV96-DU96</f>
        <v>0</v>
      </c>
      <c r="DW97" s="77">
        <f>+DW96-DV96</f>
        <v>0</v>
      </c>
      <c r="DX97" s="77">
        <f>+DX96-DW96</f>
        <v>0</v>
      </c>
      <c r="DY97" s="86">
        <f>+SUM(DU97:DX97)</f>
        <v>0</v>
      </c>
      <c r="DZ97" s="77">
        <f>+DZ96-DY96</f>
        <v>0</v>
      </c>
      <c r="EA97" s="77">
        <f>+EA96-DZ96</f>
        <v>-2.7543292940467836</v>
      </c>
      <c r="EB97" s="77">
        <f>+EB96-EA96</f>
        <v>-9.8622823801765662</v>
      </c>
      <c r="EC97" s="77">
        <f>+EC96-EB96</f>
        <v>-7.5043384456635067</v>
      </c>
      <c r="ED97" s="86">
        <f>+SUM(DZ97:EC97)</f>
        <v>-20.120950119886857</v>
      </c>
      <c r="EE97" s="77">
        <f>+EE96-ED96</f>
        <v>-7.3395029392936522</v>
      </c>
      <c r="EF97" s="77">
        <f>+EF96-EE96</f>
        <v>0</v>
      </c>
      <c r="EG97" s="96">
        <v>0</v>
      </c>
      <c r="EH97" s="96">
        <v>0</v>
      </c>
      <c r="EI97" s="86">
        <f>+SUM(EE97:EH97)</f>
        <v>-7.3395029392936522</v>
      </c>
      <c r="EJ97" s="96">
        <v>0</v>
      </c>
      <c r="EK97" s="96">
        <v>0</v>
      </c>
      <c r="EL97" s="96">
        <v>0</v>
      </c>
      <c r="EM97" s="96">
        <v>0</v>
      </c>
      <c r="EN97" s="96">
        <v>0</v>
      </c>
      <c r="EO97" s="96">
        <v>0</v>
      </c>
      <c r="EP97" s="96">
        <v>0</v>
      </c>
      <c r="EQ97" s="96">
        <v>0</v>
      </c>
      <c r="ER97" s="96">
        <v>0</v>
      </c>
      <c r="ES97" s="96">
        <v>0</v>
      </c>
    </row>
    <row r="98" spans="1:149" x14ac:dyDescent="0.3">
      <c r="A98" s="61" t="s">
        <v>3994</v>
      </c>
      <c r="DU98" s="96"/>
      <c r="DV98" s="77"/>
      <c r="DW98" s="77"/>
      <c r="DX98" s="77"/>
      <c r="DY98" s="86"/>
      <c r="DZ98" s="75">
        <f t="shared" ref="DZ98:ES98" si="67">DZ96/DU96-1</f>
        <v>0</v>
      </c>
      <c r="EA98" s="75">
        <f t="shared" si="67"/>
        <v>-1.035405037927517E-2</v>
      </c>
      <c r="EB98" s="75">
        <f t="shared" si="67"/>
        <v>-4.742825528269623E-2</v>
      </c>
      <c r="EC98" s="75">
        <f t="shared" si="67"/>
        <v>-7.5638498152883593E-2</v>
      </c>
      <c r="ED98" s="84">
        <f t="shared" si="67"/>
        <v>-7.5638498152883593E-2</v>
      </c>
      <c r="EE98" s="75">
        <f t="shared" si="67"/>
        <v>-0.10322909284195625</v>
      </c>
      <c r="EF98" s="75">
        <f t="shared" si="67"/>
        <v>-9.3846736298243583E-2</v>
      </c>
      <c r="EG98" s="75">
        <f t="shared" si="67"/>
        <v>-5.857914416285781E-2</v>
      </c>
      <c r="EH98" s="75">
        <f t="shared" si="67"/>
        <v>-2.9848273250172586E-2</v>
      </c>
      <c r="EI98" s="84">
        <f t="shared" si="67"/>
        <v>-2.9848273250172586E-2</v>
      </c>
      <c r="EJ98" s="75">
        <f t="shared" si="67"/>
        <v>0</v>
      </c>
      <c r="EK98" s="75">
        <f t="shared" si="67"/>
        <v>0</v>
      </c>
      <c r="EL98" s="75">
        <f t="shared" si="67"/>
        <v>0</v>
      </c>
      <c r="EM98" s="75">
        <f t="shared" si="67"/>
        <v>0</v>
      </c>
      <c r="EN98" s="75">
        <f t="shared" si="67"/>
        <v>0</v>
      </c>
      <c r="EO98" s="75">
        <f t="shared" si="67"/>
        <v>0</v>
      </c>
      <c r="EP98" s="75">
        <f t="shared" si="67"/>
        <v>0</v>
      </c>
      <c r="EQ98" s="75">
        <f t="shared" si="67"/>
        <v>0</v>
      </c>
      <c r="ER98" s="75">
        <f t="shared" si="67"/>
        <v>0</v>
      </c>
      <c r="ES98" s="75">
        <f t="shared" si="67"/>
        <v>0</v>
      </c>
    </row>
    <row r="100" spans="1:149" x14ac:dyDescent="0.3">
      <c r="A100" s="141" t="s">
        <v>331</v>
      </c>
    </row>
    <row r="101" spans="1:149" x14ac:dyDescent="0.3">
      <c r="A101" t="s">
        <v>3992</v>
      </c>
      <c r="DU101" s="57">
        <v>3200</v>
      </c>
      <c r="DV101" s="57">
        <v>3200</v>
      </c>
      <c r="DW101" s="57">
        <v>3200</v>
      </c>
      <c r="DX101" s="44">
        <f>+Inputs!DX550</f>
        <v>3200</v>
      </c>
      <c r="DY101" s="475">
        <f>+DX101</f>
        <v>3200</v>
      </c>
      <c r="DZ101" s="79">
        <f>Inputs!DZ344*1000</f>
        <v>3200</v>
      </c>
      <c r="EA101" s="79">
        <f>Inputs!EA344*1000</f>
        <v>3200</v>
      </c>
      <c r="EB101" s="79">
        <f>Inputs!EB344*1000</f>
        <v>3200</v>
      </c>
      <c r="EC101" s="79">
        <f>Inputs!EC344*1000</f>
        <v>3200</v>
      </c>
      <c r="ED101" s="475">
        <f>+EC101</f>
        <v>3200</v>
      </c>
      <c r="EE101" s="79">
        <f>Inputs!EE344*1000</f>
        <v>3200</v>
      </c>
      <c r="EF101" s="79">
        <f>Inputs!EF344*1000</f>
        <v>3200</v>
      </c>
      <c r="EG101" s="134">
        <f>EG91+EG96</f>
        <v>3200</v>
      </c>
      <c r="EH101" s="134">
        <f>EH91+EH96</f>
        <v>3200</v>
      </c>
      <c r="EI101" s="475">
        <f>+EH101</f>
        <v>3200</v>
      </c>
      <c r="EJ101" s="134">
        <f t="shared" ref="EJ101:ES101" si="68">EJ91+EJ96</f>
        <v>3200</v>
      </c>
      <c r="EK101" s="134">
        <f t="shared" si="68"/>
        <v>3200</v>
      </c>
      <c r="EL101" s="134">
        <f t="shared" si="68"/>
        <v>3200</v>
      </c>
      <c r="EM101" s="134">
        <f t="shared" si="68"/>
        <v>3200</v>
      </c>
      <c r="EN101" s="134">
        <f t="shared" si="68"/>
        <v>3200</v>
      </c>
      <c r="EO101" s="134">
        <f t="shared" si="68"/>
        <v>3200</v>
      </c>
      <c r="EP101" s="134">
        <f t="shared" si="68"/>
        <v>3200</v>
      </c>
      <c r="EQ101" s="134">
        <f t="shared" si="68"/>
        <v>3200</v>
      </c>
      <c r="ER101" s="134">
        <f t="shared" si="68"/>
        <v>3200</v>
      </c>
      <c r="ES101" s="134">
        <f t="shared" si="68"/>
        <v>3200</v>
      </c>
    </row>
    <row r="102" spans="1:149" x14ac:dyDescent="0.3">
      <c r="A102" s="61" t="s">
        <v>3993</v>
      </c>
      <c r="DU102" s="96">
        <f>+DV102</f>
        <v>0</v>
      </c>
      <c r="DV102" s="77">
        <f>+DV101-DU101</f>
        <v>0</v>
      </c>
      <c r="DW102" s="77">
        <f>+DW101-DV101</f>
        <v>0</v>
      </c>
      <c r="DX102" s="77">
        <f>+DX101-DW101</f>
        <v>0</v>
      </c>
      <c r="DY102" s="86">
        <f>+SUM(DU102:DX102)</f>
        <v>0</v>
      </c>
      <c r="DZ102" s="77">
        <f>+DZ101-DY101</f>
        <v>0</v>
      </c>
      <c r="EA102" s="77">
        <f>+EA101-DZ101</f>
        <v>0</v>
      </c>
      <c r="EB102" s="77">
        <f>+EB101-EA101</f>
        <v>0</v>
      </c>
      <c r="EC102" s="77">
        <f>+EC101-EB101</f>
        <v>0</v>
      </c>
      <c r="ED102" s="86">
        <f>+SUM(DZ102:EC102)</f>
        <v>0</v>
      </c>
      <c r="EE102" s="77">
        <f>+EE101-ED101</f>
        <v>0</v>
      </c>
      <c r="EF102" s="77">
        <f>+EF101-EE101</f>
        <v>0</v>
      </c>
      <c r="EG102" s="77">
        <f>+EG101-EF101</f>
        <v>0</v>
      </c>
      <c r="EH102" s="77">
        <f>+EH101-EG101</f>
        <v>0</v>
      </c>
      <c r="EI102" s="86">
        <f>+SUM(EE102:EH102)</f>
        <v>0</v>
      </c>
      <c r="EJ102" s="77">
        <f t="shared" ref="EJ102:ES102" si="69">+EJ101-EI101</f>
        <v>0</v>
      </c>
      <c r="EK102" s="77">
        <f t="shared" si="69"/>
        <v>0</v>
      </c>
      <c r="EL102" s="77">
        <f t="shared" si="69"/>
        <v>0</v>
      </c>
      <c r="EM102" s="77">
        <f t="shared" si="69"/>
        <v>0</v>
      </c>
      <c r="EN102" s="77">
        <f t="shared" si="69"/>
        <v>0</v>
      </c>
      <c r="EO102" s="77">
        <f t="shared" si="69"/>
        <v>0</v>
      </c>
      <c r="EP102" s="77">
        <f t="shared" si="69"/>
        <v>0</v>
      </c>
      <c r="EQ102" s="77">
        <f t="shared" si="69"/>
        <v>0</v>
      </c>
      <c r="ER102" s="77">
        <f t="shared" si="69"/>
        <v>0</v>
      </c>
      <c r="ES102" s="77">
        <f t="shared" si="69"/>
        <v>0</v>
      </c>
    </row>
    <row r="103" spans="1:149" x14ac:dyDescent="0.3">
      <c r="A103" s="61" t="s">
        <v>3994</v>
      </c>
      <c r="DU103" s="96"/>
      <c r="DV103" s="77"/>
      <c r="DW103" s="77"/>
      <c r="DX103" s="77"/>
      <c r="DY103" s="86"/>
      <c r="DZ103" s="75">
        <f t="shared" ref="DZ103:ES103" si="70">DZ101/DU101-1</f>
        <v>0</v>
      </c>
      <c r="EA103" s="75">
        <f t="shared" si="70"/>
        <v>0</v>
      </c>
      <c r="EB103" s="75">
        <f t="shared" si="70"/>
        <v>0</v>
      </c>
      <c r="EC103" s="75">
        <f t="shared" si="70"/>
        <v>0</v>
      </c>
      <c r="ED103" s="84">
        <f t="shared" si="70"/>
        <v>0</v>
      </c>
      <c r="EE103" s="75">
        <f t="shared" si="70"/>
        <v>0</v>
      </c>
      <c r="EF103" s="75">
        <f t="shared" si="70"/>
        <v>0</v>
      </c>
      <c r="EG103" s="75">
        <f t="shared" si="70"/>
        <v>0</v>
      </c>
      <c r="EH103" s="75">
        <f t="shared" si="70"/>
        <v>0</v>
      </c>
      <c r="EI103" s="84">
        <f t="shared" si="70"/>
        <v>0</v>
      </c>
      <c r="EJ103" s="75">
        <f t="shared" si="70"/>
        <v>0</v>
      </c>
      <c r="EK103" s="75">
        <f t="shared" si="70"/>
        <v>0</v>
      </c>
      <c r="EL103" s="75">
        <f t="shared" si="70"/>
        <v>0</v>
      </c>
      <c r="EM103" s="75">
        <f t="shared" si="70"/>
        <v>0</v>
      </c>
      <c r="EN103" s="75">
        <f t="shared" si="70"/>
        <v>0</v>
      </c>
      <c r="EO103" s="75">
        <f t="shared" si="70"/>
        <v>0</v>
      </c>
      <c r="EP103" s="75">
        <f t="shared" si="70"/>
        <v>0</v>
      </c>
      <c r="EQ103" s="75">
        <f t="shared" si="70"/>
        <v>0</v>
      </c>
      <c r="ER103" s="75">
        <f t="shared" si="70"/>
        <v>0</v>
      </c>
      <c r="ES103" s="75">
        <f t="shared" si="70"/>
        <v>0</v>
      </c>
    </row>
    <row r="105" spans="1:149" x14ac:dyDescent="0.3">
      <c r="A105" s="55" t="s">
        <v>3996</v>
      </c>
    </row>
    <row r="106" spans="1:149" x14ac:dyDescent="0.3">
      <c r="A106" s="63" t="s">
        <v>3997</v>
      </c>
      <c r="DU106" s="76">
        <f>+DU109-DU111</f>
        <v>1218</v>
      </c>
      <c r="DV106" s="76">
        <f>+DU109</f>
        <v>1211</v>
      </c>
      <c r="DW106" s="76">
        <f>+DV109</f>
        <v>1201</v>
      </c>
      <c r="DX106" s="76">
        <f>+DW109</f>
        <v>1201</v>
      </c>
      <c r="DY106" s="85">
        <f>+DU106</f>
        <v>1218</v>
      </c>
      <c r="DZ106" s="76">
        <f>+DY109</f>
        <v>1205</v>
      </c>
      <c r="EA106" s="76">
        <f>+DZ109</f>
        <v>1214.4662790697676</v>
      </c>
      <c r="EB106" s="76">
        <f>+EA109</f>
        <v>1221.9918604651164</v>
      </c>
      <c r="EC106" s="76">
        <f>+EB109</f>
        <v>1227.4581395348837</v>
      </c>
      <c r="ED106" s="85">
        <f>+DZ106</f>
        <v>1205</v>
      </c>
      <c r="EE106" s="76">
        <f>+ED109</f>
        <v>1232.9000000000001</v>
      </c>
      <c r="EF106" s="76">
        <f>+EE109</f>
        <v>1243.3</v>
      </c>
      <c r="EG106" s="76">
        <f>+EF109</f>
        <v>1248.827</v>
      </c>
      <c r="EH106" s="76">
        <f>+EG109</f>
        <v>1267.3584599999999</v>
      </c>
      <c r="EI106" s="85">
        <f>+EE106</f>
        <v>1232.9000000000001</v>
      </c>
      <c r="EJ106" s="76">
        <f t="shared" ref="EJ106:ES106" si="71">+EI109</f>
        <v>1296.7492907999999</v>
      </c>
      <c r="EK106" s="76">
        <f t="shared" si="71"/>
        <v>1418.9141431925009</v>
      </c>
      <c r="EL106" s="76">
        <f t="shared" si="71"/>
        <v>1480.3518530704437</v>
      </c>
      <c r="EM106" s="76">
        <f t="shared" si="71"/>
        <v>1467.1525630051756</v>
      </c>
      <c r="EN106" s="76">
        <f t="shared" si="71"/>
        <v>1401.0505717761234</v>
      </c>
      <c r="EO106" s="76">
        <f t="shared" si="71"/>
        <v>1347.0291123890734</v>
      </c>
      <c r="EP106" s="76">
        <f t="shared" si="71"/>
        <v>1312.5390312938107</v>
      </c>
      <c r="EQ106" s="76">
        <f t="shared" si="71"/>
        <v>1270.9923163450148</v>
      </c>
      <c r="ER106" s="76">
        <f t="shared" si="71"/>
        <v>1277.4432282709113</v>
      </c>
      <c r="ES106" s="76">
        <f t="shared" si="71"/>
        <v>1336.9010307424401</v>
      </c>
    </row>
    <row r="107" spans="1:149" x14ac:dyDescent="0.3">
      <c r="A107" s="63" t="s">
        <v>336</v>
      </c>
      <c r="DU107" s="76">
        <f>+DU109-DU108-DU106</f>
        <v>92.754200000000083</v>
      </c>
      <c r="DV107" s="76">
        <f>+DV109-DV108-DV106</f>
        <v>90.270800000000008</v>
      </c>
      <c r="DW107" s="76">
        <f>+DW109-DW108-DW106</f>
        <v>95.119200000000092</v>
      </c>
      <c r="DX107" s="76">
        <f>+DX109-DX108-DX106</f>
        <v>83.626299999999901</v>
      </c>
      <c r="DY107" s="85">
        <f>+SUM(DU107:DX107)</f>
        <v>361.77050000000008</v>
      </c>
      <c r="DZ107" s="76">
        <f>+DZ109-DZ108-DZ106</f>
        <v>79.597279069767637</v>
      </c>
      <c r="EA107" s="76">
        <f>+EA109-EA108-EA106</f>
        <v>62.90524372093023</v>
      </c>
      <c r="EB107" s="76">
        <f>+EB109-EB108-EB106</f>
        <v>71.453839534883627</v>
      </c>
      <c r="EC107" s="76">
        <f>+EC109-EC108-EC106</f>
        <v>62.886901395349014</v>
      </c>
      <c r="ED107" s="85">
        <f>+SUM(DZ107:EC107)</f>
        <v>276.84326372093051</v>
      </c>
      <c r="EE107" s="76">
        <f>+EE109-EE108-EE106</f>
        <v>62.551669999999831</v>
      </c>
      <c r="EF107" s="76">
        <f>EF109-EF108-EF106</f>
        <v>62.594470000000001</v>
      </c>
      <c r="EG107" s="76">
        <f>EG109-EG108-EG106</f>
        <v>79.599100299999918</v>
      </c>
      <c r="EH107" s="76">
        <f>EH109-EH108-EH106</f>
        <v>95.166734873999985</v>
      </c>
      <c r="EI107" s="85">
        <f>+SUM(EE107:EH107)</f>
        <v>299.91197517399974</v>
      </c>
      <c r="EJ107" s="76">
        <f t="shared" ref="EJ107:ES107" si="72">EJ109-EJ108-EJ106</f>
        <v>386.7017077157011</v>
      </c>
      <c r="EK107" s="76">
        <f t="shared" si="72"/>
        <v>350.89619508921305</v>
      </c>
      <c r="EL107" s="76">
        <f t="shared" si="72"/>
        <v>288.79248796110232</v>
      </c>
      <c r="EM107" s="76">
        <f t="shared" si="72"/>
        <v>233.19713162400376</v>
      </c>
      <c r="EN107" s="76">
        <f t="shared" si="72"/>
        <v>231.79285725527916</v>
      </c>
      <c r="EO107" s="76">
        <f t="shared" si="72"/>
        <v>240.30385783210841</v>
      </c>
      <c r="EP107" s="76">
        <f t="shared" si="72"/>
        <v>226.21124743514156</v>
      </c>
      <c r="EQ107" s="76">
        <f t="shared" si="72"/>
        <v>265.73334446027957</v>
      </c>
      <c r="ER107" s="76">
        <f t="shared" si="72"/>
        <v>320.05622103879477</v>
      </c>
      <c r="ES107" s="76">
        <f t="shared" si="72"/>
        <v>365.82384420238714</v>
      </c>
    </row>
    <row r="108" spans="1:149" x14ac:dyDescent="0.3">
      <c r="A108" s="63" t="s">
        <v>337</v>
      </c>
      <c r="DU108" s="76">
        <f>+DU113*DU106*-3</f>
        <v>-99.754200000000012</v>
      </c>
      <c r="DV108" s="76">
        <f>+DV113*DV106*-3</f>
        <v>-100.27080000000001</v>
      </c>
      <c r="DW108" s="76">
        <f>+DW113*DW106*-3</f>
        <v>-95.119199999999992</v>
      </c>
      <c r="DX108" s="76">
        <f>+DX113*DX106*-3</f>
        <v>-79.626300000000001</v>
      </c>
      <c r="DY108" s="85">
        <f>+SUM(DU108:DX108)</f>
        <v>-374.77050000000003</v>
      </c>
      <c r="DZ108" s="76">
        <f>+DZ113*DZ106*-3</f>
        <v>-70.131</v>
      </c>
      <c r="EA108" s="76">
        <f>+EA113*EA106*-3</f>
        <v>-55.3796623255814</v>
      </c>
      <c r="EB108" s="76">
        <f>+EB113*EB106*-3</f>
        <v>-65.987560465116275</v>
      </c>
      <c r="EC108" s="76">
        <f>+EC113*EC106*-3</f>
        <v>-57.445040930232558</v>
      </c>
      <c r="ED108" s="85">
        <f>+SUM(DZ108:EC108)</f>
        <v>-248.94326372093022</v>
      </c>
      <c r="EE108" s="76">
        <f>+EE113*EE106*-3</f>
        <v>-52.151670000000003</v>
      </c>
      <c r="EF108" s="76">
        <f>+EF113*EF106*-3</f>
        <v>-57.067469999999993</v>
      </c>
      <c r="EG108" s="76">
        <f>+EG113*EG106*-3</f>
        <v>-61.067640299999994</v>
      </c>
      <c r="EH108" s="76">
        <f>+EH113*EH106*-3</f>
        <v>-65.775904073999996</v>
      </c>
      <c r="EI108" s="85">
        <f>+SUM(EE108:EH108)</f>
        <v>-236.06268437399996</v>
      </c>
      <c r="EJ108" s="76">
        <f>+EJ113*EJ106*-12</f>
        <v>-264.53685532320003</v>
      </c>
      <c r="EK108" s="76">
        <f t="shared" ref="EK108:ES108" si="73">+EK113*EK106*-12</f>
        <v>-289.45848521127022</v>
      </c>
      <c r="EL108" s="76">
        <f t="shared" si="73"/>
        <v>-301.99177802637053</v>
      </c>
      <c r="EM108" s="76">
        <f t="shared" si="73"/>
        <v>-299.29912285305579</v>
      </c>
      <c r="EN108" s="76">
        <f t="shared" si="73"/>
        <v>-285.81431664232923</v>
      </c>
      <c r="EO108" s="76">
        <f t="shared" si="73"/>
        <v>-274.79393892737096</v>
      </c>
      <c r="EP108" s="76">
        <f t="shared" si="73"/>
        <v>-267.75796238393741</v>
      </c>
      <c r="EQ108" s="76">
        <f t="shared" si="73"/>
        <v>-259.28243253438308</v>
      </c>
      <c r="ER108" s="76">
        <f t="shared" si="73"/>
        <v>-260.59841856726592</v>
      </c>
      <c r="ES108" s="76">
        <f t="shared" si="73"/>
        <v>-272.72781027145777</v>
      </c>
    </row>
    <row r="109" spans="1:149" x14ac:dyDescent="0.3">
      <c r="A109" s="64" t="s">
        <v>3998</v>
      </c>
      <c r="DU109" s="855">
        <f>+Inputs!DU365-DU208</f>
        <v>1211</v>
      </c>
      <c r="DV109" s="855">
        <f>+Inputs!DV365-DV208</f>
        <v>1201</v>
      </c>
      <c r="DW109" s="855">
        <f>+Inputs!DW365-DW208</f>
        <v>1201</v>
      </c>
      <c r="DX109" s="855">
        <f>+Inputs!DX365-DX208</f>
        <v>1205</v>
      </c>
      <c r="DY109" s="803">
        <f>+DX109</f>
        <v>1205</v>
      </c>
      <c r="DZ109" s="855">
        <f>+Inputs!DZ365-DZ208</f>
        <v>1214.4662790697676</v>
      </c>
      <c r="EA109" s="855">
        <f>+Inputs!EA365-EA208</f>
        <v>1221.9918604651164</v>
      </c>
      <c r="EB109" s="855">
        <f>+Inputs!EB365-EB208</f>
        <v>1227.4581395348837</v>
      </c>
      <c r="EC109" s="855">
        <f>+Inputs!EC365-EC208</f>
        <v>1232.9000000000001</v>
      </c>
      <c r="ED109" s="803">
        <f>+EC109</f>
        <v>1232.9000000000001</v>
      </c>
      <c r="EE109" s="855">
        <f>+Inputs!EE365-EE208</f>
        <v>1243.3</v>
      </c>
      <c r="EF109" s="855">
        <f>+Inputs!EF365-EF208</f>
        <v>1248.827</v>
      </c>
      <c r="EG109" s="803">
        <f>Drivers!EG115-'Segment Model'!EG208</f>
        <v>1267.3584599999999</v>
      </c>
      <c r="EH109" s="803">
        <f>Drivers!EH115-'Segment Model'!EH208</f>
        <v>1296.7492907999999</v>
      </c>
      <c r="EI109" s="803">
        <f>+EH109</f>
        <v>1296.7492907999999</v>
      </c>
      <c r="EJ109" s="803">
        <f>Drivers!EN115-'Segment Model'!EJ208</f>
        <v>1418.9141431925009</v>
      </c>
      <c r="EK109" s="803">
        <f>Drivers!ES115-'Segment Model'!EK208</f>
        <v>1480.3518530704437</v>
      </c>
      <c r="EL109" s="803">
        <f>Drivers!EX115-'Segment Model'!EL208</f>
        <v>1467.1525630051756</v>
      </c>
      <c r="EM109" s="803">
        <f>Drivers!FC115-'Segment Model'!EM208</f>
        <v>1401.0505717761234</v>
      </c>
      <c r="EN109" s="803">
        <f>Drivers!FD115-'Segment Model'!EN208</f>
        <v>1347.0291123890734</v>
      </c>
      <c r="EO109" s="803">
        <f>Drivers!FE115-'Segment Model'!EO208</f>
        <v>1312.5390312938107</v>
      </c>
      <c r="EP109" s="803">
        <f>Drivers!FF115-'Segment Model'!EP208</f>
        <v>1270.9923163450148</v>
      </c>
      <c r="EQ109" s="803">
        <f>Drivers!FG115-'Segment Model'!EQ208</f>
        <v>1277.4432282709113</v>
      </c>
      <c r="ER109" s="803">
        <f>Drivers!FH115-'Segment Model'!ER208</f>
        <v>1336.9010307424401</v>
      </c>
      <c r="ES109" s="803">
        <f>Drivers!FI115-'Segment Model'!ES208</f>
        <v>1429.9970646733696</v>
      </c>
    </row>
    <row r="110" spans="1:149" x14ac:dyDescent="0.3">
      <c r="A110" s="61" t="s">
        <v>339</v>
      </c>
      <c r="DZ110" s="75">
        <f t="shared" ref="DZ110:EI110" si="74">+DZ109/DU109-1</f>
        <v>2.8623278858526113E-3</v>
      </c>
      <c r="EA110" s="75">
        <f t="shared" si="74"/>
        <v>1.7478651511337429E-2</v>
      </c>
      <c r="EB110" s="75">
        <f t="shared" si="74"/>
        <v>2.2030091203067093E-2</v>
      </c>
      <c r="EC110" s="75">
        <f t="shared" si="74"/>
        <v>2.3153526970954408E-2</v>
      </c>
      <c r="ED110" s="84">
        <f t="shared" si="74"/>
        <v>2.3153526970954408E-2</v>
      </c>
      <c r="EE110" s="75">
        <f t="shared" si="74"/>
        <v>2.3741886808349877E-2</v>
      </c>
      <c r="EF110" s="75">
        <f t="shared" si="74"/>
        <v>2.1960162258911842E-2</v>
      </c>
      <c r="EG110" s="75">
        <f t="shared" si="74"/>
        <v>3.2506461263302588E-2</v>
      </c>
      <c r="EH110" s="75">
        <f t="shared" si="74"/>
        <v>5.1787890988725716E-2</v>
      </c>
      <c r="EI110" s="84">
        <f t="shared" si="74"/>
        <v>5.1787890988725716E-2</v>
      </c>
      <c r="EJ110" s="75">
        <f>+EJ109/EI109-1</f>
        <v>9.4208536113510544E-2</v>
      </c>
      <c r="EK110" s="75">
        <f t="shared" ref="EK110:ES110" si="75">+EK109/EJ109-1</f>
        <v>4.3299103171746678E-2</v>
      </c>
      <c r="EL110" s="75">
        <f t="shared" si="75"/>
        <v>-8.916319480325563E-3</v>
      </c>
      <c r="EM110" s="75">
        <f t="shared" si="75"/>
        <v>-4.505461319827242E-2</v>
      </c>
      <c r="EN110" s="75">
        <f t="shared" si="75"/>
        <v>-3.8557822590634006E-2</v>
      </c>
      <c r="EO110" s="75">
        <f t="shared" si="75"/>
        <v>-2.560455507460524E-2</v>
      </c>
      <c r="EP110" s="75">
        <f t="shared" si="75"/>
        <v>-3.1653698639225958E-2</v>
      </c>
      <c r="EQ110" s="75">
        <f t="shared" si="75"/>
        <v>5.0754924659555112E-3</v>
      </c>
      <c r="ER110" s="75">
        <f t="shared" si="75"/>
        <v>4.6544379551025639E-2</v>
      </c>
      <c r="ES110" s="75">
        <f t="shared" si="75"/>
        <v>6.9635696128702351E-2</v>
      </c>
    </row>
    <row r="111" spans="1:149" x14ac:dyDescent="0.3">
      <c r="A111" s="65" t="s">
        <v>340</v>
      </c>
      <c r="DU111" s="80">
        <f>+Inputs!DU581</f>
        <v>-7</v>
      </c>
      <c r="DV111" s="503">
        <f>+DV109-DU109</f>
        <v>-10</v>
      </c>
      <c r="DW111" s="503">
        <f>+DW109-DV109</f>
        <v>0</v>
      </c>
      <c r="DX111" s="503">
        <f>+DX109-DW109</f>
        <v>4</v>
      </c>
      <c r="DY111" s="86">
        <f>+SUM(DU111:DX111)</f>
        <v>-13</v>
      </c>
      <c r="DZ111" s="503">
        <f>+DZ109-DY109</f>
        <v>9.4662790697675518</v>
      </c>
      <c r="EA111" s="503">
        <f>+EA109-DZ109</f>
        <v>7.5255813953488087</v>
      </c>
      <c r="EB111" s="503">
        <f>+EB109-EA109</f>
        <v>5.4662790697673245</v>
      </c>
      <c r="EC111" s="503">
        <f>+EC109-EB109</f>
        <v>5.441860465116406</v>
      </c>
      <c r="ED111" s="86">
        <f>+SUM(DZ111:EC111)</f>
        <v>27.900000000000091</v>
      </c>
      <c r="EE111" s="503">
        <f>+EE109-ED109</f>
        <v>10.399999999999864</v>
      </c>
      <c r="EF111" s="503">
        <f>+EF109-EE109</f>
        <v>5.5270000000000437</v>
      </c>
      <c r="EG111" s="503">
        <f>+EG109-EF109</f>
        <v>18.531459999999925</v>
      </c>
      <c r="EH111" s="503">
        <f>+EH109-EG109</f>
        <v>29.390830800000003</v>
      </c>
      <c r="EI111" s="86">
        <f>+SUM(EE111:EH111)</f>
        <v>63.849290799999835</v>
      </c>
      <c r="EJ111" s="503">
        <f t="shared" ref="EJ111:ES111" si="76">+EJ109-EI109</f>
        <v>122.16485239250096</v>
      </c>
      <c r="EK111" s="503">
        <f t="shared" si="76"/>
        <v>61.43770987794278</v>
      </c>
      <c r="EL111" s="503">
        <f t="shared" si="76"/>
        <v>-13.199290065268087</v>
      </c>
      <c r="EM111" s="503">
        <f t="shared" si="76"/>
        <v>-66.101991229052146</v>
      </c>
      <c r="EN111" s="503">
        <f t="shared" si="76"/>
        <v>-54.021459387050072</v>
      </c>
      <c r="EO111" s="503">
        <f t="shared" si="76"/>
        <v>-34.490081095262667</v>
      </c>
      <c r="EP111" s="503">
        <f t="shared" si="76"/>
        <v>-41.546714948795852</v>
      </c>
      <c r="EQ111" s="503">
        <f t="shared" si="76"/>
        <v>6.4509119258964347</v>
      </c>
      <c r="ER111" s="503">
        <f t="shared" si="76"/>
        <v>59.457802471528794</v>
      </c>
      <c r="ES111" s="503">
        <f t="shared" si="76"/>
        <v>93.09603393092948</v>
      </c>
    </row>
    <row r="112" spans="1:149" x14ac:dyDescent="0.3">
      <c r="A112" s="65" t="s">
        <v>341</v>
      </c>
      <c r="DU112" s="75">
        <f>+DU107/AVERAGE(DU91)</f>
        <v>3.1613723166666691E-2</v>
      </c>
      <c r="DV112" s="75">
        <f>+DV107/AVERAGE(DU91:DV91)</f>
        <v>3.0767297666666669E-2</v>
      </c>
      <c r="DW112" s="75">
        <f>+DW107/AVERAGE(DV91:DW91)</f>
        <v>3.241979400000003E-2</v>
      </c>
      <c r="DX112" s="75">
        <f>+DX107/AVERAGE(DW91:DX91)</f>
        <v>2.8502630583333299E-2</v>
      </c>
      <c r="DY112" s="84">
        <f>+DY107/AVERAGE(DU91:DX91)</f>
        <v>0.12330344541666668</v>
      </c>
      <c r="DZ112" s="75">
        <f>+DZ107/AVERAGE(DY91:DZ91)</f>
        <v>2.7129405949612467E-2</v>
      </c>
      <c r="EA112" s="75">
        <f>+EA107/AVERAGE(DZ91:EA91)</f>
        <v>2.1430144942600239E-2</v>
      </c>
      <c r="EB112" s="75">
        <f>+EB107/AVERAGE(EA91:EB91)</f>
        <v>2.4290222930907903E-2</v>
      </c>
      <c r="EC112" s="75">
        <f>+EC107/AVERAGE(EB91:EC91)</f>
        <v>2.1315035087318655E-2</v>
      </c>
      <c r="ED112" s="84">
        <f>+ED107/AVERAGE(DZ91:EC91)</f>
        <v>9.4072916610784985E-2</v>
      </c>
      <c r="EE112" s="75">
        <f>+EE107/AVERAGE(ED91:EE91)</f>
        <v>2.114821045623012E-2</v>
      </c>
      <c r="EF112" s="75">
        <f t="shared" ref="EF112:ES112" si="77">+EF107/AVERAGE(EE91:EF91)</f>
        <v>2.11364565093572E-2</v>
      </c>
      <c r="EG112" s="75">
        <f t="shared" si="77"/>
        <v>2.6878459417819335E-2</v>
      </c>
      <c r="EH112" s="75">
        <f t="shared" si="77"/>
        <v>3.2135227805296984E-2</v>
      </c>
      <c r="EI112" s="84">
        <f>+EI107/AVERAGE(EE91:EH91)</f>
        <v>0.10127214784150519</v>
      </c>
      <c r="EJ112" s="75">
        <f t="shared" si="77"/>
        <v>0.13057868893573307</v>
      </c>
      <c r="EK112" s="75">
        <f t="shared" si="77"/>
        <v>0.11848813747927046</v>
      </c>
      <c r="EL112" s="75">
        <f t="shared" si="77"/>
        <v>9.7517398294432428E-2</v>
      </c>
      <c r="EM112" s="75">
        <f t="shared" si="77"/>
        <v>7.874435282665708E-2</v>
      </c>
      <c r="EN112" s="75">
        <f t="shared" si="77"/>
        <v>7.8270167421432751E-2</v>
      </c>
      <c r="EO112" s="75">
        <f t="shared" si="77"/>
        <v>8.1144101708970698E-2</v>
      </c>
      <c r="EP112" s="75">
        <f t="shared" si="77"/>
        <v>7.6385409020003042E-2</v>
      </c>
      <c r="EQ112" s="75">
        <f t="shared" si="77"/>
        <v>8.9730950326294565E-2</v>
      </c>
      <c r="ER112" s="75">
        <f t="shared" si="77"/>
        <v>0.10807431385768904</v>
      </c>
      <c r="ES112" s="75">
        <f t="shared" si="77"/>
        <v>0.12352880011716082</v>
      </c>
    </row>
    <row r="113" spans="1:149" x14ac:dyDescent="0.3">
      <c r="A113" s="65" t="s">
        <v>342</v>
      </c>
      <c r="DU113" s="97">
        <f>Inputs!DU416</f>
        <v>2.7300000000000001E-2</v>
      </c>
      <c r="DV113" s="97">
        <f>Inputs!DV416</f>
        <v>2.76E-2</v>
      </c>
      <c r="DW113" s="97">
        <f>Inputs!DW416</f>
        <v>2.64E-2</v>
      </c>
      <c r="DX113" s="97">
        <f>Inputs!DX416</f>
        <v>2.2100000000000002E-2</v>
      </c>
      <c r="DY113" s="84">
        <f>+DY108/AVERAGE(DU106:DX106)/-12</f>
        <v>2.5858724901676674E-2</v>
      </c>
      <c r="DZ113" s="97">
        <f>Inputs!DZ416</f>
        <v>1.9400000000000001E-2</v>
      </c>
      <c r="EA113" s="97">
        <f>Inputs!EA416</f>
        <v>1.52E-2</v>
      </c>
      <c r="EB113" s="97">
        <f>Inputs!EB416</f>
        <v>1.7999999999999999E-2</v>
      </c>
      <c r="EC113" s="97">
        <f>Inputs!EC416</f>
        <v>1.5599999999999999E-2</v>
      </c>
      <c r="ED113" s="84">
        <f>+ED108/AVERAGE(DZ106:EC106)/-12</f>
        <v>1.704303034818884E-2</v>
      </c>
      <c r="EE113" s="97">
        <f>Inputs!EE416</f>
        <v>1.41E-2</v>
      </c>
      <c r="EF113" s="97">
        <f>Inputs!EF416</f>
        <v>1.5299999999999999E-2</v>
      </c>
      <c r="EG113" s="128">
        <f>+EF113+0.001</f>
        <v>1.6299999999999999E-2</v>
      </c>
      <c r="EH113" s="128">
        <f>+EG113+0.001</f>
        <v>1.7299999999999999E-2</v>
      </c>
      <c r="EI113" s="84">
        <f>+EI108/AVERAGE(EE106:EH106)/-12</f>
        <v>1.5761515629844815E-2</v>
      </c>
      <c r="EJ113" s="128">
        <v>1.7000000000000001E-2</v>
      </c>
      <c r="EK113" s="128">
        <f t="shared" ref="EK113:ES113" si="78">+EJ113</f>
        <v>1.7000000000000001E-2</v>
      </c>
      <c r="EL113" s="128">
        <f t="shared" si="78"/>
        <v>1.7000000000000001E-2</v>
      </c>
      <c r="EM113" s="128">
        <f t="shared" si="78"/>
        <v>1.7000000000000001E-2</v>
      </c>
      <c r="EN113" s="128">
        <f t="shared" si="78"/>
        <v>1.7000000000000001E-2</v>
      </c>
      <c r="EO113" s="128">
        <f t="shared" si="78"/>
        <v>1.7000000000000001E-2</v>
      </c>
      <c r="EP113" s="128">
        <f t="shared" si="78"/>
        <v>1.7000000000000001E-2</v>
      </c>
      <c r="EQ113" s="128">
        <f t="shared" si="78"/>
        <v>1.7000000000000001E-2</v>
      </c>
      <c r="ER113" s="128">
        <f t="shared" si="78"/>
        <v>1.7000000000000001E-2</v>
      </c>
      <c r="ES113" s="128">
        <f t="shared" si="78"/>
        <v>1.7000000000000001E-2</v>
      </c>
    </row>
    <row r="114" spans="1:149" x14ac:dyDescent="0.3">
      <c r="A114" s="65" t="s">
        <v>210</v>
      </c>
      <c r="DU114" s="75">
        <f t="shared" ref="DU114:ES114" si="79">+DU109/DU91</f>
        <v>0.41274916666666667</v>
      </c>
      <c r="DV114" s="75">
        <f t="shared" si="79"/>
        <v>0.40934083333333332</v>
      </c>
      <c r="DW114" s="75">
        <f t="shared" si="79"/>
        <v>0.40934083333333332</v>
      </c>
      <c r="DX114" s="75">
        <f t="shared" si="79"/>
        <v>0.41070416666666665</v>
      </c>
      <c r="DY114" s="84">
        <f t="shared" si="79"/>
        <v>0.41070416666666665</v>
      </c>
      <c r="DZ114" s="75">
        <f t="shared" si="79"/>
        <v>0.41393059011627908</v>
      </c>
      <c r="EA114" s="75">
        <f t="shared" si="79"/>
        <v>0.41610493343095512</v>
      </c>
      <c r="EB114" s="75">
        <f t="shared" si="79"/>
        <v>0.41656734224742342</v>
      </c>
      <c r="EC114" s="75">
        <f t="shared" si="79"/>
        <v>0.41735126737530664</v>
      </c>
      <c r="ED114" s="84">
        <f t="shared" si="79"/>
        <v>0.41735126737530664</v>
      </c>
      <c r="EE114" s="75">
        <f t="shared" si="79"/>
        <v>0.41982872253864928</v>
      </c>
      <c r="EF114" s="75">
        <f t="shared" si="79"/>
        <v>0.42169504068348246</v>
      </c>
      <c r="EG114" s="75">
        <f t="shared" si="79"/>
        <v>0.4279526126118795</v>
      </c>
      <c r="EH114" s="75">
        <f t="shared" si="79"/>
        <v>0.43787709982261996</v>
      </c>
      <c r="EI114" s="84">
        <f>+EI109/EI91</f>
        <v>0.43787709982261996</v>
      </c>
      <c r="EJ114" s="75">
        <f t="shared" si="79"/>
        <v>0.4791288603945385</v>
      </c>
      <c r="EK114" s="75">
        <f t="shared" si="79"/>
        <v>0.49987471035332309</v>
      </c>
      <c r="EL114" s="75">
        <f t="shared" si="79"/>
        <v>0.49541766773567764</v>
      </c>
      <c r="EM114" s="75">
        <f t="shared" si="79"/>
        <v>0.47309681634425643</v>
      </c>
      <c r="EN114" s="75">
        <f t="shared" si="79"/>
        <v>0.45485523323146088</v>
      </c>
      <c r="EO114" s="75">
        <f t="shared" si="79"/>
        <v>0.44320886736121351</v>
      </c>
      <c r="EP114" s="75">
        <f t="shared" si="79"/>
        <v>0.42917966743952901</v>
      </c>
      <c r="EQ114" s="75">
        <f t="shared" si="79"/>
        <v>0.43135796560815959</v>
      </c>
      <c r="ER114" s="75">
        <f t="shared" si="79"/>
        <v>0.45143525448178407</v>
      </c>
      <c r="ES114" s="75">
        <f t="shared" si="79"/>
        <v>0.48287126268466096</v>
      </c>
    </row>
    <row r="115" spans="1:149" x14ac:dyDescent="0.3">
      <c r="A115" s="65"/>
    </row>
    <row r="116" spans="1:149" x14ac:dyDescent="0.3">
      <c r="A116" s="68" t="s">
        <v>349</v>
      </c>
    </row>
    <row r="117" spans="1:149" x14ac:dyDescent="0.3">
      <c r="A117" s="67" t="s">
        <v>350</v>
      </c>
      <c r="DU117" s="76">
        <f>+DU120-DU122</f>
        <v>96</v>
      </c>
      <c r="DV117" s="76">
        <f>+DU120</f>
        <v>96</v>
      </c>
      <c r="DW117" s="76">
        <f>+DV120</f>
        <v>96</v>
      </c>
      <c r="DX117" s="76">
        <f>+DW120</f>
        <v>95</v>
      </c>
      <c r="DY117" s="85">
        <f>+DU117</f>
        <v>96</v>
      </c>
      <c r="DZ117" s="76">
        <f>+DY120</f>
        <v>95</v>
      </c>
      <c r="EA117" s="76">
        <f>+DZ120</f>
        <v>94</v>
      </c>
      <c r="EB117" s="76">
        <f>+EA120</f>
        <v>93</v>
      </c>
      <c r="EC117" s="76">
        <f>+EB120</f>
        <v>94</v>
      </c>
      <c r="ED117" s="85">
        <f>+DZ117</f>
        <v>95</v>
      </c>
      <c r="EE117" s="76">
        <f>+ED120</f>
        <v>95</v>
      </c>
      <c r="EF117" s="76">
        <f>+EE120</f>
        <v>95</v>
      </c>
      <c r="EG117" s="76">
        <f>+EF120</f>
        <v>95</v>
      </c>
      <c r="EH117" s="76">
        <f>+EG120</f>
        <v>94.715000000000003</v>
      </c>
      <c r="EI117" s="85">
        <f>+EE117</f>
        <v>95</v>
      </c>
      <c r="EJ117" s="76">
        <f t="shared" ref="EJ117:ES117" si="80">+EI120</f>
        <v>94.159535000000005</v>
      </c>
      <c r="EK117" s="76">
        <f t="shared" si="80"/>
        <v>92.362375402168695</v>
      </c>
      <c r="EL117" s="76">
        <f t="shared" si="80"/>
        <v>91.528221904463635</v>
      </c>
      <c r="EM117" s="76">
        <f t="shared" si="80"/>
        <v>91.460621262459085</v>
      </c>
      <c r="EN117" s="76">
        <f t="shared" si="80"/>
        <v>92.003196693592145</v>
      </c>
      <c r="EO117" s="76">
        <f t="shared" si="80"/>
        <v>93.031472278942744</v>
      </c>
      <c r="EP117" s="76">
        <f t="shared" si="80"/>
        <v>94.446365187050475</v>
      </c>
      <c r="EQ117" s="76">
        <f t="shared" si="80"/>
        <v>96.169005484072926</v>
      </c>
      <c r="ER117" s="76">
        <f t="shared" si="80"/>
        <v>98.136612702671457</v>
      </c>
      <c r="ES117" s="76">
        <f t="shared" si="80"/>
        <v>100.29921359084456</v>
      </c>
    </row>
    <row r="118" spans="1:149" x14ac:dyDescent="0.3">
      <c r="A118" s="67" t="s">
        <v>351</v>
      </c>
      <c r="DU118" s="76">
        <f>+DU120-DU119-DU117</f>
        <v>7.9200000000000017</v>
      </c>
      <c r="DV118" s="76">
        <f>+DV120-DV119-DV117</f>
        <v>8.0927999999999969</v>
      </c>
      <c r="DW118" s="76">
        <f>+DW120-DW119-DW117</f>
        <v>6.7471999999999923</v>
      </c>
      <c r="DX118" s="76">
        <f>+DX120-DX119-DX117</f>
        <v>6.3840000000000003</v>
      </c>
      <c r="DY118" s="85">
        <f>+SUM(DU118:DX118)</f>
        <v>29.143999999999991</v>
      </c>
      <c r="DZ118" s="76">
        <f>+DZ120-DZ119-DZ117</f>
        <v>4.6144999999999925</v>
      </c>
      <c r="EA118" s="76">
        <f>+EA120-EA119-EA117</f>
        <v>3.3427999999999969</v>
      </c>
      <c r="EB118" s="76">
        <f>+EB120-EB119-EB117</f>
        <v>6.049900000000008</v>
      </c>
      <c r="EC118" s="76">
        <f>+EC120-EC119-EC117</f>
        <v>5.3991999999999933</v>
      </c>
      <c r="ED118" s="85">
        <f>+SUM(DZ118:EC118)</f>
        <v>19.406399999999991</v>
      </c>
      <c r="EE118" s="76">
        <f>+EE120-EE119-EE117</f>
        <v>3.9899999999999949</v>
      </c>
      <c r="EF118" s="76">
        <f>+EF120-EF119-EF117</f>
        <v>4.2750000000000057</v>
      </c>
      <c r="EG118" s="76">
        <f>+EG123*AVERAGE(EF96:EG96)</f>
        <v>4.2750000000000057</v>
      </c>
      <c r="EH118" s="76">
        <f>+EH123*AVERAGE(EG96:EH96)</f>
        <v>4.2750000000000057</v>
      </c>
      <c r="EI118" s="85">
        <f>+SUM(EE118:EH118)</f>
        <v>16.815000000000012</v>
      </c>
      <c r="EJ118" s="76">
        <f t="shared" ref="EJ118:ES118" si="81">+EJ123*AVERAGE(EI96:EJ96)</f>
        <v>17.411385542168688</v>
      </c>
      <c r="EK118" s="76">
        <f t="shared" si="81"/>
        <v>18.00777108433736</v>
      </c>
      <c r="EL118" s="76">
        <f t="shared" si="81"/>
        <v>18.604156626506036</v>
      </c>
      <c r="EM118" s="76">
        <f t="shared" si="81"/>
        <v>19.200542168674712</v>
      </c>
      <c r="EN118" s="76">
        <f t="shared" si="81"/>
        <v>19.796927710843384</v>
      </c>
      <c r="EO118" s="76">
        <f t="shared" si="81"/>
        <v>20.39331325301206</v>
      </c>
      <c r="EP118" s="76">
        <f t="shared" si="81"/>
        <v>20.989698795180736</v>
      </c>
      <c r="EQ118" s="76">
        <f t="shared" si="81"/>
        <v>21.586084337349408</v>
      </c>
      <c r="ER118" s="76">
        <f t="shared" si="81"/>
        <v>22.182469879518084</v>
      </c>
      <c r="ES118" s="76">
        <f t="shared" si="81"/>
        <v>22.77885542168676</v>
      </c>
    </row>
    <row r="119" spans="1:149" x14ac:dyDescent="0.3">
      <c r="A119" s="67" t="s">
        <v>337</v>
      </c>
      <c r="DU119" s="76">
        <f>+DU124*DU117*-3</f>
        <v>-7.92</v>
      </c>
      <c r="DV119" s="76">
        <f>+DV124*DV117*-3</f>
        <v>-8.0928000000000004</v>
      </c>
      <c r="DW119" s="76">
        <f>+DW124*DW117*-3</f>
        <v>-7.7471999999999994</v>
      </c>
      <c r="DX119" s="76">
        <f>+DX124*DX117*-3</f>
        <v>-6.3840000000000003</v>
      </c>
      <c r="DY119" s="85">
        <f>+SUM(DU119:DX119)</f>
        <v>-30.143999999999998</v>
      </c>
      <c r="DZ119" s="76">
        <f>+DZ124*DZ117*-3</f>
        <v>-5.6144999999999996</v>
      </c>
      <c r="EA119" s="76">
        <f>+EA124*EA117*-3</f>
        <v>-4.3428000000000004</v>
      </c>
      <c r="EB119" s="76">
        <f>+EB124*EB117*-3</f>
        <v>-5.0499000000000009</v>
      </c>
      <c r="EC119" s="76">
        <f>+EC124*EC117*-3</f>
        <v>-4.3991999999999996</v>
      </c>
      <c r="ED119" s="85">
        <f>+SUM(DZ119:EC119)</f>
        <v>-19.406400000000001</v>
      </c>
      <c r="EE119" s="76">
        <f>+EE124*EE117*-3</f>
        <v>-3.99</v>
      </c>
      <c r="EF119" s="76">
        <f>+EF124*EF117*-3</f>
        <v>-4.2750000000000004</v>
      </c>
      <c r="EG119" s="76">
        <f>+EG124*EG117*-3</f>
        <v>-4.5600000000000005</v>
      </c>
      <c r="EH119" s="76">
        <f>+EH124*EH117*-3</f>
        <v>-4.8304650000000002</v>
      </c>
      <c r="EI119" s="85">
        <f>+SUM(EE119:EH119)</f>
        <v>-17.655465</v>
      </c>
      <c r="EJ119" s="76">
        <f>+EJ124*EJ117*-12</f>
        <v>-19.208545140000002</v>
      </c>
      <c r="EK119" s="76">
        <f t="shared" ref="EK119:ES119" si="82">+EK124*EK117*-12</f>
        <v>-18.841924582042417</v>
      </c>
      <c r="EL119" s="76">
        <f t="shared" si="82"/>
        <v>-18.671757268510582</v>
      </c>
      <c r="EM119" s="76">
        <f t="shared" si="82"/>
        <v>-18.657966737541656</v>
      </c>
      <c r="EN119" s="76">
        <f t="shared" si="82"/>
        <v>-18.7686521254928</v>
      </c>
      <c r="EO119" s="76">
        <f t="shared" si="82"/>
        <v>-18.978420344904322</v>
      </c>
      <c r="EP119" s="76">
        <f t="shared" si="82"/>
        <v>-19.267058498158299</v>
      </c>
      <c r="EQ119" s="76">
        <f t="shared" si="82"/>
        <v>-19.618477118750878</v>
      </c>
      <c r="ER119" s="76">
        <f t="shared" si="82"/>
        <v>-20.019868991344978</v>
      </c>
      <c r="ES119" s="76">
        <f t="shared" si="82"/>
        <v>-20.46103957253229</v>
      </c>
    </row>
    <row r="120" spans="1:149" x14ac:dyDescent="0.3">
      <c r="A120" s="64" t="s">
        <v>352</v>
      </c>
      <c r="DU120" s="855">
        <f>Inputs!DU375</f>
        <v>96</v>
      </c>
      <c r="DV120" s="855">
        <f>Inputs!DV375</f>
        <v>96</v>
      </c>
      <c r="DW120" s="855">
        <f>Inputs!DW375</f>
        <v>95</v>
      </c>
      <c r="DX120" s="855">
        <f>Inputs!DX375</f>
        <v>95</v>
      </c>
      <c r="DY120" s="803">
        <f>+DX120</f>
        <v>95</v>
      </c>
      <c r="DZ120" s="855">
        <f>Inputs!DZ375</f>
        <v>94</v>
      </c>
      <c r="EA120" s="855">
        <f>Inputs!EA375</f>
        <v>93</v>
      </c>
      <c r="EB120" s="855">
        <f>Inputs!EB375</f>
        <v>94</v>
      </c>
      <c r="EC120" s="855">
        <f>Inputs!EC375</f>
        <v>95</v>
      </c>
      <c r="ED120" s="803">
        <f>+EC120</f>
        <v>95</v>
      </c>
      <c r="EE120" s="855">
        <f>Inputs!EE375</f>
        <v>95</v>
      </c>
      <c r="EF120" s="855">
        <f>Inputs!EF375</f>
        <v>95</v>
      </c>
      <c r="EG120" s="850">
        <f>+SUM(EG117:EG119)</f>
        <v>94.715000000000003</v>
      </c>
      <c r="EH120" s="850">
        <f>+SUM(EH117:EH119)</f>
        <v>94.159535000000005</v>
      </c>
      <c r="EI120" s="803">
        <f>+EH120</f>
        <v>94.159535000000005</v>
      </c>
      <c r="EJ120" s="850">
        <f t="shared" ref="EJ120:ES120" si="83">+SUM(EJ117:EJ119)</f>
        <v>92.362375402168695</v>
      </c>
      <c r="EK120" s="850">
        <f t="shared" si="83"/>
        <v>91.528221904463635</v>
      </c>
      <c r="EL120" s="850">
        <f t="shared" si="83"/>
        <v>91.460621262459085</v>
      </c>
      <c r="EM120" s="850">
        <f t="shared" si="83"/>
        <v>92.003196693592145</v>
      </c>
      <c r="EN120" s="850">
        <f t="shared" si="83"/>
        <v>93.031472278942744</v>
      </c>
      <c r="EO120" s="850">
        <f t="shared" si="83"/>
        <v>94.446365187050475</v>
      </c>
      <c r="EP120" s="850">
        <f t="shared" si="83"/>
        <v>96.169005484072926</v>
      </c>
      <c r="EQ120" s="850">
        <f t="shared" si="83"/>
        <v>98.136612702671457</v>
      </c>
      <c r="ER120" s="850">
        <f t="shared" si="83"/>
        <v>100.29921359084456</v>
      </c>
      <c r="ES120" s="850">
        <f t="shared" si="83"/>
        <v>102.61702943999903</v>
      </c>
    </row>
    <row r="121" spans="1:149" x14ac:dyDescent="0.3">
      <c r="A121" s="69" t="s">
        <v>339</v>
      </c>
      <c r="DZ121" s="75">
        <f t="shared" ref="DZ121:EI121" si="84">+DZ120/DU120-1</f>
        <v>-2.083333333333337E-2</v>
      </c>
      <c r="EA121" s="75">
        <f t="shared" si="84"/>
        <v>-3.125E-2</v>
      </c>
      <c r="EB121" s="75">
        <f t="shared" si="84"/>
        <v>-1.0526315789473717E-2</v>
      </c>
      <c r="EC121" s="75">
        <f t="shared" si="84"/>
        <v>0</v>
      </c>
      <c r="ED121" s="84">
        <f t="shared" si="84"/>
        <v>0</v>
      </c>
      <c r="EE121" s="75">
        <f t="shared" si="84"/>
        <v>1.0638297872340496E-2</v>
      </c>
      <c r="EF121" s="75">
        <f t="shared" si="84"/>
        <v>2.1505376344086002E-2</v>
      </c>
      <c r="EG121" s="75">
        <f t="shared" si="84"/>
        <v>7.6063829787234027E-3</v>
      </c>
      <c r="EH121" s="75">
        <f t="shared" si="84"/>
        <v>-8.8469999999999382E-3</v>
      </c>
      <c r="EI121" s="84">
        <f t="shared" si="84"/>
        <v>-8.8469999999999382E-3</v>
      </c>
      <c r="EJ121" s="75">
        <f t="shared" ref="EJ121:ES121" si="85">+EJ120/EI120-1</f>
        <v>-1.9086326178557544E-2</v>
      </c>
      <c r="EK121" s="75">
        <f t="shared" si="85"/>
        <v>-9.0313127404200166E-3</v>
      </c>
      <c r="EL121" s="75">
        <f t="shared" si="85"/>
        <v>-7.3857702682256221E-4</v>
      </c>
      <c r="EM121" s="75">
        <f t="shared" si="85"/>
        <v>5.9323392258190388E-3</v>
      </c>
      <c r="EN121" s="75">
        <f t="shared" si="85"/>
        <v>1.1176520189566608E-2</v>
      </c>
      <c r="EO121" s="75">
        <f t="shared" si="85"/>
        <v>1.5208755418439024E-2</v>
      </c>
      <c r="EP121" s="75">
        <f t="shared" si="85"/>
        <v>1.8239349853335085E-2</v>
      </c>
      <c r="EQ121" s="75">
        <f t="shared" si="85"/>
        <v>2.0459889427934197E-2</v>
      </c>
      <c r="ER121" s="75">
        <f t="shared" si="85"/>
        <v>2.2036636772100771E-2</v>
      </c>
      <c r="ES121" s="75">
        <f t="shared" si="85"/>
        <v>2.3109013183389981E-2</v>
      </c>
    </row>
    <row r="122" spans="1:149" x14ac:dyDescent="0.3">
      <c r="A122" s="65" t="s">
        <v>340</v>
      </c>
      <c r="DU122" s="96">
        <f>+DV122</f>
        <v>0</v>
      </c>
      <c r="DV122" s="503">
        <f>+DV120-DU120</f>
        <v>0</v>
      </c>
      <c r="DW122" s="503">
        <f>+DW120-DV120</f>
        <v>-1</v>
      </c>
      <c r="DX122" s="503">
        <f>+DX120-DW120</f>
        <v>0</v>
      </c>
      <c r="DY122" s="856">
        <f>+SUM(DU122:DX122)</f>
        <v>-1</v>
      </c>
      <c r="DZ122" s="503">
        <f>+DZ120-DY120</f>
        <v>-1</v>
      </c>
      <c r="EA122" s="503">
        <f>+EA120-DZ120</f>
        <v>-1</v>
      </c>
      <c r="EB122" s="503">
        <f>+EB120-EA120</f>
        <v>1</v>
      </c>
      <c r="EC122" s="503">
        <f>+EC120-EB120</f>
        <v>1</v>
      </c>
      <c r="ED122" s="856">
        <f>+SUM(DZ122:EC122)</f>
        <v>0</v>
      </c>
      <c r="EE122" s="503">
        <f>+EE120-ED120</f>
        <v>0</v>
      </c>
      <c r="EF122" s="503">
        <f>+EF120-EE120</f>
        <v>0</v>
      </c>
      <c r="EG122" s="503">
        <f>+EG120-EF120</f>
        <v>-0.28499999999999659</v>
      </c>
      <c r="EH122" s="503">
        <f>+EH120-EG120</f>
        <v>-0.5554649999999981</v>
      </c>
      <c r="EI122" s="856">
        <f>+SUM(EE122:EH122)</f>
        <v>-0.84046499999999469</v>
      </c>
      <c r="EJ122" s="503">
        <f t="shared" ref="EJ122:ES122" si="86">+EJ120-EI120</f>
        <v>-1.7971595978313104</v>
      </c>
      <c r="EK122" s="503">
        <f t="shared" si="86"/>
        <v>-0.83415349770505998</v>
      </c>
      <c r="EL122" s="503">
        <f t="shared" si="86"/>
        <v>-6.7600642004549627E-2</v>
      </c>
      <c r="EM122" s="503">
        <f t="shared" si="86"/>
        <v>0.54257543113305928</v>
      </c>
      <c r="EN122" s="503">
        <f t="shared" si="86"/>
        <v>1.0282755853505989</v>
      </c>
      <c r="EO122" s="503">
        <f t="shared" si="86"/>
        <v>1.4148929081077313</v>
      </c>
      <c r="EP122" s="503">
        <f t="shared" si="86"/>
        <v>1.7226402970224513</v>
      </c>
      <c r="EQ122" s="503">
        <f t="shared" si="86"/>
        <v>1.9676072185985305</v>
      </c>
      <c r="ER122" s="503">
        <f t="shared" si="86"/>
        <v>2.1626008881731025</v>
      </c>
      <c r="ES122" s="503">
        <f t="shared" si="86"/>
        <v>2.3178158491544707</v>
      </c>
    </row>
    <row r="123" spans="1:149" x14ac:dyDescent="0.3">
      <c r="A123" s="65" t="s">
        <v>341</v>
      </c>
      <c r="DU123" s="75">
        <f>+DU118/AVERAGE(DT96:DU96)</f>
        <v>2.9772794117647085E-2</v>
      </c>
      <c r="DV123" s="75">
        <f>+DV118/AVERAGE(DU96:DV96)</f>
        <v>3.0422382352941185E-2</v>
      </c>
      <c r="DW123" s="75">
        <f>+DW118/AVERAGE(DV96:DW96)</f>
        <v>2.5364014705882343E-2</v>
      </c>
      <c r="DX123" s="75">
        <f>+DX118/AVERAGE(DW96:DX96)</f>
        <v>2.3998676470588252E-2</v>
      </c>
      <c r="DY123" s="84">
        <f>+DY118/AVERAGE(DU96:DX96)</f>
        <v>0.10955786764705887</v>
      </c>
      <c r="DZ123" s="75">
        <f>+DZ118/AVERAGE(DY96:DZ96)</f>
        <v>1.7346787683823514E-2</v>
      </c>
      <c r="EA123" s="75">
        <f>+EA118/AVERAGE(DZ96:EA96)</f>
        <v>1.2631618471719864E-2</v>
      </c>
      <c r="EB123" s="75">
        <f>+EB118/AVERAGE(EA96:EB96)</f>
        <v>2.3419342501954626E-2</v>
      </c>
      <c r="EC123" s="75">
        <f>+EC118/AVERAGE(EB96:EC96)</f>
        <v>2.1627434046630457E-2</v>
      </c>
      <c r="ED123" s="84">
        <f>+ED118/AVERAGE(DZ96:EC96)</f>
        <v>7.5469673781967589E-2</v>
      </c>
      <c r="EE123" s="75">
        <f>+EE118/AVERAGE(ED96:EE96)</f>
        <v>1.6472358319416562E-2</v>
      </c>
      <c r="EF123" s="75">
        <f>+EF118/AVERAGE(EE96:EF96)</f>
        <v>1.7920454545454583E-2</v>
      </c>
      <c r="EG123" s="87">
        <f>+EF123</f>
        <v>1.7920454545454583E-2</v>
      </c>
      <c r="EH123" s="87">
        <f>+EG123</f>
        <v>1.7920454545454583E-2</v>
      </c>
      <c r="EI123" s="84">
        <f>+EI118/AVERAGE(EE96:EH96)</f>
        <v>7.048712121212132E-2</v>
      </c>
      <c r="EJ123" s="87">
        <f>+EI123+0.25%</f>
        <v>7.2987121212121323E-2</v>
      </c>
      <c r="EK123" s="87">
        <f t="shared" ref="EK123:ES123" si="87">+EJ123+0.25%</f>
        <v>7.5487121212121325E-2</v>
      </c>
      <c r="EL123" s="87">
        <f t="shared" si="87"/>
        <v>7.7987121212121327E-2</v>
      </c>
      <c r="EM123" s="87">
        <f t="shared" si="87"/>
        <v>8.0487121212121329E-2</v>
      </c>
      <c r="EN123" s="87">
        <f t="shared" si="87"/>
        <v>8.2987121212121331E-2</v>
      </c>
      <c r="EO123" s="87">
        <f t="shared" si="87"/>
        <v>8.5487121212121334E-2</v>
      </c>
      <c r="EP123" s="87">
        <f t="shared" si="87"/>
        <v>8.7987121212121336E-2</v>
      </c>
      <c r="EQ123" s="87">
        <f t="shared" si="87"/>
        <v>9.0487121212121338E-2</v>
      </c>
      <c r="ER123" s="87">
        <f t="shared" si="87"/>
        <v>9.298712121212134E-2</v>
      </c>
      <c r="ES123" s="87">
        <f t="shared" si="87"/>
        <v>9.5487121212121343E-2</v>
      </c>
    </row>
    <row r="124" spans="1:149" x14ac:dyDescent="0.3">
      <c r="A124" s="65" t="s">
        <v>342</v>
      </c>
      <c r="DU124" s="75">
        <f>+DU389</f>
        <v>2.75E-2</v>
      </c>
      <c r="DV124" s="75">
        <f t="shared" ref="DV124:ES124" si="88">+DV389</f>
        <v>2.81E-2</v>
      </c>
      <c r="DW124" s="75">
        <f t="shared" si="88"/>
        <v>2.69E-2</v>
      </c>
      <c r="DX124" s="75">
        <f t="shared" si="88"/>
        <v>2.24E-2</v>
      </c>
      <c r="DY124" s="84">
        <f t="shared" si="88"/>
        <v>2.6232816104005033E-2</v>
      </c>
      <c r="DZ124" s="75">
        <f t="shared" si="88"/>
        <v>1.9699999999999999E-2</v>
      </c>
      <c r="EA124" s="75">
        <f t="shared" si="88"/>
        <v>1.54E-2</v>
      </c>
      <c r="EB124" s="75">
        <f t="shared" si="88"/>
        <v>1.8100000000000002E-2</v>
      </c>
      <c r="EC124" s="75">
        <f t="shared" si="88"/>
        <v>1.5599999999999999E-2</v>
      </c>
      <c r="ED124" s="84">
        <f t="shared" si="88"/>
        <v>1.7191975806373595E-2</v>
      </c>
      <c r="EE124" s="75">
        <f t="shared" si="88"/>
        <v>1.4E-2</v>
      </c>
      <c r="EF124" s="75">
        <f>+EF389</f>
        <v>1.4999999999999999E-2</v>
      </c>
      <c r="EG124" s="75">
        <f t="shared" si="88"/>
        <v>1.6E-2</v>
      </c>
      <c r="EH124" s="75">
        <f t="shared" si="88"/>
        <v>1.7000000000000001E-2</v>
      </c>
      <c r="EI124" s="84">
        <f t="shared" si="88"/>
        <v>1.5507236707583326E-2</v>
      </c>
      <c r="EJ124" s="75">
        <f t="shared" si="88"/>
        <v>1.7000000000000001E-2</v>
      </c>
      <c r="EK124" s="75">
        <f t="shared" si="88"/>
        <v>1.7000000000000001E-2</v>
      </c>
      <c r="EL124" s="75">
        <f t="shared" si="88"/>
        <v>1.7000000000000001E-2</v>
      </c>
      <c r="EM124" s="75">
        <f t="shared" si="88"/>
        <v>1.7000000000000001E-2</v>
      </c>
      <c r="EN124" s="75">
        <f t="shared" si="88"/>
        <v>1.7000000000000001E-2</v>
      </c>
      <c r="EO124" s="75">
        <f t="shared" si="88"/>
        <v>1.7000000000000001E-2</v>
      </c>
      <c r="EP124" s="75">
        <f t="shared" si="88"/>
        <v>1.7000000000000001E-2</v>
      </c>
      <c r="EQ124" s="75">
        <f t="shared" si="88"/>
        <v>1.7000000000000001E-2</v>
      </c>
      <c r="ER124" s="75">
        <f t="shared" si="88"/>
        <v>1.7000000000000001E-2</v>
      </c>
      <c r="ES124" s="75">
        <f t="shared" si="88"/>
        <v>1.7000000000000001E-2</v>
      </c>
    </row>
    <row r="125" spans="1:149" x14ac:dyDescent="0.3">
      <c r="A125" s="65" t="s">
        <v>210</v>
      </c>
      <c r="DU125" s="75">
        <f>+DU120/DU91</f>
        <v>3.2719999999999999E-2</v>
      </c>
      <c r="DV125" s="75">
        <f t="shared" ref="DV125:ES125" si="89">+DV120/DV91</f>
        <v>3.2719999999999999E-2</v>
      </c>
      <c r="DW125" s="75">
        <f t="shared" si="89"/>
        <v>3.2379166666666667E-2</v>
      </c>
      <c r="DX125" s="75">
        <f t="shared" si="89"/>
        <v>3.2379166666666667E-2</v>
      </c>
      <c r="DY125" s="84">
        <f t="shared" si="89"/>
        <v>3.2379166666666667E-2</v>
      </c>
      <c r="DZ125" s="75">
        <f t="shared" si="89"/>
        <v>3.2038333333333328E-2</v>
      </c>
      <c r="EA125" s="75">
        <f t="shared" si="89"/>
        <v>3.1667771333885666E-2</v>
      </c>
      <c r="EB125" s="75">
        <f t="shared" si="89"/>
        <v>3.1901153212520586E-2</v>
      </c>
      <c r="EC125" s="75">
        <f t="shared" si="89"/>
        <v>3.2158626328699917E-2</v>
      </c>
      <c r="ED125" s="84">
        <f t="shared" si="89"/>
        <v>3.2158626328699917E-2</v>
      </c>
      <c r="EE125" s="75">
        <f t="shared" si="89"/>
        <v>3.2078925956061835E-2</v>
      </c>
      <c r="EF125" s="75">
        <f>+EF120/EF91</f>
        <v>3.2078925956061835E-2</v>
      </c>
      <c r="EG125" s="75">
        <f t="shared" si="89"/>
        <v>3.1982689178193649E-2</v>
      </c>
      <c r="EH125" s="75">
        <f t="shared" si="89"/>
        <v>3.1795123698128556E-2</v>
      </c>
      <c r="EI125" s="84">
        <f t="shared" si="89"/>
        <v>3.1795123698128556E-2</v>
      </c>
      <c r="EJ125" s="75">
        <f t="shared" si="89"/>
        <v>3.1188271596338493E-2</v>
      </c>
      <c r="EK125" s="75">
        <f t="shared" si="89"/>
        <v>3.0906600561718799E-2</v>
      </c>
      <c r="EL125" s="75">
        <f t="shared" si="89"/>
        <v>3.0883773656566735E-2</v>
      </c>
      <c r="EM125" s="75">
        <f t="shared" si="89"/>
        <v>3.1066986678470902E-2</v>
      </c>
      <c r="EN125" s="75">
        <f t="shared" si="89"/>
        <v>3.1414207482311829E-2</v>
      </c>
      <c r="EO125" s="75">
        <f t="shared" si="89"/>
        <v>3.1891978480574408E-2</v>
      </c>
      <c r="EP125" s="75">
        <f t="shared" si="89"/>
        <v>3.2473667433596635E-2</v>
      </c>
      <c r="EQ125" s="75">
        <f t="shared" si="89"/>
        <v>3.3138075078607526E-2</v>
      </c>
      <c r="ER125" s="75">
        <f t="shared" si="89"/>
        <v>3.3868326802441409E-2</v>
      </c>
      <c r="ES125" s="75">
        <f t="shared" si="89"/>
        <v>3.4650990413018383E-2</v>
      </c>
    </row>
    <row r="126" spans="1:149" x14ac:dyDescent="0.3">
      <c r="A126" s="65"/>
      <c r="DU126" s="75"/>
      <c r="DV126" s="75"/>
      <c r="DW126" s="75"/>
      <c r="DX126" s="75"/>
      <c r="DY126" s="84"/>
      <c r="DZ126" s="75"/>
      <c r="EA126" s="75"/>
      <c r="EB126" s="75"/>
      <c r="EC126" s="75"/>
      <c r="ED126" s="84"/>
      <c r="EE126" s="75"/>
      <c r="EF126" s="75"/>
      <c r="EG126" s="75"/>
      <c r="EH126" s="75"/>
      <c r="EI126" s="84"/>
      <c r="EJ126" s="75"/>
      <c r="EK126" s="75"/>
      <c r="EL126" s="75"/>
      <c r="EM126" s="75"/>
      <c r="EN126" s="75"/>
      <c r="EO126" s="75"/>
      <c r="EP126" s="75"/>
      <c r="EQ126" s="75"/>
      <c r="ER126" s="75"/>
      <c r="ES126" s="75"/>
    </row>
    <row r="127" spans="1:149" x14ac:dyDescent="0.3">
      <c r="A127" s="78" t="s">
        <v>3999</v>
      </c>
    </row>
    <row r="128" spans="1:149" x14ac:dyDescent="0.3">
      <c r="A128" s="63" t="s">
        <v>344</v>
      </c>
      <c r="DU128" s="76">
        <f>+DU131-DU133</f>
        <v>795</v>
      </c>
      <c r="DV128" s="76">
        <f>+DU131</f>
        <v>749</v>
      </c>
      <c r="DW128" s="76">
        <f>+DV131</f>
        <v>705</v>
      </c>
      <c r="DX128" s="76">
        <f>+DW131</f>
        <v>669</v>
      </c>
      <c r="DY128" s="85">
        <f>+DU128</f>
        <v>795</v>
      </c>
      <c r="DZ128" s="76">
        <f>+DY131</f>
        <v>631</v>
      </c>
      <c r="EA128" s="76">
        <f>+DZ131</f>
        <v>594</v>
      </c>
      <c r="EB128" s="76">
        <f>+EA131</f>
        <v>560</v>
      </c>
      <c r="EC128" s="76">
        <f>+EB131</f>
        <v>518</v>
      </c>
      <c r="ED128" s="85">
        <f>+DZ128</f>
        <v>631</v>
      </c>
      <c r="EE128" s="76">
        <f>+ED131</f>
        <v>485</v>
      </c>
      <c r="EF128" s="76">
        <f>+EE131</f>
        <v>453</v>
      </c>
      <c r="EG128" s="76">
        <f>+EF131</f>
        <v>423.89445430761617</v>
      </c>
      <c r="EH128" s="76">
        <f>+EG131</f>
        <v>397.40840772754689</v>
      </c>
      <c r="EI128" s="85">
        <f>+EE128</f>
        <v>485</v>
      </c>
      <c r="EJ128" s="76">
        <f t="shared" ref="EJ128:ES128" si="90">+EI131</f>
        <v>373.30610533968382</v>
      </c>
      <c r="EK128" s="76">
        <f t="shared" si="90"/>
        <v>285.55927034024609</v>
      </c>
      <c r="EL128" s="76">
        <f t="shared" si="90"/>
        <v>229.40129594060591</v>
      </c>
      <c r="EM128" s="76">
        <f t="shared" si="90"/>
        <v>193.46019232483616</v>
      </c>
      <c r="EN128" s="76">
        <f t="shared" si="90"/>
        <v>170.45788601074355</v>
      </c>
      <c r="EO128" s="76">
        <f t="shared" si="90"/>
        <v>155.73640996972426</v>
      </c>
      <c r="EP128" s="76">
        <f t="shared" si="90"/>
        <v>146.31466530347194</v>
      </c>
      <c r="EQ128" s="76">
        <f t="shared" si="90"/>
        <v>140.28474871707044</v>
      </c>
      <c r="ER128" s="76">
        <f t="shared" si="90"/>
        <v>136.42560210177351</v>
      </c>
      <c r="ES128" s="76">
        <f t="shared" si="90"/>
        <v>133.95574826798344</v>
      </c>
    </row>
    <row r="129" spans="1:154" x14ac:dyDescent="0.3">
      <c r="A129" s="63" t="s">
        <v>336</v>
      </c>
      <c r="DU129" s="76">
        <f>+DU131-DU130-DU128</f>
        <v>25.549999999999955</v>
      </c>
      <c r="DV129" s="76">
        <f>+DV131-DV130-DV128</f>
        <v>23.409999999999968</v>
      </c>
      <c r="DW129" s="76">
        <f>+DW131-DW130-DW128</f>
        <v>27.450000000000045</v>
      </c>
      <c r="DX129" s="76">
        <f>+DX131-DX130-DX128</f>
        <v>22.210000000000036</v>
      </c>
      <c r="DY129" s="85">
        <f>+SUM(DU129:DX129)</f>
        <v>98.62</v>
      </c>
      <c r="DZ129" s="76">
        <f>+DZ131-DZ130-DZ128</f>
        <v>19.789999999999964</v>
      </c>
      <c r="EA129" s="76">
        <f>+EA131-EA130-EA128</f>
        <v>19.460000000000036</v>
      </c>
      <c r="EB129" s="76">
        <f>+EB131-EB130-EB128</f>
        <v>8.3999999999999773</v>
      </c>
      <c r="EC129" s="76">
        <f>+EC131-EC130-EC128</f>
        <v>13.620000000000005</v>
      </c>
      <c r="ED129" s="85">
        <f>+SUM(DZ129:EC129)</f>
        <v>61.269999999999982</v>
      </c>
      <c r="EE129" s="76">
        <f>+EE131-EE130-EE128</f>
        <v>11.649999999999977</v>
      </c>
      <c r="EF129" s="76">
        <f>+EF134*AVERAGE(EE91:EF91)</f>
        <v>11.664454307616143</v>
      </c>
      <c r="EG129" s="76">
        <f t="shared" ref="EG129:ES129" si="91">+EG134*AVERAGE(EF91:EG91)</f>
        <v>11.664454307616143</v>
      </c>
      <c r="EH129" s="76">
        <f t="shared" si="91"/>
        <v>11.664454307616143</v>
      </c>
      <c r="EI129" s="85">
        <f>+SUM(EE129:EH129)</f>
        <v>46.643362922848411</v>
      </c>
      <c r="EJ129" s="76">
        <f t="shared" si="91"/>
        <v>46.643362922848411</v>
      </c>
      <c r="EK129" s="76">
        <f t="shared" si="91"/>
        <v>46.643362922848411</v>
      </c>
      <c r="EL129" s="76">
        <f t="shared" si="91"/>
        <v>46.643362922848411</v>
      </c>
      <c r="EM129" s="76">
        <f t="shared" si="91"/>
        <v>46.643362922848411</v>
      </c>
      <c r="EN129" s="76">
        <f t="shared" si="91"/>
        <v>46.643362922848411</v>
      </c>
      <c r="EO129" s="76">
        <f t="shared" si="91"/>
        <v>46.643362922848411</v>
      </c>
      <c r="EP129" s="76">
        <f t="shared" si="91"/>
        <v>46.643362922848411</v>
      </c>
      <c r="EQ129" s="76">
        <f t="shared" si="91"/>
        <v>46.643362922848411</v>
      </c>
      <c r="ER129" s="76">
        <f t="shared" si="91"/>
        <v>46.643362922848411</v>
      </c>
      <c r="ES129" s="76">
        <f t="shared" si="91"/>
        <v>46.643362922848411</v>
      </c>
    </row>
    <row r="130" spans="1:154" x14ac:dyDescent="0.3">
      <c r="A130" s="63" t="s">
        <v>337</v>
      </c>
      <c r="DU130" s="104">
        <f>+DU135*DU128*-3</f>
        <v>-71.55</v>
      </c>
      <c r="DV130" s="104">
        <f>+DV135*DV128*-3</f>
        <v>-67.41</v>
      </c>
      <c r="DW130" s="104">
        <f>+DW135*DW128*-3</f>
        <v>-63.449999999999996</v>
      </c>
      <c r="DX130" s="104">
        <f>+DX135*DX128*-3</f>
        <v>-60.21</v>
      </c>
      <c r="DY130" s="100">
        <f>+SUM(DU130:DX130)</f>
        <v>-262.61999999999995</v>
      </c>
      <c r="DZ130" s="104">
        <f>+DZ135*DZ128*-3</f>
        <v>-56.789999999999992</v>
      </c>
      <c r="EA130" s="104">
        <f>+EA135*EA128*-3</f>
        <v>-53.459999999999994</v>
      </c>
      <c r="EB130" s="104">
        <f>+EB135*EB128*-3</f>
        <v>-50.399999999999991</v>
      </c>
      <c r="EC130" s="104">
        <f>+EC135*EC128*-3</f>
        <v>-46.61999999999999</v>
      </c>
      <c r="ED130" s="85">
        <f>+SUM(DZ130:EC130)</f>
        <v>-207.26999999999998</v>
      </c>
      <c r="EE130" s="104">
        <f>+EE135*EE128*-3</f>
        <v>-43.65</v>
      </c>
      <c r="EF130" s="104">
        <f>+EF135*EF128*-3</f>
        <v>-40.769999999999996</v>
      </c>
      <c r="EG130" s="104">
        <f>+EG135*EG128*-3</f>
        <v>-38.150500887685453</v>
      </c>
      <c r="EH130" s="104">
        <f>+EH135*EH128*-3</f>
        <v>-35.766756695479216</v>
      </c>
      <c r="EI130" s="85">
        <f>+SUM(EE130:EH130)</f>
        <v>-158.33725758316467</v>
      </c>
      <c r="EJ130" s="104">
        <f>+EJ135*EJ128*-12</f>
        <v>-134.39019792228618</v>
      </c>
      <c r="EK130" s="104">
        <f t="shared" ref="EK130:ES130" si="92">+EK135*EK128*-12</f>
        <v>-102.80133732248861</v>
      </c>
      <c r="EL130" s="104">
        <f t="shared" si="92"/>
        <v>-82.58446653861813</v>
      </c>
      <c r="EM130" s="104">
        <f t="shared" si="92"/>
        <v>-69.645669236941018</v>
      </c>
      <c r="EN130" s="104">
        <f t="shared" si="92"/>
        <v>-61.364838963867683</v>
      </c>
      <c r="EO130" s="104">
        <f t="shared" si="92"/>
        <v>-56.065107589100741</v>
      </c>
      <c r="EP130" s="104">
        <f t="shared" si="92"/>
        <v>-52.673279509249895</v>
      </c>
      <c r="EQ130" s="104">
        <f t="shared" si="92"/>
        <v>-50.502509538145361</v>
      </c>
      <c r="ER130" s="104">
        <f t="shared" si="92"/>
        <v>-49.113216756638465</v>
      </c>
      <c r="ES130" s="104">
        <f t="shared" si="92"/>
        <v>-48.224069376474048</v>
      </c>
    </row>
    <row r="131" spans="1:154" x14ac:dyDescent="0.3">
      <c r="A131" s="64" t="s">
        <v>4000</v>
      </c>
      <c r="DU131" s="471">
        <f>+Inputs!DU595</f>
        <v>749</v>
      </c>
      <c r="DV131" s="471">
        <f>+Inputs!DV595</f>
        <v>705</v>
      </c>
      <c r="DW131" s="471">
        <f>+Inputs!DW595</f>
        <v>669</v>
      </c>
      <c r="DX131" s="471">
        <f>+Inputs!DX595</f>
        <v>631</v>
      </c>
      <c r="DY131" s="85">
        <f>+DX131</f>
        <v>631</v>
      </c>
      <c r="DZ131" s="471">
        <f>+Inputs!DZ595</f>
        <v>594</v>
      </c>
      <c r="EA131" s="471">
        <f>+Inputs!EA595</f>
        <v>560</v>
      </c>
      <c r="EB131" s="471">
        <f>+Inputs!EB595</f>
        <v>518</v>
      </c>
      <c r="EC131" s="471">
        <f>+Inputs!EC595</f>
        <v>485</v>
      </c>
      <c r="ED131" s="803">
        <f>+EC131</f>
        <v>485</v>
      </c>
      <c r="EE131" s="471">
        <f>+Inputs!EE595</f>
        <v>453</v>
      </c>
      <c r="EF131" s="76">
        <f>+SUM(EF128:EF130)</f>
        <v>423.89445430761617</v>
      </c>
      <c r="EG131" s="76">
        <f>+SUM(EG128:EG130)</f>
        <v>397.40840772754689</v>
      </c>
      <c r="EH131" s="76">
        <f>+SUM(EH128:EH130)</f>
        <v>373.30610533968382</v>
      </c>
      <c r="EI131" s="803">
        <f>+EH131</f>
        <v>373.30610533968382</v>
      </c>
      <c r="EJ131" s="76">
        <f>+SUM(EJ128:EJ130)</f>
        <v>285.55927034024609</v>
      </c>
      <c r="EK131" s="76">
        <f t="shared" ref="EK131:ES131" si="93">+SUM(EK128:EK130)</f>
        <v>229.40129594060591</v>
      </c>
      <c r="EL131" s="76">
        <f t="shared" si="93"/>
        <v>193.46019232483616</v>
      </c>
      <c r="EM131" s="76">
        <f t="shared" si="93"/>
        <v>170.45788601074355</v>
      </c>
      <c r="EN131" s="76">
        <f t="shared" si="93"/>
        <v>155.73640996972426</v>
      </c>
      <c r="EO131" s="76">
        <f t="shared" si="93"/>
        <v>146.31466530347194</v>
      </c>
      <c r="EP131" s="76">
        <f t="shared" si="93"/>
        <v>140.28474871707044</v>
      </c>
      <c r="EQ131" s="76">
        <f t="shared" si="93"/>
        <v>136.42560210177351</v>
      </c>
      <c r="ER131" s="76">
        <f t="shared" si="93"/>
        <v>133.95574826798344</v>
      </c>
      <c r="ES131" s="76">
        <f t="shared" si="93"/>
        <v>132.37504181435781</v>
      </c>
    </row>
    <row r="132" spans="1:154" x14ac:dyDescent="0.3">
      <c r="A132" s="61" t="s">
        <v>339</v>
      </c>
      <c r="DZ132" s="75">
        <f t="shared" ref="DZ132:EI132" si="94">+IFERROR(DZ131/DU131-1,"")</f>
        <v>-0.20694259012016025</v>
      </c>
      <c r="EA132" s="75">
        <f t="shared" si="94"/>
        <v>-0.20567375886524819</v>
      </c>
      <c r="EB132" s="75">
        <f t="shared" si="94"/>
        <v>-0.22571001494768306</v>
      </c>
      <c r="EC132" s="75">
        <f t="shared" si="94"/>
        <v>-0.23137876386687795</v>
      </c>
      <c r="ED132" s="84">
        <f t="shared" si="94"/>
        <v>-0.23137876386687795</v>
      </c>
      <c r="EE132" s="75">
        <f t="shared" si="94"/>
        <v>-0.23737373737373735</v>
      </c>
      <c r="EF132" s="75">
        <f t="shared" si="94"/>
        <v>-0.24304561730782825</v>
      </c>
      <c r="EG132" s="75">
        <f t="shared" si="94"/>
        <v>-0.23280230168427241</v>
      </c>
      <c r="EH132" s="75">
        <f t="shared" si="94"/>
        <v>-0.23029669002127051</v>
      </c>
      <c r="EI132" s="84">
        <f t="shared" si="94"/>
        <v>-0.23029669002127051</v>
      </c>
      <c r="EJ132" s="75">
        <f t="shared" ref="EJ132:ES132" si="95">+IFERROR(EJ131/EI131-1,"")</f>
        <v>-0.23505330811451353</v>
      </c>
      <c r="EK132" s="75">
        <f t="shared" si="95"/>
        <v>-0.19665960881860889</v>
      </c>
      <c r="EL132" s="75">
        <f t="shared" si="95"/>
        <v>-0.15667349858858348</v>
      </c>
      <c r="EM132" s="75">
        <f t="shared" si="95"/>
        <v>-0.11889942854739732</v>
      </c>
      <c r="EN132" s="75">
        <f t="shared" si="95"/>
        <v>-8.6364300212496081E-2</v>
      </c>
      <c r="EO132" s="75">
        <f t="shared" si="95"/>
        <v>-6.0498021420192893E-2</v>
      </c>
      <c r="EP132" s="75">
        <f t="shared" si="95"/>
        <v>-4.1211976761829194E-2</v>
      </c>
      <c r="EQ132" s="75">
        <f t="shared" si="95"/>
        <v>-2.7509381102290398E-2</v>
      </c>
      <c r="ER132" s="75">
        <f t="shared" si="95"/>
        <v>-1.8104034695390681E-2</v>
      </c>
      <c r="ES132" s="75">
        <f t="shared" si="95"/>
        <v>-1.1800213682979566E-2</v>
      </c>
    </row>
    <row r="133" spans="1:154" x14ac:dyDescent="0.3">
      <c r="A133" s="65" t="s">
        <v>340</v>
      </c>
      <c r="DU133" s="80">
        <f>+Inputs!DU592</f>
        <v>-46</v>
      </c>
      <c r="DV133" s="77">
        <f>+DV131-DU131</f>
        <v>-44</v>
      </c>
      <c r="DW133" s="77">
        <f>+DW131-DV131</f>
        <v>-36</v>
      </c>
      <c r="DX133" s="77">
        <f>+DX131-DW131</f>
        <v>-38</v>
      </c>
      <c r="DY133" s="86">
        <f>+SUM(DU133:DX133)</f>
        <v>-164</v>
      </c>
      <c r="DZ133" s="77">
        <f>+DZ131-DY131</f>
        <v>-37</v>
      </c>
      <c r="EA133" s="77">
        <f>+EA131-DZ131</f>
        <v>-34</v>
      </c>
      <c r="EB133" s="77">
        <f>+EB131-EA131</f>
        <v>-42</v>
      </c>
      <c r="EC133" s="77">
        <f>+EC131-EB131</f>
        <v>-33</v>
      </c>
      <c r="ED133" s="86">
        <f>+SUM(DZ133:EC133)</f>
        <v>-146</v>
      </c>
      <c r="EE133" s="77">
        <f>+EE131-ED131</f>
        <v>-32</v>
      </c>
      <c r="EF133" s="77">
        <f>+EF131-EE131</f>
        <v>-29.105545692383828</v>
      </c>
      <c r="EG133" s="77">
        <f>+EG131-EF131</f>
        <v>-26.486046580069285</v>
      </c>
      <c r="EH133" s="77">
        <f>+EH131-EG131</f>
        <v>-24.102302387863062</v>
      </c>
      <c r="EI133" s="86">
        <f>+SUM(EE133:EH133)</f>
        <v>-111.69389466031618</v>
      </c>
      <c r="EJ133" s="77">
        <f t="shared" ref="EJ133:ES133" si="96">+EJ131-EI131</f>
        <v>-87.746834999437738</v>
      </c>
      <c r="EK133" s="77">
        <f t="shared" si="96"/>
        <v>-56.157974399640182</v>
      </c>
      <c r="EL133" s="77">
        <f t="shared" si="96"/>
        <v>-35.941103615769748</v>
      </c>
      <c r="EM133" s="77">
        <f t="shared" si="96"/>
        <v>-23.002306314092607</v>
      </c>
      <c r="EN133" s="77">
        <f t="shared" si="96"/>
        <v>-14.721476041019287</v>
      </c>
      <c r="EO133" s="77">
        <f t="shared" si="96"/>
        <v>-9.421744666252323</v>
      </c>
      <c r="EP133" s="77">
        <f t="shared" si="96"/>
        <v>-6.0299165864014981</v>
      </c>
      <c r="EQ133" s="77">
        <f t="shared" si="96"/>
        <v>-3.859146615296936</v>
      </c>
      <c r="ER133" s="77">
        <f t="shared" si="96"/>
        <v>-2.4698538337900686</v>
      </c>
      <c r="ES133" s="77">
        <f t="shared" si="96"/>
        <v>-1.5807064536256235</v>
      </c>
    </row>
    <row r="134" spans="1:154" x14ac:dyDescent="0.3">
      <c r="A134" s="65" t="s">
        <v>4001</v>
      </c>
      <c r="DU134" s="898">
        <f>DU129/DU91</f>
        <v>8.7082916666666507E-3</v>
      </c>
      <c r="DV134" s="898">
        <f>DV129/AVERAGE(DU91:DV91)</f>
        <v>7.9789083333333226E-3</v>
      </c>
      <c r="DW134" s="898">
        <f t="shared" ref="DW134:EE134" si="97">DW129/AVERAGE(DV91:DW91)</f>
        <v>9.3558750000000152E-3</v>
      </c>
      <c r="DX134" s="898">
        <f t="shared" si="97"/>
        <v>7.5699083333333455E-3</v>
      </c>
      <c r="DY134" s="911">
        <f t="shared" si="97"/>
        <v>3.3612983333333332E-2</v>
      </c>
      <c r="DZ134" s="898">
        <f t="shared" si="97"/>
        <v>6.7450916666666541E-3</v>
      </c>
      <c r="EA134" s="898">
        <f t="shared" si="97"/>
        <v>6.6295048856832321E-3</v>
      </c>
      <c r="EB134" s="898">
        <f t="shared" si="97"/>
        <v>2.8555200664901284E-3</v>
      </c>
      <c r="EC134" s="898">
        <f t="shared" si="97"/>
        <v>4.6163950114856663E-3</v>
      </c>
      <c r="ED134" s="911">
        <f t="shared" si="97"/>
        <v>2.0740621422730983E-2</v>
      </c>
      <c r="EE134" s="898">
        <f t="shared" si="97"/>
        <v>3.9387701689672086E-3</v>
      </c>
      <c r="EF134" s="376">
        <f>EE134</f>
        <v>3.9387701689672086E-3</v>
      </c>
      <c r="EG134" s="376">
        <f>EF134</f>
        <v>3.9387701689672086E-3</v>
      </c>
      <c r="EH134" s="376">
        <f>EG134</f>
        <v>3.9387701689672086E-3</v>
      </c>
      <c r="EI134" s="911">
        <f>EI129/AVERAGE(EH91:EI91)</f>
        <v>1.5750199847829202E-2</v>
      </c>
      <c r="EJ134" s="376">
        <f>EI134</f>
        <v>1.5750199847829202E-2</v>
      </c>
      <c r="EK134" s="376">
        <f t="shared" ref="EK134:ES134" si="98">+EJ134</f>
        <v>1.5750199847829202E-2</v>
      </c>
      <c r="EL134" s="376">
        <f t="shared" si="98"/>
        <v>1.5750199847829202E-2</v>
      </c>
      <c r="EM134" s="376">
        <f t="shared" si="98"/>
        <v>1.5750199847829202E-2</v>
      </c>
      <c r="EN134" s="376">
        <f t="shared" si="98"/>
        <v>1.5750199847829202E-2</v>
      </c>
      <c r="EO134" s="376">
        <f t="shared" si="98"/>
        <v>1.5750199847829202E-2</v>
      </c>
      <c r="EP134" s="376">
        <f t="shared" si="98"/>
        <v>1.5750199847829202E-2</v>
      </c>
      <c r="EQ134" s="376">
        <f t="shared" si="98"/>
        <v>1.5750199847829202E-2</v>
      </c>
      <c r="ER134" s="376">
        <f t="shared" si="98"/>
        <v>1.5750199847829202E-2</v>
      </c>
      <c r="ES134" s="376">
        <f t="shared" si="98"/>
        <v>1.5750199847829202E-2</v>
      </c>
    </row>
    <row r="135" spans="1:154" x14ac:dyDescent="0.3">
      <c r="A135" s="65" t="s">
        <v>342</v>
      </c>
      <c r="DU135" s="376">
        <v>0.03</v>
      </c>
      <c r="DV135" s="376">
        <f>+DU135</f>
        <v>0.03</v>
      </c>
      <c r="DW135" s="376">
        <f>+DV135</f>
        <v>0.03</v>
      </c>
      <c r="DX135" s="376">
        <f>+DW135</f>
        <v>0.03</v>
      </c>
      <c r="DY135" s="91">
        <f>+DY130/AVERAGE(DU128:DX128)/-12</f>
        <v>2.9999999999999995E-2</v>
      </c>
      <c r="DZ135" s="376">
        <f>+DY135</f>
        <v>2.9999999999999995E-2</v>
      </c>
      <c r="EA135" s="376">
        <f>+DZ135</f>
        <v>2.9999999999999995E-2</v>
      </c>
      <c r="EB135" s="376">
        <f>+EA135</f>
        <v>2.9999999999999995E-2</v>
      </c>
      <c r="EC135" s="376">
        <f>+EB135</f>
        <v>2.9999999999999995E-2</v>
      </c>
      <c r="ED135" s="91">
        <f>+ED130/AVERAGE(DZ128:EC128)/-12</f>
        <v>0.03</v>
      </c>
      <c r="EE135" s="376">
        <f>+ED135</f>
        <v>0.03</v>
      </c>
      <c r="EF135" s="376">
        <f>+EE135</f>
        <v>0.03</v>
      </c>
      <c r="EG135" s="376">
        <f>+EF135</f>
        <v>0.03</v>
      </c>
      <c r="EH135" s="376">
        <f>+EG135</f>
        <v>0.03</v>
      </c>
      <c r="EI135" s="91">
        <f>+EI130/AVERAGE(EE128:EH128)/-12</f>
        <v>3.0000000000000002E-2</v>
      </c>
      <c r="EJ135" s="376">
        <f>+EI135</f>
        <v>3.0000000000000002E-2</v>
      </c>
      <c r="EK135" s="376">
        <f t="shared" ref="EK135:ES135" si="99">+EJ135</f>
        <v>3.0000000000000002E-2</v>
      </c>
      <c r="EL135" s="376">
        <f t="shared" si="99"/>
        <v>3.0000000000000002E-2</v>
      </c>
      <c r="EM135" s="376">
        <f t="shared" si="99"/>
        <v>3.0000000000000002E-2</v>
      </c>
      <c r="EN135" s="376">
        <f t="shared" si="99"/>
        <v>3.0000000000000002E-2</v>
      </c>
      <c r="EO135" s="376">
        <f t="shared" si="99"/>
        <v>3.0000000000000002E-2</v>
      </c>
      <c r="EP135" s="376">
        <f t="shared" si="99"/>
        <v>3.0000000000000002E-2</v>
      </c>
      <c r="EQ135" s="376">
        <f t="shared" si="99"/>
        <v>3.0000000000000002E-2</v>
      </c>
      <c r="ER135" s="376">
        <f t="shared" si="99"/>
        <v>3.0000000000000002E-2</v>
      </c>
      <c r="ES135" s="376">
        <f t="shared" si="99"/>
        <v>3.0000000000000002E-2</v>
      </c>
    </row>
    <row r="136" spans="1:154" x14ac:dyDescent="0.3">
      <c r="A136" s="65" t="s">
        <v>4002</v>
      </c>
      <c r="DU136" s="75">
        <f>DU131/DU91</f>
        <v>0.25528416666666665</v>
      </c>
      <c r="DV136" s="75">
        <f t="shared" ref="DV136:ES136" si="100">DV131/DV91</f>
        <v>0.24028749999999999</v>
      </c>
      <c r="DW136" s="75">
        <f t="shared" si="100"/>
        <v>0.22801749999999998</v>
      </c>
      <c r="DX136" s="75">
        <f t="shared" si="100"/>
        <v>0.21506583333333332</v>
      </c>
      <c r="DY136" s="75">
        <f t="shared" si="100"/>
        <v>0.21506583333333332</v>
      </c>
      <c r="DZ136" s="75">
        <f t="shared" si="100"/>
        <v>0.202455</v>
      </c>
      <c r="EA136" s="75">
        <f t="shared" si="100"/>
        <v>0.19068765534382767</v>
      </c>
      <c r="EB136" s="75">
        <f t="shared" si="100"/>
        <v>0.1757957166392092</v>
      </c>
      <c r="EC136" s="75">
        <f t="shared" si="100"/>
        <v>0.16417825020441537</v>
      </c>
      <c r="ED136" s="75">
        <f t="shared" si="100"/>
        <v>0.16417825020441537</v>
      </c>
      <c r="EE136" s="75">
        <f t="shared" si="100"/>
        <v>0.15296582587469487</v>
      </c>
      <c r="EF136" s="75">
        <f t="shared" si="100"/>
        <v>0.14313767171493955</v>
      </c>
      <c r="EG136" s="75">
        <f t="shared" si="100"/>
        <v>0.1341940514295622</v>
      </c>
      <c r="EH136" s="75">
        <f t="shared" si="100"/>
        <v>0.1260553569698688</v>
      </c>
      <c r="EI136" s="75">
        <f t="shared" si="100"/>
        <v>0.1260553569698688</v>
      </c>
      <c r="EJ136" s="75">
        <f t="shared" si="100"/>
        <v>9.6425628308545258E-2</v>
      </c>
      <c r="EK136" s="75">
        <f t="shared" si="100"/>
        <v>7.7462601965298167E-2</v>
      </c>
      <c r="EL136" s="75">
        <f t="shared" si="100"/>
        <v>6.5326265105620021E-2</v>
      </c>
      <c r="EM136" s="75">
        <f t="shared" si="100"/>
        <v>5.7559009515426009E-2</v>
      </c>
      <c r="EN136" s="75">
        <f t="shared" si="100"/>
        <v>5.258796593770184E-2</v>
      </c>
      <c r="EO136" s="75">
        <f t="shared" si="100"/>
        <v>4.940649804795838E-2</v>
      </c>
      <c r="EP136" s="75">
        <f t="shared" si="100"/>
        <v>4.7370358598522566E-2</v>
      </c>
      <c r="EQ136" s="75">
        <f t="shared" si="100"/>
        <v>4.606722935088365E-2</v>
      </c>
      <c r="ER136" s="75">
        <f t="shared" si="100"/>
        <v>4.5233226632394728E-2</v>
      </c>
      <c r="ES136" s="75">
        <f t="shared" si="100"/>
        <v>4.4699464892561831E-2</v>
      </c>
    </row>
    <row r="137" spans="1:154" x14ac:dyDescent="0.3">
      <c r="A137" s="65" t="s">
        <v>4003</v>
      </c>
      <c r="DU137" s="75">
        <f>DU131/DU109</f>
        <v>0.61849710982658956</v>
      </c>
      <c r="DV137" s="75">
        <f t="shared" ref="DV137:ES137" si="101">DV131/DV109</f>
        <v>0.58701082431307239</v>
      </c>
      <c r="DW137" s="75">
        <f t="shared" si="101"/>
        <v>0.55703580349708581</v>
      </c>
      <c r="DX137" s="75">
        <f t="shared" si="101"/>
        <v>0.5236514522821577</v>
      </c>
      <c r="DY137" s="75">
        <f t="shared" si="101"/>
        <v>0.5236514522821577</v>
      </c>
      <c r="DZ137" s="75">
        <f t="shared" si="101"/>
        <v>0.48910374066127232</v>
      </c>
      <c r="EA137" s="75">
        <f t="shared" si="101"/>
        <v>0.45826819156295523</v>
      </c>
      <c r="EB137" s="75">
        <f t="shared" si="101"/>
        <v>0.42201031816554158</v>
      </c>
      <c r="EC137" s="75">
        <f t="shared" si="101"/>
        <v>0.39338145835023114</v>
      </c>
      <c r="ED137" s="75">
        <f t="shared" si="101"/>
        <v>0.39338145835023114</v>
      </c>
      <c r="EE137" s="75">
        <f t="shared" si="101"/>
        <v>0.36435293171398697</v>
      </c>
      <c r="EF137" s="75">
        <f t="shared" si="101"/>
        <v>0.33943408839464245</v>
      </c>
      <c r="EG137" s="75">
        <f t="shared" si="101"/>
        <v>0.3135722214909481</v>
      </c>
      <c r="EH137" s="75">
        <f t="shared" si="101"/>
        <v>0.2878783956067415</v>
      </c>
      <c r="EI137" s="75">
        <f t="shared" si="101"/>
        <v>0.2878783956067415</v>
      </c>
      <c r="EJ137" s="75">
        <f t="shared" si="101"/>
        <v>0.20125197265124795</v>
      </c>
      <c r="EK137" s="75">
        <f t="shared" si="101"/>
        <v>0.15496403470890893</v>
      </c>
      <c r="EL137" s="75">
        <f t="shared" si="101"/>
        <v>0.13186099196703219</v>
      </c>
      <c r="EM137" s="75">
        <f t="shared" si="101"/>
        <v>0.12166433492450789</v>
      </c>
      <c r="EN137" s="75">
        <f t="shared" si="101"/>
        <v>0.1156147321073946</v>
      </c>
      <c r="EO137" s="75">
        <f t="shared" si="101"/>
        <v>0.1114745251874491</v>
      </c>
      <c r="EP137" s="75">
        <f t="shared" si="101"/>
        <v>0.11037419102617904</v>
      </c>
      <c r="EQ137" s="75">
        <f t="shared" si="101"/>
        <v>0.10679582394157192</v>
      </c>
      <c r="ER137" s="75">
        <f t="shared" si="101"/>
        <v>0.10019870221327595</v>
      </c>
      <c r="ES137" s="75">
        <f t="shared" si="101"/>
        <v>9.2570149327260362E-2</v>
      </c>
    </row>
    <row r="138" spans="1:154" x14ac:dyDescent="0.3">
      <c r="A138" s="66"/>
      <c r="ET138" s="76"/>
      <c r="EU138" s="76"/>
      <c r="EV138" s="76"/>
      <c r="EW138" s="76"/>
      <c r="EX138" s="76"/>
    </row>
    <row r="139" spans="1:154" x14ac:dyDescent="0.3">
      <c r="A139" s="30"/>
    </row>
    <row r="140" spans="1:154" x14ac:dyDescent="0.3">
      <c r="A140" s="846" t="s">
        <v>280</v>
      </c>
    </row>
    <row r="141" spans="1:154" x14ac:dyDescent="0.3">
      <c r="A141" s="67" t="s">
        <v>1899</v>
      </c>
      <c r="DU141" s="1060">
        <f>Inputs!DU429</f>
        <v>57.66</v>
      </c>
      <c r="DV141" s="1060">
        <f>Inputs!DV429</f>
        <v>56.62</v>
      </c>
      <c r="DW141" s="1060">
        <f>Inputs!DW429</f>
        <v>56.37</v>
      </c>
      <c r="DX141" s="1060">
        <f>Inputs!DX429</f>
        <v>56.69</v>
      </c>
      <c r="DY141" s="591">
        <f>DY149/AVERAGE(DT109:DX109)*1000/12</f>
        <v>56.913704856787035</v>
      </c>
      <c r="DZ141" s="1060">
        <f>Inputs!DZ429</f>
        <v>56.8</v>
      </c>
      <c r="EA141" s="1060">
        <f>Inputs!EA429</f>
        <v>56.92</v>
      </c>
      <c r="EB141" s="1060">
        <f>Inputs!EB429</f>
        <v>57.58</v>
      </c>
      <c r="EC141" s="1060">
        <f>Inputs!EC429</f>
        <v>59.72</v>
      </c>
      <c r="ED141" s="591">
        <f>ED149/AVERAGE(DY109:EC109)*1000/12</f>
        <v>57.77796061532954</v>
      </c>
      <c r="EE141" s="1060">
        <f>Inputs!EE429</f>
        <v>60.73</v>
      </c>
      <c r="EF141" s="1060">
        <f>Inputs!EF429</f>
        <v>63.1</v>
      </c>
      <c r="EG141" s="741">
        <f>EB141*(1+EG142)</f>
        <v>63.350000000000009</v>
      </c>
      <c r="EH141" s="741">
        <f>EC141*(1+EH142)</f>
        <v>62.21</v>
      </c>
      <c r="EI141" s="591">
        <f>EI149/AVERAGE(ED109:EH109)*1000/12</f>
        <v>62.264758646705047</v>
      </c>
      <c r="EJ141" s="741">
        <f t="shared" ref="EJ141:ES141" si="102">EI141*(1+EJ142)</f>
        <v>64.755348992573246</v>
      </c>
      <c r="EK141" s="741">
        <f t="shared" si="102"/>
        <v>67.345562952276183</v>
      </c>
      <c r="EL141" s="741">
        <f t="shared" si="102"/>
        <v>70.039385470367236</v>
      </c>
      <c r="EM141" s="741">
        <f t="shared" si="102"/>
        <v>72.840960889181929</v>
      </c>
      <c r="EN141" s="741">
        <f t="shared" si="102"/>
        <v>75.754599324749208</v>
      </c>
      <c r="EO141" s="741">
        <f t="shared" si="102"/>
        <v>78.784783297739182</v>
      </c>
      <c r="EP141" s="741">
        <f t="shared" si="102"/>
        <v>81.936174629648747</v>
      </c>
      <c r="EQ141" s="741">
        <f t="shared" si="102"/>
        <v>85.213621614834693</v>
      </c>
      <c r="ER141" s="741">
        <f t="shared" si="102"/>
        <v>88.622166479428088</v>
      </c>
      <c r="ES141" s="741">
        <f t="shared" si="102"/>
        <v>92.167053138605212</v>
      </c>
    </row>
    <row r="142" spans="1:154" x14ac:dyDescent="0.3">
      <c r="A142" s="70" t="s">
        <v>363</v>
      </c>
      <c r="DU142" s="75"/>
      <c r="DV142" s="75"/>
      <c r="DW142" s="75"/>
      <c r="DX142" s="75"/>
      <c r="DZ142" s="75">
        <f t="shared" ref="DZ142:EF142" si="103">+DZ141/DU141-1</f>
        <v>-1.4915019077349934E-2</v>
      </c>
      <c r="EA142" s="75">
        <f t="shared" si="103"/>
        <v>5.298481102084196E-3</v>
      </c>
      <c r="EB142" s="75">
        <f t="shared" si="103"/>
        <v>2.1465318431789893E-2</v>
      </c>
      <c r="EC142" s="75">
        <f t="shared" si="103"/>
        <v>5.3448579996472123E-2</v>
      </c>
      <c r="ED142" s="84">
        <f t="shared" si="103"/>
        <v>1.5185371620372479E-2</v>
      </c>
      <c r="EE142" s="75">
        <f t="shared" si="103"/>
        <v>6.9190140845070358E-2</v>
      </c>
      <c r="EF142" s="75">
        <f t="shared" si="103"/>
        <v>0.1085734364019677</v>
      </c>
      <c r="EG142" s="87">
        <f>Drivers!EG187</f>
        <v>0.10020840569642253</v>
      </c>
      <c r="EH142" s="87">
        <f>Drivers!EH187</f>
        <v>4.1694574681848673E-2</v>
      </c>
      <c r="EI142" s="84">
        <f>+EI141/ED141-1</f>
        <v>7.7655874032097172E-2</v>
      </c>
      <c r="EJ142" s="87">
        <v>0.04</v>
      </c>
      <c r="EK142" s="87">
        <f>EJ142</f>
        <v>0.04</v>
      </c>
      <c r="EL142" s="87">
        <f t="shared" ref="EL142:ES142" si="104">EK142</f>
        <v>0.04</v>
      </c>
      <c r="EM142" s="87">
        <f t="shared" si="104"/>
        <v>0.04</v>
      </c>
      <c r="EN142" s="87">
        <f t="shared" si="104"/>
        <v>0.04</v>
      </c>
      <c r="EO142" s="87">
        <f t="shared" si="104"/>
        <v>0.04</v>
      </c>
      <c r="EP142" s="87">
        <f t="shared" si="104"/>
        <v>0.04</v>
      </c>
      <c r="EQ142" s="87">
        <f t="shared" si="104"/>
        <v>0.04</v>
      </c>
      <c r="ER142" s="87">
        <f t="shared" si="104"/>
        <v>0.04</v>
      </c>
      <c r="ES142" s="87">
        <f t="shared" si="104"/>
        <v>0.04</v>
      </c>
    </row>
    <row r="143" spans="1:154" x14ac:dyDescent="0.3">
      <c r="A143" s="67" t="s">
        <v>1902</v>
      </c>
      <c r="DU143" s="912">
        <f>DU150/AVERAGE(DT109:DU109)*1000/3</f>
        <v>74.231886560693638</v>
      </c>
      <c r="DV143" s="912">
        <f>DV150/AVERAGE(DU109:DV109)*1000/3</f>
        <v>72.30345786587894</v>
      </c>
      <c r="DW143" s="912">
        <f>DW150/AVERAGE(DV109:DW109)*1000/3</f>
        <v>70.426337286146961</v>
      </c>
      <c r="DX143" s="912">
        <f>DX150/AVERAGE(DW109:DX109)*1000/3</f>
        <v>67.150141957401644</v>
      </c>
      <c r="DY143" s="591">
        <f>DY150/AVERAGE(DU109:DX109)*1000/12</f>
        <v>71.078546423135464</v>
      </c>
      <c r="DZ143" s="912">
        <f>DZ150/AVERAGE(DY109:DZ109)*1000/3</f>
        <v>75.313911923624815</v>
      </c>
      <c r="EA143" s="912">
        <f>EA150/AVERAGE(DZ109:EA109)*1000/3</f>
        <v>72.545012478835915</v>
      </c>
      <c r="EB143" s="912">
        <f>EB150/AVERAGE(EA109:EB109)*1000/3</f>
        <v>69.995427362313151</v>
      </c>
      <c r="EC143" s="912">
        <f>EC150/AVERAGE(EB109:EC109)*1000/3</f>
        <v>66.554032069113973</v>
      </c>
      <c r="ED143" s="591">
        <f>ED150/AVERAGE(DY109:EC109)*1000/12</f>
        <v>71.102744115981849</v>
      </c>
      <c r="EE143" s="741">
        <f>DZ143*(1+EE144)</f>
        <v>73.807633685152311</v>
      </c>
      <c r="EF143" s="741">
        <f>EA143*(1+EF144)</f>
        <v>71.239202254216863</v>
      </c>
      <c r="EG143" s="741">
        <f>EB143*(1+EG144)</f>
        <v>68.861501439043678</v>
      </c>
      <c r="EH143" s="741">
        <f>EC143*(1+EH144)</f>
        <v>65.583674281546294</v>
      </c>
      <c r="EI143" s="591">
        <f>EI150/AVERAGE(ED109:EH109)*1000/12</f>
        <v>69.736492573963801</v>
      </c>
      <c r="EJ143" s="741">
        <f>EI143*(1+EJ144)</f>
        <v>68.731493487444439</v>
      </c>
      <c r="EK143" s="741">
        <f t="shared" ref="EK143:ES143" si="105">EJ143*(1+EK144)</f>
        <v>67.988606740271891</v>
      </c>
      <c r="EL143" s="741">
        <f t="shared" si="105"/>
        <v>67.437463817901445</v>
      </c>
      <c r="EM143" s="741">
        <f t="shared" si="105"/>
        <v>67.027457465353621</v>
      </c>
      <c r="EN143" s="741">
        <f t="shared" si="105"/>
        <v>67.027457465353621</v>
      </c>
      <c r="EO143" s="741">
        <f t="shared" si="105"/>
        <v>67.36259475268038</v>
      </c>
      <c r="EP143" s="741">
        <f t="shared" si="105"/>
        <v>68.036220700207181</v>
      </c>
      <c r="EQ143" s="741">
        <f t="shared" si="105"/>
        <v>68.716582907209258</v>
      </c>
      <c r="ER143" s="741">
        <f t="shared" si="105"/>
        <v>69.403748736281358</v>
      </c>
      <c r="ES143" s="741">
        <f t="shared" si="105"/>
        <v>70.097786223644178</v>
      </c>
    </row>
    <row r="144" spans="1:154" x14ac:dyDescent="0.3">
      <c r="A144" s="70" t="s">
        <v>363</v>
      </c>
      <c r="DZ144" s="75">
        <f>+DZ143/DU143-1</f>
        <v>1.4576288075967003E-2</v>
      </c>
      <c r="EA144" s="75">
        <f>+EA143/DV143-1</f>
        <v>3.3408445472282722E-3</v>
      </c>
      <c r="EB144" s="75">
        <f>+EB143/DW143-1</f>
        <v>-6.1185905790186457E-3</v>
      </c>
      <c r="EC144" s="75">
        <f>+EC143/DX143-1</f>
        <v>-8.8772692195621117E-3</v>
      </c>
      <c r="ED144" s="84">
        <f>+ED143/DY143-1</f>
        <v>3.4043595520838466E-4</v>
      </c>
      <c r="EE144" s="87">
        <v>-0.02</v>
      </c>
      <c r="EF144" s="87">
        <f>EE144*0.9</f>
        <v>-1.8000000000000002E-2</v>
      </c>
      <c r="EG144" s="87">
        <f>EF144*0.9</f>
        <v>-1.6200000000000003E-2</v>
      </c>
      <c r="EH144" s="87">
        <f>EG144*0.9</f>
        <v>-1.4580000000000003E-2</v>
      </c>
      <c r="EI144" s="84">
        <f>+EI143/ED143-1</f>
        <v>-1.9215173183603662E-2</v>
      </c>
      <c r="EJ144" s="87">
        <f>EI144*0.75</f>
        <v>-1.4411379887702747E-2</v>
      </c>
      <c r="EK144" s="87">
        <f>EJ144*0.75</f>
        <v>-1.080853491577706E-2</v>
      </c>
      <c r="EL144" s="87">
        <f>EK144*0.75</f>
        <v>-8.106401186832795E-3</v>
      </c>
      <c r="EM144" s="87">
        <f>EL144*0.75</f>
        <v>-6.0798008901245962E-3</v>
      </c>
      <c r="EN144" s="87">
        <v>0</v>
      </c>
      <c r="EO144" s="87">
        <f>EN144+0.5%</f>
        <v>5.0000000000000001E-3</v>
      </c>
      <c r="EP144" s="87">
        <f>EO144+0.5%</f>
        <v>0.01</v>
      </c>
      <c r="EQ144" s="87">
        <f>EP144</f>
        <v>0.01</v>
      </c>
      <c r="ER144" s="87">
        <f>EQ144</f>
        <v>0.01</v>
      </c>
      <c r="ES144" s="87">
        <f>ER144</f>
        <v>0.01</v>
      </c>
    </row>
    <row r="145" spans="1:149" x14ac:dyDescent="0.3">
      <c r="A145" s="67" t="s">
        <v>1910</v>
      </c>
      <c r="DU145" s="1060">
        <f>Inputs!DU442</f>
        <v>98.16</v>
      </c>
      <c r="DV145" s="1060">
        <f>Inputs!DV442</f>
        <v>100.89</v>
      </c>
      <c r="DW145" s="1060">
        <f>Inputs!DW442</f>
        <v>100.47</v>
      </c>
      <c r="DX145" s="1060">
        <f>Inputs!DX442</f>
        <v>99.58</v>
      </c>
      <c r="DY145" s="591">
        <f>DY158/AVERAGE(DT120:DX120)*1000/12</f>
        <v>99.905196335078529</v>
      </c>
      <c r="DZ145" s="1060">
        <f>Inputs!DZ442</f>
        <v>100.3</v>
      </c>
      <c r="EA145" s="1060">
        <f>Inputs!EA442</f>
        <v>100.27</v>
      </c>
      <c r="EB145" s="1060">
        <f>Inputs!EB442</f>
        <v>100.85</v>
      </c>
      <c r="EC145" s="1060">
        <f>Inputs!EC442</f>
        <v>101.56</v>
      </c>
      <c r="ED145" s="591">
        <f>ED158/AVERAGE(DY120:EC120)*1000/12</f>
        <v>100.53208598726114</v>
      </c>
      <c r="EE145" s="1060">
        <f>Inputs!EE442</f>
        <v>101.34</v>
      </c>
      <c r="EF145" s="1060">
        <f>Inputs!EF442</f>
        <v>104.66</v>
      </c>
      <c r="EG145" s="741">
        <f>EB145*(1+EG146)</f>
        <v>100.85</v>
      </c>
      <c r="EH145" s="741">
        <f>EC145*(1+EH146)</f>
        <v>101.56</v>
      </c>
      <c r="EI145" s="591">
        <f>EI158/AVERAGE(ED120:EH120)*1000/12</f>
        <v>102.15633279993615</v>
      </c>
      <c r="EJ145" s="741">
        <f t="shared" ref="EJ145:ES145" si="106">EI145*(1+EJ146)</f>
        <v>102.15633279993615</v>
      </c>
      <c r="EK145" s="741">
        <f t="shared" si="106"/>
        <v>102.15633279993615</v>
      </c>
      <c r="EL145" s="741">
        <f t="shared" si="106"/>
        <v>102.15633279993615</v>
      </c>
      <c r="EM145" s="741">
        <f t="shared" si="106"/>
        <v>102.15633279993615</v>
      </c>
      <c r="EN145" s="741">
        <f t="shared" si="106"/>
        <v>102.15633279993615</v>
      </c>
      <c r="EO145" s="741">
        <f t="shared" si="106"/>
        <v>102.15633279993615</v>
      </c>
      <c r="EP145" s="741">
        <f t="shared" si="106"/>
        <v>102.15633279993615</v>
      </c>
      <c r="EQ145" s="741">
        <f t="shared" si="106"/>
        <v>102.15633279993615</v>
      </c>
      <c r="ER145" s="741">
        <f t="shared" si="106"/>
        <v>102.15633279993615</v>
      </c>
      <c r="ES145" s="741">
        <f t="shared" si="106"/>
        <v>102.15633279993615</v>
      </c>
    </row>
    <row r="146" spans="1:149" x14ac:dyDescent="0.3">
      <c r="A146" s="70" t="s">
        <v>363</v>
      </c>
      <c r="DZ146" s="75">
        <f t="shared" ref="DZ146:EF146" si="107">+DZ145/DU145-1</f>
        <v>2.1801140994295087E-2</v>
      </c>
      <c r="EA146" s="75">
        <f t="shared" si="107"/>
        <v>-6.1453067697492259E-3</v>
      </c>
      <c r="EB146" s="75">
        <f t="shared" si="107"/>
        <v>3.78222354931812E-3</v>
      </c>
      <c r="EC146" s="75">
        <f t="shared" si="107"/>
        <v>1.9883510745129618E-2</v>
      </c>
      <c r="ED146" s="84">
        <f t="shared" si="107"/>
        <v>6.2748453051435504E-3</v>
      </c>
      <c r="EE146" s="75">
        <f t="shared" si="107"/>
        <v>1.0368893320039874E-2</v>
      </c>
      <c r="EF146" s="75">
        <f t="shared" si="107"/>
        <v>4.3781789169243135E-2</v>
      </c>
      <c r="EG146" s="87">
        <v>0</v>
      </c>
      <c r="EH146" s="87">
        <v>0</v>
      </c>
      <c r="EI146" s="84">
        <f>+EI145/ED145-1</f>
        <v>1.6156501645463006E-2</v>
      </c>
      <c r="EJ146" s="87">
        <v>0</v>
      </c>
      <c r="EK146" s="87">
        <f>EJ146</f>
        <v>0</v>
      </c>
      <c r="EL146" s="87">
        <f t="shared" ref="EL146:ES146" si="108">EK146</f>
        <v>0</v>
      </c>
      <c r="EM146" s="87">
        <f t="shared" si="108"/>
        <v>0</v>
      </c>
      <c r="EN146" s="87">
        <f t="shared" si="108"/>
        <v>0</v>
      </c>
      <c r="EO146" s="87">
        <f t="shared" si="108"/>
        <v>0</v>
      </c>
      <c r="EP146" s="87">
        <f t="shared" si="108"/>
        <v>0</v>
      </c>
      <c r="EQ146" s="87">
        <f t="shared" si="108"/>
        <v>0</v>
      </c>
      <c r="ER146" s="87">
        <f t="shared" si="108"/>
        <v>0</v>
      </c>
      <c r="ES146" s="87">
        <f t="shared" si="108"/>
        <v>0</v>
      </c>
    </row>
    <row r="147" spans="1:149" x14ac:dyDescent="0.3">
      <c r="A147" s="30"/>
    </row>
    <row r="148" spans="1:149" x14ac:dyDescent="0.3">
      <c r="A148" s="846" t="s">
        <v>284</v>
      </c>
    </row>
    <row r="149" spans="1:149" x14ac:dyDescent="0.3">
      <c r="A149" s="67" t="s">
        <v>1899</v>
      </c>
      <c r="DU149" s="76">
        <f>AVERAGE(DU109,DU109-DU111)*DU141*3/1000</f>
        <v>210.08420999999996</v>
      </c>
      <c r="DV149" s="76">
        <f>AVERAGE(DU109:DV109)*DV141*3/1000</f>
        <v>204.85115999999999</v>
      </c>
      <c r="DW149" s="76">
        <f>AVERAGE(DV109:DW109)*DW141*3/1000</f>
        <v>203.10110999999998</v>
      </c>
      <c r="DX149" s="76">
        <f>AVERAGE(DW109:DX109)*DX141*3/1000</f>
        <v>204.59420999999998</v>
      </c>
      <c r="DY149" s="85">
        <f>+SUM(DU149:DX149)</f>
        <v>822.63068999999984</v>
      </c>
      <c r="DZ149" s="76">
        <f>AVERAGE(DY109:DZ109)*DZ141*3/1000</f>
        <v>206.13852697674417</v>
      </c>
      <c r="EA149" s="76">
        <f>AVERAGE(DZ109:EA109)*EA141*3/1000</f>
        <v>208.02479595348839</v>
      </c>
      <c r="EB149" s="76">
        <f>AVERAGE(EA109:EB109)*EB141*3/1000</f>
        <v>211.55899649999995</v>
      </c>
      <c r="EC149" s="76">
        <f>AVERAGE(EB109:EC109)*EC141*3/1000</f>
        <v>220.39888213953486</v>
      </c>
      <c r="ED149" s="85">
        <f>+SUM(DZ149:EC149)</f>
        <v>846.12120156976732</v>
      </c>
      <c r="EE149" s="76">
        <f>AVERAGE(ED109:EE109)*EE141*3/1000</f>
        <v>225.56943899999999</v>
      </c>
      <c r="EF149" s="885">
        <f>EF141*3*AVERAGE(EE109:EF109)/1000</f>
        <v>235.87982055000001</v>
      </c>
      <c r="EG149" s="885">
        <f>EG141*3*AVERAGE(EF109:EG109)/1000</f>
        <v>239.10052333649998</v>
      </c>
      <c r="EH149" s="885">
        <f>EH141*3*AVERAGE(EG109:EH109)/1000</f>
        <v>239.26971476590197</v>
      </c>
      <c r="EI149" s="85">
        <f>+SUM(EE149:EH149)</f>
        <v>939.81949765240199</v>
      </c>
      <c r="EJ149" s="885">
        <f t="shared" ref="EJ149:ES149" si="109">EJ141*12*AVERAGE(EI109:EJ109)/1000</f>
        <v>1055.1224004873256</v>
      </c>
      <c r="EK149" s="885">
        <f t="shared" si="109"/>
        <v>1171.516204000319</v>
      </c>
      <c r="EL149" s="885">
        <f t="shared" si="109"/>
        <v>1238.6483878387799</v>
      </c>
      <c r="EM149" s="885">
        <f t="shared" si="109"/>
        <v>1253.5360341770015</v>
      </c>
      <c r="EN149" s="885">
        <f t="shared" si="109"/>
        <v>1249.0780523185069</v>
      </c>
      <c r="EO149" s="885">
        <f t="shared" si="109"/>
        <v>1257.2009991937589</v>
      </c>
      <c r="EP149" s="885">
        <f t="shared" si="109"/>
        <v>1270.1080539678394</v>
      </c>
      <c r="EQ149" s="885">
        <f t="shared" si="109"/>
        <v>1302.9685332521804</v>
      </c>
      <c r="ER149" s="885">
        <f t="shared" si="109"/>
        <v>1390.1331129409098</v>
      </c>
      <c r="ES149" s="885">
        <f t="shared" si="109"/>
        <v>1530.1010627357671</v>
      </c>
    </row>
    <row r="150" spans="1:149" x14ac:dyDescent="0.3">
      <c r="A150" s="67" t="s">
        <v>1902</v>
      </c>
      <c r="DU150" s="134">
        <f>DY150/4*1.05</f>
        <v>269.684443875</v>
      </c>
      <c r="DV150" s="134">
        <f>DU150*0.97</f>
        <v>261.59391055875</v>
      </c>
      <c r="DW150" s="134">
        <f>DV150*0.97</f>
        <v>253.7460932419875</v>
      </c>
      <c r="DX150" s="134">
        <f>DY150-SUM(DU150:DW150)</f>
        <v>242.34486232426252</v>
      </c>
      <c r="DY150" s="85">
        <f>DY151-DY149</f>
        <v>1027.36931</v>
      </c>
      <c r="DZ150" s="134">
        <f>ED150/4*1.05</f>
        <v>273.3292053660611</v>
      </c>
      <c r="EA150" s="134">
        <f>DZ150*0.97</f>
        <v>265.12932920507927</v>
      </c>
      <c r="EB150" s="134">
        <f>EA150*0.97</f>
        <v>257.1754493289269</v>
      </c>
      <c r="EC150" s="134">
        <f>ED150-SUM(DZ150:EB150)</f>
        <v>245.62013178016537</v>
      </c>
      <c r="ED150" s="85">
        <f>ED151-ED149</f>
        <v>1041.2541156802326</v>
      </c>
      <c r="EE150" s="120">
        <f>EE143*AVERAGE(ED109:EE109)*3/1000</f>
        <v>274.14369379676123</v>
      </c>
      <c r="EF150" s="120">
        <f>EF143*AVERAGE(EE109:EF109)*3/1000</f>
        <v>266.30570909429207</v>
      </c>
      <c r="EG150" s="120">
        <f>EG143*AVERAGE(EF109:EG109)*3/1000</f>
        <v>259.90246301203609</v>
      </c>
      <c r="EH150" s="120">
        <f>EH143*AVERAGE(EG109:EH109)*3/1000</f>
        <v>252.24541132688319</v>
      </c>
      <c r="EI150" s="121">
        <f>SUM(EE150:EH150)</f>
        <v>1052.5972772299726</v>
      </c>
      <c r="EJ150" s="120">
        <f t="shared" ref="EJ150:ES150" si="110">EJ143*AVERAGE(EI109:EJ109)*12/1000</f>
        <v>1119.9096217652796</v>
      </c>
      <c r="EK150" s="120">
        <f t="shared" si="110"/>
        <v>1182.7023339321834</v>
      </c>
      <c r="EL150" s="120">
        <f t="shared" si="110"/>
        <v>1192.6333344732257</v>
      </c>
      <c r="EM150" s="120">
        <f t="shared" si="110"/>
        <v>1153.4901817112848</v>
      </c>
      <c r="EN150" s="120">
        <f t="shared" si="110"/>
        <v>1105.1807648507108</v>
      </c>
      <c r="EO150" s="120">
        <f t="shared" si="110"/>
        <v>1074.9324664802912</v>
      </c>
      <c r="EP150" s="120">
        <f t="shared" si="110"/>
        <v>1054.6422537231529</v>
      </c>
      <c r="EQ150" s="120">
        <f t="shared" si="110"/>
        <v>1050.7186943116756</v>
      </c>
      <c r="ER150" s="120">
        <f t="shared" si="110"/>
        <v>1088.6717523762136</v>
      </c>
      <c r="ES150" s="120">
        <f t="shared" si="110"/>
        <v>1163.7205871703939</v>
      </c>
    </row>
    <row r="151" spans="1:149" x14ac:dyDescent="0.3">
      <c r="A151" s="64" t="s">
        <v>1903</v>
      </c>
      <c r="DU151" s="803">
        <f>+SUM(DU149:DU150)</f>
        <v>479.76865387499993</v>
      </c>
      <c r="DV151" s="803">
        <f>+SUM(DV149:DV150)</f>
        <v>466.44507055874999</v>
      </c>
      <c r="DW151" s="803">
        <f>+SUM(DW149:DW150)</f>
        <v>456.84720324198747</v>
      </c>
      <c r="DX151" s="803">
        <f>+SUM(DX149:DX150)</f>
        <v>446.9390723242625</v>
      </c>
      <c r="DY151" s="803">
        <f>DY165-DY160</f>
        <v>1850</v>
      </c>
      <c r="DZ151" s="803">
        <f>+SUM(DZ149:DZ150)</f>
        <v>479.46773234280528</v>
      </c>
      <c r="EA151" s="803">
        <f>+SUM(EA149:EA150)</f>
        <v>473.15412515856769</v>
      </c>
      <c r="EB151" s="803">
        <f>+SUM(EB149:EB150)</f>
        <v>468.73444582892682</v>
      </c>
      <c r="EC151" s="803">
        <f>+SUM(EC149:EC150)</f>
        <v>466.01901391970023</v>
      </c>
      <c r="ED151" s="803">
        <f>ED165-ED160</f>
        <v>1887.3753172500001</v>
      </c>
      <c r="EE151" s="803">
        <f t="shared" ref="EE151:ES151" si="111">+SUM(EE149:EE150)</f>
        <v>499.71313279676122</v>
      </c>
      <c r="EF151" s="803">
        <f t="shared" si="111"/>
        <v>502.18552964429205</v>
      </c>
      <c r="EG151" s="803">
        <f t="shared" si="111"/>
        <v>499.00298634853607</v>
      </c>
      <c r="EH151" s="803">
        <f t="shared" si="111"/>
        <v>491.51512609278518</v>
      </c>
      <c r="EI151" s="803">
        <f t="shared" si="111"/>
        <v>1992.4167748823747</v>
      </c>
      <c r="EJ151" s="803">
        <f t="shared" si="111"/>
        <v>2175.0320222526052</v>
      </c>
      <c r="EK151" s="803">
        <f t="shared" si="111"/>
        <v>2354.2185379325024</v>
      </c>
      <c r="EL151" s="803">
        <f t="shared" si="111"/>
        <v>2431.2817223120055</v>
      </c>
      <c r="EM151" s="803">
        <f t="shared" si="111"/>
        <v>2407.0262158882861</v>
      </c>
      <c r="EN151" s="803">
        <f t="shared" si="111"/>
        <v>2354.2588171692178</v>
      </c>
      <c r="EO151" s="803">
        <f t="shared" si="111"/>
        <v>2332.1334656740501</v>
      </c>
      <c r="EP151" s="803">
        <f t="shared" si="111"/>
        <v>2324.7503076909925</v>
      </c>
      <c r="EQ151" s="803">
        <f t="shared" si="111"/>
        <v>2353.6872275638561</v>
      </c>
      <c r="ER151" s="803">
        <f t="shared" si="111"/>
        <v>2478.8048653171236</v>
      </c>
      <c r="ES151" s="803">
        <f t="shared" si="111"/>
        <v>2693.8216499061609</v>
      </c>
    </row>
    <row r="152" spans="1:149" x14ac:dyDescent="0.3">
      <c r="A152" s="70" t="s">
        <v>4004</v>
      </c>
      <c r="DZ152" s="75">
        <f t="shared" ref="DZ152:EI152" si="112">+DZ151/DU151-1</f>
        <v>-6.2722216169019962E-4</v>
      </c>
      <c r="EA152" s="75">
        <f t="shared" si="112"/>
        <v>1.4383375499672502E-2</v>
      </c>
      <c r="EB152" s="75">
        <f t="shared" si="112"/>
        <v>2.6020171520329427E-2</v>
      </c>
      <c r="EC152" s="75">
        <f t="shared" si="112"/>
        <v>4.2690251931240653E-2</v>
      </c>
      <c r="ED152" s="84">
        <f t="shared" si="112"/>
        <v>2.0202874189189313E-2</v>
      </c>
      <c r="EE152" s="75">
        <f t="shared" si="112"/>
        <v>4.22247402448368E-2</v>
      </c>
      <c r="EF152" s="75">
        <f t="shared" si="112"/>
        <v>6.1357183509696878E-2</v>
      </c>
      <c r="EG152" s="75">
        <f t="shared" si="112"/>
        <v>6.4575029185408583E-2</v>
      </c>
      <c r="EH152" s="75">
        <f t="shared" si="112"/>
        <v>5.4710454748694515E-2</v>
      </c>
      <c r="EI152" s="84">
        <f t="shared" si="112"/>
        <v>5.5654779773969487E-2</v>
      </c>
      <c r="EJ152" s="75">
        <f>+EJ151/EI151-1</f>
        <v>9.1655144482013062E-2</v>
      </c>
      <c r="EK152" s="75">
        <f t="shared" ref="EK152:ES152" si="113">+EK151/EJ151-1</f>
        <v>8.2383391989934829E-2</v>
      </c>
      <c r="EL152" s="75">
        <f t="shared" si="113"/>
        <v>3.273408272758771E-2</v>
      </c>
      <c r="EM152" s="75">
        <f t="shared" si="113"/>
        <v>-9.9764277422584868E-3</v>
      </c>
      <c r="EN152" s="75">
        <f t="shared" si="113"/>
        <v>-2.1922236812695117E-2</v>
      </c>
      <c r="EO152" s="75">
        <f t="shared" si="113"/>
        <v>-9.3980115243962326E-3</v>
      </c>
      <c r="EP152" s="75">
        <f t="shared" si="113"/>
        <v>-3.1658385301390757E-3</v>
      </c>
      <c r="EQ152" s="75">
        <f t="shared" si="113"/>
        <v>1.2447323816726197E-2</v>
      </c>
      <c r="ER152" s="75">
        <f t="shared" si="113"/>
        <v>5.3158141102192413E-2</v>
      </c>
      <c r="ES152" s="75">
        <f t="shared" si="113"/>
        <v>8.6742118186672768E-2</v>
      </c>
    </row>
    <row r="153" spans="1:149" x14ac:dyDescent="0.3">
      <c r="A153" s="70" t="s">
        <v>4005</v>
      </c>
      <c r="DZ153" s="75">
        <f t="shared" ref="DZ153:EI154" si="114">DZ149/DU149-1</f>
        <v>-1.8781435421804327E-2</v>
      </c>
      <c r="EA153" s="75">
        <f t="shared" si="114"/>
        <v>1.5492399230194298E-2</v>
      </c>
      <c r="EB153" s="75">
        <f t="shared" si="114"/>
        <v>4.1643723660594434E-2</v>
      </c>
      <c r="EC153" s="75">
        <f t="shared" si="114"/>
        <v>7.7248872974141847E-2</v>
      </c>
      <c r="ED153" s="84">
        <f t="shared" si="114"/>
        <v>2.8555355222362966E-2</v>
      </c>
      <c r="EE153" s="75">
        <f t="shared" si="114"/>
        <v>9.4261428507480982E-2</v>
      </c>
      <c r="EF153" s="75">
        <f t="shared" si="114"/>
        <v>0.13390242479910719</v>
      </c>
      <c r="EG153" s="75">
        <f t="shared" si="114"/>
        <v>0.1301836711846005</v>
      </c>
      <c r="EH153" s="75">
        <f t="shared" si="114"/>
        <v>8.5621271955544476E-2</v>
      </c>
      <c r="EI153" s="84">
        <f t="shared" si="114"/>
        <v>0.11073862220778863</v>
      </c>
      <c r="EJ153" s="75">
        <f t="shared" ref="EJ153:ES153" si="115">EJ149/EI149-1</f>
        <v>0.1226862212615738</v>
      </c>
      <c r="EK153" s="75">
        <f t="shared" si="115"/>
        <v>0.11031308164743248</v>
      </c>
      <c r="EL153" s="75">
        <f t="shared" si="115"/>
        <v>5.7303675023211653E-2</v>
      </c>
      <c r="EM153" s="75">
        <f t="shared" si="115"/>
        <v>1.2019267521268029E-2</v>
      </c>
      <c r="EN153" s="75">
        <f t="shared" si="115"/>
        <v>-3.5563252566739312E-3</v>
      </c>
      <c r="EO153" s="75">
        <f t="shared" si="115"/>
        <v>6.5031539543700667E-3</v>
      </c>
      <c r="EP153" s="75">
        <f t="shared" si="115"/>
        <v>1.0266500569406034E-2</v>
      </c>
      <c r="EQ153" s="75">
        <f t="shared" si="115"/>
        <v>2.5872191882953866E-2</v>
      </c>
      <c r="ER153" s="75">
        <f t="shared" si="115"/>
        <v>6.6896918432226782E-2</v>
      </c>
      <c r="ES153" s="75">
        <f t="shared" si="115"/>
        <v>0.10068672452434924</v>
      </c>
    </row>
    <row r="154" spans="1:149" x14ac:dyDescent="0.3">
      <c r="A154" s="70" t="s">
        <v>4006</v>
      </c>
      <c r="DZ154" s="75">
        <f t="shared" si="114"/>
        <v>1.3514911867702928E-2</v>
      </c>
      <c r="EA154" s="75">
        <f t="shared" si="114"/>
        <v>1.3514911867702928E-2</v>
      </c>
      <c r="EB154" s="75">
        <f t="shared" si="114"/>
        <v>1.3514911867702928E-2</v>
      </c>
      <c r="EC154" s="75">
        <f t="shared" si="114"/>
        <v>1.3514911867702262E-2</v>
      </c>
      <c r="ED154" s="84">
        <f t="shared" si="114"/>
        <v>1.3514911867702706E-2</v>
      </c>
      <c r="EE154" s="75">
        <f t="shared" si="114"/>
        <v>2.9798807251837367E-3</v>
      </c>
      <c r="EF154" s="75">
        <f t="shared" si="114"/>
        <v>4.4370039811885142E-3</v>
      </c>
      <c r="EG154" s="75">
        <f t="shared" si="114"/>
        <v>1.0603709219620505E-2</v>
      </c>
      <c r="EH154" s="75">
        <f t="shared" si="114"/>
        <v>2.6973682892766915E-2</v>
      </c>
      <c r="EI154" s="84">
        <f t="shared" si="114"/>
        <v>1.0893749545786591E-2</v>
      </c>
      <c r="EJ154" s="75">
        <f>EJ150/EI150-1</f>
        <v>6.3948811184888266E-2</v>
      </c>
      <c r="EK154" s="75">
        <f t="shared" ref="EK154:ES154" si="116">EK150/EJ150-1</f>
        <v>5.6069446093270914E-2</v>
      </c>
      <c r="EL154" s="75">
        <f t="shared" si="116"/>
        <v>8.3968723626546282E-3</v>
      </c>
      <c r="EM154" s="75">
        <f t="shared" si="116"/>
        <v>-3.2820777040606597E-2</v>
      </c>
      <c r="EN154" s="75">
        <f t="shared" si="116"/>
        <v>-4.1881081977571344E-2</v>
      </c>
      <c r="EO154" s="75">
        <f t="shared" si="116"/>
        <v>-2.7369548342171535E-2</v>
      </c>
      <c r="EP154" s="75">
        <f t="shared" si="116"/>
        <v>-1.887580233163455E-2</v>
      </c>
      <c r="EQ154" s="75">
        <f t="shared" si="116"/>
        <v>-3.7202751905929254E-3</v>
      </c>
      <c r="ER154" s="75">
        <f t="shared" si="116"/>
        <v>3.6121045785143302E-2</v>
      </c>
      <c r="ES154" s="75">
        <f t="shared" si="116"/>
        <v>6.8936145932300796E-2</v>
      </c>
    </row>
    <row r="155" spans="1:149" x14ac:dyDescent="0.3">
      <c r="A155" s="30"/>
    </row>
    <row r="156" spans="1:149" x14ac:dyDescent="0.3">
      <c r="A156" s="30"/>
    </row>
    <row r="157" spans="1:149" x14ac:dyDescent="0.3">
      <c r="A157" s="29" t="s">
        <v>1865</v>
      </c>
    </row>
    <row r="158" spans="1:149" x14ac:dyDescent="0.3">
      <c r="A158" s="30" t="s">
        <v>372</v>
      </c>
      <c r="DU158" s="885">
        <f>DU145*AVERAGE(DU117,DU120)*3/1000</f>
        <v>28.27008</v>
      </c>
      <c r="DV158" s="885">
        <f>DV145*AVERAGE(DV117,DV120)*3/1000</f>
        <v>29.056319999999999</v>
      </c>
      <c r="DW158" s="885">
        <f>DW145*AVERAGE(DW117,DW120)*3/1000</f>
        <v>28.784654999999997</v>
      </c>
      <c r="DX158" s="885">
        <f>DX145*AVERAGE(DX117,DX120)*3/1000</f>
        <v>28.380300000000002</v>
      </c>
      <c r="DY158" s="885">
        <f>SUM(DU158:DX158)</f>
        <v>114.491355</v>
      </c>
      <c r="DZ158" s="885">
        <f>DZ145*AVERAGE(DZ117,DZ120)*3/1000</f>
        <v>28.435050000000004</v>
      </c>
      <c r="EA158" s="885">
        <f>EA145*AVERAGE(EA117,EA120)*3/1000</f>
        <v>28.125734999999995</v>
      </c>
      <c r="EB158" s="885">
        <f>EB145*AVERAGE(EB117,EB120)*3/1000</f>
        <v>28.288425000000004</v>
      </c>
      <c r="EC158" s="885">
        <f>EC145*AVERAGE(EC117,EC120)*3/1000</f>
        <v>28.792260000000002</v>
      </c>
      <c r="ED158" s="885">
        <f>SUM(DZ158:EC158)</f>
        <v>113.64147</v>
      </c>
      <c r="EE158" s="885">
        <f>EE145*AVERAGE(EE117,EE120)*3/1000</f>
        <v>28.881900000000002</v>
      </c>
      <c r="EF158" s="885">
        <f>EF145*AVERAGE(EF117,EF120)*3/1000</f>
        <v>29.828099999999999</v>
      </c>
      <c r="EG158" s="885">
        <f>EG145*AVERAGE(EG117,EG120)*3/1000</f>
        <v>28.699136624999998</v>
      </c>
      <c r="EH158" s="885">
        <f>EH145*AVERAGE(EH117,EH120)*3/1000</f>
        <v>28.773146661900007</v>
      </c>
      <c r="EI158" s="885">
        <f>SUM(EE158:EH158)</f>
        <v>116.1822832869</v>
      </c>
      <c r="EJ158" s="885">
        <f t="shared" ref="EJ158:ES158" si="117">EJ145*AVERAGE(EJ117,EJ120)*12/1000</f>
        <v>114.32636612114293</v>
      </c>
      <c r="EK158" s="885">
        <f t="shared" si="117"/>
        <v>112.71353434341225</v>
      </c>
      <c r="EL158" s="885">
        <f t="shared" si="117"/>
        <v>112.16081496741288</v>
      </c>
      <c r="EM158" s="885">
        <f t="shared" si="117"/>
        <v>112.45194506319163</v>
      </c>
      <c r="EN158" s="885">
        <f t="shared" si="117"/>
        <v>113.41477933850575</v>
      </c>
      <c r="EO158" s="885">
        <f t="shared" si="117"/>
        <v>114.91229014073005</v>
      </c>
      <c r="EP158" s="885">
        <f t="shared" si="117"/>
        <v>116.83540345837484</v>
      </c>
      <c r="EQ158" s="885">
        <f t="shared" si="117"/>
        <v>119.0972963782943</v>
      </c>
      <c r="ER158" s="885">
        <f t="shared" si="117"/>
        <v>121.62885786162447</v>
      </c>
      <c r="ES158" s="885">
        <f t="shared" si="117"/>
        <v>124.37507552142951</v>
      </c>
    </row>
    <row r="159" spans="1:149" x14ac:dyDescent="0.3">
      <c r="A159" s="30" t="s">
        <v>3970</v>
      </c>
      <c r="DU159" s="885">
        <f>DU158*$DY$159/$DY$158</f>
        <v>155.6845041692589</v>
      </c>
      <c r="DV159" s="885">
        <f>DV158*$DY$159/$DY$158</f>
        <v>160.01436048936972</v>
      </c>
      <c r="DW159" s="885">
        <f>DW158*$DY$159/$DY$158</f>
        <v>158.51829005641929</v>
      </c>
      <c r="DX159" s="885">
        <f>DX158*$DY$159/$DY$158</f>
        <v>156.29149028495212</v>
      </c>
      <c r="DY159" s="885">
        <f>DY160-DY158</f>
        <v>630.508645</v>
      </c>
      <c r="DZ159" s="885">
        <f>DU159*(1+DZ163)</f>
        <v>147.90027896079596</v>
      </c>
      <c r="EA159" s="885">
        <f>DV159*(1+EA163)</f>
        <v>152.01364246490124</v>
      </c>
      <c r="EB159" s="885">
        <f>DW159*(1+EB163)</f>
        <v>150.59237555359832</v>
      </c>
      <c r="EC159" s="885">
        <f>DX159*(1+EC163)</f>
        <v>148.47691577070449</v>
      </c>
      <c r="ED159" s="885">
        <f>SUM(DZ159:EC159)</f>
        <v>598.98321275000001</v>
      </c>
      <c r="EE159" s="885">
        <f>DZ159*(1+EE163)</f>
        <v>140.50526501275615</v>
      </c>
      <c r="EF159" s="885">
        <f>EA159*(1+EF163)</f>
        <v>106.40954972543086</v>
      </c>
      <c r="EG159" s="885">
        <f>EB159*(1+EG163)</f>
        <v>105.41466288751882</v>
      </c>
      <c r="EH159" s="885">
        <f>EC159*(1+EH163)</f>
        <v>103.93384103949315</v>
      </c>
      <c r="EI159" s="885">
        <f>SUM(EE159:EH159)</f>
        <v>456.26331866519899</v>
      </c>
      <c r="EJ159" s="885">
        <f>EI159*(1+EJ163)</f>
        <v>410.63698679867912</v>
      </c>
      <c r="EK159" s="885">
        <f t="shared" ref="EK159:ES159" si="118">EJ159*(1+EK163)</f>
        <v>390.10513745874516</v>
      </c>
      <c r="EL159" s="885">
        <f t="shared" si="118"/>
        <v>370.59988058580791</v>
      </c>
      <c r="EM159" s="885">
        <f t="shared" si="118"/>
        <v>352.06988655651747</v>
      </c>
      <c r="EN159" s="885">
        <f t="shared" si="118"/>
        <v>334.46639222869157</v>
      </c>
      <c r="EO159" s="885">
        <f t="shared" si="118"/>
        <v>317.74307261725698</v>
      </c>
      <c r="EP159" s="885">
        <f t="shared" si="118"/>
        <v>301.8559189863941</v>
      </c>
      <c r="EQ159" s="885">
        <f t="shared" si="118"/>
        <v>286.76312303707437</v>
      </c>
      <c r="ER159" s="885">
        <f t="shared" si="118"/>
        <v>272.42496688522061</v>
      </c>
      <c r="ES159" s="885">
        <f t="shared" si="118"/>
        <v>258.80371854095955</v>
      </c>
    </row>
    <row r="160" spans="1:149" x14ac:dyDescent="0.3">
      <c r="A160" s="29" t="s">
        <v>3971</v>
      </c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0"/>
      <c r="DB160" s="90"/>
      <c r="DC160" s="90"/>
      <c r="DD160" s="90"/>
      <c r="DE160" s="90"/>
      <c r="DF160" s="90"/>
      <c r="DG160" s="90"/>
      <c r="DH160" s="90"/>
      <c r="DI160" s="90"/>
      <c r="DJ160" s="90"/>
      <c r="DK160" s="90"/>
      <c r="DL160" s="90"/>
      <c r="DM160" s="90"/>
      <c r="DN160" s="90"/>
      <c r="DO160" s="90"/>
      <c r="DP160" s="90"/>
      <c r="DQ160" s="90"/>
      <c r="DR160" s="90"/>
      <c r="DS160" s="90"/>
      <c r="DT160" s="90"/>
      <c r="DU160" s="886">
        <f>SUM(DU158:DU159)</f>
        <v>183.95458416925891</v>
      </c>
      <c r="DV160" s="886">
        <f>SUM(DV158:DV159)</f>
        <v>189.07068048936972</v>
      </c>
      <c r="DW160" s="886">
        <f>SUM(DW158:DW159)</f>
        <v>187.30294505641928</v>
      </c>
      <c r="DX160" s="886">
        <f>SUM(DX158:DX159)</f>
        <v>184.67179028495212</v>
      </c>
      <c r="DY160" s="886">
        <f>Analysis!B3628</f>
        <v>745</v>
      </c>
      <c r="DZ160" s="886">
        <f t="shared" ref="DZ160:EJ160" si="119">SUM(DZ158:DZ159)</f>
        <v>176.33532896079595</v>
      </c>
      <c r="EA160" s="886">
        <f t="shared" si="119"/>
        <v>180.13937746490123</v>
      </c>
      <c r="EB160" s="886">
        <f t="shared" si="119"/>
        <v>178.88080055359831</v>
      </c>
      <c r="EC160" s="886">
        <f t="shared" si="119"/>
        <v>177.26917577070449</v>
      </c>
      <c r="ED160" s="886">
        <f t="shared" si="119"/>
        <v>712.62468275000003</v>
      </c>
      <c r="EE160" s="886">
        <f t="shared" si="119"/>
        <v>169.38716501275616</v>
      </c>
      <c r="EF160" s="886">
        <f t="shared" si="119"/>
        <v>136.23764972543086</v>
      </c>
      <c r="EG160" s="886">
        <f t="shared" si="119"/>
        <v>134.11379951251882</v>
      </c>
      <c r="EH160" s="886">
        <f t="shared" si="119"/>
        <v>132.70698770139316</v>
      </c>
      <c r="EI160" s="886">
        <f t="shared" si="119"/>
        <v>572.44560195209897</v>
      </c>
      <c r="EJ160" s="886">
        <f t="shared" si="119"/>
        <v>524.963352919822</v>
      </c>
      <c r="EK160" s="886">
        <f t="shared" ref="EK160:ES160" si="120">SUM(EK158:EK159)</f>
        <v>502.81867180215738</v>
      </c>
      <c r="EL160" s="886">
        <f t="shared" si="120"/>
        <v>482.76069555322078</v>
      </c>
      <c r="EM160" s="886">
        <f t="shared" si="120"/>
        <v>464.52183161970913</v>
      </c>
      <c r="EN160" s="886">
        <f t="shared" si="120"/>
        <v>447.88117156719733</v>
      </c>
      <c r="EO160" s="886">
        <f t="shared" si="120"/>
        <v>432.65536275798706</v>
      </c>
      <c r="EP160" s="886">
        <f t="shared" si="120"/>
        <v>418.69132244476896</v>
      </c>
      <c r="EQ160" s="886">
        <f t="shared" si="120"/>
        <v>405.86041941536865</v>
      </c>
      <c r="ER160" s="886">
        <f t="shared" si="120"/>
        <v>394.05382474684507</v>
      </c>
      <c r="ES160" s="886">
        <f t="shared" si="120"/>
        <v>383.17879406238904</v>
      </c>
    </row>
    <row r="161" spans="1:149" x14ac:dyDescent="0.3">
      <c r="A161" s="70" t="s">
        <v>4007</v>
      </c>
      <c r="DY161" s="885"/>
      <c r="DZ161" s="915">
        <f>DZ160/DU160-1</f>
        <v>-4.1419219003818841E-2</v>
      </c>
      <c r="EA161" s="915">
        <f t="shared" ref="EA161:EI161" si="121">EA160/DV160-1</f>
        <v>-4.7237905958510851E-2</v>
      </c>
      <c r="EB161" s="915">
        <f t="shared" si="121"/>
        <v>-4.4965360797098342E-2</v>
      </c>
      <c r="EC161" s="915">
        <f t="shared" si="121"/>
        <v>-4.0085248011216268E-2</v>
      </c>
      <c r="ED161" s="915">
        <f t="shared" si="121"/>
        <v>-4.3456801677852264E-2</v>
      </c>
      <c r="EE161" s="915">
        <f t="shared" si="121"/>
        <v>-3.9403130325543323E-2</v>
      </c>
      <c r="EF161" s="915">
        <f t="shared" si="121"/>
        <v>-0.24370977826890894</v>
      </c>
      <c r="EG161" s="915">
        <f t="shared" si="121"/>
        <v>-0.25026163178236605</v>
      </c>
      <c r="EH161" s="915">
        <f t="shared" si="121"/>
        <v>-0.25138148172444807</v>
      </c>
      <c r="EI161" s="915">
        <f t="shared" si="121"/>
        <v>-0.19670814692658922</v>
      </c>
      <c r="EJ161" s="915">
        <f>EJ160/EI160-1</f>
        <v>-8.2946307684708454E-2</v>
      </c>
      <c r="EK161" s="915">
        <f t="shared" ref="EK161:ES161" si="122">EK160/EJ160-1</f>
        <v>-4.2183289546778635E-2</v>
      </c>
      <c r="EL161" s="915">
        <f t="shared" si="122"/>
        <v>-3.9891072813677764E-2</v>
      </c>
      <c r="EM161" s="915">
        <f t="shared" si="122"/>
        <v>-3.778034148494791E-2</v>
      </c>
      <c r="EN161" s="915">
        <f t="shared" si="122"/>
        <v>-3.5823203388500868E-2</v>
      </c>
      <c r="EO161" s="915">
        <f t="shared" si="122"/>
        <v>-3.3995197333107519E-2</v>
      </c>
      <c r="EP161" s="915">
        <f t="shared" si="122"/>
        <v>-3.2275204505044175E-2</v>
      </c>
      <c r="EQ161" s="915">
        <f t="shared" si="122"/>
        <v>-3.0645256640332907E-2</v>
      </c>
      <c r="ER161" s="915">
        <f t="shared" si="122"/>
        <v>-2.909028351552656E-2</v>
      </c>
      <c r="ES161" s="915">
        <f t="shared" si="122"/>
        <v>-2.7597830553840019E-2</v>
      </c>
    </row>
    <row r="162" spans="1:149" x14ac:dyDescent="0.3">
      <c r="A162" s="70" t="s">
        <v>4008</v>
      </c>
      <c r="DY162" s="885"/>
      <c r="DZ162" s="915">
        <f t="shared" ref="DZ162:EI162" si="123">DZ158/DU158-1</f>
        <v>5.8354981662593897E-3</v>
      </c>
      <c r="EA162" s="915">
        <f t="shared" si="123"/>
        <v>-3.2026939405953803E-2</v>
      </c>
      <c r="EB162" s="915">
        <f t="shared" si="123"/>
        <v>-1.7239393697787708E-2</v>
      </c>
      <c r="EC162" s="915">
        <f t="shared" si="123"/>
        <v>1.4515702793839402E-2</v>
      </c>
      <c r="ED162" s="915">
        <f t="shared" si="123"/>
        <v>-7.4231368822562649E-3</v>
      </c>
      <c r="EE162" s="915">
        <f t="shared" si="123"/>
        <v>1.5714760480463275E-2</v>
      </c>
      <c r="EF162" s="915">
        <f t="shared" si="123"/>
        <v>6.0526951562332565E-2</v>
      </c>
      <c r="EG162" s="915">
        <f t="shared" si="123"/>
        <v>1.4518716577540003E-2</v>
      </c>
      <c r="EH162" s="915">
        <f t="shared" si="123"/>
        <v>-6.6383597883579171E-4</v>
      </c>
      <c r="EI162" s="915">
        <f t="shared" si="123"/>
        <v>2.2358152238791007E-2</v>
      </c>
      <c r="EJ162" s="915">
        <f>EJ158/EI158-1</f>
        <v>-1.5974183956895427E-2</v>
      </c>
      <c r="EK162" s="915">
        <f t="shared" ref="EK162:ES162" si="124">EK158/EJ158-1</f>
        <v>-1.4107260052520831E-2</v>
      </c>
      <c r="EL162" s="915">
        <f t="shared" si="124"/>
        <v>-4.9037533887932305E-3</v>
      </c>
      <c r="EM162" s="915">
        <f t="shared" si="124"/>
        <v>2.5956488980873882E-3</v>
      </c>
      <c r="EN162" s="915">
        <f t="shared" si="124"/>
        <v>8.5621842714509455E-3</v>
      </c>
      <c r="EO162" s="915">
        <f t="shared" si="124"/>
        <v>1.3203841782866155E-2</v>
      </c>
      <c r="EP162" s="915">
        <f t="shared" si="124"/>
        <v>1.6735488565144729E-2</v>
      </c>
      <c r="EQ162" s="915">
        <f t="shared" si="124"/>
        <v>1.9359653435230495E-2</v>
      </c>
      <c r="ER162" s="915">
        <f t="shared" si="124"/>
        <v>2.1256246449869343E-2</v>
      </c>
      <c r="ES162" s="915">
        <f t="shared" si="124"/>
        <v>2.2578668484492193E-2</v>
      </c>
    </row>
    <row r="163" spans="1:149" x14ac:dyDescent="0.3">
      <c r="A163" s="70" t="s">
        <v>4009</v>
      </c>
      <c r="DY163" s="885"/>
      <c r="DZ163" s="910">
        <v>-0.05</v>
      </c>
      <c r="EA163" s="910">
        <v>-0.05</v>
      </c>
      <c r="EB163" s="910">
        <v>-0.05</v>
      </c>
      <c r="EC163" s="910">
        <v>-0.05</v>
      </c>
      <c r="ED163" s="915">
        <f>ED159/DY159-1</f>
        <v>-5.0000000000000044E-2</v>
      </c>
      <c r="EE163" s="910">
        <v>-0.05</v>
      </c>
      <c r="EF163" s="910">
        <v>-0.3</v>
      </c>
      <c r="EG163" s="910">
        <v>-0.3</v>
      </c>
      <c r="EH163" s="910">
        <v>-0.3</v>
      </c>
      <c r="EI163" s="915">
        <f>EI159/ED159-1</f>
        <v>-0.23827027376870502</v>
      </c>
      <c r="EJ163" s="910">
        <v>-0.1</v>
      </c>
      <c r="EK163" s="910">
        <v>-0.05</v>
      </c>
      <c r="EL163" s="910">
        <f t="shared" ref="EL163:ES163" si="125">EK163</f>
        <v>-0.05</v>
      </c>
      <c r="EM163" s="910">
        <f t="shared" si="125"/>
        <v>-0.05</v>
      </c>
      <c r="EN163" s="910">
        <f t="shared" si="125"/>
        <v>-0.05</v>
      </c>
      <c r="EO163" s="910">
        <f t="shared" si="125"/>
        <v>-0.05</v>
      </c>
      <c r="EP163" s="910">
        <f t="shared" si="125"/>
        <v>-0.05</v>
      </c>
      <c r="EQ163" s="910">
        <f t="shared" si="125"/>
        <v>-0.05</v>
      </c>
      <c r="ER163" s="910">
        <f t="shared" si="125"/>
        <v>-0.05</v>
      </c>
      <c r="ES163" s="910">
        <f t="shared" si="125"/>
        <v>-0.05</v>
      </c>
    </row>
    <row r="164" spans="1:149" x14ac:dyDescent="0.3">
      <c r="A164" s="30"/>
      <c r="DY164" s="885"/>
    </row>
    <row r="165" spans="1:149" s="90" customFormat="1" x14ac:dyDescent="0.3">
      <c r="A165" s="29" t="s">
        <v>4010</v>
      </c>
      <c r="DU165" s="900">
        <f>DU151+DU160</f>
        <v>663.72323804425878</v>
      </c>
      <c r="DV165" s="900">
        <f>DV151+DV160</f>
        <v>655.51575104811968</v>
      </c>
      <c r="DW165" s="900">
        <f>DW151+DW160</f>
        <v>644.15014829840675</v>
      </c>
      <c r="DX165" s="900">
        <f>DX151+DX160</f>
        <v>631.61086260921456</v>
      </c>
      <c r="DY165" s="917">
        <f>Analysis!B3616</f>
        <v>2595</v>
      </c>
      <c r="DZ165" s="900">
        <f>DZ151+DZ160</f>
        <v>655.80306130360123</v>
      </c>
      <c r="EA165" s="900">
        <f>EA151+EA160</f>
        <v>653.29350262346895</v>
      </c>
      <c r="EB165" s="900">
        <f>EB151+EB160</f>
        <v>647.61524638252513</v>
      </c>
      <c r="EC165" s="900">
        <f>EC151+EC160</f>
        <v>643.28818969040469</v>
      </c>
      <c r="ED165" s="963">
        <f>Analysis!C3616</f>
        <v>2600</v>
      </c>
      <c r="EE165" s="900">
        <f>EE151+EE160</f>
        <v>669.10029780951731</v>
      </c>
      <c r="EF165" s="900">
        <f>EF151+EF160</f>
        <v>638.4231793697229</v>
      </c>
      <c r="EG165" s="900">
        <f>EG151+EG160</f>
        <v>633.11678586105495</v>
      </c>
      <c r="EH165" s="900">
        <f>EH151+EH160</f>
        <v>624.22211379417831</v>
      </c>
      <c r="EI165" s="916">
        <f>SUM(EE165:EH165)</f>
        <v>2564.8623768344733</v>
      </c>
      <c r="EJ165" s="900">
        <f t="shared" ref="EJ165:ES165" si="126">EJ151+EJ160</f>
        <v>2699.995375172427</v>
      </c>
      <c r="EK165" s="900">
        <f t="shared" si="126"/>
        <v>2857.0372097346599</v>
      </c>
      <c r="EL165" s="900">
        <f t="shared" si="126"/>
        <v>2914.0424178652265</v>
      </c>
      <c r="EM165" s="900">
        <f t="shared" si="126"/>
        <v>2871.5480475079953</v>
      </c>
      <c r="EN165" s="900">
        <f t="shared" si="126"/>
        <v>2802.139988736415</v>
      </c>
      <c r="EO165" s="900">
        <f t="shared" si="126"/>
        <v>2764.788828432037</v>
      </c>
      <c r="EP165" s="900">
        <f t="shared" si="126"/>
        <v>2743.4416301357614</v>
      </c>
      <c r="EQ165" s="900">
        <f t="shared" si="126"/>
        <v>2759.5476469792247</v>
      </c>
      <c r="ER165" s="900">
        <f t="shared" si="126"/>
        <v>2872.8586900639684</v>
      </c>
      <c r="ES165" s="900">
        <f t="shared" si="126"/>
        <v>3077.0004439685499</v>
      </c>
    </row>
    <row r="166" spans="1:149" x14ac:dyDescent="0.3">
      <c r="A166" s="70" t="s">
        <v>4011</v>
      </c>
      <c r="DY166" s="885"/>
      <c r="DZ166" s="915">
        <f t="shared" ref="DZ166:EI166" si="127">DZ165/DU165-1</f>
        <v>-1.1932950794363184E-2</v>
      </c>
      <c r="EA166" s="915">
        <f t="shared" si="127"/>
        <v>-3.3900763194438799E-3</v>
      </c>
      <c r="EB166" s="915">
        <f t="shared" si="127"/>
        <v>5.3793328981943667E-3</v>
      </c>
      <c r="EC166" s="915">
        <f t="shared" si="127"/>
        <v>1.8488166959242269E-2</v>
      </c>
      <c r="ED166" s="915">
        <f t="shared" si="127"/>
        <v>1.9267822736031004E-3</v>
      </c>
      <c r="EE166" s="915">
        <f t="shared" si="127"/>
        <v>2.0276264766870611E-2</v>
      </c>
      <c r="EF166" s="915">
        <f t="shared" si="127"/>
        <v>-2.2762086556854522E-2</v>
      </c>
      <c r="EG166" s="915">
        <f t="shared" si="127"/>
        <v>-2.2387460150847693E-2</v>
      </c>
      <c r="EH166" s="915">
        <f t="shared" si="127"/>
        <v>-2.9638467178143446E-2</v>
      </c>
      <c r="EI166" s="915">
        <f t="shared" si="127"/>
        <v>-1.351447044827947E-2</v>
      </c>
      <c r="EJ166" s="915">
        <f t="shared" ref="EJ166:ES166" si="128">EJ165/EI165-1</f>
        <v>5.2686256993146552E-2</v>
      </c>
      <c r="EK166" s="915">
        <f t="shared" si="128"/>
        <v>5.816374205907815E-2</v>
      </c>
      <c r="EL166" s="915">
        <f t="shared" si="128"/>
        <v>1.9952560623409221E-2</v>
      </c>
      <c r="EM166" s="915">
        <f t="shared" si="128"/>
        <v>-1.4582619009493314E-2</v>
      </c>
      <c r="EN166" s="915">
        <f t="shared" si="128"/>
        <v>-2.4170955046987408E-2</v>
      </c>
      <c r="EO166" s="915">
        <f t="shared" si="128"/>
        <v>-1.3329512606263805E-2</v>
      </c>
      <c r="EP166" s="915">
        <f t="shared" si="128"/>
        <v>-7.7210953967801199E-3</v>
      </c>
      <c r="EQ166" s="915">
        <f t="shared" si="128"/>
        <v>5.8707342873798307E-3</v>
      </c>
      <c r="ER166" s="915">
        <f t="shared" si="128"/>
        <v>4.1061455564567195E-2</v>
      </c>
      <c r="ES166" s="915">
        <f t="shared" si="128"/>
        <v>7.1058752249326895E-2</v>
      </c>
    </row>
    <row r="167" spans="1:149" x14ac:dyDescent="0.3">
      <c r="A167" s="30"/>
    </row>
    <row r="168" spans="1:149" x14ac:dyDescent="0.3">
      <c r="A168" s="30" t="s">
        <v>3416</v>
      </c>
      <c r="DU168" s="887">
        <f>DZ168*(1-DZ169)</f>
        <v>446.38336743396138</v>
      </c>
      <c r="DV168" s="887">
        <f>EA168*(1-EA169)</f>
        <v>443.62285288581586</v>
      </c>
      <c r="DW168" s="887">
        <f>EB168*(1-EB169)</f>
        <v>437.37677102077765</v>
      </c>
      <c r="DX168" s="887">
        <f>EC168*(1-EC169)</f>
        <v>432.61700865944522</v>
      </c>
      <c r="DY168" s="887">
        <f>SUM(DU168:DX168)</f>
        <v>1760</v>
      </c>
      <c r="DZ168" s="887">
        <f>DZ165-DZ172</f>
        <v>405.80306130360123</v>
      </c>
      <c r="EA168" s="887">
        <f>EA165-EA172</f>
        <v>403.29350262346895</v>
      </c>
      <c r="EB168" s="887">
        <f>EB165-EB172</f>
        <v>397.61524638252513</v>
      </c>
      <c r="EC168" s="887">
        <f>EC165-EC172</f>
        <v>393.28818969040469</v>
      </c>
      <c r="ED168" s="887">
        <f>SUM(DZ168:EC168)</f>
        <v>1600</v>
      </c>
      <c r="EE168" s="887">
        <f>DZ168*(1+EE169)</f>
        <v>385.51290823842112</v>
      </c>
      <c r="EF168" s="887">
        <f>EA168*(1+EF169)</f>
        <v>383.1288274922955</v>
      </c>
      <c r="EG168" s="887">
        <f>EB168*(1+EG169)</f>
        <v>377.73448406339884</v>
      </c>
      <c r="EH168" s="887">
        <f>EC168*(1+EH169)</f>
        <v>373.62378020588443</v>
      </c>
      <c r="EI168" s="887">
        <f>SUM(EE168:EH168)</f>
        <v>1520</v>
      </c>
      <c r="EJ168" s="887">
        <f>EI168*(1+EJ169)</f>
        <v>1489.6</v>
      </c>
      <c r="EK168" s="887">
        <f t="shared" ref="EK168:ES168" si="129">EJ168*(1+EK169)</f>
        <v>1470.98</v>
      </c>
      <c r="EL168" s="887">
        <f t="shared" si="129"/>
        <v>1463.6251</v>
      </c>
      <c r="EM168" s="887">
        <f t="shared" si="129"/>
        <v>1470.9432254999999</v>
      </c>
      <c r="EN168" s="887">
        <f t="shared" si="129"/>
        <v>1500.36209001</v>
      </c>
      <c r="EO168" s="887">
        <f t="shared" si="129"/>
        <v>1537.8711422602498</v>
      </c>
      <c r="EP168" s="887">
        <f t="shared" si="129"/>
        <v>1584.0072765280574</v>
      </c>
      <c r="EQ168" s="887">
        <f t="shared" si="129"/>
        <v>1607.7673856759782</v>
      </c>
      <c r="ER168" s="887">
        <f t="shared" si="129"/>
        <v>1623.8450595327379</v>
      </c>
      <c r="ES168" s="887">
        <f t="shared" si="129"/>
        <v>1637.6477425387661</v>
      </c>
    </row>
    <row r="169" spans="1:149" x14ac:dyDescent="0.3">
      <c r="A169" s="70" t="s">
        <v>363</v>
      </c>
      <c r="DZ169" s="910">
        <v>-0.1</v>
      </c>
      <c r="EA169" s="910">
        <v>-0.1</v>
      </c>
      <c r="EB169" s="910">
        <v>-0.1</v>
      </c>
      <c r="EC169" s="910">
        <v>-0.1</v>
      </c>
      <c r="ED169" s="890">
        <f>ED168/DY168-1</f>
        <v>-9.0909090909090939E-2</v>
      </c>
      <c r="EE169" s="910">
        <v>-0.05</v>
      </c>
      <c r="EF169" s="910">
        <v>-0.05</v>
      </c>
      <c r="EG169" s="910">
        <v>-0.05</v>
      </c>
      <c r="EH169" s="910">
        <v>-0.05</v>
      </c>
      <c r="EI169" s="890">
        <f>EI168/ED168-1</f>
        <v>-5.0000000000000044E-2</v>
      </c>
      <c r="EJ169" s="910">
        <v>-0.02</v>
      </c>
      <c r="EK169" s="910">
        <f>EJ169+0.75%</f>
        <v>-1.2500000000000001E-2</v>
      </c>
      <c r="EL169" s="910">
        <f>EK169+0.75%</f>
        <v>-5.000000000000001E-3</v>
      </c>
      <c r="EM169" s="910">
        <f>EL169+1%</f>
        <v>4.9999999999999992E-3</v>
      </c>
      <c r="EN169" s="910">
        <v>0.02</v>
      </c>
      <c r="EO169" s="910">
        <f>EN169+0.5%</f>
        <v>2.5000000000000001E-2</v>
      </c>
      <c r="EP169" s="910">
        <f>EO169+0.5%</f>
        <v>3.0000000000000002E-2</v>
      </c>
      <c r="EQ169" s="910">
        <v>1.4999999999999999E-2</v>
      </c>
      <c r="ER169" s="910">
        <v>0.01</v>
      </c>
      <c r="ES169" s="910">
        <f>ER169*0.85</f>
        <v>8.5000000000000006E-3</v>
      </c>
    </row>
    <row r="170" spans="1:149" x14ac:dyDescent="0.3">
      <c r="A170" s="30"/>
    </row>
    <row r="171" spans="1:149" x14ac:dyDescent="0.3">
      <c r="A171" s="30"/>
    </row>
    <row r="172" spans="1:149" s="90" customFormat="1" x14ac:dyDescent="0.3">
      <c r="A172" s="29" t="s">
        <v>106</v>
      </c>
      <c r="DU172" s="916">
        <f>DU165-DU168</f>
        <v>217.3398706102974</v>
      </c>
      <c r="DV172" s="916">
        <f>DV165-DV168</f>
        <v>211.89289816230382</v>
      </c>
      <c r="DW172" s="916">
        <f>DW165-DW168</f>
        <v>206.77337727762909</v>
      </c>
      <c r="DX172" s="916">
        <f>DX165-DX168</f>
        <v>198.99385394976935</v>
      </c>
      <c r="DY172" s="916">
        <f>SUM(DU172:DX172)</f>
        <v>834.99999999999966</v>
      </c>
      <c r="DZ172" s="916">
        <f>ED172/4</f>
        <v>250</v>
      </c>
      <c r="EA172" s="916">
        <f>DZ172</f>
        <v>250</v>
      </c>
      <c r="EB172" s="916">
        <f>EA172</f>
        <v>250</v>
      </c>
      <c r="EC172" s="916">
        <f>EB172</f>
        <v>250</v>
      </c>
      <c r="ED172" s="946">
        <v>1000</v>
      </c>
      <c r="EE172" s="916">
        <f>EE165-EE168</f>
        <v>283.5873895710962</v>
      </c>
      <c r="EF172" s="916">
        <f>EF165-EF168</f>
        <v>255.2943518774274</v>
      </c>
      <c r="EG172" s="916">
        <f>EG165-EG168</f>
        <v>255.38230179765611</v>
      </c>
      <c r="EH172" s="916">
        <f>EH165-EH168</f>
        <v>250.59833358829388</v>
      </c>
      <c r="EI172" s="916">
        <f>SUM(EE172:EH172)</f>
        <v>1044.8623768344735</v>
      </c>
      <c r="EJ172" s="916">
        <f t="shared" ref="EJ172:ES172" si="130">EJ165-EJ168</f>
        <v>1210.3953751724271</v>
      </c>
      <c r="EK172" s="916">
        <f t="shared" si="130"/>
        <v>1386.0572097346599</v>
      </c>
      <c r="EL172" s="916">
        <f t="shared" si="130"/>
        <v>1450.4173178652266</v>
      </c>
      <c r="EM172" s="916">
        <f t="shared" si="130"/>
        <v>1400.6048220079954</v>
      </c>
      <c r="EN172" s="916">
        <f t="shared" si="130"/>
        <v>1301.7778987264151</v>
      </c>
      <c r="EO172" s="916">
        <f t="shared" si="130"/>
        <v>1226.9176861717872</v>
      </c>
      <c r="EP172" s="916">
        <f t="shared" si="130"/>
        <v>1159.434353607704</v>
      </c>
      <c r="EQ172" s="916">
        <f t="shared" si="130"/>
        <v>1151.7802613032466</v>
      </c>
      <c r="ER172" s="916">
        <f t="shared" si="130"/>
        <v>1249.0136305312305</v>
      </c>
      <c r="ES172" s="916">
        <f t="shared" si="130"/>
        <v>1439.3527014297838</v>
      </c>
    </row>
    <row r="173" spans="1:149" x14ac:dyDescent="0.3">
      <c r="A173" s="70" t="s">
        <v>363</v>
      </c>
      <c r="DZ173" s="890">
        <f t="shared" ref="DZ173:EI173" si="131">DZ172/DU172-1</f>
        <v>0.15027214886063889</v>
      </c>
      <c r="EA173" s="890">
        <f t="shared" si="131"/>
        <v>0.17984133573229633</v>
      </c>
      <c r="EB173" s="890">
        <f t="shared" si="131"/>
        <v>0.20905313484497423</v>
      </c>
      <c r="EC173" s="890">
        <f t="shared" si="131"/>
        <v>0.25632020807590261</v>
      </c>
      <c r="ED173" s="890">
        <f t="shared" si="131"/>
        <v>0.19760479041916224</v>
      </c>
      <c r="EE173" s="890">
        <f t="shared" si="131"/>
        <v>0.13434955828438477</v>
      </c>
      <c r="EF173" s="890">
        <f t="shared" si="131"/>
        <v>2.1177407509709534E-2</v>
      </c>
      <c r="EG173" s="890">
        <f t="shared" si="131"/>
        <v>2.1529207190624344E-2</v>
      </c>
      <c r="EH173" s="890">
        <f t="shared" si="131"/>
        <v>2.3933343531754581E-3</v>
      </c>
      <c r="EI173" s="890">
        <f t="shared" si="131"/>
        <v>4.4862376834473583E-2</v>
      </c>
      <c r="EJ173" s="890">
        <f t="shared" ref="EJ173:ES173" si="132">EJ172/EI172-1</f>
        <v>0.15842564725074526</v>
      </c>
      <c r="EK173" s="890">
        <f t="shared" si="132"/>
        <v>0.14512764850676074</v>
      </c>
      <c r="EL173" s="890">
        <f t="shared" si="132"/>
        <v>4.6433947804281006E-2</v>
      </c>
      <c r="EM173" s="890">
        <f t="shared" si="132"/>
        <v>-3.4343561155590008E-2</v>
      </c>
      <c r="EN173" s="890">
        <f t="shared" si="132"/>
        <v>-7.056017638144052E-2</v>
      </c>
      <c r="EO173" s="890">
        <f t="shared" si="132"/>
        <v>-5.7506132672759946E-2</v>
      </c>
      <c r="EP173" s="890">
        <f t="shared" si="132"/>
        <v>-5.5002330901793295E-2</v>
      </c>
      <c r="EQ173" s="890">
        <f t="shared" si="132"/>
        <v>-6.6015745355836319E-3</v>
      </c>
      <c r="ER173" s="890">
        <f t="shared" si="132"/>
        <v>8.442006908328481E-2</v>
      </c>
      <c r="ES173" s="890">
        <f t="shared" si="132"/>
        <v>0.15239150818362024</v>
      </c>
    </row>
    <row r="174" spans="1:149" x14ac:dyDescent="0.3">
      <c r="A174" s="70" t="s">
        <v>3982</v>
      </c>
      <c r="DU174" s="890">
        <f t="shared" ref="DU174:ES174" si="133">DU172/DU165</f>
        <v>0.32745556905724099</v>
      </c>
      <c r="DV174" s="890">
        <f t="shared" si="133"/>
        <v>0.32324608191870791</v>
      </c>
      <c r="DW174" s="890">
        <f t="shared" si="133"/>
        <v>0.32100183136469601</v>
      </c>
      <c r="DX174" s="890">
        <f t="shared" si="133"/>
        <v>0.31505768144600338</v>
      </c>
      <c r="DY174" s="890">
        <f t="shared" si="133"/>
        <v>0.32177263969171471</v>
      </c>
      <c r="DZ174" s="890">
        <f t="shared" si="133"/>
        <v>0.38121200517583975</v>
      </c>
      <c r="EA174" s="890">
        <f t="shared" si="133"/>
        <v>0.3826763912331293</v>
      </c>
      <c r="EB174" s="890">
        <f t="shared" si="133"/>
        <v>0.38603167759940782</v>
      </c>
      <c r="EC174" s="890">
        <f t="shared" si="133"/>
        <v>0.3886283068873338</v>
      </c>
      <c r="ED174" s="890">
        <f t="shared" si="133"/>
        <v>0.38461538461538464</v>
      </c>
      <c r="EE174" s="890">
        <f t="shared" si="133"/>
        <v>0.42383390128430226</v>
      </c>
      <c r="EF174" s="890">
        <f t="shared" si="133"/>
        <v>0.39988264857404499</v>
      </c>
      <c r="EG174" s="890">
        <f t="shared" si="133"/>
        <v>0.40337313352121862</v>
      </c>
      <c r="EH174" s="890">
        <f t="shared" si="133"/>
        <v>0.40145699431424253</v>
      </c>
      <c r="EI174" s="890">
        <f t="shared" si="133"/>
        <v>0.40737561058696331</v>
      </c>
      <c r="EJ174" s="890">
        <f t="shared" si="133"/>
        <v>0.44829535128189946</v>
      </c>
      <c r="EK174" s="890">
        <f t="shared" si="133"/>
        <v>0.48513796215604293</v>
      </c>
      <c r="EL174" s="890">
        <f t="shared" si="133"/>
        <v>0.49773376975335021</v>
      </c>
      <c r="EM174" s="890">
        <f t="shared" si="133"/>
        <v>0.48775252889237808</v>
      </c>
      <c r="EN174" s="890">
        <f t="shared" si="133"/>
        <v>0.46456561911934785</v>
      </c>
      <c r="EO174" s="890">
        <f t="shared" si="133"/>
        <v>0.44376542380185868</v>
      </c>
      <c r="EP174" s="890">
        <f t="shared" si="133"/>
        <v>0.42262038341611391</v>
      </c>
      <c r="EQ174" s="890">
        <f t="shared" si="133"/>
        <v>0.41738009581536234</v>
      </c>
      <c r="ER174" s="890">
        <f t="shared" si="133"/>
        <v>0.43476333689890589</v>
      </c>
      <c r="ES174" s="890">
        <f t="shared" si="133"/>
        <v>0.46777786602246441</v>
      </c>
    </row>
    <row r="175" spans="1:149" x14ac:dyDescent="0.3">
      <c r="A175" s="30"/>
    </row>
    <row r="176" spans="1:149" x14ac:dyDescent="0.3">
      <c r="A176" s="30" t="s">
        <v>4012</v>
      </c>
      <c r="DU176" s="76">
        <f>DU687</f>
        <v>88.28947368421052</v>
      </c>
      <c r="DV176" s="76">
        <f>DV687</f>
        <v>79.60526315789474</v>
      </c>
      <c r="DW176" s="76">
        <f>DW687</f>
        <v>92.05263157894737</v>
      </c>
      <c r="DX176" s="76">
        <f>DX687</f>
        <v>94.94736842105263</v>
      </c>
      <c r="DY176" s="76">
        <f>SUM(DU176:DX176)</f>
        <v>354.8947368421052</v>
      </c>
      <c r="DZ176" s="76">
        <f t="shared" ref="DZ176:ES176" si="134">DZ687</f>
        <v>113.68596447368427</v>
      </c>
      <c r="EA176" s="76">
        <f t="shared" si="134"/>
        <v>83.388028391676869</v>
      </c>
      <c r="EB176" s="76">
        <f t="shared" si="134"/>
        <v>111.60682140970718</v>
      </c>
      <c r="EC176" s="76">
        <f t="shared" si="134"/>
        <v>108.52901104873189</v>
      </c>
      <c r="ED176" s="76">
        <f>SUM(DZ176:EC176)</f>
        <v>417.2098253238002</v>
      </c>
      <c r="EE176" s="76">
        <f t="shared" si="134"/>
        <v>128.21968495131586</v>
      </c>
      <c r="EF176" s="76">
        <f t="shared" si="134"/>
        <v>118.80607414954977</v>
      </c>
      <c r="EG176" s="76">
        <f t="shared" si="134"/>
        <v>137.60598411046567</v>
      </c>
      <c r="EH176" s="76">
        <f t="shared" si="134"/>
        <v>208.07134892358738</v>
      </c>
      <c r="EI176" s="76">
        <f>SUM(EE176:EH176)</f>
        <v>592.70309213491873</v>
      </c>
      <c r="EJ176" s="76">
        <f t="shared" si="134"/>
        <v>623.9303995677717</v>
      </c>
      <c r="EK176" s="76">
        <f t="shared" si="134"/>
        <v>660.22052639104902</v>
      </c>
      <c r="EL176" s="76">
        <f t="shared" si="134"/>
        <v>673.39361646868565</v>
      </c>
      <c r="EM176" s="76">
        <f t="shared" si="134"/>
        <v>663.57377391629791</v>
      </c>
      <c r="EN176" s="76">
        <f t="shared" si="134"/>
        <v>647.53456205660723</v>
      </c>
      <c r="EO176" s="76">
        <f t="shared" si="134"/>
        <v>638.90324194868219</v>
      </c>
      <c r="EP176" s="76">
        <f t="shared" si="134"/>
        <v>633.97020906828436</v>
      </c>
      <c r="EQ176" s="76">
        <f t="shared" si="134"/>
        <v>637.69207971183891</v>
      </c>
      <c r="ER176" s="76">
        <f t="shared" si="134"/>
        <v>663.87664470680306</v>
      </c>
      <c r="ES176" s="76">
        <f t="shared" si="134"/>
        <v>711.05089072713827</v>
      </c>
    </row>
    <row r="177" spans="1:150" hidden="1" outlineLevel="1" x14ac:dyDescent="0.3">
      <c r="A177" s="134" t="s">
        <v>228</v>
      </c>
    </row>
    <row r="178" spans="1:150" hidden="1" outlineLevel="1" x14ac:dyDescent="0.3">
      <c r="A178" s="134" t="s">
        <v>514</v>
      </c>
    </row>
    <row r="179" spans="1:150" hidden="1" outlineLevel="1" x14ac:dyDescent="0.3">
      <c r="A179" s="134" t="s">
        <v>229</v>
      </c>
    </row>
    <row r="180" spans="1:150" hidden="1" outlineLevel="1" x14ac:dyDescent="0.3">
      <c r="A180" s="134" t="s">
        <v>515</v>
      </c>
    </row>
    <row r="181" spans="1:150" hidden="1" outlineLevel="1" x14ac:dyDescent="0.3">
      <c r="A181" s="135" t="s">
        <v>505</v>
      </c>
    </row>
    <row r="182" spans="1:150" collapsed="1" x14ac:dyDescent="0.3">
      <c r="A182" s="30"/>
    </row>
    <row r="183" spans="1:150" s="90" customFormat="1" x14ac:dyDescent="0.3">
      <c r="A183" s="29" t="s">
        <v>4013</v>
      </c>
      <c r="DU183" s="916">
        <f>DU172-DU176</f>
        <v>129.05039692608688</v>
      </c>
      <c r="DV183" s="916">
        <f>DV172-DV176</f>
        <v>132.28763500440908</v>
      </c>
      <c r="DW183" s="916">
        <f>DW172-DW176</f>
        <v>114.72074569868172</v>
      </c>
      <c r="DX183" s="916">
        <f>DX172-DX176</f>
        <v>104.04648552871672</v>
      </c>
      <c r="DY183" s="916">
        <f>SUM(DU183:DX183)</f>
        <v>480.10526315789446</v>
      </c>
      <c r="DZ183" s="916">
        <f>DZ172-DZ176</f>
        <v>136.31403552631573</v>
      </c>
      <c r="EA183" s="916">
        <f>EA172-EA176</f>
        <v>166.61197160832313</v>
      </c>
      <c r="EB183" s="916">
        <f>EB172-EB176</f>
        <v>138.39317859029282</v>
      </c>
      <c r="EC183" s="916">
        <f>EC172-EC176</f>
        <v>141.47098895126811</v>
      </c>
      <c r="ED183" s="916">
        <f>SUM(DZ183:EC183)</f>
        <v>582.79017467619974</v>
      </c>
      <c r="EE183" s="916">
        <f>EE172-EE176</f>
        <v>155.36770461978034</v>
      </c>
      <c r="EF183" s="916">
        <f>EF172-EF176</f>
        <v>136.48827772787763</v>
      </c>
      <c r="EG183" s="916">
        <f>EG172-EG176</f>
        <v>117.77631768719044</v>
      </c>
      <c r="EH183" s="916">
        <f>EH172-EH176</f>
        <v>42.526984664706504</v>
      </c>
      <c r="EI183" s="916">
        <f>SUM(EE183:EH183)</f>
        <v>452.15928469955492</v>
      </c>
      <c r="EJ183" s="916">
        <f t="shared" ref="EJ183:ES183" si="135">EJ172-EJ176</f>
        <v>586.46497560465536</v>
      </c>
      <c r="EK183" s="916">
        <f t="shared" si="135"/>
        <v>725.83668334361084</v>
      </c>
      <c r="EL183" s="916">
        <f t="shared" si="135"/>
        <v>777.0237013965409</v>
      </c>
      <c r="EM183" s="916">
        <f t="shared" si="135"/>
        <v>737.03104809169747</v>
      </c>
      <c r="EN183" s="916">
        <f t="shared" si="135"/>
        <v>654.24333666980783</v>
      </c>
      <c r="EO183" s="916">
        <f t="shared" si="135"/>
        <v>588.01444422310499</v>
      </c>
      <c r="EP183" s="916">
        <f t="shared" si="135"/>
        <v>525.46414453941964</v>
      </c>
      <c r="EQ183" s="916">
        <f t="shared" si="135"/>
        <v>514.08818159140765</v>
      </c>
      <c r="ER183" s="916">
        <f t="shared" si="135"/>
        <v>585.13698582442748</v>
      </c>
      <c r="ES183" s="916">
        <f t="shared" si="135"/>
        <v>728.30181070264553</v>
      </c>
    </row>
    <row r="184" spans="1:150" x14ac:dyDescent="0.3">
      <c r="A184" s="70" t="s">
        <v>363</v>
      </c>
      <c r="DZ184" s="890">
        <f t="shared" ref="DZ184:EI184" si="136">DZ183/DU183-1</f>
        <v>5.6285286781326826E-2</v>
      </c>
      <c r="EA184" s="890">
        <f t="shared" si="136"/>
        <v>0.25946745969697038</v>
      </c>
      <c r="EB184" s="890">
        <f t="shared" si="136"/>
        <v>0.20634831779935969</v>
      </c>
      <c r="EC184" s="890">
        <f t="shared" si="136"/>
        <v>0.3596902214656954</v>
      </c>
      <c r="ED184" s="890">
        <f t="shared" si="136"/>
        <v>0.21387999548868697</v>
      </c>
      <c r="EE184" s="890">
        <f t="shared" si="136"/>
        <v>0.139777749370396</v>
      </c>
      <c r="EF184" s="890">
        <f t="shared" si="136"/>
        <v>-0.18080149697322634</v>
      </c>
      <c r="EG184" s="890">
        <f t="shared" si="136"/>
        <v>-0.14897310050329671</v>
      </c>
      <c r="EH184" s="890">
        <f t="shared" si="136"/>
        <v>-0.69939430705926864</v>
      </c>
      <c r="EI184" s="890">
        <f t="shared" si="136"/>
        <v>-0.224147378684316</v>
      </c>
      <c r="EJ184" s="890">
        <f t="shared" ref="EJ184:ES184" si="137">EJ183/EI183-1</f>
        <v>0.29703181035935633</v>
      </c>
      <c r="EK184" s="890">
        <f t="shared" si="137"/>
        <v>0.23764711199549615</v>
      </c>
      <c r="EL184" s="890">
        <f t="shared" si="137"/>
        <v>7.052139858395412E-2</v>
      </c>
      <c r="EM184" s="890">
        <f t="shared" si="137"/>
        <v>-5.1469026276759422E-2</v>
      </c>
      <c r="EN184" s="890">
        <f t="shared" si="137"/>
        <v>-0.11232594832502851</v>
      </c>
      <c r="EO184" s="890">
        <f t="shared" si="137"/>
        <v>-0.10122975464116668</v>
      </c>
      <c r="EP184" s="890">
        <f t="shared" si="137"/>
        <v>-0.10637544757310835</v>
      </c>
      <c r="EQ184" s="890">
        <f t="shared" si="137"/>
        <v>-2.1649360981581878E-2</v>
      </c>
      <c r="ER184" s="890">
        <f t="shared" si="137"/>
        <v>0.13820353545783082</v>
      </c>
      <c r="ES184" s="890">
        <f t="shared" si="137"/>
        <v>0.24466890377217609</v>
      </c>
    </row>
    <row r="185" spans="1:150" x14ac:dyDescent="0.3">
      <c r="A185" s="70" t="s">
        <v>4014</v>
      </c>
      <c r="DU185" s="890">
        <f t="shared" ref="DU185:ES185" si="138">DU183/DU165</f>
        <v>0.19443404950887294</v>
      </c>
      <c r="DV185" s="890">
        <f t="shared" si="138"/>
        <v>0.201806950928168</v>
      </c>
      <c r="DW185" s="890">
        <f t="shared" si="138"/>
        <v>0.17809628081547316</v>
      </c>
      <c r="DX185" s="890">
        <f t="shared" si="138"/>
        <v>0.16473194444265213</v>
      </c>
      <c r="DY185" s="890">
        <f t="shared" si="138"/>
        <v>0.18501166210323486</v>
      </c>
      <c r="DZ185" s="890">
        <f t="shared" si="138"/>
        <v>0.20785818726638991</v>
      </c>
      <c r="EA185" s="890">
        <f t="shared" si="138"/>
        <v>0.25503387212523881</v>
      </c>
      <c r="EB185" s="890">
        <f t="shared" si="138"/>
        <v>0.21369660359810075</v>
      </c>
      <c r="EC185" s="890">
        <f t="shared" si="138"/>
        <v>0.21991852363923214</v>
      </c>
      <c r="ED185" s="890">
        <f t="shared" si="138"/>
        <v>0.22415006718315375</v>
      </c>
      <c r="EE185" s="890">
        <f t="shared" si="138"/>
        <v>0.23220390893326304</v>
      </c>
      <c r="EF185" s="890">
        <f t="shared" si="138"/>
        <v>0.21378966512873854</v>
      </c>
      <c r="EG185" s="890">
        <f t="shared" si="138"/>
        <v>0.18602621241041911</v>
      </c>
      <c r="EH185" s="890">
        <f t="shared" si="138"/>
        <v>6.8127968754930587E-2</v>
      </c>
      <c r="EI185" s="890">
        <f t="shared" si="138"/>
        <v>0.17628988158717709</v>
      </c>
      <c r="EJ185" s="890">
        <f t="shared" si="138"/>
        <v>0.21720962228211319</v>
      </c>
      <c r="EK185" s="890">
        <f t="shared" si="138"/>
        <v>0.25405223315625669</v>
      </c>
      <c r="EL185" s="890">
        <f t="shared" si="138"/>
        <v>0.26664804075356391</v>
      </c>
      <c r="EM185" s="890">
        <f t="shared" si="138"/>
        <v>0.25666679989259183</v>
      </c>
      <c r="EN185" s="890">
        <f t="shared" si="138"/>
        <v>0.23347989011956163</v>
      </c>
      <c r="EO185" s="890">
        <f t="shared" si="138"/>
        <v>0.21267969480207241</v>
      </c>
      <c r="EP185" s="890">
        <f t="shared" si="138"/>
        <v>0.19153465441632764</v>
      </c>
      <c r="EQ185" s="890">
        <f t="shared" si="138"/>
        <v>0.18629436681557612</v>
      </c>
      <c r="ER185" s="890">
        <f t="shared" si="138"/>
        <v>0.20367760789911965</v>
      </c>
      <c r="ES185" s="890">
        <f t="shared" si="138"/>
        <v>0.23669213702267816</v>
      </c>
    </row>
    <row r="186" spans="1:150" x14ac:dyDescent="0.3">
      <c r="A186" s="30"/>
    </row>
    <row r="187" spans="1:150" x14ac:dyDescent="0.3">
      <c r="A187" s="30"/>
    </row>
    <row r="188" spans="1:150" x14ac:dyDescent="0.3">
      <c r="A188" s="43" t="s">
        <v>3986</v>
      </c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  <c r="BM188" s="43"/>
      <c r="BN188" s="43"/>
      <c r="BO188" s="43"/>
      <c r="BP188" s="43"/>
      <c r="BQ188" s="43"/>
      <c r="BR188" s="43"/>
      <c r="BS188" s="43"/>
      <c r="BT188" s="43"/>
      <c r="BU188" s="43"/>
      <c r="BV188" s="43"/>
      <c r="BW188" s="43"/>
      <c r="BX188" s="43"/>
      <c r="BY188" s="43"/>
      <c r="BZ188" s="43"/>
      <c r="CA188" s="43"/>
      <c r="CB188" s="43"/>
      <c r="CC188" s="43"/>
      <c r="CD188" s="43"/>
      <c r="CE188" s="43"/>
      <c r="CF188" s="43"/>
      <c r="CG188" s="43"/>
      <c r="CH188" s="43"/>
      <c r="CI188" s="43"/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/>
      <c r="CX188" s="43"/>
      <c r="CY188" s="43"/>
      <c r="CZ188" s="43"/>
      <c r="DA188" s="43"/>
      <c r="DB188" s="43"/>
      <c r="DC188" s="43"/>
      <c r="DD188" s="43"/>
      <c r="DE188" s="43"/>
      <c r="DF188" s="43"/>
      <c r="DG188" s="43"/>
      <c r="DH188" s="43"/>
      <c r="DI188" s="43"/>
      <c r="DJ188" s="43"/>
      <c r="DK188" s="43"/>
      <c r="DL188" s="43"/>
      <c r="DM188" s="43"/>
      <c r="DN188" s="43"/>
      <c r="DO188" s="43"/>
      <c r="DP188" s="43"/>
      <c r="DQ188" s="43"/>
      <c r="DR188" s="43"/>
      <c r="DS188" s="43"/>
      <c r="DT188" s="43"/>
      <c r="DU188" s="43"/>
      <c r="DV188" s="43"/>
      <c r="DW188" s="43"/>
      <c r="DX188" s="43"/>
      <c r="DY188" s="857"/>
      <c r="DZ188" s="43"/>
      <c r="EA188" s="43"/>
      <c r="EB188" s="43"/>
      <c r="EC188" s="43"/>
      <c r="ED188" s="43"/>
      <c r="EE188" s="43"/>
      <c r="EF188" s="43"/>
      <c r="EG188" s="43"/>
      <c r="EH188" s="43"/>
      <c r="EI188" s="43"/>
      <c r="EJ188" s="43"/>
      <c r="EK188" s="43"/>
      <c r="EL188" s="43"/>
      <c r="EM188" s="43"/>
      <c r="EN188" s="43"/>
      <c r="EO188" s="43"/>
      <c r="EP188" s="43"/>
      <c r="EQ188" s="43"/>
      <c r="ER188" s="43"/>
      <c r="ES188" s="43"/>
      <c r="ET188" s="43"/>
    </row>
    <row r="189" spans="1:150" x14ac:dyDescent="0.3">
      <c r="A189" s="141" t="s">
        <v>4015</v>
      </c>
    </row>
    <row r="190" spans="1:150" x14ac:dyDescent="0.3">
      <c r="A190" t="s">
        <v>331</v>
      </c>
      <c r="DU190" s="134">
        <f>DU78</f>
        <v>10800</v>
      </c>
      <c r="DV190" s="134">
        <f>DV78</f>
        <v>10800</v>
      </c>
      <c r="DW190" s="134">
        <f>DW78</f>
        <v>10800</v>
      </c>
      <c r="DX190" s="134">
        <f>DX78</f>
        <v>10800</v>
      </c>
      <c r="DY190" s="475">
        <f>+DX190</f>
        <v>10800</v>
      </c>
      <c r="DZ190" s="134">
        <f>DZ78</f>
        <v>10800</v>
      </c>
      <c r="EA190" s="134">
        <f>EA78</f>
        <v>10800</v>
      </c>
      <c r="EB190" s="134">
        <f>EB78</f>
        <v>10800</v>
      </c>
      <c r="EC190" s="134">
        <f>EC78</f>
        <v>10800</v>
      </c>
      <c r="ED190" s="475">
        <f>+EC190</f>
        <v>10800</v>
      </c>
      <c r="EE190" s="134">
        <f>EE78</f>
        <v>10828</v>
      </c>
      <c r="EF190" s="134">
        <f>EF78</f>
        <v>10856</v>
      </c>
      <c r="EG190" s="134">
        <f>EG78</f>
        <v>10905</v>
      </c>
      <c r="EH190" s="134">
        <f>EH78</f>
        <v>10925.999999999998</v>
      </c>
      <c r="EI190" s="475">
        <f>+EH190</f>
        <v>10925.999999999998</v>
      </c>
      <c r="EJ190" s="134">
        <f t="shared" ref="EJ190:ES190" si="139">EJ78</f>
        <v>11053.133999999996</v>
      </c>
      <c r="EK190" s="134">
        <f t="shared" si="139"/>
        <v>11181.412205999995</v>
      </c>
      <c r="EL190" s="134">
        <f t="shared" si="139"/>
        <v>11310.844915853993</v>
      </c>
      <c r="EM190" s="134">
        <f t="shared" si="139"/>
        <v>11441.442520096678</v>
      </c>
      <c r="EN190" s="134">
        <f t="shared" si="139"/>
        <v>11573.215502777546</v>
      </c>
      <c r="EO190" s="134">
        <f t="shared" si="139"/>
        <v>11706.174442302543</v>
      </c>
      <c r="EP190" s="134">
        <f t="shared" si="139"/>
        <v>11840.330012283264</v>
      </c>
      <c r="EQ190" s="134">
        <f t="shared" si="139"/>
        <v>11975.692982393812</v>
      </c>
      <c r="ER190" s="134">
        <f t="shared" si="139"/>
        <v>12112.274219235354</v>
      </c>
      <c r="ES190" s="134">
        <f t="shared" si="139"/>
        <v>12250.084687208471</v>
      </c>
    </row>
    <row r="191" spans="1:150" x14ac:dyDescent="0.3">
      <c r="A191" s="61" t="s">
        <v>4016</v>
      </c>
      <c r="DU191" s="96">
        <f>+DV191</f>
        <v>0</v>
      </c>
      <c r="DV191" s="77">
        <f>+DV190-DU190</f>
        <v>0</v>
      </c>
      <c r="DW191" s="77">
        <f>+DW190-DV190</f>
        <v>0</v>
      </c>
      <c r="DX191" s="77">
        <f>+DX190-DW190</f>
        <v>0</v>
      </c>
      <c r="DY191" s="86">
        <f>+SUM(DU191:DX191)</f>
        <v>0</v>
      </c>
      <c r="DZ191" s="77">
        <f>+DZ190-DY190</f>
        <v>0</v>
      </c>
      <c r="EA191" s="77">
        <f>+EA190-DZ190</f>
        <v>0</v>
      </c>
      <c r="EB191" s="77">
        <f>+EB190-EA190</f>
        <v>0</v>
      </c>
      <c r="EC191" s="77">
        <f>+EC190-EB190</f>
        <v>0</v>
      </c>
      <c r="ED191" s="86">
        <f>+SUM(DZ191:EC191)</f>
        <v>0</v>
      </c>
      <c r="EE191" s="77">
        <f>+EE190-ED190</f>
        <v>28</v>
      </c>
      <c r="EF191" s="77">
        <f>+EF190-EE190</f>
        <v>28</v>
      </c>
      <c r="EG191" s="77">
        <f>+EG190-EF190</f>
        <v>49</v>
      </c>
      <c r="EH191" s="77">
        <f>+EH190-EG190</f>
        <v>20.999999999998181</v>
      </c>
      <c r="EI191" s="86">
        <f>+SUM(EE191:EH191)</f>
        <v>125.99999999999818</v>
      </c>
      <c r="EJ191" s="907">
        <f>EJ190-EI190</f>
        <v>127.1339999999982</v>
      </c>
      <c r="EK191" s="907">
        <f t="shared" ref="EK191:ES191" si="140">EK190-EJ190</f>
        <v>128.27820599999905</v>
      </c>
      <c r="EL191" s="907">
        <f t="shared" si="140"/>
        <v>129.43270985399795</v>
      </c>
      <c r="EM191" s="907">
        <f t="shared" si="140"/>
        <v>130.59760424268461</v>
      </c>
      <c r="EN191" s="907">
        <f t="shared" si="140"/>
        <v>131.77298268086815</v>
      </c>
      <c r="EO191" s="907">
        <f t="shared" si="140"/>
        <v>132.95893952499682</v>
      </c>
      <c r="EP191" s="907">
        <f t="shared" si="140"/>
        <v>134.15556998072134</v>
      </c>
      <c r="EQ191" s="907">
        <f t="shared" si="140"/>
        <v>135.36297011054739</v>
      </c>
      <c r="ER191" s="907">
        <f t="shared" si="140"/>
        <v>136.5812368415427</v>
      </c>
      <c r="ES191" s="907">
        <f t="shared" si="140"/>
        <v>137.81046797311683</v>
      </c>
    </row>
    <row r="192" spans="1:150" x14ac:dyDescent="0.3">
      <c r="A192" s="61" t="s">
        <v>4017</v>
      </c>
      <c r="DU192" s="96"/>
      <c r="DV192" s="77"/>
      <c r="DW192" s="77"/>
      <c r="DX192" s="77"/>
      <c r="DY192" s="86"/>
      <c r="DZ192" s="75">
        <f t="shared" ref="DZ192:EI192" si="141">DZ190/DU190-1</f>
        <v>0</v>
      </c>
      <c r="EA192" s="75">
        <f t="shared" si="141"/>
        <v>0</v>
      </c>
      <c r="EB192" s="75">
        <f t="shared" si="141"/>
        <v>0</v>
      </c>
      <c r="EC192" s="75">
        <f t="shared" si="141"/>
        <v>0</v>
      </c>
      <c r="ED192" s="84">
        <f t="shared" si="141"/>
        <v>0</v>
      </c>
      <c r="EE192" s="75">
        <f t="shared" si="141"/>
        <v>2.5925925925927018E-3</v>
      </c>
      <c r="EF192" s="75">
        <f t="shared" si="141"/>
        <v>5.1851851851851816E-3</v>
      </c>
      <c r="EG192" s="75">
        <f t="shared" si="141"/>
        <v>9.7222222222221877E-3</v>
      </c>
      <c r="EH192" s="75">
        <f t="shared" si="141"/>
        <v>1.1666666666666492E-2</v>
      </c>
      <c r="EI192" s="84">
        <f t="shared" si="141"/>
        <v>1.1666666666666492E-2</v>
      </c>
      <c r="EJ192" s="75">
        <f t="shared" ref="EJ192:ES192" si="142">EJ190/EI190-1</f>
        <v>1.1635914332783992E-2</v>
      </c>
      <c r="EK192" s="75">
        <f t="shared" si="142"/>
        <v>1.1605595842771654E-2</v>
      </c>
      <c r="EL192" s="75">
        <f t="shared" si="142"/>
        <v>1.1575703271590632E-2</v>
      </c>
      <c r="EM192" s="75">
        <f t="shared" si="142"/>
        <v>1.1546228881595733E-2</v>
      </c>
      <c r="EN192" s="75">
        <f t="shared" si="142"/>
        <v>1.1517165117021833E-2</v>
      </c>
      <c r="EO192" s="75">
        <f t="shared" si="142"/>
        <v>1.1488504598664573E-2</v>
      </c>
      <c r="EP192" s="75">
        <f t="shared" si="142"/>
        <v>1.1460240118746468E-2</v>
      </c>
      <c r="EQ192" s="75">
        <f t="shared" si="142"/>
        <v>1.1432364635961978E-2</v>
      </c>
      <c r="ER192" s="75">
        <f t="shared" si="142"/>
        <v>1.1404871270692896E-2</v>
      </c>
      <c r="ES192" s="75">
        <f t="shared" si="142"/>
        <v>1.1377753300388704E-2</v>
      </c>
    </row>
    <row r="194" spans="1:149" x14ac:dyDescent="0.3">
      <c r="A194" s="141" t="s">
        <v>327</v>
      </c>
    </row>
    <row r="195" spans="1:149" x14ac:dyDescent="0.3">
      <c r="A195" t="s">
        <v>3645</v>
      </c>
      <c r="DU195" s="95">
        <f>+DV195</f>
        <v>9</v>
      </c>
      <c r="DV195" s="95">
        <f>+DW195</f>
        <v>9</v>
      </c>
      <c r="DW195" s="95">
        <f>+DX195</f>
        <v>9</v>
      </c>
      <c r="DX195" s="95">
        <f>+DZ195</f>
        <v>9</v>
      </c>
      <c r="DY195" s="475">
        <f>+DX195</f>
        <v>9</v>
      </c>
      <c r="DZ195" s="79">
        <f>+Inputs!DZ554</f>
        <v>9</v>
      </c>
      <c r="EA195" s="79">
        <f>+Inputs!EA554</f>
        <v>17</v>
      </c>
      <c r="EB195" s="79">
        <f>+Inputs!EB554</f>
        <v>26</v>
      </c>
      <c r="EC195" s="79">
        <f>+Inputs!EC554</f>
        <v>86</v>
      </c>
      <c r="ED195" s="475">
        <f>+EC195</f>
        <v>86</v>
      </c>
      <c r="EE195" s="79">
        <f>+Inputs!EE554</f>
        <v>190</v>
      </c>
      <c r="EF195" s="365">
        <f>EE195+EF196</f>
        <v>347</v>
      </c>
      <c r="EG195" s="365">
        <f>EF195+EG196</f>
        <v>512</v>
      </c>
      <c r="EH195" s="365">
        <f>EG195+EH196</f>
        <v>686</v>
      </c>
      <c r="EI195" s="475">
        <f>EH195</f>
        <v>686</v>
      </c>
      <c r="EJ195" s="365">
        <f t="shared" ref="EJ195:ES195" si="143">EI195+EJ196</f>
        <v>1686</v>
      </c>
      <c r="EK195" s="365">
        <f t="shared" si="143"/>
        <v>3286</v>
      </c>
      <c r="EL195" s="365">
        <f t="shared" si="143"/>
        <v>4986</v>
      </c>
      <c r="EM195" s="365">
        <f t="shared" si="143"/>
        <v>6686</v>
      </c>
      <c r="EN195" s="745">
        <f t="shared" si="143"/>
        <v>7586</v>
      </c>
      <c r="EO195" s="745">
        <f t="shared" si="143"/>
        <v>7686.23</v>
      </c>
      <c r="EP195" s="745">
        <f t="shared" si="143"/>
        <v>7787.4622999999992</v>
      </c>
      <c r="EQ195" s="745">
        <f t="shared" si="143"/>
        <v>7889.7069229999979</v>
      </c>
      <c r="ER195" s="745">
        <f t="shared" si="143"/>
        <v>7992.9739922299996</v>
      </c>
      <c r="ES195" s="745">
        <f t="shared" si="143"/>
        <v>8097.2737321522982</v>
      </c>
    </row>
    <row r="196" spans="1:149" x14ac:dyDescent="0.3">
      <c r="A196" s="61" t="s">
        <v>4018</v>
      </c>
      <c r="DU196" s="96">
        <f>+DV196</f>
        <v>0</v>
      </c>
      <c r="DV196" s="77">
        <f>+DV195-DU195</f>
        <v>0</v>
      </c>
      <c r="DW196" s="77">
        <f>+DW195-DV195</f>
        <v>0</v>
      </c>
      <c r="DX196" s="77">
        <f>+DX195-DW195</f>
        <v>0</v>
      </c>
      <c r="DY196" s="86">
        <f>+SUM(DU196:DX196)</f>
        <v>0</v>
      </c>
      <c r="DZ196" s="77">
        <f>+DZ195-DY195</f>
        <v>0</v>
      </c>
      <c r="EA196" s="77">
        <f>+EA195-DZ195</f>
        <v>8</v>
      </c>
      <c r="EB196" s="77">
        <f>+EB195-EA195</f>
        <v>9</v>
      </c>
      <c r="EC196" s="77">
        <f>+EC195-EB195</f>
        <v>60</v>
      </c>
      <c r="ED196" s="86">
        <f>+SUM(DZ196:EC196)</f>
        <v>77</v>
      </c>
      <c r="EE196" s="80">
        <f>Inputs!EE354</f>
        <v>104</v>
      </c>
      <c r="EF196" s="80">
        <f>Inputs!EF354</f>
        <v>157</v>
      </c>
      <c r="EG196" s="118">
        <v>165</v>
      </c>
      <c r="EH196" s="118">
        <v>174</v>
      </c>
      <c r="EI196" s="86">
        <f>+SUM(EE196:EH196)</f>
        <v>600</v>
      </c>
      <c r="EJ196" s="118">
        <v>1000</v>
      </c>
      <c r="EK196" s="118">
        <v>1600</v>
      </c>
      <c r="EL196" s="118">
        <v>1700</v>
      </c>
      <c r="EM196" s="118">
        <v>1700</v>
      </c>
      <c r="EN196" s="907">
        <f>Drivers!FD91</f>
        <v>900</v>
      </c>
      <c r="EO196" s="907">
        <f>Drivers!FE91</f>
        <v>100.22999999999956</v>
      </c>
      <c r="EP196" s="907">
        <f>Drivers!FF91</f>
        <v>101.23229999999967</v>
      </c>
      <c r="EQ196" s="907">
        <f>Drivers!FG91</f>
        <v>102.24462299999868</v>
      </c>
      <c r="ER196" s="907">
        <f>Drivers!FH91</f>
        <v>103.26706923000165</v>
      </c>
      <c r="ES196" s="907">
        <f>Drivers!FI91</f>
        <v>104.29973992229861</v>
      </c>
    </row>
    <row r="197" spans="1:149" x14ac:dyDescent="0.3">
      <c r="A197" s="61" t="s">
        <v>4019</v>
      </c>
      <c r="DU197" s="96"/>
      <c r="DV197" s="77"/>
      <c r="DW197" s="77"/>
      <c r="DX197" s="77"/>
      <c r="DY197" s="86"/>
      <c r="DZ197" s="75">
        <f t="shared" ref="DZ197:EI197" si="144">DZ195/DU195-1</f>
        <v>0</v>
      </c>
      <c r="EA197" s="75">
        <f t="shared" si="144"/>
        <v>0.88888888888888884</v>
      </c>
      <c r="EB197" s="75">
        <f t="shared" si="144"/>
        <v>1.8888888888888888</v>
      </c>
      <c r="EC197" s="75">
        <f t="shared" si="144"/>
        <v>8.5555555555555554</v>
      </c>
      <c r="ED197" s="84">
        <f t="shared" si="144"/>
        <v>8.5555555555555554</v>
      </c>
      <c r="EE197" s="75">
        <f t="shared" si="144"/>
        <v>20.111111111111111</v>
      </c>
      <c r="EF197" s="75">
        <f t="shared" si="144"/>
        <v>19.411764705882351</v>
      </c>
      <c r="EG197" s="75">
        <f t="shared" si="144"/>
        <v>18.692307692307693</v>
      </c>
      <c r="EH197" s="75">
        <f t="shared" si="144"/>
        <v>6.9767441860465116</v>
      </c>
      <c r="EI197" s="84">
        <f t="shared" si="144"/>
        <v>6.9767441860465116</v>
      </c>
      <c r="EJ197" s="75">
        <f>EJ195/EI195-1</f>
        <v>1.4577259475218658</v>
      </c>
      <c r="EK197" s="75">
        <f t="shared" ref="EK197:ES197" si="145">EK195/EJ195-1</f>
        <v>0.94899169632265723</v>
      </c>
      <c r="EL197" s="75">
        <f t="shared" si="145"/>
        <v>0.51734631771150341</v>
      </c>
      <c r="EM197" s="75">
        <f t="shared" si="145"/>
        <v>0.34095467308463689</v>
      </c>
      <c r="EN197" s="75">
        <f t="shared" si="145"/>
        <v>0.1346096320670056</v>
      </c>
      <c r="EO197" s="75">
        <f t="shared" si="145"/>
        <v>1.3212496704455567E-2</v>
      </c>
      <c r="EP197" s="75">
        <f t="shared" si="145"/>
        <v>1.3170605095085497E-2</v>
      </c>
      <c r="EQ197" s="75">
        <f t="shared" si="145"/>
        <v>1.3129389146448789E-2</v>
      </c>
      <c r="ER197" s="75">
        <f t="shared" si="145"/>
        <v>1.3088834634523483E-2</v>
      </c>
      <c r="ES197" s="75">
        <f t="shared" si="145"/>
        <v>1.3048927723734449E-2</v>
      </c>
    </row>
    <row r="199" spans="1:149" x14ac:dyDescent="0.3">
      <c r="A199" s="141" t="s">
        <v>329</v>
      </c>
    </row>
    <row r="200" spans="1:149" x14ac:dyDescent="0.3">
      <c r="A200" t="s">
        <v>4020</v>
      </c>
      <c r="DU200" s="134">
        <f>DU190-DU195</f>
        <v>10791</v>
      </c>
      <c r="DV200" s="134">
        <f t="shared" ref="DV200:ES200" si="146">DV190-DV195</f>
        <v>10791</v>
      </c>
      <c r="DW200" s="134">
        <f t="shared" si="146"/>
        <v>10791</v>
      </c>
      <c r="DX200" s="134">
        <f t="shared" si="146"/>
        <v>10791</v>
      </c>
      <c r="DY200" s="475">
        <f>+DX200</f>
        <v>10791</v>
      </c>
      <c r="DZ200" s="134">
        <f t="shared" si="146"/>
        <v>10791</v>
      </c>
      <c r="EA200" s="134">
        <f t="shared" si="146"/>
        <v>10783</v>
      </c>
      <c r="EB200" s="134">
        <f t="shared" si="146"/>
        <v>10774</v>
      </c>
      <c r="EC200" s="134">
        <f t="shared" si="146"/>
        <v>10714</v>
      </c>
      <c r="ED200" s="475">
        <f>+EC200</f>
        <v>10714</v>
      </c>
      <c r="EE200" s="134">
        <f t="shared" si="146"/>
        <v>10638</v>
      </c>
      <c r="EF200" s="134">
        <f t="shared" si="146"/>
        <v>10509</v>
      </c>
      <c r="EG200" s="134">
        <f t="shared" si="146"/>
        <v>10393</v>
      </c>
      <c r="EH200" s="134">
        <f t="shared" si="146"/>
        <v>10239.999999999998</v>
      </c>
      <c r="EI200" s="475">
        <f>+EH200</f>
        <v>10239.999999999998</v>
      </c>
      <c r="EJ200" s="134">
        <f t="shared" si="146"/>
        <v>9367.1339999999964</v>
      </c>
      <c r="EK200" s="134">
        <f t="shared" si="146"/>
        <v>7895.4122059999954</v>
      </c>
      <c r="EL200" s="134">
        <f t="shared" si="146"/>
        <v>6324.8449158539934</v>
      </c>
      <c r="EM200" s="134">
        <f t="shared" si="146"/>
        <v>4755.442520096678</v>
      </c>
      <c r="EN200" s="134">
        <f t="shared" si="146"/>
        <v>3987.2155027775461</v>
      </c>
      <c r="EO200" s="134">
        <f t="shared" si="146"/>
        <v>4019.9444423025434</v>
      </c>
      <c r="EP200" s="134">
        <f t="shared" si="146"/>
        <v>4052.8677122832651</v>
      </c>
      <c r="EQ200" s="134">
        <f t="shared" si="146"/>
        <v>4085.9860593938138</v>
      </c>
      <c r="ER200" s="134">
        <f t="shared" si="146"/>
        <v>4119.3002270053548</v>
      </c>
      <c r="ES200" s="134">
        <f t="shared" si="146"/>
        <v>4152.810955056173</v>
      </c>
    </row>
    <row r="201" spans="1:149" x14ac:dyDescent="0.3">
      <c r="A201" s="61" t="s">
        <v>3990</v>
      </c>
      <c r="DU201" s="96">
        <f>+DV201</f>
        <v>0</v>
      </c>
      <c r="DV201" s="77">
        <f>+DV200-DU200</f>
        <v>0</v>
      </c>
      <c r="DW201" s="77">
        <f>+DW200-DV200</f>
        <v>0</v>
      </c>
      <c r="DX201" s="77">
        <f>+DX200-DW200</f>
        <v>0</v>
      </c>
      <c r="DY201" s="86">
        <f>+SUM(DU201:DX201)</f>
        <v>0</v>
      </c>
      <c r="DZ201" s="77">
        <f>+DZ200-DY200</f>
        <v>0</v>
      </c>
      <c r="EA201" s="77">
        <f>+EA200-DZ200</f>
        <v>-8</v>
      </c>
      <c r="EB201" s="77">
        <f>+EB200-EA200</f>
        <v>-9</v>
      </c>
      <c r="EC201" s="77">
        <f>+EC200-EB200</f>
        <v>-60</v>
      </c>
      <c r="ED201" s="86">
        <f>+SUM(DZ201:EC201)</f>
        <v>-77</v>
      </c>
      <c r="EE201" s="77">
        <f>+EE200-ED200</f>
        <v>-76</v>
      </c>
      <c r="EF201" s="77">
        <f>+EF200-EE200</f>
        <v>-129</v>
      </c>
      <c r="EG201" s="77">
        <f>+EG200-EF200</f>
        <v>-116</v>
      </c>
      <c r="EH201" s="77">
        <f>+EH200-EG200</f>
        <v>-153.00000000000182</v>
      </c>
      <c r="EI201" s="86">
        <f>+SUM(EE201:EH201)</f>
        <v>-474.00000000000182</v>
      </c>
      <c r="EJ201" s="77">
        <f t="shared" ref="EJ201:ES201" si="147">+EJ200-EI200</f>
        <v>-872.8660000000018</v>
      </c>
      <c r="EK201" s="77">
        <f t="shared" si="147"/>
        <v>-1471.721794000001</v>
      </c>
      <c r="EL201" s="77">
        <f t="shared" si="147"/>
        <v>-1570.5672901460021</v>
      </c>
      <c r="EM201" s="77">
        <f t="shared" si="147"/>
        <v>-1569.4023957573154</v>
      </c>
      <c r="EN201" s="77">
        <f t="shared" si="147"/>
        <v>-768.22701731913185</v>
      </c>
      <c r="EO201" s="77">
        <f t="shared" si="147"/>
        <v>32.728939524997259</v>
      </c>
      <c r="EP201" s="77">
        <f t="shared" si="147"/>
        <v>32.92326998072167</v>
      </c>
      <c r="EQ201" s="77">
        <f t="shared" si="147"/>
        <v>33.118347110548711</v>
      </c>
      <c r="ER201" s="77">
        <f t="shared" si="147"/>
        <v>33.314167611541052</v>
      </c>
      <c r="ES201" s="77">
        <f t="shared" si="147"/>
        <v>33.510728050818216</v>
      </c>
    </row>
    <row r="202" spans="1:149" x14ac:dyDescent="0.3">
      <c r="A202" s="61" t="s">
        <v>4021</v>
      </c>
      <c r="DU202" s="96"/>
      <c r="DV202" s="77"/>
      <c r="DW202" s="77"/>
      <c r="DX202" s="77"/>
      <c r="DY202" s="86"/>
      <c r="DZ202" s="75">
        <f t="shared" ref="DZ202:EI202" si="148">DZ200/DU200-1</f>
        <v>0</v>
      </c>
      <c r="EA202" s="75">
        <f t="shared" si="148"/>
        <v>-7.4135853952372877E-4</v>
      </c>
      <c r="EB202" s="75">
        <f t="shared" si="148"/>
        <v>-1.5753868964878404E-3</v>
      </c>
      <c r="EC202" s="75">
        <f t="shared" si="148"/>
        <v>-7.135575942915362E-3</v>
      </c>
      <c r="ED202" s="84">
        <f t="shared" si="148"/>
        <v>-7.135575942915362E-3</v>
      </c>
      <c r="EE202" s="75">
        <f t="shared" si="148"/>
        <v>-1.4178482068390341E-2</v>
      </c>
      <c r="EF202" s="75">
        <f t="shared" si="148"/>
        <v>-2.5410368172122832E-2</v>
      </c>
      <c r="EG202" s="75">
        <f t="shared" si="148"/>
        <v>-3.5362910710970863E-2</v>
      </c>
      <c r="EH202" s="75">
        <f t="shared" si="148"/>
        <v>-4.4241179764793914E-2</v>
      </c>
      <c r="EI202" s="84">
        <f t="shared" si="148"/>
        <v>-4.4241179764793914E-2</v>
      </c>
      <c r="EJ202" s="75">
        <f>EJ200/EI200-1</f>
        <v>-8.5240820312500243E-2</v>
      </c>
      <c r="EK202" s="75">
        <f t="shared" ref="EK202:ES202" si="149">EK200/EJ200-1</f>
        <v>-0.15711548420253207</v>
      </c>
      <c r="EL202" s="75">
        <f t="shared" si="149"/>
        <v>-0.19892150646073603</v>
      </c>
      <c r="EM202" s="75">
        <f t="shared" si="149"/>
        <v>-0.2481329450186861</v>
      </c>
      <c r="EN202" s="75">
        <f t="shared" si="149"/>
        <v>-0.16154690422028561</v>
      </c>
      <c r="EO202" s="75">
        <f t="shared" si="149"/>
        <v>8.2084701722788811E-3</v>
      </c>
      <c r="EP202" s="75">
        <f t="shared" si="149"/>
        <v>8.189981342593855E-3</v>
      </c>
      <c r="EQ202" s="75">
        <f t="shared" si="149"/>
        <v>8.1715835456890318E-3</v>
      </c>
      <c r="ER202" s="75">
        <f t="shared" si="149"/>
        <v>8.1532749077668498E-3</v>
      </c>
      <c r="ES202" s="75">
        <f t="shared" si="149"/>
        <v>8.1350535780635447E-3</v>
      </c>
    </row>
    <row r="205" spans="1:149" x14ac:dyDescent="0.3">
      <c r="A205" s="63" t="s">
        <v>4022</v>
      </c>
      <c r="DU205" s="95">
        <v>0</v>
      </c>
      <c r="DV205" s="76">
        <f>+DU208</f>
        <v>0</v>
      </c>
      <c r="DW205" s="76">
        <f>+DV208</f>
        <v>0</v>
      </c>
      <c r="DX205" s="76">
        <f>+DW208</f>
        <v>0</v>
      </c>
      <c r="DY205" s="85">
        <f>+DU205</f>
        <v>0</v>
      </c>
      <c r="DZ205" s="76">
        <f>+DY208</f>
        <v>0</v>
      </c>
      <c r="EA205" s="76">
        <f>+DZ208</f>
        <v>0.53372093023255818</v>
      </c>
      <c r="EB205" s="76">
        <f>+EA208</f>
        <v>1.0081395348837208</v>
      </c>
      <c r="EC205" s="76">
        <f>+EB208</f>
        <v>1.5418604651162788</v>
      </c>
      <c r="ED205" s="85">
        <f>+DZ205</f>
        <v>0</v>
      </c>
      <c r="EE205" s="76">
        <f>+ED208</f>
        <v>5.0999999999999996</v>
      </c>
      <c r="EF205" s="76">
        <f>+EE208</f>
        <v>7.6999999999999993</v>
      </c>
      <c r="EG205" s="76">
        <f>+EF208</f>
        <v>14.173</v>
      </c>
      <c r="EH205" s="76">
        <f>+EG208</f>
        <v>24.641539999999999</v>
      </c>
      <c r="EI205" s="85">
        <f>+EE205</f>
        <v>5.0999999999999996</v>
      </c>
      <c r="EJ205" s="76">
        <f t="shared" ref="EJ205:ES205" si="150">+EI208</f>
        <v>39.250709200000003</v>
      </c>
      <c r="EK205" s="76">
        <f t="shared" si="150"/>
        <v>156.08585680749908</v>
      </c>
      <c r="EL205" s="76">
        <f t="shared" si="150"/>
        <v>397.64814692955645</v>
      </c>
      <c r="EM205" s="76">
        <f t="shared" si="150"/>
        <v>781.84743699482453</v>
      </c>
      <c r="EN205" s="76">
        <f t="shared" si="150"/>
        <v>1301.1882892456324</v>
      </c>
      <c r="EO205" s="76">
        <f t="shared" si="150"/>
        <v>1836.9564056175759</v>
      </c>
      <c r="EP205" s="76">
        <f t="shared" si="150"/>
        <v>2291.1764993067909</v>
      </c>
      <c r="EQ205" s="76">
        <f t="shared" si="150"/>
        <v>2642.6670031661383</v>
      </c>
      <c r="ER205" s="76">
        <f t="shared" si="150"/>
        <v>2869.0488078819353</v>
      </c>
      <c r="ES205" s="76">
        <f t="shared" si="150"/>
        <v>2972.7215279101933</v>
      </c>
    </row>
    <row r="206" spans="1:149" x14ac:dyDescent="0.3">
      <c r="A206" s="63" t="s">
        <v>336</v>
      </c>
      <c r="DU206" s="95">
        <v>0</v>
      </c>
      <c r="DV206" s="76">
        <f>+DV208-DV207-DV205</f>
        <v>0</v>
      </c>
      <c r="DW206" s="76">
        <f>+DW208-DW207-DW205</f>
        <v>0</v>
      </c>
      <c r="DX206" s="76">
        <f>+DX208-DX207-DX205</f>
        <v>0</v>
      </c>
      <c r="DY206" s="85">
        <f>+SUM(DU206:DX206)</f>
        <v>0</v>
      </c>
      <c r="DZ206" s="76">
        <f>+DZ208-DZ207-DZ205</f>
        <v>0.53372093023255818</v>
      </c>
      <c r="EA206" s="76">
        <f>+EA208-EA207-EA205</f>
        <v>0.49875627906976716</v>
      </c>
      <c r="EB206" s="76">
        <f>+EB208-EB207-EB205</f>
        <v>0.58816046511627906</v>
      </c>
      <c r="EC206" s="76">
        <f>+EC208-EC207-EC205</f>
        <v>3.6302986046511627</v>
      </c>
      <c r="ED206" s="85">
        <f>+SUM(DZ206:EC206)</f>
        <v>5.2509362790697676</v>
      </c>
      <c r="EE206" s="76">
        <f>+EE208-EE207-EE205</f>
        <v>2.8157299999999994</v>
      </c>
      <c r="EF206" s="76">
        <f>+EF208-EF207-EF205</f>
        <v>6.8264300000000002</v>
      </c>
      <c r="EG206" s="76">
        <f>+EG208-EG207-EG205</f>
        <v>11.161599699999998</v>
      </c>
      <c r="EH206" s="76">
        <f>+EH208-EH207-EH205</f>
        <v>15.888065126000001</v>
      </c>
      <c r="EI206" s="85">
        <f>+SUM(EE206:EH206)</f>
        <v>36.691824826000001</v>
      </c>
      <c r="EJ206" s="76">
        <f t="shared" ref="EJ206:ES206" si="151">+EJ208-EJ207-EJ205</f>
        <v>118.83693377669907</v>
      </c>
      <c r="EK206" s="76">
        <f t="shared" si="151"/>
        <v>249.52266881923984</v>
      </c>
      <c r="EL206" s="76">
        <f t="shared" si="151"/>
        <v>404.4793455586755</v>
      </c>
      <c r="EM206" s="76">
        <f t="shared" si="151"/>
        <v>559.21507153754385</v>
      </c>
      <c r="EN206" s="76">
        <f t="shared" si="151"/>
        <v>602.12871912347077</v>
      </c>
      <c r="EO206" s="76">
        <f t="shared" si="151"/>
        <v>547.9048703757112</v>
      </c>
      <c r="EP206" s="76">
        <f t="shared" si="151"/>
        <v>468.34050532399397</v>
      </c>
      <c r="EQ206" s="76">
        <f t="shared" si="151"/>
        <v>361.15782187727018</v>
      </c>
      <c r="ER206" s="76">
        <f t="shared" si="151"/>
        <v>249.99420923023672</v>
      </c>
      <c r="ES206" s="76">
        <f t="shared" si="151"/>
        <v>160.28727001322659</v>
      </c>
    </row>
    <row r="207" spans="1:149" x14ac:dyDescent="0.3">
      <c r="A207" s="63" t="s">
        <v>337</v>
      </c>
      <c r="DU207" s="95">
        <v>0</v>
      </c>
      <c r="DV207" s="76">
        <f>+DV212*DV205*-3</f>
        <v>0</v>
      </c>
      <c r="DW207" s="76">
        <f>+DW212*DW205*-3</f>
        <v>0</v>
      </c>
      <c r="DX207" s="76">
        <f>+DX212*DX205*-3</f>
        <v>0</v>
      </c>
      <c r="DY207" s="85">
        <f>+SUM(DU207:DX207)</f>
        <v>0</v>
      </c>
      <c r="DZ207" s="76">
        <f>+DZ212*DZ205*-3</f>
        <v>0</v>
      </c>
      <c r="EA207" s="76">
        <f>+EA212*EA205*-3</f>
        <v>-2.4337674418604655E-2</v>
      </c>
      <c r="EB207" s="76">
        <f>+EB212*EB205*-3</f>
        <v>-5.4439534883720921E-2</v>
      </c>
      <c r="EC207" s="76">
        <f>+EC212*EC205*-3</f>
        <v>-7.2159069767441852E-2</v>
      </c>
      <c r="ED207" s="85">
        <f>+SUM(DZ207:EC207)</f>
        <v>-0.15093627906976742</v>
      </c>
      <c r="EE207" s="76">
        <f>+EE212*EE205*-3</f>
        <v>-0.21572999999999998</v>
      </c>
      <c r="EF207" s="76">
        <f>+EF212*EF205*-3</f>
        <v>-0.35342999999999997</v>
      </c>
      <c r="EG207" s="76">
        <f>+EG212*EG205*-3</f>
        <v>-0.69305969999999995</v>
      </c>
      <c r="EH207" s="76">
        <f>+EH212*EH205*-3</f>
        <v>-1.2788959259999999</v>
      </c>
      <c r="EI207" s="85">
        <f>+SUM(EE207:EH207)</f>
        <v>-2.5411156259999998</v>
      </c>
      <c r="EJ207" s="76">
        <f t="shared" ref="EJ207:ES207" si="152">+EJ212*EJ205*-3</f>
        <v>-2.0017861692000003</v>
      </c>
      <c r="EK207" s="76">
        <f t="shared" si="152"/>
        <v>-7.9603786971824544</v>
      </c>
      <c r="EL207" s="76">
        <f t="shared" si="152"/>
        <v>-20.280055493407382</v>
      </c>
      <c r="EM207" s="76">
        <f t="shared" si="152"/>
        <v>-39.87421928673605</v>
      </c>
      <c r="EN207" s="76">
        <f t="shared" si="152"/>
        <v>-66.360602751527253</v>
      </c>
      <c r="EO207" s="76">
        <f t="shared" si="152"/>
        <v>-93.684776686496377</v>
      </c>
      <c r="EP207" s="76">
        <f t="shared" si="152"/>
        <v>-116.85000146464635</v>
      </c>
      <c r="EQ207" s="76">
        <f t="shared" si="152"/>
        <v>-134.77601716147305</v>
      </c>
      <c r="ER207" s="76">
        <f t="shared" si="152"/>
        <v>-146.32148920197872</v>
      </c>
      <c r="ES207" s="76">
        <f t="shared" si="152"/>
        <v>-151.60879792341987</v>
      </c>
    </row>
    <row r="208" spans="1:149" ht="12" customHeight="1" x14ac:dyDescent="0.3">
      <c r="A208" s="64" t="s">
        <v>4023</v>
      </c>
      <c r="DU208" s="854">
        <v>0</v>
      </c>
      <c r="DV208" s="854">
        <v>0</v>
      </c>
      <c r="DW208" s="854">
        <v>0</v>
      </c>
      <c r="DX208" s="854">
        <v>0</v>
      </c>
      <c r="DY208" s="803">
        <f>+DX208</f>
        <v>0</v>
      </c>
      <c r="DZ208" s="855">
        <f>+DZ195/$EC195*$EC208</f>
        <v>0.53372093023255818</v>
      </c>
      <c r="EA208" s="855">
        <f>+EA195/$EC195*$EC208</f>
        <v>1.0081395348837208</v>
      </c>
      <c r="EB208" s="855">
        <f>+EB195/$EC195*$EC208</f>
        <v>1.5418604651162788</v>
      </c>
      <c r="EC208" s="855">
        <f>+Analysis!C4566</f>
        <v>5.0999999999999996</v>
      </c>
      <c r="ED208" s="850">
        <f>+EC208</f>
        <v>5.0999999999999996</v>
      </c>
      <c r="EE208" s="855">
        <f>New_Build_Summary!C16</f>
        <v>7.6999999999999993</v>
      </c>
      <c r="EF208" s="855">
        <f>New_Build_Summary!D16</f>
        <v>14.173</v>
      </c>
      <c r="EG208" s="855">
        <f>New_Build_Summary!E16</f>
        <v>24.641539999999999</v>
      </c>
      <c r="EH208" s="855">
        <f>New_Build_Summary!F16</f>
        <v>39.250709200000003</v>
      </c>
      <c r="EI208" s="850">
        <f>+EH208</f>
        <v>39.250709200000003</v>
      </c>
      <c r="EJ208" s="855">
        <f>New_Build_Summary!H16</f>
        <v>156.08585680749908</v>
      </c>
      <c r="EK208" s="855">
        <f>New_Build_Summary!I16</f>
        <v>397.64814692955645</v>
      </c>
      <c r="EL208" s="855">
        <f>New_Build_Summary!J16</f>
        <v>781.84743699482453</v>
      </c>
      <c r="EM208" s="855">
        <f>New_Build_Summary!K16</f>
        <v>1301.1882892456324</v>
      </c>
      <c r="EN208" s="855">
        <f>New_Build_Summary!L16</f>
        <v>1836.9564056175759</v>
      </c>
      <c r="EO208" s="855">
        <f>New_Build_Summary!M16</f>
        <v>2291.1764993067909</v>
      </c>
      <c r="EP208" s="855">
        <f>New_Build_Summary!N16</f>
        <v>2642.6670031661383</v>
      </c>
      <c r="EQ208" s="855">
        <f>New_Build_Summary!O16</f>
        <v>2869.0488078819353</v>
      </c>
      <c r="ER208" s="855">
        <f>New_Build_Summary!P16</f>
        <v>2972.7215279101933</v>
      </c>
      <c r="ES208" s="855">
        <f>New_Build_Summary!Q16</f>
        <v>2981.4</v>
      </c>
    </row>
    <row r="209" spans="1:149" x14ac:dyDescent="0.3">
      <c r="A209" s="61" t="s">
        <v>339</v>
      </c>
      <c r="DZ209" s="75" t="str">
        <f t="shared" ref="DZ209:EI209" si="153">+IFERROR(DZ208/DU208-1,"")</f>
        <v/>
      </c>
      <c r="EA209" s="75" t="str">
        <f t="shared" si="153"/>
        <v/>
      </c>
      <c r="EB209" s="75" t="str">
        <f t="shared" si="153"/>
        <v/>
      </c>
      <c r="EC209" s="75" t="str">
        <f t="shared" si="153"/>
        <v/>
      </c>
      <c r="ED209" s="84" t="str">
        <f t="shared" si="153"/>
        <v/>
      </c>
      <c r="EE209" s="75">
        <f t="shared" si="153"/>
        <v>13.42701525054466</v>
      </c>
      <c r="EF209" s="75">
        <f t="shared" si="153"/>
        <v>13.058569780853521</v>
      </c>
      <c r="EG209" s="75">
        <f t="shared" si="153"/>
        <v>14.981692609351434</v>
      </c>
      <c r="EH209" s="75">
        <f t="shared" si="153"/>
        <v>6.6962174901960791</v>
      </c>
      <c r="EI209" s="84">
        <f t="shared" si="153"/>
        <v>6.6962174901960791</v>
      </c>
      <c r="EJ209" s="75">
        <f>+IFERROR(EJ208/EI208-1,"")</f>
        <v>2.976637874545693</v>
      </c>
      <c r="EK209" s="75">
        <f t="shared" ref="EK209:ES209" si="154">+IFERROR(EK208/EJ208-1,"")</f>
        <v>1.5476244617087662</v>
      </c>
      <c r="EL209" s="75">
        <f t="shared" si="154"/>
        <v>0.9661790027989976</v>
      </c>
      <c r="EM209" s="75">
        <f t="shared" si="154"/>
        <v>0.66424832732967776</v>
      </c>
      <c r="EN209" s="75">
        <f t="shared" si="154"/>
        <v>0.41175294982293198</v>
      </c>
      <c r="EO209" s="75">
        <f t="shared" si="154"/>
        <v>0.24726775894091424</v>
      </c>
      <c r="EP209" s="75">
        <f t="shared" si="154"/>
        <v>0.15341048756640663</v>
      </c>
      <c r="EQ209" s="75">
        <f t="shared" si="154"/>
        <v>8.5664143247928148E-2</v>
      </c>
      <c r="ER209" s="75">
        <f t="shared" si="154"/>
        <v>3.6134874995310318E-2</v>
      </c>
      <c r="ES209" s="75">
        <f t="shared" si="154"/>
        <v>2.91936934163739E-3</v>
      </c>
    </row>
    <row r="210" spans="1:149" x14ac:dyDescent="0.3">
      <c r="A210" s="65" t="s">
        <v>340</v>
      </c>
      <c r="DV210" s="503">
        <f>+DV208-DU208</f>
        <v>0</v>
      </c>
      <c r="DW210" s="503">
        <f>+DW208-DV208</f>
        <v>0</v>
      </c>
      <c r="DX210" s="503">
        <f>+DX208-DW208</f>
        <v>0</v>
      </c>
      <c r="DY210" s="86">
        <f>+SUM(DU210:DX210)</f>
        <v>0</v>
      </c>
      <c r="DZ210" s="503">
        <f>+DZ208-DY208</f>
        <v>0.53372093023255818</v>
      </c>
      <c r="EA210" s="503">
        <f>+EA208-DZ208</f>
        <v>0.47441860465116259</v>
      </c>
      <c r="EB210" s="503">
        <f>+EB208-EA208</f>
        <v>0.53372093023255807</v>
      </c>
      <c r="EC210" s="503">
        <f>+EC208-EB208</f>
        <v>3.558139534883721</v>
      </c>
      <c r="ED210" s="86">
        <f>+SUM(DZ210:EC210)</f>
        <v>5.0999999999999996</v>
      </c>
      <c r="EE210" s="503">
        <f>+EE208-ED208</f>
        <v>2.5999999999999996</v>
      </c>
      <c r="EF210" s="503">
        <f>+EF208-EE208</f>
        <v>6.4730000000000008</v>
      </c>
      <c r="EG210" s="503">
        <f>+EG208-EF208</f>
        <v>10.468539999999999</v>
      </c>
      <c r="EH210" s="503">
        <f>+EH208-EG208</f>
        <v>14.609169200000004</v>
      </c>
      <c r="EI210" s="86">
        <f>SUM(EE210:EH210)</f>
        <v>34.150709200000001</v>
      </c>
      <c r="EJ210" s="503">
        <f t="shared" ref="EJ210:ES210" si="155">+EJ208-EI208</f>
        <v>116.83514760749908</v>
      </c>
      <c r="EK210" s="503">
        <f t="shared" si="155"/>
        <v>241.56229012205736</v>
      </c>
      <c r="EL210" s="503">
        <f t="shared" si="155"/>
        <v>384.19929006526809</v>
      </c>
      <c r="EM210" s="503">
        <f t="shared" si="155"/>
        <v>519.34085225080787</v>
      </c>
      <c r="EN210" s="503">
        <f t="shared" si="155"/>
        <v>535.76811637194351</v>
      </c>
      <c r="EO210" s="503">
        <f t="shared" si="155"/>
        <v>454.22009368921499</v>
      </c>
      <c r="EP210" s="503">
        <f t="shared" si="155"/>
        <v>351.49050385934743</v>
      </c>
      <c r="EQ210" s="503">
        <f t="shared" si="155"/>
        <v>226.38180471579699</v>
      </c>
      <c r="ER210" s="503">
        <f t="shared" si="155"/>
        <v>103.67272002825803</v>
      </c>
      <c r="ES210" s="503">
        <f t="shared" si="155"/>
        <v>8.6784720898067462</v>
      </c>
    </row>
    <row r="211" spans="1:149" x14ac:dyDescent="0.3">
      <c r="A211" s="65" t="s">
        <v>341</v>
      </c>
      <c r="DU211" s="75" t="str">
        <f>+IFERROR(DU206/AVERAGE(#REF!),"")</f>
        <v/>
      </c>
      <c r="DV211" s="75" t="str">
        <f>+IFERROR(DV206/AVERAGE(#REF!),"")</f>
        <v/>
      </c>
      <c r="DW211" s="75" t="str">
        <f>+IFERROR(DW206/AVERAGE(#REF!),"")</f>
        <v/>
      </c>
      <c r="DX211" s="75" t="str">
        <f>+IFERROR(DX206/AVERAGE(#REF!),"")</f>
        <v/>
      </c>
      <c r="DY211" s="84" t="str">
        <f>+IFERROR(DY206/AVERAGE(#REF!),"")</f>
        <v/>
      </c>
      <c r="DZ211" s="75" t="str">
        <f>+IFERROR(DZ206/AVERAGE(#REF!),"")</f>
        <v/>
      </c>
      <c r="EA211" s="75" t="str">
        <f>+IFERROR(EA206/AVERAGE(#REF!),"")</f>
        <v/>
      </c>
      <c r="EB211" s="75" t="str">
        <f>+IFERROR(EB206/AVERAGE(#REF!),"")</f>
        <v/>
      </c>
      <c r="EC211" s="75" t="str">
        <f>+IFERROR(EC206/AVERAGE(#REF!),"")</f>
        <v/>
      </c>
      <c r="ED211" s="84" t="str">
        <f>+IFERROR(ED206/AVERAGE(#REF!),"")</f>
        <v/>
      </c>
      <c r="EE211" s="75">
        <f>EE206/AVERAGE(ED195:EE195)</f>
        <v>2.040384057971014E-2</v>
      </c>
      <c r="EF211" s="75">
        <f t="shared" ref="EF211:ES211" si="156">EF206/AVERAGE(EE195:EF195)</f>
        <v>2.5424320297951584E-2</v>
      </c>
      <c r="EG211" s="75">
        <f t="shared" si="156"/>
        <v>2.5987426542491265E-2</v>
      </c>
      <c r="EH211" s="75">
        <f t="shared" si="156"/>
        <v>2.6524315736227048E-2</v>
      </c>
      <c r="EI211" s="84">
        <f>EI206/AVERAGE(ED195:EH195)</f>
        <v>0.10074636141131248</v>
      </c>
      <c r="EJ211" s="75">
        <f t="shared" si="156"/>
        <v>0.10019977552841405</v>
      </c>
      <c r="EK211" s="75">
        <f t="shared" si="156"/>
        <v>0.10037114594498787</v>
      </c>
      <c r="EL211" s="75">
        <f t="shared" si="156"/>
        <v>9.7794812755966035E-2</v>
      </c>
      <c r="EM211" s="75">
        <f t="shared" si="156"/>
        <v>9.5821636658249457E-2</v>
      </c>
      <c r="EN211" s="75">
        <f t="shared" si="156"/>
        <v>8.4379024540845116E-2</v>
      </c>
      <c r="EO211" s="75">
        <f t="shared" si="156"/>
        <v>7.1751783515008771E-2</v>
      </c>
      <c r="EP211" s="75">
        <f t="shared" si="156"/>
        <v>6.0533775164185476E-2</v>
      </c>
      <c r="EQ211" s="75">
        <f t="shared" si="156"/>
        <v>4.6074366709956162E-2</v>
      </c>
      <c r="ER211" s="75">
        <f t="shared" si="156"/>
        <v>3.1480102202458247E-2</v>
      </c>
      <c r="ES211" s="75">
        <f t="shared" si="156"/>
        <v>1.9923530421515619E-2</v>
      </c>
    </row>
    <row r="212" spans="1:149" x14ac:dyDescent="0.3">
      <c r="A212" s="65" t="s">
        <v>342</v>
      </c>
      <c r="DU212" s="75">
        <f>+DU113</f>
        <v>2.7300000000000001E-2</v>
      </c>
      <c r="DV212" s="75">
        <f>+DV113</f>
        <v>2.76E-2</v>
      </c>
      <c r="DW212" s="75">
        <f>+DW113</f>
        <v>2.64E-2</v>
      </c>
      <c r="DX212" s="75">
        <f>+DX113</f>
        <v>2.2100000000000002E-2</v>
      </c>
      <c r="DY212" s="84">
        <f>+IFERROR(DY207/AVERAGE(DU205:DX205)/-12,DY196)</f>
        <v>0</v>
      </c>
      <c r="DZ212" s="75">
        <f>+DZ113</f>
        <v>1.9400000000000001E-2</v>
      </c>
      <c r="EA212" s="75">
        <f>+EA113</f>
        <v>1.52E-2</v>
      </c>
      <c r="EB212" s="75">
        <f>+EB113</f>
        <v>1.7999999999999999E-2</v>
      </c>
      <c r="EC212" s="75">
        <f>+EC113</f>
        <v>1.5599999999999999E-2</v>
      </c>
      <c r="ED212" s="84">
        <f>+IFERROR(ED207/AVERAGE(DZ205:EC205)/-12,ED196)</f>
        <v>1.6315384615384614E-2</v>
      </c>
      <c r="EE212" s="75">
        <f>+EE113</f>
        <v>1.41E-2</v>
      </c>
      <c r="EF212" s="75">
        <f>+EF113</f>
        <v>1.5299999999999999E-2</v>
      </c>
      <c r="EG212" s="75">
        <f>+EG113</f>
        <v>1.6299999999999999E-2</v>
      </c>
      <c r="EH212" s="75">
        <f>+EH113</f>
        <v>1.7299999999999999E-2</v>
      </c>
      <c r="EI212" s="84">
        <f>+IFERROR(EI207/AVERAGE(EE205:EH205)/-12,EI196)</f>
        <v>1.6410851322127447E-2</v>
      </c>
      <c r="EJ212" s="75">
        <f t="shared" ref="EJ212:ES212" si="157">+EJ113</f>
        <v>1.7000000000000001E-2</v>
      </c>
      <c r="EK212" s="75">
        <f t="shared" si="157"/>
        <v>1.7000000000000001E-2</v>
      </c>
      <c r="EL212" s="75">
        <f t="shared" si="157"/>
        <v>1.7000000000000001E-2</v>
      </c>
      <c r="EM212" s="75">
        <f t="shared" si="157"/>
        <v>1.7000000000000001E-2</v>
      </c>
      <c r="EN212" s="75">
        <f t="shared" si="157"/>
        <v>1.7000000000000001E-2</v>
      </c>
      <c r="EO212" s="75">
        <f t="shared" si="157"/>
        <v>1.7000000000000001E-2</v>
      </c>
      <c r="EP212" s="75">
        <f t="shared" si="157"/>
        <v>1.7000000000000001E-2</v>
      </c>
      <c r="EQ212" s="75">
        <f t="shared" si="157"/>
        <v>1.7000000000000001E-2</v>
      </c>
      <c r="ER212" s="75">
        <f t="shared" si="157"/>
        <v>1.7000000000000001E-2</v>
      </c>
      <c r="ES212" s="75">
        <f t="shared" si="157"/>
        <v>1.7000000000000001E-2</v>
      </c>
    </row>
    <row r="213" spans="1:149" x14ac:dyDescent="0.3">
      <c r="A213" s="65" t="s">
        <v>210</v>
      </c>
      <c r="DU213" s="898">
        <f>DU208/DU195</f>
        <v>0</v>
      </c>
      <c r="DV213" s="898">
        <f t="shared" ref="DV213:ES213" si="158">DV208/DV195</f>
        <v>0</v>
      </c>
      <c r="DW213" s="898">
        <f t="shared" si="158"/>
        <v>0</v>
      </c>
      <c r="DX213" s="898">
        <f t="shared" si="158"/>
        <v>0</v>
      </c>
      <c r="DY213" s="898">
        <f t="shared" si="158"/>
        <v>0</v>
      </c>
      <c r="DZ213" s="898">
        <f t="shared" si="158"/>
        <v>5.9302325581395351E-2</v>
      </c>
      <c r="EA213" s="898">
        <f t="shared" si="158"/>
        <v>5.9302325581395338E-2</v>
      </c>
      <c r="EB213" s="898">
        <f t="shared" si="158"/>
        <v>5.9302325581395338E-2</v>
      </c>
      <c r="EC213" s="898">
        <f t="shared" si="158"/>
        <v>5.9302325581395345E-2</v>
      </c>
      <c r="ED213" s="898">
        <f t="shared" si="158"/>
        <v>5.9302325581395345E-2</v>
      </c>
      <c r="EE213" s="898">
        <f t="shared" si="158"/>
        <v>4.0526315789473681E-2</v>
      </c>
      <c r="EF213" s="898">
        <f t="shared" si="158"/>
        <v>4.0844380403458211E-2</v>
      </c>
      <c r="EG213" s="898">
        <f t="shared" si="158"/>
        <v>4.8128007812499998E-2</v>
      </c>
      <c r="EH213" s="898">
        <f t="shared" si="158"/>
        <v>5.7216777259475222E-2</v>
      </c>
      <c r="EI213" s="898">
        <f t="shared" si="158"/>
        <v>5.7216777259475222E-2</v>
      </c>
      <c r="EJ213" s="898">
        <f t="shared" si="158"/>
        <v>9.2577613764827454E-2</v>
      </c>
      <c r="EK213" s="898">
        <f t="shared" si="158"/>
        <v>0.12101282621106405</v>
      </c>
      <c r="EL213" s="898">
        <f t="shared" si="158"/>
        <v>0.15680855134272453</v>
      </c>
      <c r="EM213" s="898">
        <f t="shared" si="158"/>
        <v>0.19461386318361237</v>
      </c>
      <c r="EN213" s="898">
        <f t="shared" si="158"/>
        <v>0.24215085758206906</v>
      </c>
      <c r="EO213" s="898">
        <f t="shared" si="158"/>
        <v>0.29808846460576788</v>
      </c>
      <c r="EP213" s="898">
        <f t="shared" si="158"/>
        <v>0.33934893054520965</v>
      </c>
      <c r="EQ213" s="898">
        <f t="shared" si="158"/>
        <v>0.36364453532717567</v>
      </c>
      <c r="ER213" s="898">
        <f t="shared" si="158"/>
        <v>0.37191682730357778</v>
      </c>
      <c r="ES213" s="898">
        <f t="shared" si="158"/>
        <v>0.36819800078655956</v>
      </c>
    </row>
    <row r="214" spans="1:149" x14ac:dyDescent="0.3">
      <c r="A214" s="65"/>
    </row>
    <row r="215" spans="1:149" x14ac:dyDescent="0.3">
      <c r="A215" s="63" t="s">
        <v>399</v>
      </c>
      <c r="DU215" s="76">
        <f>+DU218-DU220</f>
        <v>1584</v>
      </c>
      <c r="DV215" s="76">
        <f>+DU218</f>
        <v>1565</v>
      </c>
      <c r="DW215" s="76">
        <f>+DV218</f>
        <v>1523</v>
      </c>
      <c r="DX215" s="76">
        <f>+DW218</f>
        <v>1475</v>
      </c>
      <c r="DY215" s="85">
        <f>+DU215</f>
        <v>1584</v>
      </c>
      <c r="DZ215" s="76">
        <f>+DY218</f>
        <v>1442</v>
      </c>
      <c r="EA215" s="76">
        <f>+DZ218</f>
        <v>1419</v>
      </c>
      <c r="EB215" s="76">
        <f>+EA218</f>
        <v>1401</v>
      </c>
      <c r="EC215" s="76">
        <f>+EB218</f>
        <v>1381</v>
      </c>
      <c r="ED215" s="85">
        <f>+DZ215</f>
        <v>1442</v>
      </c>
      <c r="EE215" s="76">
        <f>+ED218</f>
        <v>1349</v>
      </c>
      <c r="EF215" s="76">
        <f>+EE218</f>
        <v>1327</v>
      </c>
      <c r="EG215" s="76">
        <f>+EF218</f>
        <v>1297</v>
      </c>
      <c r="EH215" s="76">
        <f>+EG218</f>
        <v>1251.3490272095332</v>
      </c>
      <c r="EI215" s="85">
        <f>+EE215</f>
        <v>1349</v>
      </c>
      <c r="EJ215" s="76">
        <f t="shared" ref="EJ215:ES215" si="159">+EI218</f>
        <v>1208.1099882328842</v>
      </c>
      <c r="EK215" s="76">
        <f t="shared" si="159"/>
        <v>1057.4952483105765</v>
      </c>
      <c r="EL215" s="76">
        <f t="shared" si="159"/>
        <v>907.70760308850413</v>
      </c>
      <c r="EM215" s="76">
        <f t="shared" si="159"/>
        <v>760.78755864251843</v>
      </c>
      <c r="EN215" s="76">
        <f t="shared" si="159"/>
        <v>621.75702022913447</v>
      </c>
      <c r="EO215" s="76">
        <f t="shared" si="159"/>
        <v>497.77509060820006</v>
      </c>
      <c r="EP215" s="76">
        <f t="shared" si="159"/>
        <v>395.52584243708043</v>
      </c>
      <c r="EQ215" s="76">
        <f t="shared" si="159"/>
        <v>314.59131998127873</v>
      </c>
      <c r="ER215" s="76">
        <f t="shared" si="159"/>
        <v>250.75785660501785</v>
      </c>
      <c r="ES215" s="76">
        <f t="shared" si="159"/>
        <v>200.54708169087434</v>
      </c>
    </row>
    <row r="216" spans="1:149" x14ac:dyDescent="0.3">
      <c r="A216" s="63" t="s">
        <v>336</v>
      </c>
      <c r="DU216" s="76">
        <f>+DU218-DU217-DU215</f>
        <v>94.097600000000057</v>
      </c>
      <c r="DV216" s="76">
        <f>+DV218-DV217-DV215</f>
        <v>81.47849999999994</v>
      </c>
      <c r="DW216" s="76">
        <f>+DW218-DW217-DW215</f>
        <v>84.500999999999976</v>
      </c>
      <c r="DX216" s="76">
        <f>+DX218-DX217-DX215</f>
        <v>78.9525000000001</v>
      </c>
      <c r="DY216" s="85">
        <f>+SUM(DU216:DX216)</f>
        <v>339.02960000000007</v>
      </c>
      <c r="DZ216" s="76">
        <f>+DZ218-DZ217-DZ215</f>
        <v>79.093599999999924</v>
      </c>
      <c r="EA216" s="76">
        <f>+EA218-EA217-EA215</f>
        <v>68.417099999999891</v>
      </c>
      <c r="EB216" s="76">
        <f>+EB218-EB217-EB215</f>
        <v>68.683299999999917</v>
      </c>
      <c r="EC216" s="76">
        <f>+EC218-EC217-EC215</f>
        <v>49.202800000000025</v>
      </c>
      <c r="ED216" s="85">
        <f>+SUM(DZ216:EC216)</f>
        <v>265.39679999999976</v>
      </c>
      <c r="EE216" s="76">
        <f>+EE218-EE217-EE215</f>
        <v>43.561400000000049</v>
      </c>
      <c r="EF216" s="76">
        <f>+EF218-EF217-EF215</f>
        <v>36.482700000000023</v>
      </c>
      <c r="EG216" s="76">
        <f>+EG221*AVERAGE(EF200:EG200)</f>
        <v>36.060027209533288</v>
      </c>
      <c r="EH216" s="76">
        <f>+EH221*AVERAGE(EG200:EH200)</f>
        <v>35.59594973755145</v>
      </c>
      <c r="EI216" s="85">
        <f>+SUM(EE216:EH216)</f>
        <v>151.70007694708482</v>
      </c>
      <c r="EJ216" s="76">
        <f t="shared" ref="EJ216:ES216" si="160">+EJ221*AVERAGE(EI200:EJ200)</f>
        <v>128.1456851536918</v>
      </c>
      <c r="EK216" s="76">
        <f t="shared" si="160"/>
        <v>101.54001752416337</v>
      </c>
      <c r="EL216" s="76">
        <f t="shared" si="160"/>
        <v>75.280472886691797</v>
      </c>
      <c r="EM216" s="76">
        <f t="shared" si="160"/>
        <v>52.792037701993166</v>
      </c>
      <c r="EN216" s="76">
        <f t="shared" si="160"/>
        <v>37.488960567533191</v>
      </c>
      <c r="EO216" s="76">
        <f t="shared" si="160"/>
        <v>30.901596789933315</v>
      </c>
      <c r="EP216" s="76">
        <f t="shared" si="160"/>
        <v>28.039468311563681</v>
      </c>
      <c r="EQ216" s="76">
        <f t="shared" si="160"/>
        <v>25.441966844772796</v>
      </c>
      <c r="ER216" s="76">
        <f t="shared" si="160"/>
        <v>23.084670735726718</v>
      </c>
      <c r="ES216" s="76">
        <f t="shared" si="160"/>
        <v>20.945407708609402</v>
      </c>
    </row>
    <row r="217" spans="1:149" x14ac:dyDescent="0.3">
      <c r="A217" s="63" t="s">
        <v>337</v>
      </c>
      <c r="DU217" s="76">
        <f>+DU222*DU215*-3</f>
        <v>-113.09760000000001</v>
      </c>
      <c r="DV217" s="76">
        <f>+DV222*DV215*-3</f>
        <v>-123.4785</v>
      </c>
      <c r="DW217" s="76">
        <f>+DW222*DW215*-3</f>
        <v>-132.501</v>
      </c>
      <c r="DX217" s="76">
        <f>+DX222*DX215*-3</f>
        <v>-111.95250000000001</v>
      </c>
      <c r="DY217" s="85">
        <f>+SUM(DU217:DX217)</f>
        <v>-481.02959999999996</v>
      </c>
      <c r="DZ217" s="76">
        <f>+DZ222*DZ215*-3</f>
        <v>-102.0936</v>
      </c>
      <c r="EA217" s="76">
        <f>+EA222*EA215*-3</f>
        <v>-86.417099999999991</v>
      </c>
      <c r="EB217" s="76">
        <f>+EB222*EB215*-3</f>
        <v>-88.683300000000003</v>
      </c>
      <c r="EC217" s="76">
        <f>+EC222*EC215*-3</f>
        <v>-81.202799999999996</v>
      </c>
      <c r="ED217" s="85">
        <f>+SUM(DZ217:EC217)</f>
        <v>-358.39679999999998</v>
      </c>
      <c r="EE217" s="76">
        <f>+EE222*EE215*-3</f>
        <v>-65.561399999999992</v>
      </c>
      <c r="EF217" s="76">
        <f>+EF222*EF215*-3</f>
        <v>-66.482699999999994</v>
      </c>
      <c r="EG217" s="76">
        <f>+EG222*EG215*-3</f>
        <v>-81.711000000000013</v>
      </c>
      <c r="EH217" s="76">
        <f>+EH222*EH215*-3</f>
        <v>-78.834988714200591</v>
      </c>
      <c r="EI217" s="85">
        <f>+SUM(EE217:EH217)</f>
        <v>-292.59008871420059</v>
      </c>
      <c r="EJ217" s="76">
        <f t="shared" ref="EJ217:ES217" si="161">+EJ222*EJ215*-12</f>
        <v>-278.76042507599959</v>
      </c>
      <c r="EK217" s="76">
        <f t="shared" si="161"/>
        <v>-251.32766274623575</v>
      </c>
      <c r="EL217" s="76">
        <f t="shared" si="161"/>
        <v>-222.20051733267741</v>
      </c>
      <c r="EM217" s="76">
        <f t="shared" si="161"/>
        <v>-191.82257611537722</v>
      </c>
      <c r="EN217" s="76">
        <f t="shared" si="161"/>
        <v>-161.47089018846765</v>
      </c>
      <c r="EO217" s="76">
        <f t="shared" si="161"/>
        <v>-133.15084496105294</v>
      </c>
      <c r="EP217" s="76">
        <f t="shared" si="161"/>
        <v>-108.97399076736535</v>
      </c>
      <c r="EQ217" s="76">
        <f t="shared" si="161"/>
        <v>-89.275430221033702</v>
      </c>
      <c r="ER217" s="76">
        <f t="shared" si="161"/>
        <v>-73.295445649870274</v>
      </c>
      <c r="ES217" s="76">
        <f t="shared" si="161"/>
        <v>-60.377623110533541</v>
      </c>
    </row>
    <row r="218" spans="1:149" x14ac:dyDescent="0.3">
      <c r="A218" s="64" t="s">
        <v>4024</v>
      </c>
      <c r="DU218" s="855">
        <f>Inputs!DU366</f>
        <v>1565</v>
      </c>
      <c r="DV218" s="855">
        <f>Inputs!DV366</f>
        <v>1523</v>
      </c>
      <c r="DW218" s="855">
        <f>Inputs!DW366</f>
        <v>1475</v>
      </c>
      <c r="DX218" s="855">
        <f>Inputs!DX366</f>
        <v>1442</v>
      </c>
      <c r="DY218" s="803">
        <f>+DX218</f>
        <v>1442</v>
      </c>
      <c r="DZ218" s="855">
        <f>Inputs!DZ366</f>
        <v>1419</v>
      </c>
      <c r="EA218" s="855">
        <f>Inputs!EA366</f>
        <v>1401</v>
      </c>
      <c r="EB218" s="855">
        <f>Inputs!EB366</f>
        <v>1381</v>
      </c>
      <c r="EC218" s="855">
        <f>Inputs!EC366</f>
        <v>1349</v>
      </c>
      <c r="ED218" s="803">
        <f>+EC218</f>
        <v>1349</v>
      </c>
      <c r="EE218" s="855">
        <f>Inputs!EE366</f>
        <v>1327</v>
      </c>
      <c r="EF218" s="855">
        <f>Inputs!EF366</f>
        <v>1297</v>
      </c>
      <c r="EG218" s="803">
        <f>+SUM(EG215:EG217)</f>
        <v>1251.3490272095332</v>
      </c>
      <c r="EH218" s="803">
        <f>+SUM(EH215:EH217)</f>
        <v>1208.1099882328842</v>
      </c>
      <c r="EI218" s="803">
        <f>+EH218</f>
        <v>1208.1099882328842</v>
      </c>
      <c r="EJ218" s="803">
        <f t="shared" ref="EJ218:ES218" si="162">+SUM(EJ215:EJ217)</f>
        <v>1057.4952483105765</v>
      </c>
      <c r="EK218" s="803">
        <f t="shared" si="162"/>
        <v>907.70760308850413</v>
      </c>
      <c r="EL218" s="803">
        <f t="shared" si="162"/>
        <v>760.78755864251843</v>
      </c>
      <c r="EM218" s="803">
        <f t="shared" si="162"/>
        <v>621.75702022913447</v>
      </c>
      <c r="EN218" s="803">
        <f t="shared" si="162"/>
        <v>497.77509060820006</v>
      </c>
      <c r="EO218" s="803">
        <f t="shared" si="162"/>
        <v>395.52584243708043</v>
      </c>
      <c r="EP218" s="803">
        <f t="shared" si="162"/>
        <v>314.59131998127873</v>
      </c>
      <c r="EQ218" s="803">
        <f t="shared" si="162"/>
        <v>250.75785660501785</v>
      </c>
      <c r="ER218" s="803">
        <f t="shared" si="162"/>
        <v>200.54708169087434</v>
      </c>
      <c r="ES218" s="803">
        <f t="shared" si="162"/>
        <v>161.1148662889502</v>
      </c>
    </row>
    <row r="219" spans="1:149" x14ac:dyDescent="0.3">
      <c r="A219" s="61" t="s">
        <v>339</v>
      </c>
      <c r="DZ219" s="75">
        <f t="shared" ref="DZ219:EI219" si="163">+IFERROR(DZ218/DU218-1,"")</f>
        <v>-9.3290734824281185E-2</v>
      </c>
      <c r="EA219" s="75">
        <f t="shared" si="163"/>
        <v>-8.010505581089955E-2</v>
      </c>
      <c r="EB219" s="75">
        <f t="shared" si="163"/>
        <v>-6.3728813559322028E-2</v>
      </c>
      <c r="EC219" s="75">
        <f t="shared" si="163"/>
        <v>-6.4493758668515921E-2</v>
      </c>
      <c r="ED219" s="84">
        <f t="shared" si="163"/>
        <v>-6.4493758668515921E-2</v>
      </c>
      <c r="EE219" s="75">
        <f t="shared" si="163"/>
        <v>-6.4834390415785759E-2</v>
      </c>
      <c r="EF219" s="75">
        <f t="shared" si="163"/>
        <v>-7.4232690935046364E-2</v>
      </c>
      <c r="EG219" s="75">
        <f t="shared" si="163"/>
        <v>-9.3881949884479954E-2</v>
      </c>
      <c r="EH219" s="75">
        <f t="shared" si="163"/>
        <v>-0.10444033489037496</v>
      </c>
      <c r="EI219" s="84">
        <f t="shared" si="163"/>
        <v>-0.10444033489037496</v>
      </c>
      <c r="EJ219" s="75">
        <f t="shared" ref="EJ219:ES219" si="164">+IFERROR(EJ218/EI218-1,"")</f>
        <v>-0.12466972493341733</v>
      </c>
      <c r="EK219" s="75">
        <f t="shared" si="164"/>
        <v>-0.14164379978195529</v>
      </c>
      <c r="EL219" s="75">
        <f t="shared" si="164"/>
        <v>-0.16185833846283271</v>
      </c>
      <c r="EM219" s="75">
        <f t="shared" si="164"/>
        <v>-0.18274554681395905</v>
      </c>
      <c r="EN219" s="75">
        <f t="shared" si="164"/>
        <v>-0.19940575753409862</v>
      </c>
      <c r="EO219" s="75">
        <f t="shared" si="164"/>
        <v>-0.20541254494311423</v>
      </c>
      <c r="EP219" s="75">
        <f t="shared" si="164"/>
        <v>-0.20462511869544053</v>
      </c>
      <c r="EQ219" s="75">
        <f t="shared" si="164"/>
        <v>-0.2029091692042222</v>
      </c>
      <c r="ER219" s="75">
        <f t="shared" si="164"/>
        <v>-0.20023609865685366</v>
      </c>
      <c r="ES219" s="75">
        <f t="shared" si="164"/>
        <v>-0.19662323215804967</v>
      </c>
    </row>
    <row r="220" spans="1:149" x14ac:dyDescent="0.3">
      <c r="A220" s="65" t="s">
        <v>340</v>
      </c>
      <c r="DU220" s="80">
        <f>+Inputs!DU587</f>
        <v>-19</v>
      </c>
      <c r="DV220" s="503">
        <f>+DV218-DU218</f>
        <v>-42</v>
      </c>
      <c r="DW220" s="503">
        <f>+DW218-DV218</f>
        <v>-48</v>
      </c>
      <c r="DX220" s="503">
        <f>+DX218-DW218</f>
        <v>-33</v>
      </c>
      <c r="DY220" s="86">
        <f>+SUM(DU220:DX220)</f>
        <v>-142</v>
      </c>
      <c r="DZ220" s="503">
        <f>+DZ218-DY218</f>
        <v>-23</v>
      </c>
      <c r="EA220" s="503">
        <f>+EA218-DZ218</f>
        <v>-18</v>
      </c>
      <c r="EB220" s="503">
        <f>+EB218-EA218</f>
        <v>-20</v>
      </c>
      <c r="EC220" s="503">
        <f>+EC218-EB218</f>
        <v>-32</v>
      </c>
      <c r="ED220" s="86">
        <f>+SUM(DZ220:EC220)</f>
        <v>-93</v>
      </c>
      <c r="EE220" s="503">
        <f>+EE218-ED218</f>
        <v>-22</v>
      </c>
      <c r="EF220" s="503">
        <f>+EF218-EE218</f>
        <v>-30</v>
      </c>
      <c r="EG220" s="503">
        <f>+EG218-EF218</f>
        <v>-45.650972790466767</v>
      </c>
      <c r="EH220" s="503">
        <f>+EH218-EG218</f>
        <v>-43.239038976648999</v>
      </c>
      <c r="EI220" s="86">
        <f>+SUM(EE220:EH220)</f>
        <v>-140.89001176711577</v>
      </c>
      <c r="EJ220" s="503">
        <f t="shared" ref="EJ220:ES220" si="165">+EJ218-EI218</f>
        <v>-150.61473992230776</v>
      </c>
      <c r="EK220" s="503">
        <f t="shared" si="165"/>
        <v>-149.78764522207234</v>
      </c>
      <c r="EL220" s="503">
        <f t="shared" si="165"/>
        <v>-146.9200444459857</v>
      </c>
      <c r="EM220" s="503">
        <f t="shared" si="165"/>
        <v>-139.03053841338397</v>
      </c>
      <c r="EN220" s="503">
        <f t="shared" si="165"/>
        <v>-123.98192962093441</v>
      </c>
      <c r="EO220" s="503">
        <f t="shared" si="165"/>
        <v>-102.24924817111963</v>
      </c>
      <c r="EP220" s="503">
        <f t="shared" si="165"/>
        <v>-80.934522455801698</v>
      </c>
      <c r="EQ220" s="503">
        <f t="shared" si="165"/>
        <v>-63.83346337626088</v>
      </c>
      <c r="ER220" s="503">
        <f t="shared" si="165"/>
        <v>-50.210774914143514</v>
      </c>
      <c r="ES220" s="503">
        <f t="shared" si="165"/>
        <v>-39.43221540192414</v>
      </c>
    </row>
    <row r="221" spans="1:149" x14ac:dyDescent="0.3">
      <c r="A221" s="65" t="s">
        <v>341</v>
      </c>
      <c r="DU221" s="75">
        <f>+DU216/AVERAGE(DU200)</f>
        <v>8.7200074135854004E-3</v>
      </c>
      <c r="DV221" s="75">
        <f>+DV216/AVERAGE(DU200:DV200)</f>
        <v>7.5505977203224857E-3</v>
      </c>
      <c r="DW221" s="75">
        <f>+DW216/AVERAGE(DV200:DW200)</f>
        <v>7.8306922435362782E-3</v>
      </c>
      <c r="DX221" s="75">
        <f>+DX216/AVERAGE(DW200:DX200)</f>
        <v>7.3165137614678993E-3</v>
      </c>
      <c r="DY221" s="84">
        <f>+DY216/AVERAGE(DU200:DX200)</f>
        <v>3.1417811138912066E-2</v>
      </c>
      <c r="DZ221" s="75">
        <f>+DZ216/AVERAGE(DY200:DZ200)</f>
        <v>7.3295894727087316E-3</v>
      </c>
      <c r="EA221" s="75">
        <f>+EA216/AVERAGE(DZ200:EA200)</f>
        <v>6.3425512190599699E-3</v>
      </c>
      <c r="EB221" s="75">
        <f>+EB216/AVERAGE(EA200:EB200)</f>
        <v>6.3722503131233401E-3</v>
      </c>
      <c r="EC221" s="75">
        <f>+EC216/AVERAGE(EB200:EC200)</f>
        <v>4.579560685033509E-3</v>
      </c>
      <c r="ED221" s="84">
        <f>+ED216/AVERAGE(DZ200:EC200)</f>
        <v>2.4652528911801565E-2</v>
      </c>
      <c r="EE221" s="75">
        <f>+EE216/AVERAGE(ED200:EE200)</f>
        <v>4.0803109778943473E-3</v>
      </c>
      <c r="EF221" s="75">
        <f>+EF216/AVERAGE(EE200:EF200)</f>
        <v>3.450390126259046E-3</v>
      </c>
      <c r="EG221" s="87">
        <f>+EF221</f>
        <v>3.450390126259046E-3</v>
      </c>
      <c r="EH221" s="87">
        <f>+EG221</f>
        <v>3.450390126259046E-3</v>
      </c>
      <c r="EI221" s="84">
        <f>+EI216/AVERAGE(EE200:EH200)</f>
        <v>1.4523702914991367E-2</v>
      </c>
      <c r="EJ221" s="87">
        <f>EI221*0.9</f>
        <v>1.307133262349223E-2</v>
      </c>
      <c r="EK221" s="87">
        <f t="shared" ref="EK221:ES221" si="166">EJ221*0.9</f>
        <v>1.1764199361143007E-2</v>
      </c>
      <c r="EL221" s="87">
        <f t="shared" si="166"/>
        <v>1.0587779425028707E-2</v>
      </c>
      <c r="EM221" s="87">
        <f t="shared" si="166"/>
        <v>9.5290014825258357E-3</v>
      </c>
      <c r="EN221" s="87">
        <f t="shared" si="166"/>
        <v>8.5761013342732523E-3</v>
      </c>
      <c r="EO221" s="87">
        <f t="shared" si="166"/>
        <v>7.7184912008459276E-3</v>
      </c>
      <c r="EP221" s="87">
        <f t="shared" si="166"/>
        <v>6.9466420807613354E-3</v>
      </c>
      <c r="EQ221" s="87">
        <f t="shared" si="166"/>
        <v>6.2519778726852016E-3</v>
      </c>
      <c r="ER221" s="87">
        <f t="shared" si="166"/>
        <v>5.6267800854166812E-3</v>
      </c>
      <c r="ES221" s="87">
        <f t="shared" si="166"/>
        <v>5.0641020768750133E-3</v>
      </c>
    </row>
    <row r="222" spans="1:149" x14ac:dyDescent="0.3">
      <c r="A222" s="65" t="s">
        <v>342</v>
      </c>
      <c r="DU222" s="97">
        <f>Inputs!DU417</f>
        <v>2.3800000000000002E-2</v>
      </c>
      <c r="DV222" s="97">
        <f>Inputs!DV417</f>
        <v>2.63E-2</v>
      </c>
      <c r="DW222" s="97">
        <f>Inputs!DW417</f>
        <v>2.9000000000000001E-2</v>
      </c>
      <c r="DX222" s="97">
        <f>Inputs!DX417</f>
        <v>2.53E-2</v>
      </c>
      <c r="DY222" s="84">
        <f>+DX222</f>
        <v>2.53E-2</v>
      </c>
      <c r="DZ222" s="97">
        <f>Inputs!DZ417</f>
        <v>2.3599999999999999E-2</v>
      </c>
      <c r="EA222" s="97">
        <f>Inputs!EA417</f>
        <v>2.0299999999999999E-2</v>
      </c>
      <c r="EB222" s="97">
        <f>Inputs!EB417</f>
        <v>2.1100000000000001E-2</v>
      </c>
      <c r="EC222" s="97">
        <f>Inputs!EC417</f>
        <v>1.9599999999999999E-2</v>
      </c>
      <c r="ED222" s="84">
        <f>+EC222</f>
        <v>1.9599999999999999E-2</v>
      </c>
      <c r="EE222" s="97">
        <f>Inputs!EE417</f>
        <v>1.6199999999999999E-2</v>
      </c>
      <c r="EF222" s="97">
        <f>Inputs!EF417</f>
        <v>1.67E-2</v>
      </c>
      <c r="EG222" s="376">
        <v>2.1000000000000001E-2</v>
      </c>
      <c r="EH222" s="376">
        <f>+EG222</f>
        <v>2.1000000000000001E-2</v>
      </c>
      <c r="EI222" s="91">
        <f>+EI217/AVERAGE(EE215:EH215)/-12</f>
        <v>1.866836022314796E-2</v>
      </c>
      <c r="EJ222" s="376">
        <f>+EI222*1.03</f>
        <v>1.92284110298424E-2</v>
      </c>
      <c r="EK222" s="376">
        <f t="shared" ref="EK222:ES222" si="167">+EJ222*1.03</f>
        <v>1.9805263360737672E-2</v>
      </c>
      <c r="EL222" s="376">
        <f t="shared" si="167"/>
        <v>2.0399421261559803E-2</v>
      </c>
      <c r="EM222" s="376">
        <f t="shared" si="167"/>
        <v>2.1011403899406596E-2</v>
      </c>
      <c r="EN222" s="376">
        <f t="shared" si="167"/>
        <v>2.1641746016388793E-2</v>
      </c>
      <c r="EO222" s="376">
        <f t="shared" si="167"/>
        <v>2.2290998396880458E-2</v>
      </c>
      <c r="EP222" s="376">
        <f t="shared" si="167"/>
        <v>2.2959728348786873E-2</v>
      </c>
      <c r="EQ222" s="376">
        <f t="shared" si="167"/>
        <v>2.364852019925048E-2</v>
      </c>
      <c r="ER222" s="376">
        <f t="shared" si="167"/>
        <v>2.4357975805227996E-2</v>
      </c>
      <c r="ES222" s="376">
        <f t="shared" si="167"/>
        <v>2.5088715079384837E-2</v>
      </c>
    </row>
    <row r="223" spans="1:149" x14ac:dyDescent="0.3">
      <c r="A223" s="65" t="s">
        <v>210</v>
      </c>
      <c r="DU223" s="75">
        <f t="shared" ref="DU223:ES223" si="168">+DU218/DU200</f>
        <v>0.14502826429431934</v>
      </c>
      <c r="DV223" s="75">
        <f t="shared" si="168"/>
        <v>0.14113613196182004</v>
      </c>
      <c r="DW223" s="75">
        <f t="shared" si="168"/>
        <v>0.13668798072467797</v>
      </c>
      <c r="DX223" s="75">
        <f t="shared" si="168"/>
        <v>0.13362987674914281</v>
      </c>
      <c r="DY223" s="84">
        <f t="shared" si="168"/>
        <v>0.13362987674914281</v>
      </c>
      <c r="DZ223" s="75">
        <f t="shared" si="168"/>
        <v>0.13149847094801223</v>
      </c>
      <c r="EA223" s="75">
        <f t="shared" si="168"/>
        <v>0.12992673652972273</v>
      </c>
      <c r="EB223" s="75">
        <f t="shared" si="168"/>
        <v>0.12817894932244292</v>
      </c>
      <c r="EC223" s="75">
        <f t="shared" si="168"/>
        <v>0.12591002426731379</v>
      </c>
      <c r="ED223" s="84">
        <f t="shared" si="168"/>
        <v>0.12591002426731379</v>
      </c>
      <c r="EE223" s="75">
        <f t="shared" si="168"/>
        <v>0.12474149276179733</v>
      </c>
      <c r="EF223" s="75">
        <f t="shared" si="168"/>
        <v>0.12341802264725474</v>
      </c>
      <c r="EG223" s="75">
        <f t="shared" si="168"/>
        <v>0.12040306236981942</v>
      </c>
      <c r="EH223" s="75">
        <f t="shared" si="168"/>
        <v>0.11797949103836762</v>
      </c>
      <c r="EI223" s="84">
        <f t="shared" si="168"/>
        <v>0.11797949103836762</v>
      </c>
      <c r="EJ223" s="75">
        <f t="shared" si="168"/>
        <v>0.11289421591605041</v>
      </c>
      <c r="EK223" s="75">
        <f t="shared" si="168"/>
        <v>0.11496646145956836</v>
      </c>
      <c r="EL223" s="75">
        <f t="shared" si="168"/>
        <v>0.12028556727699549</v>
      </c>
      <c r="EM223" s="75">
        <f t="shared" si="168"/>
        <v>0.13074640637576126</v>
      </c>
      <c r="EN223" s="75">
        <f t="shared" si="168"/>
        <v>0.12484278571385055</v>
      </c>
      <c r="EO223" s="75">
        <f t="shared" si="168"/>
        <v>9.8390872837668161E-2</v>
      </c>
      <c r="EP223" s="75">
        <f t="shared" si="168"/>
        <v>7.7621906835949342E-2</v>
      </c>
      <c r="EQ223" s="75">
        <f t="shared" si="168"/>
        <v>6.1370218341425184E-2</v>
      </c>
      <c r="ER223" s="75">
        <f t="shared" si="168"/>
        <v>4.8684745136109653E-2</v>
      </c>
      <c r="ES223" s="75">
        <f t="shared" si="168"/>
        <v>3.8796580926176757E-2</v>
      </c>
    </row>
    <row r="224" spans="1:149" x14ac:dyDescent="0.3">
      <c r="A224" s="65"/>
    </row>
    <row r="225" spans="1:154" x14ac:dyDescent="0.3">
      <c r="A225" s="78" t="s">
        <v>343</v>
      </c>
    </row>
    <row r="226" spans="1:154" x14ac:dyDescent="0.3">
      <c r="A226" s="63" t="s">
        <v>344</v>
      </c>
      <c r="DU226" s="76">
        <v>0</v>
      </c>
      <c r="DV226" s="76">
        <f>+DU229</f>
        <v>0</v>
      </c>
      <c r="DW226" s="76">
        <f>+DV229</f>
        <v>0</v>
      </c>
      <c r="DX226" s="76">
        <f>+DW229</f>
        <v>0</v>
      </c>
      <c r="DY226" s="85">
        <f>+DU226</f>
        <v>0</v>
      </c>
      <c r="DZ226" s="76">
        <f>+DY229</f>
        <v>0</v>
      </c>
      <c r="EA226" s="76">
        <f>+DZ229</f>
        <v>0.10674418604651165</v>
      </c>
      <c r="EB226" s="76">
        <f>+EA229</f>
        <v>0.19688846511627905</v>
      </c>
      <c r="EC226" s="76">
        <f>+EB229</f>
        <v>0.29680059627906979</v>
      </c>
      <c r="ED226" s="85">
        <f>+DZ226</f>
        <v>0</v>
      </c>
      <c r="EE226" s="76">
        <f>+ED229</f>
        <v>0.99614826354418617</v>
      </c>
      <c r="EF226" s="76">
        <f>+EE229</f>
        <v>1.4696409198252092</v>
      </c>
      <c r="EG226" s="76">
        <f>+EF229</f>
        <v>2.7026592370409404</v>
      </c>
      <c r="EH226" s="76">
        <f>+EG229</f>
        <v>4.6917398457072554</v>
      </c>
      <c r="EI226" s="85">
        <f>+EE226</f>
        <v>0.99614826354418617</v>
      </c>
      <c r="EJ226" s="76">
        <f t="shared" ref="EJ226:ES226" si="169">+EI229</f>
        <v>7.4470962847936031</v>
      </c>
      <c r="EK226" s="76">
        <f t="shared" si="169"/>
        <v>28.53352837760772</v>
      </c>
      <c r="EL226" s="76">
        <f t="shared" si="169"/>
        <v>68.165991925516906</v>
      </c>
      <c r="EM226" s="76">
        <f t="shared" si="169"/>
        <v>124.52210394406592</v>
      </c>
      <c r="EN226" s="76">
        <f t="shared" si="169"/>
        <v>191.53716083171096</v>
      </c>
      <c r="EO226" s="76">
        <f t="shared" si="169"/>
        <v>243.0095267569892</v>
      </c>
      <c r="EP226" s="76">
        <f t="shared" si="169"/>
        <v>265.10707119961535</v>
      </c>
      <c r="EQ226" s="76">
        <f t="shared" si="169"/>
        <v>263.33662663255262</v>
      </c>
      <c r="ER226" s="76">
        <f t="shared" si="169"/>
        <v>240.76700542028775</v>
      </c>
      <c r="ES226" s="76">
        <f t="shared" si="169"/>
        <v>204.08972531503147</v>
      </c>
    </row>
    <row r="227" spans="1:154" x14ac:dyDescent="0.3">
      <c r="A227" s="63" t="s">
        <v>336</v>
      </c>
      <c r="DU227" s="76">
        <f>+DU229-DU228-DU226</f>
        <v>0</v>
      </c>
      <c r="DV227" s="76">
        <f>+DV229-DV228-DV226</f>
        <v>0</v>
      </c>
      <c r="DW227" s="76">
        <f>+DW229-DW228-DW226</f>
        <v>0</v>
      </c>
      <c r="DX227" s="76">
        <f>+DX229-DX228-DX226</f>
        <v>0</v>
      </c>
      <c r="DY227" s="85">
        <f>+SUM(DU227:DX227)</f>
        <v>0</v>
      </c>
      <c r="DZ227" s="76">
        <f>DZ232*DZ206</f>
        <v>0.10674418604651165</v>
      </c>
      <c r="EA227" s="76">
        <f>EA232*EA206</f>
        <v>9.9751255813953443E-2</v>
      </c>
      <c r="EB227" s="76">
        <f>EB232*EB206</f>
        <v>0.11763209302325582</v>
      </c>
      <c r="EC227" s="76">
        <f>EC232*EC206</f>
        <v>0.72605972093023263</v>
      </c>
      <c r="ED227" s="85">
        <f>+SUM(DZ227:EC227)</f>
        <v>1.0501872558139536</v>
      </c>
      <c r="EE227" s="76">
        <f>EE232*EE206</f>
        <v>0.56314599999999992</v>
      </c>
      <c r="EF227" s="76">
        <f t="shared" ref="EF227:ES227" si="170">EF232*EF206</f>
        <v>1.3652860000000002</v>
      </c>
      <c r="EG227" s="76">
        <f t="shared" si="170"/>
        <v>2.2323199399999996</v>
      </c>
      <c r="EH227" s="76">
        <f t="shared" si="170"/>
        <v>3.1776130252000003</v>
      </c>
      <c r="EI227" s="85">
        <f>+SUM(EE227:EH227)</f>
        <v>7.3383649652000003</v>
      </c>
      <c r="EJ227" s="76">
        <f t="shared" si="170"/>
        <v>23.767386755339814</v>
      </c>
      <c r="EK227" s="76">
        <f t="shared" si="170"/>
        <v>49.904533763847972</v>
      </c>
      <c r="EL227" s="76">
        <f t="shared" si="170"/>
        <v>80.895869111735109</v>
      </c>
      <c r="EM227" s="76">
        <f t="shared" si="170"/>
        <v>111.84301430750878</v>
      </c>
      <c r="EN227" s="76">
        <f t="shared" si="170"/>
        <v>120.42574382469417</v>
      </c>
      <c r="EO227" s="76">
        <f t="shared" si="170"/>
        <v>109.58097407514225</v>
      </c>
      <c r="EP227" s="76">
        <f t="shared" si="170"/>
        <v>93.668101064798805</v>
      </c>
      <c r="EQ227" s="76">
        <f t="shared" si="170"/>
        <v>72.231564375454042</v>
      </c>
      <c r="ER227" s="76">
        <f t="shared" si="170"/>
        <v>49.998841846047348</v>
      </c>
      <c r="ES227" s="76">
        <f t="shared" si="170"/>
        <v>32.057454002645322</v>
      </c>
    </row>
    <row r="228" spans="1:154" x14ac:dyDescent="0.3">
      <c r="A228" s="63" t="s">
        <v>337</v>
      </c>
      <c r="DU228" s="104">
        <f>+DU233*DU226*-3</f>
        <v>0</v>
      </c>
      <c r="DV228" s="104">
        <f>+DV233*DV226*-3</f>
        <v>0</v>
      </c>
      <c r="DW228" s="104">
        <f>+DW233*DW226*-3</f>
        <v>0</v>
      </c>
      <c r="DX228" s="104">
        <f>+DX233*DX226*-3</f>
        <v>0</v>
      </c>
      <c r="DY228" s="100">
        <f>+SUM(DU228:DX228)</f>
        <v>0</v>
      </c>
      <c r="DZ228" s="104">
        <f>+DZ233*DZ226*-3</f>
        <v>0</v>
      </c>
      <c r="EA228" s="104">
        <f>+EA233*EA226*-3</f>
        <v>-9.6069767441860476E-3</v>
      </c>
      <c r="EB228" s="104">
        <f>+EB233*EB226*-3</f>
        <v>-1.7719961860465115E-2</v>
      </c>
      <c r="EC228" s="104">
        <f>+EC233*EC226*-3</f>
        <v>-2.6712053665116281E-2</v>
      </c>
      <c r="ED228" s="85">
        <f>+SUM(DZ228:EC228)</f>
        <v>-5.4038992269767445E-2</v>
      </c>
      <c r="EE228" s="104">
        <f>+EE233*EE226*-3</f>
        <v>-8.9653343718976763E-2</v>
      </c>
      <c r="EF228" s="104">
        <f>+EF233*EF226*-3</f>
        <v>-0.13226768278426881</v>
      </c>
      <c r="EG228" s="104">
        <f>+EG233*EG226*-3</f>
        <v>-0.24323933133368464</v>
      </c>
      <c r="EH228" s="104">
        <f>+EH233*EH226*-3</f>
        <v>-0.42225658611365302</v>
      </c>
      <c r="EI228" s="85">
        <f>+SUM(EE228:EH228)</f>
        <v>-0.88741694395058324</v>
      </c>
      <c r="EJ228" s="104">
        <f>+EJ233*EJ226*-12</f>
        <v>-2.6809546625256973</v>
      </c>
      <c r="EK228" s="104">
        <f t="shared" ref="EK228:ES228" si="171">+EK233*EK226*-12</f>
        <v>-10.272070215938781</v>
      </c>
      <c r="EL228" s="104">
        <f t="shared" si="171"/>
        <v>-24.53975709318609</v>
      </c>
      <c r="EM228" s="104">
        <f t="shared" si="171"/>
        <v>-44.827957419863736</v>
      </c>
      <c r="EN228" s="104">
        <f t="shared" si="171"/>
        <v>-68.953377899415955</v>
      </c>
      <c r="EO228" s="104">
        <f t="shared" si="171"/>
        <v>-87.48342963251612</v>
      </c>
      <c r="EP228" s="104">
        <f t="shared" si="171"/>
        <v>-95.43854563186153</v>
      </c>
      <c r="EQ228" s="104">
        <f t="shared" si="171"/>
        <v>-94.801185587718948</v>
      </c>
      <c r="ER228" s="104">
        <f t="shared" si="171"/>
        <v>-86.6761219513036</v>
      </c>
      <c r="ES228" s="104">
        <f t="shared" si="171"/>
        <v>-73.472301113411334</v>
      </c>
    </row>
    <row r="229" spans="1:154" x14ac:dyDescent="0.3">
      <c r="A229" s="64" t="s">
        <v>4000</v>
      </c>
      <c r="DU229" s="471">
        <v>0</v>
      </c>
      <c r="DV229" s="471">
        <v>0</v>
      </c>
      <c r="DW229" s="471">
        <v>0</v>
      </c>
      <c r="DX229" s="471">
        <v>0</v>
      </c>
      <c r="DY229" s="85">
        <f>+DX229</f>
        <v>0</v>
      </c>
      <c r="DZ229" s="132">
        <f>SUM(DZ226:DZ228)</f>
        <v>0.10674418604651165</v>
      </c>
      <c r="EA229" s="132">
        <f>SUM(EA226:EA228)</f>
        <v>0.19688846511627905</v>
      </c>
      <c r="EB229" s="132">
        <f>SUM(EB226:EB228)</f>
        <v>0.29680059627906979</v>
      </c>
      <c r="EC229" s="132">
        <f>SUM(EC226:EC228)</f>
        <v>0.99614826354418617</v>
      </c>
      <c r="ED229" s="803">
        <f>+EC229</f>
        <v>0.99614826354418617</v>
      </c>
      <c r="EE229" s="132">
        <f>SUM(EE226:EE228)</f>
        <v>1.4696409198252092</v>
      </c>
      <c r="EF229" s="132">
        <f>SUM(EF226:EF228)</f>
        <v>2.7026592370409404</v>
      </c>
      <c r="EG229" s="132">
        <f>SUM(EG226:EG228)</f>
        <v>4.6917398457072554</v>
      </c>
      <c r="EH229" s="132">
        <f>SUM(EH226:EH228)</f>
        <v>7.4470962847936031</v>
      </c>
      <c r="EI229" s="803">
        <f>+EH229</f>
        <v>7.4470962847936031</v>
      </c>
      <c r="EJ229" s="76">
        <f>+SUM(EJ226:EJ228)</f>
        <v>28.53352837760772</v>
      </c>
      <c r="EK229" s="76">
        <f t="shared" ref="EK229:ES229" si="172">+SUM(EK226:EK228)</f>
        <v>68.165991925516906</v>
      </c>
      <c r="EL229" s="76">
        <f t="shared" si="172"/>
        <v>124.52210394406592</v>
      </c>
      <c r="EM229" s="76">
        <f t="shared" si="172"/>
        <v>191.53716083171096</v>
      </c>
      <c r="EN229" s="76">
        <f t="shared" si="172"/>
        <v>243.0095267569892</v>
      </c>
      <c r="EO229" s="76">
        <f t="shared" si="172"/>
        <v>265.10707119961535</v>
      </c>
      <c r="EP229" s="76">
        <f t="shared" si="172"/>
        <v>263.33662663255262</v>
      </c>
      <c r="EQ229" s="76">
        <f t="shared" si="172"/>
        <v>240.76700542028775</v>
      </c>
      <c r="ER229" s="76">
        <f t="shared" si="172"/>
        <v>204.08972531503147</v>
      </c>
      <c r="ES229" s="76">
        <f t="shared" si="172"/>
        <v>162.67487820426547</v>
      </c>
    </row>
    <row r="230" spans="1:154" x14ac:dyDescent="0.3">
      <c r="A230" s="61" t="s">
        <v>339</v>
      </c>
      <c r="DZ230" s="75" t="str">
        <f t="shared" ref="DZ230:EI230" si="173">+IFERROR(DZ229/DU229-1,"")</f>
        <v/>
      </c>
      <c r="EA230" s="75" t="str">
        <f t="shared" si="173"/>
        <v/>
      </c>
      <c r="EB230" s="75" t="str">
        <f t="shared" si="173"/>
        <v/>
      </c>
      <c r="EC230" s="75" t="str">
        <f t="shared" si="173"/>
        <v/>
      </c>
      <c r="ED230" s="84" t="str">
        <f t="shared" si="173"/>
        <v/>
      </c>
      <c r="EE230" s="75">
        <f t="shared" si="173"/>
        <v>12.767877898144659</v>
      </c>
      <c r="EF230" s="75">
        <f t="shared" si="173"/>
        <v>12.726854112275165</v>
      </c>
      <c r="EG230" s="75">
        <f t="shared" si="173"/>
        <v>14.807717048168593</v>
      </c>
      <c r="EH230" s="75">
        <f t="shared" si="173"/>
        <v>6.4758914484252097</v>
      </c>
      <c r="EI230" s="84">
        <f t="shared" si="173"/>
        <v>6.4758914484252097</v>
      </c>
      <c r="EJ230" s="75">
        <f t="shared" ref="EJ230:ES230" si="174">+IFERROR(EJ229/EI229-1,"")</f>
        <v>2.8314971750628479</v>
      </c>
      <c r="EK230" s="75">
        <f t="shared" si="174"/>
        <v>1.3889787138632173</v>
      </c>
      <c r="EL230" s="75">
        <f t="shared" si="174"/>
        <v>0.82674821309910329</v>
      </c>
      <c r="EM230" s="75">
        <f t="shared" si="174"/>
        <v>0.53817800025084339</v>
      </c>
      <c r="EN230" s="75">
        <f t="shared" si="174"/>
        <v>0.26873305264508462</v>
      </c>
      <c r="EO230" s="75">
        <f t="shared" si="174"/>
        <v>9.0932831883269394E-2</v>
      </c>
      <c r="EP230" s="75">
        <f t="shared" si="174"/>
        <v>-6.6782246095942188E-3</v>
      </c>
      <c r="EQ230" s="75">
        <f t="shared" si="174"/>
        <v>-8.5706350464333392E-2</v>
      </c>
      <c r="ER230" s="75">
        <f t="shared" si="174"/>
        <v>-0.1523351592184804</v>
      </c>
      <c r="ES230" s="75">
        <f t="shared" si="174"/>
        <v>-0.20292470405768015</v>
      </c>
    </row>
    <row r="231" spans="1:154" x14ac:dyDescent="0.3">
      <c r="A231" s="65" t="s">
        <v>340</v>
      </c>
      <c r="DU231" s="96">
        <v>0</v>
      </c>
      <c r="DV231" s="96">
        <v>0</v>
      </c>
      <c r="DW231" s="96">
        <v>0</v>
      </c>
      <c r="DX231" s="96">
        <v>0</v>
      </c>
      <c r="DY231" s="86">
        <f>+SUM(DU231:DX231)</f>
        <v>0</v>
      </c>
      <c r="DZ231" s="77">
        <f>+DZ229-DY229</f>
        <v>0.10674418604651165</v>
      </c>
      <c r="EA231" s="77">
        <f>+EA229-DZ229</f>
        <v>9.0144279069767408E-2</v>
      </c>
      <c r="EB231" s="77">
        <f>+EB229-EA229</f>
        <v>9.991213116279074E-2</v>
      </c>
      <c r="EC231" s="77">
        <f>+EC229-EB229</f>
        <v>0.69934766726511643</v>
      </c>
      <c r="ED231" s="86">
        <f>+SUM(DZ231:EC231)</f>
        <v>0.99614826354418629</v>
      </c>
      <c r="EE231" s="77">
        <f>+EE229-ED229</f>
        <v>0.47349265628102299</v>
      </c>
      <c r="EF231" s="77">
        <f>+EF229-EE229</f>
        <v>1.2330183172157312</v>
      </c>
      <c r="EG231" s="77">
        <f>+EG229-EF229</f>
        <v>1.9890806086663151</v>
      </c>
      <c r="EH231" s="77">
        <f>+EH229-EG229</f>
        <v>2.7553564390863476</v>
      </c>
      <c r="EI231" s="86">
        <f>+SUM(EE231:EH231)</f>
        <v>6.4509480212494168</v>
      </c>
      <c r="EJ231" s="77">
        <f t="shared" ref="EJ231:ES231" si="175">+EJ229-EI229</f>
        <v>21.086432092814118</v>
      </c>
      <c r="EK231" s="77">
        <f t="shared" si="175"/>
        <v>39.632463547909182</v>
      </c>
      <c r="EL231" s="77">
        <f t="shared" si="175"/>
        <v>56.356112018549013</v>
      </c>
      <c r="EM231" s="77">
        <f t="shared" si="175"/>
        <v>67.015056887645045</v>
      </c>
      <c r="EN231" s="77">
        <f t="shared" si="175"/>
        <v>51.47236592527824</v>
      </c>
      <c r="EO231" s="77">
        <f t="shared" si="175"/>
        <v>22.097544442626145</v>
      </c>
      <c r="EP231" s="77">
        <f t="shared" si="175"/>
        <v>-1.7704445670627251</v>
      </c>
      <c r="EQ231" s="77">
        <f t="shared" si="175"/>
        <v>-22.569621212264877</v>
      </c>
      <c r="ER231" s="77">
        <f t="shared" si="175"/>
        <v>-36.677280105256273</v>
      </c>
      <c r="ES231" s="77">
        <f t="shared" si="175"/>
        <v>-41.414847110766004</v>
      </c>
    </row>
    <row r="232" spans="1:154" x14ac:dyDescent="0.3">
      <c r="A232" s="65" t="s">
        <v>4025</v>
      </c>
      <c r="DU232" s="898"/>
      <c r="DV232" s="898"/>
      <c r="DW232" s="898"/>
      <c r="DX232" s="898"/>
      <c r="DY232" s="911"/>
      <c r="DZ232" s="948">
        <v>0.2</v>
      </c>
      <c r="EA232" s="948">
        <f>DZ232</f>
        <v>0.2</v>
      </c>
      <c r="EB232" s="948">
        <f>EA232</f>
        <v>0.2</v>
      </c>
      <c r="EC232" s="948">
        <f>EB232</f>
        <v>0.2</v>
      </c>
      <c r="ED232" s="911">
        <f>ED227/ED206</f>
        <v>0.2</v>
      </c>
      <c r="EE232" s="948">
        <v>0.2</v>
      </c>
      <c r="EF232" s="948">
        <f>EE232</f>
        <v>0.2</v>
      </c>
      <c r="EG232" s="948">
        <f>EF232</f>
        <v>0.2</v>
      </c>
      <c r="EH232" s="948">
        <f>EG232</f>
        <v>0.2</v>
      </c>
      <c r="EI232" s="911">
        <f>EI227/EI206</f>
        <v>0.2</v>
      </c>
      <c r="EJ232" s="898">
        <f>EI232</f>
        <v>0.2</v>
      </c>
      <c r="EK232" s="898">
        <f t="shared" ref="EK232:ES232" si="176">EJ232</f>
        <v>0.2</v>
      </c>
      <c r="EL232" s="898">
        <f t="shared" si="176"/>
        <v>0.2</v>
      </c>
      <c r="EM232" s="898">
        <f t="shared" si="176"/>
        <v>0.2</v>
      </c>
      <c r="EN232" s="898">
        <f t="shared" si="176"/>
        <v>0.2</v>
      </c>
      <c r="EO232" s="898">
        <f t="shared" si="176"/>
        <v>0.2</v>
      </c>
      <c r="EP232" s="898">
        <f t="shared" si="176"/>
        <v>0.2</v>
      </c>
      <c r="EQ232" s="898">
        <f t="shared" si="176"/>
        <v>0.2</v>
      </c>
      <c r="ER232" s="898">
        <f t="shared" si="176"/>
        <v>0.2</v>
      </c>
      <c r="ES232" s="898">
        <f t="shared" si="176"/>
        <v>0.2</v>
      </c>
    </row>
    <row r="233" spans="1:154" x14ac:dyDescent="0.3">
      <c r="A233" s="65" t="s">
        <v>342</v>
      </c>
      <c r="DU233" s="376">
        <v>0.03</v>
      </c>
      <c r="DV233" s="376">
        <f>+DU233</f>
        <v>0.03</v>
      </c>
      <c r="DW233" s="376">
        <f>+DV233</f>
        <v>0.03</v>
      </c>
      <c r="DX233" s="376">
        <f>+DW233</f>
        <v>0.03</v>
      </c>
      <c r="DY233" s="91">
        <f>AVERAGE(DU233:DX233)</f>
        <v>0.03</v>
      </c>
      <c r="DZ233" s="376">
        <f>+DY233</f>
        <v>0.03</v>
      </c>
      <c r="EA233" s="376">
        <f>+DZ233</f>
        <v>0.03</v>
      </c>
      <c r="EB233" s="376">
        <f>+EA233</f>
        <v>0.03</v>
      </c>
      <c r="EC233" s="376">
        <f>+EB233</f>
        <v>0.03</v>
      </c>
      <c r="ED233" s="91">
        <f>+ED228/AVERAGE(DZ226:EC226)/-12</f>
        <v>0.03</v>
      </c>
      <c r="EE233" s="376">
        <f>+ED233</f>
        <v>0.03</v>
      </c>
      <c r="EF233" s="376">
        <f>+EE233</f>
        <v>0.03</v>
      </c>
      <c r="EG233" s="376">
        <f>+EF233</f>
        <v>0.03</v>
      </c>
      <c r="EH233" s="376">
        <f>+EG233</f>
        <v>0.03</v>
      </c>
      <c r="EI233" s="91">
        <f>+EI228/AVERAGE(EE226:EH226)/-12</f>
        <v>3.0000000000000002E-2</v>
      </c>
      <c r="EJ233" s="376">
        <f t="shared" ref="EJ233:ES233" si="177">+EI233</f>
        <v>3.0000000000000002E-2</v>
      </c>
      <c r="EK233" s="376">
        <f t="shared" si="177"/>
        <v>3.0000000000000002E-2</v>
      </c>
      <c r="EL233" s="376">
        <f t="shared" si="177"/>
        <v>3.0000000000000002E-2</v>
      </c>
      <c r="EM233" s="376">
        <f t="shared" si="177"/>
        <v>3.0000000000000002E-2</v>
      </c>
      <c r="EN233" s="376">
        <f t="shared" si="177"/>
        <v>3.0000000000000002E-2</v>
      </c>
      <c r="EO233" s="376">
        <f t="shared" si="177"/>
        <v>3.0000000000000002E-2</v>
      </c>
      <c r="EP233" s="376">
        <f t="shared" si="177"/>
        <v>3.0000000000000002E-2</v>
      </c>
      <c r="EQ233" s="376">
        <f t="shared" si="177"/>
        <v>3.0000000000000002E-2</v>
      </c>
      <c r="ER233" s="376">
        <f t="shared" si="177"/>
        <v>3.0000000000000002E-2</v>
      </c>
      <c r="ES233" s="376">
        <f t="shared" si="177"/>
        <v>3.0000000000000002E-2</v>
      </c>
    </row>
    <row r="234" spans="1:154" x14ac:dyDescent="0.3">
      <c r="A234" s="65" t="s">
        <v>347</v>
      </c>
      <c r="DU234" s="75">
        <f t="shared" ref="DU234:ES234" si="178">DU229/DU195</f>
        <v>0</v>
      </c>
      <c r="DV234" s="75">
        <f t="shared" si="178"/>
        <v>0</v>
      </c>
      <c r="DW234" s="75">
        <f t="shared" si="178"/>
        <v>0</v>
      </c>
      <c r="DX234" s="75">
        <f t="shared" si="178"/>
        <v>0</v>
      </c>
      <c r="DY234" s="75">
        <f t="shared" si="178"/>
        <v>0</v>
      </c>
      <c r="DZ234" s="75">
        <f t="shared" si="178"/>
        <v>1.1860465116279072E-2</v>
      </c>
      <c r="EA234" s="75">
        <f t="shared" si="178"/>
        <v>1.1581674418604651E-2</v>
      </c>
      <c r="EB234" s="75">
        <f t="shared" si="178"/>
        <v>1.1415407549194992E-2</v>
      </c>
      <c r="EC234" s="75">
        <f t="shared" si="178"/>
        <v>1.1583119343537049E-2</v>
      </c>
      <c r="ED234" s="75">
        <f t="shared" si="178"/>
        <v>1.1583119343537049E-2</v>
      </c>
      <c r="EE234" s="75">
        <f t="shared" si="178"/>
        <v>7.7349522096063642E-3</v>
      </c>
      <c r="EF234" s="75">
        <f t="shared" si="178"/>
        <v>7.7886433344119318E-3</v>
      </c>
      <c r="EG234" s="75">
        <f t="shared" si="178"/>
        <v>9.1635543861469833E-3</v>
      </c>
      <c r="EH234" s="75">
        <f t="shared" si="178"/>
        <v>1.0855825488037322E-2</v>
      </c>
      <c r="EI234" s="75">
        <f t="shared" si="178"/>
        <v>1.0855825488037322E-2</v>
      </c>
      <c r="EJ234" s="75">
        <f t="shared" si="178"/>
        <v>1.692380093571039E-2</v>
      </c>
      <c r="EK234" s="75">
        <f t="shared" si="178"/>
        <v>2.0744367597540142E-2</v>
      </c>
      <c r="EL234" s="75">
        <f t="shared" si="178"/>
        <v>2.4974348965917752E-2</v>
      </c>
      <c r="EM234" s="75">
        <f t="shared" si="178"/>
        <v>2.8647496385239449E-2</v>
      </c>
      <c r="EN234" s="75">
        <f t="shared" si="178"/>
        <v>3.2033947634720436E-2</v>
      </c>
      <c r="EO234" s="75">
        <f t="shared" si="178"/>
        <v>3.4491170729943725E-2</v>
      </c>
      <c r="EP234" s="75">
        <f t="shared" si="178"/>
        <v>3.3815460863618259E-2</v>
      </c>
      <c r="EQ234" s="75">
        <f t="shared" si="178"/>
        <v>3.0516596848281664E-2</v>
      </c>
      <c r="ER234" s="75">
        <f t="shared" si="178"/>
        <v>2.5533640609043375E-2</v>
      </c>
      <c r="ES234" s="75">
        <f t="shared" si="178"/>
        <v>2.0090080141211383E-2</v>
      </c>
    </row>
    <row r="235" spans="1:154" x14ac:dyDescent="0.3">
      <c r="A235" s="65" t="s">
        <v>348</v>
      </c>
      <c r="DU235" s="75"/>
      <c r="DV235" s="75"/>
      <c r="DW235" s="75"/>
      <c r="DX235" s="75"/>
      <c r="DY235" s="84"/>
      <c r="DZ235" s="75">
        <f t="shared" ref="DZ235:ES235" si="179">DZ229/DZ208</f>
        <v>0.2</v>
      </c>
      <c r="EA235" s="75">
        <f t="shared" si="179"/>
        <v>0.19529882352941177</v>
      </c>
      <c r="EB235" s="75">
        <f t="shared" si="179"/>
        <v>0.19249510769230774</v>
      </c>
      <c r="EC235" s="75">
        <f t="shared" si="179"/>
        <v>0.19532318893023259</v>
      </c>
      <c r="ED235" s="75">
        <f t="shared" si="179"/>
        <v>0.19532318893023259</v>
      </c>
      <c r="EE235" s="75">
        <f t="shared" si="179"/>
        <v>0.19086245712015706</v>
      </c>
      <c r="EF235" s="75">
        <f t="shared" si="179"/>
        <v>0.19069069618577156</v>
      </c>
      <c r="EG235" s="75">
        <f t="shared" si="179"/>
        <v>0.19039961973591163</v>
      </c>
      <c r="EH235" s="75">
        <f t="shared" si="179"/>
        <v>0.18973150897343793</v>
      </c>
      <c r="EI235" s="75">
        <f t="shared" si="179"/>
        <v>0.18973150897343793</v>
      </c>
      <c r="EJ235" s="75">
        <f t="shared" si="179"/>
        <v>0.18280662297800732</v>
      </c>
      <c r="EK235" s="75">
        <f t="shared" si="179"/>
        <v>0.17142288340046646</v>
      </c>
      <c r="EL235" s="75">
        <f t="shared" si="179"/>
        <v>0.1592664988743708</v>
      </c>
      <c r="EM235" s="75">
        <f t="shared" si="179"/>
        <v>0.14720172508066082</v>
      </c>
      <c r="EN235" s="75">
        <f t="shared" si="179"/>
        <v>0.13228921819475109</v>
      </c>
      <c r="EO235" s="75">
        <f t="shared" si="179"/>
        <v>0.11570783450328906</v>
      </c>
      <c r="EP235" s="75">
        <f t="shared" si="179"/>
        <v>9.9648054907051517E-2</v>
      </c>
      <c r="EQ235" s="75">
        <f t="shared" si="179"/>
        <v>8.3918755497935607E-2</v>
      </c>
      <c r="ER235" s="75">
        <f t="shared" si="179"/>
        <v>6.8654168713376054E-2</v>
      </c>
      <c r="ES235" s="75">
        <f t="shared" si="179"/>
        <v>5.4563251561100645E-2</v>
      </c>
    </row>
    <row r="236" spans="1:154" x14ac:dyDescent="0.3">
      <c r="A236" s="66"/>
      <c r="ET236" s="76"/>
      <c r="EU236" s="76"/>
      <c r="EV236" s="76"/>
      <c r="EW236" s="76"/>
      <c r="EX236" s="76"/>
    </row>
    <row r="237" spans="1:154" x14ac:dyDescent="0.3">
      <c r="A237" s="78" t="s">
        <v>4026</v>
      </c>
    </row>
    <row r="238" spans="1:154" x14ac:dyDescent="0.3">
      <c r="A238" s="63" t="s">
        <v>344</v>
      </c>
      <c r="DU238" s="76">
        <v>0</v>
      </c>
      <c r="DV238" s="76">
        <f>+DU241</f>
        <v>179</v>
      </c>
      <c r="DW238" s="76">
        <f>+DV241</f>
        <v>172</v>
      </c>
      <c r="DX238" s="76">
        <f>+DW241</f>
        <v>163</v>
      </c>
      <c r="DY238" s="85">
        <f>+DU238</f>
        <v>0</v>
      </c>
      <c r="DZ238" s="76">
        <f>+DY241</f>
        <v>156</v>
      </c>
      <c r="EA238" s="76">
        <f>+DZ241</f>
        <v>149</v>
      </c>
      <c r="EB238" s="76">
        <f>+EA241</f>
        <v>144</v>
      </c>
      <c r="EC238" s="76">
        <f>+EB241</f>
        <v>139</v>
      </c>
      <c r="ED238" s="85">
        <f>+DZ238</f>
        <v>156</v>
      </c>
      <c r="EE238" s="76">
        <f>+ED241</f>
        <v>134</v>
      </c>
      <c r="EF238" s="76">
        <f>+EE241</f>
        <v>129</v>
      </c>
      <c r="EG238" s="76">
        <f>+EF241</f>
        <v>124.4071940214326</v>
      </c>
      <c r="EH238" s="76">
        <f>+EG241</f>
        <v>120.14644240458733</v>
      </c>
      <c r="EI238" s="85">
        <f>+EE238</f>
        <v>134</v>
      </c>
      <c r="EJ238" s="76">
        <f t="shared" ref="EJ238:ES238" si="180">+EI241</f>
        <v>116.17989635391991</v>
      </c>
      <c r="EK238" s="76">
        <f t="shared" si="180"/>
        <v>100.36997986134635</v>
      </c>
      <c r="EL238" s="76">
        <f t="shared" si="180"/>
        <v>87.140822167092225</v>
      </c>
      <c r="EM238" s="76">
        <f t="shared" si="180"/>
        <v>74.637636444994868</v>
      </c>
      <c r="EN238" s="76">
        <f t="shared" si="180"/>
        <v>62.469469660473528</v>
      </c>
      <c r="EO238" s="76">
        <f t="shared" si="180"/>
        <v>51.580264194956435</v>
      </c>
      <c r="EP238" s="76">
        <f t="shared" si="180"/>
        <v>43.635310066086518</v>
      </c>
      <c r="EQ238" s="76">
        <f t="shared" si="180"/>
        <v>38.637647112711221</v>
      </c>
      <c r="ER238" s="76">
        <f t="shared" si="180"/>
        <v>35.526767179639009</v>
      </c>
      <c r="ES238" s="76">
        <f t="shared" si="180"/>
        <v>33.623947024547007</v>
      </c>
    </row>
    <row r="239" spans="1:154" x14ac:dyDescent="0.3">
      <c r="A239" s="63" t="s">
        <v>336</v>
      </c>
      <c r="DU239" s="76">
        <f>+DU241-DU240-DU238</f>
        <v>179</v>
      </c>
      <c r="DV239" s="76">
        <f t="shared" ref="DV239:EE239" si="181">+DV241-DV240-DV238</f>
        <v>9.1100000000000136</v>
      </c>
      <c r="DW239" s="76">
        <f t="shared" si="181"/>
        <v>6.4799999999999898</v>
      </c>
      <c r="DX239" s="76">
        <f t="shared" si="181"/>
        <v>7.6699999999999875</v>
      </c>
      <c r="DY239" s="85">
        <f>+SUM(DU239:DX239)</f>
        <v>202.26</v>
      </c>
      <c r="DZ239" s="76">
        <f t="shared" si="181"/>
        <v>7.039999999999992</v>
      </c>
      <c r="EA239" s="76">
        <f t="shared" si="181"/>
        <v>8.4099999999999966</v>
      </c>
      <c r="EB239" s="76">
        <f t="shared" si="181"/>
        <v>7.960000000000008</v>
      </c>
      <c r="EC239" s="76">
        <f t="shared" si="181"/>
        <v>7.5099999999999909</v>
      </c>
      <c r="ED239" s="85">
        <f>+SUM(DZ239:EC239)</f>
        <v>30.919999999999987</v>
      </c>
      <c r="EE239" s="76">
        <f t="shared" si="181"/>
        <v>7.0600000000000023</v>
      </c>
      <c r="EF239" s="76">
        <f>EF244*AVERAGE(EE200:EF200)</f>
        <v>7.0171940214326023</v>
      </c>
      <c r="EG239" s="76">
        <f>EG244*AVERAGE(EF200:EG200)</f>
        <v>6.9358958450836647</v>
      </c>
      <c r="EH239" s="76">
        <f>EH244*AVERAGE(EG200:EH200)</f>
        <v>6.8466337657454437</v>
      </c>
      <c r="EI239" s="85">
        <f>+SUM(EE239:EH239)</f>
        <v>27.859723632261712</v>
      </c>
      <c r="EJ239" s="76">
        <f t="shared" ref="EJ239:ES239" si="182">EJ244*AVERAGE(EI200:EJ200)</f>
        <v>26.014846194837599</v>
      </c>
      <c r="EK239" s="76">
        <f t="shared" si="182"/>
        <v>22.904035055830558</v>
      </c>
      <c r="EL239" s="76">
        <f t="shared" si="182"/>
        <v>18.867510258055848</v>
      </c>
      <c r="EM239" s="76">
        <f t="shared" si="182"/>
        <v>14.701382335676813</v>
      </c>
      <c r="EN239" s="76">
        <f t="shared" si="182"/>
        <v>11.599803612253377</v>
      </c>
      <c r="EO239" s="76">
        <f t="shared" si="182"/>
        <v>10.623940981314396</v>
      </c>
      <c r="EP239" s="76">
        <f t="shared" si="182"/>
        <v>10.711048670415849</v>
      </c>
      <c r="EQ239" s="76">
        <f t="shared" si="182"/>
        <v>10.798673027503824</v>
      </c>
      <c r="ER239" s="76">
        <f t="shared" si="182"/>
        <v>10.886816029578041</v>
      </c>
      <c r="ES239" s="76">
        <f t="shared" si="182"/>
        <v>10.975479644701105</v>
      </c>
    </row>
    <row r="240" spans="1:154" x14ac:dyDescent="0.3">
      <c r="A240" s="63" t="s">
        <v>337</v>
      </c>
      <c r="DU240" s="104">
        <f>+DU245*DU238*-3</f>
        <v>0</v>
      </c>
      <c r="DV240" s="104">
        <f>+DV245*DV238*-3</f>
        <v>-16.11</v>
      </c>
      <c r="DW240" s="104">
        <f>+DW245*DW238*-3</f>
        <v>-15.48</v>
      </c>
      <c r="DX240" s="104">
        <f>+DX245*DX238*-3</f>
        <v>-14.669999999999998</v>
      </c>
      <c r="DY240" s="100">
        <f>+SUM(DU240:DX240)</f>
        <v>-46.26</v>
      </c>
      <c r="DZ240" s="104">
        <f>+DZ245*DZ238*-3</f>
        <v>-14.04</v>
      </c>
      <c r="EA240" s="104">
        <f>+EA245*EA238*-3</f>
        <v>-13.41</v>
      </c>
      <c r="EB240" s="104">
        <f>+EB245*EB238*-3</f>
        <v>-12.96</v>
      </c>
      <c r="EC240" s="104">
        <f>+EC245*EC238*-3</f>
        <v>-12.51</v>
      </c>
      <c r="ED240" s="85">
        <f>+SUM(DZ240:EC240)</f>
        <v>-52.919999999999995</v>
      </c>
      <c r="EE240" s="104">
        <f>+EE245*EE238*-3</f>
        <v>-12.059999999999999</v>
      </c>
      <c r="EF240" s="104">
        <f>+EF245*EF238*-3</f>
        <v>-11.61</v>
      </c>
      <c r="EG240" s="104">
        <f>+EG245*EG238*-3</f>
        <v>-11.196647461928935</v>
      </c>
      <c r="EH240" s="104">
        <f>+EH245*EH238*-3</f>
        <v>-10.813179816412859</v>
      </c>
      <c r="EI240" s="85">
        <f>+SUM(EE240:EH240)</f>
        <v>-45.67982727834179</v>
      </c>
      <c r="EJ240" s="104">
        <f>+EJ245*EJ238*-12</f>
        <v>-41.824762687411166</v>
      </c>
      <c r="EK240" s="104">
        <f t="shared" ref="EK240:ES240" si="183">+EK245*EK238*-12</f>
        <v>-36.133192750084689</v>
      </c>
      <c r="EL240" s="104">
        <f t="shared" si="183"/>
        <v>-31.370695980153201</v>
      </c>
      <c r="EM240" s="104">
        <f t="shared" si="183"/>
        <v>-26.869549120198151</v>
      </c>
      <c r="EN240" s="104">
        <f t="shared" si="183"/>
        <v>-22.489009077770469</v>
      </c>
      <c r="EO240" s="104">
        <f t="shared" si="183"/>
        <v>-18.568895110184314</v>
      </c>
      <c r="EP240" s="104">
        <f t="shared" si="183"/>
        <v>-15.708711623791146</v>
      </c>
      <c r="EQ240" s="104">
        <f t="shared" si="183"/>
        <v>-13.90955296057604</v>
      </c>
      <c r="ER240" s="104">
        <f t="shared" si="183"/>
        <v>-12.789636184670043</v>
      </c>
      <c r="ES240" s="104">
        <f t="shared" si="183"/>
        <v>-12.104620928836923</v>
      </c>
    </row>
    <row r="241" spans="1:149" x14ac:dyDescent="0.3">
      <c r="A241" s="64" t="s">
        <v>4027</v>
      </c>
      <c r="DU241" s="471">
        <f>Inputs!DU599</f>
        <v>179</v>
      </c>
      <c r="DV241" s="471">
        <f>Inputs!DV599</f>
        <v>172</v>
      </c>
      <c r="DW241" s="471">
        <f>Inputs!DW599</f>
        <v>163</v>
      </c>
      <c r="DX241" s="471">
        <f>Inputs!DX599</f>
        <v>156</v>
      </c>
      <c r="DY241" s="85">
        <f>+DX241</f>
        <v>156</v>
      </c>
      <c r="DZ241" s="471">
        <f>Inputs!DZ599</f>
        <v>149</v>
      </c>
      <c r="EA241" s="471">
        <f>Inputs!EA599</f>
        <v>144</v>
      </c>
      <c r="EB241" s="471">
        <f>Inputs!EB599</f>
        <v>139</v>
      </c>
      <c r="EC241" s="471">
        <f>Inputs!EC599</f>
        <v>134</v>
      </c>
      <c r="ED241" s="803">
        <f>+EC241</f>
        <v>134</v>
      </c>
      <c r="EE241" s="471">
        <f>Inputs!EE599</f>
        <v>129</v>
      </c>
      <c r="EF241" s="132">
        <f>SUM(EF238:EF240)</f>
        <v>124.4071940214326</v>
      </c>
      <c r="EG241" s="132">
        <f>SUM(EG238:EG240)</f>
        <v>120.14644240458733</v>
      </c>
      <c r="EH241" s="132">
        <f>SUM(EH238:EH240)</f>
        <v>116.17989635391991</v>
      </c>
      <c r="EI241" s="803">
        <f>+EH241</f>
        <v>116.17989635391991</v>
      </c>
      <c r="EJ241" s="76">
        <f>+SUM(EJ238:EJ240)</f>
        <v>100.36997986134635</v>
      </c>
      <c r="EK241" s="76">
        <f t="shared" ref="EK241:ES241" si="184">+SUM(EK238:EK240)</f>
        <v>87.140822167092225</v>
      </c>
      <c r="EL241" s="76">
        <f t="shared" si="184"/>
        <v>74.637636444994868</v>
      </c>
      <c r="EM241" s="76">
        <f t="shared" si="184"/>
        <v>62.469469660473528</v>
      </c>
      <c r="EN241" s="76">
        <f t="shared" si="184"/>
        <v>51.580264194956435</v>
      </c>
      <c r="EO241" s="76">
        <f t="shared" si="184"/>
        <v>43.635310066086518</v>
      </c>
      <c r="EP241" s="76">
        <f t="shared" si="184"/>
        <v>38.637647112711221</v>
      </c>
      <c r="EQ241" s="76">
        <f t="shared" si="184"/>
        <v>35.526767179639009</v>
      </c>
      <c r="ER241" s="76">
        <f t="shared" si="184"/>
        <v>33.623947024547007</v>
      </c>
      <c r="ES241" s="76">
        <f t="shared" si="184"/>
        <v>32.494805740411188</v>
      </c>
    </row>
    <row r="242" spans="1:149" x14ac:dyDescent="0.3">
      <c r="A242" s="61" t="s">
        <v>339</v>
      </c>
      <c r="DZ242" s="75">
        <f t="shared" ref="DZ242:EI242" si="185">+IFERROR(DZ241/DU241-1,"")</f>
        <v>-0.16759776536312854</v>
      </c>
      <c r="EA242" s="75">
        <f t="shared" si="185"/>
        <v>-0.16279069767441856</v>
      </c>
      <c r="EB242" s="75">
        <f t="shared" si="185"/>
        <v>-0.14723926380368102</v>
      </c>
      <c r="EC242" s="75">
        <f t="shared" si="185"/>
        <v>-0.14102564102564108</v>
      </c>
      <c r="ED242" s="84">
        <f t="shared" si="185"/>
        <v>-0.14102564102564108</v>
      </c>
      <c r="EE242" s="75">
        <f t="shared" si="185"/>
        <v>-0.13422818791946312</v>
      </c>
      <c r="EF242" s="75">
        <f t="shared" si="185"/>
        <v>-0.13606115262894025</v>
      </c>
      <c r="EG242" s="75">
        <f t="shared" si="185"/>
        <v>-0.13563710500296888</v>
      </c>
      <c r="EH242" s="75">
        <f t="shared" si="185"/>
        <v>-0.1329858481050753</v>
      </c>
      <c r="EI242" s="84">
        <f t="shared" si="185"/>
        <v>-0.1329858481050753</v>
      </c>
      <c r="EJ242" s="75">
        <f t="shared" ref="EJ242:ES242" si="186">+IFERROR(EJ241/EI241-1,"")</f>
        <v>-0.13608134443855646</v>
      </c>
      <c r="EK242" s="75">
        <f t="shared" si="186"/>
        <v>-0.13180392894896686</v>
      </c>
      <c r="EL242" s="75">
        <f t="shared" si="186"/>
        <v>-0.14348253104753295</v>
      </c>
      <c r="EM242" s="75">
        <f t="shared" si="186"/>
        <v>-0.16302990507327786</v>
      </c>
      <c r="EN242" s="75">
        <f t="shared" si="186"/>
        <v>-0.17431243653421069</v>
      </c>
      <c r="EO242" s="75">
        <f t="shared" si="186"/>
        <v>-0.15403089249098456</v>
      </c>
      <c r="EP242" s="75">
        <f t="shared" si="186"/>
        <v>-0.11453254132504709</v>
      </c>
      <c r="EQ242" s="75">
        <f t="shared" si="186"/>
        <v>-8.0514217752373884E-2</v>
      </c>
      <c r="ER242" s="75">
        <f t="shared" si="186"/>
        <v>-5.3560183099985004E-2</v>
      </c>
      <c r="ES242" s="75">
        <f t="shared" si="186"/>
        <v>-3.3581461549160085E-2</v>
      </c>
    </row>
    <row r="243" spans="1:149" x14ac:dyDescent="0.3">
      <c r="A243" s="65" t="s">
        <v>340</v>
      </c>
      <c r="DU243" s="96">
        <v>0</v>
      </c>
      <c r="DV243" s="133">
        <f>DV241-DU241</f>
        <v>-7</v>
      </c>
      <c r="DW243" s="133">
        <f>DW241-DV241</f>
        <v>-9</v>
      </c>
      <c r="DX243" s="133">
        <f>DX241-DW241</f>
        <v>-7</v>
      </c>
      <c r="DY243" s="86">
        <f>+SUM(DU243:DX243)</f>
        <v>-23</v>
      </c>
      <c r="DZ243" s="133">
        <f t="shared" ref="DZ243:EE243" si="187">DZ241-DY241</f>
        <v>-7</v>
      </c>
      <c r="EA243" s="133">
        <f t="shared" si="187"/>
        <v>-5</v>
      </c>
      <c r="EB243" s="133">
        <f t="shared" si="187"/>
        <v>-5</v>
      </c>
      <c r="EC243" s="133">
        <f t="shared" si="187"/>
        <v>-5</v>
      </c>
      <c r="ED243" s="86">
        <f>+SUM(DZ243:EC243)</f>
        <v>-22</v>
      </c>
      <c r="EE243" s="133">
        <f t="shared" si="187"/>
        <v>-5</v>
      </c>
      <c r="EF243" s="77">
        <f>+EF241-EE241</f>
        <v>-4.592805978567398</v>
      </c>
      <c r="EG243" s="77">
        <f>+EG241-EF241</f>
        <v>-4.260751616845269</v>
      </c>
      <c r="EH243" s="77">
        <f>+EH241-EG241</f>
        <v>-3.9665460506674179</v>
      </c>
      <c r="EI243" s="86">
        <f>+SUM(EE243:EH243)</f>
        <v>-17.820103646080085</v>
      </c>
      <c r="EJ243" s="77">
        <f t="shared" ref="EJ243:ES243" si="188">+EJ241-EI241</f>
        <v>-15.809916492573564</v>
      </c>
      <c r="EK243" s="77">
        <f t="shared" si="188"/>
        <v>-13.229157694254127</v>
      </c>
      <c r="EL243" s="77">
        <f t="shared" si="188"/>
        <v>-12.503185722097356</v>
      </c>
      <c r="EM243" s="77">
        <f t="shared" si="188"/>
        <v>-12.16816678452134</v>
      </c>
      <c r="EN243" s="77">
        <f t="shared" si="188"/>
        <v>-10.889205465517094</v>
      </c>
      <c r="EO243" s="77">
        <f t="shared" si="188"/>
        <v>-7.9449541288699166</v>
      </c>
      <c r="EP243" s="77">
        <f t="shared" si="188"/>
        <v>-4.997662953375297</v>
      </c>
      <c r="EQ243" s="77">
        <f t="shared" si="188"/>
        <v>-3.1108799330722121</v>
      </c>
      <c r="ER243" s="77">
        <f t="shared" si="188"/>
        <v>-1.9028201550920016</v>
      </c>
      <c r="ES243" s="77">
        <f t="shared" si="188"/>
        <v>-1.1291412841358195</v>
      </c>
    </row>
    <row r="244" spans="1:149" x14ac:dyDescent="0.3">
      <c r="A244" s="65" t="s">
        <v>4028</v>
      </c>
      <c r="DU244" s="898"/>
      <c r="DV244" s="898">
        <f>DV239/AVERAGE(DU200:DV200)</f>
        <v>8.4422203688258861E-4</v>
      </c>
      <c r="DW244" s="898">
        <f>DW239/AVERAGE(DV200:DW200)</f>
        <v>6.0050041701417754E-4</v>
      </c>
      <c r="DX244" s="898">
        <f>DX239/AVERAGE(DW200:DX200)</f>
        <v>7.1077749976832427E-4</v>
      </c>
      <c r="DY244" s="911">
        <f>DY239/AVERAGE(DU200:DY200)</f>
        <v>1.8743397275507365E-2</v>
      </c>
      <c r="DZ244" s="898">
        <f>DZ239/DZ200</f>
        <v>6.523955147808351E-4</v>
      </c>
      <c r="EA244" s="898">
        <f>EA239/EA200</f>
        <v>7.7993137345822093E-4</v>
      </c>
      <c r="EB244" s="898">
        <f>EB239/EB200</f>
        <v>7.3881566734731834E-4</v>
      </c>
      <c r="EC244" s="898">
        <f>EC239/EC200</f>
        <v>7.0095202538734286E-4</v>
      </c>
      <c r="ED244" s="911">
        <f>ED239/AVERAGE(DY200:EC200)</f>
        <v>2.8707778582437362E-3</v>
      </c>
      <c r="EE244" s="898">
        <f>EE239/EE200</f>
        <v>6.6365858244030857E-4</v>
      </c>
      <c r="EF244" s="898">
        <f>EE244</f>
        <v>6.6365858244030857E-4</v>
      </c>
      <c r="EG244" s="898">
        <f>EF244</f>
        <v>6.6365858244030857E-4</v>
      </c>
      <c r="EH244" s="898">
        <f>EG244</f>
        <v>6.6365858244030857E-4</v>
      </c>
      <c r="EI244" s="911">
        <f>EI239/AVERAGE(ED200:EH200)</f>
        <v>2.6536102823429071E-3</v>
      </c>
      <c r="EJ244" s="898">
        <f>EI244</f>
        <v>2.6536102823429071E-3</v>
      </c>
      <c r="EK244" s="898">
        <f t="shared" ref="EK244:ES244" si="189">EJ244</f>
        <v>2.6536102823429071E-3</v>
      </c>
      <c r="EL244" s="898">
        <f t="shared" si="189"/>
        <v>2.6536102823429071E-3</v>
      </c>
      <c r="EM244" s="898">
        <f t="shared" si="189"/>
        <v>2.6536102823429071E-3</v>
      </c>
      <c r="EN244" s="898">
        <f t="shared" si="189"/>
        <v>2.6536102823429071E-3</v>
      </c>
      <c r="EO244" s="898">
        <f t="shared" si="189"/>
        <v>2.6536102823429071E-3</v>
      </c>
      <c r="EP244" s="898">
        <f t="shared" si="189"/>
        <v>2.6536102823429071E-3</v>
      </c>
      <c r="EQ244" s="898">
        <f t="shared" si="189"/>
        <v>2.6536102823429071E-3</v>
      </c>
      <c r="ER244" s="898">
        <f t="shared" si="189"/>
        <v>2.6536102823429071E-3</v>
      </c>
      <c r="ES244" s="898">
        <f t="shared" si="189"/>
        <v>2.6536102823429071E-3</v>
      </c>
    </row>
    <row r="245" spans="1:149" x14ac:dyDescent="0.3">
      <c r="A245" s="65" t="s">
        <v>342</v>
      </c>
      <c r="DU245" s="376">
        <v>0.03</v>
      </c>
      <c r="DV245" s="376">
        <f>+DU245</f>
        <v>0.03</v>
      </c>
      <c r="DW245" s="376">
        <f>+DV245</f>
        <v>0.03</v>
      </c>
      <c r="DX245" s="376">
        <f>+DW245</f>
        <v>0.03</v>
      </c>
      <c r="DY245" s="91">
        <f>AVERAGE(DU245:DX245)</f>
        <v>0.03</v>
      </c>
      <c r="DZ245" s="376">
        <f>+DY245</f>
        <v>0.03</v>
      </c>
      <c r="EA245" s="376">
        <f>+DZ245</f>
        <v>0.03</v>
      </c>
      <c r="EB245" s="376">
        <f>+EA245</f>
        <v>0.03</v>
      </c>
      <c r="EC245" s="376">
        <f>+EB245</f>
        <v>0.03</v>
      </c>
      <c r="ED245" s="91">
        <f>+ED240/AVERAGE(DZ238:EC238)/-12</f>
        <v>0.03</v>
      </c>
      <c r="EE245" s="376">
        <f>+ED245</f>
        <v>0.03</v>
      </c>
      <c r="EF245" s="376">
        <f>+EE245</f>
        <v>0.03</v>
      </c>
      <c r="EG245" s="376">
        <f>+EF245</f>
        <v>0.03</v>
      </c>
      <c r="EH245" s="376">
        <f>+EG245</f>
        <v>0.03</v>
      </c>
      <c r="EI245" s="91">
        <f>+EI240/AVERAGE(EE238:EH238)/-12</f>
        <v>0.03</v>
      </c>
      <c r="EJ245" s="376">
        <f t="shared" ref="EJ245:ES245" si="190">+EI245</f>
        <v>0.03</v>
      </c>
      <c r="EK245" s="376">
        <f t="shared" si="190"/>
        <v>0.03</v>
      </c>
      <c r="EL245" s="376">
        <f t="shared" si="190"/>
        <v>0.03</v>
      </c>
      <c r="EM245" s="376">
        <f t="shared" si="190"/>
        <v>0.03</v>
      </c>
      <c r="EN245" s="376">
        <f t="shared" si="190"/>
        <v>0.03</v>
      </c>
      <c r="EO245" s="376">
        <f t="shared" si="190"/>
        <v>0.03</v>
      </c>
      <c r="EP245" s="376">
        <f t="shared" si="190"/>
        <v>0.03</v>
      </c>
      <c r="EQ245" s="376">
        <f t="shared" si="190"/>
        <v>0.03</v>
      </c>
      <c r="ER245" s="376">
        <f t="shared" si="190"/>
        <v>0.03</v>
      </c>
      <c r="ES245" s="376">
        <f t="shared" si="190"/>
        <v>0.03</v>
      </c>
    </row>
    <row r="246" spans="1:149" x14ac:dyDescent="0.3">
      <c r="A246" s="30"/>
    </row>
    <row r="247" spans="1:149" x14ac:dyDescent="0.3">
      <c r="A247" s="30"/>
    </row>
    <row r="248" spans="1:149" x14ac:dyDescent="0.3">
      <c r="A248" s="846" t="s">
        <v>280</v>
      </c>
    </row>
    <row r="249" spans="1:149" x14ac:dyDescent="0.3">
      <c r="A249" s="67" t="s">
        <v>3973</v>
      </c>
      <c r="DU249" s="912">
        <f>DU141</f>
        <v>57.66</v>
      </c>
      <c r="DV249" s="912">
        <f>DV141</f>
        <v>56.62</v>
      </c>
      <c r="DW249" s="912">
        <f>DW141</f>
        <v>56.37</v>
      </c>
      <c r="DX249" s="912">
        <f>DX141</f>
        <v>56.69</v>
      </c>
      <c r="DY249" s="591">
        <f>AVERAGE(DU249:DX249)</f>
        <v>56.835000000000001</v>
      </c>
      <c r="DZ249" s="912">
        <f>DZ141</f>
        <v>56.8</v>
      </c>
      <c r="EA249" s="912">
        <f>EA141</f>
        <v>56.92</v>
      </c>
      <c r="EB249" s="912">
        <f>EB141</f>
        <v>57.58</v>
      </c>
      <c r="EC249" s="912">
        <f>EC141</f>
        <v>59.72</v>
      </c>
      <c r="ED249" s="591">
        <f>ED257/AVERAGE(DY208:EC208)*1000/12</f>
        <v>50.524003623188406</v>
      </c>
      <c r="EE249" s="912">
        <f>EE141</f>
        <v>60.73</v>
      </c>
      <c r="EF249" s="741">
        <f>EA249*(1+EF250)</f>
        <v>63.1</v>
      </c>
      <c r="EG249" s="741">
        <f>EB249*(1+EG250)</f>
        <v>63.350000000000009</v>
      </c>
      <c r="EH249" s="741">
        <f>EC249*(1+EH250)</f>
        <v>62.21</v>
      </c>
      <c r="EI249" s="591">
        <f>EI257/AVERAGE(ED208:EH208)*1000/12</f>
        <v>59.09277960613904</v>
      </c>
      <c r="EJ249" s="741">
        <f t="shared" ref="EJ249:ES249" si="191">EI249*(1+EJ250)</f>
        <v>61.456490790384606</v>
      </c>
      <c r="EK249" s="741">
        <f t="shared" si="191"/>
        <v>63.91475042199999</v>
      </c>
      <c r="EL249" s="741">
        <f t="shared" si="191"/>
        <v>66.471340438879992</v>
      </c>
      <c r="EM249" s="741">
        <f t="shared" si="191"/>
        <v>69.130194056435187</v>
      </c>
      <c r="EN249" s="741">
        <f t="shared" si="191"/>
        <v>71.895401818692591</v>
      </c>
      <c r="EO249" s="741">
        <f t="shared" si="191"/>
        <v>74.771217891440301</v>
      </c>
      <c r="EP249" s="741">
        <f t="shared" si="191"/>
        <v>77.762066607097921</v>
      </c>
      <c r="EQ249" s="741">
        <f t="shared" si="191"/>
        <v>80.872549271381843</v>
      </c>
      <c r="ER249" s="741">
        <f t="shared" si="191"/>
        <v>84.107451242237119</v>
      </c>
      <c r="ES249" s="741">
        <f t="shared" si="191"/>
        <v>87.471749291926599</v>
      </c>
    </row>
    <row r="250" spans="1:149" x14ac:dyDescent="0.3">
      <c r="A250" s="70" t="s">
        <v>363</v>
      </c>
      <c r="DZ250" s="75">
        <f t="shared" ref="DZ250:EE250" si="192">+DZ249/DU249-1</f>
        <v>-1.4915019077349934E-2</v>
      </c>
      <c r="EA250" s="75">
        <f t="shared" si="192"/>
        <v>5.298481102084196E-3</v>
      </c>
      <c r="EB250" s="75">
        <f t="shared" si="192"/>
        <v>2.1465318431789893E-2</v>
      </c>
      <c r="EC250" s="75">
        <f t="shared" si="192"/>
        <v>5.3448579996472123E-2</v>
      </c>
      <c r="ED250" s="84">
        <f t="shared" si="192"/>
        <v>-0.11104066819409864</v>
      </c>
      <c r="EE250" s="75">
        <f t="shared" si="192"/>
        <v>6.9190140845070358E-2</v>
      </c>
      <c r="EF250" s="87">
        <f>EF142</f>
        <v>0.1085734364019677</v>
      </c>
      <c r="EG250" s="87">
        <f>EG142</f>
        <v>0.10020840569642253</v>
      </c>
      <c r="EH250" s="87">
        <f>EH142</f>
        <v>4.1694574681848673E-2</v>
      </c>
      <c r="EI250" s="84">
        <f>+EI249/ED249-1</f>
        <v>0.16959811908132161</v>
      </c>
      <c r="EJ250" s="87">
        <f t="shared" ref="EJ250:ES250" si="193">EJ142</f>
        <v>0.04</v>
      </c>
      <c r="EK250" s="87">
        <f t="shared" si="193"/>
        <v>0.04</v>
      </c>
      <c r="EL250" s="87">
        <f t="shared" si="193"/>
        <v>0.04</v>
      </c>
      <c r="EM250" s="87">
        <f t="shared" si="193"/>
        <v>0.04</v>
      </c>
      <c r="EN250" s="87">
        <f t="shared" si="193"/>
        <v>0.04</v>
      </c>
      <c r="EO250" s="87">
        <f t="shared" si="193"/>
        <v>0.04</v>
      </c>
      <c r="EP250" s="87">
        <f t="shared" si="193"/>
        <v>0.04</v>
      </c>
      <c r="EQ250" s="87">
        <f t="shared" si="193"/>
        <v>0.04</v>
      </c>
      <c r="ER250" s="87">
        <f t="shared" si="193"/>
        <v>0.04</v>
      </c>
      <c r="ES250" s="87">
        <f t="shared" si="193"/>
        <v>0.04</v>
      </c>
    </row>
    <row r="251" spans="1:149" x14ac:dyDescent="0.3">
      <c r="A251" s="67" t="s">
        <v>3974</v>
      </c>
      <c r="DU251" s="650">
        <f>DU143</f>
        <v>74.231886560693638</v>
      </c>
      <c r="DV251" s="650">
        <f>DV143</f>
        <v>72.30345786587894</v>
      </c>
      <c r="DW251" s="650">
        <f>DW143</f>
        <v>70.426337286146961</v>
      </c>
      <c r="DX251" s="650">
        <f>DX143</f>
        <v>67.150141957401644</v>
      </c>
      <c r="DY251" s="591">
        <f>AVERAGE(DU251:DX251)</f>
        <v>71.027955917530306</v>
      </c>
      <c r="DZ251" s="741">
        <f>DU251*(1+DZ252)</f>
        <v>77.943480888728317</v>
      </c>
      <c r="EA251" s="741">
        <f>DV251*(1+EA252)</f>
        <v>75.918630759172885</v>
      </c>
      <c r="EB251" s="741">
        <f>DW251*(1+EB252)</f>
        <v>73.947654150454312</v>
      </c>
      <c r="EC251" s="741">
        <f>DX251*(1+EC252)</f>
        <v>70.507649055271727</v>
      </c>
      <c r="ED251" s="591">
        <f>AVERAGE(DZ251:EC251)</f>
        <v>74.579353713406803</v>
      </c>
      <c r="EE251" s="741">
        <f>DZ251*(1+EE252)</f>
        <v>81.840654933164743</v>
      </c>
      <c r="EF251" s="741">
        <f>EA251*(1+EF252)</f>
        <v>79.714562297131536</v>
      </c>
      <c r="EG251" s="741">
        <f>EB251*(1+EG252)</f>
        <v>77.645036857977033</v>
      </c>
      <c r="EH251" s="741">
        <f>EC251*(1+EH252)</f>
        <v>74.033031508035322</v>
      </c>
      <c r="EI251" s="591">
        <f>AVERAGE(EE251:EH251)</f>
        <v>78.308321399077158</v>
      </c>
      <c r="EJ251" s="741">
        <f t="shared" ref="EJ251:ES251" si="194">EI251*(1+EJ252)</f>
        <v>81.440654255040243</v>
      </c>
      <c r="EK251" s="741">
        <f t="shared" si="194"/>
        <v>84.698280425241862</v>
      </c>
      <c r="EL251" s="741">
        <f t="shared" si="194"/>
        <v>88.086211642251541</v>
      </c>
      <c r="EM251" s="741">
        <f t="shared" si="194"/>
        <v>91.609660107941608</v>
      </c>
      <c r="EN251" s="741">
        <f t="shared" si="194"/>
        <v>95.274046512259275</v>
      </c>
      <c r="EO251" s="741">
        <f t="shared" si="194"/>
        <v>99.085008372749655</v>
      </c>
      <c r="EP251" s="741">
        <f t="shared" si="194"/>
        <v>103.04840870765965</v>
      </c>
      <c r="EQ251" s="741">
        <f t="shared" si="194"/>
        <v>107.17034505596604</v>
      </c>
      <c r="ER251" s="741">
        <f t="shared" si="194"/>
        <v>111.45715885820468</v>
      </c>
      <c r="ES251" s="741">
        <f t="shared" si="194"/>
        <v>115.91544521253287</v>
      </c>
    </row>
    <row r="252" spans="1:149" x14ac:dyDescent="0.3">
      <c r="A252" s="70" t="s">
        <v>363</v>
      </c>
      <c r="DZ252" s="87">
        <v>0.05</v>
      </c>
      <c r="EA252" s="87">
        <v>0.05</v>
      </c>
      <c r="EB252" s="87">
        <v>0.05</v>
      </c>
      <c r="EC252" s="87">
        <v>0.05</v>
      </c>
      <c r="ED252" s="84">
        <f>+ED251/DY251-1</f>
        <v>4.9999999999999822E-2</v>
      </c>
      <c r="EE252" s="87">
        <v>0.05</v>
      </c>
      <c r="EF252" s="87">
        <v>0.05</v>
      </c>
      <c r="EG252" s="87">
        <v>0.05</v>
      </c>
      <c r="EH252" s="87">
        <v>0.05</v>
      </c>
      <c r="EI252" s="84">
        <f>+EI251/ED251-1</f>
        <v>5.0000000000000266E-2</v>
      </c>
      <c r="EJ252" s="87">
        <f>EJ250</f>
        <v>0.04</v>
      </c>
      <c r="EK252" s="87">
        <f>EJ252</f>
        <v>0.04</v>
      </c>
      <c r="EL252" s="87">
        <f t="shared" ref="EL252:ES252" si="195">EK252</f>
        <v>0.04</v>
      </c>
      <c r="EM252" s="87">
        <f t="shared" si="195"/>
        <v>0.04</v>
      </c>
      <c r="EN252" s="87">
        <f t="shared" si="195"/>
        <v>0.04</v>
      </c>
      <c r="EO252" s="87">
        <f t="shared" si="195"/>
        <v>0.04</v>
      </c>
      <c r="EP252" s="87">
        <f t="shared" si="195"/>
        <v>0.04</v>
      </c>
      <c r="EQ252" s="87">
        <f t="shared" si="195"/>
        <v>0.04</v>
      </c>
      <c r="ER252" s="87">
        <f t="shared" si="195"/>
        <v>0.04</v>
      </c>
      <c r="ES252" s="87">
        <f t="shared" si="195"/>
        <v>0.04</v>
      </c>
    </row>
    <row r="253" spans="1:149" x14ac:dyDescent="0.3">
      <c r="A253" s="67" t="s">
        <v>4029</v>
      </c>
      <c r="DU253" s="912">
        <f>DU145</f>
        <v>98.16</v>
      </c>
      <c r="DV253" s="912">
        <f>DV145</f>
        <v>100.89</v>
      </c>
      <c r="DW253" s="912">
        <f>DW145</f>
        <v>100.47</v>
      </c>
      <c r="DX253" s="912">
        <f>DX145</f>
        <v>99.58</v>
      </c>
      <c r="DY253" s="591">
        <f>AVERAGE(DU253:DX253)</f>
        <v>99.774999999999991</v>
      </c>
      <c r="DZ253" s="912">
        <f>DZ145</f>
        <v>100.3</v>
      </c>
      <c r="EA253" s="912">
        <f>EA145</f>
        <v>100.27</v>
      </c>
      <c r="EB253" s="912">
        <f>EB145</f>
        <v>100.85</v>
      </c>
      <c r="EC253" s="912">
        <f>EC145</f>
        <v>101.56</v>
      </c>
      <c r="ED253" s="591">
        <f>AVERAGE(DZ253:EC253)</f>
        <v>100.74499999999999</v>
      </c>
      <c r="EE253" s="912">
        <f>EE145</f>
        <v>101.34</v>
      </c>
      <c r="EF253" s="741">
        <f>EA253*(1+EF254)</f>
        <v>104.66000000000001</v>
      </c>
      <c r="EG253" s="741">
        <f>EB253*(1+EG254)</f>
        <v>100.85</v>
      </c>
      <c r="EH253" s="741">
        <f>EC253*(1+EH254)</f>
        <v>101.56</v>
      </c>
      <c r="EI253" s="591">
        <f>AVERAGE(EE253:EH253)</f>
        <v>102.10250000000001</v>
      </c>
      <c r="EJ253" s="741">
        <f t="shared" ref="EJ253:ES253" si="196">EI253*(1+EJ254)</f>
        <v>102.10250000000001</v>
      </c>
      <c r="EK253" s="741">
        <f t="shared" si="196"/>
        <v>102.10250000000001</v>
      </c>
      <c r="EL253" s="741">
        <f t="shared" si="196"/>
        <v>102.10250000000001</v>
      </c>
      <c r="EM253" s="741">
        <f t="shared" si="196"/>
        <v>102.10250000000001</v>
      </c>
      <c r="EN253" s="741">
        <f t="shared" si="196"/>
        <v>102.10250000000001</v>
      </c>
      <c r="EO253" s="741">
        <f t="shared" si="196"/>
        <v>102.10250000000001</v>
      </c>
      <c r="EP253" s="741">
        <f t="shared" si="196"/>
        <v>102.10250000000001</v>
      </c>
      <c r="EQ253" s="741">
        <f t="shared" si="196"/>
        <v>102.10250000000001</v>
      </c>
      <c r="ER253" s="741">
        <f t="shared" si="196"/>
        <v>102.10250000000001</v>
      </c>
      <c r="ES253" s="741">
        <f t="shared" si="196"/>
        <v>102.10250000000001</v>
      </c>
    </row>
    <row r="254" spans="1:149" x14ac:dyDescent="0.3">
      <c r="A254" s="70" t="s">
        <v>363</v>
      </c>
      <c r="DZ254" s="75">
        <f t="shared" ref="DZ254:EE254" si="197">+DZ253/DU253-1</f>
        <v>2.1801140994295087E-2</v>
      </c>
      <c r="EA254" s="75">
        <f t="shared" si="197"/>
        <v>-6.1453067697492259E-3</v>
      </c>
      <c r="EB254" s="75">
        <f t="shared" si="197"/>
        <v>3.78222354931812E-3</v>
      </c>
      <c r="EC254" s="75">
        <f t="shared" si="197"/>
        <v>1.9883510745129618E-2</v>
      </c>
      <c r="ED254" s="84">
        <f t="shared" si="197"/>
        <v>9.7218742169882244E-3</v>
      </c>
      <c r="EE254" s="75">
        <f t="shared" si="197"/>
        <v>1.0368893320039874E-2</v>
      </c>
      <c r="EF254" s="87">
        <f>EF146</f>
        <v>4.3781789169243135E-2</v>
      </c>
      <c r="EG254" s="87">
        <f>EG146</f>
        <v>0</v>
      </c>
      <c r="EH254" s="87">
        <f>EH146</f>
        <v>0</v>
      </c>
      <c r="EI254" s="84">
        <f>+EI253/ED253-1</f>
        <v>1.3474614124770579E-2</v>
      </c>
      <c r="EJ254" s="87">
        <f>EJ146</f>
        <v>0</v>
      </c>
      <c r="EK254" s="87">
        <f>EJ254</f>
        <v>0</v>
      </c>
      <c r="EL254" s="87">
        <f t="shared" ref="EL254:ES254" si="198">EK254</f>
        <v>0</v>
      </c>
      <c r="EM254" s="87">
        <f t="shared" si="198"/>
        <v>0</v>
      </c>
      <c r="EN254" s="87">
        <f t="shared" si="198"/>
        <v>0</v>
      </c>
      <c r="EO254" s="87">
        <f t="shared" si="198"/>
        <v>0</v>
      </c>
      <c r="EP254" s="87">
        <f t="shared" si="198"/>
        <v>0</v>
      </c>
      <c r="EQ254" s="87">
        <f t="shared" si="198"/>
        <v>0</v>
      </c>
      <c r="ER254" s="87">
        <f t="shared" si="198"/>
        <v>0</v>
      </c>
      <c r="ES254" s="87">
        <f t="shared" si="198"/>
        <v>0</v>
      </c>
    </row>
    <row r="255" spans="1:149" x14ac:dyDescent="0.3">
      <c r="A255" s="30"/>
    </row>
    <row r="256" spans="1:149" x14ac:dyDescent="0.3">
      <c r="A256" s="846" t="s">
        <v>284</v>
      </c>
    </row>
    <row r="257" spans="1:149" x14ac:dyDescent="0.3">
      <c r="A257" s="67" t="s">
        <v>3973</v>
      </c>
      <c r="DU257" s="76">
        <f>AVERAGE(DU208,DU208-DU210)*DU249*3/1000</f>
        <v>0</v>
      </c>
      <c r="DV257" s="76">
        <f>AVERAGE(DU208:DV208)*DV249*3/1000</f>
        <v>0</v>
      </c>
      <c r="DW257" s="76">
        <f>AVERAGE(DV208:DW208)*DW249*3/1000</f>
        <v>0</v>
      </c>
      <c r="DX257" s="76">
        <f>AVERAGE(DW208:DX208)*DX249*3/1000</f>
        <v>0</v>
      </c>
      <c r="DY257" s="85">
        <f>+SUM(DU257:DX257)</f>
        <v>0</v>
      </c>
      <c r="DZ257" s="76">
        <f>AVERAGE(DY208:DZ208)*DZ249*3/1000</f>
        <v>4.5473023255813955E-2</v>
      </c>
      <c r="EA257" s="76">
        <f>AVERAGE(DZ208:EA208)*EA249*3/1000</f>
        <v>0.13164404651162789</v>
      </c>
      <c r="EB257" s="76">
        <f>AVERAGE(EA208:EB208)*EB249*3/1000</f>
        <v>0.22024349999999998</v>
      </c>
      <c r="EC257" s="76">
        <f>AVERAGE(EB208:EC208)*EC249*3/1000</f>
        <v>0.59497786046511625</v>
      </c>
      <c r="ED257" s="85">
        <f>+SUM(DZ257:EC257)</f>
        <v>0.99233843023255808</v>
      </c>
      <c r="EE257" s="76">
        <f>AVERAGE(ED208:EE208)*EE249*3/1000</f>
        <v>1.1660159999999999</v>
      </c>
      <c r="EF257" s="885">
        <f>EF249*3*AVERAGE(EE208:EF208)/1000</f>
        <v>2.0702794500000001</v>
      </c>
      <c r="EG257" s="885">
        <f>EG249*3*AVERAGE(EF208:EG208)/1000</f>
        <v>3.6883516635000002</v>
      </c>
      <c r="EH257" s="885">
        <f>EH249*3*AVERAGE(EG208:EH208)/1000</f>
        <v>5.9621052340980008</v>
      </c>
      <c r="EI257" s="85">
        <f>+SUM(EE257:EH257)</f>
        <v>12.886752347598001</v>
      </c>
      <c r="EJ257" s="885">
        <f t="shared" ref="EJ257:ES257" si="199">EJ249*12*AVERAGE(EI208:EJ208)/1000</f>
        <v>72.028199219191336</v>
      </c>
      <c r="EK257" s="885">
        <f t="shared" si="199"/>
        <v>212.35062389417229</v>
      </c>
      <c r="EL257" s="885">
        <f t="shared" si="199"/>
        <v>470.41591503115842</v>
      </c>
      <c r="EM257" s="885">
        <f t="shared" si="199"/>
        <v>864.00398388894109</v>
      </c>
      <c r="EN257" s="885">
        <f t="shared" si="199"/>
        <v>1353.7090428143329</v>
      </c>
      <c r="EO257" s="885">
        <f t="shared" si="199"/>
        <v>1851.9931495135454</v>
      </c>
      <c r="EP257" s="885">
        <f t="shared" si="199"/>
        <v>2301.9952024097834</v>
      </c>
      <c r="EQ257" s="885">
        <f t="shared" si="199"/>
        <v>2674.4790509930385</v>
      </c>
      <c r="ER257" s="885">
        <f t="shared" si="199"/>
        <v>2948.0184821159019</v>
      </c>
      <c r="ES257" s="885">
        <f t="shared" si="199"/>
        <v>3124.9045532581404</v>
      </c>
    </row>
    <row r="258" spans="1:149" x14ac:dyDescent="0.3">
      <c r="A258" s="67" t="s">
        <v>3974</v>
      </c>
      <c r="DU258" s="76">
        <f>AVERAGE(DU229,DU229-DU231)*DU251*3/1000</f>
        <v>0</v>
      </c>
      <c r="DV258" s="76">
        <f>AVERAGE(DU229:DV229)*DV251*3/1000</f>
        <v>0</v>
      </c>
      <c r="DW258" s="76">
        <f>AVERAGE(DV229:DW229)*DW251*3/1000</f>
        <v>0</v>
      </c>
      <c r="DX258" s="76">
        <f>AVERAGE(DW229:DX229)*DX251*3/1000</f>
        <v>0</v>
      </c>
      <c r="DY258" s="85">
        <f>+SUM(DU258:DX258)</f>
        <v>0</v>
      </c>
      <c r="DZ258" s="76">
        <f>AVERAGE(DY229:DZ229)*DZ251*3/1000</f>
        <v>1.2480020137648712E-2</v>
      </c>
      <c r="EA258" s="76">
        <f>AVERAGE(DZ229:EA229)*EA251*3/1000</f>
        <v>3.4577062695084974E-2</v>
      </c>
      <c r="EB258" s="76">
        <f>AVERAGE(EA229:EB229)*EB251*3/1000</f>
        <v>5.4760721954888493E-2</v>
      </c>
      <c r="EC258" s="76">
        <f>AVERAGE(EB229:EC229)*EC251*3/1000</f>
        <v>0.13674417668224778</v>
      </c>
      <c r="ED258" s="85">
        <f>+SUM(DZ258:EC258)</f>
        <v>0.23856198146986995</v>
      </c>
      <c r="EE258" s="76">
        <f>AVERAGE(ED229:EE229)*EE251*3/1000</f>
        <v>0.3027027025410971</v>
      </c>
      <c r="EF258" s="76">
        <f>AVERAGE(EE229:EF229)*EF251*3/1000</f>
        <v>0.49888962116525748</v>
      </c>
      <c r="EG258" s="76">
        <f>AVERAGE(EF229:EG229)*EG251*3/1000</f>
        <v>0.86120758398386288</v>
      </c>
      <c r="EH258" s="76">
        <f>AVERAGE(EG229:EH229)*EH251*3/1000</f>
        <v>1.3480122565803716</v>
      </c>
      <c r="EI258" s="85">
        <f>+SUM(EE258:EH258)</f>
        <v>3.0108121642705887</v>
      </c>
      <c r="EJ258" s="76">
        <f t="shared" ref="EJ258:ES258" si="200">AVERAGE(EI229:EJ229)*EJ251*12/1000</f>
        <v>17.581713678065999</v>
      </c>
      <c r="EK258" s="76">
        <f t="shared" si="200"/>
        <v>49.141698525722518</v>
      </c>
      <c r="EL258" s="76">
        <f t="shared" si="200"/>
        <v>101.83898636226316</v>
      </c>
      <c r="EM258" s="76">
        <f t="shared" si="200"/>
        <v>173.72449092044906</v>
      </c>
      <c r="EN258" s="76">
        <f t="shared" si="200"/>
        <v>248.40612795044413</v>
      </c>
      <c r="EO258" s="76">
        <f t="shared" si="200"/>
        <v>302.0804241771794</v>
      </c>
      <c r="EP258" s="76">
        <f t="shared" si="200"/>
        <v>326.73169291917748</v>
      </c>
      <c r="EQ258" s="76">
        <f t="shared" si="200"/>
        <v>324.14976114641183</v>
      </c>
      <c r="ER258" s="76">
        <f t="shared" si="200"/>
        <v>297.49480384024838</v>
      </c>
      <c r="ES258" s="76">
        <f t="shared" si="200"/>
        <v>255.08209383082445</v>
      </c>
    </row>
    <row r="259" spans="1:149" x14ac:dyDescent="0.3">
      <c r="A259" s="67" t="s">
        <v>3975</v>
      </c>
      <c r="DU259" s="134">
        <v>0</v>
      </c>
      <c r="DV259" s="134">
        <v>0</v>
      </c>
      <c r="DW259" s="134">
        <v>0</v>
      </c>
      <c r="DX259" s="134">
        <v>0</v>
      </c>
      <c r="DY259" s="85">
        <f>SUM(DU259:DX259)</f>
        <v>0</v>
      </c>
      <c r="DZ259" s="134">
        <v>0</v>
      </c>
      <c r="EA259" s="134">
        <v>0</v>
      </c>
      <c r="EB259" s="134">
        <v>0</v>
      </c>
      <c r="EC259" s="134">
        <v>0</v>
      </c>
      <c r="ED259" s="85">
        <f>SUM(DZ259:EC259)</f>
        <v>0</v>
      </c>
      <c r="EE259" s="76">
        <f>DZ259*(1+EE264)</f>
        <v>0</v>
      </c>
      <c r="EF259" s="76">
        <f>EA259*(1+EF264)</f>
        <v>0</v>
      </c>
      <c r="EG259" s="76">
        <f>EB259*(1+EG264)</f>
        <v>0</v>
      </c>
      <c r="EH259" s="76">
        <f>EC259*(1+EH264)</f>
        <v>0</v>
      </c>
      <c r="EI259" s="76">
        <f>SUM(EE259:EH259)</f>
        <v>0</v>
      </c>
      <c r="EJ259" s="76">
        <f t="shared" ref="EJ259:ES259" si="201">EI259*(1+EJ264)</f>
        <v>0</v>
      </c>
      <c r="EK259" s="76">
        <f t="shared" si="201"/>
        <v>0</v>
      </c>
      <c r="EL259" s="76">
        <f t="shared" si="201"/>
        <v>0</v>
      </c>
      <c r="EM259" s="76">
        <f t="shared" si="201"/>
        <v>0</v>
      </c>
      <c r="EN259" s="76">
        <f t="shared" si="201"/>
        <v>0</v>
      </c>
      <c r="EO259" s="76">
        <f t="shared" si="201"/>
        <v>0</v>
      </c>
      <c r="EP259" s="76">
        <f t="shared" si="201"/>
        <v>0</v>
      </c>
      <c r="EQ259" s="76">
        <f t="shared" si="201"/>
        <v>0</v>
      </c>
      <c r="ER259" s="76">
        <f t="shared" si="201"/>
        <v>0</v>
      </c>
      <c r="ES259" s="76">
        <f t="shared" si="201"/>
        <v>0</v>
      </c>
    </row>
    <row r="260" spans="1:149" x14ac:dyDescent="0.3">
      <c r="A260" s="64" t="s">
        <v>3976</v>
      </c>
      <c r="DU260" s="803">
        <f t="shared" ref="DU260:ES260" si="202">+SUM(DU257:DU259)</f>
        <v>0</v>
      </c>
      <c r="DV260" s="803">
        <f t="shared" si="202"/>
        <v>0</v>
      </c>
      <c r="DW260" s="803">
        <f t="shared" si="202"/>
        <v>0</v>
      </c>
      <c r="DX260" s="803">
        <f t="shared" si="202"/>
        <v>0</v>
      </c>
      <c r="DY260" s="803">
        <f t="shared" si="202"/>
        <v>0</v>
      </c>
      <c r="DZ260" s="803">
        <f t="shared" si="202"/>
        <v>5.7953043393462668E-2</v>
      </c>
      <c r="EA260" s="803">
        <f t="shared" si="202"/>
        <v>0.16622110920671287</v>
      </c>
      <c r="EB260" s="803">
        <f t="shared" si="202"/>
        <v>0.27500422195488849</v>
      </c>
      <c r="EC260" s="803">
        <f t="shared" si="202"/>
        <v>0.73172203714736406</v>
      </c>
      <c r="ED260" s="803">
        <f t="shared" si="202"/>
        <v>1.230900411702428</v>
      </c>
      <c r="EE260" s="803">
        <f t="shared" si="202"/>
        <v>1.468718702541097</v>
      </c>
      <c r="EF260" s="803">
        <f t="shared" si="202"/>
        <v>2.5691690711652577</v>
      </c>
      <c r="EG260" s="803">
        <f t="shared" si="202"/>
        <v>4.5495592474838631</v>
      </c>
      <c r="EH260" s="803">
        <f t="shared" si="202"/>
        <v>7.3101174906783726</v>
      </c>
      <c r="EI260" s="803">
        <f t="shared" si="202"/>
        <v>15.897564511868591</v>
      </c>
      <c r="EJ260" s="803">
        <f t="shared" si="202"/>
        <v>89.609912897257331</v>
      </c>
      <c r="EK260" s="803">
        <f t="shared" si="202"/>
        <v>261.49232241989478</v>
      </c>
      <c r="EL260" s="803">
        <f t="shared" si="202"/>
        <v>572.25490139342162</v>
      </c>
      <c r="EM260" s="803">
        <f t="shared" si="202"/>
        <v>1037.7284748093903</v>
      </c>
      <c r="EN260" s="803">
        <f t="shared" si="202"/>
        <v>1602.1151707647771</v>
      </c>
      <c r="EO260" s="803">
        <f t="shared" si="202"/>
        <v>2154.073573690725</v>
      </c>
      <c r="EP260" s="803">
        <f t="shared" si="202"/>
        <v>2628.7268953289608</v>
      </c>
      <c r="EQ260" s="803">
        <f t="shared" si="202"/>
        <v>2998.6288121394505</v>
      </c>
      <c r="ER260" s="803">
        <f t="shared" si="202"/>
        <v>3245.5132859561504</v>
      </c>
      <c r="ES260" s="803">
        <f t="shared" si="202"/>
        <v>3379.9866470889647</v>
      </c>
    </row>
    <row r="261" spans="1:149" x14ac:dyDescent="0.3">
      <c r="A261" s="70" t="s">
        <v>4004</v>
      </c>
      <c r="DZ261" s="913" t="s">
        <v>4030</v>
      </c>
      <c r="EA261" s="913" t="s">
        <v>4030</v>
      </c>
      <c r="EB261" s="913" t="s">
        <v>4030</v>
      </c>
      <c r="EC261" s="913" t="s">
        <v>4030</v>
      </c>
      <c r="ED261" s="914" t="s">
        <v>4030</v>
      </c>
      <c r="EE261" s="913" t="s">
        <v>4030</v>
      </c>
      <c r="EF261" s="913" t="s">
        <v>4030</v>
      </c>
      <c r="EG261" s="913" t="s">
        <v>4030</v>
      </c>
      <c r="EH261" s="913" t="s">
        <v>4030</v>
      </c>
      <c r="EI261" s="914" t="s">
        <v>4030</v>
      </c>
      <c r="EJ261" s="75">
        <f t="shared" ref="EJ261:ES261" si="203">+EJ260/EI260-1</f>
        <v>4.6367069830323731</v>
      </c>
      <c r="EK261" s="75">
        <f t="shared" si="203"/>
        <v>1.918118252382524</v>
      </c>
      <c r="EL261" s="75">
        <f t="shared" si="203"/>
        <v>1.1884195149504837</v>
      </c>
      <c r="EM261" s="75">
        <f t="shared" si="203"/>
        <v>0.81340251045916068</v>
      </c>
      <c r="EN261" s="75">
        <f t="shared" si="203"/>
        <v>0.5438674081474475</v>
      </c>
      <c r="EO261" s="75">
        <f t="shared" si="203"/>
        <v>0.34451855459459124</v>
      </c>
      <c r="EP261" s="75">
        <f t="shared" si="203"/>
        <v>0.22035149004914412</v>
      </c>
      <c r="EQ261" s="75">
        <f t="shared" si="203"/>
        <v>0.14071523271123221</v>
      </c>
      <c r="ER261" s="75">
        <f t="shared" si="203"/>
        <v>8.2332455693492124E-2</v>
      </c>
      <c r="ES261" s="75">
        <f t="shared" si="203"/>
        <v>4.1433619056406856E-2</v>
      </c>
    </row>
    <row r="262" spans="1:149" x14ac:dyDescent="0.3">
      <c r="A262" s="70" t="s">
        <v>4005</v>
      </c>
      <c r="DZ262" s="913" t="s">
        <v>4030</v>
      </c>
      <c r="EA262" s="913" t="s">
        <v>4030</v>
      </c>
      <c r="EB262" s="913" t="s">
        <v>4030</v>
      </c>
      <c r="EC262" s="913" t="s">
        <v>4030</v>
      </c>
      <c r="ED262" s="914" t="s">
        <v>4030</v>
      </c>
      <c r="EE262" s="913" t="s">
        <v>4030</v>
      </c>
      <c r="EF262" s="913" t="s">
        <v>4030</v>
      </c>
      <c r="EG262" s="913" t="s">
        <v>4030</v>
      </c>
      <c r="EH262" s="913" t="s">
        <v>4030</v>
      </c>
      <c r="EI262" s="914" t="s">
        <v>4030</v>
      </c>
      <c r="EJ262" s="75">
        <f t="shared" ref="EJ262:ES262" si="204">EJ257/EI257-1</f>
        <v>4.5893212871912512</v>
      </c>
      <c r="EK262" s="75">
        <f t="shared" si="204"/>
        <v>1.9481595568974486</v>
      </c>
      <c r="EL262" s="75">
        <f t="shared" si="204"/>
        <v>1.2152791755657679</v>
      </c>
      <c r="EM262" s="75">
        <f t="shared" si="204"/>
        <v>0.8366810226471888</v>
      </c>
      <c r="EN262" s="75">
        <f t="shared" si="204"/>
        <v>0.56678564920637964</v>
      </c>
      <c r="EO262" s="75">
        <f t="shared" si="204"/>
        <v>0.36808803881762531</v>
      </c>
      <c r="EP262" s="75">
        <f t="shared" si="204"/>
        <v>0.24298256881481328</v>
      </c>
      <c r="EQ262" s="75">
        <f t="shared" si="204"/>
        <v>0.16180913330893576</v>
      </c>
      <c r="ER262" s="75">
        <f t="shared" si="204"/>
        <v>0.10227764955619967</v>
      </c>
      <c r="ES262" s="75">
        <f t="shared" si="204"/>
        <v>6.0001683237508319E-2</v>
      </c>
    </row>
    <row r="263" spans="1:149" x14ac:dyDescent="0.3">
      <c r="A263" s="70" t="s">
        <v>4031</v>
      </c>
      <c r="DZ263" s="913" t="s">
        <v>4030</v>
      </c>
      <c r="EA263" s="913" t="s">
        <v>4030</v>
      </c>
      <c r="EB263" s="913" t="s">
        <v>4030</v>
      </c>
      <c r="EC263" s="913" t="s">
        <v>4030</v>
      </c>
      <c r="ED263" s="914" t="s">
        <v>4030</v>
      </c>
      <c r="EE263" s="913" t="s">
        <v>4030</v>
      </c>
      <c r="EF263" s="913" t="s">
        <v>4030</v>
      </c>
      <c r="EG263" s="913" t="s">
        <v>4030</v>
      </c>
      <c r="EH263" s="913" t="s">
        <v>4030</v>
      </c>
      <c r="EI263" s="914" t="s">
        <v>4030</v>
      </c>
      <c r="EJ263" s="75">
        <f t="shared" ref="EJ263:ES263" si="205">EJ258/EI258-1</f>
        <v>4.8395252572408198</v>
      </c>
      <c r="EK263" s="75">
        <f t="shared" si="205"/>
        <v>1.7950460020873313</v>
      </c>
      <c r="EL263" s="75">
        <f t="shared" si="205"/>
        <v>1.0723538139194964</v>
      </c>
      <c r="EM263" s="75">
        <f t="shared" si="205"/>
        <v>0.70587411683845436</v>
      </c>
      <c r="EN263" s="75">
        <f t="shared" si="205"/>
        <v>0.4298854849670728</v>
      </c>
      <c r="EO263" s="75">
        <f t="shared" si="205"/>
        <v>0.21607476703410078</v>
      </c>
      <c r="EP263" s="75">
        <f t="shared" si="205"/>
        <v>8.1604985854824452E-2</v>
      </c>
      <c r="EQ263" s="75">
        <f t="shared" si="205"/>
        <v>-7.9022997423281449E-3</v>
      </c>
      <c r="ER263" s="75">
        <f t="shared" si="205"/>
        <v>-8.2230377748524597E-2</v>
      </c>
      <c r="ES263" s="75">
        <f t="shared" si="205"/>
        <v>-0.14256622119759488</v>
      </c>
    </row>
    <row r="264" spans="1:149" x14ac:dyDescent="0.3">
      <c r="A264" s="70" t="s">
        <v>4006</v>
      </c>
      <c r="DZ264" s="913" t="s">
        <v>4030</v>
      </c>
      <c r="EA264" s="913" t="s">
        <v>4030</v>
      </c>
      <c r="EB264" s="913" t="s">
        <v>4030</v>
      </c>
      <c r="EC264" s="913" t="s">
        <v>4030</v>
      </c>
      <c r="ED264" s="914" t="s">
        <v>4030</v>
      </c>
      <c r="EE264" s="87">
        <v>0.01</v>
      </c>
      <c r="EF264" s="87">
        <v>0.01</v>
      </c>
      <c r="EG264" s="87">
        <v>0.01</v>
      </c>
      <c r="EH264" s="87">
        <v>0.01</v>
      </c>
      <c r="EI264" s="914" t="s">
        <v>4030</v>
      </c>
      <c r="EJ264" s="87">
        <v>0.01</v>
      </c>
      <c r="EK264" s="87">
        <v>0.01</v>
      </c>
      <c r="EL264" s="87">
        <v>0.01</v>
      </c>
      <c r="EM264" s="87">
        <v>0.01</v>
      </c>
      <c r="EN264" s="87">
        <v>0.01</v>
      </c>
      <c r="EO264" s="87">
        <v>0.01</v>
      </c>
      <c r="EP264" s="87">
        <v>0.01</v>
      </c>
      <c r="EQ264" s="87">
        <v>0.01</v>
      </c>
      <c r="ER264" s="87">
        <v>0.01</v>
      </c>
      <c r="ES264" s="87">
        <v>0.01</v>
      </c>
    </row>
    <row r="265" spans="1:149" x14ac:dyDescent="0.3">
      <c r="A265" s="30"/>
    </row>
    <row r="266" spans="1:149" x14ac:dyDescent="0.3">
      <c r="A266" s="30"/>
    </row>
    <row r="267" spans="1:149" x14ac:dyDescent="0.3">
      <c r="A267" s="846" t="s">
        <v>280</v>
      </c>
    </row>
    <row r="268" spans="1:149" x14ac:dyDescent="0.3">
      <c r="A268" s="67" t="s">
        <v>1905</v>
      </c>
      <c r="DU268" s="1060">
        <f>Inputs!DU430</f>
        <v>39.53</v>
      </c>
      <c r="DV268" s="1060">
        <f>Inputs!DV430</f>
        <v>40.18</v>
      </c>
      <c r="DW268" s="1060">
        <f>Inputs!DW430</f>
        <v>40.75</v>
      </c>
      <c r="DX268" s="1060">
        <f>Inputs!DX430</f>
        <v>40.97</v>
      </c>
      <c r="DY268" s="591">
        <f>+DY276/AVERAGE(DU$490:DX$490)/12*1000</f>
        <v>40.351782039674049</v>
      </c>
      <c r="DZ268" s="1060">
        <f>Inputs!DZ430</f>
        <v>41.15</v>
      </c>
      <c r="EA268" s="1060">
        <f>Inputs!EA430</f>
        <v>41.93</v>
      </c>
      <c r="EB268" s="1060">
        <f>Inputs!EB430</f>
        <v>42.16</v>
      </c>
      <c r="EC268" s="1060">
        <f>Inputs!EC430</f>
        <v>42.61</v>
      </c>
      <c r="ED268" s="591">
        <f>+ED276/AVERAGE(DZ$490:EC$490)/12*1000</f>
        <v>41.976148207741119</v>
      </c>
      <c r="EE268" s="1060">
        <f>Inputs!EE430</f>
        <v>43.23</v>
      </c>
      <c r="EF268" s="1060">
        <f>Inputs!EF430</f>
        <v>44.8</v>
      </c>
      <c r="EG268" s="480">
        <f>EB268*(1+EG269)</f>
        <v>45.045742904841397</v>
      </c>
      <c r="EH268" s="480">
        <f>EC268*(1+EH269)</f>
        <v>45.526544240400668</v>
      </c>
      <c r="EI268" s="591">
        <f>+EI276/AVERAGE(EE$490:EH$490)/12*1000</f>
        <v>44.228739275973034</v>
      </c>
      <c r="EJ268" s="480">
        <f>EI268*(1+EJ269)</f>
        <v>46.602212481736146</v>
      </c>
      <c r="EK268" s="480">
        <f t="shared" ref="EK268:ES268" si="206">EJ268*(1+EK269)</f>
        <v>49.103054795248973</v>
      </c>
      <c r="EL268" s="480">
        <f t="shared" si="206"/>
        <v>51.738101300880516</v>
      </c>
      <c r="EM268" s="480">
        <f t="shared" si="206"/>
        <v>54.514553878207479</v>
      </c>
      <c r="EN268" s="480">
        <f t="shared" si="206"/>
        <v>57.440000885564181</v>
      </c>
      <c r="EO268" s="480">
        <f t="shared" si="206"/>
        <v>60.522437899882554</v>
      </c>
      <c r="EP268" s="480">
        <f t="shared" si="206"/>
        <v>63.770289569506545</v>
      </c>
      <c r="EQ268" s="480">
        <f t="shared" si="206"/>
        <v>67.192432639707107</v>
      </c>
      <c r="ER268" s="480">
        <f t="shared" si="206"/>
        <v>70.798220213829168</v>
      </c>
      <c r="ES268" s="480">
        <f t="shared" si="206"/>
        <v>74.597507316378923</v>
      </c>
    </row>
    <row r="269" spans="1:149" x14ac:dyDescent="0.3">
      <c r="A269" s="70" t="s">
        <v>363</v>
      </c>
      <c r="DZ269" s="75">
        <f t="shared" ref="DZ269:EF269" si="207">+DZ268/DU268-1</f>
        <v>4.0981533012901528E-2</v>
      </c>
      <c r="EA269" s="75">
        <f t="shared" si="207"/>
        <v>4.355400696864109E-2</v>
      </c>
      <c r="EB269" s="75">
        <f t="shared" si="207"/>
        <v>3.460122699386492E-2</v>
      </c>
      <c r="EC269" s="75">
        <f t="shared" si="207"/>
        <v>4.002928972418851E-2</v>
      </c>
      <c r="ED269" s="84">
        <f t="shared" si="207"/>
        <v>4.0255128422085118E-2</v>
      </c>
      <c r="EE269" s="75">
        <f t="shared" si="207"/>
        <v>5.054678007290403E-2</v>
      </c>
      <c r="EF269" s="75">
        <f t="shared" si="207"/>
        <v>6.8447412353923154E-2</v>
      </c>
      <c r="EG269" s="74">
        <f>EF269</f>
        <v>6.8447412353923154E-2</v>
      </c>
      <c r="EH269" s="74">
        <f>EG269</f>
        <v>6.8447412353923154E-2</v>
      </c>
      <c r="EI269" s="84">
        <f>+EI268/ED268-1</f>
        <v>5.3663596218590071E-2</v>
      </c>
      <c r="EJ269" s="74">
        <f>EI269</f>
        <v>5.3663596218590071E-2</v>
      </c>
      <c r="EK269" s="74">
        <f t="shared" ref="EK269:ES269" si="208">EJ269</f>
        <v>5.3663596218590071E-2</v>
      </c>
      <c r="EL269" s="74">
        <f t="shared" si="208"/>
        <v>5.3663596218590071E-2</v>
      </c>
      <c r="EM269" s="74">
        <f t="shared" si="208"/>
        <v>5.3663596218590071E-2</v>
      </c>
      <c r="EN269" s="74">
        <f t="shared" si="208"/>
        <v>5.3663596218590071E-2</v>
      </c>
      <c r="EO269" s="74">
        <f t="shared" si="208"/>
        <v>5.3663596218590071E-2</v>
      </c>
      <c r="EP269" s="74">
        <f t="shared" si="208"/>
        <v>5.3663596218590071E-2</v>
      </c>
      <c r="EQ269" s="74">
        <f t="shared" si="208"/>
        <v>5.3663596218590071E-2</v>
      </c>
      <c r="ER269" s="74">
        <f t="shared" si="208"/>
        <v>5.3663596218590071E-2</v>
      </c>
      <c r="ES269" s="74">
        <f t="shared" si="208"/>
        <v>5.3663596218590071E-2</v>
      </c>
    </row>
    <row r="270" spans="1:149" x14ac:dyDescent="0.3">
      <c r="A270" s="67" t="s">
        <v>1907</v>
      </c>
      <c r="DU270" s="650">
        <f>+DV270</f>
        <v>51.801245644360307</v>
      </c>
      <c r="DV270" s="650">
        <f>+DW270</f>
        <v>51.801245644360307</v>
      </c>
      <c r="DW270" s="650">
        <f>+DX270</f>
        <v>51.801245644360307</v>
      </c>
      <c r="DX270" s="650">
        <f>+DY270</f>
        <v>51.801245644360307</v>
      </c>
      <c r="DY270" s="591">
        <f>+DY277/AVERAGE(DU$490:DX$490)/12*1000</f>
        <v>51.801245644360307</v>
      </c>
      <c r="DZ270" s="480">
        <f>+DU270*(1+DZ271)</f>
        <v>46.621121079924279</v>
      </c>
      <c r="EA270" s="480">
        <f>+DV270*(1+EA271)</f>
        <v>46.621121079924279</v>
      </c>
      <c r="EB270" s="480">
        <f>+DW270*(1+EB271)</f>
        <v>46.621121079924279</v>
      </c>
      <c r="EC270" s="480">
        <f>+DX270*(1+EC271)</f>
        <v>46.621121079924279</v>
      </c>
      <c r="ED270" s="591">
        <f>+ED277/AVERAGE(DZ$490:EC$490)/12*1000</f>
        <v>46.646125703726874</v>
      </c>
      <c r="EE270" s="480">
        <f>+DZ270*(1+EE271)</f>
        <v>34.965840809943209</v>
      </c>
      <c r="EF270" s="480">
        <f>+EA270*(1+EF271)</f>
        <v>34.965840809943209</v>
      </c>
      <c r="EG270" s="480">
        <f>+EB270*(1+EG271)</f>
        <v>34.965840809943209</v>
      </c>
      <c r="EH270" s="480">
        <f>+EC270*(1+EH271)</f>
        <v>34.965840809943209</v>
      </c>
      <c r="EI270" s="591">
        <f>+EI277/AVERAGE(EE$490:EH$490)/12*1000</f>
        <v>34.654169300606974</v>
      </c>
      <c r="EJ270" s="480">
        <f>EI270*(1+EJ271)</f>
        <v>34.654169300606974</v>
      </c>
      <c r="EK270" s="480">
        <f t="shared" ref="EK270:ES270" si="209">EJ270*(1+EK271)</f>
        <v>34.654169300606974</v>
      </c>
      <c r="EL270" s="480">
        <f t="shared" si="209"/>
        <v>34.654169300606974</v>
      </c>
      <c r="EM270" s="480">
        <f t="shared" si="209"/>
        <v>34.654169300606974</v>
      </c>
      <c r="EN270" s="480">
        <f t="shared" si="209"/>
        <v>34.654169300606974</v>
      </c>
      <c r="EO270" s="480">
        <f t="shared" si="209"/>
        <v>34.654169300606974</v>
      </c>
      <c r="EP270" s="480">
        <f t="shared" si="209"/>
        <v>34.654169300606974</v>
      </c>
      <c r="EQ270" s="480">
        <f t="shared" si="209"/>
        <v>34.654169300606974</v>
      </c>
      <c r="ER270" s="480">
        <f t="shared" si="209"/>
        <v>34.654169300606974</v>
      </c>
      <c r="ES270" s="480">
        <f t="shared" si="209"/>
        <v>34.654169300606974</v>
      </c>
    </row>
    <row r="271" spans="1:149" x14ac:dyDescent="0.3">
      <c r="A271" s="70" t="s">
        <v>363</v>
      </c>
      <c r="DZ271" s="87">
        <v>-0.1</v>
      </c>
      <c r="EA271" s="87">
        <f>+DZ271</f>
        <v>-0.1</v>
      </c>
      <c r="EB271" s="87">
        <f>+EA271</f>
        <v>-0.1</v>
      </c>
      <c r="EC271" s="87">
        <f>+EB271</f>
        <v>-0.1</v>
      </c>
      <c r="ED271" s="84">
        <f>+ED270/DY270-1</f>
        <v>-9.9517296862429383E-2</v>
      </c>
      <c r="EE271" s="87">
        <v>-0.25</v>
      </c>
      <c r="EF271" s="87">
        <f>+EE271</f>
        <v>-0.25</v>
      </c>
      <c r="EG271" s="87">
        <f>+EF271</f>
        <v>-0.25</v>
      </c>
      <c r="EH271" s="87">
        <f>+EG271</f>
        <v>-0.25</v>
      </c>
      <c r="EI271" s="84">
        <f>+EI270/ED270-1</f>
        <v>-0.25708365319098259</v>
      </c>
      <c r="EJ271" s="87">
        <v>0</v>
      </c>
      <c r="EK271" s="87">
        <v>0</v>
      </c>
      <c r="EL271" s="87">
        <v>0</v>
      </c>
      <c r="EM271" s="87">
        <v>0</v>
      </c>
      <c r="EN271" s="87">
        <v>0</v>
      </c>
      <c r="EO271" s="87">
        <v>0</v>
      </c>
      <c r="EP271" s="87">
        <v>0</v>
      </c>
      <c r="EQ271" s="87">
        <v>0</v>
      </c>
      <c r="ER271" s="87">
        <v>0</v>
      </c>
      <c r="ES271" s="87">
        <v>0</v>
      </c>
    </row>
    <row r="272" spans="1:149" x14ac:dyDescent="0.3">
      <c r="A272" s="67" t="s">
        <v>1913</v>
      </c>
      <c r="DU272" s="1060">
        <f>Inputs!DU443</f>
        <v>61.95</v>
      </c>
      <c r="DV272" s="1060">
        <f>Inputs!DV443</f>
        <v>64.069999999999993</v>
      </c>
      <c r="DW272" s="1060">
        <f>Inputs!DW443</f>
        <v>63.53</v>
      </c>
      <c r="DX272" s="1060">
        <f>Inputs!DX443</f>
        <v>64.09</v>
      </c>
      <c r="DY272" s="591">
        <f>+DY306/AVERAGE(DU$297:DX$297)/12*1000</f>
        <v>64.490308724832218</v>
      </c>
      <c r="DZ272" s="1060">
        <f>Inputs!DZ443</f>
        <v>65.209999999999994</v>
      </c>
      <c r="EA272" s="1060">
        <f>Inputs!EA443</f>
        <v>64.739999999999995</v>
      </c>
      <c r="EB272" s="1060">
        <f>Inputs!EB443</f>
        <v>64.92</v>
      </c>
      <c r="EC272" s="1060">
        <f>Inputs!EC443</f>
        <v>66.12</v>
      </c>
      <c r="ED272" s="591">
        <f>+ED306/AVERAGE(DZ$297:EC$297)/12*1000</f>
        <v>66.501889580093334</v>
      </c>
      <c r="EE272" s="1060">
        <f>Inputs!EE443</f>
        <v>65.739999999999995</v>
      </c>
      <c r="EF272" s="1060">
        <f>Inputs!EF443</f>
        <v>64.2</v>
      </c>
      <c r="EG272" s="480">
        <f>EB272*(1+EG273)</f>
        <v>64.378498609823922</v>
      </c>
      <c r="EH272" s="480">
        <f>EC272*(1+EH273)</f>
        <v>65.568489341983323</v>
      </c>
      <c r="EI272" s="591">
        <f>+EI306/AVERAGE(EE$297:EH$297)/12*1000</f>
        <v>66.03069951159803</v>
      </c>
      <c r="EJ272" s="480">
        <f>EI272*(1+EJ273)</f>
        <v>66.691006506714004</v>
      </c>
      <c r="EK272" s="480">
        <f t="shared" ref="EK272:ES272" si="210">EJ272*(1+EK273)</f>
        <v>67.357916571781146</v>
      </c>
      <c r="EL272" s="480">
        <f t="shared" si="210"/>
        <v>68.031495737498958</v>
      </c>
      <c r="EM272" s="480">
        <f t="shared" si="210"/>
        <v>68.711810694873947</v>
      </c>
      <c r="EN272" s="480">
        <f t="shared" si="210"/>
        <v>69.398928801822692</v>
      </c>
      <c r="EO272" s="480">
        <f t="shared" si="210"/>
        <v>70.092918089840921</v>
      </c>
      <c r="EP272" s="480">
        <f t="shared" si="210"/>
        <v>70.793847270739334</v>
      </c>
      <c r="EQ272" s="480">
        <f t="shared" si="210"/>
        <v>71.501785743446732</v>
      </c>
      <c r="ER272" s="480">
        <f t="shared" si="210"/>
        <v>72.216803600881207</v>
      </c>
      <c r="ES272" s="480">
        <f t="shared" si="210"/>
        <v>72.938971636890017</v>
      </c>
    </row>
    <row r="273" spans="1:149" x14ac:dyDescent="0.3">
      <c r="A273" s="70" t="s">
        <v>363</v>
      </c>
      <c r="DZ273" s="75">
        <f t="shared" ref="DZ273:EF273" si="211">+DZ272/DU272-1</f>
        <v>5.2623083131557502E-2</v>
      </c>
      <c r="EA273" s="75">
        <f t="shared" si="211"/>
        <v>1.0457312314655853E-2</v>
      </c>
      <c r="EB273" s="75">
        <f t="shared" si="211"/>
        <v>2.1879427042342137E-2</v>
      </c>
      <c r="EC273" s="75">
        <f t="shared" si="211"/>
        <v>3.167420814479649E-2</v>
      </c>
      <c r="ED273" s="84">
        <f t="shared" si="211"/>
        <v>3.119198675019752E-2</v>
      </c>
      <c r="EE273" s="75">
        <f t="shared" si="211"/>
        <v>8.1275877932831531E-3</v>
      </c>
      <c r="EF273" s="75">
        <f t="shared" si="211"/>
        <v>-8.3410565338275511E-3</v>
      </c>
      <c r="EG273" s="99">
        <f>EF273</f>
        <v>-8.3410565338275511E-3</v>
      </c>
      <c r="EH273" s="99">
        <f>EG273</f>
        <v>-8.3410565338275511E-3</v>
      </c>
      <c r="EI273" s="84">
        <f>+EI272/ED272-1</f>
        <v>-7.0853636110266294E-3</v>
      </c>
      <c r="EJ273" s="99">
        <v>0.01</v>
      </c>
      <c r="EK273" s="99">
        <f t="shared" ref="EK273:ES273" si="212">EJ273</f>
        <v>0.01</v>
      </c>
      <c r="EL273" s="99">
        <f t="shared" si="212"/>
        <v>0.01</v>
      </c>
      <c r="EM273" s="99">
        <f t="shared" si="212"/>
        <v>0.01</v>
      </c>
      <c r="EN273" s="99">
        <f t="shared" si="212"/>
        <v>0.01</v>
      </c>
      <c r="EO273" s="99">
        <f t="shared" si="212"/>
        <v>0.01</v>
      </c>
      <c r="EP273" s="99">
        <f t="shared" si="212"/>
        <v>0.01</v>
      </c>
      <c r="EQ273" s="99">
        <f t="shared" si="212"/>
        <v>0.01</v>
      </c>
      <c r="ER273" s="99">
        <f t="shared" si="212"/>
        <v>0.01</v>
      </c>
      <c r="ES273" s="99">
        <f t="shared" si="212"/>
        <v>0.01</v>
      </c>
    </row>
    <row r="274" spans="1:149" x14ac:dyDescent="0.3">
      <c r="A274" s="70"/>
      <c r="DZ274" s="87"/>
      <c r="EA274" s="87"/>
      <c r="EB274" s="87"/>
      <c r="EC274" s="87"/>
      <c r="ED274" s="84"/>
      <c r="EE274" s="87"/>
    </row>
    <row r="275" spans="1:149" x14ac:dyDescent="0.3">
      <c r="A275" s="846" t="s">
        <v>284</v>
      </c>
    </row>
    <row r="276" spans="1:149" x14ac:dyDescent="0.3">
      <c r="A276" s="67" t="s">
        <v>1905</v>
      </c>
      <c r="DU276" s="76">
        <f>+DU268*AVERAGE(DU215,DU218)*3/1000</f>
        <v>186.71995500000003</v>
      </c>
      <c r="DV276" s="76">
        <f>+DV268*AVERAGE(DV215,DV218)*3/1000</f>
        <v>186.11376000000001</v>
      </c>
      <c r="DW276" s="76">
        <f>+DW268*AVERAGE(DW215,DW218)*3/1000</f>
        <v>183.25274999999999</v>
      </c>
      <c r="DX276" s="76">
        <f>+DX268*AVERAGE(DX215,DX218)*3/1000</f>
        <v>179.26423499999999</v>
      </c>
      <c r="DY276" s="85">
        <f>+SUM(DU276:DX276)</f>
        <v>735.35070000000007</v>
      </c>
      <c r="DZ276" s="76">
        <f>+DZ268*AVERAGE(DZ215,DZ218)*3/1000</f>
        <v>176.59522499999997</v>
      </c>
      <c r="EA276" s="76">
        <f>+EA268*AVERAGE(EA215,EA218)*3/1000</f>
        <v>177.36390000000003</v>
      </c>
      <c r="EB276" s="76">
        <f>+EB268*AVERAGE(EB215,EB218)*3/1000</f>
        <v>175.93367999999998</v>
      </c>
      <c r="EC276" s="76">
        <f>+EC268*AVERAGE(EC215,EC218)*3/1000</f>
        <v>174.48795000000001</v>
      </c>
      <c r="ED276" s="85">
        <f>+SUM(DZ276:EC276)</f>
        <v>704.38075499999991</v>
      </c>
      <c r="EE276" s="76">
        <f>+EE268*AVERAGE(EE215,EE218)*3/1000</f>
        <v>173.52521999999999</v>
      </c>
      <c r="EF276" s="76">
        <f>+EF268*AVERAGE(EF215,EF218)*3/1000</f>
        <v>176.33279999999999</v>
      </c>
      <c r="EG276" s="76">
        <f>+EG268*AVERAGE(EG215,EG218)*3/1000</f>
        <v>172.18841266722498</v>
      </c>
      <c r="EH276" s="76">
        <f>+EH268*AVERAGE(EH215,EH218)*3/1000</f>
        <v>167.95600451098724</v>
      </c>
      <c r="EI276" s="76">
        <f>SUM(EE276:EH276)</f>
        <v>690.00243717821218</v>
      </c>
      <c r="EJ276" s="76">
        <f t="shared" ref="EJ276:ES276" si="213">+EJ268*AVERAGE(EJ215,EJ218)*12/1000</f>
        <v>633.49329979879462</v>
      </c>
      <c r="EK276" s="76">
        <f t="shared" si="213"/>
        <v>578.98477977617154</v>
      </c>
      <c r="EL276" s="76">
        <f t="shared" si="213"/>
        <v>517.948630186012</v>
      </c>
      <c r="EM276" s="76">
        <f t="shared" si="213"/>
        <v>452.21280560353432</v>
      </c>
      <c r="EN276" s="76">
        <f t="shared" si="213"/>
        <v>385.83555262748422</v>
      </c>
      <c r="EO276" s="76">
        <f t="shared" si="213"/>
        <v>324.38850147684082</v>
      </c>
      <c r="EP276" s="76">
        <f t="shared" si="213"/>
        <v>271.70626245417043</v>
      </c>
      <c r="EQ276" s="76">
        <f t="shared" si="213"/>
        <v>227.92311879413168</v>
      </c>
      <c r="ER276" s="76">
        <f t="shared" si="213"/>
        <v>191.70951843036693</v>
      </c>
      <c r="ES276" s="76">
        <f t="shared" si="213"/>
        <v>161.87447886288487</v>
      </c>
    </row>
    <row r="277" spans="1:149" x14ac:dyDescent="0.3">
      <c r="A277" s="67" t="s">
        <v>1907</v>
      </c>
      <c r="DU277" s="76">
        <f>+DU270*AVERAGE(DU215,DU218)*3/1000</f>
        <v>244.6831838011359</v>
      </c>
      <c r="DV277" s="76">
        <f>+DV270*AVERAGE(DV215,DV218)*3/1000</f>
        <v>239.94336982467695</v>
      </c>
      <c r="DW277" s="76">
        <f>+DW270*AVERAGE(DW215,DW218)*3/1000</f>
        <v>232.9502016626883</v>
      </c>
      <c r="DX277" s="76">
        <f>+DX270*AVERAGE(DX215,DX218)*3/1000</f>
        <v>226.65635031689848</v>
      </c>
      <c r="DY277" s="463">
        <v>944</v>
      </c>
      <c r="DZ277" s="76">
        <f>+DZ270*AVERAGE(DZ215,DZ218)*3/1000</f>
        <v>200.07454111449505</v>
      </c>
      <c r="EA277" s="76">
        <f>+EA270*AVERAGE(EA215,EA218)*3/1000</f>
        <v>197.20734216807969</v>
      </c>
      <c r="EB277" s="76">
        <f>+EB270*AVERAGE(EB215,EB218)*3/1000</f>
        <v>194.54993826652401</v>
      </c>
      <c r="EC277" s="76">
        <f>+EC270*AVERAGE(EC215,EC218)*3/1000</f>
        <v>190.91349082228993</v>
      </c>
      <c r="ED277" s="85">
        <f>+SUM(DZ277:EC277)</f>
        <v>782.74531237138876</v>
      </c>
      <c r="EE277" s="76">
        <f>+EE270*AVERAGE(EE215,EE218)*3/1000</f>
        <v>140.35288501111202</v>
      </c>
      <c r="EF277" s="76">
        <f>+EF270*AVERAGE(EF215,EF218)*3/1000</f>
        <v>137.62554942793648</v>
      </c>
      <c r="EG277" s="76">
        <f>+EG270*AVERAGE(EG215,EG218)*3/1000</f>
        <v>133.65774962037327</v>
      </c>
      <c r="EH277" s="76">
        <f>+EH270*AVERAGE(EH215,EH218)*3/1000</f>
        <v>128.99557861880885</v>
      </c>
      <c r="EI277" s="85">
        <f>+SUM(EE277:EH277)</f>
        <v>540.63176267823064</v>
      </c>
      <c r="EJ277" s="76">
        <f t="shared" ref="EJ277:ES277" si="214">+EJ270*AVERAGE(EJ215,EJ218)*12/1000</f>
        <v>471.07600461311279</v>
      </c>
      <c r="EK277" s="76">
        <f t="shared" si="214"/>
        <v>408.61483393451584</v>
      </c>
      <c r="EL277" s="76">
        <f t="shared" si="214"/>
        <v>346.92188287122281</v>
      </c>
      <c r="EM277" s="76">
        <f t="shared" si="214"/>
        <v>287.4656034111278</v>
      </c>
      <c r="EN277" s="76">
        <f t="shared" si="214"/>
        <v>232.77873183853728</v>
      </c>
      <c r="EO277" s="76">
        <f t="shared" si="214"/>
        <v>185.73961062084797</v>
      </c>
      <c r="EP277" s="76">
        <f t="shared" si="214"/>
        <v>147.65112221827462</v>
      </c>
      <c r="EQ277" s="76">
        <f t="shared" si="214"/>
        <v>117.55023647628163</v>
      </c>
      <c r="ER277" s="76">
        <f t="shared" si="214"/>
        <v>93.837586427434985</v>
      </c>
      <c r="ES277" s="76">
        <f t="shared" si="214"/>
        <v>75.198566249280901</v>
      </c>
    </row>
    <row r="278" spans="1:149" x14ac:dyDescent="0.3">
      <c r="A278" s="67" t="s">
        <v>1908</v>
      </c>
      <c r="DU278" s="76">
        <f>DU279-SUM(DU276:DU277)</f>
        <v>84.828207323864149</v>
      </c>
      <c r="DV278" s="76">
        <f>DV279-SUM(DV276:DV277)</f>
        <v>76.497799616573047</v>
      </c>
      <c r="DW278" s="76">
        <f>DW279-SUM(DW276:DW277)</f>
        <v>69.949845095324235</v>
      </c>
      <c r="DX278" s="76">
        <f>DX279-SUM(DX276:DX277)</f>
        <v>70.140342358839007</v>
      </c>
      <c r="DY278" s="85">
        <f>SUM(DU278:DX278)</f>
        <v>301.41619439460044</v>
      </c>
      <c r="DZ278" s="76">
        <f>DZ279-SUM(DZ276:DZ277)</f>
        <v>37.804548499306236</v>
      </c>
      <c r="EA278" s="76">
        <f>EA279-SUM(EA276:EA277)</f>
        <v>26.108411564145854</v>
      </c>
      <c r="EB278" s="76">
        <f>EB279-SUM(EB276:EB277)</f>
        <v>19.506931682594313</v>
      </c>
      <c r="EC278" s="76">
        <f>EC279-SUM(EC276:EC277)</f>
        <v>24.847823220862438</v>
      </c>
      <c r="ED278" s="85">
        <f>SUM(DZ278:EC278)</f>
        <v>108.26771496690884</v>
      </c>
      <c r="EE278" s="76">
        <f>EE279-SUM(EE276:EE277)</f>
        <v>28.940043489585719</v>
      </c>
      <c r="EF278" s="76">
        <f>EF279-SUM(EF276:EF277)</f>
        <v>7.2869518566062084</v>
      </c>
      <c r="EG278" s="104">
        <f>EF278</f>
        <v>7.2869518566062084</v>
      </c>
      <c r="EH278" s="104">
        <f>EG278</f>
        <v>7.2869518566062084</v>
      </c>
      <c r="EI278" s="104">
        <f>SUM(EE278:EH278)</f>
        <v>50.800899059404344</v>
      </c>
      <c r="EJ278" s="104">
        <f>EI278</f>
        <v>50.800899059404344</v>
      </c>
      <c r="EK278" s="104">
        <f t="shared" ref="EK278:ES278" si="215">EJ278</f>
        <v>50.800899059404344</v>
      </c>
      <c r="EL278" s="104">
        <f t="shared" si="215"/>
        <v>50.800899059404344</v>
      </c>
      <c r="EM278" s="104">
        <f t="shared" si="215"/>
        <v>50.800899059404344</v>
      </c>
      <c r="EN278" s="104">
        <f t="shared" si="215"/>
        <v>50.800899059404344</v>
      </c>
      <c r="EO278" s="104">
        <f t="shared" si="215"/>
        <v>50.800899059404344</v>
      </c>
      <c r="EP278" s="104">
        <f t="shared" si="215"/>
        <v>50.800899059404344</v>
      </c>
      <c r="EQ278" s="104">
        <f t="shared" si="215"/>
        <v>50.800899059404344</v>
      </c>
      <c r="ER278" s="104">
        <f t="shared" si="215"/>
        <v>50.800899059404344</v>
      </c>
      <c r="ES278" s="104">
        <f t="shared" si="215"/>
        <v>50.800899059404344</v>
      </c>
    </row>
    <row r="279" spans="1:149" x14ac:dyDescent="0.3">
      <c r="A279" s="64" t="s">
        <v>1909</v>
      </c>
      <c r="DU279" s="803">
        <f>DU351-DU151-DU260</f>
        <v>516.23134612500007</v>
      </c>
      <c r="DV279" s="803">
        <f>DV351-DV151-DV260</f>
        <v>502.55492944125001</v>
      </c>
      <c r="DW279" s="803">
        <f>DW351-DW151-DW260</f>
        <v>486.15279675801253</v>
      </c>
      <c r="DX279" s="803">
        <f>DX351-DX151-DX260</f>
        <v>476.0609276757375</v>
      </c>
      <c r="DY279" s="803">
        <f>SUM(DU279:DX279)</f>
        <v>1981.0000000000002</v>
      </c>
      <c r="DZ279" s="803">
        <f>DZ351-DZ151-DZ260</f>
        <v>414.47431461380125</v>
      </c>
      <c r="EA279" s="803">
        <f>EA351-EA151-EA260</f>
        <v>400.67965373222557</v>
      </c>
      <c r="EB279" s="803">
        <f>EB351-EB151-EB260</f>
        <v>389.9905499491183</v>
      </c>
      <c r="EC279" s="803">
        <f>EC351-EC151-EC260</f>
        <v>390.24926404315238</v>
      </c>
      <c r="ED279" s="803">
        <f>SUM(DZ279:EC279)</f>
        <v>1595.3937823382976</v>
      </c>
      <c r="EE279" s="803">
        <f>EE351-EE151-EE260</f>
        <v>342.8181485006977</v>
      </c>
      <c r="EF279" s="803">
        <f>EF351-EF151-EF260</f>
        <v>321.24530128454268</v>
      </c>
      <c r="EG279" s="76">
        <f>SUM(EG276:EG278)</f>
        <v>313.13311414420446</v>
      </c>
      <c r="EH279" s="76">
        <f>SUM(EH276:EH278)</f>
        <v>304.23853498640227</v>
      </c>
      <c r="EI279" s="85">
        <f>SUM(EE279:EH279)</f>
        <v>1281.4350989158472</v>
      </c>
      <c r="EJ279" s="76">
        <f t="shared" ref="EJ279:ES279" si="216">SUM(EJ276:EJ278)</f>
        <v>1155.3702034713119</v>
      </c>
      <c r="EK279" s="76">
        <f t="shared" si="216"/>
        <v>1038.4005127700918</v>
      </c>
      <c r="EL279" s="76">
        <f t="shared" si="216"/>
        <v>915.6714121166392</v>
      </c>
      <c r="EM279" s="76">
        <f t="shared" si="216"/>
        <v>790.47930807406647</v>
      </c>
      <c r="EN279" s="76">
        <f t="shared" si="216"/>
        <v>669.41518352542585</v>
      </c>
      <c r="EO279" s="76">
        <f t="shared" si="216"/>
        <v>560.9290111570931</v>
      </c>
      <c r="EP279" s="76">
        <f t="shared" si="216"/>
        <v>470.15828373184939</v>
      </c>
      <c r="EQ279" s="76">
        <f t="shared" si="216"/>
        <v>396.27425432981767</v>
      </c>
      <c r="ER279" s="76">
        <f t="shared" si="216"/>
        <v>336.34800391720626</v>
      </c>
      <c r="ES279" s="76">
        <f t="shared" si="216"/>
        <v>287.87394417157009</v>
      </c>
    </row>
    <row r="280" spans="1:149" x14ac:dyDescent="0.3">
      <c r="A280" s="64"/>
      <c r="DU280" s="85"/>
      <c r="DV280" s="85"/>
      <c r="DW280" s="85"/>
      <c r="DX280" s="85"/>
      <c r="DY280" s="85"/>
      <c r="DZ280" s="85"/>
      <c r="EA280" s="85"/>
      <c r="EB280" s="85"/>
      <c r="EC280" s="85"/>
      <c r="ED280" s="85"/>
      <c r="EE280" s="85"/>
    </row>
    <row r="281" spans="1:149" x14ac:dyDescent="0.3">
      <c r="A281" s="30"/>
    </row>
    <row r="282" spans="1:149" x14ac:dyDescent="0.3">
      <c r="A282" s="68" t="s">
        <v>349</v>
      </c>
    </row>
    <row r="283" spans="1:149" x14ac:dyDescent="0.3">
      <c r="A283" s="67" t="s">
        <v>350</v>
      </c>
      <c r="DU283" s="76">
        <v>0</v>
      </c>
      <c r="DV283" s="76">
        <f>+DU286</f>
        <v>0</v>
      </c>
      <c r="DW283" s="76">
        <f>+DV286</f>
        <v>0</v>
      </c>
      <c r="DX283" s="76">
        <f>+DW286</f>
        <v>0</v>
      </c>
      <c r="DY283" s="85">
        <f>+DU283</f>
        <v>0</v>
      </c>
      <c r="DZ283" s="76">
        <f>+DY286</f>
        <v>0</v>
      </c>
      <c r="EA283" s="76">
        <f>+DZ286</f>
        <v>0</v>
      </c>
      <c r="EB283" s="76">
        <f>+EA286</f>
        <v>0</v>
      </c>
      <c r="EC283" s="76">
        <f>+EB286</f>
        <v>0</v>
      </c>
      <c r="ED283" s="85">
        <f>+DZ283</f>
        <v>0</v>
      </c>
      <c r="EE283" s="76">
        <f>+ED286</f>
        <v>0</v>
      </c>
      <c r="EF283" s="76">
        <f>+EE286</f>
        <v>0</v>
      </c>
      <c r="EG283" s="76">
        <f>+EF286</f>
        <v>0</v>
      </c>
      <c r="EH283" s="76">
        <f>+EG286</f>
        <v>0.57378515625000082</v>
      </c>
      <c r="EI283" s="85">
        <f>+EE283</f>
        <v>0</v>
      </c>
      <c r="EJ283" s="76">
        <f t="shared" ref="EJ283:ES283" si="217">+EI286</f>
        <v>1.3447486757812519</v>
      </c>
      <c r="EK283" s="76">
        <f t="shared" si="217"/>
        <v>7.5235147124881472</v>
      </c>
      <c r="EL283" s="76">
        <f t="shared" si="217"/>
        <v>19.978504872285153</v>
      </c>
      <c r="EM283" s="76">
        <f t="shared" si="217"/>
        <v>39.948762318098034</v>
      </c>
      <c r="EN283" s="76">
        <f t="shared" si="217"/>
        <v>66.816203585326534</v>
      </c>
      <c r="EO283" s="76">
        <f t="shared" si="217"/>
        <v>97.332846849100662</v>
      </c>
      <c r="EP283" s="76">
        <f t="shared" si="217"/>
        <v>126.14122272657917</v>
      </c>
      <c r="EQ283" s="76">
        <f t="shared" si="217"/>
        <v>151.15656026321756</v>
      </c>
      <c r="ER283" s="76">
        <f t="shared" si="217"/>
        <v>173.19698087867374</v>
      </c>
      <c r="ES283" s="76">
        <f t="shared" si="217"/>
        <v>192.91434224943777</v>
      </c>
    </row>
    <row r="284" spans="1:149" x14ac:dyDescent="0.3">
      <c r="A284" s="67" t="s">
        <v>351</v>
      </c>
      <c r="DU284" s="76">
        <f>+DU286-DU285-DU283</f>
        <v>0</v>
      </c>
      <c r="DV284" s="76">
        <f>+DV286-DV285-DV283</f>
        <v>0</v>
      </c>
      <c r="DW284" s="76">
        <f>+DW286-DW285-DW283</f>
        <v>0</v>
      </c>
      <c r="DX284" s="76">
        <f>+DX286-DX285-DX283</f>
        <v>0</v>
      </c>
      <c r="DY284" s="85">
        <f>+SUM(DU284:DX284)</f>
        <v>0</v>
      </c>
      <c r="DZ284" s="76">
        <f>+DZ286-DZ285-DZ283</f>
        <v>0</v>
      </c>
      <c r="EA284" s="76">
        <f>+EA286-EA285-EA283</f>
        <v>0</v>
      </c>
      <c r="EB284" s="76">
        <f>+EB286-EB285-EB283</f>
        <v>0</v>
      </c>
      <c r="EC284" s="76">
        <f>+EC286-EC285-EC283</f>
        <v>0</v>
      </c>
      <c r="ED284" s="85">
        <f>+SUM(DZ284:EC284)</f>
        <v>0</v>
      </c>
      <c r="EE284" s="76">
        <f>+EE286-EE285-EE283</f>
        <v>0</v>
      </c>
      <c r="EF284" s="76">
        <f>+EF286-EF285-EF283</f>
        <v>0</v>
      </c>
      <c r="EG284" s="76">
        <f>+EG289*AVERAGE(EF195:EG195)</f>
        <v>0.57378515625000082</v>
      </c>
      <c r="EH284" s="76">
        <f>+EH289*AVERAGE(EG195:EH195)</f>
        <v>0.80022656250000113</v>
      </c>
      <c r="EI284" s="85">
        <f>+SUM(EE284:EH284)</f>
        <v>1.3740117187500021</v>
      </c>
      <c r="EJ284" s="76">
        <f t="shared" ref="EJ284:ES284" si="218">+EJ289*AVERAGE(EI195:EJ195)</f>
        <v>6.4530947665662701</v>
      </c>
      <c r="EK284" s="76">
        <f t="shared" si="218"/>
        <v>13.989787161144585</v>
      </c>
      <c r="EL284" s="76">
        <f t="shared" si="218"/>
        <v>24.045872439759052</v>
      </c>
      <c r="EM284" s="76">
        <f t="shared" si="218"/>
        <v>35.016988780120506</v>
      </c>
      <c r="EN284" s="76">
        <f t="shared" si="218"/>
        <v>44.147148795180748</v>
      </c>
      <c r="EO284" s="76">
        <f t="shared" si="218"/>
        <v>48.664276634695057</v>
      </c>
      <c r="EP284" s="76">
        <f t="shared" si="218"/>
        <v>50.748146972860532</v>
      </c>
      <c r="EQ284" s="76">
        <f t="shared" si="218"/>
        <v>52.876358909152572</v>
      </c>
      <c r="ER284" s="76">
        <f t="shared" si="218"/>
        <v>55.049545470013463</v>
      </c>
      <c r="ES284" s="76">
        <f t="shared" si="218"/>
        <v>57.268347908254498</v>
      </c>
    </row>
    <row r="285" spans="1:149" x14ac:dyDescent="0.3">
      <c r="A285" s="67" t="s">
        <v>337</v>
      </c>
      <c r="DU285" s="76">
        <f>+DU290*DU283*-3</f>
        <v>0</v>
      </c>
      <c r="DV285" s="76">
        <f>+DV290*DV283*-3</f>
        <v>0</v>
      </c>
      <c r="DW285" s="76">
        <f>+DW290*DW283*-3</f>
        <v>0</v>
      </c>
      <c r="DX285" s="76">
        <f>+DX290*DX283*-3</f>
        <v>0</v>
      </c>
      <c r="DY285" s="85">
        <f>+SUM(DU285:DX285)</f>
        <v>0</v>
      </c>
      <c r="DZ285" s="76">
        <f>+DZ290*DZ283*-3</f>
        <v>0</v>
      </c>
      <c r="EA285" s="76">
        <f>+EA290*EA283*-3</f>
        <v>0</v>
      </c>
      <c r="EB285" s="76">
        <f>+EB290*EB283*-3</f>
        <v>0</v>
      </c>
      <c r="EC285" s="76">
        <f>+EC290*EC283*-3</f>
        <v>0</v>
      </c>
      <c r="ED285" s="85">
        <f>+SUM(DZ285:EC285)</f>
        <v>0</v>
      </c>
      <c r="EE285" s="76">
        <f>+EE290*EE283*-3</f>
        <v>0</v>
      </c>
      <c r="EF285" s="76">
        <f>+EF290*EF283*-3</f>
        <v>0</v>
      </c>
      <c r="EG285" s="76">
        <f>+EG290*EG283*-3</f>
        <v>0</v>
      </c>
      <c r="EH285" s="76">
        <f>+EH290*EH283*-3</f>
        <v>-2.9263042968750042E-2</v>
      </c>
      <c r="EI285" s="85">
        <f>+SUM(EE285:EH285)</f>
        <v>-2.9263042968750042E-2</v>
      </c>
      <c r="EJ285" s="76">
        <f>+EJ290*EJ283*-12</f>
        <v>-0.2743287298593754</v>
      </c>
      <c r="EK285" s="76">
        <f t="shared" ref="EK285:ES285" si="219">+EK290*EK283*-12</f>
        <v>-1.5347970013475822</v>
      </c>
      <c r="EL285" s="76">
        <f t="shared" si="219"/>
        <v>-4.0756149939461714</v>
      </c>
      <c r="EM285" s="76">
        <f t="shared" si="219"/>
        <v>-8.1495475128919992</v>
      </c>
      <c r="EN285" s="76">
        <f t="shared" si="219"/>
        <v>-13.630505531406616</v>
      </c>
      <c r="EO285" s="76">
        <f t="shared" si="219"/>
        <v>-19.855900757216538</v>
      </c>
      <c r="EP285" s="76">
        <f t="shared" si="219"/>
        <v>-25.732809436222151</v>
      </c>
      <c r="EQ285" s="76">
        <f t="shared" si="219"/>
        <v>-30.835938293696387</v>
      </c>
      <c r="ER285" s="76">
        <f t="shared" si="219"/>
        <v>-35.332184099249446</v>
      </c>
      <c r="ES285" s="76">
        <f t="shared" si="219"/>
        <v>-39.354525818885307</v>
      </c>
    </row>
    <row r="286" spans="1:149" x14ac:dyDescent="0.3">
      <c r="A286" s="64" t="s">
        <v>352</v>
      </c>
      <c r="DU286" s="854">
        <v>0</v>
      </c>
      <c r="DV286" s="854">
        <v>0</v>
      </c>
      <c r="DW286" s="854">
        <v>0</v>
      </c>
      <c r="DX286" s="854">
        <v>0</v>
      </c>
      <c r="DY286" s="803">
        <f>+DX286</f>
        <v>0</v>
      </c>
      <c r="DZ286" s="854">
        <v>0</v>
      </c>
      <c r="EA286" s="854">
        <v>0</v>
      </c>
      <c r="EB286" s="854">
        <v>0</v>
      </c>
      <c r="EC286" s="854">
        <v>0</v>
      </c>
      <c r="ED286" s="803">
        <f>+EC286</f>
        <v>0</v>
      </c>
      <c r="EE286" s="854">
        <v>0</v>
      </c>
      <c r="EF286" s="854">
        <v>0</v>
      </c>
      <c r="EG286" s="850">
        <f>+SUM(EG283:EG285)</f>
        <v>0.57378515625000082</v>
      </c>
      <c r="EH286" s="850">
        <f>+SUM(EH283:EH285)</f>
        <v>1.3447486757812519</v>
      </c>
      <c r="EI286" s="803">
        <f>+EH286</f>
        <v>1.3447486757812519</v>
      </c>
      <c r="EJ286" s="850">
        <f t="shared" ref="EJ286:ES286" si="220">+SUM(EJ283:EJ285)</f>
        <v>7.5235147124881472</v>
      </c>
      <c r="EK286" s="850">
        <f t="shared" si="220"/>
        <v>19.978504872285153</v>
      </c>
      <c r="EL286" s="850">
        <f t="shared" si="220"/>
        <v>39.948762318098034</v>
      </c>
      <c r="EM286" s="850">
        <f t="shared" si="220"/>
        <v>66.816203585326534</v>
      </c>
      <c r="EN286" s="850">
        <f t="shared" si="220"/>
        <v>97.332846849100662</v>
      </c>
      <c r="EO286" s="850">
        <f t="shared" si="220"/>
        <v>126.14122272657917</v>
      </c>
      <c r="EP286" s="850">
        <f t="shared" si="220"/>
        <v>151.15656026321756</v>
      </c>
      <c r="EQ286" s="850">
        <f t="shared" si="220"/>
        <v>173.19698087867374</v>
      </c>
      <c r="ER286" s="850">
        <f t="shared" si="220"/>
        <v>192.91434224943777</v>
      </c>
      <c r="ES286" s="850">
        <f t="shared" si="220"/>
        <v>210.82816433880697</v>
      </c>
    </row>
    <row r="287" spans="1:149" x14ac:dyDescent="0.3">
      <c r="A287" s="69" t="s">
        <v>339</v>
      </c>
      <c r="DZ287" s="75"/>
      <c r="EA287" s="75"/>
      <c r="EB287" s="75"/>
      <c r="EC287" s="75"/>
      <c r="ED287" s="84"/>
      <c r="EE287" s="75"/>
      <c r="EF287" s="75"/>
      <c r="EG287" s="75"/>
      <c r="EH287" s="75"/>
      <c r="EI287" s="84"/>
      <c r="EJ287" s="75">
        <f t="shared" ref="EJ287:ES287" si="221">+EJ286/EI286-1</f>
        <v>4.5947366582214695</v>
      </c>
      <c r="EK287" s="75">
        <f t="shared" si="221"/>
        <v>1.6554749523016405</v>
      </c>
      <c r="EL287" s="75">
        <f t="shared" si="221"/>
        <v>0.99958718500082977</v>
      </c>
      <c r="EM287" s="75">
        <f t="shared" si="221"/>
        <v>0.67254752608585111</v>
      </c>
      <c r="EN287" s="75">
        <f t="shared" si="221"/>
        <v>0.45672518979327159</v>
      </c>
      <c r="EO287" s="75">
        <f t="shared" si="221"/>
        <v>0.29597794382960352</v>
      </c>
      <c r="EP287" s="75">
        <f t="shared" si="221"/>
        <v>0.19831215359994614</v>
      </c>
      <c r="EQ287" s="75">
        <f t="shared" si="221"/>
        <v>0.14581186934312296</v>
      </c>
      <c r="ER287" s="75">
        <f t="shared" si="221"/>
        <v>0.11384356280769259</v>
      </c>
      <c r="ES287" s="75">
        <f t="shared" si="221"/>
        <v>9.2858943925520521E-2</v>
      </c>
    </row>
    <row r="288" spans="1:149" x14ac:dyDescent="0.3">
      <c r="A288" s="65" t="s">
        <v>340</v>
      </c>
      <c r="DU288" s="96">
        <f>+DV288</f>
        <v>0</v>
      </c>
      <c r="DV288" s="503">
        <f>+DV286-DU286</f>
        <v>0</v>
      </c>
      <c r="DW288" s="503">
        <f>+DW286-DV286</f>
        <v>0</v>
      </c>
      <c r="DX288" s="503">
        <f>+DX286-DW286</f>
        <v>0</v>
      </c>
      <c r="DY288" s="856">
        <f>+SUM(DU288:DX288)</f>
        <v>0</v>
      </c>
      <c r="DZ288" s="503">
        <f>+DZ286-DY286</f>
        <v>0</v>
      </c>
      <c r="EA288" s="503">
        <f>+EA286-DZ286</f>
        <v>0</v>
      </c>
      <c r="EB288" s="503">
        <f>+EB286-EA286</f>
        <v>0</v>
      </c>
      <c r="EC288" s="503">
        <f>+EC286-EB286</f>
        <v>0</v>
      </c>
      <c r="ED288" s="856">
        <f>+SUM(DZ288:EC288)</f>
        <v>0</v>
      </c>
      <c r="EE288" s="503">
        <f>+EE286-ED286</f>
        <v>0</v>
      </c>
      <c r="EF288" s="503">
        <f>+EF286-EE286</f>
        <v>0</v>
      </c>
      <c r="EG288" s="503">
        <f>+EG286-EF286</f>
        <v>0.57378515625000082</v>
      </c>
      <c r="EH288" s="503">
        <f>+EH286-EG286</f>
        <v>0.77096351953125108</v>
      </c>
      <c r="EI288" s="856">
        <f>+SUM(EE288:EH288)</f>
        <v>1.3447486757812519</v>
      </c>
      <c r="EJ288" s="503">
        <f t="shared" ref="EJ288:ES288" si="222">+EJ286-EI286</f>
        <v>6.1787660367068948</v>
      </c>
      <c r="EK288" s="503">
        <f t="shared" si="222"/>
        <v>12.454990159797006</v>
      </c>
      <c r="EL288" s="503">
        <f t="shared" si="222"/>
        <v>19.97025744581288</v>
      </c>
      <c r="EM288" s="503">
        <f t="shared" si="222"/>
        <v>26.8674412672285</v>
      </c>
      <c r="EN288" s="503">
        <f t="shared" si="222"/>
        <v>30.516643263774128</v>
      </c>
      <c r="EO288" s="503">
        <f t="shared" si="222"/>
        <v>28.808375877478511</v>
      </c>
      <c r="EP288" s="503">
        <f t="shared" si="222"/>
        <v>25.015337536638384</v>
      </c>
      <c r="EQ288" s="503">
        <f t="shared" si="222"/>
        <v>22.040420615456185</v>
      </c>
      <c r="ER288" s="503">
        <f t="shared" si="222"/>
        <v>19.717361370764024</v>
      </c>
      <c r="ES288" s="503">
        <f t="shared" si="222"/>
        <v>17.913822089369205</v>
      </c>
    </row>
    <row r="289" spans="1:149" x14ac:dyDescent="0.3">
      <c r="A289" s="65" t="s">
        <v>341</v>
      </c>
      <c r="DU289" s="75">
        <f>+DU284/AVERAGE(DT195:DU195)</f>
        <v>0</v>
      </c>
      <c r="DV289" s="75">
        <f>+DV284/AVERAGE(DU195:DV195)</f>
        <v>0</v>
      </c>
      <c r="DW289" s="75">
        <f>+DW284/AVERAGE(DV195:DW195)</f>
        <v>0</v>
      </c>
      <c r="DX289" s="75">
        <f>+DX284/AVERAGE(DW195:DX195)</f>
        <v>0</v>
      </c>
      <c r="DY289" s="84">
        <f>+DY284/AVERAGE(DU195:DX195)</f>
        <v>0</v>
      </c>
      <c r="DZ289" s="75">
        <f>+DZ284/AVERAGE(DY195:DZ195)</f>
        <v>0</v>
      </c>
      <c r="EA289" s="75">
        <f>+EA284/AVERAGE(DZ195:EA195)</f>
        <v>0</v>
      </c>
      <c r="EB289" s="75">
        <f>+EB284/AVERAGE(EA195:EB195)</f>
        <v>0</v>
      </c>
      <c r="EC289" s="75">
        <f>+EC284/AVERAGE(EB195:EC195)</f>
        <v>0</v>
      </c>
      <c r="ED289" s="84">
        <f>+ED284/AVERAGE(DY195:EC195)</f>
        <v>0</v>
      </c>
      <c r="EE289" s="75">
        <f>+EE284/AVERAGE(ED195:EE195)</f>
        <v>0</v>
      </c>
      <c r="EF289" s="75">
        <f>+EF284/AVERAGE(EE195:EF195)</f>
        <v>0</v>
      </c>
      <c r="EG289" s="87">
        <f>EG118/AVERAGE(EF101:EG101)</f>
        <v>1.3359375000000018E-3</v>
      </c>
      <c r="EH289" s="87">
        <f>EH118/AVERAGE(EG101:EH101)</f>
        <v>1.3359375000000018E-3</v>
      </c>
      <c r="EI289" s="84">
        <f>+EI284/AVERAGE(ED195:EH195)</f>
        <v>3.7726845654860023E-3</v>
      </c>
      <c r="EJ289" s="87">
        <f t="shared" ref="EJ289:ES289" si="223">EJ118/AVERAGE(EI101:EJ101)</f>
        <v>5.4410579819277154E-3</v>
      </c>
      <c r="EK289" s="87">
        <f t="shared" si="223"/>
        <v>5.6274284638554248E-3</v>
      </c>
      <c r="EL289" s="87">
        <f t="shared" si="223"/>
        <v>5.8137989457831361E-3</v>
      </c>
      <c r="EM289" s="87">
        <f t="shared" si="223"/>
        <v>6.0001694277108473E-3</v>
      </c>
      <c r="EN289" s="87">
        <f t="shared" si="223"/>
        <v>6.1865399096385576E-3</v>
      </c>
      <c r="EO289" s="87">
        <f t="shared" si="223"/>
        <v>6.3729103915662689E-3</v>
      </c>
      <c r="EP289" s="87">
        <f t="shared" si="223"/>
        <v>6.5592808734939801E-3</v>
      </c>
      <c r="EQ289" s="87">
        <f t="shared" si="223"/>
        <v>6.7456513554216904E-3</v>
      </c>
      <c r="ER289" s="87">
        <f t="shared" si="223"/>
        <v>6.9320218373494016E-3</v>
      </c>
      <c r="ES289" s="87">
        <f t="shared" si="223"/>
        <v>7.1183923192771129E-3</v>
      </c>
    </row>
    <row r="290" spans="1:149" x14ac:dyDescent="0.3">
      <c r="A290" s="65" t="s">
        <v>342</v>
      </c>
      <c r="DU290" s="75">
        <f>DU124</f>
        <v>2.75E-2</v>
      </c>
      <c r="DV290" s="75">
        <f>DV124</f>
        <v>2.81E-2</v>
      </c>
      <c r="DW290" s="75">
        <f>DW124</f>
        <v>2.69E-2</v>
      </c>
      <c r="DX290" s="75">
        <f>DX124</f>
        <v>2.24E-2</v>
      </c>
      <c r="DY290" s="84">
        <f>+DY582</f>
        <v>0</v>
      </c>
      <c r="DZ290" s="75">
        <f>DZ124</f>
        <v>1.9699999999999999E-2</v>
      </c>
      <c r="EA290" s="75">
        <f>EA124</f>
        <v>1.54E-2</v>
      </c>
      <c r="EB290" s="75">
        <f>EB124</f>
        <v>1.8100000000000002E-2</v>
      </c>
      <c r="EC290" s="75">
        <f>EC124</f>
        <v>1.5599999999999999E-2</v>
      </c>
      <c r="ED290" s="84">
        <f>+ED582</f>
        <v>0</v>
      </c>
      <c r="EE290" s="75">
        <f>EE124</f>
        <v>1.4E-2</v>
      </c>
      <c r="EF290" s="75">
        <f>EF124</f>
        <v>1.4999999999999999E-2</v>
      </c>
      <c r="EG290" s="75">
        <f>EG124</f>
        <v>1.6E-2</v>
      </c>
      <c r="EH290" s="75">
        <f>EH124</f>
        <v>1.7000000000000001E-2</v>
      </c>
      <c r="EI290" s="84">
        <f>+EI582</f>
        <v>0</v>
      </c>
      <c r="EJ290" s="75">
        <f t="shared" ref="EJ290:ES290" si="224">EJ124</f>
        <v>1.7000000000000001E-2</v>
      </c>
      <c r="EK290" s="75">
        <f t="shared" si="224"/>
        <v>1.7000000000000001E-2</v>
      </c>
      <c r="EL290" s="75">
        <f t="shared" si="224"/>
        <v>1.7000000000000001E-2</v>
      </c>
      <c r="EM290" s="75">
        <f t="shared" si="224"/>
        <v>1.7000000000000001E-2</v>
      </c>
      <c r="EN290" s="75">
        <f t="shared" si="224"/>
        <v>1.7000000000000001E-2</v>
      </c>
      <c r="EO290" s="75">
        <f t="shared" si="224"/>
        <v>1.7000000000000001E-2</v>
      </c>
      <c r="EP290" s="75">
        <f t="shared" si="224"/>
        <v>1.7000000000000001E-2</v>
      </c>
      <c r="EQ290" s="75">
        <f t="shared" si="224"/>
        <v>1.7000000000000001E-2</v>
      </c>
      <c r="ER290" s="75">
        <f t="shared" si="224"/>
        <v>1.7000000000000001E-2</v>
      </c>
      <c r="ES290" s="75">
        <f t="shared" si="224"/>
        <v>1.7000000000000001E-2</v>
      </c>
    </row>
    <row r="291" spans="1:149" x14ac:dyDescent="0.3">
      <c r="A291" s="65" t="s">
        <v>210</v>
      </c>
      <c r="DU291" s="75">
        <f t="shared" ref="DU291:ES291" si="225">+DU286/DU195</f>
        <v>0</v>
      </c>
      <c r="DV291" s="75">
        <f t="shared" si="225"/>
        <v>0</v>
      </c>
      <c r="DW291" s="75">
        <f t="shared" si="225"/>
        <v>0</v>
      </c>
      <c r="DX291" s="75">
        <f t="shared" si="225"/>
        <v>0</v>
      </c>
      <c r="DY291" s="84">
        <f t="shared" si="225"/>
        <v>0</v>
      </c>
      <c r="DZ291" s="75">
        <f t="shared" si="225"/>
        <v>0</v>
      </c>
      <c r="EA291" s="75">
        <f t="shared" si="225"/>
        <v>0</v>
      </c>
      <c r="EB291" s="75">
        <f t="shared" si="225"/>
        <v>0</v>
      </c>
      <c r="EC291" s="75">
        <f t="shared" si="225"/>
        <v>0</v>
      </c>
      <c r="ED291" s="84">
        <f t="shared" si="225"/>
        <v>0</v>
      </c>
      <c r="EE291" s="75">
        <f t="shared" si="225"/>
        <v>0</v>
      </c>
      <c r="EF291" s="75">
        <f t="shared" si="225"/>
        <v>0</v>
      </c>
      <c r="EG291" s="75">
        <f t="shared" si="225"/>
        <v>1.1206741333007828E-3</v>
      </c>
      <c r="EH291" s="75">
        <f t="shared" si="225"/>
        <v>1.9602750375820001E-3</v>
      </c>
      <c r="EI291" s="84">
        <f t="shared" si="225"/>
        <v>1.9602750375820001E-3</v>
      </c>
      <c r="EJ291" s="75">
        <f t="shared" si="225"/>
        <v>4.4623456183203718E-3</v>
      </c>
      <c r="EK291" s="75">
        <f t="shared" si="225"/>
        <v>6.0798858406223835E-3</v>
      </c>
      <c r="EL291" s="75">
        <f t="shared" si="225"/>
        <v>8.0121865860605761E-3</v>
      </c>
      <c r="EM291" s="75">
        <f t="shared" si="225"/>
        <v>9.9934495341499445E-3</v>
      </c>
      <c r="EN291" s="75">
        <f t="shared" si="225"/>
        <v>1.283058882798585E-2</v>
      </c>
      <c r="EO291" s="75">
        <f t="shared" si="225"/>
        <v>1.6411325542766635E-2</v>
      </c>
      <c r="EP291" s="75">
        <f t="shared" si="225"/>
        <v>1.9410246167511792E-2</v>
      </c>
      <c r="EQ291" s="75">
        <f t="shared" si="225"/>
        <v>2.1952270542999711E-2</v>
      </c>
      <c r="ER291" s="75">
        <f t="shared" si="225"/>
        <v>2.4135489798536882E-2</v>
      </c>
      <c r="ES291" s="75">
        <f t="shared" si="225"/>
        <v>2.6036931850489352E-2</v>
      </c>
    </row>
    <row r="292" spans="1:149" x14ac:dyDescent="0.3">
      <c r="A292" s="65"/>
      <c r="DU292" s="75"/>
      <c r="DV292" s="75"/>
      <c r="DW292" s="75"/>
      <c r="DX292" s="75"/>
      <c r="DY292" s="84"/>
      <c r="DZ292" s="75"/>
      <c r="EA292" s="75"/>
      <c r="EB292" s="75"/>
      <c r="EC292" s="75"/>
      <c r="ED292" s="84"/>
      <c r="EE292" s="75"/>
      <c r="EF292" s="75"/>
      <c r="EG292" s="75"/>
      <c r="EH292" s="75"/>
      <c r="EI292" s="84"/>
      <c r="EJ292" s="75"/>
      <c r="EK292" s="75"/>
      <c r="EL292" s="75"/>
      <c r="EM292" s="75"/>
      <c r="EN292" s="75"/>
      <c r="EO292" s="75"/>
      <c r="EP292" s="75"/>
      <c r="EQ292" s="75"/>
      <c r="ER292" s="75"/>
      <c r="ES292" s="75"/>
    </row>
    <row r="293" spans="1:149" x14ac:dyDescent="0.3">
      <c r="A293" s="68" t="s">
        <v>3753</v>
      </c>
      <c r="DU293" s="75"/>
      <c r="DV293" s="75"/>
      <c r="DW293" s="75"/>
      <c r="DX293" s="75"/>
      <c r="DY293" s="84"/>
      <c r="DZ293" s="75"/>
      <c r="EA293" s="75"/>
      <c r="EB293" s="75"/>
      <c r="EC293" s="75"/>
      <c r="ED293" s="84"/>
      <c r="EE293" s="75"/>
      <c r="EF293" s="75"/>
      <c r="EG293" s="75"/>
      <c r="EH293" s="75"/>
      <c r="EI293" s="84"/>
      <c r="EJ293" s="75"/>
      <c r="EK293" s="75"/>
      <c r="EL293" s="75"/>
      <c r="EM293" s="75"/>
      <c r="EN293" s="75"/>
      <c r="EO293" s="75"/>
      <c r="EP293" s="75"/>
      <c r="EQ293" s="75"/>
      <c r="ER293" s="75"/>
      <c r="ES293" s="75"/>
    </row>
    <row r="294" spans="1:149" x14ac:dyDescent="0.3">
      <c r="A294" s="67" t="s">
        <v>350</v>
      </c>
      <c r="DU294" s="76">
        <f>+DU297-DU299</f>
        <v>203</v>
      </c>
      <c r="DV294" s="76">
        <f>+DU297</f>
        <v>196</v>
      </c>
      <c r="DW294" s="76">
        <f>+DV297</f>
        <v>189</v>
      </c>
      <c r="DX294" s="76">
        <f>+DW297</f>
        <v>183</v>
      </c>
      <c r="DY294" s="85">
        <f>+DU294</f>
        <v>203</v>
      </c>
      <c r="DZ294" s="76">
        <f>+DY297</f>
        <v>177</v>
      </c>
      <c r="EA294" s="76">
        <f>+DZ297</f>
        <v>170</v>
      </c>
      <c r="EB294" s="76">
        <f>+EA297</f>
        <v>164</v>
      </c>
      <c r="EC294" s="76">
        <f>+EB297</f>
        <v>157</v>
      </c>
      <c r="ED294" s="85">
        <f>+DZ294</f>
        <v>177</v>
      </c>
      <c r="EE294" s="76">
        <f>+ED297</f>
        <v>152</v>
      </c>
      <c r="EF294" s="76">
        <f>+EE297</f>
        <v>147</v>
      </c>
      <c r="EG294" s="76">
        <f>+EF297</f>
        <v>143</v>
      </c>
      <c r="EH294" s="76">
        <f>+EG297</f>
        <v>137.70419619331349</v>
      </c>
      <c r="EI294" s="85">
        <f>+EE294</f>
        <v>152</v>
      </c>
      <c r="EJ294" s="76">
        <f t="shared" ref="EJ294:ES294" si="226">+EI297</f>
        <v>133.71976576297067</v>
      </c>
      <c r="EK294" s="76">
        <f t="shared" si="226"/>
        <v>126.86471986634777</v>
      </c>
      <c r="EL294" s="76">
        <f t="shared" si="226"/>
        <v>118.85282750162429</v>
      </c>
      <c r="EM294" s="76">
        <f t="shared" si="226"/>
        <v>109.14876059967938</v>
      </c>
      <c r="EN294" s="76">
        <f t="shared" si="226"/>
        <v>98.008669205692769</v>
      </c>
      <c r="EO294" s="76">
        <f t="shared" si="226"/>
        <v>86.646738456348231</v>
      </c>
      <c r="EP294" s="76">
        <f t="shared" si="226"/>
        <v>76.915032109270598</v>
      </c>
      <c r="EQ294" s="76">
        <f t="shared" si="226"/>
        <v>69.362939317884425</v>
      </c>
      <c r="ER294" s="76">
        <f t="shared" si="226"/>
        <v>63.519287240983381</v>
      </c>
      <c r="ES294" s="76">
        <f t="shared" si="226"/>
        <v>59.014854186731249</v>
      </c>
    </row>
    <row r="295" spans="1:149" x14ac:dyDescent="0.3">
      <c r="A295" s="67" t="s">
        <v>351</v>
      </c>
      <c r="DU295" s="76">
        <f>+DU297-DU296-DU294</f>
        <v>6.7024999999999864</v>
      </c>
      <c r="DV295" s="76">
        <f>+DV297-DV296-DV294</f>
        <v>5.936000000000007</v>
      </c>
      <c r="DW295" s="76">
        <f>+DW297-DW296-DW294</f>
        <v>6.9276000000000124</v>
      </c>
      <c r="DX295" s="76">
        <f>+DX297-DX296-DX294</f>
        <v>5.968199999999996</v>
      </c>
      <c r="DY295" s="85">
        <f>+SUM(DU295:DX295)</f>
        <v>25.534300000000002</v>
      </c>
      <c r="DZ295" s="76">
        <f>+DZ297-DZ296-DZ294</f>
        <v>4.469600000000014</v>
      </c>
      <c r="EA295" s="76">
        <f>+EA297-EA296-EA294</f>
        <v>3.6899999999999977</v>
      </c>
      <c r="EB295" s="76">
        <f>+EB297-EB296-EB294</f>
        <v>2.9875999999999863</v>
      </c>
      <c r="EC295" s="76">
        <f>+EC297-EC296-EC294</f>
        <v>3.3838000000000079</v>
      </c>
      <c r="ED295" s="85">
        <f>+SUM(DZ295:EC295)</f>
        <v>14.531000000000006</v>
      </c>
      <c r="EE295" s="76">
        <f>+EE297-EE296-EE294</f>
        <v>2.843199999999996</v>
      </c>
      <c r="EF295" s="76">
        <f>+EF297-EF296-EF294</f>
        <v>3.4528999999999996</v>
      </c>
      <c r="EG295" s="76">
        <f>+EG300*AVERAGE(EF200:EG200)</f>
        <v>3.4128961933134718</v>
      </c>
      <c r="EH295" s="76">
        <f>+EH300*AVERAGE(EG200:EH200)</f>
        <v>3.3689736463801006</v>
      </c>
      <c r="EI295" s="85">
        <f>+SUM(EE295:EH295)</f>
        <v>13.077969839693568</v>
      </c>
      <c r="EJ295" s="76">
        <f t="shared" ref="EJ295:ES295" si="227">+EJ300*AVERAGE(EI200:EJ200)</f>
        <v>22.078411762797042</v>
      </c>
      <c r="EK295" s="76">
        <f t="shared" si="227"/>
        <v>19.438312769748897</v>
      </c>
      <c r="EL295" s="76">
        <f t="shared" si="227"/>
        <v>16.012574408332171</v>
      </c>
      <c r="EM295" s="76">
        <f t="shared" si="227"/>
        <v>12.476843809047546</v>
      </c>
      <c r="EN295" s="76">
        <f t="shared" si="227"/>
        <v>9.8445802293358255</v>
      </c>
      <c r="EO295" s="76">
        <f t="shared" si="227"/>
        <v>9.0163801766262015</v>
      </c>
      <c r="EP295" s="76">
        <f t="shared" si="227"/>
        <v>9.090307172514775</v>
      </c>
      <c r="EQ295" s="76">
        <f t="shared" si="227"/>
        <v>9.1646726568136039</v>
      </c>
      <c r="ER295" s="76">
        <f t="shared" si="227"/>
        <v>9.2394783073728526</v>
      </c>
      <c r="ES295" s="76">
        <f t="shared" si="227"/>
        <v>9.3147257944578854</v>
      </c>
    </row>
    <row r="296" spans="1:149" x14ac:dyDescent="0.3">
      <c r="A296" s="67" t="s">
        <v>337</v>
      </c>
      <c r="DU296" s="76">
        <f>+DU301*DU294*-3</f>
        <v>-13.702500000000001</v>
      </c>
      <c r="DV296" s="76">
        <f>+DV301*DV294*-3</f>
        <v>-12.935999999999998</v>
      </c>
      <c r="DW296" s="76">
        <f>+DW301*DW294*-3</f>
        <v>-12.927600000000002</v>
      </c>
      <c r="DX296" s="76">
        <f>+DX301*DX294*-3</f>
        <v>-11.9682</v>
      </c>
      <c r="DY296" s="85">
        <f>+SUM(DU296:DX296)</f>
        <v>-51.534300000000002</v>
      </c>
      <c r="DZ296" s="76">
        <f>+DZ301*DZ294*-3</f>
        <v>-11.469600000000002</v>
      </c>
      <c r="EA296" s="76">
        <f>+EA301*EA294*-3</f>
        <v>-9.69</v>
      </c>
      <c r="EB296" s="76">
        <f>+EB301*EB294*-3</f>
        <v>-9.9875999999999987</v>
      </c>
      <c r="EC296" s="76">
        <f>+EC301*EC294*-3</f>
        <v>-8.3838000000000008</v>
      </c>
      <c r="ED296" s="85">
        <f>+SUM(DZ296:EC296)</f>
        <v>-39.530999999999999</v>
      </c>
      <c r="EE296" s="76">
        <f>+EE301*EE294*-3</f>
        <v>-7.8431999999999995</v>
      </c>
      <c r="EF296" s="76">
        <f>+EF301*EF294*-3</f>
        <v>-7.4528999999999996</v>
      </c>
      <c r="EG296" s="76">
        <f>+EG301*EG294*-3</f>
        <v>-8.7087000000000003</v>
      </c>
      <c r="EH296" s="76">
        <f>+EH301*EH294*-3</f>
        <v>-7.3534040767229403</v>
      </c>
      <c r="EI296" s="85">
        <f>+SUM(EE296:EH296)</f>
        <v>-31.358204076722942</v>
      </c>
      <c r="EJ296" s="76">
        <f>+EJ301*EJ294*-12</f>
        <v>-28.933457659419926</v>
      </c>
      <c r="EK296" s="76">
        <f t="shared" ref="EK296:ES296" si="228">+EK301*EK294*-12</f>
        <v>-27.450205134472391</v>
      </c>
      <c r="EL296" s="76">
        <f t="shared" si="228"/>
        <v>-25.716641310277083</v>
      </c>
      <c r="EM296" s="76">
        <f t="shared" si="228"/>
        <v>-23.616935203034167</v>
      </c>
      <c r="EN296" s="76">
        <f t="shared" si="228"/>
        <v>-21.20651097868037</v>
      </c>
      <c r="EO296" s="76">
        <f t="shared" si="228"/>
        <v>-18.748086523703833</v>
      </c>
      <c r="EP296" s="76">
        <f t="shared" si="228"/>
        <v>-16.642399963900939</v>
      </c>
      <c r="EQ296" s="76">
        <f t="shared" si="228"/>
        <v>-15.008324733714653</v>
      </c>
      <c r="ER296" s="76">
        <f t="shared" si="228"/>
        <v>-13.743911361624988</v>
      </c>
      <c r="ES296" s="76">
        <f t="shared" si="228"/>
        <v>-12.769269936617452</v>
      </c>
    </row>
    <row r="297" spans="1:149" x14ac:dyDescent="0.3">
      <c r="A297" s="64" t="s">
        <v>352</v>
      </c>
      <c r="DU297" s="855">
        <f>Inputs!DU376</f>
        <v>196</v>
      </c>
      <c r="DV297" s="855">
        <f>Inputs!DV376</f>
        <v>189</v>
      </c>
      <c r="DW297" s="855">
        <f>Inputs!DW376</f>
        <v>183</v>
      </c>
      <c r="DX297" s="855">
        <f>Inputs!DX376</f>
        <v>177</v>
      </c>
      <c r="DY297" s="803">
        <f>+DX297</f>
        <v>177</v>
      </c>
      <c r="DZ297" s="855">
        <f>Inputs!DZ376</f>
        <v>170</v>
      </c>
      <c r="EA297" s="855">
        <f>Inputs!EA376</f>
        <v>164</v>
      </c>
      <c r="EB297" s="855">
        <f>Inputs!EB376</f>
        <v>157</v>
      </c>
      <c r="EC297" s="855">
        <f>Inputs!EC376</f>
        <v>152</v>
      </c>
      <c r="ED297" s="803">
        <f>+EC297</f>
        <v>152</v>
      </c>
      <c r="EE297" s="855">
        <f>Inputs!EE376</f>
        <v>147</v>
      </c>
      <c r="EF297" s="855">
        <f>Inputs!EF376</f>
        <v>143</v>
      </c>
      <c r="EG297" s="850">
        <f>+SUM(EG294:EG296)</f>
        <v>137.70419619331349</v>
      </c>
      <c r="EH297" s="850">
        <f>+SUM(EH294:EH296)</f>
        <v>133.71976576297067</v>
      </c>
      <c r="EI297" s="803">
        <f>+EH297</f>
        <v>133.71976576297067</v>
      </c>
      <c r="EJ297" s="850">
        <f t="shared" ref="EJ297:ES297" si="229">+SUM(EJ294:EJ296)</f>
        <v>126.86471986634777</v>
      </c>
      <c r="EK297" s="850">
        <f t="shared" si="229"/>
        <v>118.85282750162429</v>
      </c>
      <c r="EL297" s="850">
        <f t="shared" si="229"/>
        <v>109.14876059967938</v>
      </c>
      <c r="EM297" s="850">
        <f t="shared" si="229"/>
        <v>98.008669205692769</v>
      </c>
      <c r="EN297" s="850">
        <f t="shared" si="229"/>
        <v>86.646738456348231</v>
      </c>
      <c r="EO297" s="850">
        <f t="shared" si="229"/>
        <v>76.915032109270598</v>
      </c>
      <c r="EP297" s="850">
        <f t="shared" si="229"/>
        <v>69.362939317884425</v>
      </c>
      <c r="EQ297" s="850">
        <f t="shared" si="229"/>
        <v>63.519287240983381</v>
      </c>
      <c r="ER297" s="850">
        <f t="shared" si="229"/>
        <v>59.014854186731249</v>
      </c>
      <c r="ES297" s="850">
        <f t="shared" si="229"/>
        <v>55.560310044571693</v>
      </c>
    </row>
    <row r="298" spans="1:149" x14ac:dyDescent="0.3">
      <c r="A298" s="69" t="s">
        <v>339</v>
      </c>
      <c r="DZ298" s="75">
        <f t="shared" ref="DZ298:EI298" si="230">+DZ297/DU297-1</f>
        <v>-0.13265306122448983</v>
      </c>
      <c r="EA298" s="75">
        <f t="shared" si="230"/>
        <v>-0.13227513227513232</v>
      </c>
      <c r="EB298" s="75">
        <f t="shared" si="230"/>
        <v>-0.14207650273224048</v>
      </c>
      <c r="EC298" s="75">
        <f t="shared" si="230"/>
        <v>-0.14124293785310738</v>
      </c>
      <c r="ED298" s="84">
        <f t="shared" si="230"/>
        <v>-0.14124293785310738</v>
      </c>
      <c r="EE298" s="75">
        <f t="shared" si="230"/>
        <v>-0.13529411764705879</v>
      </c>
      <c r="EF298" s="75">
        <f t="shared" si="230"/>
        <v>-0.12804878048780488</v>
      </c>
      <c r="EG298" s="75">
        <f t="shared" si="230"/>
        <v>-0.12290320895978668</v>
      </c>
      <c r="EH298" s="75">
        <f t="shared" si="230"/>
        <v>-0.12026469892782454</v>
      </c>
      <c r="EI298" s="84">
        <f t="shared" si="230"/>
        <v>-0.12026469892782454</v>
      </c>
      <c r="EJ298" s="75">
        <f t="shared" ref="EJ298:ES298" si="231">+EJ297/EI297-1</f>
        <v>-5.1264267907663252E-2</v>
      </c>
      <c r="EK298" s="75">
        <f t="shared" si="231"/>
        <v>-6.3153037134074941E-2</v>
      </c>
      <c r="EL298" s="75">
        <f t="shared" si="231"/>
        <v>-8.1647758037664664E-2</v>
      </c>
      <c r="EM298" s="75">
        <f t="shared" si="231"/>
        <v>-0.1020633796735877</v>
      </c>
      <c r="EN298" s="75">
        <f t="shared" si="231"/>
        <v>-0.11592781374777184</v>
      </c>
      <c r="EO298" s="75">
        <f t="shared" si="231"/>
        <v>-0.11231474514162321</v>
      </c>
      <c r="EP298" s="75">
        <f t="shared" si="231"/>
        <v>-9.8187474987427303E-2</v>
      </c>
      <c r="EQ298" s="75">
        <f t="shared" si="231"/>
        <v>-8.4247468956297866E-2</v>
      </c>
      <c r="ER298" s="75">
        <f t="shared" si="231"/>
        <v>-7.0914414344149357E-2</v>
      </c>
      <c r="ES298" s="75">
        <f t="shared" si="231"/>
        <v>-5.8536858046431717E-2</v>
      </c>
    </row>
    <row r="299" spans="1:149" x14ac:dyDescent="0.3">
      <c r="A299" s="65" t="s">
        <v>340</v>
      </c>
      <c r="DU299" s="96">
        <f>+DV299</f>
        <v>-7</v>
      </c>
      <c r="DV299" s="503">
        <f>+DV297-DU297</f>
        <v>-7</v>
      </c>
      <c r="DW299" s="503">
        <f>+DW297-DV297</f>
        <v>-6</v>
      </c>
      <c r="DX299" s="503">
        <f>+DX297-DW297</f>
        <v>-6</v>
      </c>
      <c r="DY299" s="856">
        <f>+SUM(DU299:DX299)</f>
        <v>-26</v>
      </c>
      <c r="DZ299" s="503">
        <f>+DZ297-DY297</f>
        <v>-7</v>
      </c>
      <c r="EA299" s="503">
        <f>+EA297-DZ297</f>
        <v>-6</v>
      </c>
      <c r="EB299" s="503">
        <f>+EB297-EA297</f>
        <v>-7</v>
      </c>
      <c r="EC299" s="503">
        <f>+EC297-EB297</f>
        <v>-5</v>
      </c>
      <c r="ED299" s="856">
        <f>+SUM(DZ299:EC299)</f>
        <v>-25</v>
      </c>
      <c r="EE299" s="503">
        <f>+EE297-ED297</f>
        <v>-5</v>
      </c>
      <c r="EF299" s="503">
        <f>+EF297-EE297</f>
        <v>-4</v>
      </c>
      <c r="EG299" s="503">
        <f>+EG297-EF297</f>
        <v>-5.2958038066865072</v>
      </c>
      <c r="EH299" s="503">
        <f>+EH297-EG297</f>
        <v>-3.984430430342826</v>
      </c>
      <c r="EI299" s="856">
        <f>+SUM(EE299:EH299)</f>
        <v>-18.280234237029333</v>
      </c>
      <c r="EJ299" s="503">
        <f t="shared" ref="EJ299:ES299" si="232">+EJ297-EI297</f>
        <v>-6.8550458966228973</v>
      </c>
      <c r="EK299" s="503">
        <f t="shared" si="232"/>
        <v>-8.0118923647234794</v>
      </c>
      <c r="EL299" s="503">
        <f t="shared" si="232"/>
        <v>-9.7040669019449126</v>
      </c>
      <c r="EM299" s="503">
        <f t="shared" si="232"/>
        <v>-11.140091393986609</v>
      </c>
      <c r="EN299" s="503">
        <f t="shared" si="232"/>
        <v>-11.361930749344538</v>
      </c>
      <c r="EO299" s="503">
        <f t="shared" si="232"/>
        <v>-9.7317063470776333</v>
      </c>
      <c r="EP299" s="503">
        <f t="shared" si="232"/>
        <v>-7.5520927913861726</v>
      </c>
      <c r="EQ299" s="503">
        <f t="shared" si="232"/>
        <v>-5.8436520769010443</v>
      </c>
      <c r="ER299" s="503">
        <f t="shared" si="232"/>
        <v>-4.5044330542521323</v>
      </c>
      <c r="ES299" s="503">
        <f t="shared" si="232"/>
        <v>-3.4545441421595555</v>
      </c>
    </row>
    <row r="300" spans="1:149" x14ac:dyDescent="0.3">
      <c r="A300" s="65" t="s">
        <v>341</v>
      </c>
      <c r="DU300" s="75">
        <f>+DU295/AVERAGE(DT200:DU200)</f>
        <v>6.211194513946795E-4</v>
      </c>
      <c r="DV300" s="75">
        <f>+DV295/AVERAGE(DU200:DV200)</f>
        <v>5.5008803632656904E-4</v>
      </c>
      <c r="DW300" s="75">
        <f>+DW295/AVERAGE(DV200:DW200)</f>
        <v>6.4197942730052937E-4</v>
      </c>
      <c r="DX300" s="75">
        <f>+DX295/AVERAGE(DW200:DX200)</f>
        <v>5.5307200444815088E-4</v>
      </c>
      <c r="DY300" s="84">
        <f>+DY295/AVERAGE(DU200:DX200)</f>
        <v>2.366258919469929E-3</v>
      </c>
      <c r="DZ300" s="75">
        <f>+DZ295/AVERAGE(DY200:DZ200)</f>
        <v>4.141970160318797E-4</v>
      </c>
      <c r="EA300" s="75">
        <f>+EA295/AVERAGE(DZ200:EA200)</f>
        <v>3.4207842773709076E-4</v>
      </c>
      <c r="EB300" s="75">
        <f>+EB295/AVERAGE(EA200:EB200)</f>
        <v>2.7718142598691712E-4</v>
      </c>
      <c r="EC300" s="75">
        <f>+EC295/AVERAGE(EB200:EC200)</f>
        <v>3.1494787788533207E-4</v>
      </c>
      <c r="ED300" s="84">
        <f>+ED295/AVERAGE(DZ200:EC200)</f>
        <v>1.3497747433932475E-3</v>
      </c>
      <c r="EE300" s="75">
        <f>+EE295/AVERAGE(ED200:EE200)</f>
        <v>2.6631697264893183E-4</v>
      </c>
      <c r="EF300" s="75">
        <f>+EF295/AVERAGE(EE200:EF200)</f>
        <v>3.2656168723696027E-4</v>
      </c>
      <c r="EG300" s="87">
        <f>+EF300</f>
        <v>3.2656168723696027E-4</v>
      </c>
      <c r="EH300" s="87">
        <f>+EG300</f>
        <v>3.2656168723696027E-4</v>
      </c>
      <c r="EI300" s="84">
        <f>+EI295/AVERAGE(EE200:EH200)</f>
        <v>1.2520794485106335E-3</v>
      </c>
      <c r="EJ300" s="87">
        <f>+EI300+0.1%</f>
        <v>2.2520794485106337E-3</v>
      </c>
      <c r="EK300" s="87">
        <f t="shared" ref="EK300:ES300" si="233">+EJ300</f>
        <v>2.2520794485106337E-3</v>
      </c>
      <c r="EL300" s="87">
        <f t="shared" si="233"/>
        <v>2.2520794485106337E-3</v>
      </c>
      <c r="EM300" s="87">
        <f t="shared" si="233"/>
        <v>2.2520794485106337E-3</v>
      </c>
      <c r="EN300" s="87">
        <f t="shared" si="233"/>
        <v>2.2520794485106337E-3</v>
      </c>
      <c r="EO300" s="87">
        <f t="shared" si="233"/>
        <v>2.2520794485106337E-3</v>
      </c>
      <c r="EP300" s="87">
        <f t="shared" si="233"/>
        <v>2.2520794485106337E-3</v>
      </c>
      <c r="EQ300" s="87">
        <f t="shared" si="233"/>
        <v>2.2520794485106337E-3</v>
      </c>
      <c r="ER300" s="87">
        <f t="shared" si="233"/>
        <v>2.2520794485106337E-3</v>
      </c>
      <c r="ES300" s="87">
        <f t="shared" si="233"/>
        <v>2.2520794485106337E-3</v>
      </c>
    </row>
    <row r="301" spans="1:149" x14ac:dyDescent="0.3">
      <c r="A301" s="65" t="s">
        <v>342</v>
      </c>
      <c r="DU301" s="97">
        <f>Inputs!DU421</f>
        <v>2.2499999999999999E-2</v>
      </c>
      <c r="DV301" s="97">
        <f>Inputs!DV421</f>
        <v>2.1999999999999999E-2</v>
      </c>
      <c r="DW301" s="97">
        <f>Inputs!DW421</f>
        <v>2.2800000000000001E-2</v>
      </c>
      <c r="DX301" s="97">
        <f>Inputs!DX421</f>
        <v>2.18E-2</v>
      </c>
      <c r="DY301" s="84">
        <f>-DY296/AVERAGE(DU294:DX294)/12</f>
        <v>2.2280285343709471E-2</v>
      </c>
      <c r="DZ301" s="97">
        <f>Inputs!DZ421</f>
        <v>2.1600000000000001E-2</v>
      </c>
      <c r="EA301" s="97">
        <f>Inputs!EA421</f>
        <v>1.9E-2</v>
      </c>
      <c r="EB301" s="97">
        <f>Inputs!EB421</f>
        <v>2.0299999999999999E-2</v>
      </c>
      <c r="EC301" s="97">
        <f>Inputs!EC421</f>
        <v>1.78E-2</v>
      </c>
      <c r="ED301" s="84">
        <f>-ED296/AVERAGE(DZ294:EC294)/12</f>
        <v>1.9726047904191617E-2</v>
      </c>
      <c r="EE301" s="97">
        <f>Inputs!EE421</f>
        <v>1.72E-2</v>
      </c>
      <c r="EF301" s="97">
        <f>Inputs!EF421</f>
        <v>1.6899999999999998E-2</v>
      </c>
      <c r="EG301" s="75">
        <f>EB301</f>
        <v>2.0299999999999999E-2</v>
      </c>
      <c r="EH301" s="75">
        <f>EC301</f>
        <v>1.78E-2</v>
      </c>
      <c r="EI301" s="84">
        <f>-EI296/AVERAGE(EE294:EH294)/12</f>
        <v>1.8031152371985448E-2</v>
      </c>
      <c r="EJ301" s="75">
        <f>EI301</f>
        <v>1.8031152371985448E-2</v>
      </c>
      <c r="EK301" s="75">
        <f t="shared" ref="EK301:ES301" si="234">EJ301</f>
        <v>1.8031152371985448E-2</v>
      </c>
      <c r="EL301" s="75">
        <f t="shared" si="234"/>
        <v>1.8031152371985448E-2</v>
      </c>
      <c r="EM301" s="75">
        <f t="shared" si="234"/>
        <v>1.8031152371985448E-2</v>
      </c>
      <c r="EN301" s="75">
        <f t="shared" si="234"/>
        <v>1.8031152371985448E-2</v>
      </c>
      <c r="EO301" s="75">
        <f t="shared" si="234"/>
        <v>1.8031152371985448E-2</v>
      </c>
      <c r="EP301" s="75">
        <f t="shared" si="234"/>
        <v>1.8031152371985448E-2</v>
      </c>
      <c r="EQ301" s="75">
        <f t="shared" si="234"/>
        <v>1.8031152371985448E-2</v>
      </c>
      <c r="ER301" s="75">
        <f t="shared" si="234"/>
        <v>1.8031152371985448E-2</v>
      </c>
      <c r="ES301" s="75">
        <f t="shared" si="234"/>
        <v>1.8031152371985448E-2</v>
      </c>
    </row>
    <row r="302" spans="1:149" x14ac:dyDescent="0.3">
      <c r="A302" s="65" t="s">
        <v>210</v>
      </c>
      <c r="DU302" s="75">
        <f t="shared" ref="DU302:ES302" si="235">+DU297/DU200</f>
        <v>1.8163284218330088E-2</v>
      </c>
      <c r="DV302" s="75">
        <f t="shared" si="235"/>
        <v>1.7514595496246871E-2</v>
      </c>
      <c r="DW302" s="75">
        <f t="shared" si="235"/>
        <v>1.6958576591604116E-2</v>
      </c>
      <c r="DX302" s="75">
        <f t="shared" si="235"/>
        <v>1.6402557686961357E-2</v>
      </c>
      <c r="DY302" s="84">
        <f t="shared" si="235"/>
        <v>1.6402557686961357E-2</v>
      </c>
      <c r="DZ302" s="75">
        <f t="shared" si="235"/>
        <v>1.575386896487814E-2</v>
      </c>
      <c r="EA302" s="75">
        <f t="shared" si="235"/>
        <v>1.5209125475285171E-2</v>
      </c>
      <c r="EB302" s="75">
        <f t="shared" si="235"/>
        <v>1.4572118062001115E-2</v>
      </c>
      <c r="EC302" s="75">
        <f t="shared" si="235"/>
        <v>1.4187044987866344E-2</v>
      </c>
      <c r="ED302" s="84">
        <f t="shared" si="235"/>
        <v>1.4187044987866344E-2</v>
      </c>
      <c r="EE302" s="75">
        <f t="shared" si="235"/>
        <v>1.3818386914833615E-2</v>
      </c>
      <c r="EF302" s="75">
        <f t="shared" si="235"/>
        <v>1.3607384146921687E-2</v>
      </c>
      <c r="EG302" s="75">
        <f t="shared" si="235"/>
        <v>1.324970616696945E-2</v>
      </c>
      <c r="EH302" s="75">
        <f t="shared" si="235"/>
        <v>1.3058570875290106E-2</v>
      </c>
      <c r="EI302" s="84">
        <f t="shared" si="235"/>
        <v>1.3058570875290106E-2</v>
      </c>
      <c r="EJ302" s="75">
        <f t="shared" si="235"/>
        <v>1.3543600408230289E-2</v>
      </c>
      <c r="EK302" s="75">
        <f t="shared" si="235"/>
        <v>1.5053403723659157E-2</v>
      </c>
      <c r="EL302" s="75">
        <f t="shared" si="235"/>
        <v>1.7257144175359104E-2</v>
      </c>
      <c r="EM302" s="75">
        <f t="shared" si="235"/>
        <v>2.0609789476269447E-2</v>
      </c>
      <c r="EN302" s="75">
        <f t="shared" si="235"/>
        <v>2.1731140038954249E-2</v>
      </c>
      <c r="EO302" s="75">
        <f t="shared" si="235"/>
        <v>1.9133356993664124E-2</v>
      </c>
      <c r="EP302" s="75">
        <f t="shared" si="235"/>
        <v>1.7114533274220148E-2</v>
      </c>
      <c r="EQ302" s="75">
        <f t="shared" si="235"/>
        <v>1.5545644629636092E-2</v>
      </c>
      <c r="ER302" s="75">
        <f t="shared" si="235"/>
        <v>1.4326427046963221E-2</v>
      </c>
      <c r="ES302" s="75">
        <f t="shared" si="235"/>
        <v>1.3378964428160481E-2</v>
      </c>
    </row>
    <row r="303" spans="1:149" x14ac:dyDescent="0.3">
      <c r="A303" s="65"/>
      <c r="DU303" s="75"/>
      <c r="DV303" s="75"/>
      <c r="DW303" s="75"/>
      <c r="DX303" s="75"/>
      <c r="DY303" s="84"/>
      <c r="DZ303" s="75"/>
      <c r="EA303" s="75"/>
      <c r="EB303" s="75"/>
      <c r="EC303" s="75"/>
      <c r="ED303" s="84"/>
      <c r="EE303" s="75"/>
      <c r="EF303" s="75"/>
      <c r="EG303" s="75"/>
      <c r="EH303" s="75"/>
      <c r="EI303" s="84"/>
      <c r="EJ303" s="75"/>
      <c r="EK303" s="75"/>
      <c r="EL303" s="75"/>
      <c r="EM303" s="75"/>
      <c r="EN303" s="75"/>
      <c r="EO303" s="75"/>
      <c r="EP303" s="75"/>
      <c r="EQ303" s="75"/>
      <c r="ER303" s="75"/>
      <c r="ES303" s="75"/>
    </row>
    <row r="304" spans="1:149" x14ac:dyDescent="0.3">
      <c r="A304" s="29" t="s">
        <v>1436</v>
      </c>
    </row>
    <row r="305" spans="1:149" x14ac:dyDescent="0.3">
      <c r="A305" s="30" t="s">
        <v>372</v>
      </c>
      <c r="DU305" s="918">
        <f>AVERAGE(DU283,DU286)*DU253*3/1000</f>
        <v>0</v>
      </c>
      <c r="DV305" s="918">
        <f>AVERAGE(DV283,DV286)*DV253*3/1000</f>
        <v>0</v>
      </c>
      <c r="DW305" s="918">
        <f>AVERAGE(DW283,DW286)*DW253*3/1000</f>
        <v>0</v>
      </c>
      <c r="DX305" s="918">
        <f>AVERAGE(DX283,DX286)*DX253*3/1000</f>
        <v>0</v>
      </c>
      <c r="DY305" s="885">
        <f>SUM(DU305:DX305)</f>
        <v>0</v>
      </c>
      <c r="DZ305" s="918">
        <f>AVERAGE(DZ283,DZ286)*DZ253*3/1000</f>
        <v>0</v>
      </c>
      <c r="EA305" s="918">
        <f>AVERAGE(EA283,EA286)*EA253*3/1000</f>
        <v>0</v>
      </c>
      <c r="EB305" s="918">
        <f>AVERAGE(EB283,EB286)*EB253*3/1000</f>
        <v>0</v>
      </c>
      <c r="EC305" s="918">
        <f>AVERAGE(EC283,EC286)*EC253*3/1000</f>
        <v>0</v>
      </c>
      <c r="ED305" s="919">
        <f>SUM(DZ305:EC305)</f>
        <v>0</v>
      </c>
      <c r="EE305" s="919">
        <f>AVERAGE(EE283,EE286)*EE253*3/1000</f>
        <v>0</v>
      </c>
      <c r="EF305" s="919">
        <f>AVERAGE(EF283,EF286)*EF253*3/1000</f>
        <v>0</v>
      </c>
      <c r="EG305" s="919">
        <f>AVERAGE(EG283,EG286)*EG253*3/1000</f>
        <v>8.6799349511718873E-2</v>
      </c>
      <c r="EH305" s="919">
        <f>AVERAGE(EH283,EH286)*EH253*3/1000</f>
        <v>0.29226944397164106</v>
      </c>
      <c r="EI305" s="919">
        <f>SUM(EE305:EH305)</f>
        <v>0.37906879348335992</v>
      </c>
      <c r="EJ305" s="919">
        <f t="shared" ref="EJ305:ES305" si="236">AVERAGE(EJ283,EJ286)*EJ253*12/1000</f>
        <v>5.432831175604659</v>
      </c>
      <c r="EK305" s="919">
        <f t="shared" si="236"/>
        <v>16.848149727925893</v>
      </c>
      <c r="EL305" s="919">
        <f t="shared" si="236"/>
        <v>36.712342789836605</v>
      </c>
      <c r="EM305" s="919">
        <f t="shared" si="236"/>
        <v>65.405819586926441</v>
      </c>
      <c r="EN305" s="919">
        <f t="shared" si="236"/>
        <v>100.56017053188663</v>
      </c>
      <c r="EO305" s="919">
        <f t="shared" si="236"/>
        <v>136.9035671331051</v>
      </c>
      <c r="EP305" s="919">
        <f t="shared" si="236"/>
        <v>169.87678132629429</v>
      </c>
      <c r="EQ305" s="919">
        <f t="shared" si="236"/>
        <v>198.70384460663976</v>
      </c>
      <c r="ER305" s="919">
        <f t="shared" si="236"/>
        <v>224.28528821812804</v>
      </c>
      <c r="ES305" s="919">
        <f t="shared" si="236"/>
        <v>247.3387156735576</v>
      </c>
    </row>
    <row r="306" spans="1:149" x14ac:dyDescent="0.3">
      <c r="A306" s="30" t="s">
        <v>418</v>
      </c>
      <c r="DU306" s="885">
        <f>AVERAGE(DU294,DU297)*DU272*3/1000</f>
        <v>37.077075000000008</v>
      </c>
      <c r="DV306" s="885">
        <f>AVERAGE(DV294,DV297)*DV272*3/1000</f>
        <v>37.000424999999993</v>
      </c>
      <c r="DW306" s="885">
        <f>AVERAGE(DW294,DW297)*DW272*3/1000</f>
        <v>35.449739999999998</v>
      </c>
      <c r="DX306" s="885">
        <f>AVERAGE(DX294,DX297)*DX272*3/1000</f>
        <v>34.608600000000003</v>
      </c>
      <c r="DY306" s="885">
        <f>SUM(DU306:DX306)</f>
        <v>144.13584</v>
      </c>
      <c r="DZ306" s="885">
        <f>AVERAGE(DZ294,DZ297)*DZ272*3/1000</f>
        <v>33.941805000000002</v>
      </c>
      <c r="EA306" s="885">
        <f>AVERAGE(EA294,EA297)*EA272*3/1000</f>
        <v>32.434739999999998</v>
      </c>
      <c r="EB306" s="885">
        <f>AVERAGE(EB294,EB297)*EB272*3/1000</f>
        <v>31.258980000000001</v>
      </c>
      <c r="EC306" s="885">
        <f>AVERAGE(EC294,EC297)*EC272*3/1000</f>
        <v>30.646620000000002</v>
      </c>
      <c r="ED306" s="885">
        <f>SUM(DZ306:EC306)</f>
        <v>128.28214500000001</v>
      </c>
      <c r="EE306" s="885">
        <f>AVERAGE(EE294,EE297)*EE272*3/1000</f>
        <v>29.484389999999998</v>
      </c>
      <c r="EF306" s="885">
        <f>AVERAGE(EF294,EF297)*EF272*3/1000</f>
        <v>27.927</v>
      </c>
      <c r="EG306" s="885">
        <f>AVERAGE(EG294,EG297)*EG272*3/1000</f>
        <v>27.106972056604455</v>
      </c>
      <c r="EH306" s="885">
        <f>AVERAGE(EH294,EH297)*EH272*3/1000</f>
        <v>26.695288735034264</v>
      </c>
      <c r="EI306" s="885">
        <f>SUM(EE306:EH306)</f>
        <v>111.21365079163871</v>
      </c>
      <c r="EJ306" s="885">
        <f t="shared" ref="EJ306:ES306" si="237">AVERAGE(EJ294,EJ297)*EJ272*12/1000</f>
        <v>104.27184975992161</v>
      </c>
      <c r="EK306" s="885">
        <f t="shared" si="237"/>
        <v>99.306132335007248</v>
      </c>
      <c r="EL306" s="885">
        <f t="shared" si="237"/>
        <v>93.067734414341004</v>
      </c>
      <c r="EM306" s="885">
        <f t="shared" si="237"/>
        <v>85.404972604940212</v>
      </c>
      <c r="EN306" s="885">
        <f t="shared" si="237"/>
        <v>76.889324935257179</v>
      </c>
      <c r="EO306" s="885">
        <f t="shared" si="237"/>
        <v>68.787130721311641</v>
      </c>
      <c r="EP306" s="885">
        <f t="shared" si="237"/>
        <v>62.133482209725507</v>
      </c>
      <c r="EQ306" s="885">
        <f t="shared" si="237"/>
        <v>57.007898955145883</v>
      </c>
      <c r="ER306" s="885">
        <f t="shared" si="237"/>
        <v>53.094144155327214</v>
      </c>
      <c r="ES306" s="885">
        <f t="shared" si="237"/>
        <v>50.14196792495413</v>
      </c>
    </row>
    <row r="307" spans="1:149" x14ac:dyDescent="0.3">
      <c r="A307" s="30" t="s">
        <v>3977</v>
      </c>
      <c r="DU307" s="901">
        <f>DU308-SUM(DU305:DU306)</f>
        <v>642.96834083074111</v>
      </c>
      <c r="DV307" s="901">
        <f>DV308-SUM(DV305:DV306)</f>
        <v>630.92889451063036</v>
      </c>
      <c r="DW307" s="901">
        <f>DW308-SUM(DW305:DW306)</f>
        <v>598.2473149435807</v>
      </c>
      <c r="DX307" s="901">
        <f>DX308-SUM(DX305:DX306)</f>
        <v>564.71960971504791</v>
      </c>
      <c r="DY307" s="901">
        <f>SUM(DU307:DX307)</f>
        <v>2436.8641600000001</v>
      </c>
      <c r="DZ307" s="901">
        <f>DZ308-SUM(DZ305:DZ306)</f>
        <v>599.72286603920395</v>
      </c>
      <c r="EA307" s="901">
        <f>EA308-SUM(EA305:EA306)</f>
        <v>573.42588253509871</v>
      </c>
      <c r="EB307" s="901">
        <f>EB308-SUM(EB305:EB306)</f>
        <v>557.86021944640174</v>
      </c>
      <c r="EC307" s="901">
        <f>EC308-SUM(EC305:EC306)</f>
        <v>541.08420422929555</v>
      </c>
      <c r="ED307" s="901">
        <f>SUM(DZ307:EC307)</f>
        <v>2272.09317225</v>
      </c>
      <c r="EE307" s="901">
        <f>EE308-SUM(EE305:EE306)</f>
        <v>550.12844498724382</v>
      </c>
      <c r="EF307" s="901">
        <f>EF308-SUM(EF305:EF306)</f>
        <v>542.83535027456912</v>
      </c>
      <c r="EG307" s="901">
        <f>EB307*(1+EG312)</f>
        <v>528.10006811804465</v>
      </c>
      <c r="EH307" s="901">
        <f>EC307*(1+EH312)</f>
        <v>512.21900244948904</v>
      </c>
      <c r="EI307" s="901">
        <f>SUM(EE307:EH307)</f>
        <v>2133.2828658293465</v>
      </c>
      <c r="EJ307" s="901">
        <f t="shared" ref="EJ307:ES307" si="238">EI307*(1+EJ312)</f>
        <v>2013.61939232451</v>
      </c>
      <c r="EK307" s="901">
        <f t="shared" si="238"/>
        <v>1910.7363684282932</v>
      </c>
      <c r="EL307" s="901">
        <f t="shared" si="238"/>
        <v>1822.6636884059685</v>
      </c>
      <c r="EM307" s="901">
        <f t="shared" si="238"/>
        <v>1747.7639119649336</v>
      </c>
      <c r="EN307" s="901">
        <f t="shared" si="238"/>
        <v>1684.6808550532035</v>
      </c>
      <c r="EO307" s="901">
        <f t="shared" si="238"/>
        <v>1632.2980957900866</v>
      </c>
      <c r="EP307" s="901">
        <f t="shared" si="238"/>
        <v>1589.7055945317022</v>
      </c>
      <c r="EQ307" s="901">
        <f t="shared" si="238"/>
        <v>1556.1730120931045</v>
      </c>
      <c r="ER307" s="901">
        <f t="shared" si="238"/>
        <v>1531.1286169316577</v>
      </c>
      <c r="ES307" s="901">
        <f t="shared" si="238"/>
        <v>1514.142918836739</v>
      </c>
    </row>
    <row r="308" spans="1:149" s="90" customFormat="1" x14ac:dyDescent="0.3">
      <c r="A308" s="29" t="s">
        <v>4032</v>
      </c>
      <c r="DU308" s="900">
        <f>DU352-DU160</f>
        <v>680.04541583074115</v>
      </c>
      <c r="DV308" s="900">
        <f>DV352-DV160</f>
        <v>667.92931951063031</v>
      </c>
      <c r="DW308" s="900">
        <f>DW352-DW160</f>
        <v>633.69705494358072</v>
      </c>
      <c r="DX308" s="900">
        <f>DX352-DX160</f>
        <v>599.32820971504793</v>
      </c>
      <c r="DY308" s="900">
        <f>SUM(DY305:DY307)</f>
        <v>2581</v>
      </c>
      <c r="DZ308" s="900">
        <f>DZ352-DZ160</f>
        <v>633.66467103920399</v>
      </c>
      <c r="EA308" s="900">
        <f>EA352-EA160</f>
        <v>605.86062253509874</v>
      </c>
      <c r="EB308" s="900">
        <f>EB352-EB160</f>
        <v>589.11919944640169</v>
      </c>
      <c r="EC308" s="900">
        <f>EC352-EC160</f>
        <v>571.73082422929554</v>
      </c>
      <c r="ED308" s="900">
        <f>SUM(ED305:ED307)</f>
        <v>2400.3753172500001</v>
      </c>
      <c r="EE308" s="900">
        <f>EE352-EE160</f>
        <v>579.61283498724379</v>
      </c>
      <c r="EF308" s="900">
        <f>EF352-EF160</f>
        <v>570.76235027456914</v>
      </c>
      <c r="EG308" s="900">
        <f t="shared" ref="EG308:ES308" si="239">SUM(EG305:EG307)</f>
        <v>555.29383952416083</v>
      </c>
      <c r="EH308" s="900">
        <f t="shared" si="239"/>
        <v>539.20656062849491</v>
      </c>
      <c r="EI308" s="900">
        <f t="shared" si="239"/>
        <v>2244.8755854144688</v>
      </c>
      <c r="EJ308" s="900">
        <f t="shared" si="239"/>
        <v>2123.3240732600361</v>
      </c>
      <c r="EK308" s="900">
        <f t="shared" si="239"/>
        <v>2026.8906504912263</v>
      </c>
      <c r="EL308" s="900">
        <f t="shared" si="239"/>
        <v>1952.4437656101461</v>
      </c>
      <c r="EM308" s="900">
        <f t="shared" si="239"/>
        <v>1898.5747041568002</v>
      </c>
      <c r="EN308" s="900">
        <f t="shared" si="239"/>
        <v>1862.1303505203473</v>
      </c>
      <c r="EO308" s="900">
        <f t="shared" si="239"/>
        <v>1837.9887936445034</v>
      </c>
      <c r="EP308" s="900">
        <f t="shared" si="239"/>
        <v>1821.7158580677219</v>
      </c>
      <c r="EQ308" s="900">
        <f t="shared" si="239"/>
        <v>1811.8847556548901</v>
      </c>
      <c r="ER308" s="900">
        <f t="shared" si="239"/>
        <v>1808.508049305113</v>
      </c>
      <c r="ES308" s="900">
        <f t="shared" si="239"/>
        <v>1811.6236024352506</v>
      </c>
    </row>
    <row r="309" spans="1:149" x14ac:dyDescent="0.3">
      <c r="A309" s="70" t="s">
        <v>4033</v>
      </c>
      <c r="DY309" s="885"/>
      <c r="DZ309" s="920">
        <f>DZ308/DU308-1</f>
        <v>-6.8202422532146034E-2</v>
      </c>
      <c r="EA309" s="920">
        <f t="shared" ref="EA309:EI309" si="240">EA308/DV308-1</f>
        <v>-9.2927043569531076E-2</v>
      </c>
      <c r="EB309" s="920">
        <f t="shared" si="240"/>
        <v>-7.0345688289726871E-2</v>
      </c>
      <c r="EC309" s="920">
        <f t="shared" si="240"/>
        <v>-4.6047199244757087E-2</v>
      </c>
      <c r="ED309" s="920">
        <f t="shared" si="240"/>
        <v>-6.9982441979852705E-2</v>
      </c>
      <c r="EE309" s="920">
        <f t="shared" si="240"/>
        <v>-8.5300378137407762E-2</v>
      </c>
      <c r="EF309" s="920">
        <f t="shared" si="240"/>
        <v>-5.7931264972574281E-2</v>
      </c>
      <c r="EG309" s="920">
        <f t="shared" si="240"/>
        <v>-5.7416835088767604E-2</v>
      </c>
      <c r="EH309" s="920">
        <f t="shared" si="240"/>
        <v>-5.6887371158698685E-2</v>
      </c>
      <c r="EI309" s="920">
        <f t="shared" si="240"/>
        <v>-6.4781424270634602E-2</v>
      </c>
      <c r="EJ309" s="920">
        <f>EJ308/EI308-1</f>
        <v>-5.4146213244147701E-2</v>
      </c>
      <c r="EK309" s="920">
        <f t="shared" ref="EK309:ES309" si="241">EK308/EJ308-1</f>
        <v>-4.5416252744099994E-2</v>
      </c>
      <c r="EL309" s="920">
        <f t="shared" si="241"/>
        <v>-3.6729601008834711E-2</v>
      </c>
      <c r="EM309" s="920">
        <f t="shared" si="241"/>
        <v>-2.7590582838892486E-2</v>
      </c>
      <c r="EN309" s="920">
        <f t="shared" si="241"/>
        <v>-1.9195638473777477E-2</v>
      </c>
      <c r="EO309" s="920">
        <f t="shared" si="241"/>
        <v>-1.2964482786663067E-2</v>
      </c>
      <c r="EP309" s="920">
        <f t="shared" si="241"/>
        <v>-8.8536641970021757E-3</v>
      </c>
      <c r="EQ309" s="920">
        <f t="shared" si="241"/>
        <v>-5.3966168045874729E-3</v>
      </c>
      <c r="ER309" s="920">
        <f t="shared" si="241"/>
        <v>-1.8636430044672858E-3</v>
      </c>
      <c r="ES309" s="920">
        <f t="shared" si="241"/>
        <v>1.7227200793132891E-3</v>
      </c>
    </row>
    <row r="310" spans="1:149" x14ac:dyDescent="0.3">
      <c r="A310" s="70" t="s">
        <v>4008</v>
      </c>
      <c r="DY310" s="885"/>
      <c r="DZ310" s="372" t="s">
        <v>4030</v>
      </c>
      <c r="EA310" s="372" t="s">
        <v>4030</v>
      </c>
      <c r="EB310" s="372" t="s">
        <v>4030</v>
      </c>
      <c r="EC310" s="372" t="s">
        <v>4030</v>
      </c>
      <c r="ED310" s="372" t="s">
        <v>4030</v>
      </c>
      <c r="EE310" s="372" t="s">
        <v>4030</v>
      </c>
      <c r="EF310" s="372" t="s">
        <v>4030</v>
      </c>
      <c r="EG310" s="372" t="s">
        <v>4030</v>
      </c>
      <c r="EH310" s="372" t="s">
        <v>4030</v>
      </c>
      <c r="EI310" s="372" t="s">
        <v>4030</v>
      </c>
      <c r="EJ310" s="890">
        <f t="shared" ref="EJ310:ES310" si="242">EJ305/EI305-1</f>
        <v>13.332045446635124</v>
      </c>
      <c r="EK310" s="890">
        <f t="shared" si="242"/>
        <v>2.1011730685797985</v>
      </c>
      <c r="EL310" s="890">
        <f t="shared" si="242"/>
        <v>1.1790133268453635</v>
      </c>
      <c r="EM310" s="890">
        <f t="shared" si="242"/>
        <v>0.78157574855269929</v>
      </c>
      <c r="EN310" s="890">
        <f t="shared" si="242"/>
        <v>0.53748047447427694</v>
      </c>
      <c r="EO310" s="890">
        <f t="shared" si="242"/>
        <v>0.36140945673609748</v>
      </c>
      <c r="EP310" s="890">
        <f t="shared" si="242"/>
        <v>0.24084992731512123</v>
      </c>
      <c r="EQ310" s="890">
        <f t="shared" si="242"/>
        <v>0.1696939573217795</v>
      </c>
      <c r="ER310" s="890">
        <f t="shared" si="242"/>
        <v>0.12874156341629983</v>
      </c>
      <c r="ES310" s="890">
        <f t="shared" si="242"/>
        <v>0.10278617754459662</v>
      </c>
    </row>
    <row r="311" spans="1:149" x14ac:dyDescent="0.3">
      <c r="A311" s="70" t="s">
        <v>4034</v>
      </c>
      <c r="DY311" s="885"/>
      <c r="DZ311" s="890">
        <f t="shared" ref="DZ311:EI311" si="243">DZ306/DU306-1</f>
        <v>-8.4560877577317117E-2</v>
      </c>
      <c r="EA311" s="890">
        <f t="shared" si="243"/>
        <v>-0.12339547451144128</v>
      </c>
      <c r="EB311" s="890">
        <f t="shared" si="243"/>
        <v>-0.11821694601991428</v>
      </c>
      <c r="EC311" s="890">
        <f t="shared" si="243"/>
        <v>-0.11447963800904981</v>
      </c>
      <c r="ED311" s="890">
        <f t="shared" si="243"/>
        <v>-0.10999134566392366</v>
      </c>
      <c r="EE311" s="890">
        <f t="shared" si="243"/>
        <v>-0.13132521974008171</v>
      </c>
      <c r="EF311" s="890">
        <f t="shared" si="243"/>
        <v>-0.13897876166110779</v>
      </c>
      <c r="EG311" s="890">
        <f t="shared" si="243"/>
        <v>-0.13282608528479001</v>
      </c>
      <c r="EH311" s="890">
        <f t="shared" si="243"/>
        <v>-0.12893204095478517</v>
      </c>
      <c r="EI311" s="890">
        <f t="shared" si="243"/>
        <v>-0.13305432496752612</v>
      </c>
      <c r="EJ311" s="890">
        <f t="shared" ref="EJ311:ES311" si="244">EJ306/EI306-1</f>
        <v>-6.241860583034653E-2</v>
      </c>
      <c r="EK311" s="890">
        <f t="shared" si="244"/>
        <v>-4.7622799790620007E-2</v>
      </c>
      <c r="EL311" s="890">
        <f t="shared" si="244"/>
        <v>-6.2819865943637088E-2</v>
      </c>
      <c r="EM311" s="890">
        <f t="shared" si="244"/>
        <v>-8.2335321232661518E-2</v>
      </c>
      <c r="EN311" s="890">
        <f t="shared" si="244"/>
        <v>-9.9709038126785221E-2</v>
      </c>
      <c r="EO311" s="890">
        <f t="shared" si="244"/>
        <v>-0.10537476068059903</v>
      </c>
      <c r="EP311" s="890">
        <f t="shared" si="244"/>
        <v>-9.6728100762672131E-2</v>
      </c>
      <c r="EQ311" s="890">
        <f t="shared" si="244"/>
        <v>-8.249309506392577E-2</v>
      </c>
      <c r="ER311" s="890">
        <f t="shared" si="244"/>
        <v>-6.86528511232809E-2</v>
      </c>
      <c r="ES311" s="890">
        <f t="shared" si="244"/>
        <v>-5.5602671016533822E-2</v>
      </c>
    </row>
    <row r="312" spans="1:149" x14ac:dyDescent="0.3">
      <c r="A312" s="70" t="s">
        <v>4035</v>
      </c>
      <c r="DY312" s="885"/>
      <c r="DZ312" s="890">
        <f t="shared" ref="DZ312:EF312" si="245">DZ307/DU307-1</f>
        <v>-6.7259104446203755E-2</v>
      </c>
      <c r="EA312" s="890">
        <f t="shared" si="245"/>
        <v>-9.1140241754394391E-2</v>
      </c>
      <c r="EB312" s="890">
        <f t="shared" si="245"/>
        <v>-6.7509029273265964E-2</v>
      </c>
      <c r="EC312" s="890">
        <f t="shared" si="245"/>
        <v>-4.185334647344463E-2</v>
      </c>
      <c r="ED312" s="890">
        <f t="shared" si="245"/>
        <v>-6.7615992083038479E-2</v>
      </c>
      <c r="EE312" s="890">
        <f t="shared" si="245"/>
        <v>-8.2695564668895161E-2</v>
      </c>
      <c r="EF312" s="890">
        <f t="shared" si="245"/>
        <v>-5.3346968095143832E-2</v>
      </c>
      <c r="EG312" s="910">
        <f>EF312</f>
        <v>-5.3346968095143832E-2</v>
      </c>
      <c r="EH312" s="910">
        <f>EG312</f>
        <v>-5.3346968095143832E-2</v>
      </c>
      <c r="EI312" s="890">
        <f>EI307/ED307-1</f>
        <v>-6.1093580191164842E-2</v>
      </c>
      <c r="EJ312" s="910">
        <f>EI312+0.5%</f>
        <v>-5.6093580191164845E-2</v>
      </c>
      <c r="EK312" s="910">
        <f t="shared" ref="EK312:ES312" si="246">EJ312+0.5%</f>
        <v>-5.1093580191164847E-2</v>
      </c>
      <c r="EL312" s="910">
        <f t="shared" si="246"/>
        <v>-4.609358019116485E-2</v>
      </c>
      <c r="EM312" s="910">
        <f t="shared" si="246"/>
        <v>-4.1093580191164852E-2</v>
      </c>
      <c r="EN312" s="910">
        <f t="shared" si="246"/>
        <v>-3.6093580191164855E-2</v>
      </c>
      <c r="EO312" s="910">
        <f t="shared" si="246"/>
        <v>-3.1093580191164854E-2</v>
      </c>
      <c r="EP312" s="910">
        <f t="shared" si="246"/>
        <v>-2.6093580191164853E-2</v>
      </c>
      <c r="EQ312" s="910">
        <f t="shared" si="246"/>
        <v>-2.1093580191164852E-2</v>
      </c>
      <c r="ER312" s="910">
        <f t="shared" si="246"/>
        <v>-1.6093580191164851E-2</v>
      </c>
      <c r="ES312" s="910">
        <f t="shared" si="246"/>
        <v>-1.109358019116485E-2</v>
      </c>
    </row>
    <row r="313" spans="1:149" x14ac:dyDescent="0.3">
      <c r="A313" s="30"/>
      <c r="DY313" s="885"/>
    </row>
    <row r="314" spans="1:149" s="90" customFormat="1" x14ac:dyDescent="0.3">
      <c r="A314" s="29" t="s">
        <v>4036</v>
      </c>
      <c r="DU314" s="900">
        <f>DU260+DU279+DU308</f>
        <v>1196.2767619557412</v>
      </c>
      <c r="DV314" s="900">
        <f>DV260+DV279+DV308</f>
        <v>1170.4842489518803</v>
      </c>
      <c r="DW314" s="900">
        <f>DW260+DW279+DW308</f>
        <v>1119.8498517015933</v>
      </c>
      <c r="DX314" s="900">
        <f>DX260+DX279+DX308</f>
        <v>1075.3891373907854</v>
      </c>
      <c r="DY314" s="900">
        <f>SUM(DU314:DX314)</f>
        <v>4562</v>
      </c>
      <c r="DZ314" s="900">
        <f>DZ260+DZ279+DZ308</f>
        <v>1048.1969386963988</v>
      </c>
      <c r="EA314" s="900">
        <f>EA260+EA279+EA308</f>
        <v>1006.706497376531</v>
      </c>
      <c r="EB314" s="900">
        <f>EB260+EB279+EB308</f>
        <v>979.38475361747487</v>
      </c>
      <c r="EC314" s="900">
        <f>EC260+EC279+EC308</f>
        <v>962.71181030959531</v>
      </c>
      <c r="ED314" s="900">
        <f>SUM(DZ314:EC314)</f>
        <v>3997</v>
      </c>
      <c r="EE314" s="900">
        <f>EE260+EE279+EE308</f>
        <v>923.89970219048257</v>
      </c>
      <c r="EF314" s="900">
        <f>EF260+EF279+EF308</f>
        <v>894.5768206302771</v>
      </c>
      <c r="EG314" s="900">
        <f>EG260+EG279+EG308</f>
        <v>872.97651291584907</v>
      </c>
      <c r="EH314" s="900">
        <f>EH260+EH279+EH308</f>
        <v>850.75521310557554</v>
      </c>
      <c r="EI314" s="900">
        <f>SUM(EE314:EH314)</f>
        <v>3542.2082488421843</v>
      </c>
      <c r="EJ314" s="900">
        <f t="shared" ref="EJ314:ES314" si="247">EJ260+EJ279+EJ308</f>
        <v>3368.3041896286054</v>
      </c>
      <c r="EK314" s="900">
        <f t="shared" si="247"/>
        <v>3326.7834856812133</v>
      </c>
      <c r="EL314" s="900">
        <f t="shared" si="247"/>
        <v>3440.3700791202073</v>
      </c>
      <c r="EM314" s="900">
        <f t="shared" si="247"/>
        <v>3726.7824870402569</v>
      </c>
      <c r="EN314" s="900">
        <f t="shared" si="247"/>
        <v>4133.6607048105507</v>
      </c>
      <c r="EO314" s="900">
        <f t="shared" si="247"/>
        <v>4552.991378492321</v>
      </c>
      <c r="EP314" s="900">
        <f t="shared" si="247"/>
        <v>4920.601037128532</v>
      </c>
      <c r="EQ314" s="900">
        <f t="shared" si="247"/>
        <v>5206.7878221241581</v>
      </c>
      <c r="ER314" s="900">
        <f t="shared" si="247"/>
        <v>5390.36933917847</v>
      </c>
      <c r="ES314" s="900">
        <f t="shared" si="247"/>
        <v>5479.4841936957855</v>
      </c>
    </row>
    <row r="315" spans="1:149" x14ac:dyDescent="0.3">
      <c r="A315" s="70" t="s">
        <v>363</v>
      </c>
      <c r="DY315" s="885"/>
      <c r="DZ315" s="920">
        <f t="shared" ref="DZ315:EI315" si="248">DZ314/DU314-1</f>
        <v>-0.12378391687326029</v>
      </c>
      <c r="EA315" s="920">
        <f t="shared" si="248"/>
        <v>-0.13992307177307628</v>
      </c>
      <c r="EB315" s="920">
        <f t="shared" si="248"/>
        <v>-0.12543208169441999</v>
      </c>
      <c r="EC315" s="920">
        <f t="shared" si="248"/>
        <v>-0.10477818973937092</v>
      </c>
      <c r="ED315" s="920">
        <f t="shared" si="248"/>
        <v>-0.12384918895221397</v>
      </c>
      <c r="EE315" s="920">
        <f t="shared" si="248"/>
        <v>-0.11858194955281953</v>
      </c>
      <c r="EF315" s="920">
        <f t="shared" si="248"/>
        <v>-0.11138268903445336</v>
      </c>
      <c r="EG315" s="920">
        <f t="shared" si="248"/>
        <v>-0.10864804695865871</v>
      </c>
      <c r="EH315" s="920">
        <f t="shared" si="248"/>
        <v>-0.11629295081361479</v>
      </c>
      <c r="EI315" s="920">
        <f t="shared" si="248"/>
        <v>-0.11378327524588838</v>
      </c>
      <c r="EJ315" s="920">
        <f t="shared" ref="EJ315:ES315" si="249">EJ314/EI314-1</f>
        <v>-4.9094815153914673E-2</v>
      </c>
      <c r="EK315" s="920">
        <f t="shared" si="249"/>
        <v>-1.23268866497388E-2</v>
      </c>
      <c r="EL315" s="920">
        <f t="shared" si="249"/>
        <v>3.4143067599043064E-2</v>
      </c>
      <c r="EM315" s="920">
        <f t="shared" si="249"/>
        <v>8.3250464727123941E-2</v>
      </c>
      <c r="EN315" s="920">
        <f t="shared" si="249"/>
        <v>0.10917680846284883</v>
      </c>
      <c r="EO315" s="920">
        <f t="shared" si="249"/>
        <v>0.1014429348770145</v>
      </c>
      <c r="EP315" s="920">
        <f t="shared" si="249"/>
        <v>8.0740249228835825E-2</v>
      </c>
      <c r="EQ315" s="920">
        <f t="shared" si="249"/>
        <v>5.8160940672937311E-2</v>
      </c>
      <c r="ER315" s="920">
        <f t="shared" si="249"/>
        <v>3.5258113701936544E-2</v>
      </c>
      <c r="ES315" s="920">
        <f t="shared" si="249"/>
        <v>1.6532235346028656E-2</v>
      </c>
    </row>
    <row r="316" spans="1:149" x14ac:dyDescent="0.3">
      <c r="A316" s="30"/>
    </row>
    <row r="317" spans="1:149" x14ac:dyDescent="0.3">
      <c r="A317" s="30" t="s">
        <v>3416</v>
      </c>
      <c r="DU317" s="949">
        <f>Inputs!DU546-'Segment Model'!DU168</f>
        <v>728.61663256603856</v>
      </c>
      <c r="DV317" s="949">
        <f>Inputs!DV546-'Segment Model'!DV168</f>
        <v>690.37714711418414</v>
      </c>
      <c r="DW317" s="949">
        <f>Inputs!DW546-'Segment Model'!DW168</f>
        <v>706.6232289792224</v>
      </c>
      <c r="DX317" s="949">
        <f>Inputs!DX546-'Segment Model'!DX168</f>
        <v>686.38299134055478</v>
      </c>
      <c r="DY317" s="887">
        <f>SUM(DU317:DX317)</f>
        <v>2812</v>
      </c>
      <c r="DZ317" s="949">
        <f>Inputs!DZ546-'Segment Model'!DZ168</f>
        <v>696.19693869639877</v>
      </c>
      <c r="EA317" s="949">
        <f>Inputs!EA546-'Segment Model'!EA168</f>
        <v>647.70649737653105</v>
      </c>
      <c r="EB317" s="949">
        <f>Inputs!EB546-'Segment Model'!EB168</f>
        <v>638.38475361747487</v>
      </c>
      <c r="EC317" s="949">
        <f>Inputs!EC546-'Segment Model'!EC168</f>
        <v>608.71181030959531</v>
      </c>
      <c r="ED317" s="887">
        <f>SUM(DZ317:EC317)</f>
        <v>2591</v>
      </c>
      <c r="EE317" s="949">
        <f>Inputs!EE546-'Segment Model'!EE168</f>
        <v>620.48709176157888</v>
      </c>
      <c r="EF317" s="949">
        <f>Inputs!EF546-'Segment Model'!EF168</f>
        <v>599.8711725077045</v>
      </c>
      <c r="EG317" s="887">
        <f>EB317*(1+EG318)</f>
        <v>591.23787118803182</v>
      </c>
      <c r="EH317" s="887">
        <f>EC317*(1+EH318)</f>
        <v>563.75637553228466</v>
      </c>
      <c r="EI317" s="887">
        <f>SUM(EE317:EH317)</f>
        <v>2375.3525109896</v>
      </c>
      <c r="EJ317" s="887">
        <f>EI317*(1+EJ318)</f>
        <v>2351.5989858797038</v>
      </c>
      <c r="EK317" s="887">
        <f t="shared" ref="EK317:ES317" si="250">EJ317*(1+EK318)</f>
        <v>2339.8409909503052</v>
      </c>
      <c r="EL317" s="887">
        <f t="shared" si="250"/>
        <v>2339.8409909503052</v>
      </c>
      <c r="EM317" s="887">
        <f t="shared" si="250"/>
        <v>2351.5401959050564</v>
      </c>
      <c r="EN317" s="887">
        <f t="shared" si="250"/>
        <v>2375.0555978641069</v>
      </c>
      <c r="EO317" s="887">
        <f t="shared" si="250"/>
        <v>2422.5567098213892</v>
      </c>
      <c r="EP317" s="887">
        <f t="shared" si="250"/>
        <v>2495.2334111160308</v>
      </c>
      <c r="EQ317" s="887">
        <f t="shared" si="250"/>
        <v>2595.0427475606721</v>
      </c>
      <c r="ER317" s="887">
        <f t="shared" si="250"/>
        <v>2724.7948849387058</v>
      </c>
      <c r="ES317" s="887">
        <f t="shared" si="250"/>
        <v>2861.0346291856413</v>
      </c>
    </row>
    <row r="318" spans="1:149" x14ac:dyDescent="0.3">
      <c r="A318" s="70" t="s">
        <v>363</v>
      </c>
      <c r="DZ318" s="890">
        <f t="shared" ref="DZ318:EF318" si="251">DZ317/DU317-1</f>
        <v>-4.4494858366688983E-2</v>
      </c>
      <c r="EA318" s="890">
        <f t="shared" si="251"/>
        <v>-6.1807737866206636E-2</v>
      </c>
      <c r="EB318" s="890">
        <f t="shared" si="251"/>
        <v>-9.6569816223454508E-2</v>
      </c>
      <c r="EC318" s="890">
        <f t="shared" si="251"/>
        <v>-0.11316011907471968</v>
      </c>
      <c r="ED318" s="890">
        <f t="shared" si="251"/>
        <v>-7.8591749644381204E-2</v>
      </c>
      <c r="EE318" s="890">
        <f t="shared" si="251"/>
        <v>-0.10874774467779702</v>
      </c>
      <c r="EF318" s="890">
        <f t="shared" si="251"/>
        <v>-7.3853396658175585E-2</v>
      </c>
      <c r="EG318" s="910">
        <f>EF318</f>
        <v>-7.3853396658175585E-2</v>
      </c>
      <c r="EH318" s="910">
        <f>EG318</f>
        <v>-7.3853396658175585E-2</v>
      </c>
      <c r="EI318" s="890">
        <f>EI317/ED317-1</f>
        <v>-8.3229443848089502E-2</v>
      </c>
      <c r="EJ318" s="910">
        <v>-0.01</v>
      </c>
      <c r="EK318" s="910">
        <f>EJ318+0.5%</f>
        <v>-5.0000000000000001E-3</v>
      </c>
      <c r="EL318" s="910">
        <f>EK318+0.5%</f>
        <v>0</v>
      </c>
      <c r="EM318" s="910">
        <f>EL318+0.5%</f>
        <v>5.0000000000000001E-3</v>
      </c>
      <c r="EN318" s="910">
        <f>EM318+0.5%</f>
        <v>0.01</v>
      </c>
      <c r="EO318" s="910">
        <f>EN318+1%</f>
        <v>0.02</v>
      </c>
      <c r="EP318" s="910">
        <f>EO318+1%</f>
        <v>0.03</v>
      </c>
      <c r="EQ318" s="910">
        <f>EP318+1%</f>
        <v>0.04</v>
      </c>
      <c r="ER318" s="910">
        <f>EQ318+1%</f>
        <v>0.05</v>
      </c>
      <c r="ES318" s="910">
        <f>ER318</f>
        <v>0.05</v>
      </c>
    </row>
    <row r="319" spans="1:149" x14ac:dyDescent="0.3">
      <c r="A319" s="30"/>
    </row>
    <row r="320" spans="1:149" x14ac:dyDescent="0.3">
      <c r="A320" s="30"/>
    </row>
    <row r="321" spans="1:150" s="90" customFormat="1" x14ac:dyDescent="0.3">
      <c r="A321" s="29" t="s">
        <v>106</v>
      </c>
      <c r="DU321" s="916">
        <f>DU314-DU317</f>
        <v>467.66012938970266</v>
      </c>
      <c r="DV321" s="916">
        <f>DV314-DV317</f>
        <v>480.10710183769618</v>
      </c>
      <c r="DW321" s="916">
        <f>DW314-DW317</f>
        <v>413.22662272237085</v>
      </c>
      <c r="DX321" s="916">
        <f>DX314-DX317</f>
        <v>389.00614605023065</v>
      </c>
      <c r="DY321" s="916">
        <f>SUM(DU321:DX321)</f>
        <v>1750.0000000000005</v>
      </c>
      <c r="DZ321" s="916">
        <f>DZ314-DZ317</f>
        <v>352</v>
      </c>
      <c r="EA321" s="916">
        <f>EA314-EA317</f>
        <v>359</v>
      </c>
      <c r="EB321" s="916">
        <f>EB314-EB317</f>
        <v>341</v>
      </c>
      <c r="EC321" s="916">
        <f>EC314-EC317</f>
        <v>354</v>
      </c>
      <c r="ED321" s="916">
        <f>SUM(DZ321:EC321)</f>
        <v>1406</v>
      </c>
      <c r="EE321" s="916">
        <f>EE314-EE317</f>
        <v>303.41261042890369</v>
      </c>
      <c r="EF321" s="916">
        <f>EF314-EF317</f>
        <v>294.7056481225726</v>
      </c>
      <c r="EG321" s="916">
        <f>EG314-EG317</f>
        <v>281.73864172781725</v>
      </c>
      <c r="EH321" s="916">
        <f>EH314-EH317</f>
        <v>286.99883757329087</v>
      </c>
      <c r="EI321" s="916">
        <f>SUM(EE321:EH321)</f>
        <v>1166.8557378525843</v>
      </c>
      <c r="EJ321" s="916">
        <f t="shared" ref="EJ321:ES321" si="252">EJ314-EJ317</f>
        <v>1016.7052037489016</v>
      </c>
      <c r="EK321" s="916">
        <f t="shared" si="252"/>
        <v>986.94249473090804</v>
      </c>
      <c r="EL321" s="916">
        <f t="shared" si="252"/>
        <v>1100.529088169902</v>
      </c>
      <c r="EM321" s="916">
        <f t="shared" si="252"/>
        <v>1375.2422911352005</v>
      </c>
      <c r="EN321" s="916">
        <f t="shared" si="252"/>
        <v>1758.6051069464438</v>
      </c>
      <c r="EO321" s="916">
        <f t="shared" si="252"/>
        <v>2130.4346686709318</v>
      </c>
      <c r="EP321" s="916">
        <f t="shared" si="252"/>
        <v>2425.3676260125012</v>
      </c>
      <c r="EQ321" s="916">
        <f t="shared" si="252"/>
        <v>2611.745074563486</v>
      </c>
      <c r="ER321" s="916">
        <f t="shared" si="252"/>
        <v>2665.5744542397642</v>
      </c>
      <c r="ES321" s="916">
        <f t="shared" si="252"/>
        <v>2618.4495645101442</v>
      </c>
    </row>
    <row r="322" spans="1:150" x14ac:dyDescent="0.3">
      <c r="A322" s="70" t="s">
        <v>363</v>
      </c>
      <c r="DZ322" s="890">
        <f t="shared" ref="DZ322:EI322" si="253">DZ321/DU321-1</f>
        <v>-0.2473166347121345</v>
      </c>
      <c r="EA322" s="890">
        <f t="shared" si="253"/>
        <v>-0.25225017787518034</v>
      </c>
      <c r="EB322" s="890">
        <f t="shared" si="253"/>
        <v>-0.174786954060549</v>
      </c>
      <c r="EC322" s="890">
        <f t="shared" si="253"/>
        <v>-8.9988670887761413E-2</v>
      </c>
      <c r="ED322" s="890">
        <f t="shared" si="253"/>
        <v>-0.19657142857142873</v>
      </c>
      <c r="EE322" s="890">
        <f t="shared" si="253"/>
        <v>-0.13803235673606906</v>
      </c>
      <c r="EF322" s="890">
        <f t="shared" si="253"/>
        <v>-0.17909290216553597</v>
      </c>
      <c r="EG322" s="890">
        <f t="shared" si="253"/>
        <v>-0.17378697440522795</v>
      </c>
      <c r="EH322" s="890">
        <f t="shared" si="253"/>
        <v>-0.1892688204144326</v>
      </c>
      <c r="EI322" s="890">
        <f t="shared" si="253"/>
        <v>-0.17008837990570103</v>
      </c>
      <c r="EJ322" s="890">
        <f t="shared" ref="EJ322:ES322" si="254">EJ321/EI321-1</f>
        <v>-0.12867960385575283</v>
      </c>
      <c r="EK322" s="890">
        <f t="shared" si="254"/>
        <v>-2.9273686126764509E-2</v>
      </c>
      <c r="EL322" s="890">
        <f t="shared" si="254"/>
        <v>0.11508937354041437</v>
      </c>
      <c r="EM322" s="890">
        <f t="shared" si="254"/>
        <v>0.24961921126694264</v>
      </c>
      <c r="EN322" s="890">
        <f t="shared" si="254"/>
        <v>0.27876019977163047</v>
      </c>
      <c r="EO322" s="890">
        <f t="shared" si="254"/>
        <v>0.21143436935089688</v>
      </c>
      <c r="EP322" s="890">
        <f t="shared" si="254"/>
        <v>0.13843792615596273</v>
      </c>
      <c r="EQ322" s="890">
        <f t="shared" si="254"/>
        <v>7.6845030234613976E-2</v>
      </c>
      <c r="ER322" s="890">
        <f t="shared" si="254"/>
        <v>2.0610502993013258E-2</v>
      </c>
      <c r="ES322" s="890">
        <f t="shared" si="254"/>
        <v>-1.7679074637988457E-2</v>
      </c>
    </row>
    <row r="323" spans="1:150" x14ac:dyDescent="0.3">
      <c r="A323" s="70" t="s">
        <v>3982</v>
      </c>
      <c r="DU323" s="890">
        <f t="shared" ref="DU323:ES323" si="255">DU321/DU314</f>
        <v>0.39092971147006594</v>
      </c>
      <c r="DV323" s="890">
        <f t="shared" si="255"/>
        <v>0.4101781824638922</v>
      </c>
      <c r="DW323" s="890">
        <f t="shared" si="255"/>
        <v>0.3690018104610005</v>
      </c>
      <c r="DX323" s="890">
        <f t="shared" si="255"/>
        <v>0.36173523845895961</v>
      </c>
      <c r="DY323" s="890">
        <f t="shared" si="255"/>
        <v>0.38360368259535299</v>
      </c>
      <c r="DZ323" s="890">
        <f t="shared" si="255"/>
        <v>0.33581475675531786</v>
      </c>
      <c r="EA323" s="890">
        <f t="shared" si="255"/>
        <v>0.35660840665631055</v>
      </c>
      <c r="EB323" s="890">
        <f t="shared" si="255"/>
        <v>0.34817777052427623</v>
      </c>
      <c r="EC323" s="890">
        <f t="shared" si="255"/>
        <v>0.36771128826824956</v>
      </c>
      <c r="ED323" s="890">
        <f t="shared" si="255"/>
        <v>0.35176382286715036</v>
      </c>
      <c r="EE323" s="890">
        <f t="shared" si="255"/>
        <v>0.3284042734395734</v>
      </c>
      <c r="EF323" s="890">
        <f t="shared" si="255"/>
        <v>0.32943581962579438</v>
      </c>
      <c r="EG323" s="890">
        <f t="shared" si="255"/>
        <v>0.32273335829709265</v>
      </c>
      <c r="EH323" s="890">
        <f t="shared" si="255"/>
        <v>0.33734596409422812</v>
      </c>
      <c r="EI323" s="890">
        <f t="shared" si="255"/>
        <v>0.32941477628651167</v>
      </c>
      <c r="EJ323" s="890">
        <f t="shared" si="255"/>
        <v>0.30184482947812535</v>
      </c>
      <c r="EK323" s="890">
        <f t="shared" si="255"/>
        <v>0.29666568292730822</v>
      </c>
      <c r="EL323" s="890">
        <f t="shared" si="255"/>
        <v>0.31988683277100705</v>
      </c>
      <c r="EM323" s="890">
        <f t="shared" si="255"/>
        <v>0.36901597984791246</v>
      </c>
      <c r="EN323" s="890">
        <f t="shared" si="255"/>
        <v>0.42543528183139606</v>
      </c>
      <c r="EO323" s="890">
        <f t="shared" si="255"/>
        <v>0.46791976781128997</v>
      </c>
      <c r="EP323" s="890">
        <f t="shared" si="255"/>
        <v>0.49290068585358215</v>
      </c>
      <c r="EQ323" s="890">
        <f t="shared" si="255"/>
        <v>0.50160389933039373</v>
      </c>
      <c r="ER323" s="890">
        <f t="shared" si="255"/>
        <v>0.49450682996167689</v>
      </c>
      <c r="ES323" s="890">
        <f t="shared" si="255"/>
        <v>0.47786424268231359</v>
      </c>
    </row>
    <row r="324" spans="1:150" x14ac:dyDescent="0.3">
      <c r="A324" s="30"/>
    </row>
    <row r="325" spans="1:150" x14ac:dyDescent="0.3">
      <c r="A325" s="30" t="s">
        <v>4012</v>
      </c>
      <c r="DU325" s="76">
        <f>DU677</f>
        <v>216.71052631578948</v>
      </c>
      <c r="DV325" s="76">
        <f>DV677</f>
        <v>195.39473684210526</v>
      </c>
      <c r="DW325" s="76">
        <f>DW677</f>
        <v>225.94736842105263</v>
      </c>
      <c r="DX325" s="76">
        <f>DX677</f>
        <v>233.05263157894737</v>
      </c>
      <c r="DY325" s="76">
        <f>SUM(DU325:DX325)</f>
        <v>871.1052631578948</v>
      </c>
      <c r="DZ325" s="76">
        <f>DZ677</f>
        <v>172.31403552631573</v>
      </c>
      <c r="EA325" s="76">
        <f>EA677</f>
        <v>141.61197160832313</v>
      </c>
      <c r="EB325" s="76">
        <f>EB677</f>
        <v>202.39317859029282</v>
      </c>
      <c r="EC325" s="76">
        <f>EC677</f>
        <v>247.47098895126811</v>
      </c>
      <c r="ED325" s="76">
        <f>SUM(DZ325:EC325)</f>
        <v>763.79017467619974</v>
      </c>
      <c r="EE325" s="76">
        <f>EE677</f>
        <v>255.78031504868414</v>
      </c>
      <c r="EF325" s="76">
        <f>EF677</f>
        <v>266.19392585045023</v>
      </c>
      <c r="EG325" s="76">
        <f>EG677</f>
        <v>239.39401588953433</v>
      </c>
      <c r="EH325" s="76">
        <f>EH677</f>
        <v>350.92865107641262</v>
      </c>
      <c r="EI325" s="76">
        <f>SUM(EE325:EH325)</f>
        <v>1112.2969078650813</v>
      </c>
      <c r="EJ325" s="76">
        <f t="shared" ref="EJ325:ES325" si="256">EJ677</f>
        <v>1270.1464588126648</v>
      </c>
      <c r="EK325" s="76">
        <f t="shared" si="256"/>
        <v>1555.7498813326949</v>
      </c>
      <c r="EL325" s="76">
        <f t="shared" si="256"/>
        <v>1835.7369189522078</v>
      </c>
      <c r="EM325" s="76">
        <f t="shared" si="256"/>
        <v>2118.689989208136</v>
      </c>
      <c r="EN325" s="76">
        <f t="shared" si="256"/>
        <v>2316.1429146800579</v>
      </c>
      <c r="EO325" s="76">
        <f t="shared" si="256"/>
        <v>2422.9071920814881</v>
      </c>
      <c r="EP325" s="76">
        <f t="shared" si="256"/>
        <v>2502.5386168769533</v>
      </c>
      <c r="EQ325" s="76">
        <f t="shared" si="256"/>
        <v>2562.6710300066825</v>
      </c>
      <c r="ER325" s="76">
        <f t="shared" si="256"/>
        <v>2616.5030425321293</v>
      </c>
      <c r="ES325" s="76">
        <f t="shared" si="256"/>
        <v>2665.2782514080077</v>
      </c>
    </row>
    <row r="326" spans="1:150" hidden="1" outlineLevel="1" x14ac:dyDescent="0.3">
      <c r="A326" s="134" t="s">
        <v>228</v>
      </c>
    </row>
    <row r="327" spans="1:150" hidden="1" outlineLevel="1" x14ac:dyDescent="0.3">
      <c r="A327" s="134" t="s">
        <v>514</v>
      </c>
    </row>
    <row r="328" spans="1:150" hidden="1" outlineLevel="1" x14ac:dyDescent="0.3">
      <c r="A328" s="134" t="s">
        <v>229</v>
      </c>
    </row>
    <row r="329" spans="1:150" hidden="1" outlineLevel="1" x14ac:dyDescent="0.3">
      <c r="A329" s="134" t="s">
        <v>515</v>
      </c>
    </row>
    <row r="330" spans="1:150" hidden="1" outlineLevel="1" x14ac:dyDescent="0.3">
      <c r="A330" s="135" t="s">
        <v>505</v>
      </c>
    </row>
    <row r="331" spans="1:150" collapsed="1" x14ac:dyDescent="0.3">
      <c r="A331" s="30"/>
    </row>
    <row r="332" spans="1:150" s="90" customFormat="1" x14ac:dyDescent="0.3">
      <c r="A332" s="29" t="s">
        <v>4013</v>
      </c>
      <c r="DU332" s="916">
        <f>DU321-DU325</f>
        <v>250.94960307391318</v>
      </c>
      <c r="DV332" s="916">
        <f>DV321-DV325</f>
        <v>284.71236499559092</v>
      </c>
      <c r="DW332" s="916">
        <f>DW321-DW325</f>
        <v>187.27925430131822</v>
      </c>
      <c r="DX332" s="916">
        <f>DX321-DX325</f>
        <v>155.95351447128328</v>
      </c>
      <c r="DY332" s="916">
        <f>SUM(DU332:DX332)</f>
        <v>878.89473684210566</v>
      </c>
      <c r="DZ332" s="916">
        <f>DZ321-DZ325</f>
        <v>179.68596447368427</v>
      </c>
      <c r="EA332" s="916">
        <f>EA321-EA325</f>
        <v>217.38802839167687</v>
      </c>
      <c r="EB332" s="916">
        <f>EB321-EB325</f>
        <v>138.60682140970718</v>
      </c>
      <c r="EC332" s="916">
        <f>EC321-EC325</f>
        <v>106.52901104873189</v>
      </c>
      <c r="ED332" s="916">
        <f>SUM(DZ332:EC332)</f>
        <v>642.20982532380026</v>
      </c>
      <c r="EE332" s="916">
        <f>EE321-EE325</f>
        <v>47.632295380219546</v>
      </c>
      <c r="EF332" s="916">
        <f>EF321-EF325</f>
        <v>28.51172227212237</v>
      </c>
      <c r="EG332" s="916">
        <f>EG321-EG325</f>
        <v>42.344625838282923</v>
      </c>
      <c r="EH332" s="916">
        <f>EH321-EH325</f>
        <v>-63.92981350312175</v>
      </c>
      <c r="EI332" s="916">
        <f>SUM(EE332:EH332)</f>
        <v>54.558829987503088</v>
      </c>
      <c r="EJ332" s="916">
        <f t="shared" ref="EJ332:ES332" si="257">EJ321-EJ325</f>
        <v>-253.44125506376326</v>
      </c>
      <c r="EK332" s="916">
        <f t="shared" si="257"/>
        <v>-568.8073866017869</v>
      </c>
      <c r="EL332" s="916">
        <f t="shared" si="257"/>
        <v>-735.20783078230579</v>
      </c>
      <c r="EM332" s="916">
        <f t="shared" si="257"/>
        <v>-743.44769807293551</v>
      </c>
      <c r="EN332" s="916">
        <f t="shared" si="257"/>
        <v>-557.53780773361404</v>
      </c>
      <c r="EO332" s="916">
        <f t="shared" si="257"/>
        <v>-292.47252341055628</v>
      </c>
      <c r="EP332" s="916">
        <f t="shared" si="257"/>
        <v>-77.170990864452051</v>
      </c>
      <c r="EQ332" s="916">
        <f t="shared" si="257"/>
        <v>49.074044556803528</v>
      </c>
      <c r="ER332" s="916">
        <f t="shared" si="257"/>
        <v>49.071411707634979</v>
      </c>
      <c r="ES332" s="916">
        <f t="shared" si="257"/>
        <v>-46.828686897863463</v>
      </c>
    </row>
    <row r="333" spans="1:150" x14ac:dyDescent="0.3">
      <c r="A333" s="70" t="s">
        <v>363</v>
      </c>
      <c r="DZ333" s="890">
        <f t="shared" ref="DZ333:EI333" si="258">DZ332/DU332-1</f>
        <v>-0.28397589686260372</v>
      </c>
      <c r="EA333" s="890">
        <f t="shared" si="258"/>
        <v>-0.23646439312516909</v>
      </c>
      <c r="EB333" s="890">
        <f t="shared" si="258"/>
        <v>-0.25989228264066433</v>
      </c>
      <c r="EC333" s="890">
        <f t="shared" si="258"/>
        <v>-0.31691817648426412</v>
      </c>
      <c r="ED333" s="890">
        <f t="shared" si="258"/>
        <v>-0.26929836031186305</v>
      </c>
      <c r="EE333" s="890">
        <f t="shared" si="258"/>
        <v>-0.7349136560568954</v>
      </c>
      <c r="EF333" s="890">
        <f t="shared" si="258"/>
        <v>-0.86884410110775911</v>
      </c>
      <c r="EG333" s="890">
        <f t="shared" si="258"/>
        <v>-0.69449825479283833</v>
      </c>
      <c r="EH333" s="890">
        <f t="shared" si="258"/>
        <v>-1.6001164647428947</v>
      </c>
      <c r="EI333" s="890">
        <f t="shared" si="258"/>
        <v>-0.91504516462357965</v>
      </c>
      <c r="EJ333" s="890">
        <f t="shared" ref="EJ333:ES333" si="259">EJ332/EI332-1</f>
        <v>-5.6452839095305922</v>
      </c>
      <c r="EK333" s="890">
        <f t="shared" si="259"/>
        <v>1.2443362129763789</v>
      </c>
      <c r="EL333" s="890">
        <f t="shared" si="259"/>
        <v>0.29254269213105921</v>
      </c>
      <c r="EM333" s="890">
        <f t="shared" si="259"/>
        <v>1.1207534720980794E-2</v>
      </c>
      <c r="EN333" s="890">
        <f t="shared" si="259"/>
        <v>-0.25006451808407226</v>
      </c>
      <c r="EO333" s="890">
        <f t="shared" si="259"/>
        <v>-0.47542118336430972</v>
      </c>
      <c r="EP333" s="890">
        <f t="shared" si="259"/>
        <v>-0.73614276662794809</v>
      </c>
      <c r="EQ333" s="890">
        <f t="shared" si="259"/>
        <v>-1.6359131068175636</v>
      </c>
      <c r="ER333" s="890">
        <f t="shared" si="259"/>
        <v>-5.3650543629046865E-5</v>
      </c>
      <c r="ES333" s="890">
        <f t="shared" si="259"/>
        <v>-1.9542967130610882</v>
      </c>
    </row>
    <row r="334" spans="1:150" x14ac:dyDescent="0.3">
      <c r="A334" s="70" t="s">
        <v>4014</v>
      </c>
      <c r="DU334" s="890">
        <f t="shared" ref="DU334:ES334" si="260">DU332/DU314</f>
        <v>0.20977553945263178</v>
      </c>
      <c r="DV334" s="890">
        <f t="shared" si="260"/>
        <v>0.24324322625489317</v>
      </c>
      <c r="DW334" s="890">
        <f t="shared" si="260"/>
        <v>0.1672360397393905</v>
      </c>
      <c r="DX334" s="890">
        <f t="shared" si="260"/>
        <v>0.14502054098265582</v>
      </c>
      <c r="DY334" s="890">
        <f t="shared" si="260"/>
        <v>0.19265557580931733</v>
      </c>
      <c r="DZ334" s="890">
        <f t="shared" si="260"/>
        <v>0.17142385923884934</v>
      </c>
      <c r="EA334" s="890">
        <f t="shared" si="260"/>
        <v>0.21593982849836402</v>
      </c>
      <c r="EB334" s="890">
        <f t="shared" si="260"/>
        <v>0.14152438140143217</v>
      </c>
      <c r="EC334" s="890">
        <f t="shared" si="260"/>
        <v>0.11065514093410111</v>
      </c>
      <c r="ED334" s="890">
        <f t="shared" si="260"/>
        <v>0.16067296105173887</v>
      </c>
      <c r="EE334" s="890">
        <f t="shared" si="260"/>
        <v>5.155569946314268E-2</v>
      </c>
      <c r="EF334" s="890">
        <f t="shared" si="260"/>
        <v>3.1871742721921122E-2</v>
      </c>
      <c r="EG334" s="890">
        <f t="shared" si="260"/>
        <v>4.8506031046410006E-2</v>
      </c>
      <c r="EH334" s="890">
        <f t="shared" si="260"/>
        <v>-7.5144780212105855E-2</v>
      </c>
      <c r="EI334" s="890">
        <f t="shared" si="260"/>
        <v>1.5402490806500814E-2</v>
      </c>
      <c r="EJ334" s="890">
        <f t="shared" si="260"/>
        <v>-7.5242983054837481E-2</v>
      </c>
      <c r="EK334" s="890">
        <f t="shared" si="260"/>
        <v>-0.17097818029035763</v>
      </c>
      <c r="EL334" s="890">
        <f t="shared" si="260"/>
        <v>-0.21370021650993945</v>
      </c>
      <c r="EM334" s="890">
        <f t="shared" si="260"/>
        <v>-0.1994878157387093</v>
      </c>
      <c r="EN334" s="890">
        <f t="shared" si="260"/>
        <v>-0.13487749661813778</v>
      </c>
      <c r="EO334" s="890">
        <f t="shared" si="260"/>
        <v>-6.4237442836407421E-2</v>
      </c>
      <c r="EP334" s="890">
        <f t="shared" si="260"/>
        <v>-1.5683244847968E-2</v>
      </c>
      <c r="EQ334" s="890">
        <f t="shared" si="260"/>
        <v>9.4250133159417496E-3</v>
      </c>
      <c r="ER334" s="890">
        <f t="shared" si="260"/>
        <v>9.1035342144317345E-3</v>
      </c>
      <c r="ES334" s="890">
        <f t="shared" si="260"/>
        <v>-8.5461852324969657E-3</v>
      </c>
    </row>
    <row r="335" spans="1:150" x14ac:dyDescent="0.3">
      <c r="A335" s="30"/>
    </row>
    <row r="336" spans="1:150" x14ac:dyDescent="0.3">
      <c r="A336" s="43" t="s">
        <v>4037</v>
      </c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  <c r="BA336" s="43"/>
      <c r="BB336" s="43"/>
      <c r="BC336" s="43"/>
      <c r="BD336" s="43"/>
      <c r="BE336" s="43"/>
      <c r="BF336" s="43"/>
      <c r="BG336" s="43"/>
      <c r="BH336" s="43"/>
      <c r="BI336" s="43"/>
      <c r="BJ336" s="43"/>
      <c r="BK336" s="43"/>
      <c r="BL336" s="43"/>
      <c r="BM336" s="43"/>
      <c r="BN336" s="43"/>
      <c r="BO336" s="43"/>
      <c r="BP336" s="43"/>
      <c r="BQ336" s="43"/>
      <c r="BR336" s="43"/>
      <c r="BS336" s="43"/>
      <c r="BT336" s="43"/>
      <c r="BU336" s="43"/>
      <c r="BV336" s="43"/>
      <c r="BW336" s="43"/>
      <c r="BX336" s="43"/>
      <c r="BY336" s="43"/>
      <c r="BZ336" s="43"/>
      <c r="CA336" s="43"/>
      <c r="CB336" s="43"/>
      <c r="CC336" s="43"/>
      <c r="CD336" s="43"/>
      <c r="CE336" s="43"/>
      <c r="CF336" s="43"/>
      <c r="CG336" s="43"/>
      <c r="CH336" s="43"/>
      <c r="CI336" s="43"/>
      <c r="CJ336" s="43"/>
      <c r="CK336" s="43"/>
      <c r="CL336" s="43"/>
      <c r="CM336" s="43"/>
      <c r="CN336" s="43"/>
      <c r="CO336" s="43"/>
      <c r="CP336" s="43"/>
      <c r="CQ336" s="43"/>
      <c r="CR336" s="43"/>
      <c r="CS336" s="43"/>
      <c r="CT336" s="43"/>
      <c r="CU336" s="43"/>
      <c r="CV336" s="43"/>
      <c r="CW336" s="43"/>
      <c r="CX336" s="43"/>
      <c r="CY336" s="43"/>
      <c r="CZ336" s="43"/>
      <c r="DA336" s="43"/>
      <c r="DB336" s="43"/>
      <c r="DC336" s="43"/>
      <c r="DD336" s="43"/>
      <c r="DE336" s="43"/>
      <c r="DF336" s="43"/>
      <c r="DG336" s="43"/>
      <c r="DH336" s="43"/>
      <c r="DI336" s="43"/>
      <c r="DJ336" s="43"/>
      <c r="DK336" s="43"/>
      <c r="DL336" s="43"/>
      <c r="DM336" s="43"/>
      <c r="DN336" s="43"/>
      <c r="DO336" s="43"/>
      <c r="DP336" s="43"/>
      <c r="DQ336" s="43"/>
      <c r="DR336" s="43"/>
      <c r="DS336" s="43"/>
      <c r="DT336" s="43"/>
      <c r="DU336" s="43"/>
      <c r="DV336" s="43"/>
      <c r="DW336" s="43"/>
      <c r="DX336" s="43"/>
      <c r="DY336" s="857"/>
      <c r="DZ336" s="43"/>
      <c r="EA336" s="43"/>
      <c r="EB336" s="43"/>
      <c r="EC336" s="43"/>
      <c r="ED336" s="43"/>
      <c r="EE336" s="43"/>
      <c r="EF336" s="43"/>
      <c r="EG336" s="43"/>
      <c r="EH336" s="43"/>
      <c r="EI336" s="43"/>
      <c r="EJ336" s="43"/>
      <c r="EK336" s="43"/>
      <c r="EL336" s="43"/>
      <c r="EM336" s="43"/>
      <c r="EN336" s="43"/>
      <c r="EO336" s="43"/>
      <c r="EP336" s="43"/>
      <c r="EQ336" s="43"/>
      <c r="ER336" s="43"/>
      <c r="ES336" s="43"/>
      <c r="ET336" s="43"/>
    </row>
    <row r="337" spans="1:150" x14ac:dyDescent="0.3">
      <c r="A337" s="1061" t="s">
        <v>4038</v>
      </c>
      <c r="DU337" s="79">
        <f>+Inputs!DU515</f>
        <v>86</v>
      </c>
      <c r="DV337" s="79">
        <f>+Inputs!DV515</f>
        <v>89</v>
      </c>
      <c r="DW337" s="79">
        <f>+Inputs!DW515</f>
        <v>85</v>
      </c>
      <c r="DX337" s="79">
        <f>+Inputs!DX515</f>
        <v>85</v>
      </c>
      <c r="DY337" s="85">
        <f>SUM(DU337:DX337)</f>
        <v>345</v>
      </c>
      <c r="DZ337" s="79">
        <f>+Inputs!DZ515</f>
        <v>84</v>
      </c>
      <c r="EA337" s="79">
        <f>Inputs!EA199</f>
        <v>94</v>
      </c>
      <c r="EB337" s="79">
        <f>+Inputs!EB515</f>
        <v>99</v>
      </c>
      <c r="EC337" s="79">
        <f>+Inputs!EC515</f>
        <v>89</v>
      </c>
      <c r="ED337" s="76">
        <f>SUM(DZ337:EC337)</f>
        <v>366</v>
      </c>
      <c r="EE337" s="79">
        <f>+Inputs!EE515</f>
        <v>83</v>
      </c>
      <c r="EF337" s="471">
        <f>Inputs!EF197</f>
        <v>92</v>
      </c>
      <c r="EG337" s="1062"/>
      <c r="EH337" s="1062"/>
      <c r="EI337" s="76"/>
      <c r="EJ337" s="1062"/>
      <c r="EK337" s="1062"/>
      <c r="EL337" s="1062"/>
      <c r="EM337" s="1062"/>
      <c r="EN337" s="1062"/>
      <c r="EO337" s="1062"/>
      <c r="EP337" s="1062"/>
      <c r="EQ337" s="1062"/>
      <c r="ER337" s="1062"/>
      <c r="ES337" s="1062"/>
    </row>
    <row r="338" spans="1:150" x14ac:dyDescent="0.3">
      <c r="A338" s="1061" t="s">
        <v>4039</v>
      </c>
      <c r="DU338" s="79"/>
      <c r="DV338" s="79"/>
      <c r="DW338" s="79"/>
      <c r="DX338" s="79"/>
      <c r="DY338" s="76"/>
      <c r="DZ338" s="79"/>
      <c r="EA338" s="79"/>
      <c r="EB338" s="79"/>
      <c r="EC338" s="79"/>
      <c r="ED338" s="76"/>
      <c r="EE338" s="79"/>
      <c r="EF338" s="79"/>
      <c r="EG338" s="1062"/>
      <c r="EH338" s="1062"/>
      <c r="EI338" s="76"/>
      <c r="EJ338" s="1062"/>
      <c r="EK338" s="1062"/>
      <c r="EL338" s="1062"/>
      <c r="EM338" s="1062"/>
      <c r="EN338" s="1062"/>
      <c r="EO338" s="1062"/>
      <c r="EP338" s="1062"/>
      <c r="EQ338" s="1062"/>
      <c r="ER338" s="1062"/>
      <c r="ES338" s="1062"/>
    </row>
    <row r="339" spans="1:150" s="90" customFormat="1" x14ac:dyDescent="0.3">
      <c r="A339" s="29" t="s">
        <v>284</v>
      </c>
      <c r="DU339" s="471">
        <f>+Inputs!DU515</f>
        <v>86</v>
      </c>
      <c r="DV339" s="471">
        <f>+Inputs!DV515</f>
        <v>89</v>
      </c>
      <c r="DW339" s="471">
        <f>+Inputs!DW515</f>
        <v>85</v>
      </c>
      <c r="DX339" s="471">
        <f>+Inputs!DX515</f>
        <v>85</v>
      </c>
      <c r="DY339" s="85">
        <f>SUM(DU339:DX339)</f>
        <v>345</v>
      </c>
      <c r="DZ339" s="471">
        <f>+Inputs!DZ515</f>
        <v>84</v>
      </c>
      <c r="EA339" s="471">
        <f>Inputs!EA199</f>
        <v>94</v>
      </c>
      <c r="EB339" s="471">
        <f>+Inputs!EB515</f>
        <v>99</v>
      </c>
      <c r="EC339" s="471">
        <f>+Inputs!EC515</f>
        <v>89</v>
      </c>
      <c r="ED339" s="85">
        <f>SUM(DZ339:EC339)</f>
        <v>366</v>
      </c>
      <c r="EE339" s="471">
        <f>+Inputs!EE515</f>
        <v>83</v>
      </c>
      <c r="EF339" s="471">
        <f>Inputs!EF199</f>
        <v>83</v>
      </c>
      <c r="EG339" s="900">
        <f>EB339*(1+EG340)</f>
        <v>87.414893617021278</v>
      </c>
      <c r="EH339" s="900">
        <f>EC339*(1+EH340)</f>
        <v>78.585106382978722</v>
      </c>
      <c r="EI339" s="85">
        <f>SUM(EE339:EH339)</f>
        <v>332</v>
      </c>
      <c r="EJ339" s="900">
        <f>EI339*(1+EJ340)</f>
        <v>49.800000000000004</v>
      </c>
      <c r="EK339" s="900">
        <f>EJ339*(1+EK340)</f>
        <v>19.920000000000002</v>
      </c>
      <c r="EL339" s="900">
        <f t="shared" ref="EL339:ES339" si="261">EK339*(1+EL340)</f>
        <v>19.920000000000002</v>
      </c>
      <c r="EM339" s="900">
        <f t="shared" si="261"/>
        <v>19.920000000000002</v>
      </c>
      <c r="EN339" s="900">
        <f t="shared" si="261"/>
        <v>19.920000000000002</v>
      </c>
      <c r="EO339" s="900">
        <f t="shared" si="261"/>
        <v>19.920000000000002</v>
      </c>
      <c r="EP339" s="900">
        <f t="shared" si="261"/>
        <v>19.920000000000002</v>
      </c>
      <c r="EQ339" s="900">
        <f t="shared" si="261"/>
        <v>19.920000000000002</v>
      </c>
      <c r="ER339" s="900">
        <f t="shared" si="261"/>
        <v>19.920000000000002</v>
      </c>
      <c r="ES339" s="900">
        <f t="shared" si="261"/>
        <v>19.920000000000002</v>
      </c>
    </row>
    <row r="340" spans="1:150" x14ac:dyDescent="0.3">
      <c r="A340" s="70" t="s">
        <v>363</v>
      </c>
      <c r="DZ340" s="890">
        <f t="shared" ref="DZ340:EF340" si="262">DZ339/DU339-1</f>
        <v>-2.3255813953488413E-2</v>
      </c>
      <c r="EA340" s="890">
        <f t="shared" si="262"/>
        <v>5.6179775280898792E-2</v>
      </c>
      <c r="EB340" s="890">
        <f t="shared" si="262"/>
        <v>0.16470588235294126</v>
      </c>
      <c r="EC340" s="890">
        <f t="shared" si="262"/>
        <v>4.705882352941182E-2</v>
      </c>
      <c r="ED340" s="890">
        <f t="shared" si="262"/>
        <v>6.0869565217391397E-2</v>
      </c>
      <c r="EE340" s="890">
        <f t="shared" si="262"/>
        <v>-1.1904761904761862E-2</v>
      </c>
      <c r="EF340" s="890">
        <f t="shared" si="262"/>
        <v>-0.11702127659574468</v>
      </c>
      <c r="EG340" s="890">
        <f>EF340</f>
        <v>-0.11702127659574468</v>
      </c>
      <c r="EH340" s="890">
        <f>EG340</f>
        <v>-0.11702127659574468</v>
      </c>
      <c r="EI340" s="890">
        <f>EI339/ED339-1</f>
        <v>-9.289617486338797E-2</v>
      </c>
      <c r="EJ340" s="890">
        <v>-0.85</v>
      </c>
      <c r="EK340" s="890">
        <v>-0.6</v>
      </c>
      <c r="EL340" s="890">
        <v>0</v>
      </c>
      <c r="EM340" s="890">
        <v>0</v>
      </c>
      <c r="EN340" s="890">
        <v>0</v>
      </c>
      <c r="EO340" s="890">
        <v>0</v>
      </c>
      <c r="EP340" s="890">
        <v>0</v>
      </c>
      <c r="EQ340" s="890">
        <v>0</v>
      </c>
      <c r="ER340" s="890">
        <v>0</v>
      </c>
      <c r="ES340" s="890">
        <v>0</v>
      </c>
    </row>
    <row r="341" spans="1:150" x14ac:dyDescent="0.3">
      <c r="A341" s="30"/>
    </row>
    <row r="342" spans="1:150" x14ac:dyDescent="0.3">
      <c r="A342" s="46"/>
    </row>
    <row r="343" spans="1:150" x14ac:dyDescent="0.3">
      <c r="A343" s="46"/>
    </row>
    <row r="344" spans="1:150" outlineLevel="1" x14ac:dyDescent="0.3">
      <c r="A344" s="43" t="s">
        <v>4040</v>
      </c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  <c r="BH344" s="43"/>
      <c r="BI344" s="43"/>
      <c r="BJ344" s="43"/>
      <c r="BK344" s="43"/>
      <c r="BL344" s="43"/>
      <c r="BM344" s="43"/>
      <c r="BN344" s="43"/>
      <c r="BO344" s="43"/>
      <c r="BP344" s="43"/>
      <c r="BQ344" s="43"/>
      <c r="BR344" s="43"/>
      <c r="BS344" s="43"/>
      <c r="BT344" s="43"/>
      <c r="BU344" s="43"/>
      <c r="BV344" s="43"/>
      <c r="BW344" s="43"/>
      <c r="BX344" s="43"/>
      <c r="BY344" s="43"/>
      <c r="BZ344" s="43"/>
      <c r="CA344" s="43"/>
      <c r="CB344" s="43"/>
      <c r="CC344" s="43"/>
      <c r="CD344" s="43"/>
      <c r="CE344" s="43"/>
      <c r="CF344" s="43"/>
      <c r="CG344" s="43"/>
      <c r="CH344" s="43"/>
      <c r="CI344" s="43"/>
      <c r="CJ344" s="43"/>
      <c r="CK344" s="43"/>
      <c r="CL344" s="43"/>
      <c r="CM344" s="43"/>
      <c r="CN344" s="43"/>
      <c r="CO344" s="43"/>
      <c r="CP344" s="43"/>
      <c r="CQ344" s="43"/>
      <c r="CR344" s="43"/>
      <c r="CS344" s="43"/>
      <c r="CT344" s="43"/>
      <c r="CU344" s="43"/>
      <c r="CV344" s="43"/>
      <c r="CW344" s="43"/>
      <c r="CX344" s="43"/>
      <c r="CY344" s="43"/>
      <c r="CZ344" s="43"/>
      <c r="DA344" s="43"/>
      <c r="DB344" s="43"/>
      <c r="DC344" s="43"/>
      <c r="DD344" s="43"/>
      <c r="DE344" s="43"/>
      <c r="DF344" s="43"/>
      <c r="DG344" s="43"/>
      <c r="DH344" s="43"/>
      <c r="DI344" s="43"/>
      <c r="DJ344" s="43"/>
      <c r="DK344" s="43"/>
      <c r="DL344" s="43"/>
      <c r="DM344" s="43"/>
      <c r="DN344" s="43"/>
      <c r="DO344" s="43"/>
      <c r="DP344" s="43"/>
      <c r="DQ344" s="43"/>
      <c r="DR344" s="43"/>
      <c r="DS344" s="43"/>
      <c r="DT344" s="43"/>
      <c r="DU344" s="43"/>
      <c r="DV344" s="43"/>
      <c r="DW344" s="43"/>
      <c r="DX344" s="43"/>
      <c r="DY344" s="857"/>
      <c r="DZ344" s="43"/>
      <c r="EA344" s="43"/>
      <c r="EB344" s="43"/>
      <c r="EC344" s="43"/>
      <c r="ED344" s="43"/>
      <c r="EE344" s="43"/>
      <c r="EF344" s="43"/>
      <c r="EG344" s="43"/>
      <c r="EH344" s="43"/>
      <c r="EI344" s="43"/>
      <c r="EJ344" s="43"/>
      <c r="EK344" s="43"/>
      <c r="EL344" s="43"/>
      <c r="EM344" s="43"/>
      <c r="EN344" s="43"/>
      <c r="EO344" s="43"/>
      <c r="EP344" s="43"/>
      <c r="EQ344" s="43"/>
      <c r="ER344" s="43"/>
      <c r="ES344" s="43"/>
      <c r="ET344" s="43"/>
    </row>
    <row r="345" spans="1:150" outlineLevel="1" x14ac:dyDescent="0.3">
      <c r="A345" s="27" t="s">
        <v>31</v>
      </c>
      <c r="DU345" s="44">
        <f>+Inputs!DU510</f>
        <v>888</v>
      </c>
      <c r="DV345" s="44">
        <f>+Inputs!DV510</f>
        <v>885</v>
      </c>
      <c r="DW345" s="44">
        <f>+Inputs!DW510</f>
        <v>851</v>
      </c>
      <c r="DX345" s="44">
        <f>+Inputs!DX510</f>
        <v>822</v>
      </c>
      <c r="DY345" s="803">
        <f>+SUM(DU345:DX345)</f>
        <v>3446</v>
      </c>
      <c r="DZ345" s="44">
        <f>+Inputs!DZ510</f>
        <v>855</v>
      </c>
      <c r="EA345" s="44">
        <f>+Inputs!EA510</f>
        <v>849</v>
      </c>
      <c r="EB345" s="44">
        <f>+Inputs!EB510</f>
        <v>838</v>
      </c>
      <c r="EC345" s="44">
        <f>+Inputs!EC510</f>
        <v>834</v>
      </c>
      <c r="ED345" s="803">
        <f>+SUM(DZ345:EC345)</f>
        <v>3376</v>
      </c>
      <c r="EE345" s="44">
        <f>+Inputs!EE510</f>
        <v>842</v>
      </c>
      <c r="EF345" s="44">
        <f>Inputs!EF194</f>
        <v>839</v>
      </c>
    </row>
    <row r="346" spans="1:150" outlineLevel="1" x14ac:dyDescent="0.3">
      <c r="A346" s="27" t="s">
        <v>32</v>
      </c>
      <c r="DU346" s="44">
        <f>+Inputs!DU511</f>
        <v>604</v>
      </c>
      <c r="DV346" s="44">
        <f>+Inputs!DV511</f>
        <v>582</v>
      </c>
      <c r="DW346" s="44">
        <f>+Inputs!DW511</f>
        <v>574</v>
      </c>
      <c r="DX346" s="44">
        <f>+Inputs!DX511</f>
        <v>555</v>
      </c>
      <c r="DY346" s="85">
        <f t="shared" ref="DY346:DY351" si="263">+SUM(DU346:DX346)</f>
        <v>2315</v>
      </c>
      <c r="DZ346" s="44">
        <f>+Inputs!DZ511</f>
        <v>529</v>
      </c>
      <c r="EA346" s="44">
        <f>+Inputs!EA511</f>
        <v>509</v>
      </c>
      <c r="EB346" s="44">
        <f>+Inputs!EB511</f>
        <v>500</v>
      </c>
      <c r="EC346" s="44">
        <f>+Inputs!EC511</f>
        <v>490</v>
      </c>
      <c r="ED346" s="85">
        <f t="shared" ref="ED346:ED351" si="264">+SUM(DZ346:EC346)</f>
        <v>2028</v>
      </c>
      <c r="EE346" s="44">
        <f>+Inputs!EE511</f>
        <v>487</v>
      </c>
      <c r="EF346" s="44">
        <f>Inputs!EF195</f>
        <v>443</v>
      </c>
    </row>
    <row r="347" spans="1:150" outlineLevel="1" x14ac:dyDescent="0.3">
      <c r="A347" s="27" t="s">
        <v>33</v>
      </c>
      <c r="DU347" s="44">
        <f>+Inputs!DU512</f>
        <v>255</v>
      </c>
      <c r="DV347" s="44">
        <f>+Inputs!DV512</f>
        <v>248</v>
      </c>
      <c r="DW347" s="44">
        <f>+Inputs!DW512</f>
        <v>233</v>
      </c>
      <c r="DX347" s="44">
        <f>+Inputs!DX512</f>
        <v>222</v>
      </c>
      <c r="DY347" s="85">
        <f t="shared" si="263"/>
        <v>958</v>
      </c>
      <c r="DZ347" s="44">
        <f>+Inputs!DZ512</f>
        <v>212</v>
      </c>
      <c r="EA347" s="44">
        <f>+Inputs!EA512</f>
        <v>197</v>
      </c>
      <c r="EB347" s="44">
        <f>+Inputs!EB512</f>
        <v>186</v>
      </c>
      <c r="EC347" s="44">
        <f>+Inputs!EC512</f>
        <v>181</v>
      </c>
      <c r="ED347" s="85">
        <f t="shared" si="264"/>
        <v>776</v>
      </c>
      <c r="EE347" s="44">
        <f>+Inputs!EE512</f>
        <v>169</v>
      </c>
      <c r="EF347" s="44">
        <f>Inputs!EF196</f>
        <v>159</v>
      </c>
    </row>
    <row r="348" spans="1:150" outlineLevel="1" x14ac:dyDescent="0.3">
      <c r="A348" s="27" t="s">
        <v>34</v>
      </c>
      <c r="DU348" s="44">
        <f>+Inputs!DU513</f>
        <v>113</v>
      </c>
      <c r="DV348" s="44">
        <f>+Inputs!DV513</f>
        <v>111</v>
      </c>
      <c r="DW348" s="44">
        <f>+Inputs!DW513</f>
        <v>106</v>
      </c>
      <c r="DX348" s="44">
        <f>+Inputs!DX513</f>
        <v>108</v>
      </c>
      <c r="DY348" s="85">
        <f t="shared" si="263"/>
        <v>438</v>
      </c>
      <c r="DZ348" s="44">
        <f>+Inputs!DZ513</f>
        <v>108</v>
      </c>
      <c r="EA348" s="44">
        <f>+Inputs!EA513</f>
        <v>105</v>
      </c>
      <c r="EB348" s="44">
        <f>+Inputs!EB513</f>
        <v>103</v>
      </c>
      <c r="EC348" s="44">
        <f>+Inputs!EC513</f>
        <v>101</v>
      </c>
      <c r="ED348" s="85">
        <f t="shared" si="264"/>
        <v>417</v>
      </c>
      <c r="EE348" s="44">
        <f>+Inputs!EE513</f>
        <v>95</v>
      </c>
      <c r="EF348" s="44">
        <f>Inputs!EF197</f>
        <v>92</v>
      </c>
    </row>
    <row r="349" spans="1:150" outlineLevel="1" x14ac:dyDescent="0.3">
      <c r="A349" s="29" t="s">
        <v>35</v>
      </c>
      <c r="DU349" s="858">
        <f>+SUM(DU345:DU348)</f>
        <v>1860</v>
      </c>
      <c r="DV349" s="858">
        <f>+SUM(DV345:DV348)</f>
        <v>1826</v>
      </c>
      <c r="DW349" s="858">
        <f>+SUM(DW345:DW348)</f>
        <v>1764</v>
      </c>
      <c r="DX349" s="858">
        <f>+SUM(DX345:DX348)</f>
        <v>1707</v>
      </c>
      <c r="DY349" s="803">
        <f>+SUM(DU349:DX349)</f>
        <v>7157</v>
      </c>
      <c r="DZ349" s="858">
        <f>+SUM(DZ345:DZ348)</f>
        <v>1704</v>
      </c>
      <c r="EA349" s="858">
        <f>+SUM(EA345:EA348)</f>
        <v>1660</v>
      </c>
      <c r="EB349" s="858">
        <f>+SUM(EB345:EB348)</f>
        <v>1627</v>
      </c>
      <c r="EC349" s="858">
        <f>+SUM(EC345:EC348)</f>
        <v>1606</v>
      </c>
      <c r="ED349" s="803">
        <f>+SUM(DZ349:EC349)</f>
        <v>6597</v>
      </c>
      <c r="EE349" s="858">
        <f>+SUM(EE345:EE348)</f>
        <v>1593</v>
      </c>
      <c r="EF349" s="858">
        <f>+SUM(EF345:EF348)</f>
        <v>1533</v>
      </c>
    </row>
    <row r="350" spans="1:150" outlineLevel="1" x14ac:dyDescent="0.3">
      <c r="A350" s="27"/>
      <c r="DU350" s="44"/>
      <c r="DV350" s="44"/>
      <c r="DW350" s="44"/>
      <c r="DX350" s="44"/>
      <c r="DY350" s="85"/>
      <c r="DZ350" s="44"/>
      <c r="EA350" s="44"/>
      <c r="EB350" s="44"/>
      <c r="EC350" s="44"/>
      <c r="ED350" s="85"/>
      <c r="EE350" s="44"/>
      <c r="EF350" s="44"/>
    </row>
    <row r="351" spans="1:150" outlineLevel="1" x14ac:dyDescent="0.3">
      <c r="A351" s="29" t="s">
        <v>38</v>
      </c>
      <c r="DU351" s="44">
        <f>+Inputs!DU519</f>
        <v>996</v>
      </c>
      <c r="DV351" s="44">
        <f>+Inputs!DV519</f>
        <v>969</v>
      </c>
      <c r="DW351" s="44">
        <f>+Inputs!DW519</f>
        <v>943</v>
      </c>
      <c r="DX351" s="44">
        <f>+Inputs!DX519</f>
        <v>923</v>
      </c>
      <c r="DY351" s="85">
        <f t="shared" si="263"/>
        <v>3831</v>
      </c>
      <c r="DZ351" s="44">
        <f>+Inputs!DZ519</f>
        <v>894</v>
      </c>
      <c r="EA351" s="44">
        <f>+Inputs!EA519</f>
        <v>874</v>
      </c>
      <c r="EB351" s="44">
        <f>+Inputs!EB519</f>
        <v>859</v>
      </c>
      <c r="EC351" s="44">
        <f>+Inputs!EC519</f>
        <v>857</v>
      </c>
      <c r="ED351" s="85">
        <f t="shared" si="264"/>
        <v>3484</v>
      </c>
      <c r="EE351" s="44">
        <f>+Inputs!EE519</f>
        <v>844</v>
      </c>
      <c r="EF351" s="44">
        <f>Inputs!EF203</f>
        <v>826</v>
      </c>
    </row>
    <row r="352" spans="1:150" outlineLevel="1" x14ac:dyDescent="0.3">
      <c r="A352" s="30" t="s">
        <v>39</v>
      </c>
      <c r="DU352" s="44">
        <f>+Inputs!DU520</f>
        <v>864</v>
      </c>
      <c r="DV352" s="44">
        <f>+Inputs!DV520</f>
        <v>857</v>
      </c>
      <c r="DW352" s="44">
        <f>+Inputs!DW520</f>
        <v>821</v>
      </c>
      <c r="DX352" s="44">
        <f>+Inputs!DX520</f>
        <v>784</v>
      </c>
      <c r="DY352" s="85">
        <f>+SUM(DU352:DX352)</f>
        <v>3326</v>
      </c>
      <c r="DZ352" s="44">
        <f>+Inputs!DZ520</f>
        <v>810</v>
      </c>
      <c r="EA352" s="44">
        <f>+Inputs!EA520</f>
        <v>786</v>
      </c>
      <c r="EB352" s="44">
        <f>+Inputs!EB520</f>
        <v>768</v>
      </c>
      <c r="EC352" s="44">
        <f>+Inputs!EC520</f>
        <v>749</v>
      </c>
      <c r="ED352" s="85">
        <f>+SUM(DZ352:EC352)</f>
        <v>3113</v>
      </c>
      <c r="EE352" s="44">
        <f>+Inputs!EE520</f>
        <v>749</v>
      </c>
      <c r="EF352" s="44">
        <f>Inputs!EF204</f>
        <v>707</v>
      </c>
    </row>
    <row r="353" spans="1:136" outlineLevel="1" x14ac:dyDescent="0.3">
      <c r="A353" s="29" t="s">
        <v>3966</v>
      </c>
      <c r="DU353" s="803">
        <f>+SUM(DU351:DU352)</f>
        <v>1860</v>
      </c>
      <c r="DV353" s="803">
        <f>+SUM(DV351:DV352)</f>
        <v>1826</v>
      </c>
      <c r="DW353" s="803">
        <f>+SUM(DW351:DW352)</f>
        <v>1764</v>
      </c>
      <c r="DX353" s="803">
        <f>+SUM(DX351:DX352)</f>
        <v>1707</v>
      </c>
      <c r="DY353" s="803">
        <f>+SUM(DU353:DX353)</f>
        <v>7157</v>
      </c>
      <c r="DZ353" s="803">
        <f>+SUM(DZ351:DZ352)</f>
        <v>1704</v>
      </c>
      <c r="EA353" s="803">
        <f>+SUM(EA351:EA352)</f>
        <v>1660</v>
      </c>
      <c r="EB353" s="803">
        <f>+SUM(EB351:EB352)</f>
        <v>1627</v>
      </c>
      <c r="EC353" s="803">
        <f>+SUM(EC351:EC352)</f>
        <v>1606</v>
      </c>
      <c r="ED353" s="803">
        <f>+SUM(DZ353:EC353)</f>
        <v>6597</v>
      </c>
      <c r="EE353" s="803">
        <f>+SUM(EE351:EE352)</f>
        <v>1593</v>
      </c>
      <c r="EF353" s="803">
        <f>+SUM(EF351:EF352)</f>
        <v>1533</v>
      </c>
    </row>
    <row r="354" spans="1:136" outlineLevel="1" x14ac:dyDescent="0.3">
      <c r="A354" s="30" t="s">
        <v>3638</v>
      </c>
      <c r="DU354" s="44">
        <f>+Inputs!DU522</f>
        <v>86</v>
      </c>
      <c r="DV354" s="44">
        <f>+Inputs!DV522</f>
        <v>89</v>
      </c>
      <c r="DW354" s="44">
        <f>+Inputs!DW522</f>
        <v>85</v>
      </c>
      <c r="DX354" s="44">
        <f>+Inputs!DX522</f>
        <v>85</v>
      </c>
      <c r="DY354" s="85">
        <f>+SUM(DU354:DX354)</f>
        <v>345</v>
      </c>
      <c r="DZ354" s="44">
        <f>+Inputs!DZ522</f>
        <v>84</v>
      </c>
      <c r="EA354" s="44">
        <f>+Inputs!EA522</f>
        <v>94</v>
      </c>
      <c r="EB354" s="44">
        <f>+Inputs!EB522</f>
        <v>99</v>
      </c>
      <c r="EC354" s="44">
        <f>+Inputs!EC522</f>
        <v>89</v>
      </c>
      <c r="ED354" s="85">
        <f>+SUM(DZ354:EC354)</f>
        <v>366</v>
      </c>
      <c r="EE354" s="44">
        <f>+Inputs!EE522</f>
        <v>83</v>
      </c>
      <c r="EF354" s="44">
        <f>Inputs!EF199</f>
        <v>83</v>
      </c>
    </row>
    <row r="355" spans="1:136" outlineLevel="1" x14ac:dyDescent="0.3">
      <c r="A355" s="4" t="s">
        <v>19</v>
      </c>
      <c r="DU355" s="803">
        <f>+DU353+DU354</f>
        <v>1946</v>
      </c>
      <c r="DV355" s="803">
        <f>+DV353+DV354</f>
        <v>1915</v>
      </c>
      <c r="DW355" s="803">
        <f>+DW353+DW354</f>
        <v>1849</v>
      </c>
      <c r="DX355" s="803">
        <f>+DX353+DX354</f>
        <v>1792</v>
      </c>
      <c r="DY355" s="803">
        <f>+SUM(DU355:DX355)</f>
        <v>7502</v>
      </c>
      <c r="DZ355" s="803">
        <f>+DZ353+DZ354</f>
        <v>1788</v>
      </c>
      <c r="EA355" s="803">
        <f>+EA353+EA354</f>
        <v>1754</v>
      </c>
      <c r="EB355" s="803">
        <f>+EB353+EB354</f>
        <v>1726</v>
      </c>
      <c r="EC355" s="803">
        <f>+EC353+EC354</f>
        <v>1695</v>
      </c>
      <c r="ED355" s="803">
        <f>+SUM(DZ355:EC355)</f>
        <v>6963</v>
      </c>
      <c r="EE355" s="803">
        <f>+EE353+EE354</f>
        <v>1676</v>
      </c>
      <c r="EF355" s="803">
        <f>+EF353+EF354</f>
        <v>1616</v>
      </c>
    </row>
    <row r="356" spans="1:136" outlineLevel="1" x14ac:dyDescent="0.3">
      <c r="A356" s="46" t="s">
        <v>3967</v>
      </c>
    </row>
    <row r="357" spans="1:136" outlineLevel="1" x14ac:dyDescent="0.3">
      <c r="A357" s="46" t="s">
        <v>3968</v>
      </c>
    </row>
    <row r="358" spans="1:136" outlineLevel="1" x14ac:dyDescent="0.3">
      <c r="A358" s="46" t="s">
        <v>3969</v>
      </c>
    </row>
    <row r="359" spans="1:136" outlineLevel="1" x14ac:dyDescent="0.3">
      <c r="A359" s="4"/>
    </row>
    <row r="360" spans="1:136" outlineLevel="1" x14ac:dyDescent="0.3">
      <c r="A360" s="30" t="s">
        <v>47</v>
      </c>
      <c r="DU360" s="44">
        <f>+Inputs!DU543</f>
        <v>323.41205211726384</v>
      </c>
      <c r="DV360" s="44">
        <f>+Inputs!DV543</f>
        <v>304.31392405063292</v>
      </c>
      <c r="DW360" s="44">
        <f>+Inputs!DW543</f>
        <v>294.39061190276612</v>
      </c>
      <c r="DX360" s="44">
        <f>+Inputs!DX543</f>
        <v>272.08561643835617</v>
      </c>
      <c r="DY360" s="85">
        <f>+SUM(DU360:DX360)</f>
        <v>1194.2022045090189</v>
      </c>
      <c r="DZ360" s="44">
        <f>+Inputs!DZ543</f>
        <v>274.06260869565216</v>
      </c>
      <c r="EA360" s="44">
        <f>+Inputs!EA543</f>
        <v>250.70626753975677</v>
      </c>
      <c r="EB360" s="44">
        <f>+Inputs!EB543</f>
        <v>226</v>
      </c>
      <c r="EC360" s="44">
        <f>+Inputs!EC543</f>
        <v>208</v>
      </c>
      <c r="ED360" s="85">
        <f>+SUM(DZ360:EC360)</f>
        <v>958.76887623540892</v>
      </c>
      <c r="EE360" s="44">
        <f>+Inputs!EE543</f>
        <v>198</v>
      </c>
      <c r="EF360" s="44">
        <f>+Inputs!EF543</f>
        <v>193</v>
      </c>
    </row>
    <row r="361" spans="1:136" outlineLevel="1" x14ac:dyDescent="0.3">
      <c r="A361" s="30" t="s">
        <v>48</v>
      </c>
      <c r="DU361" s="44">
        <f>+Inputs!DU544</f>
        <v>436.31921824104234</v>
      </c>
      <c r="DV361" s="44">
        <f>+Inputs!DV544</f>
        <v>425.84810126582283</v>
      </c>
      <c r="DW361" s="44">
        <f>+Inputs!DW544</f>
        <v>444.94216261525565</v>
      </c>
      <c r="DX361" s="44">
        <f>+Inputs!DX544</f>
        <v>426.33133561643837</v>
      </c>
      <c r="DY361" s="85">
        <f>+SUM(DU361:DX361)</f>
        <v>1733.4408177385592</v>
      </c>
      <c r="DZ361" s="44">
        <f>+Inputs!DZ544</f>
        <v>425.46782608695651</v>
      </c>
      <c r="EA361" s="44">
        <f>+Inputs!EA544</f>
        <v>422.75958840037418</v>
      </c>
      <c r="EB361" s="44">
        <f>+Inputs!EB544</f>
        <v>431</v>
      </c>
      <c r="EC361" s="44">
        <f>+Inputs!EC544</f>
        <v>421</v>
      </c>
      <c r="ED361" s="85">
        <f>+SUM(DZ361:EC361)</f>
        <v>1700.2274144873306</v>
      </c>
      <c r="EE361" s="44">
        <f>+Inputs!EE544</f>
        <v>422</v>
      </c>
      <c r="EF361" s="44">
        <f>+Inputs!EF544</f>
        <v>413</v>
      </c>
    </row>
    <row r="362" spans="1:136" outlineLevel="1" x14ac:dyDescent="0.3">
      <c r="A362" s="30" t="s">
        <v>42</v>
      </c>
      <c r="DU362" s="44">
        <f>+Inputs!DU545</f>
        <v>415.26872964169382</v>
      </c>
      <c r="DV362" s="44">
        <f>+Inputs!DV545</f>
        <v>403.8379746835443</v>
      </c>
      <c r="DW362" s="44">
        <f>+Inputs!DW545</f>
        <v>404.66722548197816</v>
      </c>
      <c r="DX362" s="44">
        <f>+Inputs!DX545</f>
        <v>420.58304794520546</v>
      </c>
      <c r="DY362" s="85">
        <f>+SUM(DU362:DX362)</f>
        <v>1644.3569777524217</v>
      </c>
      <c r="DZ362" s="44">
        <f>+Inputs!DZ545</f>
        <v>402.46956521739128</v>
      </c>
      <c r="EA362" s="44">
        <f>+Inputs!EA545</f>
        <v>377.53414405986899</v>
      </c>
      <c r="EB362" s="44">
        <f>+Inputs!EB545</f>
        <v>379</v>
      </c>
      <c r="EC362" s="44">
        <f>+Inputs!EC545</f>
        <v>373</v>
      </c>
      <c r="ED362" s="85">
        <f>+SUM(DZ362:EC362)</f>
        <v>1532.0037092772602</v>
      </c>
      <c r="EE362" s="44">
        <f>+Inputs!EE545</f>
        <v>386</v>
      </c>
      <c r="EF362" s="44">
        <f>+Inputs!EF545</f>
        <v>377</v>
      </c>
    </row>
    <row r="363" spans="1:136" outlineLevel="1" x14ac:dyDescent="0.3">
      <c r="A363" s="48" t="s">
        <v>43</v>
      </c>
      <c r="DU363" s="1783">
        <f>+SUM(DU360:DU362)</f>
        <v>1175</v>
      </c>
      <c r="DV363" s="1783">
        <f>+SUM(DV360:DV362)</f>
        <v>1134</v>
      </c>
      <c r="DW363" s="1783">
        <f>+SUM(DW360:DW362)</f>
        <v>1144</v>
      </c>
      <c r="DX363" s="1783">
        <f>+SUM(DX360:DX362)</f>
        <v>1119</v>
      </c>
      <c r="DY363" s="803">
        <f>+SUM(DU363:DX363)</f>
        <v>4572</v>
      </c>
      <c r="DZ363" s="1783">
        <f>+SUM(DZ360:DZ362)</f>
        <v>1102</v>
      </c>
      <c r="EA363" s="1783">
        <f>+SUM(EA360:EA362)</f>
        <v>1051</v>
      </c>
      <c r="EB363" s="1783">
        <f>+SUM(EB360:EB362)</f>
        <v>1036</v>
      </c>
      <c r="EC363" s="1783">
        <f>+SUM(EC360:EC362)</f>
        <v>1002</v>
      </c>
      <c r="ED363" s="803">
        <f>+SUM(DZ363:EC363)</f>
        <v>4191</v>
      </c>
      <c r="EE363" s="1783">
        <f>+SUM(EE360:EE362)</f>
        <v>1006</v>
      </c>
      <c r="EF363" s="1783">
        <f>+SUM(EF360:EF362)</f>
        <v>983</v>
      </c>
    </row>
    <row r="364" spans="1:136" outlineLevel="1" x14ac:dyDescent="0.3">
      <c r="A364" s="49"/>
    </row>
    <row r="365" spans="1:136" outlineLevel="1" x14ac:dyDescent="0.3">
      <c r="A365" s="48" t="s">
        <v>44</v>
      </c>
      <c r="DU365" s="381">
        <f>+DU355-DU363</f>
        <v>771</v>
      </c>
      <c r="DV365" s="381">
        <f>+DV355-DV363</f>
        <v>781</v>
      </c>
      <c r="DW365" s="381">
        <f>+DW355-DW363</f>
        <v>705</v>
      </c>
      <c r="DX365" s="381">
        <f>+DX355-DX363</f>
        <v>673</v>
      </c>
      <c r="DY365" s="381">
        <f>+SUM(DU365:DX365)</f>
        <v>2930</v>
      </c>
      <c r="DZ365" s="381">
        <f>+DZ355-DZ363</f>
        <v>686</v>
      </c>
      <c r="EA365" s="381">
        <f>+EA355-EA363</f>
        <v>703</v>
      </c>
      <c r="EB365" s="381">
        <f>+EB355-EB363</f>
        <v>690</v>
      </c>
      <c r="EC365" s="381">
        <f>+EC355-EC363</f>
        <v>693</v>
      </c>
      <c r="ED365" s="381">
        <f>+SUM(DZ365:EC365)</f>
        <v>2772</v>
      </c>
      <c r="EE365" s="381">
        <f>+EE355-EE363</f>
        <v>670</v>
      </c>
      <c r="EF365" s="381">
        <f>+EF355-EF363</f>
        <v>633</v>
      </c>
    </row>
    <row r="366" spans="1:136" outlineLevel="1" x14ac:dyDescent="0.3">
      <c r="A366" s="46" t="s">
        <v>45</v>
      </c>
    </row>
    <row r="367" spans="1:136" outlineLevel="1" x14ac:dyDescent="0.3">
      <c r="A367" s="46" t="s">
        <v>29</v>
      </c>
    </row>
    <row r="369" spans="1:150" x14ac:dyDescent="0.3">
      <c r="A369" s="43" t="s">
        <v>4041</v>
      </c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  <c r="BA369" s="43"/>
      <c r="BB369" s="43"/>
      <c r="BC369" s="43"/>
      <c r="BD369" s="43"/>
      <c r="BE369" s="43"/>
      <c r="BF369" s="43"/>
      <c r="BG369" s="43"/>
      <c r="BH369" s="43"/>
      <c r="BI369" s="43"/>
      <c r="BJ369" s="43"/>
      <c r="BK369" s="43"/>
      <c r="BL369" s="43"/>
      <c r="BM369" s="43"/>
      <c r="BN369" s="43"/>
      <c r="BO369" s="43"/>
      <c r="BP369" s="43"/>
      <c r="BQ369" s="43"/>
      <c r="BR369" s="43"/>
      <c r="BS369" s="43"/>
      <c r="BT369" s="43"/>
      <c r="BU369" s="43"/>
      <c r="BV369" s="43"/>
      <c r="BW369" s="43"/>
      <c r="BX369" s="43"/>
      <c r="BY369" s="43"/>
      <c r="BZ369" s="43"/>
      <c r="CA369" s="43"/>
      <c r="CB369" s="43"/>
      <c r="CC369" s="43"/>
      <c r="CD369" s="43"/>
      <c r="CE369" s="43"/>
      <c r="CF369" s="43"/>
      <c r="CG369" s="43"/>
      <c r="CH369" s="43"/>
      <c r="CI369" s="43"/>
      <c r="CJ369" s="43"/>
      <c r="CK369" s="43"/>
      <c r="CL369" s="43"/>
      <c r="CM369" s="43"/>
      <c r="CN369" s="43"/>
      <c r="CO369" s="43"/>
      <c r="CP369" s="43"/>
      <c r="CQ369" s="43"/>
      <c r="CR369" s="43"/>
      <c r="CS369" s="43"/>
      <c r="CT369" s="43"/>
      <c r="CU369" s="43"/>
      <c r="CV369" s="43"/>
      <c r="CW369" s="43"/>
      <c r="CX369" s="43"/>
      <c r="CY369" s="43"/>
      <c r="CZ369" s="43"/>
      <c r="DA369" s="43"/>
      <c r="DB369" s="43"/>
      <c r="DC369" s="43"/>
      <c r="DD369" s="43"/>
      <c r="DE369" s="43"/>
      <c r="DF369" s="43"/>
      <c r="DG369" s="43"/>
      <c r="DH369" s="43"/>
      <c r="DI369" s="43"/>
      <c r="DJ369" s="43"/>
      <c r="DK369" s="43"/>
      <c r="DL369" s="43"/>
      <c r="DM369" s="43"/>
      <c r="DN369" s="43"/>
      <c r="DO369" s="43"/>
      <c r="DP369" s="43"/>
      <c r="DQ369" s="43"/>
      <c r="DR369" s="43"/>
      <c r="DS369" s="43"/>
      <c r="DT369" s="43"/>
      <c r="DU369" s="43"/>
      <c r="DV369" s="43"/>
      <c r="DW369" s="43"/>
      <c r="DX369" s="43"/>
      <c r="DY369" s="43"/>
      <c r="DZ369" s="43"/>
      <c r="EA369" s="43"/>
      <c r="EB369" s="43"/>
      <c r="EC369" s="43"/>
      <c r="ED369" s="43"/>
      <c r="EE369" s="43"/>
      <c r="EF369" s="43"/>
      <c r="EG369" s="43"/>
      <c r="EH369" s="43"/>
      <c r="EI369" s="43"/>
      <c r="EJ369" s="43"/>
      <c r="EK369" s="43"/>
      <c r="EL369" s="43"/>
      <c r="EM369" s="43"/>
      <c r="EN369" s="43"/>
      <c r="EO369" s="43"/>
      <c r="EP369" s="43"/>
      <c r="EQ369" s="43"/>
      <c r="ER369" s="43"/>
      <c r="ES369" s="43"/>
      <c r="ET369" s="43"/>
    </row>
    <row r="370" spans="1:150" hidden="1" outlineLevel="1" x14ac:dyDescent="0.3">
      <c r="A370" s="141" t="s">
        <v>3071</v>
      </c>
    </row>
    <row r="371" spans="1:150" hidden="1" outlineLevel="1" x14ac:dyDescent="0.3">
      <c r="A371" t="s">
        <v>3992</v>
      </c>
      <c r="DU371" s="95">
        <f t="shared" ref="DU371:DW372" si="265">+DV371</f>
        <v>2933.9853300733498</v>
      </c>
      <c r="DV371" s="95">
        <f t="shared" si="265"/>
        <v>2933.9853300733498</v>
      </c>
      <c r="DW371" s="95">
        <f t="shared" si="265"/>
        <v>2933.9853300733498</v>
      </c>
      <c r="DX371" s="95">
        <f>+DZ371</f>
        <v>2933.9853300733498</v>
      </c>
      <c r="DY371" s="475">
        <f>+DX371</f>
        <v>2933.9853300733498</v>
      </c>
      <c r="DZ371" s="95">
        <f>+Inputs!DZ553</f>
        <v>2933.9853300733498</v>
      </c>
      <c r="EA371" s="95">
        <f>+Inputs!EA553</f>
        <v>2936.7396593673966</v>
      </c>
      <c r="EB371" s="95">
        <f>+Inputs!EB553</f>
        <v>2946.6019417475732</v>
      </c>
      <c r="EC371" s="95">
        <f>+Inputs!EC553</f>
        <v>2954.1062801932367</v>
      </c>
      <c r="ED371" s="475">
        <f>+EC371</f>
        <v>2954.1062801932367</v>
      </c>
      <c r="EE371" s="95">
        <f>+Inputs!EE553</f>
        <v>2961.4457831325303</v>
      </c>
      <c r="EF371" s="365">
        <f>+EE371+EF375</f>
        <v>2961.4457831325303</v>
      </c>
      <c r="EG371" s="365">
        <f t="shared" ref="EG371:ES371" si="266">+EF371+EG375</f>
        <v>2961.4457831325303</v>
      </c>
      <c r="EH371" s="365">
        <f t="shared" si="266"/>
        <v>2961.4457831325303</v>
      </c>
      <c r="EI371" s="475">
        <f>+EH371</f>
        <v>2961.4457831325303</v>
      </c>
      <c r="EJ371" s="365">
        <f t="shared" si="266"/>
        <v>2961.4457831325303</v>
      </c>
      <c r="EK371" s="365">
        <f t="shared" si="266"/>
        <v>2961.4457831325303</v>
      </c>
      <c r="EL371" s="365">
        <f t="shared" si="266"/>
        <v>2961.4457831325303</v>
      </c>
      <c r="EM371" s="365">
        <f t="shared" si="266"/>
        <v>2961.4457831325303</v>
      </c>
      <c r="EN371" s="365">
        <f t="shared" si="266"/>
        <v>2961.4457831325303</v>
      </c>
      <c r="EO371" s="365">
        <f t="shared" si="266"/>
        <v>2961.4457831325303</v>
      </c>
      <c r="EP371" s="365">
        <f t="shared" si="266"/>
        <v>2961.4457831325303</v>
      </c>
      <c r="EQ371" s="365">
        <f t="shared" si="266"/>
        <v>2961.4457831325303</v>
      </c>
      <c r="ER371" s="365">
        <f t="shared" si="266"/>
        <v>2961.4457831325303</v>
      </c>
      <c r="ES371" s="365">
        <f t="shared" si="266"/>
        <v>2961.4457831325303</v>
      </c>
    </row>
    <row r="372" spans="1:150" hidden="1" outlineLevel="1" x14ac:dyDescent="0.3">
      <c r="A372" t="s">
        <v>1742</v>
      </c>
      <c r="DU372" s="95">
        <f t="shared" si="265"/>
        <v>0</v>
      </c>
      <c r="DV372" s="95">
        <f t="shared" si="265"/>
        <v>0</v>
      </c>
      <c r="DW372" s="95">
        <f t="shared" si="265"/>
        <v>0</v>
      </c>
      <c r="DX372" s="95">
        <v>0</v>
      </c>
      <c r="DY372" s="475">
        <f>+DX372</f>
        <v>0</v>
      </c>
      <c r="DZ372" s="79">
        <f>+Inputs!DZ554</f>
        <v>9</v>
      </c>
      <c r="EA372" s="79">
        <f>+Inputs!EA554</f>
        <v>17</v>
      </c>
      <c r="EB372" s="79">
        <f>+Inputs!EB554</f>
        <v>26</v>
      </c>
      <c r="EC372" s="79">
        <f>+Inputs!EC554</f>
        <v>86</v>
      </c>
      <c r="ED372" s="475">
        <f>+EC372</f>
        <v>86</v>
      </c>
      <c r="EE372" s="79">
        <f>+Inputs!EE554</f>
        <v>190</v>
      </c>
      <c r="EF372" s="365">
        <f>+EE372+EF376</f>
        <v>307</v>
      </c>
      <c r="EG372" s="365">
        <f>+EF372+EG376</f>
        <v>435.70000000000005</v>
      </c>
      <c r="EH372" s="365">
        <f>+EG372+EH376</f>
        <v>581</v>
      </c>
      <c r="EI372" s="475">
        <f>+EH372</f>
        <v>581</v>
      </c>
      <c r="EJ372" s="365">
        <f>+EI372+EJ376</f>
        <v>1581</v>
      </c>
      <c r="EK372" s="365">
        <f t="shared" ref="EK372:ER372" si="267">+EJ372+EK376</f>
        <v>2692.666666666667</v>
      </c>
      <c r="EL372" s="365">
        <f t="shared" si="267"/>
        <v>3804.3333333333335</v>
      </c>
      <c r="EM372" s="365">
        <f t="shared" si="267"/>
        <v>4916</v>
      </c>
      <c r="EN372" s="365">
        <f t="shared" si="267"/>
        <v>6027.666666666667</v>
      </c>
      <c r="EO372" s="365">
        <f t="shared" si="267"/>
        <v>7139.3333333333339</v>
      </c>
      <c r="EP372" s="365">
        <f t="shared" si="267"/>
        <v>8251</v>
      </c>
      <c r="EQ372" s="365">
        <f t="shared" si="267"/>
        <v>8251</v>
      </c>
      <c r="ER372" s="365">
        <f t="shared" si="267"/>
        <v>8251</v>
      </c>
      <c r="ES372" s="365">
        <f>+ES374-SUM(ES373,ES371)</f>
        <v>8460.9999999999982</v>
      </c>
    </row>
    <row r="373" spans="1:150" hidden="1" outlineLevel="1" x14ac:dyDescent="0.3">
      <c r="A373" t="s">
        <v>629</v>
      </c>
      <c r="DU373" s="365">
        <f>+DU374-SUM(DU371:DU372)</f>
        <v>11066.01466992665</v>
      </c>
      <c r="DV373" s="365">
        <f>+DV374-SUM(DV371:DV372)</f>
        <v>11066.01466992665</v>
      </c>
      <c r="DW373" s="365">
        <f>+DW374-SUM(DW371:DW372)</f>
        <v>11066.01466992665</v>
      </c>
      <c r="DX373" s="365">
        <f>+DX374-SUM(DX371:DX372)</f>
        <v>11066.01466992665</v>
      </c>
      <c r="DY373" s="475">
        <f>+DX373</f>
        <v>11066.01466992665</v>
      </c>
      <c r="DZ373" s="365">
        <f>+DZ374-SUM(DZ371:DZ372)</f>
        <v>11057.01466992665</v>
      </c>
      <c r="EA373" s="365">
        <f>+EA374-SUM(EA371:EA372)</f>
        <v>11046.260340632603</v>
      </c>
      <c r="EB373" s="365">
        <f>+EB374-SUM(EB371:EB372)</f>
        <v>11027.398058252427</v>
      </c>
      <c r="EC373" s="365">
        <f>+EC374-SUM(EC371:EC372)</f>
        <v>10959.893719806763</v>
      </c>
      <c r="ED373" s="475">
        <f>+EC373</f>
        <v>10959.893719806763</v>
      </c>
      <c r="EE373" s="365">
        <f>+EE374-SUM(EE371:EE372)</f>
        <v>10848.554216867469</v>
      </c>
      <c r="EF373" s="365">
        <f>+EF374-SUM(EF371:EF372)</f>
        <v>10731.554216867469</v>
      </c>
      <c r="EG373" s="365">
        <f>+EG374-SUM(EG371:EG372)</f>
        <v>10602.854216867468</v>
      </c>
      <c r="EH373" s="365">
        <f>+EH374-SUM(EH371:EH372)</f>
        <v>10457.554216867469</v>
      </c>
      <c r="EI373" s="475">
        <f>+EH373</f>
        <v>10457.554216867469</v>
      </c>
      <c r="EJ373" s="365">
        <f t="shared" ref="EJ373:ER373" si="268">+EJ374-SUM(EJ371:EJ372)</f>
        <v>9457.5542168674692</v>
      </c>
      <c r="EK373" s="365">
        <f t="shared" si="268"/>
        <v>8345.8875502008032</v>
      </c>
      <c r="EL373" s="365">
        <f t="shared" si="268"/>
        <v>7234.2208835341362</v>
      </c>
      <c r="EM373" s="365">
        <f t="shared" si="268"/>
        <v>6122.5542168674692</v>
      </c>
      <c r="EN373" s="365">
        <f t="shared" si="268"/>
        <v>5010.8875502008032</v>
      </c>
      <c r="EO373" s="365">
        <f t="shared" si="268"/>
        <v>3899.2208835341353</v>
      </c>
      <c r="EP373" s="365">
        <f t="shared" si="268"/>
        <v>2787.5542168674692</v>
      </c>
      <c r="EQ373" s="365">
        <f t="shared" si="268"/>
        <v>2787.5542168674692</v>
      </c>
      <c r="ER373" s="365">
        <f t="shared" si="268"/>
        <v>2787.5542168674692</v>
      </c>
      <c r="ES373" s="365">
        <f>+ER373</f>
        <v>2787.5542168674692</v>
      </c>
    </row>
    <row r="374" spans="1:150" hidden="1" outlineLevel="1" x14ac:dyDescent="0.3">
      <c r="A374" s="90" t="s">
        <v>266</v>
      </c>
      <c r="DU374" s="854">
        <v>14000</v>
      </c>
      <c r="DV374" s="854">
        <f>+DU374</f>
        <v>14000</v>
      </c>
      <c r="DW374" s="854">
        <f>+DV374</f>
        <v>14000</v>
      </c>
      <c r="DX374" s="854">
        <f>+DW374</f>
        <v>14000</v>
      </c>
      <c r="DY374" s="850">
        <f>+DX374</f>
        <v>14000</v>
      </c>
      <c r="DZ374" s="854">
        <v>14000</v>
      </c>
      <c r="EA374" s="854">
        <f>+DZ374</f>
        <v>14000</v>
      </c>
      <c r="EB374" s="854">
        <f>+EA374</f>
        <v>14000</v>
      </c>
      <c r="EC374" s="854">
        <f>+EB374</f>
        <v>14000</v>
      </c>
      <c r="ED374" s="850">
        <f>+EC374</f>
        <v>14000</v>
      </c>
      <c r="EE374" s="854">
        <f>+ED374</f>
        <v>14000</v>
      </c>
      <c r="EF374" s="850">
        <f>+EE374+EF378</f>
        <v>14000</v>
      </c>
      <c r="EG374" s="850">
        <f>+EF374+EG378</f>
        <v>14000</v>
      </c>
      <c r="EH374" s="850">
        <f>+EG374+EH378</f>
        <v>14000</v>
      </c>
      <c r="EI374" s="850">
        <f>+EH374</f>
        <v>14000</v>
      </c>
      <c r="EJ374" s="850">
        <f t="shared" ref="EJ374:ER374" si="269">+EI374+EJ378</f>
        <v>14000</v>
      </c>
      <c r="EK374" s="850">
        <f t="shared" si="269"/>
        <v>14000</v>
      </c>
      <c r="EL374" s="850">
        <f t="shared" si="269"/>
        <v>14000</v>
      </c>
      <c r="EM374" s="850">
        <f t="shared" si="269"/>
        <v>14000</v>
      </c>
      <c r="EN374" s="850">
        <f t="shared" si="269"/>
        <v>14000</v>
      </c>
      <c r="EO374" s="850">
        <f t="shared" si="269"/>
        <v>14000</v>
      </c>
      <c r="EP374" s="850">
        <f t="shared" si="269"/>
        <v>14000</v>
      </c>
      <c r="EQ374" s="850">
        <f t="shared" si="269"/>
        <v>14000</v>
      </c>
      <c r="ER374" s="850">
        <f t="shared" si="269"/>
        <v>14000</v>
      </c>
      <c r="ES374" s="850">
        <f>+ER374*(1+ES379)</f>
        <v>14209.999999999998</v>
      </c>
    </row>
    <row r="375" spans="1:150" hidden="1" outlineLevel="1" x14ac:dyDescent="0.3">
      <c r="A375" s="61" t="s">
        <v>3993</v>
      </c>
      <c r="DU375" s="96">
        <f>+DV375</f>
        <v>0</v>
      </c>
      <c r="DV375" s="77">
        <f t="shared" ref="DV375:DX376" si="270">+DV371-DU371</f>
        <v>0</v>
      </c>
      <c r="DW375" s="77">
        <f t="shared" si="270"/>
        <v>0</v>
      </c>
      <c r="DX375" s="77">
        <f t="shared" si="270"/>
        <v>0</v>
      </c>
      <c r="DY375" s="86">
        <f>+SUM(DU375:DX375)</f>
        <v>0</v>
      </c>
      <c r="DZ375" s="77">
        <f>+DZ371-DY371</f>
        <v>0</v>
      </c>
      <c r="EA375" s="77">
        <f>+EA371-DZ371</f>
        <v>2.7543292940467836</v>
      </c>
      <c r="EB375" s="77">
        <f>+EB371-EA371</f>
        <v>9.8622823801765662</v>
      </c>
      <c r="EC375" s="77">
        <f>+EC371-EB371</f>
        <v>7.5043384456635067</v>
      </c>
      <c r="ED375" s="86">
        <f>+SUM(DZ375:EC375)</f>
        <v>20.120950119886857</v>
      </c>
      <c r="EE375" s="77">
        <f>+EE371-ED371</f>
        <v>7.3395029392936522</v>
      </c>
      <c r="EF375" s="96">
        <v>0</v>
      </c>
      <c r="EG375" s="96">
        <v>0</v>
      </c>
      <c r="EH375" s="96">
        <v>0</v>
      </c>
      <c r="EI375" s="86">
        <f>+SUM(EE375:EH375)</f>
        <v>7.3395029392936522</v>
      </c>
      <c r="EJ375" s="96">
        <v>0</v>
      </c>
      <c r="EK375" s="96">
        <v>0</v>
      </c>
      <c r="EL375" s="96">
        <v>0</v>
      </c>
      <c r="EM375" s="96">
        <v>0</v>
      </c>
      <c r="EN375" s="96">
        <v>0</v>
      </c>
      <c r="EO375" s="96">
        <v>0</v>
      </c>
      <c r="EP375" s="96">
        <v>0</v>
      </c>
      <c r="EQ375" s="96">
        <v>0</v>
      </c>
      <c r="ER375" s="96">
        <v>0</v>
      </c>
      <c r="ES375" s="96">
        <v>0</v>
      </c>
    </row>
    <row r="376" spans="1:150" hidden="1" outlineLevel="1" x14ac:dyDescent="0.3">
      <c r="A376" s="61" t="s">
        <v>4018</v>
      </c>
      <c r="DU376" s="96">
        <f>+DV376</f>
        <v>0</v>
      </c>
      <c r="DV376" s="77">
        <f t="shared" si="270"/>
        <v>0</v>
      </c>
      <c r="DW376" s="77">
        <f t="shared" si="270"/>
        <v>0</v>
      </c>
      <c r="DX376" s="77">
        <f t="shared" si="270"/>
        <v>0</v>
      </c>
      <c r="DY376" s="86">
        <f>+SUM(DU376:DX376)</f>
        <v>0</v>
      </c>
      <c r="DZ376" s="77">
        <f t="shared" ref="DZ376:EC377" si="271">+DZ372-DY372</f>
        <v>9</v>
      </c>
      <c r="EA376" s="77">
        <f t="shared" si="271"/>
        <v>8</v>
      </c>
      <c r="EB376" s="77">
        <f t="shared" si="271"/>
        <v>9</v>
      </c>
      <c r="EC376" s="77">
        <f t="shared" si="271"/>
        <v>60</v>
      </c>
      <c r="ED376" s="86">
        <f>+SUM(DZ376:EC376)</f>
        <v>86</v>
      </c>
      <c r="EE376" s="77">
        <f>+EE372-ED372</f>
        <v>104</v>
      </c>
      <c r="EF376" s="118">
        <f>+EE376*1.125</f>
        <v>117</v>
      </c>
      <c r="EG376" s="118">
        <f>+EF376*1.1</f>
        <v>128.70000000000002</v>
      </c>
      <c r="EH376" s="907">
        <f>+EI376-SUM(EE376:EG376)</f>
        <v>145.29999999999995</v>
      </c>
      <c r="EI376" s="829">
        <f>+Analysis!D$4504</f>
        <v>495</v>
      </c>
      <c r="EJ376" s="829">
        <f>+Analysis!E$4504</f>
        <v>1000</v>
      </c>
      <c r="EK376" s="829">
        <f>+Analysis!F$4504</f>
        <v>1111.666666666667</v>
      </c>
      <c r="EL376" s="829">
        <f>+Analysis!G$4504</f>
        <v>1111.6666666666665</v>
      </c>
      <c r="EM376" s="829">
        <f>+Analysis!H$4504</f>
        <v>1111.6666666666665</v>
      </c>
      <c r="EN376" s="829">
        <f>+Analysis!I$4504</f>
        <v>1111.666666666667</v>
      </c>
      <c r="EO376" s="829">
        <f>+Analysis!J$4504</f>
        <v>1111.666666666667</v>
      </c>
      <c r="EP376" s="829">
        <f>+Analysis!K$4504</f>
        <v>1111.6666666666661</v>
      </c>
      <c r="EQ376" s="829">
        <f>+Analysis!L$4504</f>
        <v>0</v>
      </c>
      <c r="ER376" s="829">
        <f>+Analysis!M$4504</f>
        <v>0</v>
      </c>
      <c r="ES376" s="829">
        <f>+Analysis!N$4504</f>
        <v>0</v>
      </c>
    </row>
    <row r="377" spans="1:150" hidden="1" outlineLevel="1" x14ac:dyDescent="0.3">
      <c r="A377" s="61" t="s">
        <v>3990</v>
      </c>
      <c r="DU377" s="96">
        <f>+DV377</f>
        <v>0</v>
      </c>
      <c r="DV377" s="77">
        <f t="shared" ref="DV377:DX378" si="272">+DV373-DU373</f>
        <v>0</v>
      </c>
      <c r="DW377" s="77">
        <f t="shared" si="272"/>
        <v>0</v>
      </c>
      <c r="DX377" s="77">
        <f t="shared" si="272"/>
        <v>0</v>
      </c>
      <c r="DY377" s="86">
        <f>+SUM(DU377:DX377)</f>
        <v>0</v>
      </c>
      <c r="DZ377" s="77">
        <f>+DZ373-DY373</f>
        <v>-9</v>
      </c>
      <c r="EA377" s="77">
        <f t="shared" si="271"/>
        <v>-10.754329294046329</v>
      </c>
      <c r="EB377" s="77">
        <f t="shared" si="271"/>
        <v>-18.862282380176111</v>
      </c>
      <c r="EC377" s="77">
        <f t="shared" si="271"/>
        <v>-67.504338445663961</v>
      </c>
      <c r="ED377" s="86">
        <f>+SUM(DZ377:EC377)</f>
        <v>-106.1209501198864</v>
      </c>
      <c r="EE377" s="77">
        <f>+EE373-ED373</f>
        <v>-111.33950293929411</v>
      </c>
      <c r="EF377" s="77">
        <f>+EF373-EE373</f>
        <v>-117</v>
      </c>
      <c r="EG377" s="77">
        <f>+EG373-EF373</f>
        <v>-128.70000000000073</v>
      </c>
      <c r="EH377" s="77">
        <f>+EH373-EG373</f>
        <v>-145.29999999999927</v>
      </c>
      <c r="EI377" s="86">
        <f>+SUM(EE377:EH377)</f>
        <v>-502.33950293929411</v>
      </c>
      <c r="EJ377" s="77">
        <f t="shared" ref="EJ377:EP377" si="273">+EJ373-EI373</f>
        <v>-1000</v>
      </c>
      <c r="EK377" s="77">
        <f t="shared" si="273"/>
        <v>-1111.6666666666661</v>
      </c>
      <c r="EL377" s="77">
        <f t="shared" si="273"/>
        <v>-1111.666666666667</v>
      </c>
      <c r="EM377" s="77">
        <f t="shared" si="273"/>
        <v>-1111.666666666667</v>
      </c>
      <c r="EN377" s="77">
        <f t="shared" si="273"/>
        <v>-1111.6666666666661</v>
      </c>
      <c r="EO377" s="77">
        <f t="shared" si="273"/>
        <v>-1111.6666666666679</v>
      </c>
      <c r="EP377" s="77">
        <f t="shared" si="273"/>
        <v>-1111.6666666666661</v>
      </c>
      <c r="EQ377" s="77">
        <f t="shared" ref="EQ377:ES378" si="274">+EQ373-EP373</f>
        <v>0</v>
      </c>
      <c r="ER377" s="77">
        <f t="shared" si="274"/>
        <v>0</v>
      </c>
      <c r="ES377" s="77">
        <f t="shared" si="274"/>
        <v>0</v>
      </c>
    </row>
    <row r="378" spans="1:150" hidden="1" outlineLevel="1" x14ac:dyDescent="0.3">
      <c r="A378" s="61" t="s">
        <v>3984</v>
      </c>
      <c r="DU378" s="96">
        <f>+DV378</f>
        <v>0</v>
      </c>
      <c r="DV378" s="77">
        <f t="shared" si="272"/>
        <v>0</v>
      </c>
      <c r="DW378" s="77">
        <f t="shared" si="272"/>
        <v>0</v>
      </c>
      <c r="DX378" s="77">
        <f t="shared" si="272"/>
        <v>0</v>
      </c>
      <c r="DY378" s="86">
        <f>+SUM(DU378:DX378)</f>
        <v>0</v>
      </c>
      <c r="DZ378" s="77">
        <f>+DZ374-DY374</f>
        <v>0</v>
      </c>
      <c r="EA378" s="77">
        <f>+EA374-DZ374</f>
        <v>0</v>
      </c>
      <c r="EB378" s="77">
        <f>+EB374-EA374</f>
        <v>0</v>
      </c>
      <c r="EC378" s="77">
        <f>+EC374-EB374</f>
        <v>0</v>
      </c>
      <c r="ED378" s="86">
        <f>+SUM(DZ378:EC378)</f>
        <v>0</v>
      </c>
      <c r="EE378" s="77">
        <f>+EE374-ED374</f>
        <v>0</v>
      </c>
      <c r="EF378" s="96">
        <v>0</v>
      </c>
      <c r="EG378" s="96">
        <v>0</v>
      </c>
      <c r="EH378" s="96">
        <v>0</v>
      </c>
      <c r="EI378" s="86">
        <f>+SUM(EE378:EH378)</f>
        <v>0</v>
      </c>
      <c r="EJ378" s="96">
        <v>0</v>
      </c>
      <c r="EK378" s="96">
        <v>0</v>
      </c>
      <c r="EL378" s="96">
        <v>0</v>
      </c>
      <c r="EM378" s="96">
        <v>0</v>
      </c>
      <c r="EN378" s="96">
        <v>0</v>
      </c>
      <c r="EO378" s="96">
        <v>0</v>
      </c>
      <c r="EP378" s="96">
        <v>0</v>
      </c>
      <c r="EQ378" s="96">
        <v>0</v>
      </c>
      <c r="ER378" s="96">
        <v>0</v>
      </c>
      <c r="ES378" s="77">
        <f t="shared" si="274"/>
        <v>209.99999999999818</v>
      </c>
    </row>
    <row r="379" spans="1:150" hidden="1" outlineLevel="1" x14ac:dyDescent="0.3">
      <c r="A379" s="61" t="s">
        <v>2357</v>
      </c>
      <c r="DU379" s="96"/>
      <c r="DV379" s="77"/>
      <c r="DW379" s="77"/>
      <c r="DX379" s="77"/>
      <c r="DY379" s="86"/>
      <c r="DZ379" s="75">
        <f t="shared" ref="DZ379:EI379" si="275">+DZ374/DU374-1</f>
        <v>0</v>
      </c>
      <c r="EA379" s="75">
        <f t="shared" si="275"/>
        <v>0</v>
      </c>
      <c r="EB379" s="75">
        <f t="shared" si="275"/>
        <v>0</v>
      </c>
      <c r="EC379" s="75">
        <f t="shared" si="275"/>
        <v>0</v>
      </c>
      <c r="ED379" s="84">
        <f t="shared" si="275"/>
        <v>0</v>
      </c>
      <c r="EE379" s="75">
        <f t="shared" si="275"/>
        <v>0</v>
      </c>
      <c r="EF379" s="75">
        <f t="shared" si="275"/>
        <v>0</v>
      </c>
      <c r="EG379" s="75">
        <f t="shared" si="275"/>
        <v>0</v>
      </c>
      <c r="EH379" s="75">
        <f t="shared" si="275"/>
        <v>0</v>
      </c>
      <c r="EI379" s="84">
        <f t="shared" si="275"/>
        <v>0</v>
      </c>
      <c r="EJ379" s="75">
        <f>+EJ374/EI374-1</f>
        <v>0</v>
      </c>
      <c r="EK379" s="75">
        <f t="shared" ref="EK379:ER379" si="276">+EK374/EJ374-1</f>
        <v>0</v>
      </c>
      <c r="EL379" s="75">
        <f t="shared" si="276"/>
        <v>0</v>
      </c>
      <c r="EM379" s="75">
        <f t="shared" si="276"/>
        <v>0</v>
      </c>
      <c r="EN379" s="75">
        <f t="shared" si="276"/>
        <v>0</v>
      </c>
      <c r="EO379" s="75">
        <f t="shared" si="276"/>
        <v>0</v>
      </c>
      <c r="EP379" s="75">
        <f t="shared" si="276"/>
        <v>0</v>
      </c>
      <c r="EQ379" s="75">
        <f t="shared" si="276"/>
        <v>0</v>
      </c>
      <c r="ER379" s="75">
        <f t="shared" si="276"/>
        <v>0</v>
      </c>
      <c r="ES379" s="87">
        <v>1.4999999999999999E-2</v>
      </c>
    </row>
    <row r="380" spans="1:150" hidden="1" outlineLevel="1" x14ac:dyDescent="0.3"/>
    <row r="381" spans="1:150" hidden="1" outlineLevel="1" x14ac:dyDescent="0.3">
      <c r="A381" s="55" t="s">
        <v>3996</v>
      </c>
    </row>
    <row r="382" spans="1:150" hidden="1" outlineLevel="1" x14ac:dyDescent="0.3">
      <c r="A382" s="63" t="s">
        <v>3997</v>
      </c>
      <c r="DU382" s="76">
        <f>+DU385-DU387</f>
        <v>1202</v>
      </c>
      <c r="DV382" s="76">
        <f>+DU385</f>
        <v>1195</v>
      </c>
      <c r="DW382" s="76">
        <f>+DV385</f>
        <v>1186</v>
      </c>
      <c r="DX382" s="76">
        <f>+DW385</f>
        <v>1186</v>
      </c>
      <c r="DY382" s="85">
        <f>+DU382</f>
        <v>1202</v>
      </c>
      <c r="DZ382" s="76">
        <f>+DY385</f>
        <v>1190</v>
      </c>
      <c r="EA382" s="76">
        <f>+DZ385</f>
        <v>1199.4662790697676</v>
      </c>
      <c r="EB382" s="76">
        <f>+EA385</f>
        <v>1205.9918604651164</v>
      </c>
      <c r="EC382" s="76">
        <f>+EB385</f>
        <v>1212.4581395348837</v>
      </c>
      <c r="ED382" s="85">
        <f>+DZ382</f>
        <v>1190</v>
      </c>
      <c r="EE382" s="76">
        <f>+ED385</f>
        <v>1217.9000000000001</v>
      </c>
      <c r="EF382" s="76">
        <f>+EE385</f>
        <v>1228.9000000000001</v>
      </c>
      <c r="EG382" s="76">
        <f>+EF385</f>
        <v>1236.0908233026264</v>
      </c>
      <c r="EH382" s="76">
        <f>+EG385</f>
        <v>1239.2497870867267</v>
      </c>
      <c r="EI382" s="85">
        <f>+EE382</f>
        <v>1217.9000000000001</v>
      </c>
      <c r="EJ382" s="76">
        <f t="shared" ref="EJ382:ES382" si="277">+EI385</f>
        <v>1241.1998551742192</v>
      </c>
      <c r="EK382" s="76">
        <f t="shared" si="277"/>
        <v>1261.9288196584375</v>
      </c>
      <c r="EL382" s="76">
        <f t="shared" si="277"/>
        <v>1278.4290753878754</v>
      </c>
      <c r="EM382" s="76">
        <f t="shared" si="277"/>
        <v>1291.5632789485078</v>
      </c>
      <c r="EN382" s="76">
        <f t="shared" si="277"/>
        <v>1302.0181049827711</v>
      </c>
      <c r="EO382" s="76">
        <f t="shared" si="277"/>
        <v>1310.3401465060447</v>
      </c>
      <c r="EP382" s="76">
        <f t="shared" si="277"/>
        <v>1316.9644915585704</v>
      </c>
      <c r="EQ382" s="76">
        <f t="shared" si="277"/>
        <v>1322.2374702203811</v>
      </c>
      <c r="ER382" s="76">
        <f t="shared" si="277"/>
        <v>1326.4347612351823</v>
      </c>
      <c r="ES382" s="76">
        <f t="shared" si="277"/>
        <v>1329.7758048829642</v>
      </c>
    </row>
    <row r="383" spans="1:150" hidden="1" outlineLevel="1" x14ac:dyDescent="0.3">
      <c r="A383" s="63" t="s">
        <v>336</v>
      </c>
      <c r="DU383" s="76">
        <f>+DU385-DU384-DU382</f>
        <v>92.164999999999964</v>
      </c>
      <c r="DV383" s="76">
        <f>+DV385-DV384-DV382</f>
        <v>91.738499999999931</v>
      </c>
      <c r="DW383" s="76">
        <f>+DW385-DW384-DW382</f>
        <v>95.710199999999986</v>
      </c>
      <c r="DX383" s="76">
        <f>+DX385-DX384-DX382</f>
        <v>83.699200000000019</v>
      </c>
      <c r="DY383" s="85">
        <f>+SUM(DU383:DX383)</f>
        <v>363.3128999999999</v>
      </c>
      <c r="DZ383" s="76">
        <f>+DZ385-DZ384-DZ382</f>
        <v>79.795279069767503</v>
      </c>
      <c r="EA383" s="76">
        <f>+EA385-EA384-EA382</f>
        <v>61.940923488372164</v>
      </c>
      <c r="EB383" s="76">
        <f>+EB385-EB384-EB382</f>
        <v>71.951637093023237</v>
      </c>
      <c r="EC383" s="76">
        <f>+EC385-EC384-EC382</f>
        <v>62.184901395349016</v>
      </c>
      <c r="ED383" s="85">
        <f>+SUM(DZ383:EC383)</f>
        <v>275.87274104651192</v>
      </c>
      <c r="EE383" s="76">
        <f>+EE385-EE384-EE382</f>
        <v>62.151800000000094</v>
      </c>
      <c r="EF383" s="76">
        <f>+EF388*AVERAGE(EE371:EF371)</f>
        <v>62.49132330262627</v>
      </c>
      <c r="EG383" s="76">
        <f>+EG388*AVERAGE(EF371:EG371)</f>
        <v>62.49132330262627</v>
      </c>
      <c r="EH383" s="76">
        <f>+EH388*AVERAGE(EG371:EH371)</f>
        <v>65.151807228915658</v>
      </c>
      <c r="EI383" s="85">
        <f>+SUM(EE383:EH383)</f>
        <v>252.28625383416829</v>
      </c>
      <c r="EJ383" s="76">
        <f t="shared" ref="EJ383:ES383" si="278">+EJ388*AVERAGE(EI371:EJ371)</f>
        <v>273.93373493975906</v>
      </c>
      <c r="EK383" s="76">
        <f t="shared" si="278"/>
        <v>273.93373493975906</v>
      </c>
      <c r="EL383" s="76">
        <f t="shared" si="278"/>
        <v>273.93373493975906</v>
      </c>
      <c r="EM383" s="76">
        <f t="shared" si="278"/>
        <v>273.93373493975906</v>
      </c>
      <c r="EN383" s="76">
        <f t="shared" si="278"/>
        <v>273.93373493975906</v>
      </c>
      <c r="EO383" s="76">
        <f t="shared" si="278"/>
        <v>273.93373493975906</v>
      </c>
      <c r="EP383" s="76">
        <f t="shared" si="278"/>
        <v>273.93373493975906</v>
      </c>
      <c r="EQ383" s="76">
        <f t="shared" si="278"/>
        <v>273.93373493975906</v>
      </c>
      <c r="ER383" s="76">
        <f t="shared" si="278"/>
        <v>273.93373493975906</v>
      </c>
      <c r="ES383" s="76">
        <f t="shared" si="278"/>
        <v>273.93373493975906</v>
      </c>
    </row>
    <row r="384" spans="1:150" hidden="1" outlineLevel="1" x14ac:dyDescent="0.3">
      <c r="A384" s="63" t="s">
        <v>337</v>
      </c>
      <c r="DU384" s="76">
        <f>+DU389*DU382*-3</f>
        <v>-99.164999999999992</v>
      </c>
      <c r="DV384" s="76">
        <f>+DV389*DV382*-3</f>
        <v>-100.73850000000002</v>
      </c>
      <c r="DW384" s="76">
        <f>+DW389*DW382*-3</f>
        <v>-95.7102</v>
      </c>
      <c r="DX384" s="76">
        <f>+DX389*DX382*-3</f>
        <v>-79.69919999999999</v>
      </c>
      <c r="DY384" s="85">
        <f>+SUM(DU384:DX384)</f>
        <v>-375.31290000000001</v>
      </c>
      <c r="DZ384" s="76">
        <f>+DZ389*DZ382*-3</f>
        <v>-70.328999999999994</v>
      </c>
      <c r="EA384" s="76">
        <f>+EA389*EA382*-3</f>
        <v>-55.41534209302327</v>
      </c>
      <c r="EB384" s="76">
        <f>+EB389*EB382*-3</f>
        <v>-65.485358023255827</v>
      </c>
      <c r="EC384" s="76">
        <f>+EC389*EC382*-3</f>
        <v>-56.743040930232553</v>
      </c>
      <c r="ED384" s="85">
        <f>+SUM(DZ384:EC384)</f>
        <v>-247.97274104651166</v>
      </c>
      <c r="EE384" s="76">
        <f>+EE389*EE382*-3</f>
        <v>-51.151800000000009</v>
      </c>
      <c r="EF384" s="76">
        <f>+EF389*EF382*-3</f>
        <v>-55.300500000000007</v>
      </c>
      <c r="EG384" s="76">
        <f>+EG389*EG382*-3</f>
        <v>-59.332359518526069</v>
      </c>
      <c r="EH384" s="76">
        <f>+EH389*EH382*-3</f>
        <v>-63.201739141423062</v>
      </c>
      <c r="EI384" s="85">
        <f>+SUM(EE384:EH384)</f>
        <v>-228.98639865994915</v>
      </c>
      <c r="EJ384" s="76">
        <f>+EJ389*EJ382*-12</f>
        <v>-253.20477045554077</v>
      </c>
      <c r="EK384" s="76">
        <f t="shared" ref="EK384:ES384" si="279">+EK389*EK382*-12</f>
        <v>-257.43347921032125</v>
      </c>
      <c r="EL384" s="76">
        <f t="shared" si="279"/>
        <v>-260.79953137912662</v>
      </c>
      <c r="EM384" s="76">
        <f t="shared" si="279"/>
        <v>-263.47890890549559</v>
      </c>
      <c r="EN384" s="76">
        <f t="shared" si="279"/>
        <v>-265.61169341648531</v>
      </c>
      <c r="EO384" s="76">
        <f t="shared" si="279"/>
        <v>-267.30938988723312</v>
      </c>
      <c r="EP384" s="76">
        <f t="shared" si="279"/>
        <v>-268.66075627794839</v>
      </c>
      <c r="EQ384" s="76">
        <f t="shared" si="279"/>
        <v>-269.73644392495771</v>
      </c>
      <c r="ER384" s="76">
        <f t="shared" si="279"/>
        <v>-270.59269129197719</v>
      </c>
      <c r="ES384" s="76">
        <f t="shared" si="279"/>
        <v>-271.2742641961247</v>
      </c>
    </row>
    <row r="385" spans="1:149" hidden="1" outlineLevel="1" x14ac:dyDescent="0.3">
      <c r="A385" s="64" t="s">
        <v>3998</v>
      </c>
      <c r="DU385" s="855">
        <f>+Inputs!DU580-DU395</f>
        <v>1195</v>
      </c>
      <c r="DV385" s="855">
        <f>+Inputs!DV580-DV395</f>
        <v>1186</v>
      </c>
      <c r="DW385" s="855">
        <f>+Inputs!DW580-DW395</f>
        <v>1186</v>
      </c>
      <c r="DX385" s="855">
        <f>+Inputs!DX580-DX395</f>
        <v>1190</v>
      </c>
      <c r="DY385" s="803">
        <f>+DX385</f>
        <v>1190</v>
      </c>
      <c r="DZ385" s="855">
        <f>+Inputs!DZ580-DZ395</f>
        <v>1199.4662790697676</v>
      </c>
      <c r="EA385" s="855">
        <f>+Inputs!EA580-EA395</f>
        <v>1205.9918604651164</v>
      </c>
      <c r="EB385" s="855">
        <f>+Inputs!EB580-EB395</f>
        <v>1212.4581395348837</v>
      </c>
      <c r="EC385" s="855">
        <f>+Inputs!EC580-EC395</f>
        <v>1217.9000000000001</v>
      </c>
      <c r="ED385" s="803">
        <f>+EC385</f>
        <v>1217.9000000000001</v>
      </c>
      <c r="EE385" s="855">
        <f>+Inputs!EE580-EE395</f>
        <v>1228.9000000000001</v>
      </c>
      <c r="EF385" s="803">
        <f>+SUM(EF382:EF384)</f>
        <v>1236.0908233026264</v>
      </c>
      <c r="EG385" s="803">
        <f>+SUM(EG382:EG384)</f>
        <v>1239.2497870867267</v>
      </c>
      <c r="EH385" s="803">
        <f>+SUM(EH382:EH384)</f>
        <v>1241.1998551742192</v>
      </c>
      <c r="EI385" s="803">
        <f>+EH385</f>
        <v>1241.1998551742192</v>
      </c>
      <c r="EJ385" s="803">
        <f t="shared" ref="EJ385:ES385" si="280">+SUM(EJ382:EJ384)</f>
        <v>1261.9288196584375</v>
      </c>
      <c r="EK385" s="803">
        <f t="shared" si="280"/>
        <v>1278.4290753878754</v>
      </c>
      <c r="EL385" s="803">
        <f t="shared" si="280"/>
        <v>1291.5632789485078</v>
      </c>
      <c r="EM385" s="803">
        <f t="shared" si="280"/>
        <v>1302.0181049827711</v>
      </c>
      <c r="EN385" s="803">
        <f t="shared" si="280"/>
        <v>1310.3401465060447</v>
      </c>
      <c r="EO385" s="803">
        <f t="shared" si="280"/>
        <v>1316.9644915585704</v>
      </c>
      <c r="EP385" s="803">
        <f t="shared" si="280"/>
        <v>1322.2374702203811</v>
      </c>
      <c r="EQ385" s="803">
        <f t="shared" si="280"/>
        <v>1326.4347612351823</v>
      </c>
      <c r="ER385" s="803">
        <f t="shared" si="280"/>
        <v>1329.7758048829642</v>
      </c>
      <c r="ES385" s="803">
        <f t="shared" si="280"/>
        <v>1332.4352756265985</v>
      </c>
    </row>
    <row r="386" spans="1:149" hidden="1" outlineLevel="1" x14ac:dyDescent="0.3">
      <c r="A386" s="61" t="s">
        <v>339</v>
      </c>
      <c r="DZ386" s="75">
        <f t="shared" ref="DZ386:EI386" si="281">+DZ385/DU385-1</f>
        <v>3.737472024910149E-3</v>
      </c>
      <c r="EA386" s="75">
        <f t="shared" si="281"/>
        <v>1.6856543393858558E-2</v>
      </c>
      <c r="EB386" s="75">
        <f t="shared" si="281"/>
        <v>2.2308717988940741E-2</v>
      </c>
      <c r="EC386" s="75">
        <f t="shared" si="281"/>
        <v>2.3445378151260687E-2</v>
      </c>
      <c r="ED386" s="84">
        <f t="shared" si="281"/>
        <v>2.3445378151260687E-2</v>
      </c>
      <c r="EE386" s="75">
        <f t="shared" si="281"/>
        <v>2.453901493008992E-2</v>
      </c>
      <c r="EF386" s="75">
        <f t="shared" si="281"/>
        <v>2.4957849073626193E-2</v>
      </c>
      <c r="EG386" s="75">
        <f t="shared" si="281"/>
        <v>2.2096967044256566E-2</v>
      </c>
      <c r="EH386" s="75">
        <f t="shared" si="281"/>
        <v>1.9131172653107154E-2</v>
      </c>
      <c r="EI386" s="84">
        <f t="shared" si="281"/>
        <v>1.9131172653107154E-2</v>
      </c>
      <c r="EJ386" s="75">
        <f>+EJ385/EI385-1</f>
        <v>1.670074677966249E-2</v>
      </c>
      <c r="EK386" s="75">
        <f t="shared" ref="EK386:ES386" si="282">+EK385/EJ385-1</f>
        <v>1.3075425073423741E-2</v>
      </c>
      <c r="EL386" s="75">
        <f t="shared" si="282"/>
        <v>1.0273705294638669E-2</v>
      </c>
      <c r="EM386" s="75">
        <f t="shared" si="282"/>
        <v>8.0947067826013797E-3</v>
      </c>
      <c r="EN386" s="75">
        <f t="shared" si="282"/>
        <v>6.3916480818704269E-3</v>
      </c>
      <c r="EO386" s="75">
        <f t="shared" si="282"/>
        <v>5.0554392843638052E-3</v>
      </c>
      <c r="EP386" s="75">
        <f t="shared" si="282"/>
        <v>4.0038882563722122E-3</v>
      </c>
      <c r="EQ386" s="75">
        <f t="shared" si="282"/>
        <v>3.1743851685746005E-3</v>
      </c>
      <c r="ER386" s="75">
        <f t="shared" si="282"/>
        <v>2.5188149055070941E-3</v>
      </c>
      <c r="ES386" s="75">
        <f t="shared" si="282"/>
        <v>1.999939188146449E-3</v>
      </c>
    </row>
    <row r="387" spans="1:149" hidden="1" outlineLevel="1" x14ac:dyDescent="0.3">
      <c r="A387" s="65" t="s">
        <v>340</v>
      </c>
      <c r="DU387" s="80">
        <f>+Inputs!DU581</f>
        <v>-7</v>
      </c>
      <c r="DV387" s="503">
        <f>+DV385-DU385</f>
        <v>-9</v>
      </c>
      <c r="DW387" s="503">
        <f t="shared" ref="DW387:EJ387" si="283">+DW385-DV385</f>
        <v>0</v>
      </c>
      <c r="DX387" s="503">
        <f t="shared" si="283"/>
        <v>4</v>
      </c>
      <c r="DY387" s="86">
        <f>+SUM(DU387:DX387)</f>
        <v>-12</v>
      </c>
      <c r="DZ387" s="503">
        <f t="shared" si="283"/>
        <v>9.4662790697675518</v>
      </c>
      <c r="EA387" s="503">
        <f t="shared" si="283"/>
        <v>6.5255813953488087</v>
      </c>
      <c r="EB387" s="503">
        <f t="shared" si="283"/>
        <v>6.4662790697673245</v>
      </c>
      <c r="EC387" s="503">
        <f t="shared" si="283"/>
        <v>5.441860465116406</v>
      </c>
      <c r="ED387" s="86">
        <f>+SUM(DZ387:EC387)</f>
        <v>27.900000000000091</v>
      </c>
      <c r="EE387" s="503">
        <f t="shared" si="283"/>
        <v>11</v>
      </c>
      <c r="EF387" s="503">
        <f t="shared" si="283"/>
        <v>7.1908233026263133</v>
      </c>
      <c r="EG387" s="503">
        <f t="shared" si="283"/>
        <v>3.1589637841002514</v>
      </c>
      <c r="EH387" s="503">
        <f t="shared" si="283"/>
        <v>1.950068087492582</v>
      </c>
      <c r="EI387" s="86">
        <f>+SUM(EE387:EH387)</f>
        <v>23.299855174219147</v>
      </c>
      <c r="EJ387" s="503">
        <f t="shared" si="283"/>
        <v>20.728964484218295</v>
      </c>
      <c r="EK387" s="503">
        <f t="shared" ref="EK387:ES387" si="284">+EK385-EJ385</f>
        <v>16.500255729437868</v>
      </c>
      <c r="EL387" s="503">
        <f t="shared" si="284"/>
        <v>13.134203560632386</v>
      </c>
      <c r="EM387" s="503">
        <f t="shared" si="284"/>
        <v>10.454826034263306</v>
      </c>
      <c r="EN387" s="503">
        <f t="shared" si="284"/>
        <v>8.3220415232735832</v>
      </c>
      <c r="EO387" s="503">
        <f t="shared" si="284"/>
        <v>6.6243450525257686</v>
      </c>
      <c r="EP387" s="503">
        <f t="shared" si="284"/>
        <v>5.2729786618106118</v>
      </c>
      <c r="EQ387" s="503">
        <f t="shared" si="284"/>
        <v>4.1972910148012943</v>
      </c>
      <c r="ER387" s="503">
        <f t="shared" si="284"/>
        <v>3.3410436477818166</v>
      </c>
      <c r="ES387" s="503">
        <f t="shared" si="284"/>
        <v>2.6594707436343015</v>
      </c>
    </row>
    <row r="388" spans="1:149" hidden="1" outlineLevel="1" x14ac:dyDescent="0.3">
      <c r="A388" s="65" t="s">
        <v>341</v>
      </c>
      <c r="DU388" s="75">
        <f>+DU383/AVERAGE(DU371)</f>
        <v>3.1412904166666651E-2</v>
      </c>
      <c r="DV388" s="75">
        <f>+DV383/AVERAGE(DU371:DV371)</f>
        <v>3.1267538749999976E-2</v>
      </c>
      <c r="DW388" s="75">
        <f>+DW383/AVERAGE(DV371:DW371)</f>
        <v>3.2621226499999996E-2</v>
      </c>
      <c r="DX388" s="75">
        <f>+DX383/AVERAGE(DW371:DX371)</f>
        <v>2.8527477333333339E-2</v>
      </c>
      <c r="DY388" s="84">
        <f>+DY383/AVERAGE(DU371:DX371)</f>
        <v>0.12382914674999995</v>
      </c>
      <c r="DZ388" s="75">
        <f>+DZ383/AVERAGE(DY371:DZ371)</f>
        <v>2.7196890949612421E-2</v>
      </c>
      <c r="EA388" s="75">
        <f>+EA383/AVERAGE(DZ371:EA371)</f>
        <v>2.1101626664434419E-2</v>
      </c>
      <c r="EB388" s="75">
        <f>+EB383/AVERAGE(EA371:EB371)</f>
        <v>2.4459445659040933E-2</v>
      </c>
      <c r="EC388" s="75">
        <f>+EC383/AVERAGE(EB371:EC371)</f>
        <v>2.1077097547079086E-2</v>
      </c>
      <c r="ED388" s="84">
        <f>+ED383/AVERAGE(DZ371:EC371)</f>
        <v>9.3743127482480634E-2</v>
      </c>
      <c r="EE388" s="75">
        <f>+EE383/AVERAGE(ED371:EE371)</f>
        <v>2.1013017664173135E-2</v>
      </c>
      <c r="EF388" s="87">
        <f>+EA388</f>
        <v>2.1101626664434419E-2</v>
      </c>
      <c r="EG388" s="87">
        <f>+EF388</f>
        <v>2.1101626664434419E-2</v>
      </c>
      <c r="EH388" s="87">
        <v>2.1999999999999999E-2</v>
      </c>
      <c r="EI388" s="84">
        <f>+EI383/AVERAGE(EE371:EH371)</f>
        <v>8.5190232173457961E-2</v>
      </c>
      <c r="EJ388" s="87">
        <v>9.2499999999999999E-2</v>
      </c>
      <c r="EK388" s="87">
        <f t="shared" ref="EK388:ES388" si="285">+EJ388</f>
        <v>9.2499999999999999E-2</v>
      </c>
      <c r="EL388" s="87">
        <f t="shared" si="285"/>
        <v>9.2499999999999999E-2</v>
      </c>
      <c r="EM388" s="87">
        <f t="shared" si="285"/>
        <v>9.2499999999999999E-2</v>
      </c>
      <c r="EN388" s="87">
        <f t="shared" si="285"/>
        <v>9.2499999999999999E-2</v>
      </c>
      <c r="EO388" s="87">
        <f t="shared" si="285"/>
        <v>9.2499999999999999E-2</v>
      </c>
      <c r="EP388" s="87">
        <f t="shared" si="285"/>
        <v>9.2499999999999999E-2</v>
      </c>
      <c r="EQ388" s="87">
        <f t="shared" si="285"/>
        <v>9.2499999999999999E-2</v>
      </c>
      <c r="ER388" s="87">
        <f t="shared" si="285"/>
        <v>9.2499999999999999E-2</v>
      </c>
      <c r="ES388" s="87">
        <f t="shared" si="285"/>
        <v>9.2499999999999999E-2</v>
      </c>
    </row>
    <row r="389" spans="1:149" hidden="1" outlineLevel="1" x14ac:dyDescent="0.3">
      <c r="A389" s="65" t="s">
        <v>342</v>
      </c>
      <c r="DU389" s="97">
        <f>+Inputs!DU582</f>
        <v>2.75E-2</v>
      </c>
      <c r="DV389" s="97">
        <f>+Inputs!DV582</f>
        <v>2.81E-2</v>
      </c>
      <c r="DW389" s="97">
        <f>+Inputs!DW582</f>
        <v>2.69E-2</v>
      </c>
      <c r="DX389" s="97">
        <f>+Inputs!DX582</f>
        <v>2.24E-2</v>
      </c>
      <c r="DY389" s="84">
        <f>+DY384/AVERAGE(DU382:DX382)/-12</f>
        <v>2.6232816104005033E-2</v>
      </c>
      <c r="DZ389" s="97">
        <f>+Inputs!DZ582</f>
        <v>1.9699999999999999E-2</v>
      </c>
      <c r="EA389" s="97">
        <f>+Inputs!EA582</f>
        <v>1.54E-2</v>
      </c>
      <c r="EB389" s="97">
        <f>+Inputs!EB582</f>
        <v>1.8100000000000002E-2</v>
      </c>
      <c r="EC389" s="97">
        <f>+Inputs!EC582</f>
        <v>1.5599999999999999E-2</v>
      </c>
      <c r="ED389" s="84">
        <f>+ED384/AVERAGE(DZ382:EC382)/-12</f>
        <v>1.7191975806373595E-2</v>
      </c>
      <c r="EE389" s="97">
        <f>+Inputs!EE582</f>
        <v>1.4E-2</v>
      </c>
      <c r="EF389" s="128">
        <f>+EE389+0.001</f>
        <v>1.4999999999999999E-2</v>
      </c>
      <c r="EG389" s="128">
        <f>+EF389+0.001</f>
        <v>1.6E-2</v>
      </c>
      <c r="EH389" s="128">
        <f>+EG389+0.001</f>
        <v>1.7000000000000001E-2</v>
      </c>
      <c r="EI389" s="129">
        <f>+EI384/AVERAGE(EE382:EH382)/-12</f>
        <v>1.5507236707583326E-2</v>
      </c>
      <c r="EJ389" s="128">
        <v>1.7000000000000001E-2</v>
      </c>
      <c r="EK389" s="128">
        <f t="shared" ref="EK389:ES389" si="286">+EJ389</f>
        <v>1.7000000000000001E-2</v>
      </c>
      <c r="EL389" s="128">
        <f t="shared" si="286"/>
        <v>1.7000000000000001E-2</v>
      </c>
      <c r="EM389" s="128">
        <f t="shared" si="286"/>
        <v>1.7000000000000001E-2</v>
      </c>
      <c r="EN389" s="128">
        <f t="shared" si="286"/>
        <v>1.7000000000000001E-2</v>
      </c>
      <c r="EO389" s="128">
        <f t="shared" si="286"/>
        <v>1.7000000000000001E-2</v>
      </c>
      <c r="EP389" s="128">
        <f t="shared" si="286"/>
        <v>1.7000000000000001E-2</v>
      </c>
      <c r="EQ389" s="128">
        <f t="shared" si="286"/>
        <v>1.7000000000000001E-2</v>
      </c>
      <c r="ER389" s="128">
        <f t="shared" si="286"/>
        <v>1.7000000000000001E-2</v>
      </c>
      <c r="ES389" s="128">
        <f t="shared" si="286"/>
        <v>1.7000000000000001E-2</v>
      </c>
    </row>
    <row r="390" spans="1:149" hidden="1" outlineLevel="1" x14ac:dyDescent="0.3">
      <c r="A390" s="65" t="s">
        <v>210</v>
      </c>
      <c r="DU390" s="75">
        <f t="shared" ref="DU390:DZ390" si="287">+DU385/DU371</f>
        <v>0.4072958333333333</v>
      </c>
      <c r="DV390" s="75">
        <f t="shared" si="287"/>
        <v>0.4042283333333333</v>
      </c>
      <c r="DW390" s="75">
        <f t="shared" si="287"/>
        <v>0.4042283333333333</v>
      </c>
      <c r="DX390" s="75">
        <f t="shared" si="287"/>
        <v>0.40559166666666663</v>
      </c>
      <c r="DY390" s="84">
        <f t="shared" si="287"/>
        <v>0.40559166666666663</v>
      </c>
      <c r="DZ390" s="75">
        <f t="shared" si="287"/>
        <v>0.40881809011627906</v>
      </c>
      <c r="EA390" s="75">
        <f t="shared" ref="EA390:ES390" si="288">+EA385/EA371</f>
        <v>0.41065671470684573</v>
      </c>
      <c r="EB390" s="75">
        <f t="shared" si="288"/>
        <v>0.41147673269223395</v>
      </c>
      <c r="EC390" s="75">
        <f t="shared" si="288"/>
        <v>0.412273589533933</v>
      </c>
      <c r="ED390" s="84">
        <f t="shared" si="288"/>
        <v>0.412273589533933</v>
      </c>
      <c r="EE390" s="75">
        <f t="shared" si="288"/>
        <v>0.41496623270951993</v>
      </c>
      <c r="EF390" s="75">
        <f t="shared" si="288"/>
        <v>0.41739437890202596</v>
      </c>
      <c r="EG390" s="75">
        <f t="shared" si="288"/>
        <v>0.41846107537916316</v>
      </c>
      <c r="EH390" s="75">
        <f t="shared" si="288"/>
        <v>0.41911956053482585</v>
      </c>
      <c r="EI390" s="84">
        <f t="shared" si="288"/>
        <v>0.41911956053482585</v>
      </c>
      <c r="EJ390" s="75">
        <f t="shared" si="288"/>
        <v>0.42611917018572137</v>
      </c>
      <c r="EK390" s="75">
        <f t="shared" si="288"/>
        <v>0.4316908594678342</v>
      </c>
      <c r="EL390" s="75">
        <f t="shared" si="288"/>
        <v>0.436125924136396</v>
      </c>
      <c r="EM390" s="75">
        <f t="shared" si="288"/>
        <v>0.43965623561257117</v>
      </c>
      <c r="EN390" s="75">
        <f t="shared" si="288"/>
        <v>0.4424663635476066</v>
      </c>
      <c r="EO390" s="75">
        <f t="shared" si="288"/>
        <v>0.44470322538389478</v>
      </c>
      <c r="EP390" s="75">
        <f t="shared" si="288"/>
        <v>0.44648376740558021</v>
      </c>
      <c r="EQ390" s="75">
        <f t="shared" si="288"/>
        <v>0.44790107885484187</v>
      </c>
      <c r="ER390" s="75">
        <f t="shared" si="288"/>
        <v>0.44902925876845412</v>
      </c>
      <c r="ES390" s="75">
        <f t="shared" si="288"/>
        <v>0.44992728997968945</v>
      </c>
    </row>
    <row r="391" spans="1:149" hidden="1" outlineLevel="1" x14ac:dyDescent="0.3">
      <c r="A391" s="65"/>
    </row>
    <row r="392" spans="1:149" hidden="1" outlineLevel="1" x14ac:dyDescent="0.3">
      <c r="A392" s="63" t="s">
        <v>4022</v>
      </c>
      <c r="DU392" s="95">
        <v>0</v>
      </c>
      <c r="DV392" s="76">
        <f>+DU395</f>
        <v>0</v>
      </c>
      <c r="DW392" s="76">
        <f>+DV395</f>
        <v>0</v>
      </c>
      <c r="DX392" s="76">
        <f>+DW395</f>
        <v>0</v>
      </c>
      <c r="DY392" s="85">
        <f>+DU392</f>
        <v>0</v>
      </c>
      <c r="DZ392" s="76">
        <f>+DY395</f>
        <v>0</v>
      </c>
      <c r="EA392" s="76">
        <f>+DZ395</f>
        <v>0.53372093023255818</v>
      </c>
      <c r="EB392" s="76">
        <f>+EA395</f>
        <v>1.0081395348837208</v>
      </c>
      <c r="EC392" s="76">
        <f>+EB395</f>
        <v>1.5418604651162788</v>
      </c>
      <c r="ED392" s="85">
        <f>+DZ392</f>
        <v>0</v>
      </c>
      <c r="EE392" s="76">
        <f>+ED395</f>
        <v>5.0999999999999996</v>
      </c>
      <c r="EF392" s="76">
        <f>+EE395</f>
        <v>5.0999999999999996</v>
      </c>
      <c r="EG392" s="76">
        <f>+EF395</f>
        <v>17.813939393939393</v>
      </c>
      <c r="EH392" s="76">
        <f>+EG395</f>
        <v>28.187939393939395</v>
      </c>
      <c r="EI392" s="85">
        <f>+EE392</f>
        <v>5.0999999999999996</v>
      </c>
      <c r="EJ392" s="76">
        <f t="shared" ref="EJ392:ES392" si="289">+EI395</f>
        <v>45</v>
      </c>
      <c r="EK392" s="76">
        <f t="shared" si="289"/>
        <v>172.56</v>
      </c>
      <c r="EL392" s="76">
        <f t="shared" si="289"/>
        <v>413.30799999999999</v>
      </c>
      <c r="EM392" s="76">
        <f t="shared" si="289"/>
        <v>752.15679999999998</v>
      </c>
      <c r="EN392" s="76">
        <f t="shared" si="289"/>
        <v>1166.8676</v>
      </c>
      <c r="EO392" s="76">
        <f t="shared" si="289"/>
        <v>1635.296</v>
      </c>
      <c r="EP392" s="76">
        <f t="shared" si="289"/>
        <v>2130.9096</v>
      </c>
      <c r="EQ392" s="76">
        <f t="shared" si="289"/>
        <v>2631.1596</v>
      </c>
      <c r="ER392" s="76">
        <f t="shared" si="289"/>
        <v>3064.7096000000001</v>
      </c>
      <c r="ES392" s="76">
        <f t="shared" si="289"/>
        <v>3364.8595999999998</v>
      </c>
    </row>
    <row r="393" spans="1:149" hidden="1" outlineLevel="1" x14ac:dyDescent="0.3">
      <c r="A393" s="63" t="s">
        <v>336</v>
      </c>
      <c r="DU393" s="95">
        <v>0</v>
      </c>
      <c r="DV393" s="76">
        <f>+DV395-DV394-DV392</f>
        <v>0</v>
      </c>
      <c r="DW393" s="76">
        <f>+DW395-DW394-DW392</f>
        <v>0</v>
      </c>
      <c r="DX393" s="76">
        <f>+DX395-DX394-DX392</f>
        <v>0</v>
      </c>
      <c r="DY393" s="85">
        <f>+SUM(DU393:DX393)</f>
        <v>0</v>
      </c>
      <c r="DZ393" s="76">
        <f>+DZ395-DZ394-DZ392</f>
        <v>0.53372093023255818</v>
      </c>
      <c r="EA393" s="76">
        <f>+EA395-EA394-EA392</f>
        <v>0.49907651162790667</v>
      </c>
      <c r="EB393" s="76">
        <f>+EB395-EB394-EB392</f>
        <v>0.58846290697674419</v>
      </c>
      <c r="EC393" s="76">
        <f>+EC395-EC394-EC392</f>
        <v>3.6302986046511627</v>
      </c>
      <c r="ED393" s="85">
        <f>+SUM(DZ393:EC393)</f>
        <v>5.251558953488372</v>
      </c>
      <c r="EE393" s="76">
        <f>+EE395-EE394-EE392</f>
        <v>0.21419999999999995</v>
      </c>
      <c r="EF393" s="76">
        <f>+EF395-EF394-EF392</f>
        <v>12.943439393939395</v>
      </c>
      <c r="EG393" s="76">
        <f>+EG395-EG394-EG392</f>
        <v>11.229069090909093</v>
      </c>
      <c r="EH393" s="76">
        <f>+EH395-EH394-EH392</f>
        <v>18.249645515151514</v>
      </c>
      <c r="EI393" s="85">
        <f>+SUM(EE393:EH393)</f>
        <v>42.636353999999997</v>
      </c>
      <c r="EJ393" s="76">
        <f t="shared" ref="EJ393:ES393" si="290">+EJ395-EJ394-EJ392</f>
        <v>136.74</v>
      </c>
      <c r="EK393" s="76">
        <f t="shared" si="290"/>
        <v>275.95024000000001</v>
      </c>
      <c r="EL393" s="76">
        <f t="shared" si="290"/>
        <v>423.16363200000001</v>
      </c>
      <c r="EM393" s="76">
        <f t="shared" si="290"/>
        <v>568.15078719999997</v>
      </c>
      <c r="EN393" s="76">
        <f t="shared" si="290"/>
        <v>706.46939040000007</v>
      </c>
      <c r="EO393" s="76">
        <f t="shared" si="290"/>
        <v>829.21398399999975</v>
      </c>
      <c r="EP393" s="76">
        <f t="shared" si="290"/>
        <v>934.95555839999997</v>
      </c>
      <c r="EQ393" s="76">
        <f t="shared" si="290"/>
        <v>970.30655840000009</v>
      </c>
      <c r="ER393" s="76">
        <f t="shared" si="290"/>
        <v>925.3507583999999</v>
      </c>
      <c r="ES393" s="76">
        <f t="shared" si="290"/>
        <v>879.86135840000043</v>
      </c>
    </row>
    <row r="394" spans="1:149" hidden="1" outlineLevel="1" x14ac:dyDescent="0.3">
      <c r="A394" s="63" t="s">
        <v>337</v>
      </c>
      <c r="DU394" s="95">
        <v>0</v>
      </c>
      <c r="DV394" s="76">
        <f>+DV399*DV392*-3</f>
        <v>0</v>
      </c>
      <c r="DW394" s="76">
        <f>+DW399*DW392*-3</f>
        <v>0</v>
      </c>
      <c r="DX394" s="76">
        <f>+DX399*DX392*-3</f>
        <v>0</v>
      </c>
      <c r="DY394" s="85">
        <f>+SUM(DU394:DX394)</f>
        <v>0</v>
      </c>
      <c r="DZ394" s="76">
        <f>+DZ399*DZ392*-3</f>
        <v>0</v>
      </c>
      <c r="EA394" s="76">
        <f>+EA399*EA392*-3</f>
        <v>-2.4657906976744189E-2</v>
      </c>
      <c r="EB394" s="76">
        <f>+EB399*EB392*-3</f>
        <v>-5.4741976744186044E-2</v>
      </c>
      <c r="EC394" s="76">
        <f>+EC399*EC392*-3</f>
        <v>-7.2159069767441852E-2</v>
      </c>
      <c r="ED394" s="85">
        <f>+SUM(DZ394:EC394)</f>
        <v>-0.15155895348837209</v>
      </c>
      <c r="EE394" s="76">
        <f>+EE399*EE392*-3</f>
        <v>-0.21419999999999997</v>
      </c>
      <c r="EF394" s="76">
        <f>+EF399*EF392*-3</f>
        <v>-0.22949999999999998</v>
      </c>
      <c r="EG394" s="76">
        <f>+EG399*EG392*-3</f>
        <v>-0.85506909090909078</v>
      </c>
      <c r="EH394" s="76">
        <f>+EH399*EH392*-3</f>
        <v>-1.4375849090909092</v>
      </c>
      <c r="EI394" s="85">
        <f>+SUM(EE394:EH394)</f>
        <v>-2.736354</v>
      </c>
      <c r="EJ394" s="76">
        <f>+EJ399*EJ392*-12</f>
        <v>-9.18</v>
      </c>
      <c r="EK394" s="76">
        <f t="shared" ref="EK394:ES394" si="291">+EK399*EK392*-12</f>
        <v>-35.202240000000003</v>
      </c>
      <c r="EL394" s="76">
        <f t="shared" si="291"/>
        <v>-84.31483200000001</v>
      </c>
      <c r="EM394" s="76">
        <f t="shared" si="291"/>
        <v>-153.43998720000002</v>
      </c>
      <c r="EN394" s="76">
        <f t="shared" si="291"/>
        <v>-238.04099040000006</v>
      </c>
      <c r="EO394" s="76">
        <f t="shared" si="291"/>
        <v>-333.60038400000002</v>
      </c>
      <c r="EP394" s="76">
        <f t="shared" si="291"/>
        <v>-434.70555839999997</v>
      </c>
      <c r="EQ394" s="76">
        <f t="shared" si="291"/>
        <v>-536.75655840000002</v>
      </c>
      <c r="ER394" s="76">
        <f t="shared" si="291"/>
        <v>-625.20075840000004</v>
      </c>
      <c r="ES394" s="76">
        <f t="shared" si="291"/>
        <v>-686.43135840000002</v>
      </c>
    </row>
    <row r="395" spans="1:149" ht="12" hidden="1" customHeight="1" outlineLevel="1" x14ac:dyDescent="0.3">
      <c r="A395" s="64" t="s">
        <v>4023</v>
      </c>
      <c r="DU395" s="854">
        <v>0</v>
      </c>
      <c r="DV395" s="854">
        <v>0</v>
      </c>
      <c r="DW395" s="854">
        <v>0</v>
      </c>
      <c r="DX395" s="854">
        <v>0</v>
      </c>
      <c r="DY395" s="803">
        <f>+DX395</f>
        <v>0</v>
      </c>
      <c r="DZ395" s="855">
        <f>+DZ372/$EC372*$EC395</f>
        <v>0.53372093023255818</v>
      </c>
      <c r="EA395" s="855">
        <f>+EA372/$EC372*$EC395</f>
        <v>1.0081395348837208</v>
      </c>
      <c r="EB395" s="855">
        <f>+EB372/$EC372*$EC395</f>
        <v>1.5418604651162788</v>
      </c>
      <c r="EC395" s="855">
        <f>+Analysis!C4566</f>
        <v>5.0999999999999996</v>
      </c>
      <c r="ED395" s="850">
        <f>+EC395</f>
        <v>5.0999999999999996</v>
      </c>
      <c r="EE395" s="854">
        <f>+ED395</f>
        <v>5.0999999999999996</v>
      </c>
      <c r="EF395" s="855">
        <f>+($EI395-$ED395)/($EI372-$ED372)*(EF372-$ED372)</f>
        <v>17.813939393939393</v>
      </c>
      <c r="EG395" s="855">
        <f>+($EI395-$ED395)/($EI372-$ED372)*(EG372-$ED372)</f>
        <v>28.187939393939395</v>
      </c>
      <c r="EH395" s="855">
        <f>+Analysis!D4566</f>
        <v>45</v>
      </c>
      <c r="EI395" s="850">
        <f>+EH395</f>
        <v>45</v>
      </c>
      <c r="EJ395" s="855">
        <f>+Analysis!E4566</f>
        <v>172.56</v>
      </c>
      <c r="EK395" s="855">
        <f>+Analysis!F4566</f>
        <v>413.30799999999999</v>
      </c>
      <c r="EL395" s="855">
        <f>+Analysis!G4566</f>
        <v>752.15679999999998</v>
      </c>
      <c r="EM395" s="855">
        <f>+Analysis!H4566</f>
        <v>1166.8676</v>
      </c>
      <c r="EN395" s="855">
        <f>+Analysis!I4566</f>
        <v>1635.296</v>
      </c>
      <c r="EO395" s="855">
        <f>+Analysis!J4566</f>
        <v>2130.9096</v>
      </c>
      <c r="EP395" s="855">
        <f>+Analysis!K4566</f>
        <v>2631.1596</v>
      </c>
      <c r="EQ395" s="855">
        <f>+Analysis!L4566</f>
        <v>3064.7096000000001</v>
      </c>
      <c r="ER395" s="855">
        <f>+Analysis!M4566</f>
        <v>3364.8595999999998</v>
      </c>
      <c r="ES395" s="855">
        <f>+Analysis!N4566</f>
        <v>3558.2896000000001</v>
      </c>
    </row>
    <row r="396" spans="1:149" hidden="1" outlineLevel="1" x14ac:dyDescent="0.3">
      <c r="A396" s="61" t="s">
        <v>339</v>
      </c>
      <c r="DZ396" s="75" t="str">
        <f t="shared" ref="DZ396:EI396" si="292">+IFERROR(DZ395/DU395-1,"")</f>
        <v/>
      </c>
      <c r="EA396" s="75" t="str">
        <f t="shared" si="292"/>
        <v/>
      </c>
      <c r="EB396" s="75" t="str">
        <f t="shared" si="292"/>
        <v/>
      </c>
      <c r="EC396" s="75" t="str">
        <f t="shared" si="292"/>
        <v/>
      </c>
      <c r="ED396" s="84" t="str">
        <f t="shared" si="292"/>
        <v/>
      </c>
      <c r="EE396" s="75">
        <f t="shared" si="292"/>
        <v>8.5555555555555536</v>
      </c>
      <c r="EF396" s="75">
        <f t="shared" si="292"/>
        <v>16.670112893642308</v>
      </c>
      <c r="EG396" s="75">
        <f t="shared" si="292"/>
        <v>17.281770647653005</v>
      </c>
      <c r="EH396" s="75">
        <f t="shared" si="292"/>
        <v>7.8235294117647065</v>
      </c>
      <c r="EI396" s="84">
        <f t="shared" si="292"/>
        <v>7.8235294117647065</v>
      </c>
      <c r="EJ396" s="75">
        <f>+IFERROR(EJ395/EI395-1,"")</f>
        <v>2.8346666666666667</v>
      </c>
      <c r="EK396" s="75">
        <f t="shared" ref="EK396:ES396" si="293">+IFERROR(EK395/EJ395-1,"")</f>
        <v>1.3951553082985626</v>
      </c>
      <c r="EL396" s="75">
        <f t="shared" si="293"/>
        <v>0.81984573248037784</v>
      </c>
      <c r="EM396" s="75">
        <f t="shared" si="293"/>
        <v>0.55136216278307937</v>
      </c>
      <c r="EN396" s="75">
        <f t="shared" si="293"/>
        <v>0.40144091754711497</v>
      </c>
      <c r="EO396" s="75">
        <f t="shared" si="293"/>
        <v>0.30307271588752127</v>
      </c>
      <c r="EP396" s="75">
        <f t="shared" si="293"/>
        <v>0.23475890295862389</v>
      </c>
      <c r="EQ396" s="75">
        <f t="shared" si="293"/>
        <v>0.16477525726679598</v>
      </c>
      <c r="ER396" s="75">
        <f t="shared" si="293"/>
        <v>9.7937501158347873E-2</v>
      </c>
      <c r="ES396" s="75">
        <f t="shared" si="293"/>
        <v>5.748531082842212E-2</v>
      </c>
    </row>
    <row r="397" spans="1:149" hidden="1" outlineLevel="1" x14ac:dyDescent="0.3">
      <c r="A397" s="65" t="s">
        <v>340</v>
      </c>
      <c r="DV397" s="503">
        <f>+DV395-DU395</f>
        <v>0</v>
      </c>
      <c r="DW397" s="503">
        <f>+DW395-DV395</f>
        <v>0</v>
      </c>
      <c r="DX397" s="503">
        <f>+DX395-DW395</f>
        <v>0</v>
      </c>
      <c r="DY397" s="86">
        <f>+SUM(DU397:DX397)</f>
        <v>0</v>
      </c>
      <c r="DZ397" s="503">
        <f>+DZ395-DY395</f>
        <v>0.53372093023255818</v>
      </c>
      <c r="EA397" s="503">
        <f>+EA395-DZ395</f>
        <v>0.47441860465116259</v>
      </c>
      <c r="EB397" s="503">
        <f>+EB395-EA395</f>
        <v>0.53372093023255807</v>
      </c>
      <c r="EC397" s="503">
        <f>+EC395-EB395</f>
        <v>3.558139534883721</v>
      </c>
      <c r="ED397" s="86">
        <f>+SUM(DZ397:EC397)</f>
        <v>5.0999999999999996</v>
      </c>
      <c r="EE397" s="503">
        <f>+EE395-ED395</f>
        <v>0</v>
      </c>
      <c r="EF397" s="503">
        <f>+EF395-EE395</f>
        <v>12.713939393939393</v>
      </c>
      <c r="EG397" s="503">
        <f>+EG395-EF395</f>
        <v>10.374000000000002</v>
      </c>
      <c r="EH397" s="503">
        <f>+EH395-EG395</f>
        <v>16.812060606060605</v>
      </c>
      <c r="EI397" s="86">
        <f>+SUM(EE397:EH397)</f>
        <v>39.9</v>
      </c>
      <c r="EJ397" s="503">
        <f t="shared" ref="EJ397:ES397" si="294">+EJ395-EI395</f>
        <v>127.56</v>
      </c>
      <c r="EK397" s="503">
        <f t="shared" si="294"/>
        <v>240.74799999999999</v>
      </c>
      <c r="EL397" s="503">
        <f t="shared" si="294"/>
        <v>338.84879999999998</v>
      </c>
      <c r="EM397" s="503">
        <f t="shared" si="294"/>
        <v>414.71080000000006</v>
      </c>
      <c r="EN397" s="503">
        <f t="shared" si="294"/>
        <v>468.42840000000001</v>
      </c>
      <c r="EO397" s="503">
        <f t="shared" si="294"/>
        <v>495.61359999999991</v>
      </c>
      <c r="EP397" s="503">
        <f t="shared" si="294"/>
        <v>500.25</v>
      </c>
      <c r="EQ397" s="503">
        <f t="shared" si="294"/>
        <v>433.55000000000018</v>
      </c>
      <c r="ER397" s="503">
        <f t="shared" si="294"/>
        <v>300.14999999999964</v>
      </c>
      <c r="ES397" s="503">
        <f t="shared" si="294"/>
        <v>193.43000000000029</v>
      </c>
    </row>
    <row r="398" spans="1:149" hidden="1" outlineLevel="1" x14ac:dyDescent="0.3">
      <c r="A398" s="65" t="s">
        <v>341</v>
      </c>
      <c r="DU398" s="75" t="str">
        <f>+IFERROR(DU393/AVERAGE(DT372:DU372),"")</f>
        <v/>
      </c>
      <c r="DV398" s="75" t="str">
        <f t="shared" ref="DV398:ES398" si="295">+IFERROR(DV393/AVERAGE(DU372:DV372),"")</f>
        <v/>
      </c>
      <c r="DW398" s="75" t="str">
        <f t="shared" si="295"/>
        <v/>
      </c>
      <c r="DX398" s="75" t="str">
        <f t="shared" si="295"/>
        <v/>
      </c>
      <c r="DY398" s="84" t="str">
        <f>+IFERROR(DY393/AVERAGE(DX372:DY372),"")</f>
        <v/>
      </c>
      <c r="DZ398" s="75">
        <f t="shared" si="295"/>
        <v>0.1186046511627907</v>
      </c>
      <c r="EA398" s="75">
        <f t="shared" si="295"/>
        <v>3.8390500894454359E-2</v>
      </c>
      <c r="EB398" s="75">
        <f t="shared" si="295"/>
        <v>2.7370367766360194E-2</v>
      </c>
      <c r="EC398" s="75">
        <f t="shared" si="295"/>
        <v>6.4826760797342189E-2</v>
      </c>
      <c r="ED398" s="84">
        <f>+IFERROR(ED393/AVERAGE(EC372:ED372),"")</f>
        <v>6.1064638994050839E-2</v>
      </c>
      <c r="EE398" s="75">
        <f t="shared" si="295"/>
        <v>1.5521739130434779E-3</v>
      </c>
      <c r="EF398" s="75">
        <f t="shared" si="295"/>
        <v>5.2086275227120303E-2</v>
      </c>
      <c r="EG398" s="75">
        <f t="shared" si="295"/>
        <v>3.0238505697883646E-2</v>
      </c>
      <c r="EH398" s="75">
        <f t="shared" si="295"/>
        <v>3.5899764955545414E-2</v>
      </c>
      <c r="EI398" s="84">
        <f>+IFERROR(EI393/AVERAGE(EH372:EI372),"")</f>
        <v>7.3384430292598959E-2</v>
      </c>
      <c r="EJ398" s="75">
        <f t="shared" si="295"/>
        <v>0.12649398704902867</v>
      </c>
      <c r="EK398" s="75">
        <f t="shared" si="295"/>
        <v>0.12913980500740971</v>
      </c>
      <c r="EL398" s="75">
        <f t="shared" si="295"/>
        <v>0.13026431645374789</v>
      </c>
      <c r="EM398" s="75">
        <f t="shared" si="295"/>
        <v>0.13030483250640265</v>
      </c>
      <c r="EN398" s="75">
        <f t="shared" si="295"/>
        <v>0.12911018069507477</v>
      </c>
      <c r="EO398" s="75">
        <f t="shared" si="295"/>
        <v>0.12595336583883948</v>
      </c>
      <c r="EP398" s="75">
        <f t="shared" si="295"/>
        <v>0.12149906543934504</v>
      </c>
      <c r="EQ398" s="75">
        <f t="shared" si="295"/>
        <v>0.11759866178645013</v>
      </c>
      <c r="ER398" s="75">
        <f t="shared" si="295"/>
        <v>0.11215013433523208</v>
      </c>
      <c r="ES398" s="75">
        <f t="shared" si="295"/>
        <v>0.1052969552896123</v>
      </c>
    </row>
    <row r="399" spans="1:149" hidden="1" outlineLevel="1" x14ac:dyDescent="0.3">
      <c r="A399" s="65" t="s">
        <v>342</v>
      </c>
      <c r="DU399" s="75">
        <f>+DU389</f>
        <v>2.75E-2</v>
      </c>
      <c r="DV399" s="75">
        <f t="shared" ref="DV399:ES399" si="296">+DV389</f>
        <v>2.81E-2</v>
      </c>
      <c r="DW399" s="75">
        <f t="shared" si="296"/>
        <v>2.69E-2</v>
      </c>
      <c r="DX399" s="75">
        <f t="shared" si="296"/>
        <v>2.24E-2</v>
      </c>
      <c r="DY399" s="84">
        <f>+IFERROR(DY394/AVERAGE(DU392:DX392)/-12,DY389)</f>
        <v>2.6232816104005033E-2</v>
      </c>
      <c r="DZ399" s="75">
        <f t="shared" si="296"/>
        <v>1.9699999999999999E-2</v>
      </c>
      <c r="EA399" s="75">
        <f t="shared" si="296"/>
        <v>1.54E-2</v>
      </c>
      <c r="EB399" s="75">
        <f t="shared" si="296"/>
        <v>1.8100000000000002E-2</v>
      </c>
      <c r="EC399" s="75">
        <f t="shared" si="296"/>
        <v>1.5599999999999999E-2</v>
      </c>
      <c r="ED399" s="84">
        <f>+IFERROR(ED394/AVERAGE(DZ392:EC392)/-12,ED389)</f>
        <v>1.6382692307692306E-2</v>
      </c>
      <c r="EE399" s="75">
        <f t="shared" si="296"/>
        <v>1.4E-2</v>
      </c>
      <c r="EF399" s="75">
        <f t="shared" si="296"/>
        <v>1.4999999999999999E-2</v>
      </c>
      <c r="EG399" s="75">
        <f t="shared" si="296"/>
        <v>1.6E-2</v>
      </c>
      <c r="EH399" s="75">
        <f t="shared" si="296"/>
        <v>1.7000000000000001E-2</v>
      </c>
      <c r="EI399" s="84">
        <f>+IFERROR(EI394/AVERAGE(EE392:EH392)/-12,EI389)</f>
        <v>1.6229315098923686E-2</v>
      </c>
      <c r="EJ399" s="75">
        <f t="shared" si="296"/>
        <v>1.7000000000000001E-2</v>
      </c>
      <c r="EK399" s="75">
        <f t="shared" si="296"/>
        <v>1.7000000000000001E-2</v>
      </c>
      <c r="EL399" s="75">
        <f t="shared" si="296"/>
        <v>1.7000000000000001E-2</v>
      </c>
      <c r="EM399" s="75">
        <f t="shared" si="296"/>
        <v>1.7000000000000001E-2</v>
      </c>
      <c r="EN399" s="75">
        <f t="shared" si="296"/>
        <v>1.7000000000000001E-2</v>
      </c>
      <c r="EO399" s="75">
        <f t="shared" si="296"/>
        <v>1.7000000000000001E-2</v>
      </c>
      <c r="EP399" s="75">
        <f t="shared" si="296"/>
        <v>1.7000000000000001E-2</v>
      </c>
      <c r="EQ399" s="75">
        <f t="shared" si="296"/>
        <v>1.7000000000000001E-2</v>
      </c>
      <c r="ER399" s="75">
        <f t="shared" si="296"/>
        <v>1.7000000000000001E-2</v>
      </c>
      <c r="ES399" s="75">
        <f t="shared" si="296"/>
        <v>1.7000000000000001E-2</v>
      </c>
    </row>
    <row r="400" spans="1:149" hidden="1" outlineLevel="1" x14ac:dyDescent="0.3">
      <c r="A400" s="65" t="s">
        <v>210</v>
      </c>
    </row>
    <row r="401" spans="1:149" hidden="1" outlineLevel="1" x14ac:dyDescent="0.3">
      <c r="A401" s="65"/>
    </row>
    <row r="402" spans="1:149" hidden="1" outlineLevel="1" x14ac:dyDescent="0.3">
      <c r="A402" s="63" t="s">
        <v>399</v>
      </c>
      <c r="DU402" s="76">
        <f>+DU406-DU408</f>
        <v>1584</v>
      </c>
      <c r="DV402" s="76">
        <f>+DU406</f>
        <v>1565</v>
      </c>
      <c r="DW402" s="76">
        <f t="shared" ref="DW402:EC402" si="297">+DV406</f>
        <v>1523</v>
      </c>
      <c r="DX402" s="76">
        <f t="shared" si="297"/>
        <v>1474</v>
      </c>
      <c r="DY402" s="85">
        <f>+DU402</f>
        <v>1584</v>
      </c>
      <c r="DZ402" s="76">
        <f t="shared" si="297"/>
        <v>1441</v>
      </c>
      <c r="EA402" s="76">
        <f t="shared" si="297"/>
        <v>1418</v>
      </c>
      <c r="EB402" s="76">
        <f t="shared" si="297"/>
        <v>1401</v>
      </c>
      <c r="EC402" s="76">
        <f t="shared" si="297"/>
        <v>1380</v>
      </c>
      <c r="ED402" s="85">
        <f>+DZ402</f>
        <v>1441</v>
      </c>
      <c r="EE402" s="76">
        <f>+ED406</f>
        <v>1348</v>
      </c>
      <c r="EF402" s="76">
        <f>+EE406</f>
        <v>1326</v>
      </c>
      <c r="EG402" s="76">
        <f>+EF406</f>
        <v>1304.178516895985</v>
      </c>
      <c r="EH402" s="76">
        <f>+EG406</f>
        <v>1273.9866511804389</v>
      </c>
      <c r="EI402" s="85">
        <f>+EE402</f>
        <v>1348</v>
      </c>
      <c r="EJ402" s="76">
        <f t="shared" ref="EJ402:ES402" si="298">+EI406</f>
        <v>1244.1837258739565</v>
      </c>
      <c r="EK402" s="76">
        <f t="shared" si="298"/>
        <v>1165.2939271113269</v>
      </c>
      <c r="EL402" s="76">
        <f t="shared" si="298"/>
        <v>1063.0924103614977</v>
      </c>
      <c r="EM402" s="76">
        <f t="shared" si="298"/>
        <v>939.52456040229345</v>
      </c>
      <c r="EN402" s="76">
        <f t="shared" si="298"/>
        <v>799.53008240822828</v>
      </c>
      <c r="EO402" s="76">
        <f t="shared" si="298"/>
        <v>648.30936660633552</v>
      </c>
      <c r="EP402" s="76">
        <f t="shared" si="298"/>
        <v>491.89052674999982</v>
      </c>
      <c r="EQ402" s="76">
        <f t="shared" si="298"/>
        <v>335.83714200697591</v>
      </c>
      <c r="ER402" s="76">
        <f t="shared" si="298"/>
        <v>204.2785865614614</v>
      </c>
      <c r="ES402" s="76">
        <f t="shared" si="298"/>
        <v>152.11984555441137</v>
      </c>
    </row>
    <row r="403" spans="1:149" hidden="1" outlineLevel="1" x14ac:dyDescent="0.3">
      <c r="A403" s="63" t="s">
        <v>336</v>
      </c>
      <c r="DU403" s="76">
        <f>+DU406-DU405-DU404-DU402</f>
        <v>94.097600000000057</v>
      </c>
      <c r="DV403" s="76">
        <f>+DV406-DV405-DV404-DV402</f>
        <v>81.948000000000093</v>
      </c>
      <c r="DW403" s="76">
        <f>+DW406-DW405-DW404-DW402</f>
        <v>83.957899999999881</v>
      </c>
      <c r="DX403" s="76">
        <f>+DX406-DX405-DX404-DX402</f>
        <v>78.876600000000053</v>
      </c>
      <c r="DY403" s="85">
        <f>+SUM(DU403:DX403)</f>
        <v>338.88010000000008</v>
      </c>
      <c r="DZ403" s="76">
        <f>+DZ406-DZ405-DZ404-DZ402</f>
        <v>79.091246710225278</v>
      </c>
      <c r="EA403" s="76">
        <f>+EA406-EA405-EA404-EA402</f>
        <v>69.419498000520434</v>
      </c>
      <c r="EB403" s="76">
        <f>+EB406-EB405-EB404-EB402</f>
        <v>67.756941924172679</v>
      </c>
      <c r="EC403" s="76">
        <f>+EC406-EC405-EC404-EC402</f>
        <v>49.590504559640522</v>
      </c>
      <c r="ED403" s="85">
        <f>+SUM(DZ403:EC403)</f>
        <v>265.85819119455891</v>
      </c>
      <c r="EE403" s="76">
        <f>+EE406-EE405-EE404-EE402</f>
        <v>43.943381295159043</v>
      </c>
      <c r="EF403" s="76">
        <f>+EF409*AVERAGE(EE373:EF373)</f>
        <v>53.950271084337345</v>
      </c>
      <c r="EG403" s="76">
        <f>+EG409*AVERAGE(EF373:EG373)</f>
        <v>53.336021084337347</v>
      </c>
      <c r="EH403" s="76">
        <f>+EH409*AVERAGE(EG373:EH373)</f>
        <v>52.651021084337344</v>
      </c>
      <c r="EI403" s="85">
        <f>+SUM(EE403:EH403)</f>
        <v>203.88069454817108</v>
      </c>
      <c r="EJ403" s="76">
        <f t="shared" ref="EJ403:ES403" si="299">+EJ409*AVERAGE(EI373:EJ373)</f>
        <v>224.04496987951805</v>
      </c>
      <c r="EK403" s="76">
        <f t="shared" si="299"/>
        <v>200.28871987951808</v>
      </c>
      <c r="EL403" s="76">
        <f t="shared" si="299"/>
        <v>175.27621987951804</v>
      </c>
      <c r="EM403" s="76">
        <f t="shared" si="299"/>
        <v>150.26371987951808</v>
      </c>
      <c r="EN403" s="76">
        <f t="shared" si="299"/>
        <v>125.25121987951806</v>
      </c>
      <c r="EO403" s="76">
        <f t="shared" si="299"/>
        <v>100.23871987951806</v>
      </c>
      <c r="EP403" s="76">
        <f t="shared" si="299"/>
        <v>75.226219879518041</v>
      </c>
      <c r="EQ403" s="76">
        <f t="shared" si="299"/>
        <v>62.719969879518054</v>
      </c>
      <c r="ER403" s="76">
        <f t="shared" si="299"/>
        <v>62.719969879518054</v>
      </c>
      <c r="ES403" s="76">
        <f t="shared" si="299"/>
        <v>62.719969879518054</v>
      </c>
    </row>
    <row r="404" spans="1:149" hidden="1" outlineLevel="1" x14ac:dyDescent="0.3">
      <c r="A404" s="63" t="s">
        <v>4042</v>
      </c>
      <c r="DU404" s="95">
        <v>0</v>
      </c>
      <c r="DV404" s="95">
        <v>0</v>
      </c>
      <c r="DW404" s="95">
        <v>0</v>
      </c>
      <c r="DX404" s="95">
        <v>0</v>
      </c>
      <c r="DY404" s="85">
        <f>+SUM(DU404:DX404)</f>
        <v>0</v>
      </c>
      <c r="DZ404" s="76">
        <f>+-DZ393*DZ411</f>
        <v>-6.8446710225336813E-2</v>
      </c>
      <c r="EA404" s="76">
        <f>+-EA393*EA411</f>
        <v>-6.3298000520477932E-2</v>
      </c>
      <c r="EB404" s="76">
        <f>+-EB393*EB411</f>
        <v>-7.3641924172691151E-2</v>
      </c>
      <c r="EC404" s="76">
        <f>+-EC393*EC411</f>
        <v>-0.44650455964057001</v>
      </c>
      <c r="ED404" s="85">
        <f>+SUM(DZ404:EC404)</f>
        <v>-0.65189119455907596</v>
      </c>
      <c r="EE404" s="76">
        <f>+-EE393*EE411</f>
        <v>-2.6181295158979594E-2</v>
      </c>
      <c r="EF404" s="76">
        <f>+EE411*-EF393</f>
        <v>-1.5820541883524339</v>
      </c>
      <c r="EG404" s="76">
        <f>+EF411*-EG393</f>
        <v>-1.3646402354363862</v>
      </c>
      <c r="EH404" s="76">
        <f>+EG411*-EH393</f>
        <v>-2.1927873664518769</v>
      </c>
      <c r="EI404" s="85">
        <f>+SUM(EE404:EH404)</f>
        <v>-5.165663085399677</v>
      </c>
      <c r="EJ404" s="76">
        <f t="shared" ref="EJ404:ES404" si="300">+EI411*-EJ393</f>
        <v>-16.268591981248814</v>
      </c>
      <c r="EK404" s="76">
        <f t="shared" si="300"/>
        <v>-34.000665656603694</v>
      </c>
      <c r="EL404" s="76">
        <f t="shared" si="300"/>
        <v>-53.902241411026687</v>
      </c>
      <c r="EM404" s="76">
        <f t="shared" si="300"/>
        <v>-73.787022428533248</v>
      </c>
      <c r="EN404" s="76">
        <f t="shared" si="300"/>
        <v>-92.256190785419975</v>
      </c>
      <c r="EO404" s="76">
        <f t="shared" si="300"/>
        <v>-107.28382693932394</v>
      </c>
      <c r="EP404" s="76">
        <f t="shared" si="300"/>
        <v>-117.94555780394279</v>
      </c>
      <c r="EQ404" s="76">
        <f t="shared" si="300"/>
        <v>-116.89996179154987</v>
      </c>
      <c r="ER404" s="76">
        <f t="shared" si="300"/>
        <v>-67.811898995798259</v>
      </c>
      <c r="ES404" s="76">
        <f t="shared" si="300"/>
        <v>-48.014985014178869</v>
      </c>
    </row>
    <row r="405" spans="1:149" hidden="1" outlineLevel="1" x14ac:dyDescent="0.3">
      <c r="A405" s="63" t="s">
        <v>337</v>
      </c>
      <c r="DU405" s="76">
        <f>+DU410*DU402*-3</f>
        <v>-113.09760000000001</v>
      </c>
      <c r="DV405" s="76">
        <f t="shared" ref="DV405:EC405" si="301">+DV410*DV402*-3</f>
        <v>-123.94800000000001</v>
      </c>
      <c r="DW405" s="76">
        <f t="shared" si="301"/>
        <v>-132.9579</v>
      </c>
      <c r="DX405" s="76">
        <f t="shared" si="301"/>
        <v>-111.8766</v>
      </c>
      <c r="DY405" s="85">
        <f>+SUM(DU405:DX405)</f>
        <v>-481.88010000000003</v>
      </c>
      <c r="DZ405" s="76">
        <f t="shared" si="301"/>
        <v>-102.02279999999999</v>
      </c>
      <c r="EA405" s="76">
        <f t="shared" si="301"/>
        <v>-86.356200000000001</v>
      </c>
      <c r="EB405" s="76">
        <f t="shared" si="301"/>
        <v>-88.683300000000003</v>
      </c>
      <c r="EC405" s="76">
        <f t="shared" si="301"/>
        <v>-81.143999999999991</v>
      </c>
      <c r="ED405" s="85">
        <f>+SUM(DZ405:EC405)</f>
        <v>-358.2063</v>
      </c>
      <c r="EE405" s="76">
        <f>+EE410*EE402*-3</f>
        <v>-65.917199999999994</v>
      </c>
      <c r="EF405" s="76">
        <f>+EF410*EF402*-3</f>
        <v>-74.189700000000002</v>
      </c>
      <c r="EG405" s="76">
        <f>+EG410*EG402*-3</f>
        <v>-82.163246564447064</v>
      </c>
      <c r="EH405" s="76">
        <f>+EH410*EH402*-3</f>
        <v>-80.261159024367657</v>
      </c>
      <c r="EI405" s="85">
        <f>+SUM(EE405:EH405)</f>
        <v>-302.53130558881469</v>
      </c>
      <c r="EJ405" s="76">
        <f>+EJ410*EJ402*-12</f>
        <v>-286.66617666089888</v>
      </c>
      <c r="EK405" s="76">
        <f t="shared" ref="EK405:ES405" si="302">+EK410*EK402*-12</f>
        <v>-268.48957097274365</v>
      </c>
      <c r="EL405" s="76">
        <f t="shared" si="302"/>
        <v>-244.94182842769578</v>
      </c>
      <c r="EM405" s="76">
        <f t="shared" si="302"/>
        <v>-216.47117544504997</v>
      </c>
      <c r="EN405" s="76">
        <f t="shared" si="302"/>
        <v>-184.21574489599087</v>
      </c>
      <c r="EO405" s="76">
        <f t="shared" si="302"/>
        <v>-149.37373279652977</v>
      </c>
      <c r="EP405" s="76">
        <f t="shared" si="302"/>
        <v>-113.33404681859911</v>
      </c>
      <c r="EQ405" s="76">
        <f t="shared" si="302"/>
        <v>-77.378563533482676</v>
      </c>
      <c r="ER405" s="76">
        <f t="shared" si="302"/>
        <v>-47.066811890769799</v>
      </c>
      <c r="ES405" s="76">
        <f t="shared" si="302"/>
        <v>-35.049176108374255</v>
      </c>
    </row>
    <row r="406" spans="1:149" hidden="1" outlineLevel="1" x14ac:dyDescent="0.3">
      <c r="A406" s="64" t="s">
        <v>4024</v>
      </c>
      <c r="DU406" s="855">
        <f>+Inputs!DU586</f>
        <v>1565</v>
      </c>
      <c r="DV406" s="855">
        <f>+Inputs!DV586</f>
        <v>1523</v>
      </c>
      <c r="DW406" s="855">
        <f>+Inputs!DW586</f>
        <v>1474</v>
      </c>
      <c r="DX406" s="855">
        <f>+Inputs!DX586</f>
        <v>1441</v>
      </c>
      <c r="DY406" s="803">
        <f>+DX406</f>
        <v>1441</v>
      </c>
      <c r="DZ406" s="855">
        <f>+Inputs!DZ586</f>
        <v>1418</v>
      </c>
      <c r="EA406" s="855">
        <f>+Inputs!EA586</f>
        <v>1401</v>
      </c>
      <c r="EB406" s="855">
        <f>+Inputs!EB586</f>
        <v>1380</v>
      </c>
      <c r="EC406" s="855">
        <f>+Inputs!EC586</f>
        <v>1348</v>
      </c>
      <c r="ED406" s="803">
        <f>+EC406</f>
        <v>1348</v>
      </c>
      <c r="EE406" s="855">
        <f>+Inputs!EE586</f>
        <v>1326</v>
      </c>
      <c r="EF406" s="803">
        <f>+SUM(EF402:EF405)</f>
        <v>1304.178516895985</v>
      </c>
      <c r="EG406" s="803">
        <f>+SUM(EG402:EG405)</f>
        <v>1273.9866511804389</v>
      </c>
      <c r="EH406" s="803">
        <f>+SUM(EH402:EH405)</f>
        <v>1244.1837258739565</v>
      </c>
      <c r="EI406" s="803">
        <f>+EH406</f>
        <v>1244.1837258739565</v>
      </c>
      <c r="EJ406" s="803">
        <f t="shared" ref="EJ406:ES406" si="303">+SUM(EJ402:EJ405)</f>
        <v>1165.2939271113269</v>
      </c>
      <c r="EK406" s="803">
        <f t="shared" si="303"/>
        <v>1063.0924103614977</v>
      </c>
      <c r="EL406" s="803">
        <f t="shared" si="303"/>
        <v>939.52456040229345</v>
      </c>
      <c r="EM406" s="803">
        <f t="shared" si="303"/>
        <v>799.53008240822828</v>
      </c>
      <c r="EN406" s="803">
        <f t="shared" si="303"/>
        <v>648.30936660633552</v>
      </c>
      <c r="EO406" s="803">
        <f t="shared" si="303"/>
        <v>491.89052674999982</v>
      </c>
      <c r="EP406" s="803">
        <f t="shared" si="303"/>
        <v>335.83714200697591</v>
      </c>
      <c r="EQ406" s="803">
        <f t="shared" si="303"/>
        <v>204.2785865614614</v>
      </c>
      <c r="ER406" s="803">
        <f t="shared" si="303"/>
        <v>152.11984555441137</v>
      </c>
      <c r="ES406" s="803">
        <f t="shared" si="303"/>
        <v>131.77565431137629</v>
      </c>
    </row>
    <row r="407" spans="1:149" hidden="1" outlineLevel="1" x14ac:dyDescent="0.3">
      <c r="A407" s="61" t="s">
        <v>339</v>
      </c>
      <c r="DZ407" s="75">
        <f t="shared" ref="DZ407:EI407" si="304">+IFERROR(DZ406/DU406-1,"")</f>
        <v>-9.3929712460063874E-2</v>
      </c>
      <c r="EA407" s="75">
        <f t="shared" si="304"/>
        <v>-8.010505581089955E-2</v>
      </c>
      <c r="EB407" s="75">
        <f t="shared" si="304"/>
        <v>-6.3772048846675755E-2</v>
      </c>
      <c r="EC407" s="75">
        <f t="shared" si="304"/>
        <v>-6.4538514920194356E-2</v>
      </c>
      <c r="ED407" s="84">
        <f t="shared" si="304"/>
        <v>-6.4538514920194356E-2</v>
      </c>
      <c r="EE407" s="75">
        <f t="shared" si="304"/>
        <v>-6.4880112834978854E-2</v>
      </c>
      <c r="EF407" s="75">
        <f t="shared" si="304"/>
        <v>-6.9108838760895797E-2</v>
      </c>
      <c r="EG407" s="75">
        <f t="shared" si="304"/>
        <v>-7.6821267260551496E-2</v>
      </c>
      <c r="EH407" s="75">
        <f t="shared" si="304"/>
        <v>-7.7015040152851211E-2</v>
      </c>
      <c r="EI407" s="84">
        <f t="shared" si="304"/>
        <v>-7.7015040152851211E-2</v>
      </c>
      <c r="EJ407" s="75">
        <f>+IFERROR(EJ406/EI406-1,"")</f>
        <v>-6.3406872411238768E-2</v>
      </c>
      <c r="EK407" s="75">
        <f t="shared" ref="EK407:ES407" si="305">+IFERROR(EK406/EJ406-1,"")</f>
        <v>-8.7704496155041944E-2</v>
      </c>
      <c r="EL407" s="75">
        <f t="shared" si="305"/>
        <v>-0.1162343449683606</v>
      </c>
      <c r="EM407" s="75">
        <f t="shared" si="305"/>
        <v>-0.1490056608356477</v>
      </c>
      <c r="EN407" s="75">
        <f t="shared" si="305"/>
        <v>-0.18913699325284639</v>
      </c>
      <c r="EO407" s="75">
        <f t="shared" si="305"/>
        <v>-0.24127191108641788</v>
      </c>
      <c r="EP407" s="75">
        <f t="shared" si="305"/>
        <v>-0.31725226703204434</v>
      </c>
      <c r="EQ407" s="75">
        <f t="shared" si="305"/>
        <v>-0.39173319144903218</v>
      </c>
      <c r="ER407" s="75">
        <f t="shared" si="305"/>
        <v>-0.25533141718384178</v>
      </c>
      <c r="ES407" s="75">
        <f t="shared" si="305"/>
        <v>-0.13373791676483282</v>
      </c>
    </row>
    <row r="408" spans="1:149" hidden="1" outlineLevel="1" x14ac:dyDescent="0.3">
      <c r="A408" s="65" t="s">
        <v>340</v>
      </c>
      <c r="DU408" s="80">
        <f>+Inputs!DU587</f>
        <v>-19</v>
      </c>
      <c r="DV408" s="503">
        <f>+DV406-DU406</f>
        <v>-42</v>
      </c>
      <c r="DW408" s="503">
        <f t="shared" ref="DW408:EH408" si="306">+DW406-DV406</f>
        <v>-49</v>
      </c>
      <c r="DX408" s="503">
        <f t="shared" si="306"/>
        <v>-33</v>
      </c>
      <c r="DY408" s="86">
        <f>+SUM(DU408:DX408)</f>
        <v>-143</v>
      </c>
      <c r="DZ408" s="503">
        <f t="shared" si="306"/>
        <v>-23</v>
      </c>
      <c r="EA408" s="503">
        <f t="shared" si="306"/>
        <v>-17</v>
      </c>
      <c r="EB408" s="503">
        <f t="shared" si="306"/>
        <v>-21</v>
      </c>
      <c r="EC408" s="503">
        <f t="shared" si="306"/>
        <v>-32</v>
      </c>
      <c r="ED408" s="86">
        <f>+SUM(DZ408:EC408)</f>
        <v>-93</v>
      </c>
      <c r="EE408" s="503">
        <f t="shared" si="306"/>
        <v>-22</v>
      </c>
      <c r="EF408" s="503">
        <f t="shared" si="306"/>
        <v>-21.821483104014987</v>
      </c>
      <c r="EG408" s="503">
        <f t="shared" si="306"/>
        <v>-30.191865715546101</v>
      </c>
      <c r="EH408" s="503">
        <f t="shared" si="306"/>
        <v>-29.802925306482393</v>
      </c>
      <c r="EI408" s="86">
        <f>+SUM(EE408:EH408)</f>
        <v>-103.81627412604348</v>
      </c>
      <c r="EJ408" s="503">
        <f t="shared" ref="EJ408:ES408" si="307">+EJ406-EI406</f>
        <v>-78.889798762629653</v>
      </c>
      <c r="EK408" s="503">
        <f t="shared" si="307"/>
        <v>-102.20151674982912</v>
      </c>
      <c r="EL408" s="503">
        <f t="shared" si="307"/>
        <v>-123.5678499592043</v>
      </c>
      <c r="EM408" s="503">
        <f t="shared" si="307"/>
        <v>-139.99447799406516</v>
      </c>
      <c r="EN408" s="503">
        <f t="shared" si="307"/>
        <v>-151.22071580189277</v>
      </c>
      <c r="EO408" s="503">
        <f t="shared" si="307"/>
        <v>-156.41883985633569</v>
      </c>
      <c r="EP408" s="503">
        <f t="shared" si="307"/>
        <v>-156.05338474302391</v>
      </c>
      <c r="EQ408" s="503">
        <f t="shared" si="307"/>
        <v>-131.55855544551451</v>
      </c>
      <c r="ER408" s="503">
        <f t="shared" si="307"/>
        <v>-52.158741007050025</v>
      </c>
      <c r="ES408" s="503">
        <f t="shared" si="307"/>
        <v>-20.344191243035084</v>
      </c>
    </row>
    <row r="409" spans="1:149" hidden="1" outlineLevel="1" x14ac:dyDescent="0.3">
      <c r="A409" s="65" t="s">
        <v>341</v>
      </c>
      <c r="DU409" s="75">
        <f>+DU403/AVERAGE(DU373)</f>
        <v>8.5032961555457417E-3</v>
      </c>
      <c r="DV409" s="75">
        <f>+DV403/AVERAGE(DU373:DV373)</f>
        <v>7.4053760494918342E-3</v>
      </c>
      <c r="DW409" s="75">
        <f>+DW403/AVERAGE(DV373:DW373)</f>
        <v>7.5870042200618546E-3</v>
      </c>
      <c r="DX409" s="75">
        <f>+DX403/AVERAGE(DW373:DX373)</f>
        <v>7.1278235528060147E-3</v>
      </c>
      <c r="DY409" s="84">
        <f>+DY403/AVERAGE(DU373:DX373)</f>
        <v>3.0623499977905446E-2</v>
      </c>
      <c r="DZ409" s="75">
        <f>+DZ403/AVERAGE(DY373:DZ373)</f>
        <v>7.1501280855553705E-3</v>
      </c>
      <c r="EA409" s="75">
        <f>+EA403/AVERAGE(DZ373:EA373)</f>
        <v>6.2813766708650293E-3</v>
      </c>
      <c r="EB409" s="75">
        <f>+EB403/AVERAGE(EA373:EB373)</f>
        <v>6.1391673912644376E-3</v>
      </c>
      <c r="EC409" s="75">
        <f>+EC403/AVERAGE(EB373:EC373)</f>
        <v>4.5108333541219658E-3</v>
      </c>
      <c r="ED409" s="84">
        <f>+ED403/AVERAGE(DZ373:EC373)</f>
        <v>2.4119280885560097E-2</v>
      </c>
      <c r="EE409" s="75">
        <f>+EE403/AVERAGE(ED373:EE373)</f>
        <v>4.0299411881816261E-3</v>
      </c>
      <c r="EF409" s="87">
        <v>5.0000000000000001E-3</v>
      </c>
      <c r="EG409" s="87">
        <f>+EF409</f>
        <v>5.0000000000000001E-3</v>
      </c>
      <c r="EH409" s="87">
        <f>+EG409</f>
        <v>5.0000000000000001E-3</v>
      </c>
      <c r="EI409" s="84">
        <f>+EI403/AVERAGE(EE373:EH373)</f>
        <v>1.9125536886135646E-2</v>
      </c>
      <c r="EJ409" s="87">
        <v>2.2499999999999999E-2</v>
      </c>
      <c r="EK409" s="87">
        <f t="shared" ref="EK409:ES409" si="308">+EJ409</f>
        <v>2.2499999999999999E-2</v>
      </c>
      <c r="EL409" s="87">
        <f t="shared" si="308"/>
        <v>2.2499999999999999E-2</v>
      </c>
      <c r="EM409" s="87">
        <f t="shared" si="308"/>
        <v>2.2499999999999999E-2</v>
      </c>
      <c r="EN409" s="87">
        <f t="shared" si="308"/>
        <v>2.2499999999999999E-2</v>
      </c>
      <c r="EO409" s="87">
        <f t="shared" si="308"/>
        <v>2.2499999999999999E-2</v>
      </c>
      <c r="EP409" s="87">
        <f t="shared" si="308"/>
        <v>2.2499999999999999E-2</v>
      </c>
      <c r="EQ409" s="87">
        <f t="shared" si="308"/>
        <v>2.2499999999999999E-2</v>
      </c>
      <c r="ER409" s="87">
        <f t="shared" si="308"/>
        <v>2.2499999999999999E-2</v>
      </c>
      <c r="ES409" s="87">
        <f t="shared" si="308"/>
        <v>2.2499999999999999E-2</v>
      </c>
    </row>
    <row r="410" spans="1:149" hidden="1" outlineLevel="1" x14ac:dyDescent="0.3">
      <c r="A410" s="65" t="s">
        <v>342</v>
      </c>
      <c r="DU410" s="97">
        <f>+Inputs!DU588</f>
        <v>2.3800000000000002E-2</v>
      </c>
      <c r="DV410" s="97">
        <f>+Inputs!DV588</f>
        <v>2.64E-2</v>
      </c>
      <c r="DW410" s="97">
        <f>+Inputs!DW588</f>
        <v>2.9100000000000001E-2</v>
      </c>
      <c r="DX410" s="97">
        <f>+Inputs!DX588</f>
        <v>2.53E-2</v>
      </c>
      <c r="DY410" s="84">
        <f>+DX410</f>
        <v>2.53E-2</v>
      </c>
      <c r="DZ410" s="97">
        <f>+Inputs!DZ588</f>
        <v>2.3599999999999999E-2</v>
      </c>
      <c r="EA410" s="97">
        <f>+Inputs!EA588</f>
        <v>2.0299999999999999E-2</v>
      </c>
      <c r="EB410" s="97">
        <f>+Inputs!EB588</f>
        <v>2.1100000000000001E-2</v>
      </c>
      <c r="EC410" s="97">
        <f>+Inputs!EC588</f>
        <v>1.9599999999999999E-2</v>
      </c>
      <c r="ED410" s="84">
        <f>+EC410</f>
        <v>1.9599999999999999E-2</v>
      </c>
      <c r="EE410" s="97">
        <f>+Inputs!EE588</f>
        <v>1.6299999999999999E-2</v>
      </c>
      <c r="EF410" s="376">
        <f>+AVERAGE(EE410,EG410)</f>
        <v>1.865E-2</v>
      </c>
      <c r="EG410" s="376">
        <v>2.1000000000000001E-2</v>
      </c>
      <c r="EH410" s="376">
        <f>+EG410</f>
        <v>2.1000000000000001E-2</v>
      </c>
      <c r="EI410" s="91">
        <f>+EI405/AVERAGE(EE402:EH402)/-12</f>
        <v>1.9200418361279059E-2</v>
      </c>
      <c r="EJ410" s="376">
        <f>+EI410</f>
        <v>1.9200418361279059E-2</v>
      </c>
      <c r="EK410" s="376">
        <f t="shared" ref="EK410:ES410" si="309">+EJ410</f>
        <v>1.9200418361279059E-2</v>
      </c>
      <c r="EL410" s="376">
        <f t="shared" si="309"/>
        <v>1.9200418361279059E-2</v>
      </c>
      <c r="EM410" s="376">
        <f t="shared" si="309"/>
        <v>1.9200418361279059E-2</v>
      </c>
      <c r="EN410" s="376">
        <f t="shared" si="309"/>
        <v>1.9200418361279059E-2</v>
      </c>
      <c r="EO410" s="376">
        <f t="shared" si="309"/>
        <v>1.9200418361279059E-2</v>
      </c>
      <c r="EP410" s="376">
        <f t="shared" si="309"/>
        <v>1.9200418361279059E-2</v>
      </c>
      <c r="EQ410" s="376">
        <f t="shared" si="309"/>
        <v>1.9200418361279059E-2</v>
      </c>
      <c r="ER410" s="376">
        <f t="shared" si="309"/>
        <v>1.9200418361279059E-2</v>
      </c>
      <c r="ES410" s="376">
        <f t="shared" si="309"/>
        <v>1.9200418361279059E-2</v>
      </c>
    </row>
    <row r="411" spans="1:149" hidden="1" outlineLevel="1" x14ac:dyDescent="0.3">
      <c r="A411" s="65" t="s">
        <v>210</v>
      </c>
      <c r="DU411" s="75">
        <f t="shared" ref="DU411:DZ411" si="310">+DU406/DU373</f>
        <v>0.14142399469730446</v>
      </c>
      <c r="DV411" s="75">
        <f t="shared" si="310"/>
        <v>0.13762859036676978</v>
      </c>
      <c r="DW411" s="75">
        <f t="shared" si="310"/>
        <v>0.13320061864781266</v>
      </c>
      <c r="DX411" s="75">
        <f t="shared" si="310"/>
        <v>0.13021851524524969</v>
      </c>
      <c r="DY411" s="84">
        <f t="shared" si="310"/>
        <v>0.13021851524524969</v>
      </c>
      <c r="DZ411" s="75">
        <f t="shared" si="310"/>
        <v>0.12824438081435655</v>
      </c>
      <c r="EA411" s="75">
        <f t="shared" ref="EA411:ES411" si="311">+EA406/EA373</f>
        <v>0.12683025356975849</v>
      </c>
      <c r="EB411" s="75">
        <f t="shared" si="311"/>
        <v>0.12514284808711224</v>
      </c>
      <c r="EC411" s="75">
        <f t="shared" si="311"/>
        <v>0.12299389341375538</v>
      </c>
      <c r="ED411" s="84">
        <f t="shared" si="311"/>
        <v>0.12299389341375538</v>
      </c>
      <c r="EE411" s="75">
        <f>+EE406/EE373</f>
        <v>0.12222826871605789</v>
      </c>
      <c r="EF411" s="75">
        <f t="shared" si="311"/>
        <v>0.12152745916766877</v>
      </c>
      <c r="EG411" s="75">
        <f t="shared" si="311"/>
        <v>0.12015506627958038</v>
      </c>
      <c r="EH411" s="75">
        <f t="shared" si="311"/>
        <v>0.11897463786199219</v>
      </c>
      <c r="EI411" s="84">
        <f t="shared" si="311"/>
        <v>0.11897463786199219</v>
      </c>
      <c r="EJ411" s="75">
        <f t="shared" si="311"/>
        <v>0.12321303165601048</v>
      </c>
      <c r="EK411" s="75">
        <f t="shared" si="311"/>
        <v>0.12737919172370343</v>
      </c>
      <c r="EL411" s="75">
        <f t="shared" si="311"/>
        <v>0.12987225238598288</v>
      </c>
      <c r="EM411" s="75">
        <f t="shared" si="311"/>
        <v>0.13058766882056264</v>
      </c>
      <c r="EN411" s="75">
        <f t="shared" si="311"/>
        <v>0.12938014675271561</v>
      </c>
      <c r="EO411" s="75">
        <f t="shared" si="311"/>
        <v>0.12615097770613221</v>
      </c>
      <c r="EP411" s="75">
        <f t="shared" si="311"/>
        <v>0.12047734891570105</v>
      </c>
      <c r="EQ411" s="75">
        <f t="shared" si="311"/>
        <v>7.3282372527634879E-2</v>
      </c>
      <c r="ER411" s="75">
        <f t="shared" si="311"/>
        <v>5.4571080495559636E-2</v>
      </c>
      <c r="ES411" s="75">
        <f t="shared" si="311"/>
        <v>4.7272857874477492E-2</v>
      </c>
    </row>
    <row r="412" spans="1:149" hidden="1" outlineLevel="1" x14ac:dyDescent="0.3">
      <c r="A412" s="65"/>
    </row>
    <row r="413" spans="1:149" hidden="1" outlineLevel="1" x14ac:dyDescent="0.3">
      <c r="A413" s="63" t="s">
        <v>449</v>
      </c>
      <c r="DU413" s="76">
        <f>+SUM(DU402,DU392,DU382)</f>
        <v>2786</v>
      </c>
      <c r="DV413" s="76">
        <f>+DU416</f>
        <v>2760</v>
      </c>
      <c r="DW413" s="76">
        <f>+DV416</f>
        <v>2709</v>
      </c>
      <c r="DX413" s="76">
        <f>+DW416</f>
        <v>2660</v>
      </c>
      <c r="DY413" s="85">
        <f>+DU413</f>
        <v>2786</v>
      </c>
      <c r="DZ413" s="76">
        <f>+DY416</f>
        <v>2631</v>
      </c>
      <c r="EA413" s="76">
        <f>+DZ416</f>
        <v>2618</v>
      </c>
      <c r="EB413" s="76">
        <f>+EA416</f>
        <v>2608</v>
      </c>
      <c r="EC413" s="76">
        <f>+EB416</f>
        <v>2594</v>
      </c>
      <c r="ED413" s="85">
        <f>+DZ413</f>
        <v>2631</v>
      </c>
      <c r="EE413" s="76">
        <f>+ED416</f>
        <v>2571</v>
      </c>
      <c r="EF413" s="76">
        <f>+EE416</f>
        <v>2560</v>
      </c>
      <c r="EG413" s="76">
        <f>+EF416</f>
        <v>2558.0832795925508</v>
      </c>
      <c r="EH413" s="76">
        <f>+EG416</f>
        <v>2541.4243776611047</v>
      </c>
      <c r="EI413" s="85">
        <f>+EE413</f>
        <v>2571</v>
      </c>
      <c r="EJ413" s="76">
        <f t="shared" ref="EJ413:ES413" si="312">+EI416</f>
        <v>2530.383581048176</v>
      </c>
      <c r="EK413" s="76">
        <f t="shared" si="312"/>
        <v>2599.7827467697643</v>
      </c>
      <c r="EL413" s="76">
        <f t="shared" si="312"/>
        <v>2754.8294857493729</v>
      </c>
      <c r="EM413" s="76">
        <f t="shared" si="312"/>
        <v>2983.2446393508012</v>
      </c>
      <c r="EN413" s="76">
        <f t="shared" si="312"/>
        <v>3268.4157873909994</v>
      </c>
      <c r="EO413" s="76">
        <f t="shared" si="312"/>
        <v>3593.94551311238</v>
      </c>
      <c r="EP413" s="76">
        <f t="shared" si="312"/>
        <v>3939.7646183085703</v>
      </c>
      <c r="EQ413" s="76">
        <f t="shared" si="312"/>
        <v>4289.2342122273567</v>
      </c>
      <c r="ER413" s="76">
        <f t="shared" si="312"/>
        <v>4595.4229477966437</v>
      </c>
      <c r="ES413" s="76">
        <f t="shared" si="312"/>
        <v>4846.7552504373753</v>
      </c>
    </row>
    <row r="414" spans="1:149" hidden="1" outlineLevel="1" x14ac:dyDescent="0.3">
      <c r="A414" s="63" t="s">
        <v>336</v>
      </c>
      <c r="DU414" s="76">
        <f>+SUM(DU403,DU393,DU383)</f>
        <v>186.26260000000002</v>
      </c>
      <c r="DV414" s="76">
        <f>+SUM(DV403,DV393,DV383)</f>
        <v>173.68650000000002</v>
      </c>
      <c r="DW414" s="76">
        <f>+SUM(DW403,DW393,DW383)</f>
        <v>179.66809999999987</v>
      </c>
      <c r="DX414" s="76">
        <f>+SUM(DX403,DX393,DX383)</f>
        <v>162.57580000000007</v>
      </c>
      <c r="DY414" s="85">
        <f>+SUM(DU414:DX414)</f>
        <v>702.19299999999998</v>
      </c>
      <c r="DZ414" s="76">
        <f>+SUM(DZ403,DZ393,DZ383)</f>
        <v>159.42024671022534</v>
      </c>
      <c r="EA414" s="76">
        <f>+SUM(EA403,EA393,EA383)</f>
        <v>131.85949800052049</v>
      </c>
      <c r="EB414" s="76">
        <f>+SUM(EB403,EB393,EB383)</f>
        <v>140.29704192417267</v>
      </c>
      <c r="EC414" s="76">
        <f>+SUM(EC403,EC393,EC383)</f>
        <v>115.4057045596407</v>
      </c>
      <c r="ED414" s="85">
        <f>+SUM(DZ414:EC414)</f>
        <v>546.9824911945592</v>
      </c>
      <c r="EE414" s="76">
        <f>+SUM(EE403,EE393,EE383)</f>
        <v>106.30938129515914</v>
      </c>
      <c r="EF414" s="76">
        <f>+SUM(EF403,EF393,EF383)</f>
        <v>129.38503378090303</v>
      </c>
      <c r="EG414" s="76">
        <f>+SUM(EG403,EG393,EG383)</f>
        <v>127.05641347787271</v>
      </c>
      <c r="EH414" s="76">
        <f>+SUM(EH403,EH393,EH383)</f>
        <v>136.05247382840452</v>
      </c>
      <c r="EI414" s="85">
        <f>+SUM(EE414:EH414)</f>
        <v>498.80330238233938</v>
      </c>
      <c r="EJ414" s="76">
        <f t="shared" ref="EJ414:ES414" si="313">+SUM(EJ403,EJ393,EJ383)</f>
        <v>634.71870481927704</v>
      </c>
      <c r="EK414" s="76">
        <f t="shared" si="313"/>
        <v>750.17269481927724</v>
      </c>
      <c r="EL414" s="76">
        <f t="shared" si="313"/>
        <v>872.37358681927708</v>
      </c>
      <c r="EM414" s="76">
        <f t="shared" si="313"/>
        <v>992.348242019277</v>
      </c>
      <c r="EN414" s="76">
        <f t="shared" si="313"/>
        <v>1105.6543452192773</v>
      </c>
      <c r="EO414" s="76">
        <f t="shared" si="313"/>
        <v>1203.3864388192769</v>
      </c>
      <c r="EP414" s="76">
        <f t="shared" si="313"/>
        <v>1284.1155132192771</v>
      </c>
      <c r="EQ414" s="76">
        <f t="shared" si="313"/>
        <v>1306.9602632192771</v>
      </c>
      <c r="ER414" s="76">
        <f t="shared" si="313"/>
        <v>1262.0044632192771</v>
      </c>
      <c r="ES414" s="76">
        <f t="shared" si="313"/>
        <v>1216.5150632192776</v>
      </c>
    </row>
    <row r="415" spans="1:149" hidden="1" outlineLevel="1" x14ac:dyDescent="0.3">
      <c r="A415" s="63" t="s">
        <v>337</v>
      </c>
      <c r="DU415" s="76">
        <f>+DU416-SUM(DU413:DU414)</f>
        <v>-212.26260000000002</v>
      </c>
      <c r="DV415" s="76">
        <f>+DV416-SUM(DV413:DV414)</f>
        <v>-224.6864999999998</v>
      </c>
      <c r="DW415" s="76">
        <f>+DW416-SUM(DW413:DW414)</f>
        <v>-228.66809999999987</v>
      </c>
      <c r="DX415" s="76">
        <f>+DX416-SUM(DX413:DX414)</f>
        <v>-191.57580000000007</v>
      </c>
      <c r="DY415" s="85">
        <f>+SUM(DU415:DX415)</f>
        <v>-857.19299999999976</v>
      </c>
      <c r="DZ415" s="76">
        <f>+DZ416-SUM(DZ413:DZ414)</f>
        <v>-172.42024671022546</v>
      </c>
      <c r="EA415" s="76">
        <f>+EA416-SUM(EA413:EA414)</f>
        <v>-141.85949800052049</v>
      </c>
      <c r="EB415" s="76">
        <f>+EB416-SUM(EB413:EB414)</f>
        <v>-154.29704192417285</v>
      </c>
      <c r="EC415" s="76">
        <f>+EC416-SUM(EC413:EC414)</f>
        <v>-138.40570455964053</v>
      </c>
      <c r="ED415" s="85">
        <f>+SUM(DZ415:EC415)</f>
        <v>-606.98249119455932</v>
      </c>
      <c r="EE415" s="76">
        <f>+EE416-SUM(EE413:EE414)</f>
        <v>-117.30938129515926</v>
      </c>
      <c r="EF415" s="76">
        <f>+EF416-SUM(EF413:EF414)</f>
        <v>-131.30175418835233</v>
      </c>
      <c r="EG415" s="76">
        <f>+EG416-SUM(EG413:EG414)</f>
        <v>-143.71531540931892</v>
      </c>
      <c r="EH415" s="76">
        <f>+EH416-SUM(EH413:EH414)</f>
        <v>-147.09327044133306</v>
      </c>
      <c r="EI415" s="85">
        <f>+SUM(EE415:EH415)</f>
        <v>-539.41972133416357</v>
      </c>
      <c r="EJ415" s="76">
        <f t="shared" ref="EJ415:ES415" si="314">+EJ416-SUM(EJ413:EJ414)</f>
        <v>-565.3195390976889</v>
      </c>
      <c r="EK415" s="76">
        <f t="shared" si="314"/>
        <v>-595.12595583966868</v>
      </c>
      <c r="EL415" s="76">
        <f t="shared" si="314"/>
        <v>-643.95843321784878</v>
      </c>
      <c r="EM415" s="76">
        <f t="shared" si="314"/>
        <v>-707.17709397907902</v>
      </c>
      <c r="EN415" s="76">
        <f t="shared" si="314"/>
        <v>-780.12461949789713</v>
      </c>
      <c r="EO415" s="76">
        <f t="shared" si="314"/>
        <v>-857.56733362308705</v>
      </c>
      <c r="EP415" s="76">
        <f t="shared" si="314"/>
        <v>-934.64591930049028</v>
      </c>
      <c r="EQ415" s="76">
        <f t="shared" si="314"/>
        <v>-1000.7715276499903</v>
      </c>
      <c r="ER415" s="76">
        <f t="shared" si="314"/>
        <v>-1010.6721605785451</v>
      </c>
      <c r="ES415" s="76">
        <f t="shared" si="314"/>
        <v>-1040.769783718677</v>
      </c>
    </row>
    <row r="416" spans="1:149" hidden="1" outlineLevel="1" x14ac:dyDescent="0.3">
      <c r="A416" s="64" t="s">
        <v>4043</v>
      </c>
      <c r="DU416" s="803">
        <f>+SUM(DU406,DU395,DU385)</f>
        <v>2760</v>
      </c>
      <c r="DV416" s="803">
        <f>+SUM(DV406,DV395,DV385)</f>
        <v>2709</v>
      </c>
      <c r="DW416" s="803">
        <f>+SUM(DW406,DW395,DW385)</f>
        <v>2660</v>
      </c>
      <c r="DX416" s="803">
        <f>+SUM(DX406,DX395,DX385)</f>
        <v>2631</v>
      </c>
      <c r="DY416" s="803">
        <f>+DX416</f>
        <v>2631</v>
      </c>
      <c r="DZ416" s="803">
        <f>+SUM(DZ406,DZ395,DZ385)</f>
        <v>2618</v>
      </c>
      <c r="EA416" s="803">
        <f t="shared" ref="EA416:ES416" si="315">+SUM(EA406,EA395,EA385)</f>
        <v>2608</v>
      </c>
      <c r="EB416" s="803">
        <f t="shared" si="315"/>
        <v>2594</v>
      </c>
      <c r="EC416" s="803">
        <f t="shared" si="315"/>
        <v>2571</v>
      </c>
      <c r="ED416" s="803">
        <f>+EC416</f>
        <v>2571</v>
      </c>
      <c r="EE416" s="803">
        <f>+SUM(EE406,EE395,EE385)</f>
        <v>2560</v>
      </c>
      <c r="EF416" s="803">
        <f t="shared" si="315"/>
        <v>2558.0832795925508</v>
      </c>
      <c r="EG416" s="803">
        <f t="shared" si="315"/>
        <v>2541.4243776611047</v>
      </c>
      <c r="EH416" s="803">
        <f t="shared" si="315"/>
        <v>2530.383581048176</v>
      </c>
      <c r="EI416" s="803">
        <f>+EH416</f>
        <v>2530.383581048176</v>
      </c>
      <c r="EJ416" s="803">
        <f t="shared" si="315"/>
        <v>2599.7827467697643</v>
      </c>
      <c r="EK416" s="803">
        <f t="shared" si="315"/>
        <v>2754.8294857493729</v>
      </c>
      <c r="EL416" s="803">
        <f t="shared" si="315"/>
        <v>2983.2446393508012</v>
      </c>
      <c r="EM416" s="803">
        <f t="shared" si="315"/>
        <v>3268.4157873909994</v>
      </c>
      <c r="EN416" s="803">
        <f t="shared" si="315"/>
        <v>3593.94551311238</v>
      </c>
      <c r="EO416" s="803">
        <f t="shared" si="315"/>
        <v>3939.7646183085703</v>
      </c>
      <c r="EP416" s="803">
        <f t="shared" si="315"/>
        <v>4289.2342122273567</v>
      </c>
      <c r="EQ416" s="803">
        <f t="shared" si="315"/>
        <v>4595.4229477966437</v>
      </c>
      <c r="ER416" s="803">
        <f t="shared" si="315"/>
        <v>4846.7552504373753</v>
      </c>
      <c r="ES416" s="803">
        <f t="shared" si="315"/>
        <v>5022.5005299379754</v>
      </c>
    </row>
    <row r="417" spans="1:149" hidden="1" outlineLevel="1" x14ac:dyDescent="0.3">
      <c r="A417" s="61" t="s">
        <v>339</v>
      </c>
      <c r="DZ417" s="75">
        <f t="shared" ref="DZ417:EI417" si="316">+IFERROR(DZ416/DU416-1,"")</f>
        <v>-5.1449275362318803E-2</v>
      </c>
      <c r="EA417" s="75">
        <f t="shared" si="316"/>
        <v>-3.7283130306386081E-2</v>
      </c>
      <c r="EB417" s="75">
        <f t="shared" si="316"/>
        <v>-2.4812030075187952E-2</v>
      </c>
      <c r="EC417" s="75">
        <f t="shared" si="316"/>
        <v>-2.2805017103762815E-2</v>
      </c>
      <c r="ED417" s="84">
        <f t="shared" si="316"/>
        <v>-2.2805017103762815E-2</v>
      </c>
      <c r="EE417" s="75">
        <f t="shared" si="316"/>
        <v>-2.2154316271963292E-2</v>
      </c>
      <c r="EF417" s="75">
        <f t="shared" si="316"/>
        <v>-1.9139846781997427E-2</v>
      </c>
      <c r="EG417" s="75">
        <f t="shared" si="316"/>
        <v>-2.0268165897800783E-2</v>
      </c>
      <c r="EH417" s="75">
        <f t="shared" si="316"/>
        <v>-1.5797907021323998E-2</v>
      </c>
      <c r="EI417" s="84">
        <f t="shared" si="316"/>
        <v>-1.5797907021323998E-2</v>
      </c>
      <c r="EJ417" s="75">
        <f t="shared" ref="EJ417:ES417" si="317">+IFERROR(EJ416/EI416-1,"")</f>
        <v>2.7426342093494371E-2</v>
      </c>
      <c r="EK417" s="75">
        <f t="shared" si="317"/>
        <v>5.9638344462534132E-2</v>
      </c>
      <c r="EL417" s="75">
        <f t="shared" si="317"/>
        <v>8.2914443446685526E-2</v>
      </c>
      <c r="EM417" s="75">
        <f t="shared" si="317"/>
        <v>9.5590936217103462E-2</v>
      </c>
      <c r="EN417" s="75">
        <f t="shared" si="317"/>
        <v>9.959862725459212E-2</v>
      </c>
      <c r="EO417" s="75">
        <f t="shared" si="317"/>
        <v>9.6222690058733962E-2</v>
      </c>
      <c r="EP417" s="75">
        <f t="shared" si="317"/>
        <v>8.8703165741110146E-2</v>
      </c>
      <c r="EQ417" s="75">
        <f t="shared" si="317"/>
        <v>7.1385408308185294E-2</v>
      </c>
      <c r="ER417" s="75">
        <f t="shared" si="317"/>
        <v>5.469187613323756E-2</v>
      </c>
      <c r="ES417" s="75">
        <f t="shared" si="317"/>
        <v>3.626039905455114E-2</v>
      </c>
    </row>
    <row r="418" spans="1:149" hidden="1" outlineLevel="1" x14ac:dyDescent="0.3">
      <c r="A418" s="65" t="s">
        <v>340</v>
      </c>
      <c r="DU418" s="503">
        <f>+DU416-DU413</f>
        <v>-26</v>
      </c>
      <c r="DV418" s="503">
        <f>+DV416-DV413</f>
        <v>-51</v>
      </c>
      <c r="DW418" s="503">
        <f>+DW416-DW413</f>
        <v>-49</v>
      </c>
      <c r="DX418" s="503">
        <f>+DX416-DX413</f>
        <v>-29</v>
      </c>
      <c r="DY418" s="86">
        <f>+SUM(DU418:DX418)</f>
        <v>-155</v>
      </c>
      <c r="DZ418" s="503">
        <f>+DZ416-DY416</f>
        <v>-13</v>
      </c>
      <c r="EA418" s="503">
        <f>+EA416-DZ416</f>
        <v>-10</v>
      </c>
      <c r="EB418" s="503">
        <f>+EB416-EA416</f>
        <v>-14</v>
      </c>
      <c r="EC418" s="503">
        <f>+EC416-EB416</f>
        <v>-23</v>
      </c>
      <c r="ED418" s="86">
        <f>+SUM(DZ418:EC418)</f>
        <v>-60</v>
      </c>
      <c r="EE418" s="503">
        <f>+EE416-ED416</f>
        <v>-11</v>
      </c>
      <c r="EF418" s="503">
        <f>+EF416-EE416</f>
        <v>-1.9167204074492474</v>
      </c>
      <c r="EG418" s="503">
        <f>+EG416-EF416</f>
        <v>-16.658901931446053</v>
      </c>
      <c r="EH418" s="503">
        <f>+EH416-EG416</f>
        <v>-11.040796612928716</v>
      </c>
      <c r="EI418" s="86">
        <f>+SUM(EE418:EH418)</f>
        <v>-40.616418951824016</v>
      </c>
      <c r="EJ418" s="503">
        <f t="shared" ref="EJ418:ES418" si="318">+EJ416-EI416</f>
        <v>69.399165721588361</v>
      </c>
      <c r="EK418" s="503">
        <f t="shared" si="318"/>
        <v>155.04673897960856</v>
      </c>
      <c r="EL418" s="503">
        <f t="shared" si="318"/>
        <v>228.4151536014283</v>
      </c>
      <c r="EM418" s="503">
        <f t="shared" si="318"/>
        <v>285.1711480401982</v>
      </c>
      <c r="EN418" s="503">
        <f t="shared" si="318"/>
        <v>325.5297257213806</v>
      </c>
      <c r="EO418" s="503">
        <f t="shared" si="318"/>
        <v>345.81910519619032</v>
      </c>
      <c r="EP418" s="503">
        <f t="shared" si="318"/>
        <v>349.46959391878636</v>
      </c>
      <c r="EQ418" s="503">
        <f t="shared" si="318"/>
        <v>306.18873556928702</v>
      </c>
      <c r="ER418" s="503">
        <f t="shared" si="318"/>
        <v>251.33230264073154</v>
      </c>
      <c r="ES418" s="503">
        <f t="shared" si="318"/>
        <v>175.74527950060019</v>
      </c>
    </row>
    <row r="419" spans="1:149" hidden="1" outlineLevel="1" x14ac:dyDescent="0.3">
      <c r="A419" s="65" t="s">
        <v>341</v>
      </c>
      <c r="DU419" s="75">
        <f>+DU414/AVERAGE(DT374:DU374)</f>
        <v>1.330447142857143E-2</v>
      </c>
      <c r="DV419" s="75">
        <f>+DV414/AVERAGE(DU374:DV374)</f>
        <v>1.2406178571428573E-2</v>
      </c>
      <c r="DW419" s="75">
        <f>+DW414/AVERAGE(DV374:DW374)</f>
        <v>1.2833435714285704E-2</v>
      </c>
      <c r="DX419" s="75">
        <f>+DX414/AVERAGE(DW374:DX374)</f>
        <v>1.1612557142857149E-2</v>
      </c>
      <c r="DY419" s="84">
        <f>+DY414/AVERAGE(DU374:DX374)</f>
        <v>5.0156642857142858E-2</v>
      </c>
      <c r="DZ419" s="75">
        <f>+DZ414/AVERAGE(DY374:DZ374)</f>
        <v>1.138716047930181E-2</v>
      </c>
      <c r="EA419" s="75">
        <f t="shared" ref="EA419:ES419" si="319">+EA414/AVERAGE(DZ374:EA374)</f>
        <v>9.4185355714657484E-3</v>
      </c>
      <c r="EB419" s="75">
        <f t="shared" si="319"/>
        <v>1.0021217280298048E-2</v>
      </c>
      <c r="EC419" s="75">
        <f t="shared" si="319"/>
        <v>8.2432646114029076E-3</v>
      </c>
      <c r="ED419" s="84">
        <f>+ED414/AVERAGE(DZ374:EC374)</f>
        <v>3.9070177942468517E-2</v>
      </c>
      <c r="EE419" s="75">
        <f>+EE414/AVERAGE(ED374:EE374)</f>
        <v>7.5935272353685104E-3</v>
      </c>
      <c r="EF419" s="75">
        <f t="shared" si="319"/>
        <v>9.24178812720736E-3</v>
      </c>
      <c r="EG419" s="75">
        <f t="shared" si="319"/>
        <v>9.0754581055623364E-3</v>
      </c>
      <c r="EH419" s="75">
        <f t="shared" si="319"/>
        <v>9.7180338448860371E-3</v>
      </c>
      <c r="EI419" s="84">
        <f>+EI414/AVERAGE(EE374:EH374)</f>
        <v>3.5628807313024244E-2</v>
      </c>
      <c r="EJ419" s="75">
        <f t="shared" si="319"/>
        <v>4.5337050344234076E-2</v>
      </c>
      <c r="EK419" s="75">
        <f t="shared" si="319"/>
        <v>5.3583763915662663E-2</v>
      </c>
      <c r="EL419" s="75">
        <f t="shared" si="319"/>
        <v>6.2312399058519791E-2</v>
      </c>
      <c r="EM419" s="75">
        <f t="shared" si="319"/>
        <v>7.0882017287091217E-2</v>
      </c>
      <c r="EN419" s="75">
        <f t="shared" si="319"/>
        <v>7.8975310372805516E-2</v>
      </c>
      <c r="EO419" s="75">
        <f t="shared" si="319"/>
        <v>8.5956174201376925E-2</v>
      </c>
      <c r="EP419" s="75">
        <f t="shared" si="319"/>
        <v>9.1722536658519788E-2</v>
      </c>
      <c r="EQ419" s="75">
        <f t="shared" si="319"/>
        <v>9.3354304515662651E-2</v>
      </c>
      <c r="ER419" s="75">
        <f t="shared" si="319"/>
        <v>9.0143175944234086E-2</v>
      </c>
      <c r="ES419" s="75">
        <f t="shared" si="319"/>
        <v>8.624707998718735E-2</v>
      </c>
    </row>
    <row r="420" spans="1:149" hidden="1" outlineLevel="1" x14ac:dyDescent="0.3">
      <c r="A420" s="65" t="s">
        <v>342</v>
      </c>
      <c r="DU420" s="75">
        <f>+DU415/DU413/-3</f>
        <v>2.5396338837042357E-2</v>
      </c>
      <c r="DV420" s="75">
        <f t="shared" ref="DV420:EC420" si="320">+DV415/DV413/-3</f>
        <v>2.7136050724637654E-2</v>
      </c>
      <c r="DW420" s="75">
        <f t="shared" si="320"/>
        <v>2.8136840162421541E-2</v>
      </c>
      <c r="DX420" s="75">
        <f t="shared" si="320"/>
        <v>2.4006992481203016E-2</v>
      </c>
      <c r="DY420" s="84">
        <f>+IFERROR(DY415/AVERAGE(DU413:DX413)/-12,"")</f>
        <v>2.6177828676133757E-2</v>
      </c>
      <c r="DZ420" s="75">
        <f>+DZ415/DZ413/-3</f>
        <v>2.1844703751453878E-2</v>
      </c>
      <c r="EA420" s="75">
        <f t="shared" si="320"/>
        <v>1.8062070028077474E-2</v>
      </c>
      <c r="EB420" s="75">
        <f t="shared" si="320"/>
        <v>1.9720992065973011E-2</v>
      </c>
      <c r="EC420" s="75">
        <f t="shared" si="320"/>
        <v>1.7785364245649003E-2</v>
      </c>
      <c r="ED420" s="84">
        <f>+IFERROR(ED415/AVERAGE(DZ413:EC413)/-12,"")</f>
        <v>1.9359630376504938E-2</v>
      </c>
      <c r="EE420" s="75">
        <f>+EE415/EE413/-3</f>
        <v>1.5209306533794794E-2</v>
      </c>
      <c r="EF420" s="75">
        <f>+EF415/EF413/-3</f>
        <v>1.7096582576608375E-2</v>
      </c>
      <c r="EG420" s="75">
        <f>+EG415/EG413/-3</f>
        <v>1.8726952917682147E-2</v>
      </c>
      <c r="EH420" s="75">
        <f>+EH415/EH413/-3</f>
        <v>1.9292759831097066E-2</v>
      </c>
      <c r="EI420" s="84">
        <f>+IFERROR(EI415/AVERAGE(EE413:EH413)/-12,"")</f>
        <v>1.7575527999391865E-2</v>
      </c>
      <c r="EJ420" s="75">
        <f>+EJ415/EJ413/-12</f>
        <v>1.8617715489585747E-2</v>
      </c>
      <c r="EK420" s="75">
        <f t="shared" ref="EK420:ES420" si="321">+EK415/EK413/-12</f>
        <v>1.9076143848914363E-2</v>
      </c>
      <c r="EL420" s="75">
        <f t="shared" si="321"/>
        <v>1.9479682153015914E-2</v>
      </c>
      <c r="EM420" s="75">
        <f t="shared" si="321"/>
        <v>1.9754137398225895E-2</v>
      </c>
      <c r="EN420" s="75">
        <f t="shared" si="321"/>
        <v>1.9890487987775995E-2</v>
      </c>
      <c r="EO420" s="75">
        <f t="shared" si="321"/>
        <v>1.9884537538996341E-2</v>
      </c>
      <c r="EP420" s="75">
        <f t="shared" si="321"/>
        <v>1.9769495766258808E-2</v>
      </c>
      <c r="EQ420" s="75">
        <f t="shared" si="321"/>
        <v>1.9443477128486836E-2</v>
      </c>
      <c r="ER420" s="75">
        <f t="shared" si="321"/>
        <v>1.8327514356125618E-2</v>
      </c>
      <c r="ES420" s="75">
        <f t="shared" si="321"/>
        <v>1.7894614196180648E-2</v>
      </c>
    </row>
    <row r="421" spans="1:149" hidden="1" outlineLevel="1" x14ac:dyDescent="0.3">
      <c r="A421" s="65" t="s">
        <v>210</v>
      </c>
      <c r="DU421" s="75">
        <f>+DU416/DU374</f>
        <v>0.19714285714285715</v>
      </c>
      <c r="DV421" s="75">
        <f t="shared" ref="DV421:ED421" si="322">+DV416/DV374</f>
        <v>0.19350000000000001</v>
      </c>
      <c r="DW421" s="75">
        <f t="shared" si="322"/>
        <v>0.19</v>
      </c>
      <c r="DX421" s="75">
        <f t="shared" si="322"/>
        <v>0.18792857142857142</v>
      </c>
      <c r="DY421" s="84">
        <f t="shared" si="322"/>
        <v>0.18792857142857142</v>
      </c>
      <c r="DZ421" s="75">
        <f>+DZ416/DZ374</f>
        <v>0.187</v>
      </c>
      <c r="EA421" s="75">
        <f t="shared" si="322"/>
        <v>0.18628571428571428</v>
      </c>
      <c r="EB421" s="75">
        <f t="shared" si="322"/>
        <v>0.18528571428571428</v>
      </c>
      <c r="EC421" s="75">
        <f t="shared" si="322"/>
        <v>0.18364285714285714</v>
      </c>
      <c r="ED421" s="84">
        <f t="shared" si="322"/>
        <v>0.18364285714285714</v>
      </c>
      <c r="EE421" s="75">
        <f t="shared" ref="EE421:EJ421" si="323">+EE416/EE374</f>
        <v>0.18285714285714286</v>
      </c>
      <c r="EF421" s="75">
        <f t="shared" si="323"/>
        <v>0.18272023425661077</v>
      </c>
      <c r="EG421" s="75">
        <f t="shared" si="323"/>
        <v>0.18153031269007891</v>
      </c>
      <c r="EH421" s="75">
        <f t="shared" si="323"/>
        <v>0.18074168436058399</v>
      </c>
      <c r="EI421" s="84">
        <f t="shared" si="323"/>
        <v>0.18074168436058399</v>
      </c>
      <c r="EJ421" s="75">
        <f t="shared" si="323"/>
        <v>0.18569876762641174</v>
      </c>
      <c r="EK421" s="75">
        <f t="shared" ref="EK421:ES421" si="324">+EK416/EK374</f>
        <v>0.19677353469638378</v>
      </c>
      <c r="EL421" s="75">
        <f t="shared" si="324"/>
        <v>0.2130889028107715</v>
      </c>
      <c r="EM421" s="75">
        <f t="shared" si="324"/>
        <v>0.23345827052792853</v>
      </c>
      <c r="EN421" s="75">
        <f t="shared" si="324"/>
        <v>0.25671039379374144</v>
      </c>
      <c r="EO421" s="75">
        <f t="shared" si="324"/>
        <v>0.28141175845061217</v>
      </c>
      <c r="EP421" s="75">
        <f t="shared" si="324"/>
        <v>0.30637387230195406</v>
      </c>
      <c r="EQ421" s="75">
        <f t="shared" si="324"/>
        <v>0.32824449627118885</v>
      </c>
      <c r="ER421" s="75">
        <f t="shared" si="324"/>
        <v>0.34619680360266963</v>
      </c>
      <c r="ES421" s="75">
        <f t="shared" si="324"/>
        <v>0.35344831315538183</v>
      </c>
    </row>
    <row r="422" spans="1:149" hidden="1" outlineLevel="1" x14ac:dyDescent="0.3">
      <c r="A422" s="66"/>
    </row>
    <row r="423" spans="1:149" hidden="1" outlineLevel="1" x14ac:dyDescent="0.3">
      <c r="A423" s="78" t="s">
        <v>4044</v>
      </c>
    </row>
    <row r="424" spans="1:149" hidden="1" outlineLevel="1" x14ac:dyDescent="0.3">
      <c r="A424" s="63" t="s">
        <v>344</v>
      </c>
      <c r="DU424" s="76">
        <f>+DU427-DU429</f>
        <v>974</v>
      </c>
      <c r="DV424" s="76">
        <f>+DU427</f>
        <v>928</v>
      </c>
      <c r="DW424" s="76">
        <f>+DV427</f>
        <v>877</v>
      </c>
      <c r="DX424" s="76">
        <f>+DW427</f>
        <v>832</v>
      </c>
      <c r="DY424" s="85">
        <f>+DU424</f>
        <v>974</v>
      </c>
      <c r="DZ424" s="76">
        <f>+DY427</f>
        <v>787</v>
      </c>
      <c r="EA424" s="76">
        <f>+DZ427</f>
        <v>743</v>
      </c>
      <c r="EB424" s="76">
        <f>+EA427</f>
        <v>704</v>
      </c>
      <c r="EC424" s="76">
        <f>+EB427</f>
        <v>657</v>
      </c>
      <c r="ED424" s="85">
        <f>+DZ424</f>
        <v>787</v>
      </c>
      <c r="EE424" s="76">
        <f>+ED427</f>
        <v>619</v>
      </c>
      <c r="EF424" s="76">
        <f>+EE427</f>
        <v>582</v>
      </c>
      <c r="EG424" s="76">
        <f>+EF427</f>
        <v>548.35321374210287</v>
      </c>
      <c r="EH424" s="76">
        <f>+EG427</f>
        <v>517.73463824741646</v>
      </c>
      <c r="EI424" s="85">
        <f>+EE424</f>
        <v>619</v>
      </c>
      <c r="EJ424" s="76">
        <f t="shared" ref="EJ424:ES424" si="325">+EI427</f>
        <v>489.87173454725183</v>
      </c>
      <c r="EK424" s="76">
        <f t="shared" si="325"/>
        <v>384.59260890542191</v>
      </c>
      <c r="EL424" s="76">
        <f t="shared" si="325"/>
        <v>317.21396849465077</v>
      </c>
      <c r="EM424" s="76">
        <f t="shared" si="325"/>
        <v>274.09163863175723</v>
      </c>
      <c r="EN424" s="76">
        <f t="shared" si="325"/>
        <v>246.49334751950536</v>
      </c>
      <c r="EO424" s="76">
        <f t="shared" si="325"/>
        <v>228.83044120766414</v>
      </c>
      <c r="EP424" s="76">
        <f t="shared" si="325"/>
        <v>217.52618116808577</v>
      </c>
      <c r="EQ424" s="76">
        <f t="shared" si="325"/>
        <v>210.29145474275563</v>
      </c>
      <c r="ER424" s="76">
        <f t="shared" si="325"/>
        <v>205.66122983054436</v>
      </c>
      <c r="ES424" s="76">
        <f t="shared" si="325"/>
        <v>202.69788588672913</v>
      </c>
    </row>
    <row r="425" spans="1:149" hidden="1" outlineLevel="1" x14ac:dyDescent="0.3">
      <c r="A425" s="63" t="s">
        <v>336</v>
      </c>
      <c r="DU425" s="76">
        <f>+DU427-DU426-DU424</f>
        <v>41.659999999999968</v>
      </c>
      <c r="DV425" s="76">
        <f>+DV427-DV426-DV424</f>
        <v>32.519999999999982</v>
      </c>
      <c r="DW425" s="76">
        <f>+DW427-DW426-DW424</f>
        <v>33.92999999999995</v>
      </c>
      <c r="DX425" s="76">
        <f>+DX427-DX426-DX424</f>
        <v>29.879999999999995</v>
      </c>
      <c r="DY425" s="85">
        <f>+SUM(DU425:DX425)</f>
        <v>137.9899999999999</v>
      </c>
      <c r="DZ425" s="76">
        <f>+DZ427-DZ426-DZ424</f>
        <v>26.830000000000041</v>
      </c>
      <c r="EA425" s="76">
        <f>+EA427-EA426-EA424</f>
        <v>27.870000000000005</v>
      </c>
      <c r="EB425" s="76">
        <f>+EB427-EB426-EB424</f>
        <v>16.360000000000014</v>
      </c>
      <c r="EC425" s="76">
        <f>+EC427-EC426-EC424</f>
        <v>21.129999999999995</v>
      </c>
      <c r="ED425" s="85">
        <f>+SUM(DZ425:EC425)</f>
        <v>92.190000000000055</v>
      </c>
      <c r="EE425" s="76">
        <f>+EE427-EE426-EE424</f>
        <v>18.710000000000036</v>
      </c>
      <c r="EF425" s="76">
        <f>+EF430*AVERAGE(EE371:EF371)</f>
        <v>18.733213742102912</v>
      </c>
      <c r="EG425" s="76">
        <f>+EG430*AVERAGE(EF371:EG371)</f>
        <v>18.733213742102912</v>
      </c>
      <c r="EH425" s="76">
        <f>+EH430*AVERAGE(EG371:EH371)</f>
        <v>18.733213742102912</v>
      </c>
      <c r="EI425" s="85">
        <f>+SUM(EE425:EH425)</f>
        <v>74.909641226308764</v>
      </c>
      <c r="EJ425" s="76">
        <f t="shared" ref="EJ425:ES425" si="326">+EJ430*AVERAGE(EI371:EJ371)</f>
        <v>71.074698795180723</v>
      </c>
      <c r="EK425" s="76">
        <f t="shared" si="326"/>
        <v>71.074698795180723</v>
      </c>
      <c r="EL425" s="76">
        <f t="shared" si="326"/>
        <v>71.074698795180723</v>
      </c>
      <c r="EM425" s="76">
        <f t="shared" si="326"/>
        <v>71.074698795180723</v>
      </c>
      <c r="EN425" s="76">
        <f t="shared" si="326"/>
        <v>71.074698795180723</v>
      </c>
      <c r="EO425" s="76">
        <f t="shared" si="326"/>
        <v>71.074698795180723</v>
      </c>
      <c r="EP425" s="76">
        <f t="shared" si="326"/>
        <v>71.074698795180723</v>
      </c>
      <c r="EQ425" s="76">
        <f t="shared" si="326"/>
        <v>71.074698795180723</v>
      </c>
      <c r="ER425" s="76">
        <f t="shared" si="326"/>
        <v>71.074698795180723</v>
      </c>
      <c r="ES425" s="76">
        <f t="shared" si="326"/>
        <v>71.074698795180723</v>
      </c>
    </row>
    <row r="426" spans="1:149" hidden="1" outlineLevel="1" x14ac:dyDescent="0.3">
      <c r="A426" s="63" t="s">
        <v>337</v>
      </c>
      <c r="DU426" s="104">
        <f>+DU431*DU424*-3</f>
        <v>-87.66</v>
      </c>
      <c r="DV426" s="104">
        <f>+DV431*DV424*-3</f>
        <v>-83.52</v>
      </c>
      <c r="DW426" s="104">
        <f>+DW431*DW424*-3</f>
        <v>-78.929999999999993</v>
      </c>
      <c r="DX426" s="104">
        <f>+DX431*DX424*-3</f>
        <v>-74.88</v>
      </c>
      <c r="DY426" s="100">
        <f>+SUM(DU426:DX426)</f>
        <v>-324.99</v>
      </c>
      <c r="DZ426" s="104">
        <f>+DZ431*DZ424*-3</f>
        <v>-70.83</v>
      </c>
      <c r="EA426" s="104">
        <f>+EA431*EA424*-3</f>
        <v>-66.87</v>
      </c>
      <c r="EB426" s="104">
        <f>+EB431*EB424*-3</f>
        <v>-63.359999999999992</v>
      </c>
      <c r="EC426" s="104">
        <f>+EC431*EC424*-3</f>
        <v>-59.13</v>
      </c>
      <c r="ED426" s="85">
        <f>+SUM(DZ426:EC426)</f>
        <v>-260.19</v>
      </c>
      <c r="EE426" s="104">
        <f>+EE431*EE424*-3</f>
        <v>-55.71</v>
      </c>
      <c r="EF426" s="104">
        <f>+EF431*EF424*-3</f>
        <v>-52.38</v>
      </c>
      <c r="EG426" s="104">
        <f>+EG431*EG424*-3</f>
        <v>-49.351789236789259</v>
      </c>
      <c r="EH426" s="104">
        <f>+EH431*EH424*-3</f>
        <v>-46.596117442267477</v>
      </c>
      <c r="EI426" s="85">
        <f>+SUM(EE426:EH426)</f>
        <v>-204.03790667905673</v>
      </c>
      <c r="EJ426" s="104">
        <f>+EJ431*EJ424*-12</f>
        <v>-176.35382443701064</v>
      </c>
      <c r="EK426" s="104">
        <f t="shared" ref="EK426:ES426" si="327">+EK431*EK424*-12</f>
        <v>-138.45333920595186</v>
      </c>
      <c r="EL426" s="104">
        <f t="shared" si="327"/>
        <v>-114.19702865807426</v>
      </c>
      <c r="EM426" s="104">
        <f t="shared" si="327"/>
        <v>-98.672989907432594</v>
      </c>
      <c r="EN426" s="104">
        <f t="shared" si="327"/>
        <v>-88.737605107021921</v>
      </c>
      <c r="EO426" s="104">
        <f t="shared" si="327"/>
        <v>-82.378958834759075</v>
      </c>
      <c r="EP426" s="104">
        <f t="shared" si="327"/>
        <v>-78.30942522051086</v>
      </c>
      <c r="EQ426" s="104">
        <f t="shared" si="327"/>
        <v>-75.704923707392012</v>
      </c>
      <c r="ER426" s="104">
        <f t="shared" si="327"/>
        <v>-74.038042738995955</v>
      </c>
      <c r="ES426" s="104">
        <f t="shared" si="327"/>
        <v>-72.971238919222486</v>
      </c>
    </row>
    <row r="427" spans="1:149" hidden="1" outlineLevel="1" x14ac:dyDescent="0.3">
      <c r="A427" s="64" t="s">
        <v>4000</v>
      </c>
      <c r="DU427" s="471">
        <f>+Inputs!DU595+Inputs!DU599</f>
        <v>928</v>
      </c>
      <c r="DV427" s="471">
        <f>+Inputs!DV595+Inputs!DV599</f>
        <v>877</v>
      </c>
      <c r="DW427" s="471">
        <f>+Inputs!DW595+Inputs!DW599</f>
        <v>832</v>
      </c>
      <c r="DX427" s="471">
        <f>+Inputs!DX595+Inputs!DX599</f>
        <v>787</v>
      </c>
      <c r="DY427" s="85">
        <f>+DX427</f>
        <v>787</v>
      </c>
      <c r="DZ427" s="471">
        <f>+Inputs!DZ595+Inputs!DZ599</f>
        <v>743</v>
      </c>
      <c r="EA427" s="471">
        <f>+Inputs!EA595+Inputs!EA599</f>
        <v>704</v>
      </c>
      <c r="EB427" s="471">
        <f>+Inputs!EB595+Inputs!EB599</f>
        <v>657</v>
      </c>
      <c r="EC427" s="471">
        <f>+Inputs!EC595+Inputs!EC599</f>
        <v>619</v>
      </c>
      <c r="ED427" s="803">
        <f>+EC427</f>
        <v>619</v>
      </c>
      <c r="EE427" s="471">
        <f>+Inputs!EE595+Inputs!EE599</f>
        <v>582</v>
      </c>
      <c r="EF427" s="76">
        <f>+SUM(EF424:EF426)</f>
        <v>548.35321374210287</v>
      </c>
      <c r="EG427" s="76">
        <f>+SUM(EG424:EG426)</f>
        <v>517.73463824741646</v>
      </c>
      <c r="EH427" s="76">
        <f>+SUM(EH424:EH426)</f>
        <v>489.87173454725183</v>
      </c>
      <c r="EI427" s="803">
        <f>+EH427</f>
        <v>489.87173454725183</v>
      </c>
      <c r="EJ427" s="76">
        <f t="shared" ref="EJ427:ES427" si="328">+SUM(EJ424:EJ426)</f>
        <v>384.59260890542191</v>
      </c>
      <c r="EK427" s="76">
        <f t="shared" si="328"/>
        <v>317.21396849465077</v>
      </c>
      <c r="EL427" s="76">
        <f t="shared" si="328"/>
        <v>274.09163863175723</v>
      </c>
      <c r="EM427" s="76">
        <f t="shared" si="328"/>
        <v>246.49334751950536</v>
      </c>
      <c r="EN427" s="76">
        <f t="shared" si="328"/>
        <v>228.83044120766414</v>
      </c>
      <c r="EO427" s="76">
        <f t="shared" si="328"/>
        <v>217.52618116808577</v>
      </c>
      <c r="EP427" s="76">
        <f t="shared" si="328"/>
        <v>210.29145474275563</v>
      </c>
      <c r="EQ427" s="76">
        <f t="shared" si="328"/>
        <v>205.66122983054436</v>
      </c>
      <c r="ER427" s="76">
        <f t="shared" si="328"/>
        <v>202.69788588672913</v>
      </c>
      <c r="ES427" s="76">
        <f t="shared" si="328"/>
        <v>200.80134576268736</v>
      </c>
    </row>
    <row r="428" spans="1:149" hidden="1" outlineLevel="1" x14ac:dyDescent="0.3">
      <c r="A428" s="61" t="s">
        <v>339</v>
      </c>
      <c r="DZ428" s="75">
        <f t="shared" ref="DZ428:EI428" si="329">+IFERROR(DZ427/DU427-1,"")</f>
        <v>-0.1993534482758621</v>
      </c>
      <c r="EA428" s="75">
        <f t="shared" si="329"/>
        <v>-0.19726339794754844</v>
      </c>
      <c r="EB428" s="75">
        <f t="shared" si="329"/>
        <v>-0.21033653846153844</v>
      </c>
      <c r="EC428" s="75">
        <f t="shared" si="329"/>
        <v>-0.21346886912325291</v>
      </c>
      <c r="ED428" s="84">
        <f t="shared" si="329"/>
        <v>-0.21346886912325291</v>
      </c>
      <c r="EE428" s="75">
        <f t="shared" si="329"/>
        <v>-0.21668909825033644</v>
      </c>
      <c r="EF428" s="75">
        <f t="shared" si="329"/>
        <v>-0.22108918502542207</v>
      </c>
      <c r="EG428" s="75">
        <f t="shared" si="329"/>
        <v>-0.2119716312824711</v>
      </c>
      <c r="EH428" s="75">
        <f t="shared" si="329"/>
        <v>-0.20860786018214561</v>
      </c>
      <c r="EI428" s="84">
        <f t="shared" si="329"/>
        <v>-0.20860786018214561</v>
      </c>
      <c r="EJ428" s="75">
        <f t="shared" ref="EJ428:ES428" si="330">+IFERROR(EJ427/EI427-1,"")</f>
        <v>-0.21491161505599166</v>
      </c>
      <c r="EK428" s="75">
        <f t="shared" si="330"/>
        <v>-0.17519483955382187</v>
      </c>
      <c r="EL428" s="75">
        <f t="shared" si="330"/>
        <v>-0.13594082904839266</v>
      </c>
      <c r="EM428" s="75">
        <f t="shared" si="330"/>
        <v>-0.10069001466086402</v>
      </c>
      <c r="EN428" s="75">
        <f t="shared" si="330"/>
        <v>-7.1656726193973785E-2</v>
      </c>
      <c r="EO428" s="75">
        <f t="shared" si="330"/>
        <v>-4.9400158387667203E-2</v>
      </c>
      <c r="EP428" s="75">
        <f t="shared" si="330"/>
        <v>-3.3259106496885349E-2</v>
      </c>
      <c r="EQ428" s="75">
        <f t="shared" si="330"/>
        <v>-2.2018131539749519E-2</v>
      </c>
      <c r="ER428" s="75">
        <f t="shared" si="330"/>
        <v>-1.4408860368368415E-2</v>
      </c>
      <c r="ES428" s="75">
        <f t="shared" si="330"/>
        <v>-9.3564869497533287E-3</v>
      </c>
    </row>
    <row r="429" spans="1:149" hidden="1" outlineLevel="1" x14ac:dyDescent="0.3">
      <c r="A429" s="65" t="s">
        <v>340</v>
      </c>
      <c r="DU429" s="80">
        <f>+Inputs!DU592</f>
        <v>-46</v>
      </c>
      <c r="DV429" s="77">
        <f>+DV427-DU427</f>
        <v>-51</v>
      </c>
      <c r="DW429" s="77">
        <f t="shared" ref="DW429:ES429" si="331">+DW427-DV427</f>
        <v>-45</v>
      </c>
      <c r="DX429" s="77">
        <f t="shared" si="331"/>
        <v>-45</v>
      </c>
      <c r="DY429" s="86">
        <f>+SUM(DU429:DX429)</f>
        <v>-187</v>
      </c>
      <c r="DZ429" s="77">
        <f t="shared" si="331"/>
        <v>-44</v>
      </c>
      <c r="EA429" s="77">
        <f t="shared" si="331"/>
        <v>-39</v>
      </c>
      <c r="EB429" s="77">
        <f t="shared" si="331"/>
        <v>-47</v>
      </c>
      <c r="EC429" s="77">
        <f t="shared" si="331"/>
        <v>-38</v>
      </c>
      <c r="ED429" s="86">
        <f>+SUM(DZ429:EC429)</f>
        <v>-168</v>
      </c>
      <c r="EE429" s="77">
        <f t="shared" si="331"/>
        <v>-37</v>
      </c>
      <c r="EF429" s="77">
        <f t="shared" si="331"/>
        <v>-33.646786257897134</v>
      </c>
      <c r="EG429" s="77">
        <f t="shared" si="331"/>
        <v>-30.618575494686411</v>
      </c>
      <c r="EH429" s="77">
        <f t="shared" si="331"/>
        <v>-27.862903700164622</v>
      </c>
      <c r="EI429" s="86">
        <f>+SUM(EE429:EH429)</f>
        <v>-129.12826545274817</v>
      </c>
      <c r="EJ429" s="77">
        <f t="shared" si="331"/>
        <v>-105.27912564182992</v>
      </c>
      <c r="EK429" s="77">
        <f t="shared" si="331"/>
        <v>-67.378640410771141</v>
      </c>
      <c r="EL429" s="77">
        <f t="shared" si="331"/>
        <v>-43.122329862893537</v>
      </c>
      <c r="EM429" s="77">
        <f t="shared" si="331"/>
        <v>-27.598291112251871</v>
      </c>
      <c r="EN429" s="77">
        <f t="shared" si="331"/>
        <v>-17.662906311841226</v>
      </c>
      <c r="EO429" s="77">
        <f t="shared" si="331"/>
        <v>-11.304260039578367</v>
      </c>
      <c r="EP429" s="77">
        <f t="shared" si="331"/>
        <v>-7.2347264253301375</v>
      </c>
      <c r="EQ429" s="77">
        <f t="shared" si="331"/>
        <v>-4.6302249122112755</v>
      </c>
      <c r="ER429" s="77">
        <f t="shared" si="331"/>
        <v>-2.9633439438152323</v>
      </c>
      <c r="ES429" s="77">
        <f t="shared" si="331"/>
        <v>-1.8965401240417634</v>
      </c>
    </row>
    <row r="430" spans="1:149" hidden="1" outlineLevel="1" x14ac:dyDescent="0.3">
      <c r="A430" s="65" t="s">
        <v>4001</v>
      </c>
      <c r="DZ430" s="75">
        <f>+DZ425/AVERAGE(DY371:DZ371)</f>
        <v>9.1445583333333476E-3</v>
      </c>
      <c r="EA430" s="75">
        <f>+EA425/AVERAGE(DZ371:EA371)</f>
        <v>9.4945684051383032E-3</v>
      </c>
      <c r="EB430" s="75">
        <f>+EB425/AVERAGE(EA371:EB371)</f>
        <v>5.5614652723546031E-3</v>
      </c>
      <c r="EC430" s="75">
        <f>+EC425/AVERAGE(EB371:EC371)</f>
        <v>7.1618521727380381E-3</v>
      </c>
      <c r="ED430" s="84">
        <f>+ED425/AVERAGE(DZ371:EC371)</f>
        <v>3.1326686681062234E-2</v>
      </c>
      <c r="EE430" s="75">
        <f>+EE425/AVERAGE(ED371:EE371)</f>
        <v>6.3256987005473617E-3</v>
      </c>
      <c r="EF430" s="87">
        <f t="shared" ref="EF430:EH431" si="332">+EE430</f>
        <v>6.3256987005473617E-3</v>
      </c>
      <c r="EG430" s="87">
        <f t="shared" si="332"/>
        <v>6.3256987005473617E-3</v>
      </c>
      <c r="EH430" s="87">
        <f t="shared" si="332"/>
        <v>6.3256987005473617E-3</v>
      </c>
      <c r="EI430" s="84">
        <f>+EI425/AVERAGE(EE371:EH371)</f>
        <v>2.5294956150462275E-2</v>
      </c>
      <c r="EJ430" s="376">
        <v>2.4E-2</v>
      </c>
      <c r="EK430" s="376">
        <f t="shared" ref="EK430:ES430" si="333">+EJ430</f>
        <v>2.4E-2</v>
      </c>
      <c r="EL430" s="376">
        <f t="shared" si="333"/>
        <v>2.4E-2</v>
      </c>
      <c r="EM430" s="376">
        <f t="shared" si="333"/>
        <v>2.4E-2</v>
      </c>
      <c r="EN430" s="376">
        <f t="shared" si="333"/>
        <v>2.4E-2</v>
      </c>
      <c r="EO430" s="376">
        <f t="shared" si="333"/>
        <v>2.4E-2</v>
      </c>
      <c r="EP430" s="376">
        <f t="shared" si="333"/>
        <v>2.4E-2</v>
      </c>
      <c r="EQ430" s="376">
        <f t="shared" si="333"/>
        <v>2.4E-2</v>
      </c>
      <c r="ER430" s="376">
        <f t="shared" si="333"/>
        <v>2.4E-2</v>
      </c>
      <c r="ES430" s="376">
        <f t="shared" si="333"/>
        <v>2.4E-2</v>
      </c>
    </row>
    <row r="431" spans="1:149" hidden="1" outlineLevel="1" x14ac:dyDescent="0.3">
      <c r="A431" s="65" t="s">
        <v>342</v>
      </c>
      <c r="DU431" s="376">
        <v>0.03</v>
      </c>
      <c r="DV431" s="376">
        <f>+DU431</f>
        <v>0.03</v>
      </c>
      <c r="DW431" s="376">
        <f>+DV431</f>
        <v>0.03</v>
      </c>
      <c r="DX431" s="376">
        <f>+DW431</f>
        <v>0.03</v>
      </c>
      <c r="DY431" s="91">
        <f>+DY426/AVERAGE(DU424:DX424)/-12</f>
        <v>0.03</v>
      </c>
      <c r="DZ431" s="376">
        <f>+DY431</f>
        <v>0.03</v>
      </c>
      <c r="EA431" s="376">
        <f>+DZ431</f>
        <v>0.03</v>
      </c>
      <c r="EB431" s="376">
        <f>+EA431</f>
        <v>0.03</v>
      </c>
      <c r="EC431" s="376">
        <f>+EB431</f>
        <v>0.03</v>
      </c>
      <c r="ED431" s="91">
        <f>+ED426/AVERAGE(DZ424:EC424)/-12</f>
        <v>0.03</v>
      </c>
      <c r="EE431" s="376">
        <f>+ED431</f>
        <v>0.03</v>
      </c>
      <c r="EF431" s="376">
        <f t="shared" si="332"/>
        <v>0.03</v>
      </c>
      <c r="EG431" s="376">
        <f t="shared" si="332"/>
        <v>0.03</v>
      </c>
      <c r="EH431" s="376">
        <f t="shared" si="332"/>
        <v>0.03</v>
      </c>
      <c r="EI431" s="91">
        <f>+EI426/AVERAGE(EE424:EH424)/-12</f>
        <v>2.9999999999999995E-2</v>
      </c>
      <c r="EJ431" s="376">
        <f>+EI431</f>
        <v>2.9999999999999995E-2</v>
      </c>
      <c r="EK431" s="376">
        <f t="shared" ref="EK431:ES431" si="334">+EJ431</f>
        <v>2.9999999999999995E-2</v>
      </c>
      <c r="EL431" s="376">
        <f t="shared" si="334"/>
        <v>2.9999999999999995E-2</v>
      </c>
      <c r="EM431" s="376">
        <f t="shared" si="334"/>
        <v>2.9999999999999995E-2</v>
      </c>
      <c r="EN431" s="376">
        <f t="shared" si="334"/>
        <v>2.9999999999999995E-2</v>
      </c>
      <c r="EO431" s="376">
        <f t="shared" si="334"/>
        <v>2.9999999999999995E-2</v>
      </c>
      <c r="EP431" s="376">
        <f t="shared" si="334"/>
        <v>2.9999999999999995E-2</v>
      </c>
      <c r="EQ431" s="376">
        <f t="shared" si="334"/>
        <v>2.9999999999999995E-2</v>
      </c>
      <c r="ER431" s="376">
        <f t="shared" si="334"/>
        <v>2.9999999999999995E-2</v>
      </c>
      <c r="ES431" s="376">
        <f t="shared" si="334"/>
        <v>2.9999999999999995E-2</v>
      </c>
    </row>
    <row r="432" spans="1:149" hidden="1" outlineLevel="1" x14ac:dyDescent="0.3">
      <c r="A432" s="65" t="s">
        <v>4002</v>
      </c>
      <c r="DU432" s="75">
        <f t="shared" ref="DU432:EI432" si="335">+DU427/DU371</f>
        <v>0.31629333333333332</v>
      </c>
      <c r="DV432" s="75">
        <f t="shared" si="335"/>
        <v>0.29891083333333329</v>
      </c>
      <c r="DW432" s="75">
        <f t="shared" si="335"/>
        <v>0.28357333333333329</v>
      </c>
      <c r="DX432" s="75">
        <f t="shared" si="335"/>
        <v>0.26823583333333334</v>
      </c>
      <c r="DY432" s="84">
        <f t="shared" si="335"/>
        <v>0.26823583333333334</v>
      </c>
      <c r="DZ432" s="75">
        <f t="shared" si="335"/>
        <v>0.25323916666666663</v>
      </c>
      <c r="EA432" s="75">
        <f t="shared" si="335"/>
        <v>0.23972162386081192</v>
      </c>
      <c r="EB432" s="75">
        <f t="shared" si="335"/>
        <v>0.22296869851729817</v>
      </c>
      <c r="EC432" s="75">
        <f t="shared" si="335"/>
        <v>0.20953883892068684</v>
      </c>
      <c r="ED432" s="84">
        <f t="shared" si="335"/>
        <v>0.20953883892068684</v>
      </c>
      <c r="EE432" s="75">
        <f t="shared" si="335"/>
        <v>0.19652563059397882</v>
      </c>
      <c r="EF432" s="75">
        <f t="shared" si="335"/>
        <v>0.18516402254106809</v>
      </c>
      <c r="EG432" s="75">
        <f t="shared" si="335"/>
        <v>0.1748249592129193</v>
      </c>
      <c r="EH432" s="75">
        <f t="shared" si="335"/>
        <v>0.1654164115843039</v>
      </c>
      <c r="EI432" s="84">
        <f t="shared" si="335"/>
        <v>0.1654164115843039</v>
      </c>
      <c r="EJ432" s="75">
        <f t="shared" ref="EJ432:ES432" si="336">+EJ427/EJ371</f>
        <v>0.1298665034139545</v>
      </c>
      <c r="EK432" s="75">
        <f t="shared" si="336"/>
        <v>0.10711456218493089</v>
      </c>
      <c r="EL432" s="75">
        <f t="shared" si="336"/>
        <v>9.2553319798355779E-2</v>
      </c>
      <c r="EM432" s="75">
        <f t="shared" si="336"/>
        <v>8.3234124670947693E-2</v>
      </c>
      <c r="EN432" s="75">
        <f t="shared" si="336"/>
        <v>7.7269839789406519E-2</v>
      </c>
      <c r="EO432" s="75">
        <f t="shared" si="336"/>
        <v>7.3452697465220165E-2</v>
      </c>
      <c r="EP432" s="75">
        <f t="shared" si="336"/>
        <v>7.1009726377740917E-2</v>
      </c>
      <c r="EQ432" s="75">
        <f t="shared" si="336"/>
        <v>6.9446224881754198E-2</v>
      </c>
      <c r="ER432" s="75">
        <f t="shared" si="336"/>
        <v>6.8445583924322692E-2</v>
      </c>
      <c r="ES432" s="75">
        <f t="shared" si="336"/>
        <v>6.780517371156651E-2</v>
      </c>
    </row>
    <row r="433" spans="1:154" hidden="1" outlineLevel="1" x14ac:dyDescent="0.3">
      <c r="A433" s="65" t="s">
        <v>4003</v>
      </c>
      <c r="DU433" s="75">
        <f t="shared" ref="DU433:EI433" si="337">+DU427/DU385</f>
        <v>0.77656903765690377</v>
      </c>
      <c r="DV433" s="75">
        <f t="shared" si="337"/>
        <v>0.739460370994941</v>
      </c>
      <c r="DW433" s="75">
        <f t="shared" si="337"/>
        <v>0.70151770657672852</v>
      </c>
      <c r="DX433" s="75">
        <f t="shared" si="337"/>
        <v>0.66134453781512603</v>
      </c>
      <c r="DY433" s="84">
        <f t="shared" si="337"/>
        <v>0.66134453781512603</v>
      </c>
      <c r="DZ433" s="75">
        <f t="shared" si="337"/>
        <v>0.61944217437794513</v>
      </c>
      <c r="EA433" s="75">
        <f t="shared" si="337"/>
        <v>0.58375186688945602</v>
      </c>
      <c r="EB433" s="75">
        <f t="shared" si="337"/>
        <v>0.54187437782555914</v>
      </c>
      <c r="EC433" s="75">
        <f t="shared" si="337"/>
        <v>0.5082519090237293</v>
      </c>
      <c r="ED433" s="84">
        <f t="shared" si="337"/>
        <v>0.5082519090237293</v>
      </c>
      <c r="EE433" s="75">
        <f t="shared" si="337"/>
        <v>0.47359427129953613</v>
      </c>
      <c r="EF433" s="75">
        <f t="shared" si="337"/>
        <v>0.44361886958839764</v>
      </c>
      <c r="EG433" s="75">
        <f t="shared" si="337"/>
        <v>0.41778069574216009</v>
      </c>
      <c r="EH433" s="75">
        <f t="shared" si="337"/>
        <v>0.39467595206776085</v>
      </c>
      <c r="EI433" s="84">
        <f t="shared" si="337"/>
        <v>0.39467595206776085</v>
      </c>
      <c r="EJ433" s="75">
        <f t="shared" ref="EJ433:ES433" si="338">+EJ427/EJ385</f>
        <v>0.30476569115009072</v>
      </c>
      <c r="EK433" s="75">
        <f t="shared" si="338"/>
        <v>0.24812793654462845</v>
      </c>
      <c r="EL433" s="75">
        <f t="shared" si="338"/>
        <v>0.21221696458798497</v>
      </c>
      <c r="EM433" s="75">
        <f t="shared" si="338"/>
        <v>0.18931637476943308</v>
      </c>
      <c r="EN433" s="75">
        <f t="shared" si="338"/>
        <v>0.17463438162818171</v>
      </c>
      <c r="EO433" s="75">
        <f t="shared" si="338"/>
        <v>0.16517239649388948</v>
      </c>
      <c r="EP433" s="75">
        <f t="shared" si="338"/>
        <v>0.15904212327888859</v>
      </c>
      <c r="EQ433" s="75">
        <f t="shared" si="338"/>
        <v>0.1550481304026077</v>
      </c>
      <c r="ER433" s="75">
        <f t="shared" si="338"/>
        <v>0.15243012028224481</v>
      </c>
      <c r="ES433" s="75">
        <f t="shared" si="338"/>
        <v>0.15070251398759868</v>
      </c>
    </row>
    <row r="434" spans="1:154" hidden="1" outlineLevel="1" x14ac:dyDescent="0.3">
      <c r="A434" s="65" t="s">
        <v>4045</v>
      </c>
      <c r="DU434" s="77">
        <f>+Inputs!DU595</f>
        <v>749</v>
      </c>
      <c r="DV434" s="77">
        <f>+Inputs!DV595</f>
        <v>705</v>
      </c>
      <c r="DW434" s="77">
        <f>+Inputs!DW595</f>
        <v>669</v>
      </c>
      <c r="DX434" s="77">
        <f>+Inputs!DX595</f>
        <v>631</v>
      </c>
      <c r="DY434" s="86">
        <f>+DX434</f>
        <v>631</v>
      </c>
      <c r="DZ434" s="77">
        <f>+Inputs!DZ595</f>
        <v>594</v>
      </c>
      <c r="EA434" s="77">
        <f>+Inputs!EA595</f>
        <v>560</v>
      </c>
      <c r="EB434" s="77">
        <f>+Inputs!EB595</f>
        <v>518</v>
      </c>
      <c r="EC434" s="77">
        <f>+Inputs!EC595</f>
        <v>485</v>
      </c>
      <c r="ED434" s="86">
        <f>+EC434</f>
        <v>485</v>
      </c>
      <c r="EE434" s="77">
        <f>+Inputs!EE595</f>
        <v>453</v>
      </c>
      <c r="EF434" s="77">
        <f>+EF435*EF427</f>
        <v>424.67172581561306</v>
      </c>
      <c r="EG434" s="77">
        <f>+EG435*EG427</f>
        <v>397.4195233056538</v>
      </c>
      <c r="EH434" s="77">
        <f>+EH435*EH427</f>
        <v>373.68963948899216</v>
      </c>
      <c r="EI434" s="86">
        <f>+EH434</f>
        <v>373.68963948899216</v>
      </c>
      <c r="EJ434" s="77">
        <f t="shared" ref="EJ434:ES434" si="339">+EJ435*EJ427</f>
        <v>290.44560158135437</v>
      </c>
      <c r="EK434" s="77">
        <f t="shared" si="339"/>
        <v>237.16542070306377</v>
      </c>
      <c r="EL434" s="77">
        <f t="shared" si="339"/>
        <v>202.87570722316767</v>
      </c>
      <c r="EM434" s="77">
        <f t="shared" si="339"/>
        <v>180.62366779564843</v>
      </c>
      <c r="EN434" s="77">
        <f t="shared" si="339"/>
        <v>166.00395941738176</v>
      </c>
      <c r="EO434" s="77">
        <f t="shared" si="339"/>
        <v>156.22530415389139</v>
      </c>
      <c r="EP434" s="77">
        <f t="shared" si="339"/>
        <v>149.51909622427354</v>
      </c>
      <c r="EQ434" s="77">
        <f t="shared" si="339"/>
        <v>144.76469544494398</v>
      </c>
      <c r="ER434" s="77">
        <f t="shared" si="339"/>
        <v>141.25201315038834</v>
      </c>
      <c r="ES434" s="77">
        <f t="shared" si="339"/>
        <v>138.53108662739314</v>
      </c>
      <c r="ET434" s="76"/>
      <c r="EU434" s="76"/>
      <c r="EV434" s="76"/>
      <c r="EW434" s="76"/>
      <c r="EX434" s="76"/>
    </row>
    <row r="435" spans="1:154" hidden="1" outlineLevel="1" x14ac:dyDescent="0.3">
      <c r="A435" s="65" t="s">
        <v>4046</v>
      </c>
      <c r="DU435" s="75">
        <f t="shared" ref="DU435:EE435" si="340">+DU434/DU427</f>
        <v>0.80711206896551724</v>
      </c>
      <c r="DV435" s="75">
        <f t="shared" si="340"/>
        <v>0.80387685290763966</v>
      </c>
      <c r="DW435" s="75">
        <f t="shared" si="340"/>
        <v>0.80408653846153844</v>
      </c>
      <c r="DX435" s="75">
        <f t="shared" si="340"/>
        <v>0.80177890724269374</v>
      </c>
      <c r="DY435" s="84">
        <f t="shared" si="340"/>
        <v>0.80177890724269374</v>
      </c>
      <c r="DZ435" s="75">
        <f t="shared" si="340"/>
        <v>0.7994616419919246</v>
      </c>
      <c r="EA435" s="75">
        <f t="shared" si="340"/>
        <v>0.79545454545454541</v>
      </c>
      <c r="EB435" s="75">
        <f t="shared" si="340"/>
        <v>0.78843226788432264</v>
      </c>
      <c r="EC435" s="75">
        <f t="shared" si="340"/>
        <v>0.78352180936995153</v>
      </c>
      <c r="ED435" s="84">
        <f t="shared" si="340"/>
        <v>0.78352180936995153</v>
      </c>
      <c r="EE435" s="75">
        <f t="shared" si="340"/>
        <v>0.77835051546391754</v>
      </c>
      <c r="EF435" s="87">
        <f>+EE435/DZ435*EA435</f>
        <v>0.77444923303639335</v>
      </c>
      <c r="EG435" s="87">
        <f>+EF435/EA435*EB435</f>
        <v>0.76761239049208418</v>
      </c>
      <c r="EH435" s="87">
        <f>+EG435/EB435*EC435</f>
        <v>0.76283160087683521</v>
      </c>
      <c r="EI435" s="84">
        <f>+EI434/EI427</f>
        <v>0.76283160087683521</v>
      </c>
      <c r="EJ435" s="87">
        <f>+EI435*0.99</f>
        <v>0.75520328486806687</v>
      </c>
      <c r="EK435" s="87">
        <f>+EJ435/EI435*EJ435</f>
        <v>0.7476512520193862</v>
      </c>
      <c r="EL435" s="87">
        <f t="shared" ref="EL435:ES435" si="341">+EK435/EJ435*EK435</f>
        <v>0.74017473949919232</v>
      </c>
      <c r="EM435" s="87">
        <f t="shared" si="341"/>
        <v>0.73277299210420044</v>
      </c>
      <c r="EN435" s="87">
        <f t="shared" si="341"/>
        <v>0.72544526218315852</v>
      </c>
      <c r="EO435" s="87">
        <f t="shared" si="341"/>
        <v>0.71819080956132697</v>
      </c>
      <c r="EP435" s="87">
        <f t="shared" si="341"/>
        <v>0.71100890146571372</v>
      </c>
      <c r="EQ435" s="87">
        <f t="shared" si="341"/>
        <v>0.70389881245105657</v>
      </c>
      <c r="ER435" s="87">
        <f t="shared" si="341"/>
        <v>0.69685982432654603</v>
      </c>
      <c r="ES435" s="87">
        <f t="shared" si="341"/>
        <v>0.68989122608328057</v>
      </c>
      <c r="ET435" s="76"/>
      <c r="EU435" s="76"/>
      <c r="EV435" s="76"/>
      <c r="EW435" s="76"/>
      <c r="EX435" s="76"/>
    </row>
    <row r="436" spans="1:154" hidden="1" outlineLevel="1" x14ac:dyDescent="0.3">
      <c r="A436" s="66"/>
      <c r="ET436" s="76"/>
      <c r="EU436" s="76"/>
      <c r="EV436" s="76"/>
      <c r="EW436" s="76"/>
      <c r="EX436" s="76"/>
    </row>
    <row r="437" spans="1:154" hidden="1" outlineLevel="1" x14ac:dyDescent="0.3">
      <c r="A437" s="60" t="s">
        <v>4047</v>
      </c>
      <c r="DU437" s="381">
        <f>+DU446-DU416</f>
        <v>881</v>
      </c>
      <c r="DV437" s="381">
        <f>+DV446-DV416</f>
        <v>845</v>
      </c>
      <c r="DW437" s="381">
        <f>+DW446-DW416</f>
        <v>810</v>
      </c>
      <c r="DX437" s="381">
        <f>+DX446-DX416</f>
        <v>781</v>
      </c>
      <c r="DY437" s="381">
        <f>+DX437</f>
        <v>781</v>
      </c>
      <c r="DZ437" s="381">
        <f>+DZ446-DZ416</f>
        <v>755</v>
      </c>
      <c r="EA437" s="381">
        <f>+EA446-EA416</f>
        <v>733</v>
      </c>
      <c r="EB437" s="381">
        <f>+EB446-EB416</f>
        <v>711</v>
      </c>
      <c r="EC437" s="381">
        <f>+EC446-EC416</f>
        <v>693</v>
      </c>
      <c r="ED437" s="381">
        <f>+EC437</f>
        <v>693</v>
      </c>
      <c r="EE437" s="381">
        <f>+EE446-EE416</f>
        <v>674</v>
      </c>
      <c r="EF437" s="381">
        <f>+EA437*(1+EF438)</f>
        <v>652.76340718515735</v>
      </c>
      <c r="EG437" s="381">
        <f>+EB437*(1+EG438)</f>
        <v>636.38118501607278</v>
      </c>
      <c r="EH437" s="381">
        <f>+EC437*(1+EH438)</f>
        <v>621.42441473741064</v>
      </c>
      <c r="EI437" s="381">
        <f>+EH437</f>
        <v>621.42441473741064</v>
      </c>
      <c r="EJ437" s="381">
        <f>+EI437*(1+EJ438)</f>
        <v>555.30192394073879</v>
      </c>
      <c r="EK437" s="381">
        <f t="shared" ref="EK437:ES437" si="342">+EJ437*(1+EK438)</f>
        <v>507.13471377347003</v>
      </c>
      <c r="EL437" s="381">
        <f t="shared" si="342"/>
        <v>473.0017296664181</v>
      </c>
      <c r="EM437" s="381">
        <f t="shared" si="342"/>
        <v>449.42138558732739</v>
      </c>
      <c r="EN437" s="381">
        <f t="shared" si="342"/>
        <v>433.47685632656925</v>
      </c>
      <c r="EO437" s="381">
        <f t="shared" si="342"/>
        <v>422.87467417333738</v>
      </c>
      <c r="EP437" s="381">
        <f t="shared" si="342"/>
        <v>415.91124345654549</v>
      </c>
      <c r="EQ437" s="381">
        <f t="shared" si="342"/>
        <v>411.37723706662541</v>
      </c>
      <c r="ER437" s="381">
        <f t="shared" si="342"/>
        <v>408.44248852992376</v>
      </c>
      <c r="ES437" s="381">
        <f t="shared" si="342"/>
        <v>406.55038570234615</v>
      </c>
    </row>
    <row r="438" spans="1:154" hidden="1" outlineLevel="1" x14ac:dyDescent="0.3">
      <c r="A438" s="61" t="s">
        <v>339</v>
      </c>
      <c r="DZ438" s="75">
        <f t="shared" ref="DZ438:EE438" si="343">+DZ437/DU437-1</f>
        <v>-0.14301929625425658</v>
      </c>
      <c r="EA438" s="75">
        <f t="shared" si="343"/>
        <v>-0.13254437869822489</v>
      </c>
      <c r="EB438" s="75">
        <f t="shared" si="343"/>
        <v>-0.12222222222222223</v>
      </c>
      <c r="EC438" s="75">
        <f t="shared" si="343"/>
        <v>-0.11267605633802813</v>
      </c>
      <c r="ED438" s="84">
        <f t="shared" si="343"/>
        <v>-0.11267605633802813</v>
      </c>
      <c r="EE438" s="75">
        <f t="shared" si="343"/>
        <v>-0.10728476821192057</v>
      </c>
      <c r="EF438" s="87">
        <f t="shared" ref="EF438:ES438" si="344">+EE438/EE428*EF428</f>
        <v>-0.10946329169828459</v>
      </c>
      <c r="EG438" s="87">
        <f t="shared" si="344"/>
        <v>-0.10494910686909599</v>
      </c>
      <c r="EH438" s="87">
        <f t="shared" si="344"/>
        <v>-0.10328367281758935</v>
      </c>
      <c r="EI438" s="84">
        <f>+EI437/ED437-1</f>
        <v>-0.10328367281758921</v>
      </c>
      <c r="EJ438" s="87">
        <f t="shared" si="344"/>
        <v>-0.10640471991209521</v>
      </c>
      <c r="EK438" s="87">
        <f t="shared" si="344"/>
        <v>-8.6740578576509825E-2</v>
      </c>
      <c r="EL438" s="87">
        <f t="shared" si="344"/>
        <v>-6.7305556452794277E-2</v>
      </c>
      <c r="EM438" s="87">
        <f t="shared" si="344"/>
        <v>-4.9852553595777831E-2</v>
      </c>
      <c r="EN438" s="87">
        <f t="shared" si="344"/>
        <v>-3.5477905084380902E-2</v>
      </c>
      <c r="EO438" s="87">
        <f t="shared" si="344"/>
        <v>-2.4458473384434805E-2</v>
      </c>
      <c r="EP438" s="87">
        <f t="shared" si="344"/>
        <v>-1.6466889937082382E-2</v>
      </c>
      <c r="EQ438" s="87">
        <f t="shared" si="344"/>
        <v>-1.090137970841795E-2</v>
      </c>
      <c r="ER438" s="87">
        <f t="shared" si="344"/>
        <v>-7.1339594714286986E-3</v>
      </c>
      <c r="ES438" s="87">
        <f t="shared" si="344"/>
        <v>-4.6324828604089015E-3</v>
      </c>
    </row>
    <row r="439" spans="1:154" hidden="1" outlineLevel="1" x14ac:dyDescent="0.3">
      <c r="A439" s="65" t="s">
        <v>340</v>
      </c>
      <c r="DV439" s="77">
        <f>+DV437-DU437</f>
        <v>-36</v>
      </c>
      <c r="DW439" s="77">
        <f>+DW437-DV437</f>
        <v>-35</v>
      </c>
      <c r="DX439" s="77">
        <f>+DX437-DW437</f>
        <v>-29</v>
      </c>
      <c r="DY439" s="86">
        <f>+SUM(DU439:DX439)</f>
        <v>-100</v>
      </c>
      <c r="DZ439" s="77">
        <f>+DZ437-DY437</f>
        <v>-26</v>
      </c>
      <c r="EA439" s="77">
        <f>+EA437-DZ437</f>
        <v>-22</v>
      </c>
      <c r="EB439" s="77">
        <f>+EB437-EA437</f>
        <v>-22</v>
      </c>
      <c r="EC439" s="77">
        <f>+EC437-EB437</f>
        <v>-18</v>
      </c>
      <c r="ED439" s="86">
        <f>+SUM(DZ439:EC439)</f>
        <v>-88</v>
      </c>
      <c r="EE439" s="77">
        <f>+EE437-ED437</f>
        <v>-19</v>
      </c>
      <c r="EF439" s="77">
        <f t="shared" ref="EF439:ES439" si="345">+EF437-EE437</f>
        <v>-21.236592814842652</v>
      </c>
      <c r="EG439" s="77">
        <f t="shared" si="345"/>
        <v>-16.382222169084571</v>
      </c>
      <c r="EH439" s="77">
        <f t="shared" si="345"/>
        <v>-14.956770278662134</v>
      </c>
      <c r="EI439" s="86">
        <f>+SUM(EE439:EH439)</f>
        <v>-71.575585262589357</v>
      </c>
      <c r="EJ439" s="77">
        <f t="shared" si="345"/>
        <v>-66.122490796671855</v>
      </c>
      <c r="EK439" s="77">
        <f t="shared" si="345"/>
        <v>-48.167210167268763</v>
      </c>
      <c r="EL439" s="77">
        <f t="shared" si="345"/>
        <v>-34.132984107051925</v>
      </c>
      <c r="EM439" s="77">
        <f t="shared" si="345"/>
        <v>-23.580344079090708</v>
      </c>
      <c r="EN439" s="77">
        <f t="shared" si="345"/>
        <v>-15.944529260758145</v>
      </c>
      <c r="EO439" s="77">
        <f t="shared" si="345"/>
        <v>-10.602182153231865</v>
      </c>
      <c r="EP439" s="77">
        <f t="shared" si="345"/>
        <v>-6.9634307167918905</v>
      </c>
      <c r="EQ439" s="77">
        <f t="shared" si="345"/>
        <v>-4.53400638992008</v>
      </c>
      <c r="ER439" s="77">
        <f t="shared" si="345"/>
        <v>-2.9347485367016475</v>
      </c>
      <c r="ES439" s="77">
        <f t="shared" si="345"/>
        <v>-1.8921028275776166</v>
      </c>
    </row>
    <row r="440" spans="1:154" hidden="1" outlineLevel="1" x14ac:dyDescent="0.3">
      <c r="A440" s="65" t="s">
        <v>4048</v>
      </c>
      <c r="DU440" s="75">
        <f t="shared" ref="DU440:EE440" si="346">+DU437/DU416</f>
        <v>0.31920289855072465</v>
      </c>
      <c r="DV440" s="75">
        <f t="shared" si="346"/>
        <v>0.31192321889996311</v>
      </c>
      <c r="DW440" s="75">
        <f t="shared" si="346"/>
        <v>0.30451127819548873</v>
      </c>
      <c r="DX440" s="75">
        <f t="shared" si="346"/>
        <v>0.29684530596731279</v>
      </c>
      <c r="DY440" s="84">
        <f t="shared" si="346"/>
        <v>0.29684530596731279</v>
      </c>
      <c r="DZ440" s="75">
        <f t="shared" si="346"/>
        <v>0.28838808250572956</v>
      </c>
      <c r="EA440" s="75">
        <f t="shared" si="346"/>
        <v>0.28105828220858897</v>
      </c>
      <c r="EB440" s="75">
        <f t="shared" si="346"/>
        <v>0.27409406322282187</v>
      </c>
      <c r="EC440" s="75">
        <f t="shared" si="346"/>
        <v>0.26954492415402564</v>
      </c>
      <c r="ED440" s="84">
        <f t="shared" si="346"/>
        <v>0.26954492415402564</v>
      </c>
      <c r="EE440" s="75">
        <f t="shared" si="346"/>
        <v>0.26328125000000002</v>
      </c>
      <c r="EF440" s="75">
        <f t="shared" ref="EF440:ES440" si="347">+EF437/EF416</f>
        <v>0.25517676159828889</v>
      </c>
      <c r="EG440" s="75">
        <f t="shared" si="347"/>
        <v>0.25040335278507875</v>
      </c>
      <c r="EH440" s="75">
        <f t="shared" si="347"/>
        <v>0.24558506441145744</v>
      </c>
      <c r="EI440" s="84">
        <f t="shared" si="347"/>
        <v>0.24558506441145744</v>
      </c>
      <c r="EJ440" s="75">
        <f t="shared" si="347"/>
        <v>0.21359551086747638</v>
      </c>
      <c r="EK440" s="75">
        <f t="shared" si="347"/>
        <v>0.1840893298103779</v>
      </c>
      <c r="EL440" s="75">
        <f t="shared" si="347"/>
        <v>0.15855277955660732</v>
      </c>
      <c r="EM440" s="75">
        <f t="shared" si="347"/>
        <v>0.13750434914710663</v>
      </c>
      <c r="EN440" s="75">
        <f t="shared" si="347"/>
        <v>0.12061308518591744</v>
      </c>
      <c r="EO440" s="75">
        <f t="shared" si="347"/>
        <v>0.10733500986535764</v>
      </c>
      <c r="EP440" s="75">
        <f t="shared" si="347"/>
        <v>9.6966316801004648E-2</v>
      </c>
      <c r="EQ440" s="75">
        <f t="shared" si="347"/>
        <v>8.9518906472769277E-2</v>
      </c>
      <c r="ER440" s="75">
        <f t="shared" si="347"/>
        <v>8.4271325335246824E-2</v>
      </c>
      <c r="ES440" s="75">
        <f t="shared" si="347"/>
        <v>8.0945812405392975E-2</v>
      </c>
    </row>
    <row r="441" spans="1:154" hidden="1" outlineLevel="1" x14ac:dyDescent="0.3">
      <c r="A441" s="66"/>
    </row>
    <row r="442" spans="1:154" hidden="1" outlineLevel="1" x14ac:dyDescent="0.3">
      <c r="A442" s="68" t="s">
        <v>520</v>
      </c>
    </row>
    <row r="443" spans="1:154" hidden="1" outlineLevel="1" x14ac:dyDescent="0.3">
      <c r="A443" s="67" t="s">
        <v>350</v>
      </c>
      <c r="DU443" s="76">
        <f>+DU446-DU448</f>
        <v>3685.3529411764707</v>
      </c>
      <c r="DV443" s="76">
        <f>+DU446</f>
        <v>3641</v>
      </c>
      <c r="DW443" s="76">
        <f>+DV446</f>
        <v>3554</v>
      </c>
      <c r="DX443" s="76">
        <f>+DW446</f>
        <v>3470</v>
      </c>
      <c r="DY443" s="85">
        <f>+DU443</f>
        <v>3685.3529411764707</v>
      </c>
      <c r="DZ443" s="76">
        <f>+DY446</f>
        <v>3412</v>
      </c>
      <c r="EA443" s="76">
        <f>+DZ446</f>
        <v>3373</v>
      </c>
      <c r="EB443" s="76">
        <f>+EA446</f>
        <v>3341</v>
      </c>
      <c r="EC443" s="76">
        <f>+EB446</f>
        <v>3305</v>
      </c>
      <c r="ED443" s="85">
        <f>+DZ443</f>
        <v>3412</v>
      </c>
      <c r="EE443" s="76">
        <f>+ED446</f>
        <v>3264</v>
      </c>
      <c r="EF443" s="76">
        <f>+EE446</f>
        <v>3234</v>
      </c>
      <c r="EG443" s="76">
        <f>+EF446</f>
        <v>3210.8466867777079</v>
      </c>
      <c r="EH443" s="76">
        <f>+EG446</f>
        <v>3177.8055626771775</v>
      </c>
      <c r="EI443" s="85">
        <f>+EE443</f>
        <v>3264</v>
      </c>
      <c r="EJ443" s="76">
        <f t="shared" ref="EJ443:ES443" si="348">+EI446</f>
        <v>3151.8079957855866</v>
      </c>
      <c r="EK443" s="76">
        <f t="shared" si="348"/>
        <v>3155.0846707105029</v>
      </c>
      <c r="EL443" s="76">
        <f t="shared" si="348"/>
        <v>3261.964199522843</v>
      </c>
      <c r="EM443" s="76">
        <f t="shared" si="348"/>
        <v>3456.2463690172194</v>
      </c>
      <c r="EN443" s="76">
        <f t="shared" si="348"/>
        <v>3717.8371729783266</v>
      </c>
      <c r="EO443" s="76">
        <f t="shared" si="348"/>
        <v>4027.4223694389493</v>
      </c>
      <c r="EP443" s="76">
        <f t="shared" si="348"/>
        <v>4362.6392924819074</v>
      </c>
      <c r="EQ443" s="76">
        <f t="shared" si="348"/>
        <v>4705.1454556839026</v>
      </c>
      <c r="ER443" s="76">
        <f t="shared" si="348"/>
        <v>5006.8001848632694</v>
      </c>
      <c r="ES443" s="76">
        <f t="shared" si="348"/>
        <v>5255.1977389672993</v>
      </c>
    </row>
    <row r="444" spans="1:154" hidden="1" outlineLevel="1" x14ac:dyDescent="0.3">
      <c r="A444" s="67" t="s">
        <v>351</v>
      </c>
      <c r="DU444" s="76">
        <f>+DU446-DU445-DU443</f>
        <v>180.0850529411764</v>
      </c>
      <c r="DV444" s="76">
        <f>+DV446-DV445-DV443</f>
        <v>151.12139999999999</v>
      </c>
      <c r="DW444" s="76">
        <f>+DW446-DW445-DW443</f>
        <v>158.02739999999994</v>
      </c>
      <c r="DX444" s="76">
        <f>+DX446-DX445-DX443</f>
        <v>144.99499999999989</v>
      </c>
      <c r="DY444" s="85">
        <f>+SUM(DU444:DX444)</f>
        <v>634.22885294117623</v>
      </c>
      <c r="DZ444" s="76">
        <f>+DZ446-DZ445-DZ443</f>
        <v>149.3424</v>
      </c>
      <c r="EA444" s="76">
        <f>+EA446-EA445-EA443</f>
        <v>132.9396999999999</v>
      </c>
      <c r="EB444" s="76">
        <f>+EB446-EB445-EB443</f>
        <v>145.41629999999986</v>
      </c>
      <c r="EC444" s="76">
        <f>+EC446-EC445-EC443</f>
        <v>124.58050000000003</v>
      </c>
      <c r="ED444" s="85">
        <f>+SUM(DZ444:EC444)</f>
        <v>552.27889999999979</v>
      </c>
      <c r="EE444" s="76">
        <f>+EE446-EE445-EE443</f>
        <v>111.98399999999992</v>
      </c>
      <c r="EF444" s="76">
        <f>+EF446-EF445-EF443</f>
        <v>134.98211096358636</v>
      </c>
      <c r="EG444" s="76">
        <f>+EG446-EG445-EG443</f>
        <v>138.93435649797902</v>
      </c>
      <c r="EH444" s="76">
        <f>+EH446-EH445-EH443</f>
        <v>149.35071823815088</v>
      </c>
      <c r="EI444" s="85">
        <f>+SUM(EE444:EH444)</f>
        <v>535.25118569971619</v>
      </c>
      <c r="EJ444" s="76">
        <f t="shared" ref="EJ444:ES444" si="349">+EJ446-EJ445-EJ443</f>
        <v>674.24081647978437</v>
      </c>
      <c r="EK444" s="76">
        <f t="shared" si="349"/>
        <v>795.07969916581533</v>
      </c>
      <c r="EL444" s="76">
        <f t="shared" si="349"/>
        <v>920.84675433114899</v>
      </c>
      <c r="EM444" s="76">
        <f t="shared" si="349"/>
        <v>1042.2759767075363</v>
      </c>
      <c r="EN444" s="76">
        <f t="shared" si="349"/>
        <v>1155.1540396003056</v>
      </c>
      <c r="EO444" s="76">
        <f t="shared" si="349"/>
        <v>1250.9224623959244</v>
      </c>
      <c r="EP444" s="76">
        <f t="shared" si="349"/>
        <v>1328.6904251865026</v>
      </c>
      <c r="EQ444" s="76">
        <f t="shared" si="349"/>
        <v>1347.7233048537764</v>
      </c>
      <c r="ER444" s="76">
        <f t="shared" si="349"/>
        <v>1297.6427670582698</v>
      </c>
      <c r="ES444" s="76">
        <f t="shared" si="349"/>
        <v>1249.140609353427</v>
      </c>
    </row>
    <row r="445" spans="1:154" hidden="1" outlineLevel="1" x14ac:dyDescent="0.3">
      <c r="A445" s="67" t="s">
        <v>337</v>
      </c>
      <c r="DU445" s="76">
        <f>+DU450*DU443*-3</f>
        <v>-224.43799411764707</v>
      </c>
      <c r="DV445" s="76">
        <f>+DV450*DV443*-3</f>
        <v>-238.12139999999999</v>
      </c>
      <c r="DW445" s="76">
        <f>+DW450*DW443*-3</f>
        <v>-242.02740000000003</v>
      </c>
      <c r="DX445" s="76">
        <f>+DX450*DX443*-3</f>
        <v>-202.995</v>
      </c>
      <c r="DY445" s="85">
        <f>+SUM(DU445:DX445)</f>
        <v>-907.58179411764706</v>
      </c>
      <c r="DZ445" s="76">
        <f>+DZ450*DZ443*-3</f>
        <v>-188.3424</v>
      </c>
      <c r="EA445" s="76">
        <f>+EA450*EA443*-3</f>
        <v>-164.93969999999999</v>
      </c>
      <c r="EB445" s="76">
        <f>+EB450*EB443*-3</f>
        <v>-181.41630000000001</v>
      </c>
      <c r="EC445" s="76">
        <f>+EC450*EC443*-3</f>
        <v>-165.5805</v>
      </c>
      <c r="ED445" s="85">
        <f>+SUM(DZ445:EC445)</f>
        <v>-700.27890000000002</v>
      </c>
      <c r="EE445" s="76">
        <f>+EE450*EE443*-3</f>
        <v>-141.98400000000001</v>
      </c>
      <c r="EF445" s="76">
        <f>+EF450*EF443*-3</f>
        <v>-158.13542418587829</v>
      </c>
      <c r="EG445" s="76">
        <f>+EG450*EG443*-3</f>
        <v>-171.97548059850953</v>
      </c>
      <c r="EH445" s="76">
        <f>+EH450*EH443*-3</f>
        <v>-175.34828512974187</v>
      </c>
      <c r="EI445" s="85">
        <f>+SUM(EE445:EH445)</f>
        <v>-647.44318991412968</v>
      </c>
      <c r="EJ445" s="76">
        <f>+EJ450*EJ443*-12</f>
        <v>-670.96414155486798</v>
      </c>
      <c r="EK445" s="76">
        <f t="shared" ref="EK445:ES445" si="350">+EK450*EK443*-12</f>
        <v>-688.20017035347507</v>
      </c>
      <c r="EL445" s="76">
        <f t="shared" si="350"/>
        <v>-726.56458483677284</v>
      </c>
      <c r="EM445" s="76">
        <f t="shared" si="350"/>
        <v>-780.68517274642909</v>
      </c>
      <c r="EN445" s="76">
        <f t="shared" si="350"/>
        <v>-845.56884313968294</v>
      </c>
      <c r="EO445" s="76">
        <f t="shared" si="350"/>
        <v>-915.70553935296653</v>
      </c>
      <c r="EP445" s="76">
        <f t="shared" si="350"/>
        <v>-986.18426198450697</v>
      </c>
      <c r="EQ445" s="76">
        <f t="shared" si="350"/>
        <v>-1046.0685756744099</v>
      </c>
      <c r="ER445" s="76">
        <f t="shared" si="350"/>
        <v>-1049.2452129542394</v>
      </c>
      <c r="ES445" s="76">
        <f t="shared" si="350"/>
        <v>-1075.2874326804047</v>
      </c>
    </row>
    <row r="446" spans="1:154" hidden="1" outlineLevel="1" x14ac:dyDescent="0.3">
      <c r="A446" s="64" t="s">
        <v>352</v>
      </c>
      <c r="DU446" s="855">
        <f>+Inputs!DU561</f>
        <v>3641</v>
      </c>
      <c r="DV446" s="855">
        <f>+Inputs!DV561</f>
        <v>3554</v>
      </c>
      <c r="DW446" s="855">
        <f>+Inputs!DW561</f>
        <v>3470</v>
      </c>
      <c r="DX446" s="855">
        <f>+Inputs!DX561</f>
        <v>3412</v>
      </c>
      <c r="DY446" s="803">
        <f>+DX446</f>
        <v>3412</v>
      </c>
      <c r="DZ446" s="855">
        <f>+Inputs!DZ561</f>
        <v>3373</v>
      </c>
      <c r="EA446" s="855">
        <f>+Inputs!EA561</f>
        <v>3341</v>
      </c>
      <c r="EB446" s="855">
        <f>+Inputs!EB561</f>
        <v>3305</v>
      </c>
      <c r="EC446" s="855">
        <f>+Inputs!EC561</f>
        <v>3264</v>
      </c>
      <c r="ED446" s="803">
        <f>+EC446</f>
        <v>3264</v>
      </c>
      <c r="EE446" s="855">
        <f>+Inputs!EE561</f>
        <v>3234</v>
      </c>
      <c r="EF446" s="850">
        <f>+EF437+EF416</f>
        <v>3210.8466867777079</v>
      </c>
      <c r="EG446" s="850">
        <f t="shared" ref="EG446:ES446" si="351">+EG437+EG416</f>
        <v>3177.8055626771775</v>
      </c>
      <c r="EH446" s="850">
        <f t="shared" si="351"/>
        <v>3151.8079957855866</v>
      </c>
      <c r="EI446" s="803">
        <f>+EH446</f>
        <v>3151.8079957855866</v>
      </c>
      <c r="EJ446" s="850">
        <f t="shared" si="351"/>
        <v>3155.0846707105029</v>
      </c>
      <c r="EK446" s="850">
        <f t="shared" si="351"/>
        <v>3261.964199522843</v>
      </c>
      <c r="EL446" s="850">
        <f t="shared" si="351"/>
        <v>3456.2463690172194</v>
      </c>
      <c r="EM446" s="850">
        <f t="shared" si="351"/>
        <v>3717.8371729783266</v>
      </c>
      <c r="EN446" s="850">
        <f t="shared" si="351"/>
        <v>4027.4223694389493</v>
      </c>
      <c r="EO446" s="850">
        <f t="shared" si="351"/>
        <v>4362.6392924819074</v>
      </c>
      <c r="EP446" s="850">
        <f t="shared" si="351"/>
        <v>4705.1454556839026</v>
      </c>
      <c r="EQ446" s="850">
        <f t="shared" si="351"/>
        <v>5006.8001848632694</v>
      </c>
      <c r="ER446" s="850">
        <f t="shared" si="351"/>
        <v>5255.1977389672993</v>
      </c>
      <c r="ES446" s="850">
        <f t="shared" si="351"/>
        <v>5429.0509156403214</v>
      </c>
    </row>
    <row r="447" spans="1:154" hidden="1" outlineLevel="1" x14ac:dyDescent="0.3">
      <c r="A447" s="69" t="s">
        <v>339</v>
      </c>
      <c r="DZ447" s="75">
        <f t="shared" ref="DZ447:EI447" si="352">+DZ446/DU446-1</f>
        <v>-7.3606152156001081E-2</v>
      </c>
      <c r="EA447" s="75">
        <f t="shared" si="352"/>
        <v>-5.9932470455824394E-2</v>
      </c>
      <c r="EB447" s="75">
        <f t="shared" si="352"/>
        <v>-4.7550432276657006E-2</v>
      </c>
      <c r="EC447" s="75">
        <f t="shared" si="352"/>
        <v>-4.3376318874560393E-2</v>
      </c>
      <c r="ED447" s="84">
        <f t="shared" si="352"/>
        <v>-4.3376318874560393E-2</v>
      </c>
      <c r="EE447" s="75">
        <f t="shared" si="352"/>
        <v>-4.1209605692262063E-2</v>
      </c>
      <c r="EF447" s="75">
        <f t="shared" si="352"/>
        <v>-3.8956394259889837E-2</v>
      </c>
      <c r="EG447" s="75">
        <f t="shared" si="352"/>
        <v>-3.8485457586330596E-2</v>
      </c>
      <c r="EH447" s="75">
        <f t="shared" si="352"/>
        <v>-3.4372550310788452E-2</v>
      </c>
      <c r="EI447" s="84">
        <f t="shared" si="352"/>
        <v>-3.4372550310788452E-2</v>
      </c>
      <c r="EJ447" s="75">
        <f>+EJ446/EI446-1</f>
        <v>1.0396175557958465E-3</v>
      </c>
      <c r="EK447" s="75">
        <f t="shared" ref="EK447:ES447" si="353">+EK446/EJ446-1</f>
        <v>3.3875328229550083E-2</v>
      </c>
      <c r="EL447" s="75">
        <f t="shared" si="353"/>
        <v>5.9559871786083907E-2</v>
      </c>
      <c r="EM447" s="75">
        <f t="shared" si="353"/>
        <v>7.5686388072934152E-2</v>
      </c>
      <c r="EN447" s="75">
        <f t="shared" si="353"/>
        <v>8.3270240749305557E-2</v>
      </c>
      <c r="EO447" s="75">
        <f t="shared" si="353"/>
        <v>8.323361502549731E-2</v>
      </c>
      <c r="EP447" s="75">
        <f t="shared" si="353"/>
        <v>7.8508934669944574E-2</v>
      </c>
      <c r="EQ447" s="75">
        <f t="shared" si="353"/>
        <v>6.411166923967504E-2</v>
      </c>
      <c r="ER447" s="75">
        <f t="shared" si="353"/>
        <v>4.9612036616718536E-2</v>
      </c>
      <c r="ES447" s="75">
        <f t="shared" si="353"/>
        <v>3.3082137972449743E-2</v>
      </c>
    </row>
    <row r="448" spans="1:154" hidden="1" outlineLevel="1" x14ac:dyDescent="0.3">
      <c r="A448" s="65" t="s">
        <v>340</v>
      </c>
      <c r="DU448" s="96">
        <f>+DU418/DV418*DV448</f>
        <v>-44.352941176470587</v>
      </c>
      <c r="DV448" s="77">
        <f>+DV446-DU446</f>
        <v>-87</v>
      </c>
      <c r="DW448" s="77">
        <f>+DW446-DV446</f>
        <v>-84</v>
      </c>
      <c r="DX448" s="77">
        <f>+DX446-DW446</f>
        <v>-58</v>
      </c>
      <c r="DY448" s="86">
        <f>+SUM(DU448:DX448)</f>
        <v>-273.35294117647061</v>
      </c>
      <c r="DZ448" s="77">
        <f>+DZ446-DY446</f>
        <v>-39</v>
      </c>
      <c r="EA448" s="77">
        <f>+EA446-DZ446</f>
        <v>-32</v>
      </c>
      <c r="EB448" s="77">
        <f>+EB446-EA446</f>
        <v>-36</v>
      </c>
      <c r="EC448" s="77">
        <f>+EC446-EB446</f>
        <v>-41</v>
      </c>
      <c r="ED448" s="86">
        <f>+SUM(DZ448:EC448)</f>
        <v>-148</v>
      </c>
      <c r="EE448" s="77">
        <f>+EE446-ED446</f>
        <v>-30</v>
      </c>
      <c r="EF448" s="77">
        <f>+EF446-EE446</f>
        <v>-23.153313222292127</v>
      </c>
      <c r="EG448" s="77">
        <f>+EG446-EF446</f>
        <v>-33.041124100530396</v>
      </c>
      <c r="EH448" s="77">
        <f>+EH446-EG446</f>
        <v>-25.99756689159085</v>
      </c>
      <c r="EI448" s="86">
        <f>+SUM(EE448:EH448)</f>
        <v>-112.19200421441337</v>
      </c>
      <c r="EJ448" s="77">
        <f>+EJ446-EI446</f>
        <v>3.2766749249162785</v>
      </c>
      <c r="EK448" s="77">
        <f t="shared" ref="EK448:ES448" si="354">+EK446-EJ446</f>
        <v>106.87952881234014</v>
      </c>
      <c r="EL448" s="77">
        <f t="shared" si="354"/>
        <v>194.28216949437638</v>
      </c>
      <c r="EM448" s="77">
        <f t="shared" si="354"/>
        <v>261.59080396110721</v>
      </c>
      <c r="EN448" s="77">
        <f t="shared" si="354"/>
        <v>309.58519646062268</v>
      </c>
      <c r="EO448" s="77">
        <f t="shared" si="354"/>
        <v>335.21692304295811</v>
      </c>
      <c r="EP448" s="77">
        <f t="shared" si="354"/>
        <v>342.50616320199515</v>
      </c>
      <c r="EQ448" s="77">
        <f t="shared" si="354"/>
        <v>301.65472917936677</v>
      </c>
      <c r="ER448" s="77">
        <f t="shared" si="354"/>
        <v>248.39755410402995</v>
      </c>
      <c r="ES448" s="77">
        <f t="shared" si="354"/>
        <v>173.85317667302206</v>
      </c>
    </row>
    <row r="449" spans="1:149" hidden="1" outlineLevel="1" x14ac:dyDescent="0.3">
      <c r="A449" s="65" t="s">
        <v>341</v>
      </c>
      <c r="DU449" s="75">
        <f>+DU444/AVERAGE(DT374:DU374)</f>
        <v>1.2863218067226886E-2</v>
      </c>
      <c r="DV449" s="75">
        <f>+DV444/AVERAGE(DU374:DV374)</f>
        <v>1.0794385714285714E-2</v>
      </c>
      <c r="DW449" s="75">
        <f>+DW444/AVERAGE(DV374:DW374)</f>
        <v>1.1287671428571424E-2</v>
      </c>
      <c r="DX449" s="75">
        <f>+DX444/AVERAGE(DW374:DX374)</f>
        <v>1.0356785714285707E-2</v>
      </c>
      <c r="DY449" s="84">
        <f>+DY444/AVERAGE(DU374:DX374)</f>
        <v>4.5302060924369732E-2</v>
      </c>
      <c r="DZ449" s="75">
        <f>+DZ444/AVERAGE(DY374:DZ374)</f>
        <v>1.0667314285714286E-2</v>
      </c>
      <c r="EA449" s="75">
        <f>+EA444/AVERAGE(DZ374:EA374)</f>
        <v>9.4956928571428498E-3</v>
      </c>
      <c r="EB449" s="75">
        <f>+EB444/AVERAGE(EA374:EB374)</f>
        <v>1.0386878571428561E-2</v>
      </c>
      <c r="EC449" s="75">
        <f>+EC444/AVERAGE(EB374:EC374)</f>
        <v>8.8986071428571456E-3</v>
      </c>
      <c r="ED449" s="84">
        <f>+ED444/AVERAGE(DZ374:EC374)</f>
        <v>3.9448492857142844E-2</v>
      </c>
      <c r="EE449" s="75">
        <f>+EE444/AVERAGE(ED374:EE374)</f>
        <v>7.9988571428571374E-3</v>
      </c>
      <c r="EF449" s="75">
        <f>+EF444/AVERAGE(EE374:EF374)</f>
        <v>9.6415793545418828E-3</v>
      </c>
      <c r="EG449" s="75">
        <f>+EG444/AVERAGE(EF374:EG374)</f>
        <v>9.923882606998502E-3</v>
      </c>
      <c r="EH449" s="75">
        <f>+EH444/AVERAGE(EG374:EH374)</f>
        <v>1.0667908445582205E-2</v>
      </c>
      <c r="EI449" s="84">
        <f>+EI444/AVERAGE(EE374:EH374)</f>
        <v>3.8232227549979729E-2</v>
      </c>
      <c r="EJ449" s="75">
        <f>+EJ444/AVERAGE(EI374:EJ374)</f>
        <v>4.81600583199846E-2</v>
      </c>
      <c r="EK449" s="75">
        <f t="shared" ref="EK449:ES449" si="355">+EK444/AVERAGE(EJ374:EK374)</f>
        <v>5.6791407083272523E-2</v>
      </c>
      <c r="EL449" s="75">
        <f t="shared" si="355"/>
        <v>6.5774768166510636E-2</v>
      </c>
      <c r="EM449" s="75">
        <f t="shared" si="355"/>
        <v>7.4448284050538313E-2</v>
      </c>
      <c r="EN449" s="75">
        <f t="shared" si="355"/>
        <v>8.2511002828593263E-2</v>
      </c>
      <c r="EO449" s="75">
        <f t="shared" si="355"/>
        <v>8.9351604456851738E-2</v>
      </c>
      <c r="EP449" s="75">
        <f t="shared" si="355"/>
        <v>9.4906458941893035E-2</v>
      </c>
      <c r="EQ449" s="75">
        <f t="shared" si="355"/>
        <v>9.6265950346698312E-2</v>
      </c>
      <c r="ER449" s="75">
        <f t="shared" si="355"/>
        <v>9.2688769075590705E-2</v>
      </c>
      <c r="ES449" s="75">
        <f t="shared" si="355"/>
        <v>8.8560128277449621E-2</v>
      </c>
    </row>
    <row r="450" spans="1:149" hidden="1" outlineLevel="1" x14ac:dyDescent="0.3">
      <c r="A450" s="65" t="s">
        <v>342</v>
      </c>
      <c r="DU450" s="97">
        <f>+Inputs!DU564</f>
        <v>2.0299999999999999E-2</v>
      </c>
      <c r="DV450" s="97">
        <f>+Inputs!DV564</f>
        <v>2.18E-2</v>
      </c>
      <c r="DW450" s="97">
        <f>+Inputs!DW564</f>
        <v>2.2700000000000001E-2</v>
      </c>
      <c r="DX450" s="97">
        <f>+Inputs!DX564</f>
        <v>1.95E-2</v>
      </c>
      <c r="DY450" s="91">
        <f>+DY445/AVERAGE(DU443:DX443)/-12</f>
        <v>2.1081520848021774E-2</v>
      </c>
      <c r="DZ450" s="97">
        <f>+Inputs!DZ564</f>
        <v>1.84E-2</v>
      </c>
      <c r="EA450" s="97">
        <f>+Inputs!EA564</f>
        <v>1.6299999999999999E-2</v>
      </c>
      <c r="EB450" s="97">
        <f>+Inputs!EB564</f>
        <v>1.8100000000000002E-2</v>
      </c>
      <c r="EC450" s="97">
        <f>+Inputs!EC564</f>
        <v>1.67E-2</v>
      </c>
      <c r="ED450" s="91">
        <f>+ED445/AVERAGE(DZ443:EC443)/-12</f>
        <v>1.737966644330281E-2</v>
      </c>
      <c r="EE450" s="97">
        <f>+Inputs!EE564</f>
        <v>1.4500000000000001E-2</v>
      </c>
      <c r="EF450" s="87">
        <f>+EE450/EE420*EF420</f>
        <v>1.629926037784769E-2</v>
      </c>
      <c r="EG450" s="87">
        <f t="shared" ref="EG450:ES450" si="356">+EF450/EF420*EG420</f>
        <v>1.7853596198027344E-2</v>
      </c>
      <c r="EH450" s="87">
        <f t="shared" si="356"/>
        <v>1.8393015942529616E-2</v>
      </c>
      <c r="EI450" s="91">
        <f>+EI445/AVERAGE(EE443:EH443)/-12</f>
        <v>1.6747126597380816E-2</v>
      </c>
      <c r="EJ450" s="87">
        <f t="shared" si="356"/>
        <v>1.7740191832012028E-2</v>
      </c>
      <c r="EK450" s="87">
        <f t="shared" si="356"/>
        <v>1.8177012721249126E-2</v>
      </c>
      <c r="EL450" s="87">
        <f t="shared" si="356"/>
        <v>1.8561530732082988E-2</v>
      </c>
      <c r="EM450" s="87">
        <f t="shared" si="356"/>
        <v>1.8823049858962462E-2</v>
      </c>
      <c r="EN450" s="87">
        <f t="shared" si="356"/>
        <v>1.8952973727246934E-2</v>
      </c>
      <c r="EO450" s="87">
        <f t="shared" si="356"/>
        <v>1.8947303745723332E-2</v>
      </c>
      <c r="EP450" s="87">
        <f t="shared" si="356"/>
        <v>1.8837684328765321E-2</v>
      </c>
      <c r="EQ450" s="87">
        <f t="shared" si="356"/>
        <v>1.8527032187898671E-2</v>
      </c>
      <c r="ER450" s="87">
        <f t="shared" si="356"/>
        <v>1.746366898041244E-2</v>
      </c>
      <c r="ES450" s="87">
        <f t="shared" si="356"/>
        <v>1.7051173049543355E-2</v>
      </c>
    </row>
    <row r="451" spans="1:149" hidden="1" outlineLevel="1" x14ac:dyDescent="0.3">
      <c r="A451" s="65" t="s">
        <v>210</v>
      </c>
    </row>
    <row r="452" spans="1:149" hidden="1" outlineLevel="1" x14ac:dyDescent="0.3">
      <c r="A452" s="65"/>
    </row>
    <row r="453" spans="1:149" hidden="1" outlineLevel="1" x14ac:dyDescent="0.3">
      <c r="A453" s="68" t="s">
        <v>349</v>
      </c>
    </row>
    <row r="454" spans="1:149" hidden="1" outlineLevel="1" x14ac:dyDescent="0.3">
      <c r="A454" s="67" t="s">
        <v>350</v>
      </c>
      <c r="DU454" s="76">
        <f>+DU457-DU459</f>
        <v>117</v>
      </c>
      <c r="DV454" s="76">
        <f>+DU457</f>
        <v>117</v>
      </c>
      <c r="DW454" s="76">
        <f>+DV457</f>
        <v>117</v>
      </c>
      <c r="DX454" s="76">
        <f>+DW457</f>
        <v>117</v>
      </c>
      <c r="DY454" s="85">
        <f>+DU454</f>
        <v>117</v>
      </c>
      <c r="DZ454" s="76">
        <f>+DY457</f>
        <v>118</v>
      </c>
      <c r="EA454" s="76">
        <f>+DZ457</f>
        <v>118</v>
      </c>
      <c r="EB454" s="76">
        <f>+EA457</f>
        <v>116</v>
      </c>
      <c r="EC454" s="76">
        <f>+EB457</f>
        <v>117</v>
      </c>
      <c r="ED454" s="85">
        <f>+DZ454</f>
        <v>118</v>
      </c>
      <c r="EE454" s="76">
        <f>+ED457</f>
        <v>117</v>
      </c>
      <c r="EF454" s="76">
        <f>+EE457</f>
        <v>120</v>
      </c>
      <c r="EG454" s="76">
        <f>+EF457</f>
        <v>122.52381900347419</v>
      </c>
      <c r="EH454" s="76">
        <f>+EG457</f>
        <v>124.56649469478162</v>
      </c>
      <c r="EI454" s="85">
        <f>+EE454</f>
        <v>117</v>
      </c>
      <c r="EJ454" s="76">
        <f t="shared" ref="EJ454:ES454" si="357">+EI457</f>
        <v>126.13742246882195</v>
      </c>
      <c r="EK454" s="76">
        <f t="shared" si="357"/>
        <v>135.0522910787374</v>
      </c>
      <c r="EL454" s="76">
        <f t="shared" si="357"/>
        <v>142.14852649223008</v>
      </c>
      <c r="EM454" s="76">
        <f t="shared" si="357"/>
        <v>147.79712988137027</v>
      </c>
      <c r="EN454" s="76">
        <f t="shared" si="357"/>
        <v>152.29341817912584</v>
      </c>
      <c r="EO454" s="76">
        <f t="shared" si="357"/>
        <v>155.87246366413927</v>
      </c>
      <c r="EP454" s="76">
        <f t="shared" si="357"/>
        <v>158.72138387020999</v>
      </c>
      <c r="EQ454" s="76">
        <f t="shared" si="357"/>
        <v>160.98912435424228</v>
      </c>
      <c r="ER454" s="76">
        <f t="shared" si="357"/>
        <v>162.79424577953196</v>
      </c>
      <c r="ES454" s="76">
        <f t="shared" si="357"/>
        <v>164.23112243406257</v>
      </c>
    </row>
    <row r="455" spans="1:149" hidden="1" outlineLevel="1" x14ac:dyDescent="0.3">
      <c r="A455" s="67" t="s">
        <v>351</v>
      </c>
      <c r="DU455" s="76">
        <f>+DU457-DU456-DU454</f>
        <v>9.6525000000000034</v>
      </c>
      <c r="DV455" s="76">
        <f>+DV457-DV456-DV454</f>
        <v>9.8631000000000029</v>
      </c>
      <c r="DW455" s="76">
        <f>+DW457-DW456-DW454</f>
        <v>9.441900000000004</v>
      </c>
      <c r="DX455" s="76">
        <f>+DX457-DX456-DX454</f>
        <v>8.8623999999999938</v>
      </c>
      <c r="DY455" s="85">
        <f>+SUM(DU455:DX455)</f>
        <v>37.819900000000004</v>
      </c>
      <c r="DZ455" s="76">
        <f>+DZ457-DZ456-DZ454</f>
        <v>6.9737999999999971</v>
      </c>
      <c r="EA455" s="76">
        <f>+EA457-EA456-EA454</f>
        <v>3.4515999999999991</v>
      </c>
      <c r="EB455" s="76">
        <f>+EB457-EB456-EB454</f>
        <v>7.2988</v>
      </c>
      <c r="EC455" s="76">
        <f>+EC457-EC456-EC454</f>
        <v>5.4756</v>
      </c>
      <c r="ED455" s="85">
        <f>+SUM(DZ455:EC455)</f>
        <v>23.199799999999996</v>
      </c>
      <c r="EE455" s="76">
        <f>+EE457-EE456-EE454</f>
        <v>7.9140000000000015</v>
      </c>
      <c r="EF455" s="76">
        <f>+EF460*AVERAGE(EE371:EF371)</f>
        <v>7.9238190034741942</v>
      </c>
      <c r="EG455" s="76">
        <f>+EG460*AVERAGE(EF371:EG371)</f>
        <v>7.9238190034741942</v>
      </c>
      <c r="EH455" s="76">
        <f>+EH460*AVERAGE(EG371:EH371)</f>
        <v>7.9238190034741942</v>
      </c>
      <c r="EI455" s="85">
        <f>+SUM(EE455:EH455)</f>
        <v>31.685457010422581</v>
      </c>
      <c r="EJ455" s="76">
        <f t="shared" ref="EJ455:ES455" si="358">+EJ460*AVERAGE(EI371:EJ371)</f>
        <v>34.646902793555114</v>
      </c>
      <c r="EK455" s="76">
        <f t="shared" si="358"/>
        <v>34.646902793555114</v>
      </c>
      <c r="EL455" s="76">
        <f t="shared" si="358"/>
        <v>34.646902793555114</v>
      </c>
      <c r="EM455" s="76">
        <f t="shared" si="358"/>
        <v>34.646902793555114</v>
      </c>
      <c r="EN455" s="76">
        <f t="shared" si="358"/>
        <v>34.646902793555114</v>
      </c>
      <c r="EO455" s="76">
        <f t="shared" si="358"/>
        <v>34.646902793555114</v>
      </c>
      <c r="EP455" s="76">
        <f t="shared" si="358"/>
        <v>34.646902793555114</v>
      </c>
      <c r="EQ455" s="76">
        <f t="shared" si="358"/>
        <v>34.646902793555114</v>
      </c>
      <c r="ER455" s="76">
        <f t="shared" si="358"/>
        <v>34.646902793555114</v>
      </c>
      <c r="ES455" s="76">
        <f t="shared" si="358"/>
        <v>34.646902793555114</v>
      </c>
    </row>
    <row r="456" spans="1:149" hidden="1" outlineLevel="1" x14ac:dyDescent="0.3">
      <c r="A456" s="67" t="s">
        <v>337</v>
      </c>
      <c r="DU456" s="76">
        <f>+DU461*DU454*-3</f>
        <v>-9.6524999999999999</v>
      </c>
      <c r="DV456" s="76">
        <f>+DV461*DV454*-3</f>
        <v>-9.8630999999999993</v>
      </c>
      <c r="DW456" s="76">
        <f>+DW461*DW454*-3</f>
        <v>-9.4419000000000004</v>
      </c>
      <c r="DX456" s="76">
        <f>+DX461*DX454*-3</f>
        <v>-7.8624000000000001</v>
      </c>
      <c r="DY456" s="85">
        <f>+SUM(DU456:DX456)</f>
        <v>-36.819899999999997</v>
      </c>
      <c r="DZ456" s="76">
        <f>+DZ461*DZ454*-3</f>
        <v>-6.9737999999999989</v>
      </c>
      <c r="EA456" s="76">
        <f>+EA461*EA454*-3</f>
        <v>-5.4516000000000009</v>
      </c>
      <c r="EB456" s="76">
        <f>+EB461*EB454*-3</f>
        <v>-6.2988</v>
      </c>
      <c r="EC456" s="76">
        <f>+EC461*EC454*-3</f>
        <v>-5.4756</v>
      </c>
      <c r="ED456" s="85">
        <f>+SUM(DZ456:EC456)</f>
        <v>-24.1998</v>
      </c>
      <c r="EE456" s="76">
        <f>+EE461*EE454*-3</f>
        <v>-4.9140000000000006</v>
      </c>
      <c r="EF456" s="76">
        <f>+EF461*EF454*-3</f>
        <v>-5.3999999999999995</v>
      </c>
      <c r="EG456" s="76">
        <f>+EG461*EG454*-3</f>
        <v>-5.8811433121667607</v>
      </c>
      <c r="EH456" s="76">
        <f>+EH461*EH454*-3</f>
        <v>-6.3528912294338635</v>
      </c>
      <c r="EI456" s="85">
        <f>+SUM(EE456:EH456)</f>
        <v>-22.548034541600622</v>
      </c>
      <c r="EJ456" s="76">
        <f>+EJ461*EJ454*-12</f>
        <v>-25.73203418363968</v>
      </c>
      <c r="EK456" s="76">
        <f t="shared" ref="EK456:ES456" si="359">+EK461*EK454*-12</f>
        <v>-27.550667380062428</v>
      </c>
      <c r="EL456" s="76">
        <f t="shared" si="359"/>
        <v>-28.998299404414936</v>
      </c>
      <c r="EM456" s="76">
        <f t="shared" si="359"/>
        <v>-30.150614495799537</v>
      </c>
      <c r="EN456" s="76">
        <f t="shared" si="359"/>
        <v>-31.067857308541669</v>
      </c>
      <c r="EO456" s="76">
        <f t="shared" si="359"/>
        <v>-31.797982587484412</v>
      </c>
      <c r="EP456" s="76">
        <f t="shared" si="359"/>
        <v>-32.37916230952284</v>
      </c>
      <c r="EQ456" s="76">
        <f t="shared" si="359"/>
        <v>-32.84178136826543</v>
      </c>
      <c r="ER456" s="76">
        <f t="shared" si="359"/>
        <v>-33.210026139024521</v>
      </c>
      <c r="ES456" s="76">
        <f t="shared" si="359"/>
        <v>-33.503148976548772</v>
      </c>
    </row>
    <row r="457" spans="1:149" hidden="1" outlineLevel="1" x14ac:dyDescent="0.3">
      <c r="A457" s="64" t="s">
        <v>352</v>
      </c>
      <c r="DU457" s="855">
        <f>+Inputs!DU604</f>
        <v>117</v>
      </c>
      <c r="DV457" s="855">
        <f>+Inputs!DV604</f>
        <v>117</v>
      </c>
      <c r="DW457" s="855">
        <f>+Inputs!DW604</f>
        <v>117</v>
      </c>
      <c r="DX457" s="855">
        <f>+Inputs!DX604</f>
        <v>118</v>
      </c>
      <c r="DY457" s="803">
        <f>+DX457</f>
        <v>118</v>
      </c>
      <c r="DZ457" s="855">
        <f>+Inputs!DZ604</f>
        <v>118</v>
      </c>
      <c r="EA457" s="855">
        <f>+Inputs!EA604</f>
        <v>116</v>
      </c>
      <c r="EB457" s="855">
        <f>+Inputs!EB604</f>
        <v>117</v>
      </c>
      <c r="EC457" s="855">
        <f>+Inputs!EC604</f>
        <v>117</v>
      </c>
      <c r="ED457" s="803">
        <f>+EC457</f>
        <v>117</v>
      </c>
      <c r="EE457" s="855">
        <f>+Inputs!EE604</f>
        <v>120</v>
      </c>
      <c r="EF457" s="850">
        <f>+SUM(EF454:EF456)</f>
        <v>122.52381900347419</v>
      </c>
      <c r="EG457" s="850">
        <f>+SUM(EG454:EG456)</f>
        <v>124.56649469478162</v>
      </c>
      <c r="EH457" s="850">
        <f>+SUM(EH454:EH456)</f>
        <v>126.13742246882195</v>
      </c>
      <c r="EI457" s="803">
        <f>+EH457</f>
        <v>126.13742246882195</v>
      </c>
      <c r="EJ457" s="850">
        <f>+SUM(EJ454:EJ456)</f>
        <v>135.0522910787374</v>
      </c>
      <c r="EK457" s="850">
        <f t="shared" ref="EK457:ES457" si="360">+SUM(EK454:EK456)</f>
        <v>142.14852649223008</v>
      </c>
      <c r="EL457" s="850">
        <f t="shared" si="360"/>
        <v>147.79712988137027</v>
      </c>
      <c r="EM457" s="850">
        <f t="shared" si="360"/>
        <v>152.29341817912584</v>
      </c>
      <c r="EN457" s="850">
        <f t="shared" si="360"/>
        <v>155.87246366413927</v>
      </c>
      <c r="EO457" s="850">
        <f t="shared" si="360"/>
        <v>158.72138387020999</v>
      </c>
      <c r="EP457" s="850">
        <f t="shared" si="360"/>
        <v>160.98912435424228</v>
      </c>
      <c r="EQ457" s="850">
        <f t="shared" si="360"/>
        <v>162.79424577953196</v>
      </c>
      <c r="ER457" s="850">
        <f t="shared" si="360"/>
        <v>164.23112243406257</v>
      </c>
      <c r="ES457" s="850">
        <f t="shared" si="360"/>
        <v>165.37487625106891</v>
      </c>
    </row>
    <row r="458" spans="1:149" hidden="1" outlineLevel="1" x14ac:dyDescent="0.3">
      <c r="A458" s="69" t="s">
        <v>339</v>
      </c>
      <c r="DZ458" s="75">
        <f t="shared" ref="DZ458:EI458" si="361">+DZ457/DU457-1</f>
        <v>8.5470085470085166E-3</v>
      </c>
      <c r="EA458" s="75">
        <f t="shared" si="361"/>
        <v>-8.5470085470085166E-3</v>
      </c>
      <c r="EB458" s="75">
        <f t="shared" si="361"/>
        <v>0</v>
      </c>
      <c r="EC458" s="75">
        <f t="shared" si="361"/>
        <v>-8.4745762711864181E-3</v>
      </c>
      <c r="ED458" s="84">
        <f t="shared" si="361"/>
        <v>-8.4745762711864181E-3</v>
      </c>
      <c r="EE458" s="75">
        <f t="shared" si="361"/>
        <v>1.6949152542372836E-2</v>
      </c>
      <c r="EF458" s="75">
        <f t="shared" si="361"/>
        <v>5.623981899546715E-2</v>
      </c>
      <c r="EG458" s="75">
        <f t="shared" si="361"/>
        <v>6.4670894827193459E-2</v>
      </c>
      <c r="EH458" s="75">
        <f t="shared" si="361"/>
        <v>7.8097627938649161E-2</v>
      </c>
      <c r="EI458" s="84">
        <f t="shared" si="361"/>
        <v>7.8097627938649161E-2</v>
      </c>
      <c r="EJ458" s="75">
        <f t="shared" ref="EJ458:ES458" si="362">+EJ457/EI457-1</f>
        <v>7.0675842548780343E-2</v>
      </c>
      <c r="EK458" s="75">
        <f t="shared" si="362"/>
        <v>5.254435416690173E-2</v>
      </c>
      <c r="EL458" s="75">
        <f t="shared" si="362"/>
        <v>3.9737333397183994E-2</v>
      </c>
      <c r="EM458" s="75">
        <f t="shared" si="362"/>
        <v>3.042202714873099E-2</v>
      </c>
      <c r="EN458" s="75">
        <f t="shared" si="362"/>
        <v>2.3500985976976363E-2</v>
      </c>
      <c r="EO458" s="75">
        <f t="shared" si="362"/>
        <v>1.8277251408621575E-2</v>
      </c>
      <c r="EP458" s="75">
        <f t="shared" si="362"/>
        <v>1.428755488855038E-2</v>
      </c>
      <c r="EQ458" s="75">
        <f t="shared" si="362"/>
        <v>1.1212691742565672E-2</v>
      </c>
      <c r="ER458" s="75">
        <f t="shared" si="362"/>
        <v>8.8263356462643383E-3</v>
      </c>
      <c r="ES458" s="75">
        <f t="shared" si="362"/>
        <v>6.9642939782350588E-3</v>
      </c>
    </row>
    <row r="459" spans="1:149" hidden="1" outlineLevel="1" x14ac:dyDescent="0.3">
      <c r="A459" s="65" t="s">
        <v>340</v>
      </c>
      <c r="DU459" s="96">
        <f>+DV459</f>
        <v>0</v>
      </c>
      <c r="DV459" s="503">
        <f>+DV457-DU457</f>
        <v>0</v>
      </c>
      <c r="DW459" s="503">
        <f>+DW457-DV457</f>
        <v>0</v>
      </c>
      <c r="DX459" s="503">
        <f>+DX457-DW457</f>
        <v>1</v>
      </c>
      <c r="DY459" s="856">
        <f>+SUM(DU459:DX459)</f>
        <v>1</v>
      </c>
      <c r="DZ459" s="503">
        <f>+DZ457-DY457</f>
        <v>0</v>
      </c>
      <c r="EA459" s="503">
        <f>+EA457-DZ457</f>
        <v>-2</v>
      </c>
      <c r="EB459" s="503">
        <f>+EB457-EA457</f>
        <v>1</v>
      </c>
      <c r="EC459" s="503">
        <f>+EC457-EB457</f>
        <v>0</v>
      </c>
      <c r="ED459" s="856">
        <f>+SUM(DZ459:EC459)</f>
        <v>-1</v>
      </c>
      <c r="EE459" s="503">
        <f>+EE457-ED457</f>
        <v>3</v>
      </c>
      <c r="EF459" s="503">
        <f>+EF457-EE457</f>
        <v>2.5238190034741876</v>
      </c>
      <c r="EG459" s="503">
        <f>+EG457-EF457</f>
        <v>2.0426756913074371</v>
      </c>
      <c r="EH459" s="503">
        <f>+EH457-EG457</f>
        <v>1.570927774040328</v>
      </c>
      <c r="EI459" s="856">
        <f>+SUM(EE459:EH459)</f>
        <v>9.1374224688219527</v>
      </c>
      <c r="EJ459" s="503">
        <f t="shared" ref="EJ459:ES459" si="363">+EJ457-EI457</f>
        <v>8.9148686099154446</v>
      </c>
      <c r="EK459" s="503">
        <f t="shared" si="363"/>
        <v>7.0962354134926784</v>
      </c>
      <c r="EL459" s="503">
        <f t="shared" si="363"/>
        <v>5.6486033891401917</v>
      </c>
      <c r="EM459" s="503">
        <f t="shared" si="363"/>
        <v>4.4962882977555694</v>
      </c>
      <c r="EN459" s="503">
        <f t="shared" si="363"/>
        <v>3.5790454850134381</v>
      </c>
      <c r="EO459" s="503">
        <f t="shared" si="363"/>
        <v>2.8489202060707157</v>
      </c>
      <c r="EP459" s="503">
        <f t="shared" si="363"/>
        <v>2.2677404840322879</v>
      </c>
      <c r="EQ459" s="503">
        <f t="shared" si="363"/>
        <v>1.8051214252896841</v>
      </c>
      <c r="ER459" s="503">
        <f t="shared" si="363"/>
        <v>1.4368766545306073</v>
      </c>
      <c r="ES459" s="503">
        <f t="shared" si="363"/>
        <v>1.1437538170063419</v>
      </c>
    </row>
    <row r="460" spans="1:149" hidden="1" outlineLevel="1" x14ac:dyDescent="0.3">
      <c r="A460" s="65" t="s">
        <v>341</v>
      </c>
      <c r="DU460" s="75">
        <f>+DU455/AVERAGE(DT371:DU371)</f>
        <v>3.2898937500000008E-3</v>
      </c>
      <c r="DV460" s="75">
        <f>+DV455/AVERAGE(DU371:DV371)</f>
        <v>3.3616732500000007E-3</v>
      </c>
      <c r="DW460" s="75">
        <f>+DW455/AVERAGE(DV371:DW371)</f>
        <v>3.218114250000001E-3</v>
      </c>
      <c r="DX460" s="75">
        <f>+DX455/AVERAGE(DW371:DX371)</f>
        <v>3.0206013333333309E-3</v>
      </c>
      <c r="DY460" s="84">
        <f>+DY455/AVERAGE(DU371:DX371)</f>
        <v>1.2890282583333334E-2</v>
      </c>
      <c r="DZ460" s="75">
        <f>+DZ455/AVERAGE(DY371:DZ371)</f>
        <v>2.376903499999999E-3</v>
      </c>
      <c r="EA460" s="75">
        <f>+EA455/AVERAGE(DZ371:EA371)</f>
        <v>1.1758683999704108E-3</v>
      </c>
      <c r="EB460" s="75">
        <f>+EB455/AVERAGE(EA371:EB371)</f>
        <v>2.4811749834878815E-3</v>
      </c>
      <c r="EC460" s="75">
        <f>+EC455/AVERAGE(EB371:EC371)</f>
        <v>1.8559128138686421E-3</v>
      </c>
      <c r="ED460" s="84">
        <f>+ED455/AVERAGE(DZ371:EC371)</f>
        <v>7.8834240770507321E-3</v>
      </c>
      <c r="EE460" s="75">
        <f>+EE455/AVERAGE(ED371:EE371)</f>
        <v>2.6756589800177302E-3</v>
      </c>
      <c r="EF460" s="87">
        <f>+EE460</f>
        <v>2.6756589800177302E-3</v>
      </c>
      <c r="EG460" s="87">
        <f>+EF460</f>
        <v>2.6756589800177302E-3</v>
      </c>
      <c r="EH460" s="87">
        <f>+EG460</f>
        <v>2.6756589800177302E-3</v>
      </c>
      <c r="EI460" s="84">
        <f>+EI455/AVERAGE(EE371:EH371)</f>
        <v>1.0699320308645541E-2</v>
      </c>
      <c r="EJ460" s="87">
        <f>+EI460+0.1%</f>
        <v>1.1699320308645542E-2</v>
      </c>
      <c r="EK460" s="87">
        <f t="shared" ref="EK460:ES460" si="364">+EJ460</f>
        <v>1.1699320308645542E-2</v>
      </c>
      <c r="EL460" s="87">
        <f t="shared" si="364"/>
        <v>1.1699320308645542E-2</v>
      </c>
      <c r="EM460" s="87">
        <f t="shared" si="364"/>
        <v>1.1699320308645542E-2</v>
      </c>
      <c r="EN460" s="87">
        <f t="shared" si="364"/>
        <v>1.1699320308645542E-2</v>
      </c>
      <c r="EO460" s="87">
        <f t="shared" si="364"/>
        <v>1.1699320308645542E-2</v>
      </c>
      <c r="EP460" s="87">
        <f t="shared" si="364"/>
        <v>1.1699320308645542E-2</v>
      </c>
      <c r="EQ460" s="87">
        <f t="shared" si="364"/>
        <v>1.1699320308645542E-2</v>
      </c>
      <c r="ER460" s="87">
        <f t="shared" si="364"/>
        <v>1.1699320308645542E-2</v>
      </c>
      <c r="ES460" s="87">
        <f t="shared" si="364"/>
        <v>1.1699320308645542E-2</v>
      </c>
    </row>
    <row r="461" spans="1:149" hidden="1" outlineLevel="1" x14ac:dyDescent="0.3">
      <c r="A461" s="65" t="s">
        <v>342</v>
      </c>
      <c r="DU461" s="75">
        <f>+DU389</f>
        <v>2.75E-2</v>
      </c>
      <c r="DV461" s="75">
        <f>+DV389</f>
        <v>2.81E-2</v>
      </c>
      <c r="DW461" s="75">
        <f>+DW389</f>
        <v>2.69E-2</v>
      </c>
      <c r="DX461" s="75">
        <f>+DX389</f>
        <v>2.24E-2</v>
      </c>
      <c r="DY461" s="84">
        <f t="shared" ref="DY461:ES461" si="365">+DY389</f>
        <v>2.6232816104005033E-2</v>
      </c>
      <c r="DZ461" s="75">
        <f t="shared" si="365"/>
        <v>1.9699999999999999E-2</v>
      </c>
      <c r="EA461" s="75">
        <f t="shared" si="365"/>
        <v>1.54E-2</v>
      </c>
      <c r="EB461" s="75">
        <f t="shared" si="365"/>
        <v>1.8100000000000002E-2</v>
      </c>
      <c r="EC461" s="75">
        <f t="shared" si="365"/>
        <v>1.5599999999999999E-2</v>
      </c>
      <c r="ED461" s="84">
        <f t="shared" si="365"/>
        <v>1.7191975806373595E-2</v>
      </c>
      <c r="EE461" s="75">
        <f t="shared" si="365"/>
        <v>1.4E-2</v>
      </c>
      <c r="EF461" s="75">
        <f t="shared" si="365"/>
        <v>1.4999999999999999E-2</v>
      </c>
      <c r="EG461" s="75">
        <f t="shared" si="365"/>
        <v>1.6E-2</v>
      </c>
      <c r="EH461" s="75">
        <f t="shared" si="365"/>
        <v>1.7000000000000001E-2</v>
      </c>
      <c r="EI461" s="84">
        <f t="shared" si="365"/>
        <v>1.5507236707583326E-2</v>
      </c>
      <c r="EJ461" s="75">
        <f t="shared" si="365"/>
        <v>1.7000000000000001E-2</v>
      </c>
      <c r="EK461" s="75">
        <f t="shared" si="365"/>
        <v>1.7000000000000001E-2</v>
      </c>
      <c r="EL461" s="75">
        <f t="shared" si="365"/>
        <v>1.7000000000000001E-2</v>
      </c>
      <c r="EM461" s="75">
        <f t="shared" si="365"/>
        <v>1.7000000000000001E-2</v>
      </c>
      <c r="EN461" s="75">
        <f t="shared" si="365"/>
        <v>1.7000000000000001E-2</v>
      </c>
      <c r="EO461" s="75">
        <f t="shared" si="365"/>
        <v>1.7000000000000001E-2</v>
      </c>
      <c r="EP461" s="75">
        <f t="shared" si="365"/>
        <v>1.7000000000000001E-2</v>
      </c>
      <c r="EQ461" s="75">
        <f t="shared" si="365"/>
        <v>1.7000000000000001E-2</v>
      </c>
      <c r="ER461" s="75">
        <f t="shared" si="365"/>
        <v>1.7000000000000001E-2</v>
      </c>
      <c r="ES461" s="75">
        <f t="shared" si="365"/>
        <v>1.7000000000000001E-2</v>
      </c>
    </row>
    <row r="462" spans="1:149" hidden="1" outlineLevel="1" x14ac:dyDescent="0.3">
      <c r="A462" s="65" t="s">
        <v>210</v>
      </c>
      <c r="DU462" s="75">
        <f t="shared" ref="DU462:ES462" si="366">+DU457/DU371</f>
        <v>3.9877499999999996E-2</v>
      </c>
      <c r="DV462" s="75">
        <f t="shared" si="366"/>
        <v>3.9877499999999996E-2</v>
      </c>
      <c r="DW462" s="75">
        <f t="shared" si="366"/>
        <v>3.9877499999999996E-2</v>
      </c>
      <c r="DX462" s="75">
        <f t="shared" si="366"/>
        <v>4.0218333333333328E-2</v>
      </c>
      <c r="DY462" s="84">
        <f t="shared" si="366"/>
        <v>4.0218333333333328E-2</v>
      </c>
      <c r="DZ462" s="75">
        <f t="shared" si="366"/>
        <v>4.0218333333333328E-2</v>
      </c>
      <c r="EA462" s="75">
        <f t="shared" si="366"/>
        <v>3.9499585749792877E-2</v>
      </c>
      <c r="EB462" s="75">
        <f t="shared" si="366"/>
        <v>3.9706754530477756E-2</v>
      </c>
      <c r="EC462" s="75">
        <f t="shared" si="366"/>
        <v>3.960588716271464E-2</v>
      </c>
      <c r="ED462" s="84">
        <f t="shared" si="366"/>
        <v>3.960588716271464E-2</v>
      </c>
      <c r="EE462" s="75">
        <f t="shared" si="366"/>
        <v>4.0520748576078111E-2</v>
      </c>
      <c r="EF462" s="75">
        <f t="shared" si="366"/>
        <v>4.1372973870172323E-2</v>
      </c>
      <c r="EG462" s="75">
        <f t="shared" si="366"/>
        <v>4.2062730104421783E-2</v>
      </c>
      <c r="EH462" s="75">
        <f t="shared" si="366"/>
        <v>4.2593189849113998E-2</v>
      </c>
      <c r="EI462" s="84">
        <f t="shared" si="366"/>
        <v>4.2593189849113998E-2</v>
      </c>
      <c r="EJ462" s="75">
        <f t="shared" si="366"/>
        <v>4.5603499428540292E-2</v>
      </c>
      <c r="EK462" s="75">
        <f t="shared" si="366"/>
        <v>4.7999705853763612E-2</v>
      </c>
      <c r="EL462" s="75">
        <f t="shared" si="366"/>
        <v>4.9907086168241382E-2</v>
      </c>
      <c r="EM462" s="75">
        <f t="shared" si="366"/>
        <v>5.1425360898565677E-2</v>
      </c>
      <c r="EN462" s="75">
        <f t="shared" si="366"/>
        <v>5.2633907583903822E-2</v>
      </c>
      <c r="EO462" s="75">
        <f t="shared" si="366"/>
        <v>5.359591074543299E-2</v>
      </c>
      <c r="EP462" s="75">
        <f t="shared" si="366"/>
        <v>5.4361665262010202E-2</v>
      </c>
      <c r="EQ462" s="75">
        <f t="shared" si="366"/>
        <v>5.4971205857205663E-2</v>
      </c>
      <c r="ER462" s="75">
        <f t="shared" si="366"/>
        <v>5.5456400170981253E-2</v>
      </c>
      <c r="ES462" s="75">
        <f t="shared" si="366"/>
        <v>5.5842614844746619E-2</v>
      </c>
    </row>
    <row r="463" spans="1:149" hidden="1" outlineLevel="1" x14ac:dyDescent="0.3">
      <c r="A463" s="65"/>
      <c r="DU463" s="75"/>
      <c r="DV463" s="75"/>
      <c r="DW463" s="75"/>
      <c r="DX463" s="75"/>
      <c r="DY463" s="84"/>
      <c r="DZ463" s="75"/>
      <c r="EA463" s="75"/>
      <c r="EB463" s="75"/>
      <c r="EC463" s="75"/>
      <c r="ED463" s="84"/>
      <c r="EE463" s="75"/>
      <c r="EF463" s="75"/>
      <c r="EG463" s="75"/>
      <c r="EH463" s="75"/>
      <c r="EI463" s="84"/>
      <c r="EJ463" s="75"/>
      <c r="EK463" s="75"/>
      <c r="EL463" s="75"/>
      <c r="EM463" s="75"/>
      <c r="EN463" s="75"/>
      <c r="EO463" s="75"/>
      <c r="EP463" s="75"/>
      <c r="EQ463" s="75"/>
      <c r="ER463" s="75"/>
      <c r="ES463" s="75"/>
    </row>
    <row r="464" spans="1:149" hidden="1" outlineLevel="1" x14ac:dyDescent="0.3">
      <c r="A464" s="68" t="s">
        <v>3753</v>
      </c>
      <c r="DU464" s="75"/>
      <c r="DV464" s="75"/>
      <c r="DW464" s="75"/>
      <c r="DX464" s="75"/>
      <c r="DY464" s="84"/>
      <c r="DZ464" s="75"/>
      <c r="EA464" s="75"/>
      <c r="EB464" s="75"/>
      <c r="EC464" s="75"/>
      <c r="ED464" s="84"/>
      <c r="EE464" s="75"/>
      <c r="EF464" s="75"/>
      <c r="EG464" s="75"/>
      <c r="EH464" s="75"/>
      <c r="EI464" s="84"/>
      <c r="EJ464" s="75"/>
      <c r="EK464" s="75"/>
      <c r="EL464" s="75"/>
      <c r="EM464" s="75"/>
      <c r="EN464" s="75"/>
      <c r="EO464" s="75"/>
      <c r="EP464" s="75"/>
      <c r="EQ464" s="75"/>
      <c r="ER464" s="75"/>
      <c r="ES464" s="75"/>
    </row>
    <row r="465" spans="1:149" hidden="1" outlineLevel="1" x14ac:dyDescent="0.3">
      <c r="A465" s="67" t="s">
        <v>350</v>
      </c>
      <c r="DU465" s="76">
        <f>+DU468-DU470</f>
        <v>204</v>
      </c>
      <c r="DV465" s="76">
        <f>+DU468</f>
        <v>198</v>
      </c>
      <c r="DW465" s="76">
        <f>+DV468</f>
        <v>192</v>
      </c>
      <c r="DX465" s="76">
        <f>+DW468</f>
        <v>185</v>
      </c>
      <c r="DY465" s="85">
        <f>+DU465</f>
        <v>204</v>
      </c>
      <c r="DZ465" s="76">
        <f>+DY468</f>
        <v>179</v>
      </c>
      <c r="EA465" s="76">
        <f>+DZ468</f>
        <v>171</v>
      </c>
      <c r="EB465" s="76">
        <f>+EA468</f>
        <v>166</v>
      </c>
      <c r="EC465" s="76">
        <f>+EB468</f>
        <v>160</v>
      </c>
      <c r="ED465" s="85">
        <f>+DZ465</f>
        <v>179</v>
      </c>
      <c r="EE465" s="76">
        <f>+ED468</f>
        <v>154</v>
      </c>
      <c r="EF465" s="76">
        <f>+EE468</f>
        <v>149</v>
      </c>
      <c r="EG465" s="76">
        <f>+EF468</f>
        <v>140.94737080435891</v>
      </c>
      <c r="EH465" s="76">
        <f>+EG468</f>
        <v>132.35371806755606</v>
      </c>
      <c r="EI465" s="85">
        <f>+EE465</f>
        <v>154</v>
      </c>
      <c r="EJ465" s="76">
        <f t="shared" ref="EJ465:ES465" si="367">+EI468</f>
        <v>124.30266641764563</v>
      </c>
      <c r="EK465" s="76">
        <f t="shared" si="367"/>
        <v>97.283008461561082</v>
      </c>
      <c r="EL465" s="76">
        <f t="shared" si="367"/>
        <v>76.517825927214602</v>
      </c>
      <c r="EM465" s="76">
        <f t="shared" si="367"/>
        <v>60.561576023090694</v>
      </c>
      <c r="EN465" s="76">
        <f t="shared" si="367"/>
        <v>48.301252342201252</v>
      </c>
      <c r="EO465" s="76">
        <f t="shared" si="367"/>
        <v>38.881311595445808</v>
      </c>
      <c r="EP465" s="76">
        <f t="shared" si="367"/>
        <v>31.64414456247242</v>
      </c>
      <c r="EQ465" s="76">
        <f t="shared" si="367"/>
        <v>26.084305318178174</v>
      </c>
      <c r="ER465" s="76">
        <f t="shared" si="367"/>
        <v>21.813320092362986</v>
      </c>
      <c r="ES465" s="76">
        <f t="shared" si="367"/>
        <v>18.53263126324531</v>
      </c>
    </row>
    <row r="466" spans="1:149" hidden="1" outlineLevel="1" x14ac:dyDescent="0.3">
      <c r="A466" s="67" t="s">
        <v>351</v>
      </c>
      <c r="DU466" s="76">
        <f>+DU468-DU467-DU465</f>
        <v>8.5655999999999892</v>
      </c>
      <c r="DV466" s="76">
        <f>+DV468-DV467-DV465</f>
        <v>9.6816000000000031</v>
      </c>
      <c r="DW466" s="76">
        <f>+DW468-DW467-DW465</f>
        <v>9.7615999999999872</v>
      </c>
      <c r="DX466" s="76">
        <f>+DX468-DX467-DX465</f>
        <v>8.0415000000000134</v>
      </c>
      <c r="DY466" s="85">
        <f>+SUM(DU466:DX466)</f>
        <v>36.050299999999993</v>
      </c>
      <c r="DZ466" s="76">
        <f>+DZ468-DZ467-DZ465</f>
        <v>4.6732000000000085</v>
      </c>
      <c r="EA466" s="76">
        <f>+EA468-EA467-EA465</f>
        <v>5.4139000000000124</v>
      </c>
      <c r="EB466" s="76">
        <f>+EB468-EB467-EB465</f>
        <v>4.5078000000000031</v>
      </c>
      <c r="EC466" s="76">
        <f>+EC468-EC467-EC465</f>
        <v>3.4080000000000155</v>
      </c>
      <c r="ED466" s="85">
        <f>+SUM(DZ466:EC466)</f>
        <v>18.002900000000039</v>
      </c>
      <c r="EE466" s="76">
        <f>+EE468-EE467-EE465</f>
        <v>2.5305999999999926</v>
      </c>
      <c r="EF466" s="76">
        <f>+EF471*AVERAGE(EE382:EF382)</f>
        <v>0.28392080435891109</v>
      </c>
      <c r="EG466" s="76">
        <f>+EG471*AVERAGE(EF382:EG382)</f>
        <v>0.2860316238717574</v>
      </c>
      <c r="EH466" s="76">
        <f>+EH471*AVERAGE(EG382:EH382)</f>
        <v>0.28723258834560367</v>
      </c>
      <c r="EI466" s="85">
        <f>+SUM(EE466:EH466)</f>
        <v>3.3877850165762649</v>
      </c>
      <c r="EJ466" s="76">
        <f t="shared" ref="EJ466:ES466" si="368">+EJ471*AVERAGE(EI382:EJ382)</f>
        <v>1.6203004276111685</v>
      </c>
      <c r="EK466" s="76">
        <f t="shared" si="368"/>
        <v>1.6493110085233968</v>
      </c>
      <c r="EL466" s="76">
        <f t="shared" si="368"/>
        <v>1.6738413346526479</v>
      </c>
      <c r="EM466" s="76">
        <f t="shared" si="368"/>
        <v>1.6933674742515317</v>
      </c>
      <c r="EN466" s="76">
        <f t="shared" si="368"/>
        <v>1.7089102813722428</v>
      </c>
      <c r="EO466" s="76">
        <f t="shared" si="368"/>
        <v>1.7212823558403292</v>
      </c>
      <c r="EP466" s="76">
        <f t="shared" si="368"/>
        <v>1.7311305271169257</v>
      </c>
      <c r="EQ466" s="76">
        <f t="shared" si="368"/>
        <v>1.7389696714530967</v>
      </c>
      <c r="ER466" s="76">
        <f t="shared" si="368"/>
        <v>1.7452096303446889</v>
      </c>
      <c r="ES466" s="76">
        <f t="shared" si="368"/>
        <v>1.7501766376223964</v>
      </c>
    </row>
    <row r="467" spans="1:149" hidden="1" outlineLevel="1" x14ac:dyDescent="0.3">
      <c r="A467" s="67" t="s">
        <v>337</v>
      </c>
      <c r="DU467" s="76">
        <f>+DU472*DU465*-3</f>
        <v>-14.5656</v>
      </c>
      <c r="DV467" s="76">
        <f>+DV472*DV465*-3</f>
        <v>-15.6816</v>
      </c>
      <c r="DW467" s="76">
        <f>+DW472*DW465*-3</f>
        <v>-16.761600000000001</v>
      </c>
      <c r="DX467" s="76">
        <f>+DX472*DX465*-3</f>
        <v>-14.041500000000001</v>
      </c>
      <c r="DY467" s="85">
        <f>+SUM(DU467:DX467)</f>
        <v>-61.0503</v>
      </c>
      <c r="DZ467" s="76">
        <f>+DZ472*DZ465*-3</f>
        <v>-12.673200000000001</v>
      </c>
      <c r="EA467" s="76">
        <f>+EA472*EA465*-3</f>
        <v>-10.4139</v>
      </c>
      <c r="EB467" s="76">
        <f>+EB472*EB465*-3</f>
        <v>-10.5078</v>
      </c>
      <c r="EC467" s="76">
        <f>+EC472*EC465*-3</f>
        <v>-9.4080000000000013</v>
      </c>
      <c r="ED467" s="85">
        <f>+SUM(DZ467:EC467)</f>
        <v>-43.002899999999997</v>
      </c>
      <c r="EE467" s="76">
        <f>+EE472*EE465*-3</f>
        <v>-7.5305999999999997</v>
      </c>
      <c r="EF467" s="76">
        <f>+EF472*EF465*-3</f>
        <v>-8.336549999999999</v>
      </c>
      <c r="EG467" s="76">
        <f>+EG472*EG465*-3</f>
        <v>-8.879684360674613</v>
      </c>
      <c r="EH467" s="76">
        <f>+EH472*EH465*-3</f>
        <v>-8.3382842382560316</v>
      </c>
      <c r="EI467" s="85">
        <f>+SUM(EE467:EH467)</f>
        <v>-33.085118598930642</v>
      </c>
      <c r="EJ467" s="76">
        <f>+EJ472*EJ465*-12</f>
        <v>-28.63995838369571</v>
      </c>
      <c r="EK467" s="76">
        <f t="shared" ref="EK467:ES467" si="369">+EK472*EK465*-12</f>
        <v>-22.414493542869881</v>
      </c>
      <c r="EL467" s="76">
        <f t="shared" si="369"/>
        <v>-17.630091238776554</v>
      </c>
      <c r="EM467" s="76">
        <f t="shared" si="369"/>
        <v>-13.953691155140977</v>
      </c>
      <c r="EN467" s="76">
        <f t="shared" si="369"/>
        <v>-11.128851028127688</v>
      </c>
      <c r="EO467" s="76">
        <f t="shared" si="369"/>
        <v>-8.9584493888137207</v>
      </c>
      <c r="EP467" s="76">
        <f t="shared" si="369"/>
        <v>-7.2909697714111719</v>
      </c>
      <c r="EQ467" s="76">
        <f t="shared" si="369"/>
        <v>-6.0099548972682868</v>
      </c>
      <c r="ER467" s="76">
        <f t="shared" si="369"/>
        <v>-5.0258984594623648</v>
      </c>
      <c r="ES467" s="76">
        <f t="shared" si="369"/>
        <v>-4.2700112830755552</v>
      </c>
    </row>
    <row r="468" spans="1:149" hidden="1" outlineLevel="1" x14ac:dyDescent="0.3">
      <c r="A468" s="64" t="s">
        <v>352</v>
      </c>
      <c r="DU468" s="855">
        <f>+Inputs!DU605</f>
        <v>198</v>
      </c>
      <c r="DV468" s="855">
        <f>+Inputs!DV605</f>
        <v>192</v>
      </c>
      <c r="DW468" s="855">
        <f>+Inputs!DW605</f>
        <v>185</v>
      </c>
      <c r="DX468" s="855">
        <f>+Inputs!DX605</f>
        <v>179</v>
      </c>
      <c r="DY468" s="803">
        <f>+DX468</f>
        <v>179</v>
      </c>
      <c r="DZ468" s="855">
        <f>+Inputs!DZ605</f>
        <v>171</v>
      </c>
      <c r="EA468" s="855">
        <f>+Inputs!EA605</f>
        <v>166</v>
      </c>
      <c r="EB468" s="855">
        <f>+Inputs!EB605</f>
        <v>160</v>
      </c>
      <c r="EC468" s="855">
        <f>+Inputs!EC605</f>
        <v>154</v>
      </c>
      <c r="ED468" s="803">
        <f>+EC468</f>
        <v>154</v>
      </c>
      <c r="EE468" s="855">
        <f>+Inputs!EE605</f>
        <v>149</v>
      </c>
      <c r="EF468" s="850">
        <f>+SUM(EF465:EF467)</f>
        <v>140.94737080435891</v>
      </c>
      <c r="EG468" s="850">
        <f>+SUM(EG465:EG467)</f>
        <v>132.35371806755606</v>
      </c>
      <c r="EH468" s="850">
        <f>+SUM(EH465:EH467)</f>
        <v>124.30266641764563</v>
      </c>
      <c r="EI468" s="803">
        <f>+EH468</f>
        <v>124.30266641764563</v>
      </c>
      <c r="EJ468" s="850">
        <f>+SUM(EJ465:EJ467)</f>
        <v>97.283008461561082</v>
      </c>
      <c r="EK468" s="850">
        <f t="shared" ref="EK468:ES468" si="370">+SUM(EK465:EK467)</f>
        <v>76.517825927214602</v>
      </c>
      <c r="EL468" s="850">
        <f t="shared" si="370"/>
        <v>60.561576023090694</v>
      </c>
      <c r="EM468" s="850">
        <f t="shared" si="370"/>
        <v>48.301252342201252</v>
      </c>
      <c r="EN468" s="850">
        <f t="shared" si="370"/>
        <v>38.881311595445808</v>
      </c>
      <c r="EO468" s="850">
        <f t="shared" si="370"/>
        <v>31.64414456247242</v>
      </c>
      <c r="EP468" s="850">
        <f t="shared" si="370"/>
        <v>26.084305318178174</v>
      </c>
      <c r="EQ468" s="850">
        <f t="shared" si="370"/>
        <v>21.813320092362986</v>
      </c>
      <c r="ER468" s="850">
        <f t="shared" si="370"/>
        <v>18.53263126324531</v>
      </c>
      <c r="ES468" s="850">
        <f t="shared" si="370"/>
        <v>16.012796617792151</v>
      </c>
    </row>
    <row r="469" spans="1:149" hidden="1" outlineLevel="1" x14ac:dyDescent="0.3">
      <c r="A469" s="69" t="s">
        <v>339</v>
      </c>
      <c r="DZ469" s="75">
        <f t="shared" ref="DZ469:EI469" si="371">+DZ468/DU468-1</f>
        <v>-0.13636363636363635</v>
      </c>
      <c r="EA469" s="75">
        <f t="shared" si="371"/>
        <v>-0.13541666666666663</v>
      </c>
      <c r="EB469" s="75">
        <f t="shared" si="371"/>
        <v>-0.13513513513513509</v>
      </c>
      <c r="EC469" s="75">
        <f t="shared" si="371"/>
        <v>-0.13966480446927376</v>
      </c>
      <c r="ED469" s="84">
        <f t="shared" si="371"/>
        <v>-0.13966480446927376</v>
      </c>
      <c r="EE469" s="75">
        <f t="shared" si="371"/>
        <v>-0.12865497076023391</v>
      </c>
      <c r="EF469" s="75">
        <f t="shared" si="371"/>
        <v>-0.15091945298578968</v>
      </c>
      <c r="EG469" s="75">
        <f t="shared" si="371"/>
        <v>-0.17278926207777467</v>
      </c>
      <c r="EH469" s="75">
        <f t="shared" si="371"/>
        <v>-0.19283982845684655</v>
      </c>
      <c r="EI469" s="84">
        <f t="shared" si="371"/>
        <v>-0.19283982845684655</v>
      </c>
      <c r="EJ469" s="75">
        <f t="shared" ref="EJ469:ES469" si="372">+EJ468/EI468-1</f>
        <v>-0.21736989828762765</v>
      </c>
      <c r="EK469" s="75">
        <f t="shared" si="372"/>
        <v>-0.21345127851953016</v>
      </c>
      <c r="EL469" s="75">
        <f t="shared" si="372"/>
        <v>-0.20852983877641573</v>
      </c>
      <c r="EM469" s="75">
        <f t="shared" si="372"/>
        <v>-0.20244393369510183</v>
      </c>
      <c r="EN469" s="75">
        <f t="shared" si="372"/>
        <v>-0.19502477244311855</v>
      </c>
      <c r="EO469" s="75">
        <f t="shared" si="372"/>
        <v>-0.18613484823441717</v>
      </c>
      <c r="EP469" s="75">
        <f t="shared" si="372"/>
        <v>-0.1756988321589138</v>
      </c>
      <c r="EQ469" s="75">
        <f t="shared" si="372"/>
        <v>-0.16373774090271576</v>
      </c>
      <c r="ER469" s="75">
        <f t="shared" si="372"/>
        <v>-0.15039841781198038</v>
      </c>
      <c r="ES469" s="75">
        <f t="shared" si="372"/>
        <v>-0.13596745166190194</v>
      </c>
    </row>
    <row r="470" spans="1:149" hidden="1" outlineLevel="1" x14ac:dyDescent="0.3">
      <c r="A470" s="65" t="s">
        <v>340</v>
      </c>
      <c r="DU470" s="96">
        <f>+DV470</f>
        <v>-6</v>
      </c>
      <c r="DV470" s="503">
        <f>+DV468-DU468</f>
        <v>-6</v>
      </c>
      <c r="DW470" s="503">
        <f>+DW468-DV468</f>
        <v>-7</v>
      </c>
      <c r="DX470" s="503">
        <f>+DX468-DW468</f>
        <v>-6</v>
      </c>
      <c r="DY470" s="856">
        <f>+SUM(DU470:DX470)</f>
        <v>-25</v>
      </c>
      <c r="DZ470" s="503">
        <f>+DZ468-DY468</f>
        <v>-8</v>
      </c>
      <c r="EA470" s="503">
        <f>+EA468-DZ468</f>
        <v>-5</v>
      </c>
      <c r="EB470" s="503">
        <f>+EB468-EA468</f>
        <v>-6</v>
      </c>
      <c r="EC470" s="503">
        <f>+EC468-EB468</f>
        <v>-6</v>
      </c>
      <c r="ED470" s="856">
        <f>+SUM(DZ470:EC470)</f>
        <v>-25</v>
      </c>
      <c r="EE470" s="503">
        <f>+EE468-ED468</f>
        <v>-5</v>
      </c>
      <c r="EF470" s="503">
        <f>+EF468-EE468</f>
        <v>-8.0526291956410887</v>
      </c>
      <c r="EG470" s="503">
        <f>+EG468-EF468</f>
        <v>-8.5936527368028521</v>
      </c>
      <c r="EH470" s="503">
        <f>+EH468-EG468</f>
        <v>-8.0510516499104341</v>
      </c>
      <c r="EI470" s="856">
        <f>+SUM(EE470:EH470)</f>
        <v>-29.697333582354375</v>
      </c>
      <c r="EJ470" s="503">
        <f t="shared" ref="EJ470:ES470" si="373">+EJ468-EI468</f>
        <v>-27.019657956084544</v>
      </c>
      <c r="EK470" s="503">
        <f t="shared" si="373"/>
        <v>-20.765182534346479</v>
      </c>
      <c r="EL470" s="503">
        <f t="shared" si="373"/>
        <v>-15.956249904123908</v>
      </c>
      <c r="EM470" s="503">
        <f t="shared" si="373"/>
        <v>-12.260323680889442</v>
      </c>
      <c r="EN470" s="503">
        <f t="shared" si="373"/>
        <v>-9.4199407467554437</v>
      </c>
      <c r="EO470" s="503">
        <f t="shared" si="373"/>
        <v>-7.2371670329733888</v>
      </c>
      <c r="EP470" s="503">
        <f t="shared" si="373"/>
        <v>-5.5598392442942455</v>
      </c>
      <c r="EQ470" s="503">
        <f t="shared" si="373"/>
        <v>-4.2709852258151884</v>
      </c>
      <c r="ER470" s="503">
        <f t="shared" si="373"/>
        <v>-3.2806888291176755</v>
      </c>
      <c r="ES470" s="503">
        <f t="shared" si="373"/>
        <v>-2.5198346454531588</v>
      </c>
    </row>
    <row r="471" spans="1:149" hidden="1" outlineLevel="1" x14ac:dyDescent="0.3">
      <c r="A471" s="65" t="s">
        <v>341</v>
      </c>
      <c r="DU471" s="75">
        <f>+DU466/AVERAGE(DT373:DU373)</f>
        <v>7.7404560318161642E-4</v>
      </c>
      <c r="DV471" s="75">
        <f>+DV466/AVERAGE(DU373:DV373)</f>
        <v>8.748949182501108E-4</v>
      </c>
      <c r="DW471" s="75">
        <f>+DW466/AVERAGE(DV373:DW373)</f>
        <v>8.8212425983208019E-4</v>
      </c>
      <c r="DX471" s="75">
        <f>+DX466/AVERAGE(DW373:DX373)</f>
        <v>7.2668437914273219E-4</v>
      </c>
      <c r="DY471" s="84">
        <f>+DY466/AVERAGE(DU373:DX373)</f>
        <v>3.2577491604065395E-3</v>
      </c>
      <c r="DZ471" s="75">
        <f>+DZ466/AVERAGE(DY373:DZ373)</f>
        <v>4.2247378767260605E-4</v>
      </c>
      <c r="EA471" s="75">
        <f>+EA466/AVERAGE(DZ373:EA373)</f>
        <v>4.8987310680554492E-4</v>
      </c>
      <c r="EB471" s="75">
        <f>+EB466/AVERAGE(EA373:EB373)</f>
        <v>4.0843252337616112E-4</v>
      </c>
      <c r="EC471" s="75">
        <f>+EC466/AVERAGE(EB373:EC373)</f>
        <v>3.0999725063009454E-4</v>
      </c>
      <c r="ED471" s="84">
        <f>+ED466/AVERAGE(DZ373:EC373)</f>
        <v>1.6332654634548553E-3</v>
      </c>
      <c r="EE471" s="75">
        <f>+EE466/AVERAGE(ED373:EE373)</f>
        <v>2.3207520382451452E-4</v>
      </c>
      <c r="EF471" s="87">
        <f>+EE471</f>
        <v>2.3207520382451452E-4</v>
      </c>
      <c r="EG471" s="87">
        <f>+EF471</f>
        <v>2.3207520382451452E-4</v>
      </c>
      <c r="EH471" s="87">
        <f>+EG471</f>
        <v>2.3207520382451452E-4</v>
      </c>
      <c r="EI471" s="84">
        <f>+EI466/AVERAGE(EE373:EH373)</f>
        <v>3.1779962021621553E-4</v>
      </c>
      <c r="EJ471" s="87">
        <f>+EI471+0.1%</f>
        <v>1.3177996202162155E-3</v>
      </c>
      <c r="EK471" s="87">
        <f t="shared" ref="EK471:ES471" si="374">+EJ471</f>
        <v>1.3177996202162155E-3</v>
      </c>
      <c r="EL471" s="87">
        <f t="shared" si="374"/>
        <v>1.3177996202162155E-3</v>
      </c>
      <c r="EM471" s="87">
        <f t="shared" si="374"/>
        <v>1.3177996202162155E-3</v>
      </c>
      <c r="EN471" s="87">
        <f t="shared" si="374"/>
        <v>1.3177996202162155E-3</v>
      </c>
      <c r="EO471" s="87">
        <f t="shared" si="374"/>
        <v>1.3177996202162155E-3</v>
      </c>
      <c r="EP471" s="87">
        <f t="shared" si="374"/>
        <v>1.3177996202162155E-3</v>
      </c>
      <c r="EQ471" s="87">
        <f t="shared" si="374"/>
        <v>1.3177996202162155E-3</v>
      </c>
      <c r="ER471" s="87">
        <f t="shared" si="374"/>
        <v>1.3177996202162155E-3</v>
      </c>
      <c r="ES471" s="87">
        <f t="shared" si="374"/>
        <v>1.3177996202162155E-3</v>
      </c>
    </row>
    <row r="472" spans="1:149" hidden="1" outlineLevel="1" x14ac:dyDescent="0.3">
      <c r="A472" s="65" t="s">
        <v>342</v>
      </c>
      <c r="DU472" s="75">
        <f t="shared" ref="DU472:ES472" si="375">+DU410</f>
        <v>2.3800000000000002E-2</v>
      </c>
      <c r="DV472" s="75">
        <f t="shared" si="375"/>
        <v>2.64E-2</v>
      </c>
      <c r="DW472" s="75">
        <f t="shared" si="375"/>
        <v>2.9100000000000001E-2</v>
      </c>
      <c r="DX472" s="75">
        <f t="shared" si="375"/>
        <v>2.53E-2</v>
      </c>
      <c r="DY472" s="84">
        <f t="shared" si="375"/>
        <v>2.53E-2</v>
      </c>
      <c r="DZ472" s="75">
        <f t="shared" si="375"/>
        <v>2.3599999999999999E-2</v>
      </c>
      <c r="EA472" s="75">
        <f t="shared" si="375"/>
        <v>2.0299999999999999E-2</v>
      </c>
      <c r="EB472" s="75">
        <f t="shared" si="375"/>
        <v>2.1100000000000001E-2</v>
      </c>
      <c r="EC472" s="75">
        <f t="shared" si="375"/>
        <v>1.9599999999999999E-2</v>
      </c>
      <c r="ED472" s="84">
        <f t="shared" si="375"/>
        <v>1.9599999999999999E-2</v>
      </c>
      <c r="EE472" s="75">
        <f t="shared" si="375"/>
        <v>1.6299999999999999E-2</v>
      </c>
      <c r="EF472" s="75">
        <f t="shared" si="375"/>
        <v>1.865E-2</v>
      </c>
      <c r="EG472" s="75">
        <f t="shared" si="375"/>
        <v>2.1000000000000001E-2</v>
      </c>
      <c r="EH472" s="75">
        <f t="shared" si="375"/>
        <v>2.1000000000000001E-2</v>
      </c>
      <c r="EI472" s="84">
        <f t="shared" si="375"/>
        <v>1.9200418361279059E-2</v>
      </c>
      <c r="EJ472" s="75">
        <f t="shared" si="375"/>
        <v>1.9200418361279059E-2</v>
      </c>
      <c r="EK472" s="75">
        <f t="shared" si="375"/>
        <v>1.9200418361279059E-2</v>
      </c>
      <c r="EL472" s="75">
        <f t="shared" si="375"/>
        <v>1.9200418361279059E-2</v>
      </c>
      <c r="EM472" s="75">
        <f t="shared" si="375"/>
        <v>1.9200418361279059E-2</v>
      </c>
      <c r="EN472" s="75">
        <f t="shared" si="375"/>
        <v>1.9200418361279059E-2</v>
      </c>
      <c r="EO472" s="75">
        <f t="shared" si="375"/>
        <v>1.9200418361279059E-2</v>
      </c>
      <c r="EP472" s="75">
        <f t="shared" si="375"/>
        <v>1.9200418361279059E-2</v>
      </c>
      <c r="EQ472" s="75">
        <f t="shared" si="375"/>
        <v>1.9200418361279059E-2</v>
      </c>
      <c r="ER472" s="75">
        <f t="shared" si="375"/>
        <v>1.9200418361279059E-2</v>
      </c>
      <c r="ES472" s="75">
        <f t="shared" si="375"/>
        <v>1.9200418361279059E-2</v>
      </c>
    </row>
    <row r="473" spans="1:149" hidden="1" outlineLevel="1" x14ac:dyDescent="0.3">
      <c r="A473" s="65" t="s">
        <v>210</v>
      </c>
      <c r="DU473" s="75">
        <f t="shared" ref="DU473:ES473" si="376">+DU468/DU382</f>
        <v>0.16472545757071547</v>
      </c>
      <c r="DV473" s="75">
        <f t="shared" si="376"/>
        <v>0.1606694560669456</v>
      </c>
      <c r="DW473" s="75">
        <f t="shared" si="376"/>
        <v>0.15598650927487354</v>
      </c>
      <c r="DX473" s="75">
        <f t="shared" si="376"/>
        <v>0.15092748735244518</v>
      </c>
      <c r="DY473" s="84">
        <f t="shared" si="376"/>
        <v>0.14891846921797006</v>
      </c>
      <c r="DZ473" s="75">
        <f t="shared" si="376"/>
        <v>0.14369747899159663</v>
      </c>
      <c r="EA473" s="75">
        <f t="shared" si="376"/>
        <v>0.13839488687313445</v>
      </c>
      <c r="EB473" s="75">
        <f t="shared" si="376"/>
        <v>0.13267087883851272</v>
      </c>
      <c r="EC473" s="75">
        <f t="shared" si="376"/>
        <v>0.12701469434571705</v>
      </c>
      <c r="ED473" s="84">
        <f t="shared" si="376"/>
        <v>0.12941176470588237</v>
      </c>
      <c r="EE473" s="75">
        <f t="shared" si="376"/>
        <v>0.12234173577469414</v>
      </c>
      <c r="EF473" s="75">
        <f t="shared" si="376"/>
        <v>0.11469393018501009</v>
      </c>
      <c r="EG473" s="75">
        <f t="shared" si="376"/>
        <v>0.10707442816696044</v>
      </c>
      <c r="EH473" s="75">
        <f t="shared" si="376"/>
        <v>0.1003047712518562</v>
      </c>
      <c r="EI473" s="84">
        <f t="shared" si="376"/>
        <v>0.10206311389904395</v>
      </c>
      <c r="EJ473" s="75">
        <f t="shared" si="376"/>
        <v>7.8378198366697432E-2</v>
      </c>
      <c r="EK473" s="75">
        <f t="shared" si="376"/>
        <v>6.0635611720101179E-2</v>
      </c>
      <c r="EL473" s="75">
        <f t="shared" si="376"/>
        <v>4.7371870046616638E-2</v>
      </c>
      <c r="EM473" s="75">
        <f t="shared" si="376"/>
        <v>3.7397511317853856E-2</v>
      </c>
      <c r="EN473" s="75">
        <f t="shared" si="376"/>
        <v>2.9862343270534095E-2</v>
      </c>
      <c r="EO473" s="75">
        <f t="shared" si="376"/>
        <v>2.4149565017030059E-2</v>
      </c>
      <c r="EP473" s="75">
        <f t="shared" si="376"/>
        <v>1.980638467124389E-2</v>
      </c>
      <c r="EQ473" s="75">
        <f t="shared" si="376"/>
        <v>1.649727872915846E-2</v>
      </c>
      <c r="ER473" s="75">
        <f t="shared" si="376"/>
        <v>1.3971762354891571E-2</v>
      </c>
      <c r="ES473" s="75">
        <f t="shared" si="376"/>
        <v>1.2041726551944194E-2</v>
      </c>
    </row>
    <row r="474" spans="1:149" hidden="1" outlineLevel="1" x14ac:dyDescent="0.3">
      <c r="A474" s="65"/>
      <c r="DU474" s="75"/>
      <c r="DV474" s="75"/>
      <c r="DW474" s="75"/>
      <c r="DX474" s="75"/>
      <c r="DY474" s="84"/>
      <c r="DZ474" s="75"/>
      <c r="EA474" s="75"/>
      <c r="EB474" s="75"/>
      <c r="EC474" s="75"/>
      <c r="ED474" s="84"/>
      <c r="EE474" s="75"/>
      <c r="EF474" s="75"/>
      <c r="EG474" s="75"/>
      <c r="EH474" s="75"/>
      <c r="EI474" s="84"/>
      <c r="EJ474" s="75"/>
      <c r="EK474" s="75"/>
      <c r="EL474" s="75"/>
      <c r="EM474" s="75"/>
      <c r="EN474" s="75"/>
      <c r="EO474" s="75"/>
      <c r="EP474" s="75"/>
      <c r="EQ474" s="75"/>
      <c r="ER474" s="75"/>
      <c r="ES474" s="75"/>
    </row>
    <row r="475" spans="1:149" hidden="1" outlineLevel="1" x14ac:dyDescent="0.3">
      <c r="A475" s="68" t="s">
        <v>4049</v>
      </c>
      <c r="DU475" s="75"/>
      <c r="DV475" s="75"/>
      <c r="DW475" s="75"/>
      <c r="DX475" s="75"/>
      <c r="DY475" s="84"/>
      <c r="DZ475" s="75"/>
      <c r="EA475" s="75"/>
      <c r="EB475" s="75"/>
      <c r="EC475" s="75"/>
      <c r="ED475" s="84"/>
      <c r="EE475" s="75"/>
      <c r="EF475" s="75"/>
      <c r="EG475" s="75"/>
      <c r="EH475" s="75"/>
      <c r="EI475" s="84"/>
      <c r="EJ475" s="75"/>
      <c r="EK475" s="75"/>
      <c r="EL475" s="75"/>
      <c r="EM475" s="75"/>
      <c r="EN475" s="75"/>
      <c r="EO475" s="75"/>
      <c r="EP475" s="75"/>
      <c r="EQ475" s="75"/>
      <c r="ER475" s="75"/>
      <c r="ES475" s="75"/>
    </row>
    <row r="476" spans="1:149" hidden="1" outlineLevel="1" x14ac:dyDescent="0.3">
      <c r="A476" s="67" t="s">
        <v>350</v>
      </c>
      <c r="DU476" s="76">
        <f>+DU479-DU481</f>
        <v>321</v>
      </c>
      <c r="DV476" s="76">
        <f>+DU479</f>
        <v>315</v>
      </c>
      <c r="DW476" s="76">
        <f>+DV479</f>
        <v>309</v>
      </c>
      <c r="DX476" s="76">
        <f>+DW479</f>
        <v>302</v>
      </c>
      <c r="DY476" s="85">
        <f>+DU476</f>
        <v>321</v>
      </c>
      <c r="DZ476" s="76">
        <f>+DY479</f>
        <v>297</v>
      </c>
      <c r="EA476" s="76">
        <f>+DZ479</f>
        <v>289</v>
      </c>
      <c r="EB476" s="76">
        <f>+EA479</f>
        <v>282</v>
      </c>
      <c r="EC476" s="76">
        <f>+EB479</f>
        <v>277</v>
      </c>
      <c r="ED476" s="85">
        <f>+DZ476</f>
        <v>297</v>
      </c>
      <c r="EE476" s="76">
        <f>+ED479</f>
        <v>271</v>
      </c>
      <c r="EF476" s="76">
        <f>+EE479</f>
        <v>269</v>
      </c>
      <c r="EG476" s="76">
        <f>+EF479</f>
        <v>263.47118980783307</v>
      </c>
      <c r="EH476" s="76">
        <f>+EG479</f>
        <v>256.92021276233766</v>
      </c>
      <c r="EI476" s="85">
        <f>+EE476</f>
        <v>271</v>
      </c>
      <c r="EJ476" s="76">
        <f>+EI479</f>
        <v>250.44008888646758</v>
      </c>
      <c r="EK476" s="76">
        <f t="shared" ref="EK476:ES476" si="377">+EJ479</f>
        <v>232.33529954029848</v>
      </c>
      <c r="EL476" s="76">
        <f t="shared" si="377"/>
        <v>218.66635241944468</v>
      </c>
      <c r="EM476" s="76">
        <f t="shared" si="377"/>
        <v>208.35870590446098</v>
      </c>
      <c r="EN476" s="76">
        <f t="shared" si="377"/>
        <v>200.59467052132709</v>
      </c>
      <c r="EO476" s="76">
        <f t="shared" si="377"/>
        <v>194.7537752595851</v>
      </c>
      <c r="EP476" s="76">
        <f t="shared" si="377"/>
        <v>190.36552843268242</v>
      </c>
      <c r="EQ476" s="76">
        <f t="shared" si="377"/>
        <v>187.07342967242045</v>
      </c>
      <c r="ER476" s="76">
        <f t="shared" si="377"/>
        <v>184.60756587189496</v>
      </c>
      <c r="ES476" s="76">
        <f t="shared" si="377"/>
        <v>182.76375369730789</v>
      </c>
    </row>
    <row r="477" spans="1:149" hidden="1" outlineLevel="1" x14ac:dyDescent="0.3">
      <c r="A477" s="67" t="s">
        <v>351</v>
      </c>
      <c r="DU477" s="76">
        <f>+DU479-DU478-DU476</f>
        <v>18.456674300071768</v>
      </c>
      <c r="DV477" s="76">
        <f>+DV479-DV478-DV476</f>
        <v>19.643567934782595</v>
      </c>
      <c r="DW477" s="76">
        <f>+DW479-DW478-DW476</f>
        <v>19.08285083056478</v>
      </c>
      <c r="DX477" s="76">
        <f>+DX479-DX478-DX476</f>
        <v>16.750335187969938</v>
      </c>
      <c r="DY477" s="85">
        <f>+SUM(DU477:DX477)</f>
        <v>73.933428253389081</v>
      </c>
      <c r="DZ477" s="76">
        <f>+DZ479-DZ478-DZ476</f>
        <v>11.463631042545387</v>
      </c>
      <c r="EA477" s="76">
        <f>+EA479-EA478-EA476</f>
        <v>8.6598147143431561</v>
      </c>
      <c r="EB477" s="76">
        <f>+EB479-EB478-EB476</f>
        <v>11.683959287813195</v>
      </c>
      <c r="EC477" s="76">
        <f>+EC479-EC478-EC476</f>
        <v>8.7796376881343008</v>
      </c>
      <c r="ED477" s="85">
        <f>+SUM(DZ477:EC477)</f>
        <v>40.587042732836039</v>
      </c>
      <c r="EE477" s="76">
        <f t="shared" ref="EE477:ES477" si="378">+EE479-EE478-EE476</f>
        <v>10.365166211975179</v>
      </c>
      <c r="EF477" s="76">
        <f t="shared" si="378"/>
        <v>8.2681319471560073</v>
      </c>
      <c r="EG477" s="76">
        <f t="shared" si="378"/>
        <v>8.2510606545955625</v>
      </c>
      <c r="EH477" s="76">
        <f t="shared" si="378"/>
        <v>8.3899760058643551</v>
      </c>
      <c r="EI477" s="85">
        <f>+SUM(EE477:EH477)</f>
        <v>35.274334819591104</v>
      </c>
      <c r="EJ477" s="76">
        <f t="shared" si="378"/>
        <v>37.846678518728737</v>
      </c>
      <c r="EK477" s="76">
        <f t="shared" si="378"/>
        <v>39.515792021682273</v>
      </c>
      <c r="EL477" s="76">
        <f t="shared" si="378"/>
        <v>40.806965997298022</v>
      </c>
      <c r="EM477" s="76">
        <f t="shared" si="378"/>
        <v>41.627322671505283</v>
      </c>
      <c r="EN477" s="76">
        <f t="shared" si="378"/>
        <v>42.038215351254081</v>
      </c>
      <c r="EO477" s="76">
        <f t="shared" si="378"/>
        <v>42.082818233223065</v>
      </c>
      <c r="EP477" s="76">
        <f t="shared" si="378"/>
        <v>41.869067340436459</v>
      </c>
      <c r="EQ477" s="76">
        <f t="shared" si="378"/>
        <v>41.182431613674083</v>
      </c>
      <c r="ER477" s="76">
        <f t="shared" si="378"/>
        <v>38.756961590611667</v>
      </c>
      <c r="ES477" s="76">
        <f t="shared" si="378"/>
        <v>37.869761509062499</v>
      </c>
    </row>
    <row r="478" spans="1:149" hidden="1" outlineLevel="1" x14ac:dyDescent="0.3">
      <c r="A478" s="67" t="s">
        <v>337</v>
      </c>
      <c r="DU478" s="76">
        <f>+DU483*DU476*-3</f>
        <v>-24.456674300071789</v>
      </c>
      <c r="DV478" s="76">
        <f>+DV483*DV476*-3</f>
        <v>-25.643567934782581</v>
      </c>
      <c r="DW478" s="76">
        <f>+DW483*DW476*-3</f>
        <v>-26.082850830564766</v>
      </c>
      <c r="DX478" s="76">
        <f>+DX483*DX476*-3</f>
        <v>-21.750335187969931</v>
      </c>
      <c r="DY478" s="85">
        <f>+SUM(DU478:DX478)</f>
        <v>-97.933428253389081</v>
      </c>
      <c r="DZ478" s="76">
        <f>+DZ483*DZ476*-3</f>
        <v>-19.463631042545405</v>
      </c>
      <c r="EA478" s="76">
        <f>+EA483*EA476*-3</f>
        <v>-15.65981471434317</v>
      </c>
      <c r="EB478" s="76">
        <f>+EB483*EB476*-3</f>
        <v>-16.683959287813167</v>
      </c>
      <c r="EC478" s="76">
        <f>+EC483*EC476*-3</f>
        <v>-14.77963768813432</v>
      </c>
      <c r="ED478" s="85">
        <f>+SUM(DZ478:EC478)</f>
        <v>-66.587042732836053</v>
      </c>
      <c r="EE478" s="76">
        <f>+EE483*EE476*-3</f>
        <v>-12.365166211975168</v>
      </c>
      <c r="EF478" s="76">
        <f>+EF483*EF476*-3</f>
        <v>-13.796942139322958</v>
      </c>
      <c r="EG478" s="76">
        <f>+EG483*EG476*-3</f>
        <v>-14.80203770009096</v>
      </c>
      <c r="EH478" s="76">
        <f>+EH483*EH476*-3</f>
        <v>-14.870099881734419</v>
      </c>
      <c r="EI478" s="85">
        <f>+SUM(EE478:EH478)</f>
        <v>-55.834245933123505</v>
      </c>
      <c r="EJ478" s="76">
        <f>+EJ483*EJ476*-12</f>
        <v>-55.951467864897829</v>
      </c>
      <c r="EK478" s="76">
        <f t="shared" ref="EK478:ES478" si="379">+EK483*EK476*-12</f>
        <v>-53.184739142536088</v>
      </c>
      <c r="EL478" s="76">
        <f t="shared" si="379"/>
        <v>-51.114612512281738</v>
      </c>
      <c r="EM478" s="76">
        <f t="shared" si="379"/>
        <v>-49.391358054639156</v>
      </c>
      <c r="EN478" s="76">
        <f t="shared" si="379"/>
        <v>-47.87911061299608</v>
      </c>
      <c r="EO478" s="76">
        <f t="shared" si="379"/>
        <v>-46.471065060125724</v>
      </c>
      <c r="EP478" s="76">
        <f t="shared" si="379"/>
        <v>-45.161166100698431</v>
      </c>
      <c r="EQ478" s="76">
        <f t="shared" si="379"/>
        <v>-43.648295414199573</v>
      </c>
      <c r="ER478" s="76">
        <f t="shared" si="379"/>
        <v>-40.600773765198731</v>
      </c>
      <c r="ES478" s="76">
        <f t="shared" si="379"/>
        <v>-39.245842337509309</v>
      </c>
    </row>
    <row r="479" spans="1:149" hidden="1" outlineLevel="1" x14ac:dyDescent="0.3">
      <c r="A479" s="64" t="s">
        <v>352</v>
      </c>
      <c r="DU479" s="850">
        <f>+DU468+DU457</f>
        <v>315</v>
      </c>
      <c r="DV479" s="850">
        <f>+DV468+DV457</f>
        <v>309</v>
      </c>
      <c r="DW479" s="850">
        <f>+DW468+DW457</f>
        <v>302</v>
      </c>
      <c r="DX479" s="850">
        <f>+DX468+DX457</f>
        <v>297</v>
      </c>
      <c r="DY479" s="803">
        <f>+DX479</f>
        <v>297</v>
      </c>
      <c r="DZ479" s="850">
        <f>+DZ468+DZ457</f>
        <v>289</v>
      </c>
      <c r="EA479" s="850">
        <f>+EA468+EA457</f>
        <v>282</v>
      </c>
      <c r="EB479" s="850">
        <f>+EB468+EB457</f>
        <v>277</v>
      </c>
      <c r="EC479" s="850">
        <f>+EC468+EC457</f>
        <v>271</v>
      </c>
      <c r="ED479" s="803">
        <f>+EC479</f>
        <v>271</v>
      </c>
      <c r="EE479" s="850">
        <f>+EE468+EE457</f>
        <v>269</v>
      </c>
      <c r="EF479" s="850">
        <f t="shared" ref="EF479:ES479" si="380">+EF468+EF457</f>
        <v>263.47118980783307</v>
      </c>
      <c r="EG479" s="850">
        <f t="shared" si="380"/>
        <v>256.92021276233766</v>
      </c>
      <c r="EH479" s="850">
        <f t="shared" si="380"/>
        <v>250.44008888646758</v>
      </c>
      <c r="EI479" s="803">
        <f>+EH479</f>
        <v>250.44008888646758</v>
      </c>
      <c r="EJ479" s="850">
        <f t="shared" si="380"/>
        <v>232.33529954029848</v>
      </c>
      <c r="EK479" s="850">
        <f t="shared" si="380"/>
        <v>218.66635241944468</v>
      </c>
      <c r="EL479" s="850">
        <f t="shared" si="380"/>
        <v>208.35870590446098</v>
      </c>
      <c r="EM479" s="850">
        <f t="shared" si="380"/>
        <v>200.59467052132709</v>
      </c>
      <c r="EN479" s="850">
        <f t="shared" si="380"/>
        <v>194.7537752595851</v>
      </c>
      <c r="EO479" s="850">
        <f t="shared" si="380"/>
        <v>190.36552843268242</v>
      </c>
      <c r="EP479" s="850">
        <f t="shared" si="380"/>
        <v>187.07342967242045</v>
      </c>
      <c r="EQ479" s="850">
        <f t="shared" si="380"/>
        <v>184.60756587189496</v>
      </c>
      <c r="ER479" s="850">
        <f t="shared" si="380"/>
        <v>182.76375369730789</v>
      </c>
      <c r="ES479" s="850">
        <f t="shared" si="380"/>
        <v>181.38767286886107</v>
      </c>
    </row>
    <row r="480" spans="1:149" hidden="1" outlineLevel="1" x14ac:dyDescent="0.3">
      <c r="A480" s="69" t="s">
        <v>339</v>
      </c>
      <c r="DZ480" s="75">
        <f t="shared" ref="DZ480:EI480" si="381">+DZ479/DU479-1</f>
        <v>-8.253968253968258E-2</v>
      </c>
      <c r="EA480" s="75">
        <f t="shared" si="381"/>
        <v>-8.737864077669899E-2</v>
      </c>
      <c r="EB480" s="75">
        <f t="shared" si="381"/>
        <v>-8.2781456953642363E-2</v>
      </c>
      <c r="EC480" s="75">
        <f t="shared" si="381"/>
        <v>-8.7542087542087588E-2</v>
      </c>
      <c r="ED480" s="84">
        <f t="shared" si="381"/>
        <v>-8.7542087542087588E-2</v>
      </c>
      <c r="EE480" s="75">
        <f t="shared" si="381"/>
        <v>-6.9204152249134898E-2</v>
      </c>
      <c r="EF480" s="75">
        <f t="shared" si="381"/>
        <v>-6.5705000681443027E-2</v>
      </c>
      <c r="EG480" s="75">
        <f t="shared" si="381"/>
        <v>-7.2490206634160059E-2</v>
      </c>
      <c r="EH480" s="75">
        <f t="shared" si="381"/>
        <v>-7.5866830677241426E-2</v>
      </c>
      <c r="EI480" s="84">
        <f t="shared" si="381"/>
        <v>-7.5866830677241426E-2</v>
      </c>
      <c r="EJ480" s="75">
        <f>+EJ479/EI479-1</f>
        <v>-7.2291897941214045E-2</v>
      </c>
      <c r="EK480" s="75">
        <f t="shared" ref="EK480:ES480" si="382">+EK479/EJ479-1</f>
        <v>-5.8832846958251084E-2</v>
      </c>
      <c r="EL480" s="75">
        <f t="shared" si="382"/>
        <v>-4.7138695098419281E-2</v>
      </c>
      <c r="EM480" s="75">
        <f t="shared" si="382"/>
        <v>-3.7262831660578422E-2</v>
      </c>
      <c r="EN480" s="75">
        <f t="shared" si="382"/>
        <v>-2.9117898529218311E-2</v>
      </c>
      <c r="EO480" s="75">
        <f t="shared" si="382"/>
        <v>-2.2532281189690084E-2</v>
      </c>
      <c r="EP480" s="75">
        <f t="shared" si="382"/>
        <v>-1.7293565633266117E-2</v>
      </c>
      <c r="EQ480" s="75">
        <f t="shared" si="382"/>
        <v>-1.3181261523046883E-2</v>
      </c>
      <c r="ER480" s="75">
        <f t="shared" si="382"/>
        <v>-9.9877389416778151E-3</v>
      </c>
      <c r="ES480" s="75">
        <f t="shared" si="382"/>
        <v>-7.5292874030474799E-3</v>
      </c>
    </row>
    <row r="481" spans="1:150" hidden="1" outlineLevel="1" x14ac:dyDescent="0.3">
      <c r="A481" s="65" t="s">
        <v>340</v>
      </c>
      <c r="DU481" s="503">
        <f>+DU470+DU459</f>
        <v>-6</v>
      </c>
      <c r="DV481" s="503">
        <f>+DV479-DU479</f>
        <v>-6</v>
      </c>
      <c r="DW481" s="503">
        <f t="shared" ref="DW481:EF481" si="383">+DW479-DV479</f>
        <v>-7</v>
      </c>
      <c r="DX481" s="503">
        <f t="shared" si="383"/>
        <v>-5</v>
      </c>
      <c r="DY481" s="856">
        <f>+SUM(DU481:DX481)</f>
        <v>-24</v>
      </c>
      <c r="DZ481" s="503">
        <f t="shared" si="383"/>
        <v>-8</v>
      </c>
      <c r="EA481" s="503">
        <f t="shared" si="383"/>
        <v>-7</v>
      </c>
      <c r="EB481" s="503">
        <f t="shared" si="383"/>
        <v>-5</v>
      </c>
      <c r="EC481" s="503">
        <f t="shared" si="383"/>
        <v>-6</v>
      </c>
      <c r="ED481" s="856">
        <f>+SUM(DZ481:EC481)</f>
        <v>-26</v>
      </c>
      <c r="EE481" s="503">
        <f t="shared" si="383"/>
        <v>-2</v>
      </c>
      <c r="EF481" s="503">
        <f t="shared" si="383"/>
        <v>-5.5288101921669295</v>
      </c>
      <c r="EG481" s="503">
        <f>+EG479-EF479</f>
        <v>-6.550977045495415</v>
      </c>
      <c r="EH481" s="503">
        <f>+EH479-EG479</f>
        <v>-6.4801238758700777</v>
      </c>
      <c r="EI481" s="856">
        <f>+SUM(EE481:EH481)</f>
        <v>-20.559911113532422</v>
      </c>
      <c r="EJ481" s="503">
        <f t="shared" ref="EJ481:ES481" si="384">+EJ479-EI479</f>
        <v>-18.104789346169099</v>
      </c>
      <c r="EK481" s="503">
        <f t="shared" si="384"/>
        <v>-13.668947120853801</v>
      </c>
      <c r="EL481" s="503">
        <f t="shared" si="384"/>
        <v>-10.307646514983702</v>
      </c>
      <c r="EM481" s="503">
        <f t="shared" si="384"/>
        <v>-7.7640353831338871</v>
      </c>
      <c r="EN481" s="503">
        <f t="shared" si="384"/>
        <v>-5.8408952617419914</v>
      </c>
      <c r="EO481" s="503">
        <f t="shared" si="384"/>
        <v>-4.3882468269026731</v>
      </c>
      <c r="EP481" s="503">
        <f t="shared" si="384"/>
        <v>-3.2920987602619789</v>
      </c>
      <c r="EQ481" s="503">
        <f t="shared" si="384"/>
        <v>-2.4658638005254829</v>
      </c>
      <c r="ER481" s="503">
        <f t="shared" si="384"/>
        <v>-1.8438121745870717</v>
      </c>
      <c r="ES481" s="503">
        <f t="shared" si="384"/>
        <v>-1.3760808284468169</v>
      </c>
    </row>
    <row r="482" spans="1:150" hidden="1" outlineLevel="1" x14ac:dyDescent="0.3">
      <c r="A482" s="65" t="s">
        <v>341</v>
      </c>
      <c r="DU482" s="75">
        <f>+DU477/AVERAGE(DT374:DU374)</f>
        <v>1.3183338785765549E-3</v>
      </c>
      <c r="DV482" s="75">
        <f>+DV477/AVERAGE(DU374:DV374)</f>
        <v>1.4031119953416139E-3</v>
      </c>
      <c r="DW482" s="75">
        <f>+DW477/AVERAGE(DV374:DW374)</f>
        <v>1.3630607736117701E-3</v>
      </c>
      <c r="DX482" s="75">
        <f>+DX477/AVERAGE(DW374:DX374)</f>
        <v>1.1964525134264242E-3</v>
      </c>
      <c r="DY482" s="84">
        <f>+DY477/AVERAGE(DU374:DX374)</f>
        <v>5.2809591609563628E-3</v>
      </c>
      <c r="DZ482" s="75">
        <f>+DZ477/AVERAGE(DY374:DZ374)</f>
        <v>8.1883078875324197E-4</v>
      </c>
      <c r="EA482" s="75">
        <f>+EA477/AVERAGE(DZ374:EA374)</f>
        <v>6.1855819388165396E-4</v>
      </c>
      <c r="EB482" s="75">
        <f>+EB477/AVERAGE(EA374:EB374)</f>
        <v>8.345685205580854E-4</v>
      </c>
      <c r="EC482" s="75">
        <f>+EC477/AVERAGE(EB374:EC374)</f>
        <v>6.2711697772387858E-4</v>
      </c>
      <c r="ED482" s="84">
        <f>+ED477/AVERAGE(DZ374:EC374)</f>
        <v>2.8990744809168599E-3</v>
      </c>
      <c r="EE482" s="75">
        <f>+EE477/AVERAGE(ED374:EE374)</f>
        <v>7.4036901514108419E-4</v>
      </c>
      <c r="EF482" s="75">
        <f>+EF477/AVERAGE(EE374:EF374)</f>
        <v>5.9058085336828625E-4</v>
      </c>
      <c r="EG482" s="75">
        <f>+EG477/AVERAGE(EF374:EG374)</f>
        <v>5.8936147532825446E-4</v>
      </c>
      <c r="EH482" s="75">
        <f>+EH477/AVERAGE(EG374:EH374)</f>
        <v>5.9928400041888254E-4</v>
      </c>
      <c r="EI482" s="84">
        <f>+EI477/AVERAGE(EE374:EH374)</f>
        <v>2.5195953442565073E-3</v>
      </c>
      <c r="EJ482" s="75">
        <f>+EJ477/AVERAGE(EI374:EJ374)</f>
        <v>2.7033341799091956E-3</v>
      </c>
      <c r="EK482" s="75">
        <f t="shared" ref="EK482:ES482" si="385">+EK477/AVERAGE(EJ374:EK374)</f>
        <v>2.8225565729773053E-3</v>
      </c>
      <c r="EL482" s="75">
        <f t="shared" si="385"/>
        <v>2.9147832855212874E-3</v>
      </c>
      <c r="EM482" s="75">
        <f t="shared" si="385"/>
        <v>2.9733801908218061E-3</v>
      </c>
      <c r="EN482" s="75">
        <f t="shared" si="385"/>
        <v>3.0027296679467201E-3</v>
      </c>
      <c r="EO482" s="75">
        <f t="shared" si="385"/>
        <v>3.0059155880873619E-3</v>
      </c>
      <c r="EP482" s="75">
        <f t="shared" si="385"/>
        <v>2.990647667174033E-3</v>
      </c>
      <c r="EQ482" s="75">
        <f t="shared" si="385"/>
        <v>2.9416022581195776E-3</v>
      </c>
      <c r="ER482" s="75">
        <f t="shared" si="385"/>
        <v>2.7683543993294048E-3</v>
      </c>
      <c r="ES482" s="75">
        <f t="shared" si="385"/>
        <v>2.6848466153181496E-3</v>
      </c>
    </row>
    <row r="483" spans="1:150" hidden="1" outlineLevel="1" x14ac:dyDescent="0.3">
      <c r="A483" s="65" t="s">
        <v>342</v>
      </c>
      <c r="DU483" s="75">
        <f t="shared" ref="DU483:ES483" si="386">+DU420</f>
        <v>2.5396338837042357E-2</v>
      </c>
      <c r="DV483" s="75">
        <f t="shared" si="386"/>
        <v>2.7136050724637654E-2</v>
      </c>
      <c r="DW483" s="75">
        <f t="shared" si="386"/>
        <v>2.8136840162421541E-2</v>
      </c>
      <c r="DX483" s="75">
        <f t="shared" si="386"/>
        <v>2.4006992481203016E-2</v>
      </c>
      <c r="DY483" s="84">
        <f t="shared" si="386"/>
        <v>2.6177828676133757E-2</v>
      </c>
      <c r="DZ483" s="75">
        <f t="shared" si="386"/>
        <v>2.1844703751453878E-2</v>
      </c>
      <c r="EA483" s="75">
        <f t="shared" si="386"/>
        <v>1.8062070028077474E-2</v>
      </c>
      <c r="EB483" s="75">
        <f t="shared" si="386"/>
        <v>1.9720992065973011E-2</v>
      </c>
      <c r="EC483" s="75">
        <f t="shared" si="386"/>
        <v>1.7785364245649003E-2</v>
      </c>
      <c r="ED483" s="84">
        <f t="shared" si="386"/>
        <v>1.9359630376504938E-2</v>
      </c>
      <c r="EE483" s="75">
        <f t="shared" si="386"/>
        <v>1.5209306533794794E-2</v>
      </c>
      <c r="EF483" s="75">
        <f t="shared" si="386"/>
        <v>1.7096582576608375E-2</v>
      </c>
      <c r="EG483" s="75">
        <f t="shared" si="386"/>
        <v>1.8726952917682147E-2</v>
      </c>
      <c r="EH483" s="75">
        <f t="shared" si="386"/>
        <v>1.9292759831097066E-2</v>
      </c>
      <c r="EI483" s="84">
        <f t="shared" si="386"/>
        <v>1.7575527999391865E-2</v>
      </c>
      <c r="EJ483" s="75">
        <f t="shared" si="386"/>
        <v>1.8617715489585747E-2</v>
      </c>
      <c r="EK483" s="75">
        <f t="shared" si="386"/>
        <v>1.9076143848914363E-2</v>
      </c>
      <c r="EL483" s="75">
        <f t="shared" si="386"/>
        <v>1.9479682153015914E-2</v>
      </c>
      <c r="EM483" s="75">
        <f t="shared" si="386"/>
        <v>1.9754137398225895E-2</v>
      </c>
      <c r="EN483" s="75">
        <f t="shared" si="386"/>
        <v>1.9890487987775995E-2</v>
      </c>
      <c r="EO483" s="75">
        <f t="shared" si="386"/>
        <v>1.9884537538996341E-2</v>
      </c>
      <c r="EP483" s="75">
        <f t="shared" si="386"/>
        <v>1.9769495766258808E-2</v>
      </c>
      <c r="EQ483" s="75">
        <f t="shared" si="386"/>
        <v>1.9443477128486836E-2</v>
      </c>
      <c r="ER483" s="75">
        <f t="shared" si="386"/>
        <v>1.8327514356125618E-2</v>
      </c>
      <c r="ES483" s="75">
        <f t="shared" si="386"/>
        <v>1.7894614196180648E-2</v>
      </c>
    </row>
    <row r="484" spans="1:150" hidden="1" outlineLevel="1" x14ac:dyDescent="0.3">
      <c r="A484" s="65" t="s">
        <v>210</v>
      </c>
      <c r="DU484" s="75">
        <f t="shared" ref="DU484:ES484" si="387">+DU479/DU374</f>
        <v>2.2499999999999999E-2</v>
      </c>
      <c r="DV484" s="75">
        <f t="shared" si="387"/>
        <v>2.2071428571428572E-2</v>
      </c>
      <c r="DW484" s="75">
        <f t="shared" si="387"/>
        <v>2.1571428571428571E-2</v>
      </c>
      <c r="DX484" s="75">
        <f t="shared" si="387"/>
        <v>2.1214285714285713E-2</v>
      </c>
      <c r="DY484" s="84">
        <f t="shared" si="387"/>
        <v>2.1214285714285713E-2</v>
      </c>
      <c r="DZ484" s="75">
        <f t="shared" si="387"/>
        <v>2.0642857142857143E-2</v>
      </c>
      <c r="EA484" s="75">
        <f t="shared" si="387"/>
        <v>2.0142857142857143E-2</v>
      </c>
      <c r="EB484" s="75">
        <f t="shared" si="387"/>
        <v>1.9785714285714285E-2</v>
      </c>
      <c r="EC484" s="75">
        <f t="shared" si="387"/>
        <v>1.9357142857142857E-2</v>
      </c>
      <c r="ED484" s="84">
        <f t="shared" si="387"/>
        <v>1.9357142857142857E-2</v>
      </c>
      <c r="EE484" s="75">
        <f t="shared" si="387"/>
        <v>1.9214285714285715E-2</v>
      </c>
      <c r="EF484" s="75">
        <f t="shared" si="387"/>
        <v>1.8819370700559505E-2</v>
      </c>
      <c r="EG484" s="75">
        <f t="shared" si="387"/>
        <v>1.8351443768738405E-2</v>
      </c>
      <c r="EH484" s="75">
        <f t="shared" si="387"/>
        <v>1.7888577777604827E-2</v>
      </c>
      <c r="EI484" s="84">
        <f t="shared" si="387"/>
        <v>1.7888577777604827E-2</v>
      </c>
      <c r="EJ484" s="75">
        <f t="shared" si="387"/>
        <v>1.6595378538592748E-2</v>
      </c>
      <c r="EK484" s="75">
        <f t="shared" si="387"/>
        <v>1.5619025172817477E-2</v>
      </c>
      <c r="EL484" s="75">
        <f t="shared" si="387"/>
        <v>1.4882764707461499E-2</v>
      </c>
      <c r="EM484" s="75">
        <f t="shared" si="387"/>
        <v>1.4328190751523364E-2</v>
      </c>
      <c r="EN484" s="75">
        <f t="shared" si="387"/>
        <v>1.3910983947113221E-2</v>
      </c>
      <c r="EO484" s="75">
        <f t="shared" si="387"/>
        <v>1.3597537745191601E-2</v>
      </c>
      <c r="EP484" s="75">
        <f t="shared" si="387"/>
        <v>1.3362387833744318E-2</v>
      </c>
      <c r="EQ484" s="75">
        <f t="shared" si="387"/>
        <v>1.3186254705135354E-2</v>
      </c>
      <c r="ER484" s="75">
        <f t="shared" si="387"/>
        <v>1.3054553835521992E-2</v>
      </c>
      <c r="ES484" s="75">
        <f t="shared" si="387"/>
        <v>1.27647904904195E-2</v>
      </c>
    </row>
    <row r="485" spans="1:150" hidden="1" outlineLevel="1" x14ac:dyDescent="0.3">
      <c r="A485" s="71"/>
    </row>
    <row r="486" spans="1:150" hidden="1" outlineLevel="1" x14ac:dyDescent="0.3">
      <c r="A486" s="43" t="s">
        <v>4050</v>
      </c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43"/>
      <c r="AU486" s="43"/>
      <c r="AV486" s="43"/>
      <c r="AW486" s="43"/>
      <c r="AX486" s="43"/>
      <c r="AY486" s="43"/>
      <c r="AZ486" s="43"/>
      <c r="BA486" s="43"/>
      <c r="BB486" s="43"/>
      <c r="BC486" s="43"/>
      <c r="BD486" s="43"/>
      <c r="BE486" s="43"/>
      <c r="BF486" s="43"/>
      <c r="BG486" s="43"/>
      <c r="BH486" s="43"/>
      <c r="BI486" s="43"/>
      <c r="BJ486" s="43"/>
      <c r="BK486" s="43"/>
      <c r="BL486" s="43"/>
      <c r="BM486" s="43"/>
      <c r="BN486" s="43"/>
      <c r="BO486" s="43"/>
      <c r="BP486" s="43"/>
      <c r="BQ486" s="43"/>
      <c r="BR486" s="43"/>
      <c r="BS486" s="43"/>
      <c r="BT486" s="43"/>
      <c r="BU486" s="43"/>
      <c r="BV486" s="43"/>
      <c r="BW486" s="43"/>
      <c r="BX486" s="43"/>
      <c r="BY486" s="43"/>
      <c r="BZ486" s="43"/>
      <c r="CA486" s="43"/>
      <c r="CB486" s="43"/>
      <c r="CC486" s="43"/>
      <c r="CD486" s="43"/>
      <c r="CE486" s="43"/>
      <c r="CF486" s="43"/>
      <c r="CG486" s="43"/>
      <c r="CH486" s="43"/>
      <c r="CI486" s="43"/>
      <c r="CJ486" s="43"/>
      <c r="CK486" s="43"/>
      <c r="CL486" s="43"/>
      <c r="CM486" s="43"/>
      <c r="CN486" s="43"/>
      <c r="CO486" s="43"/>
      <c r="CP486" s="43"/>
      <c r="CQ486" s="43"/>
      <c r="CR486" s="43"/>
      <c r="CS486" s="43"/>
      <c r="CT486" s="43"/>
      <c r="CU486" s="43"/>
      <c r="CV486" s="43"/>
      <c r="CW486" s="43"/>
      <c r="CX486" s="43"/>
      <c r="CY486" s="43"/>
      <c r="CZ486" s="43"/>
      <c r="DA486" s="43"/>
      <c r="DB486" s="43"/>
      <c r="DC486" s="43"/>
      <c r="DD486" s="43"/>
      <c r="DE486" s="43"/>
      <c r="DF486" s="43"/>
      <c r="DG486" s="43"/>
      <c r="DH486" s="43"/>
      <c r="DI486" s="43"/>
      <c r="DJ486" s="43"/>
      <c r="DK486" s="43"/>
      <c r="DL486" s="43"/>
      <c r="DM486" s="43"/>
      <c r="DN486" s="43"/>
      <c r="DO486" s="43"/>
      <c r="DP486" s="43"/>
      <c r="DQ486" s="43"/>
      <c r="DR486" s="43"/>
      <c r="DS486" s="43"/>
      <c r="DT486" s="43"/>
      <c r="DU486" s="43"/>
      <c r="DV486" s="43"/>
      <c r="DW486" s="43"/>
      <c r="DX486" s="43"/>
      <c r="DY486" s="43"/>
      <c r="DZ486" s="43"/>
      <c r="EA486" s="43"/>
      <c r="EB486" s="43"/>
      <c r="EC486" s="43"/>
      <c r="ED486" s="43"/>
      <c r="EE486" s="43"/>
      <c r="EF486" s="43"/>
      <c r="EG486" s="43"/>
      <c r="EH486" s="43"/>
      <c r="EI486" s="43"/>
      <c r="EJ486" s="43"/>
      <c r="EK486" s="43"/>
      <c r="EL486" s="43"/>
      <c r="EM486" s="43"/>
      <c r="EN486" s="43"/>
      <c r="EO486" s="43"/>
      <c r="EP486" s="43"/>
      <c r="EQ486" s="43"/>
      <c r="ER486" s="43"/>
      <c r="ES486" s="43"/>
      <c r="ET486" s="43"/>
    </row>
    <row r="487" spans="1:150" hidden="1" outlineLevel="1" x14ac:dyDescent="0.3">
      <c r="A487" s="55" t="s">
        <v>357</v>
      </c>
    </row>
    <row r="488" spans="1:150" hidden="1" outlineLevel="1" x14ac:dyDescent="0.3">
      <c r="A488" s="67" t="s">
        <v>4051</v>
      </c>
      <c r="DU488" s="76">
        <f>+AVERAGE(DU382,DU385)</f>
        <v>1198.5</v>
      </c>
      <c r="DV488" s="76">
        <f>+AVERAGE(DV382,DV385)</f>
        <v>1190.5</v>
      </c>
      <c r="DW488" s="76">
        <f>+AVERAGE(DW382,DW385)</f>
        <v>1186</v>
      </c>
      <c r="DX488" s="76">
        <f>+AVERAGE(DX382,DX385)</f>
        <v>1188</v>
      </c>
      <c r="DY488" s="85">
        <f>+AVERAGE(DU488:DX488)</f>
        <v>1190.75</v>
      </c>
      <c r="DZ488" s="76">
        <f>+AVERAGE(DZ382,DZ385)</f>
        <v>1194.7331395348838</v>
      </c>
      <c r="EA488" s="76">
        <f>+AVERAGE(EA382,EA385)</f>
        <v>1202.7290697674421</v>
      </c>
      <c r="EB488" s="76">
        <f>+AVERAGE(EB382,EB385)</f>
        <v>1209.2249999999999</v>
      </c>
      <c r="EC488" s="76">
        <f>+AVERAGE(EC382,EC385)</f>
        <v>1215.1790697674419</v>
      </c>
      <c r="ED488" s="85">
        <f>+AVERAGE(DZ488:EC488)</f>
        <v>1205.4665697674418</v>
      </c>
      <c r="EE488" s="76">
        <f>+AVERAGE(EE382,EE385)</f>
        <v>1223.4000000000001</v>
      </c>
      <c r="EF488" s="76">
        <f>+AVERAGE(EF382,EF385)</f>
        <v>1232.4954116513131</v>
      </c>
      <c r="EG488" s="76">
        <f>+AVERAGE(EG382,EG385)</f>
        <v>1237.6703051946765</v>
      </c>
      <c r="EH488" s="76">
        <f>+AVERAGE(EH382,EH385)</f>
        <v>1240.2248211304729</v>
      </c>
      <c r="EI488" s="85">
        <f>+AVERAGE(EE488:EH488)</f>
        <v>1233.4476344941156</v>
      </c>
      <c r="EJ488" s="76">
        <f t="shared" ref="EJ488:ES488" si="388">+AVERAGE(EJ382,EJ385)</f>
        <v>1251.5643374163283</v>
      </c>
      <c r="EK488" s="76">
        <f t="shared" si="388"/>
        <v>1270.1789475231565</v>
      </c>
      <c r="EL488" s="76">
        <f t="shared" si="388"/>
        <v>1284.9961771681915</v>
      </c>
      <c r="EM488" s="76">
        <f t="shared" si="388"/>
        <v>1296.7906919656393</v>
      </c>
      <c r="EN488" s="76">
        <f t="shared" si="388"/>
        <v>1306.1791257444079</v>
      </c>
      <c r="EO488" s="76">
        <f t="shared" si="388"/>
        <v>1313.6523190323076</v>
      </c>
      <c r="EP488" s="76">
        <f t="shared" si="388"/>
        <v>1319.6009808894757</v>
      </c>
      <c r="EQ488" s="76">
        <f t="shared" si="388"/>
        <v>1324.3361157277818</v>
      </c>
      <c r="ER488" s="76">
        <f t="shared" si="388"/>
        <v>1328.1052830590734</v>
      </c>
      <c r="ES488" s="76">
        <f t="shared" si="388"/>
        <v>1331.1055402547813</v>
      </c>
    </row>
    <row r="489" spans="1:150" hidden="1" outlineLevel="1" x14ac:dyDescent="0.3">
      <c r="A489" s="67" t="s">
        <v>4052</v>
      </c>
      <c r="DU489" s="76">
        <f>+AVERAGE(DU392,DU395)</f>
        <v>0</v>
      </c>
      <c r="DV489" s="76">
        <f>+AVERAGE(DV392,DV395)</f>
        <v>0</v>
      </c>
      <c r="DW489" s="76">
        <f>+AVERAGE(DW392,DW395)</f>
        <v>0</v>
      </c>
      <c r="DX489" s="76">
        <f>+AVERAGE(DX392,DX395)</f>
        <v>0</v>
      </c>
      <c r="DY489" s="85">
        <f t="shared" ref="DY489:DY495" si="389">+AVERAGE(DU489:DX489)</f>
        <v>0</v>
      </c>
      <c r="DZ489" s="76">
        <f>+AVERAGE(DZ392,DZ395)</f>
        <v>0.26686046511627909</v>
      </c>
      <c r="EA489" s="76">
        <f>+AVERAGE(EA392,EA395)</f>
        <v>0.77093023255813953</v>
      </c>
      <c r="EB489" s="76">
        <f>+AVERAGE(EB392,EB395)</f>
        <v>1.2749999999999999</v>
      </c>
      <c r="EC489" s="76">
        <f>+AVERAGE(EC392,EC395)</f>
        <v>3.3209302325581391</v>
      </c>
      <c r="ED489" s="85">
        <f t="shared" ref="ED489:ED495" si="390">+AVERAGE(DZ489:EC489)</f>
        <v>1.4084302325581395</v>
      </c>
      <c r="EE489" s="76">
        <f>+AVERAGE(EE392,EE395)</f>
        <v>5.0999999999999996</v>
      </c>
      <c r="EF489" s="76">
        <f>+AVERAGE(EF392,EF395)</f>
        <v>11.456969696969697</v>
      </c>
      <c r="EG489" s="76">
        <f>+AVERAGE(EG392,EG395)</f>
        <v>23.000939393939394</v>
      </c>
      <c r="EH489" s="76">
        <f>+AVERAGE(EH392,EH395)</f>
        <v>36.593969696969694</v>
      </c>
      <c r="EI489" s="85">
        <f t="shared" ref="EI489:EI495" si="391">+AVERAGE(EE489:EH489)</f>
        <v>19.037969696969697</v>
      </c>
      <c r="EJ489" s="76">
        <f t="shared" ref="EJ489:ES489" si="392">+AVERAGE(EJ392,EJ395)</f>
        <v>108.78</v>
      </c>
      <c r="EK489" s="76">
        <f t="shared" si="392"/>
        <v>292.93399999999997</v>
      </c>
      <c r="EL489" s="76">
        <f t="shared" si="392"/>
        <v>582.73239999999998</v>
      </c>
      <c r="EM489" s="76">
        <f t="shared" si="392"/>
        <v>959.51220000000001</v>
      </c>
      <c r="EN489" s="76">
        <f t="shared" si="392"/>
        <v>1401.0817999999999</v>
      </c>
      <c r="EO489" s="76">
        <f t="shared" si="392"/>
        <v>1883.1028000000001</v>
      </c>
      <c r="EP489" s="76">
        <f t="shared" si="392"/>
        <v>2381.0346</v>
      </c>
      <c r="EQ489" s="76">
        <f t="shared" si="392"/>
        <v>2847.9346</v>
      </c>
      <c r="ER489" s="76">
        <f t="shared" si="392"/>
        <v>3214.7846</v>
      </c>
      <c r="ES489" s="76">
        <f t="shared" si="392"/>
        <v>3461.5745999999999</v>
      </c>
    </row>
    <row r="490" spans="1:150" hidden="1" outlineLevel="1" x14ac:dyDescent="0.3">
      <c r="A490" s="67" t="s">
        <v>2015</v>
      </c>
      <c r="DU490" s="76">
        <f>+AVERAGE(DU402,DU406)</f>
        <v>1574.5</v>
      </c>
      <c r="DV490" s="76">
        <f>+AVERAGE(DV402,DV406)</f>
        <v>1544</v>
      </c>
      <c r="DW490" s="76">
        <f>+AVERAGE(DW402,DW406)</f>
        <v>1498.5</v>
      </c>
      <c r="DX490" s="76">
        <f>+AVERAGE(DX402,DX406)</f>
        <v>1457.5</v>
      </c>
      <c r="DY490" s="85">
        <f t="shared" si="389"/>
        <v>1518.625</v>
      </c>
      <c r="DZ490" s="76">
        <f>+AVERAGE(DZ402,DZ406)</f>
        <v>1429.5</v>
      </c>
      <c r="EA490" s="76">
        <f>+AVERAGE(EA402,EA406)</f>
        <v>1409.5</v>
      </c>
      <c r="EB490" s="76">
        <f>+AVERAGE(EB402,EB406)</f>
        <v>1390.5</v>
      </c>
      <c r="EC490" s="76">
        <f>+AVERAGE(EC402,EC406)</f>
        <v>1364</v>
      </c>
      <c r="ED490" s="85">
        <f t="shared" si="390"/>
        <v>1398.375</v>
      </c>
      <c r="EE490" s="76">
        <f>+AVERAGE(EE402,EE406)</f>
        <v>1337</v>
      </c>
      <c r="EF490" s="76">
        <f>+AVERAGE(EF402,EF406)</f>
        <v>1315.0892584479925</v>
      </c>
      <c r="EG490" s="76">
        <f>+AVERAGE(EG402,EG406)</f>
        <v>1289.082584038212</v>
      </c>
      <c r="EH490" s="76">
        <f>+AVERAGE(EH402,EH406)</f>
        <v>1259.0851885271977</v>
      </c>
      <c r="EI490" s="85">
        <f t="shared" si="391"/>
        <v>1300.0642577533506</v>
      </c>
      <c r="EJ490" s="76">
        <f t="shared" ref="EJ490:ES490" si="393">+AVERAGE(EJ402,EJ406)</f>
        <v>1204.7388264926417</v>
      </c>
      <c r="EK490" s="76">
        <f t="shared" si="393"/>
        <v>1114.1931687364122</v>
      </c>
      <c r="EL490" s="76">
        <f t="shared" si="393"/>
        <v>1001.3084853818956</v>
      </c>
      <c r="EM490" s="76">
        <f t="shared" si="393"/>
        <v>869.52732140526086</v>
      </c>
      <c r="EN490" s="76">
        <f t="shared" si="393"/>
        <v>723.9197245072819</v>
      </c>
      <c r="EO490" s="76">
        <f t="shared" si="393"/>
        <v>570.09994667816773</v>
      </c>
      <c r="EP490" s="76">
        <f t="shared" si="393"/>
        <v>413.86383437848787</v>
      </c>
      <c r="EQ490" s="76">
        <f t="shared" si="393"/>
        <v>270.05786428421868</v>
      </c>
      <c r="ER490" s="76">
        <f t="shared" si="393"/>
        <v>178.19921605793638</v>
      </c>
      <c r="ES490" s="76">
        <f t="shared" si="393"/>
        <v>141.94774993289383</v>
      </c>
    </row>
    <row r="491" spans="1:150" hidden="1" outlineLevel="1" x14ac:dyDescent="0.3">
      <c r="A491" s="64" t="s">
        <v>517</v>
      </c>
      <c r="DT491">
        <v>0</v>
      </c>
      <c r="DU491" s="803">
        <f>+SUM(DU488:DU490)</f>
        <v>2773</v>
      </c>
      <c r="DV491" s="803">
        <f>+SUM(DV488:DV490)</f>
        <v>2734.5</v>
      </c>
      <c r="DW491" s="803">
        <f>+SUM(DW488:DW490)</f>
        <v>2684.5</v>
      </c>
      <c r="DX491" s="803">
        <f>+SUM(DX488:DX490)</f>
        <v>2645.5</v>
      </c>
      <c r="DY491" s="803">
        <f t="shared" si="389"/>
        <v>2709.375</v>
      </c>
      <c r="DZ491" s="803">
        <f>+SUM(DZ488:DZ490)</f>
        <v>2624.5</v>
      </c>
      <c r="EA491" s="803">
        <f>+SUM(EA488:EA490)</f>
        <v>2613</v>
      </c>
      <c r="EB491" s="803">
        <f>+SUM(EB488:EB490)</f>
        <v>2601</v>
      </c>
      <c r="EC491" s="803">
        <f>+SUM(EC488:EC490)</f>
        <v>2582.5</v>
      </c>
      <c r="ED491" s="803">
        <f t="shared" si="390"/>
        <v>2605.25</v>
      </c>
      <c r="EE491" s="803">
        <f>+SUM(EE488:EE490)</f>
        <v>2565.5</v>
      </c>
      <c r="EF491" s="803">
        <f>+SUM(EF488:EF490)</f>
        <v>2559.0416397962754</v>
      </c>
      <c r="EG491" s="803">
        <f>+SUM(EG488:EG490)</f>
        <v>2549.7538286268282</v>
      </c>
      <c r="EH491" s="803">
        <f>+SUM(EH488:EH490)</f>
        <v>2535.9039793546403</v>
      </c>
      <c r="EI491" s="803">
        <f t="shared" si="391"/>
        <v>2552.5498619444361</v>
      </c>
      <c r="EJ491" s="803">
        <f t="shared" ref="EJ491:ES491" si="394">+SUM(EJ488:EJ490)</f>
        <v>2565.0831639089702</v>
      </c>
      <c r="EK491" s="803">
        <f t="shared" si="394"/>
        <v>2677.3061162595686</v>
      </c>
      <c r="EL491" s="803">
        <f t="shared" si="394"/>
        <v>2869.0370625500868</v>
      </c>
      <c r="EM491" s="803">
        <f t="shared" si="394"/>
        <v>3125.8302133709003</v>
      </c>
      <c r="EN491" s="803">
        <f t="shared" si="394"/>
        <v>3431.1806502516897</v>
      </c>
      <c r="EO491" s="803">
        <f t="shared" si="394"/>
        <v>3766.8550657104752</v>
      </c>
      <c r="EP491" s="803">
        <f t="shared" si="394"/>
        <v>4114.4994152679637</v>
      </c>
      <c r="EQ491" s="803">
        <f t="shared" si="394"/>
        <v>4442.3285800120002</v>
      </c>
      <c r="ER491" s="803">
        <f t="shared" si="394"/>
        <v>4721.0890991170099</v>
      </c>
      <c r="ES491" s="803">
        <f t="shared" si="394"/>
        <v>4934.6278901876749</v>
      </c>
    </row>
    <row r="492" spans="1:150" hidden="1" outlineLevel="1" x14ac:dyDescent="0.3">
      <c r="A492" s="67" t="s">
        <v>4053</v>
      </c>
      <c r="DU492" s="76">
        <f>+DU434</f>
        <v>749</v>
      </c>
      <c r="DV492" s="76">
        <f>+AVERAGE(DU434:DV434)</f>
        <v>727</v>
      </c>
      <c r="DW492" s="76">
        <f t="shared" ref="DW492:ES492" si="395">+AVERAGE(DV434:DW434)</f>
        <v>687</v>
      </c>
      <c r="DX492" s="76">
        <f>+AVERAGE(DW434:DX434)</f>
        <v>650</v>
      </c>
      <c r="DY492" s="85">
        <f t="shared" si="389"/>
        <v>703.25</v>
      </c>
      <c r="DZ492" s="76">
        <f t="shared" si="395"/>
        <v>612.5</v>
      </c>
      <c r="EA492" s="76">
        <f t="shared" si="395"/>
        <v>577</v>
      </c>
      <c r="EB492" s="76">
        <f t="shared" si="395"/>
        <v>539</v>
      </c>
      <c r="EC492" s="76">
        <f t="shared" si="395"/>
        <v>501.5</v>
      </c>
      <c r="ED492" s="85">
        <f t="shared" si="390"/>
        <v>557.5</v>
      </c>
      <c r="EE492" s="76">
        <f t="shared" si="395"/>
        <v>469</v>
      </c>
      <c r="EF492" s="76">
        <f t="shared" si="395"/>
        <v>438.83586290780653</v>
      </c>
      <c r="EG492" s="76">
        <f t="shared" si="395"/>
        <v>411.04562456063343</v>
      </c>
      <c r="EH492" s="76">
        <f t="shared" si="395"/>
        <v>385.55458139732298</v>
      </c>
      <c r="EI492" s="85">
        <f t="shared" si="391"/>
        <v>426.10901721644075</v>
      </c>
      <c r="EJ492" s="76">
        <f t="shared" si="395"/>
        <v>332.06762053517326</v>
      </c>
      <c r="EK492" s="76">
        <f t="shared" si="395"/>
        <v>263.80551114220907</v>
      </c>
      <c r="EL492" s="76">
        <f t="shared" si="395"/>
        <v>220.02056396311571</v>
      </c>
      <c r="EM492" s="76">
        <f t="shared" si="395"/>
        <v>191.74968750940803</v>
      </c>
      <c r="EN492" s="76">
        <f t="shared" si="395"/>
        <v>173.31381360651511</v>
      </c>
      <c r="EO492" s="76">
        <f t="shared" si="395"/>
        <v>161.11463178563656</v>
      </c>
      <c r="EP492" s="76">
        <f t="shared" si="395"/>
        <v>152.87220018908246</v>
      </c>
      <c r="EQ492" s="76">
        <f t="shared" si="395"/>
        <v>147.14189583460876</v>
      </c>
      <c r="ER492" s="76">
        <f t="shared" si="395"/>
        <v>143.00835429766616</v>
      </c>
      <c r="ES492" s="76">
        <f t="shared" si="395"/>
        <v>139.89154988889072</v>
      </c>
    </row>
    <row r="493" spans="1:150" hidden="1" outlineLevel="1" x14ac:dyDescent="0.3">
      <c r="A493" s="67" t="s">
        <v>415</v>
      </c>
      <c r="DU493" s="76">
        <f>+DU494-DU492</f>
        <v>202</v>
      </c>
      <c r="DV493" s="76">
        <f>+DV494-DV492</f>
        <v>175.5</v>
      </c>
      <c r="DW493" s="76">
        <f>+DW494-DW492</f>
        <v>167.5</v>
      </c>
      <c r="DX493" s="76">
        <f>+DX494-DX492</f>
        <v>159.5</v>
      </c>
      <c r="DY493" s="85">
        <f t="shared" si="389"/>
        <v>176.125</v>
      </c>
      <c r="DZ493" s="76">
        <f>+DZ494-DZ492</f>
        <v>152.5</v>
      </c>
      <c r="EA493" s="76">
        <f>+EA494-EA492</f>
        <v>146.5</v>
      </c>
      <c r="EB493" s="76">
        <f>+EB494-EB492</f>
        <v>141.5</v>
      </c>
      <c r="EC493" s="76">
        <f>+EC494-EC492</f>
        <v>136.5</v>
      </c>
      <c r="ED493" s="85">
        <f t="shared" si="390"/>
        <v>144.25</v>
      </c>
      <c r="EE493" s="76">
        <f>+EE494-EE492</f>
        <v>131.5</v>
      </c>
      <c r="EF493" s="76">
        <f>+EF494-EF492</f>
        <v>126.34074396324496</v>
      </c>
      <c r="EG493" s="76">
        <f>+EG494-EG492</f>
        <v>121.99830143412623</v>
      </c>
      <c r="EH493" s="76">
        <f>+EH494-EH492</f>
        <v>118.24860500001114</v>
      </c>
      <c r="EI493" s="85">
        <f t="shared" si="391"/>
        <v>124.52191259934558</v>
      </c>
      <c r="EJ493" s="76">
        <f t="shared" ref="EJ493:ES493" si="396">+EJ494-EJ492</f>
        <v>105.16455119116364</v>
      </c>
      <c r="EK493" s="76">
        <f t="shared" si="396"/>
        <v>87.097777557827271</v>
      </c>
      <c r="EL493" s="76">
        <f t="shared" si="396"/>
        <v>75.632239600088269</v>
      </c>
      <c r="EM493" s="76">
        <f t="shared" si="396"/>
        <v>68.542805566223251</v>
      </c>
      <c r="EN493" s="76">
        <f t="shared" si="396"/>
        <v>64.348080757069624</v>
      </c>
      <c r="EO493" s="76">
        <f t="shared" si="396"/>
        <v>62.063679402238392</v>
      </c>
      <c r="EP493" s="76">
        <f t="shared" si="396"/>
        <v>61.036617766338253</v>
      </c>
      <c r="EQ493" s="76">
        <f t="shared" si="396"/>
        <v>60.83444645204122</v>
      </c>
      <c r="ER493" s="76">
        <f t="shared" si="396"/>
        <v>61.171203560970582</v>
      </c>
      <c r="ES493" s="76">
        <f t="shared" si="396"/>
        <v>61.858065935817535</v>
      </c>
    </row>
    <row r="494" spans="1:150" hidden="1" outlineLevel="1" x14ac:dyDescent="0.3">
      <c r="A494" s="64" t="s">
        <v>4054</v>
      </c>
      <c r="DU494" s="803">
        <f>+AVERAGE(DU424,DU427)</f>
        <v>951</v>
      </c>
      <c r="DV494" s="803">
        <f>+AVERAGE(DV424,DV427)</f>
        <v>902.5</v>
      </c>
      <c r="DW494" s="803">
        <f>+AVERAGE(DW424,DW427)</f>
        <v>854.5</v>
      </c>
      <c r="DX494" s="803">
        <f>+AVERAGE(DX424,DX427)</f>
        <v>809.5</v>
      </c>
      <c r="DY494" s="803">
        <f t="shared" si="389"/>
        <v>879.375</v>
      </c>
      <c r="DZ494" s="803">
        <f>+AVERAGE(DZ424,DZ427)</f>
        <v>765</v>
      </c>
      <c r="EA494" s="803">
        <f>+AVERAGE(EA424,EA427)</f>
        <v>723.5</v>
      </c>
      <c r="EB494" s="803">
        <f>+AVERAGE(EB424,EB427)</f>
        <v>680.5</v>
      </c>
      <c r="EC494" s="803">
        <f>+AVERAGE(EC424,EC427)</f>
        <v>638</v>
      </c>
      <c r="ED494" s="803">
        <f t="shared" si="390"/>
        <v>701.75</v>
      </c>
      <c r="EE494" s="803">
        <f>+AVERAGE(EE424,EE427)</f>
        <v>600.5</v>
      </c>
      <c r="EF494" s="803">
        <f>+AVERAGE(EF424,EF427)</f>
        <v>565.17660687105149</v>
      </c>
      <c r="EG494" s="803">
        <f>+AVERAGE(EG424,EG427)</f>
        <v>533.04392599475966</v>
      </c>
      <c r="EH494" s="803">
        <f>+AVERAGE(EH424,EH427)</f>
        <v>503.80318639733412</v>
      </c>
      <c r="EI494" s="803">
        <f t="shared" si="391"/>
        <v>550.63092981578632</v>
      </c>
      <c r="EJ494" s="803">
        <f t="shared" ref="EJ494:ES494" si="397">+AVERAGE(EJ424,EJ427)</f>
        <v>437.2321717263369</v>
      </c>
      <c r="EK494" s="803">
        <f t="shared" si="397"/>
        <v>350.90328870003634</v>
      </c>
      <c r="EL494" s="803">
        <f t="shared" si="397"/>
        <v>295.65280356320397</v>
      </c>
      <c r="EM494" s="803">
        <f t="shared" si="397"/>
        <v>260.29249307563128</v>
      </c>
      <c r="EN494" s="803">
        <f t="shared" si="397"/>
        <v>237.66189436358474</v>
      </c>
      <c r="EO494" s="803">
        <f t="shared" si="397"/>
        <v>223.17831118787495</v>
      </c>
      <c r="EP494" s="803">
        <f t="shared" si="397"/>
        <v>213.90881795542072</v>
      </c>
      <c r="EQ494" s="803">
        <f t="shared" si="397"/>
        <v>207.97634228664998</v>
      </c>
      <c r="ER494" s="803">
        <f t="shared" si="397"/>
        <v>204.17955785863674</v>
      </c>
      <c r="ES494" s="803">
        <f t="shared" si="397"/>
        <v>201.74961582470826</v>
      </c>
    </row>
    <row r="495" spans="1:150" hidden="1" outlineLevel="1" x14ac:dyDescent="0.3">
      <c r="A495" s="67" t="s">
        <v>520</v>
      </c>
      <c r="DU495" s="76">
        <f>+AVERAGE(DU443,DU446)</f>
        <v>3663.1764705882351</v>
      </c>
      <c r="DV495" s="76">
        <f>+AVERAGE(DV443,DV446)</f>
        <v>3597.5</v>
      </c>
      <c r="DW495" s="76">
        <f>+AVERAGE(DW443,DW446)</f>
        <v>3512</v>
      </c>
      <c r="DX495" s="76">
        <f>+AVERAGE(DX443,DX446)</f>
        <v>3441</v>
      </c>
      <c r="DY495" s="85">
        <f t="shared" si="389"/>
        <v>3553.4191176470586</v>
      </c>
      <c r="DZ495" s="76">
        <f>+AVERAGE(DZ443,DZ446)</f>
        <v>3392.5</v>
      </c>
      <c r="EA495" s="76">
        <f>+AVERAGE(EA443,EA446)</f>
        <v>3357</v>
      </c>
      <c r="EB495" s="76">
        <f>+AVERAGE(EB443,EB446)</f>
        <v>3323</v>
      </c>
      <c r="EC495" s="76">
        <f>+AVERAGE(EC443,EC446)</f>
        <v>3284.5</v>
      </c>
      <c r="ED495" s="85">
        <f t="shared" si="390"/>
        <v>3339.25</v>
      </c>
      <c r="EE495" s="76">
        <f>+AVERAGE(EE443,EE446)</f>
        <v>3249</v>
      </c>
      <c r="EF495" s="76">
        <f>+AVERAGE(EF443,EF446)</f>
        <v>3222.4233433888539</v>
      </c>
      <c r="EG495" s="76">
        <f>+AVERAGE(EG443,EG446)</f>
        <v>3194.3261247274427</v>
      </c>
      <c r="EH495" s="76">
        <f>+AVERAGE(EH443,EH446)</f>
        <v>3164.8067792313823</v>
      </c>
      <c r="EI495" s="85">
        <f t="shared" si="391"/>
        <v>3207.6390618369196</v>
      </c>
      <c r="EJ495" s="76">
        <f t="shared" ref="EJ495:ES495" si="398">+AVERAGE(EJ443,EJ446)</f>
        <v>3153.4463332480445</v>
      </c>
      <c r="EK495" s="76">
        <f t="shared" si="398"/>
        <v>3208.524435116673</v>
      </c>
      <c r="EL495" s="76">
        <f t="shared" si="398"/>
        <v>3359.105284270031</v>
      </c>
      <c r="EM495" s="76">
        <f t="shared" si="398"/>
        <v>3587.0417709977728</v>
      </c>
      <c r="EN495" s="76">
        <f t="shared" si="398"/>
        <v>3872.629771208638</v>
      </c>
      <c r="EO495" s="76">
        <f t="shared" si="398"/>
        <v>4195.0308309604279</v>
      </c>
      <c r="EP495" s="76">
        <f t="shared" si="398"/>
        <v>4533.892374082905</v>
      </c>
      <c r="EQ495" s="76">
        <f t="shared" si="398"/>
        <v>4855.972820273586</v>
      </c>
      <c r="ER495" s="76">
        <f t="shared" si="398"/>
        <v>5130.9989619152839</v>
      </c>
      <c r="ES495" s="76">
        <f t="shared" si="398"/>
        <v>5342.1243273038108</v>
      </c>
    </row>
    <row r="496" spans="1:150" hidden="1" outlineLevel="1" x14ac:dyDescent="0.3">
      <c r="A496" s="67"/>
      <c r="DU496" s="76"/>
      <c r="DV496" s="76"/>
      <c r="DW496" s="76"/>
      <c r="DX496" s="76"/>
      <c r="DY496" s="85"/>
      <c r="DZ496" s="76"/>
      <c r="EA496" s="76"/>
      <c r="EB496" s="76"/>
      <c r="EC496" s="76"/>
      <c r="ED496" s="85"/>
      <c r="EE496" s="76"/>
      <c r="EF496" s="76"/>
      <c r="EG496" s="76"/>
      <c r="EH496" s="76"/>
      <c r="EI496" s="85"/>
      <c r="EJ496" s="76"/>
      <c r="EK496" s="76"/>
      <c r="EL496" s="76"/>
      <c r="EM496" s="76"/>
      <c r="EN496" s="76"/>
      <c r="EO496" s="76"/>
      <c r="EP496" s="76"/>
      <c r="EQ496" s="76"/>
      <c r="ER496" s="76"/>
      <c r="ES496" s="76"/>
    </row>
    <row r="497" spans="1:135" hidden="1" outlineLevel="1" x14ac:dyDescent="0.3">
      <c r="A497" s="846" t="s">
        <v>280</v>
      </c>
    </row>
    <row r="498" spans="1:135" hidden="1" outlineLevel="1" x14ac:dyDescent="0.3">
      <c r="A498" s="67" t="s">
        <v>1899</v>
      </c>
      <c r="DU498" s="651">
        <f>+Inputs!DU583</f>
        <v>55.1</v>
      </c>
      <c r="DV498" s="651">
        <f>+Inputs!DV583</f>
        <v>53.5</v>
      </c>
      <c r="DW498" s="651">
        <f>+Inputs!DW583</f>
        <v>52.9</v>
      </c>
      <c r="DX498" s="651">
        <f>+Inputs!DX583</f>
        <v>52.7</v>
      </c>
      <c r="DY498" s="591">
        <f>+DY522/AVERAGE(DU488:DX488)/12*1000</f>
        <v>53.553663657358811</v>
      </c>
      <c r="DZ498" s="651">
        <f>+Inputs!DZ583</f>
        <v>52.5</v>
      </c>
      <c r="EA498" s="651">
        <f>+Inputs!EA583</f>
        <v>52.4</v>
      </c>
      <c r="EB498" s="651">
        <f>+Inputs!EB583</f>
        <v>52.8</v>
      </c>
      <c r="EC498" s="651">
        <f>+Inputs!EC583</f>
        <v>54.5</v>
      </c>
      <c r="ED498" s="591">
        <f>+ED522/AVERAGE(DZ488:EC488)/12*1000</f>
        <v>53.054319132440519</v>
      </c>
      <c r="EE498" s="651">
        <f>+Inputs!EE583</f>
        <v>56</v>
      </c>
    </row>
    <row r="499" spans="1:135" hidden="1" outlineLevel="1" x14ac:dyDescent="0.3">
      <c r="A499" s="70" t="s">
        <v>363</v>
      </c>
      <c r="DZ499" s="75">
        <f t="shared" ref="DZ499:EE499" si="399">+DZ498/DU498-1</f>
        <v>-4.7186932849364815E-2</v>
      </c>
      <c r="EA499" s="75">
        <f t="shared" si="399"/>
        <v>-2.0560747663551426E-2</v>
      </c>
      <c r="EB499" s="75">
        <f t="shared" si="399"/>
        <v>-1.890359168241984E-3</v>
      </c>
      <c r="EC499" s="75">
        <f t="shared" si="399"/>
        <v>3.4155597722960174E-2</v>
      </c>
      <c r="ED499" s="84">
        <f t="shared" si="399"/>
        <v>-9.3241898091818154E-3</v>
      </c>
      <c r="EE499" s="75">
        <f t="shared" si="399"/>
        <v>6.6666666666666652E-2</v>
      </c>
    </row>
    <row r="500" spans="1:135" hidden="1" outlineLevel="1" x14ac:dyDescent="0.3">
      <c r="A500" s="67" t="s">
        <v>1900</v>
      </c>
      <c r="DU500" s="741">
        <f>+DU523/DU492/3*1000</f>
        <v>90.787716955941249</v>
      </c>
      <c r="DV500" s="741">
        <f>+DV523/DV492/3*1000</f>
        <v>90.967446125630445</v>
      </c>
      <c r="DW500" s="741">
        <f>+DW523/DW492/3*1000</f>
        <v>90.441533236293054</v>
      </c>
      <c r="DX500" s="741">
        <f>+DX523/DX492/3*1000</f>
        <v>91.076923076923094</v>
      </c>
      <c r="DY500" s="591">
        <f>+DY523/AVERAGE(DU492:DX492)/12*1000</f>
        <v>90.816447446379911</v>
      </c>
      <c r="DZ500" s="741">
        <f>+DZ523/DZ492/3*1000</f>
        <v>92.299319727891174</v>
      </c>
      <c r="EA500" s="741">
        <f>+EA523/EA492/3*1000</f>
        <v>91.045638359329885</v>
      </c>
      <c r="EB500" s="741">
        <f>+EB523/EB492/3*1000</f>
        <v>92.02226345083487</v>
      </c>
      <c r="EC500" s="741">
        <f>+EC523/EC492/3*1000</f>
        <v>96.244599534729147</v>
      </c>
      <c r="ED500" s="591">
        <f>+ED523/AVERAGE(DZ492:EC492)/12*1000</f>
        <v>92.795216741405099</v>
      </c>
      <c r="EE500" s="741">
        <f>+EE523/EE492/3*1000</f>
        <v>96.090973702914013</v>
      </c>
    </row>
    <row r="501" spans="1:135" hidden="1" outlineLevel="1" x14ac:dyDescent="0.3">
      <c r="A501" s="70" t="s">
        <v>363</v>
      </c>
      <c r="DZ501" s="75">
        <f t="shared" ref="DZ501:EE501" si="400">+DZ500/DU500-1</f>
        <v>1.664985994397794E-2</v>
      </c>
      <c r="EA501" s="75">
        <f t="shared" si="400"/>
        <v>8.5956281098020781E-4</v>
      </c>
      <c r="EB501" s="75">
        <f t="shared" si="400"/>
        <v>1.7477923670443651E-2</v>
      </c>
      <c r="EC501" s="75">
        <f t="shared" si="400"/>
        <v>5.6739690837397605E-2</v>
      </c>
      <c r="ED501" s="84">
        <f t="shared" si="400"/>
        <v>2.1788666598013595E-2</v>
      </c>
      <c r="EE501" s="75">
        <f t="shared" si="400"/>
        <v>4.1079977471134788E-2</v>
      </c>
    </row>
    <row r="502" spans="1:135" hidden="1" outlineLevel="1" x14ac:dyDescent="0.3">
      <c r="A502" s="67" t="s">
        <v>1901</v>
      </c>
      <c r="DU502" s="650">
        <f>+DV502</f>
        <v>12.17719924417384</v>
      </c>
      <c r="DV502" s="650">
        <f>+DW502</f>
        <v>12.17719924417384</v>
      </c>
      <c r="DW502" s="650">
        <f>+DX502</f>
        <v>12.17719924417384</v>
      </c>
      <c r="DX502" s="650">
        <f>+DY502</f>
        <v>12.17719924417384</v>
      </c>
      <c r="DY502" s="591">
        <f>+DY524/AVERAGE(DU$488:DX$488)/12*1000</f>
        <v>12.17719924417384</v>
      </c>
      <c r="DZ502" s="480">
        <f>+DU502*(1+DZ503)</f>
        <v>12.17719924417384</v>
      </c>
      <c r="EA502" s="480">
        <f>+DV502*(1+EA503)</f>
        <v>12.17719924417384</v>
      </c>
      <c r="EB502" s="480">
        <f>+DW502*(1+EB503)</f>
        <v>12.17719924417384</v>
      </c>
      <c r="EC502" s="480">
        <f>+DX502*(1+EC503)</f>
        <v>12.17719924417384</v>
      </c>
      <c r="ED502" s="591">
        <f>+ED524/AVERAGE(DZ$488:EC$488)/12*1000</f>
        <v>12.17719924417384</v>
      </c>
      <c r="EE502" s="480">
        <f>+DZ502*(1+EE503)</f>
        <v>12.17719924417384</v>
      </c>
    </row>
    <row r="503" spans="1:135" hidden="1" outlineLevel="1" x14ac:dyDescent="0.3">
      <c r="A503" s="70" t="s">
        <v>363</v>
      </c>
      <c r="DZ503" s="87">
        <v>0</v>
      </c>
      <c r="EA503" s="87">
        <f>+DZ503</f>
        <v>0</v>
      </c>
      <c r="EB503" s="87">
        <f>+EA503</f>
        <v>0</v>
      </c>
      <c r="EC503" s="87">
        <f>+EB503</f>
        <v>0</v>
      </c>
      <c r="ED503" s="84">
        <f>+ED502/DY502-1</f>
        <v>0</v>
      </c>
      <c r="EE503" s="87">
        <v>0</v>
      </c>
    </row>
    <row r="504" spans="1:135" hidden="1" outlineLevel="1" x14ac:dyDescent="0.3">
      <c r="A504" s="67" t="s">
        <v>1902</v>
      </c>
      <c r="DU504" s="103">
        <f>+DV504</f>
        <v>8.7479879627685637</v>
      </c>
      <c r="DV504" s="103">
        <f>+DW504</f>
        <v>8.7479879627685637</v>
      </c>
      <c r="DW504" s="103">
        <f>+DX504</f>
        <v>8.7479879627685637</v>
      </c>
      <c r="DX504" s="103">
        <f>+DY504</f>
        <v>8.7479879627685637</v>
      </c>
      <c r="DY504" s="591">
        <f>+DY525/AVERAGE(DU$488:DX$488)/12*1000</f>
        <v>8.7479879627685637</v>
      </c>
      <c r="DZ504" s="101">
        <f>+DU504*(1+DZ505)</f>
        <v>8.7479879627685637</v>
      </c>
      <c r="EA504" s="101">
        <f>+DV504*(1+EA505)</f>
        <v>8.7479879627685637</v>
      </c>
      <c r="EB504" s="101">
        <f>+DW504*(1+EB505)</f>
        <v>8.7479879627685637</v>
      </c>
      <c r="EC504" s="101">
        <f>+DX504*(1+EC505)</f>
        <v>8.7479879627685637</v>
      </c>
      <c r="ED504" s="591">
        <f>+ED525/AVERAGE(DZ$488:EC$488)/12*1000</f>
        <v>8.7479879627685655</v>
      </c>
      <c r="EE504" s="101">
        <f>+DZ504*(1+EE505)</f>
        <v>8.7479879627685637</v>
      </c>
    </row>
    <row r="505" spans="1:135" hidden="1" outlineLevel="1" x14ac:dyDescent="0.3">
      <c r="A505" s="70" t="s">
        <v>363</v>
      </c>
      <c r="DZ505" s="87">
        <v>0</v>
      </c>
      <c r="EA505" s="87">
        <f>+DZ505</f>
        <v>0</v>
      </c>
      <c r="EB505" s="87">
        <f>+EA505</f>
        <v>0</v>
      </c>
      <c r="EC505" s="87">
        <f>+EB505</f>
        <v>0</v>
      </c>
      <c r="ED505" s="84">
        <f>+ED504/DY504-1</f>
        <v>0</v>
      </c>
      <c r="EE505" s="87">
        <v>0</v>
      </c>
    </row>
    <row r="506" spans="1:135" hidden="1" outlineLevel="1" x14ac:dyDescent="0.3">
      <c r="A506" s="60" t="s">
        <v>1903</v>
      </c>
      <c r="DZ506" s="87"/>
      <c r="EA506" s="87"/>
      <c r="EB506" s="87"/>
      <c r="EC506" s="87"/>
      <c r="ED506" s="84"/>
      <c r="EE506" s="87"/>
    </row>
    <row r="507" spans="1:135" hidden="1" outlineLevel="1" x14ac:dyDescent="0.3">
      <c r="A507" s="70" t="s">
        <v>363</v>
      </c>
      <c r="DZ507" s="87"/>
      <c r="EA507" s="87"/>
      <c r="EB507" s="87"/>
      <c r="EC507" s="87"/>
      <c r="ED507" s="84"/>
      <c r="EE507" s="87"/>
    </row>
    <row r="508" spans="1:135" hidden="1" outlineLevel="1" x14ac:dyDescent="0.3">
      <c r="A508" s="67" t="s">
        <v>1904</v>
      </c>
      <c r="DU508" s="480">
        <f>+DU498</f>
        <v>55.1</v>
      </c>
      <c r="DV508" s="480">
        <f>+DV498</f>
        <v>53.5</v>
      </c>
      <c r="DW508" s="480">
        <f>+DW498</f>
        <v>52.9</v>
      </c>
      <c r="DX508" s="480">
        <f>+DX498</f>
        <v>52.7</v>
      </c>
      <c r="DY508" s="591">
        <f>+IFERROR(DY527/AVERAGE(DU489:DX489)/12*1000,AVERAGE(DU508:DX508))</f>
        <v>53.55</v>
      </c>
      <c r="DZ508" s="480">
        <f>+DZ498</f>
        <v>52.5</v>
      </c>
      <c r="EA508" s="480">
        <f>+EA498</f>
        <v>52.4</v>
      </c>
      <c r="EB508" s="480">
        <f>+EB498</f>
        <v>52.8</v>
      </c>
      <c r="EC508" s="480">
        <f>+EC498</f>
        <v>54.5</v>
      </c>
      <c r="ED508" s="591">
        <f>+IFERROR(ED527/AVERAGE(DZ489:EC489)/12*1000,AVERAGE(DZ508:EC508))</f>
        <v>53.733157894736841</v>
      </c>
      <c r="EE508" s="480">
        <f>+EE498</f>
        <v>56</v>
      </c>
    </row>
    <row r="509" spans="1:135" hidden="1" outlineLevel="1" x14ac:dyDescent="0.3">
      <c r="A509" s="70" t="s">
        <v>363</v>
      </c>
      <c r="DZ509" s="75">
        <f t="shared" ref="DZ509:EE509" si="401">+DZ508/DU508-1</f>
        <v>-4.7186932849364815E-2</v>
      </c>
      <c r="EA509" s="75">
        <f t="shared" si="401"/>
        <v>-2.0560747663551426E-2</v>
      </c>
      <c r="EB509" s="75">
        <f t="shared" si="401"/>
        <v>-1.890359168241984E-3</v>
      </c>
      <c r="EC509" s="75">
        <f t="shared" si="401"/>
        <v>3.4155597722960174E-2</v>
      </c>
      <c r="ED509" s="84">
        <f t="shared" si="401"/>
        <v>3.420315494618853E-3</v>
      </c>
      <c r="EE509" s="75">
        <f t="shared" si="401"/>
        <v>6.6666666666666652E-2</v>
      </c>
    </row>
    <row r="510" spans="1:135" hidden="1" outlineLevel="1" x14ac:dyDescent="0.3">
      <c r="A510" s="67" t="s">
        <v>1905</v>
      </c>
      <c r="DU510" s="651">
        <f>+Inputs!DU589</f>
        <v>38.1</v>
      </c>
      <c r="DV510" s="651">
        <f>+Inputs!DV589</f>
        <v>38.5</v>
      </c>
      <c r="DW510" s="651">
        <f>+Inputs!DW589</f>
        <v>38.9</v>
      </c>
      <c r="DX510" s="651">
        <f>+Inputs!DX589</f>
        <v>38.799999999999997</v>
      </c>
      <c r="DY510" s="591">
        <f>+DY528/AVERAGE(DU$490:DX$490)/12*1000</f>
        <v>38.566976705901723</v>
      </c>
      <c r="DZ510" s="651">
        <f>+Inputs!DZ589</f>
        <v>38.700000000000003</v>
      </c>
      <c r="EA510" s="651">
        <f>+Inputs!EA589</f>
        <v>39.1</v>
      </c>
      <c r="EB510" s="651">
        <f>+Inputs!EB589</f>
        <v>39.1</v>
      </c>
      <c r="EC510" s="651">
        <f>+Inputs!EC589</f>
        <v>39.299999999999997</v>
      </c>
      <c r="ED510" s="591">
        <f>+ED528/AVERAGE(DZ$490:EC$490)/12*1000</f>
        <v>39.046545096987579</v>
      </c>
      <c r="EE510" s="651">
        <f>+Inputs!EE589</f>
        <v>40.1</v>
      </c>
    </row>
    <row r="511" spans="1:135" hidden="1" outlineLevel="1" x14ac:dyDescent="0.3">
      <c r="A511" s="70" t="s">
        <v>363</v>
      </c>
      <c r="DZ511" s="75">
        <f t="shared" ref="DZ511:EE511" si="402">+DZ510/DU510-1</f>
        <v>1.5748031496062964E-2</v>
      </c>
      <c r="EA511" s="75">
        <f t="shared" si="402"/>
        <v>1.558441558441559E-2</v>
      </c>
      <c r="EB511" s="75">
        <f t="shared" si="402"/>
        <v>5.1413881748072487E-3</v>
      </c>
      <c r="EC511" s="75">
        <f t="shared" si="402"/>
        <v>1.2886597938144284E-2</v>
      </c>
      <c r="ED511" s="84">
        <f t="shared" si="402"/>
        <v>1.2434689779882824E-2</v>
      </c>
      <c r="EE511" s="75">
        <f t="shared" si="402"/>
        <v>3.6175710594315236E-2</v>
      </c>
    </row>
    <row r="512" spans="1:135" hidden="1" outlineLevel="1" x14ac:dyDescent="0.3">
      <c r="A512" s="67" t="s">
        <v>1906</v>
      </c>
      <c r="DU512" s="741">
        <f>+DU529/DU493/3*1000</f>
        <v>84.158415841584102</v>
      </c>
      <c r="DV512" s="741">
        <f>+DV529/DV493/3*1000</f>
        <v>94.207027540360826</v>
      </c>
      <c r="DW512" s="741">
        <f>+DW529/DW493/3*1000</f>
        <v>92.736318407960169</v>
      </c>
      <c r="DX512" s="741">
        <f>+DX529/DX493/3*1000</f>
        <v>92.789968652037572</v>
      </c>
      <c r="DY512" s="591">
        <f>+DY529/DY493/12*1000</f>
        <v>90.655311095339428</v>
      </c>
      <c r="DZ512" s="741">
        <f>+DZ529/DZ493/3*1000</f>
        <v>92.677595628415247</v>
      </c>
      <c r="EA512" s="741">
        <f>+EA529/EA493/3*1000</f>
        <v>89.647326507394709</v>
      </c>
      <c r="EB512" s="741">
        <f>+EB529/EB493/3*1000</f>
        <v>87.632508833922216</v>
      </c>
      <c r="EC512" s="741">
        <f>+EC529/EC493/3*1000</f>
        <v>88.400488400488371</v>
      </c>
      <c r="ED512" s="591">
        <f>+ED529/ED493/12*1000</f>
        <v>89.659156556903483</v>
      </c>
      <c r="EE512" s="741">
        <f>+EE529/EE493/3*1000</f>
        <v>85.678073510773103</v>
      </c>
    </row>
    <row r="513" spans="1:135" hidden="1" outlineLevel="1" x14ac:dyDescent="0.3">
      <c r="A513" s="70" t="s">
        <v>363</v>
      </c>
      <c r="DZ513" s="75">
        <f t="shared" ref="DZ513:EE513" si="403">+DZ512/DU512-1</f>
        <v>0.10122790099646428</v>
      </c>
      <c r="EA513" s="75">
        <f t="shared" si="403"/>
        <v>-4.8400858747110087E-2</v>
      </c>
      <c r="EB513" s="75">
        <f t="shared" si="403"/>
        <v>-5.5035714827340598E-2</v>
      </c>
      <c r="EC513" s="75">
        <f t="shared" si="403"/>
        <v>-4.7305547305547146E-2</v>
      </c>
      <c r="ED513" s="84">
        <f t="shared" si="403"/>
        <v>-1.0988374827684666E-2</v>
      </c>
      <c r="EE513" s="75">
        <f t="shared" si="403"/>
        <v>-7.5525503981634046E-2</v>
      </c>
    </row>
    <row r="514" spans="1:135" hidden="1" outlineLevel="1" x14ac:dyDescent="0.3">
      <c r="A514" s="67" t="s">
        <v>1907</v>
      </c>
      <c r="DU514" s="650">
        <f>+DV514</f>
        <v>51.801245644360307</v>
      </c>
      <c r="DV514" s="650">
        <f>+DW514</f>
        <v>51.801245644360307</v>
      </c>
      <c r="DW514" s="650">
        <f>+DX514</f>
        <v>51.801245644360307</v>
      </c>
      <c r="DX514" s="650">
        <f>+DY514</f>
        <v>51.801245644360307</v>
      </c>
      <c r="DY514" s="591">
        <f>+DY530/AVERAGE(DU$490:DX$490)/12*1000</f>
        <v>51.801245644360307</v>
      </c>
      <c r="DZ514" s="480">
        <f>+DU514*(1+DZ515)</f>
        <v>51.801245644360307</v>
      </c>
      <c r="EA514" s="480">
        <f>+DV514*(1+EA515)</f>
        <v>51.801245644360307</v>
      </c>
      <c r="EB514" s="480">
        <f>+DW514*(1+EB515)</f>
        <v>51.801245644360307</v>
      </c>
      <c r="EC514" s="480">
        <f>+DX514*(1+EC515)</f>
        <v>51.801245644360307</v>
      </c>
      <c r="ED514" s="591">
        <f>+ED530/AVERAGE(DZ$490:EC$490)/12*1000</f>
        <v>51.801245644360307</v>
      </c>
      <c r="EE514" s="480">
        <f>+DZ514*(1+EE515)</f>
        <v>51.801245644360307</v>
      </c>
    </row>
    <row r="515" spans="1:135" hidden="1" outlineLevel="1" x14ac:dyDescent="0.3">
      <c r="A515" s="70" t="s">
        <v>363</v>
      </c>
      <c r="DZ515" s="87">
        <v>0</v>
      </c>
      <c r="EA515" s="87">
        <f>+DZ515</f>
        <v>0</v>
      </c>
      <c r="EB515" s="87">
        <f>+EA515</f>
        <v>0</v>
      </c>
      <c r="EC515" s="87">
        <f>+EB515</f>
        <v>0</v>
      </c>
      <c r="ED515" s="84">
        <f>+ED514/DY514-1</f>
        <v>0</v>
      </c>
      <c r="EE515" s="87">
        <v>0</v>
      </c>
    </row>
    <row r="516" spans="1:135" hidden="1" outlineLevel="1" x14ac:dyDescent="0.3">
      <c r="A516" s="67" t="s">
        <v>1908</v>
      </c>
      <c r="DU516" s="101">
        <f>+DU531/DU490/3*1000</f>
        <v>9.1040342111363692</v>
      </c>
      <c r="DV516" s="101">
        <f>+DV531/DV490/3*1000</f>
        <v>7.9695755755026507</v>
      </c>
      <c r="DW516" s="101">
        <f>+DW531/DW490/3*1000</f>
        <v>8.8049236177237464</v>
      </c>
      <c r="DX516" s="101">
        <f>+DX531/DX490/3*1000</f>
        <v>9.7074639712960344</v>
      </c>
      <c r="DY516" s="591">
        <f>+DY531/AVERAGE(DU$490:DX$490)/12*1000</f>
        <v>8.8866792877328677</v>
      </c>
      <c r="DZ516" s="101">
        <f>+DZ531/DZ490/3*1000</f>
        <v>7.1523526251240304</v>
      </c>
      <c r="EA516" s="101">
        <f>+EA531/EA490/3*1000</f>
        <v>6.6056260992021176</v>
      </c>
      <c r="EB516" s="101">
        <f>+EB531/EB490/3*1000</f>
        <v>6.2693216573429806</v>
      </c>
      <c r="EC516" s="101">
        <f>+EC531/EC490/3*1000</f>
        <v>6.7706266492551785</v>
      </c>
      <c r="ED516" s="591">
        <f>+ED531/AVERAGE(DZ$490:EC$490)/12*1000</f>
        <v>6.7019834769928783</v>
      </c>
      <c r="EE516" s="101">
        <f>+EE531/EE490/3*1000</f>
        <v>5.7832165628398551</v>
      </c>
    </row>
    <row r="517" spans="1:135" hidden="1" outlineLevel="1" x14ac:dyDescent="0.3">
      <c r="A517" s="70" t="s">
        <v>363</v>
      </c>
      <c r="DZ517" s="75">
        <f t="shared" ref="DZ517:EE517" si="404">+DZ516/DU516-1</f>
        <v>-0.21437546704569432</v>
      </c>
      <c r="EA517" s="75">
        <f t="shared" si="404"/>
        <v>-0.17114455636673065</v>
      </c>
      <c r="EB517" s="75">
        <f t="shared" si="404"/>
        <v>-0.28797546355504566</v>
      </c>
      <c r="EC517" s="75">
        <f t="shared" si="404"/>
        <v>-0.30253393993784372</v>
      </c>
      <c r="ED517" s="84">
        <f t="shared" si="404"/>
        <v>-0.24583938949566164</v>
      </c>
      <c r="EE517" s="75">
        <f t="shared" si="404"/>
        <v>-0.19142457510761124</v>
      </c>
    </row>
    <row r="518" spans="1:135" hidden="1" outlineLevel="1" x14ac:dyDescent="0.3">
      <c r="A518" s="60" t="s">
        <v>1909</v>
      </c>
      <c r="DZ518" s="87"/>
      <c r="EA518" s="87"/>
      <c r="EB518" s="87"/>
      <c r="EC518" s="87"/>
      <c r="ED518" s="84"/>
      <c r="EE518" s="87"/>
    </row>
    <row r="519" spans="1:135" hidden="1" outlineLevel="1" x14ac:dyDescent="0.3">
      <c r="A519" s="70" t="s">
        <v>363</v>
      </c>
      <c r="DZ519" s="87"/>
      <c r="EA519" s="87"/>
      <c r="EB519" s="87"/>
      <c r="EC519" s="87"/>
      <c r="ED519" s="84"/>
      <c r="EE519" s="87"/>
    </row>
    <row r="520" spans="1:135" hidden="1" outlineLevel="1" x14ac:dyDescent="0.3">
      <c r="A520" s="70"/>
      <c r="DZ520" s="87"/>
      <c r="EA520" s="87"/>
      <c r="EB520" s="87"/>
      <c r="EC520" s="87"/>
      <c r="ED520" s="84"/>
      <c r="EE520" s="87"/>
    </row>
    <row r="521" spans="1:135" hidden="1" outlineLevel="1" x14ac:dyDescent="0.3">
      <c r="A521" s="846" t="s">
        <v>284</v>
      </c>
    </row>
    <row r="522" spans="1:135" hidden="1" outlineLevel="1" x14ac:dyDescent="0.3">
      <c r="A522" s="67" t="s">
        <v>1899</v>
      </c>
      <c r="DU522" s="76">
        <f>+DU498*DU488*3/1000</f>
        <v>198.11205000000001</v>
      </c>
      <c r="DV522" s="76">
        <f>+DV498*DV488*3/1000</f>
        <v>191.07525000000001</v>
      </c>
      <c r="DW522" s="76">
        <f>+DW498*DW488*3/1000</f>
        <v>188.21820000000002</v>
      </c>
      <c r="DX522" s="76">
        <f>+DX498*DX488*3/1000</f>
        <v>187.82280000000003</v>
      </c>
      <c r="DY522" s="85">
        <f>+SUM(DU522:DX522)</f>
        <v>765.2283000000001</v>
      </c>
      <c r="DZ522" s="76">
        <f>+DZ498*DZ488*3/1000</f>
        <v>188.17046947674419</v>
      </c>
      <c r="EA522" s="76">
        <f>+EA498*EA488*3/1000</f>
        <v>189.06900976744188</v>
      </c>
      <c r="EB522" s="76">
        <f>+EB498*EB488*3/1000</f>
        <v>191.54123999999999</v>
      </c>
      <c r="EC522" s="76">
        <f>+EC498*EC488*3/1000</f>
        <v>198.68177790697672</v>
      </c>
      <c r="ED522" s="85">
        <f>+SUM(DZ522:EC522)</f>
        <v>767.46249715116278</v>
      </c>
      <c r="EE522" s="76">
        <f>+EE498*EE488*3/1000</f>
        <v>205.53120000000001</v>
      </c>
    </row>
    <row r="523" spans="1:135" hidden="1" outlineLevel="1" x14ac:dyDescent="0.3">
      <c r="A523" s="67" t="s">
        <v>1900</v>
      </c>
      <c r="DU523" s="95">
        <f>+$DY523/$DY$347*DU$347</f>
        <v>204</v>
      </c>
      <c r="DV523" s="95">
        <f>+$DY523/$DY$347*DV$347</f>
        <v>198.4</v>
      </c>
      <c r="DW523" s="95">
        <f>+$DY523/$DY$347*DW$347</f>
        <v>186.4</v>
      </c>
      <c r="DX523" s="95">
        <f>+$DY523/$DY$347*DX$347</f>
        <v>177.60000000000002</v>
      </c>
      <c r="DY523" s="463">
        <f>DY347*0.8</f>
        <v>766.40000000000009</v>
      </c>
      <c r="DZ523" s="95">
        <f>+$DY523/$DY$347*DZ$347</f>
        <v>169.60000000000002</v>
      </c>
      <c r="EA523" s="95">
        <f>+$DY523/$DY$347*EA$347</f>
        <v>157.60000000000002</v>
      </c>
      <c r="EB523" s="95">
        <f>+$DY523/$DY$347*EB$347</f>
        <v>148.80000000000001</v>
      </c>
      <c r="EC523" s="95">
        <f>+$DY523/$DY$347*EC$347</f>
        <v>144.80000000000001</v>
      </c>
      <c r="ED523" s="85">
        <f>+SUM(DZ523:EC523)</f>
        <v>620.80000000000007</v>
      </c>
      <c r="EE523" s="95">
        <f>+$DY523/$DY$347*EE$347</f>
        <v>135.20000000000002</v>
      </c>
    </row>
    <row r="524" spans="1:135" hidden="1" outlineLevel="1" x14ac:dyDescent="0.3">
      <c r="A524" s="67" t="s">
        <v>1901</v>
      </c>
      <c r="DU524" s="76">
        <f>+DU502*DU$488*3/1000</f>
        <v>43.783119882427037</v>
      </c>
      <c r="DV524" s="76">
        <f>+DV502*DV$488*3/1000</f>
        <v>43.490867100566874</v>
      </c>
      <c r="DW524" s="76">
        <f>+DW502*DW$488*3/1000</f>
        <v>43.326474910770528</v>
      </c>
      <c r="DX524" s="76">
        <f>+DX502*DX$488*3/1000</f>
        <v>43.399538106235568</v>
      </c>
      <c r="DY524" s="463">
        <v>174</v>
      </c>
      <c r="DZ524" s="76">
        <f>+DZ502*DZ$488*3/1000</f>
        <v>43.645510451200877</v>
      </c>
      <c r="EA524" s="76">
        <f>+EA502*EA$488*3/1000</f>
        <v>43.937614557953999</v>
      </c>
      <c r="EB524" s="76">
        <f>+EB502*EB$488*3/1000</f>
        <v>44.174921268108328</v>
      </c>
      <c r="EC524" s="76">
        <f>+EC502*EC$488*3/1000</f>
        <v>44.392432949723897</v>
      </c>
      <c r="ED524" s="85">
        <f>+SUM(DZ524:EC524)</f>
        <v>176.1504792269871</v>
      </c>
      <c r="EE524" s="76">
        <f>+EE502*EE$488*3/1000</f>
        <v>44.692756665966833</v>
      </c>
    </row>
    <row r="525" spans="1:135" hidden="1" outlineLevel="1" x14ac:dyDescent="0.3">
      <c r="A525" s="67" t="s">
        <v>1902</v>
      </c>
      <c r="DU525" s="76">
        <f>+DU504*DU$488*3/1000</f>
        <v>31.453390720134369</v>
      </c>
      <c r="DV525" s="76">
        <f>+DV504*DV$488*3/1000</f>
        <v>31.243439009027927</v>
      </c>
      <c r="DW525" s="76">
        <f>+DW504*DW$488*3/1000</f>
        <v>31.125341171530547</v>
      </c>
      <c r="DX525" s="76">
        <f>+DX504*DX$488*3/1000</f>
        <v>31.177829099307157</v>
      </c>
      <c r="DY525" s="463">
        <v>125</v>
      </c>
      <c r="DZ525" s="76">
        <f>+DZ504*DZ$488*3/1000</f>
        <v>31.354533370115576</v>
      </c>
      <c r="EA525" s="76">
        <f>+EA504*EA$488*3/1000</f>
        <v>31.564378274392244</v>
      </c>
      <c r="EB525" s="76">
        <f>+EB504*EB$488*3/1000</f>
        <v>31.734857232836447</v>
      </c>
      <c r="EC525" s="76">
        <f>+EC504*EC$488*3/1000</f>
        <v>31.89111562480165</v>
      </c>
      <c r="ED525" s="85">
        <f>+SUM(DZ525:EC525)</f>
        <v>126.54488450214592</v>
      </c>
      <c r="EE525" s="76">
        <f>+EE504*EE$488*3/1000</f>
        <v>32.106865420953191</v>
      </c>
    </row>
    <row r="526" spans="1:135" hidden="1" outlineLevel="1" x14ac:dyDescent="0.3">
      <c r="A526" s="64" t="s">
        <v>1903</v>
      </c>
      <c r="DU526" s="803">
        <f t="shared" ref="DU526:EE526" si="405">+SUM(DU522:DU525)</f>
        <v>477.34856060256146</v>
      </c>
      <c r="DV526" s="803">
        <f t="shared" si="405"/>
        <v>464.20955610959481</v>
      </c>
      <c r="DW526" s="803">
        <f t="shared" si="405"/>
        <v>449.07001608230104</v>
      </c>
      <c r="DX526" s="803">
        <f t="shared" si="405"/>
        <v>440.00016720554277</v>
      </c>
      <c r="DY526" s="803">
        <f t="shared" si="405"/>
        <v>1830.6283000000003</v>
      </c>
      <c r="DZ526" s="803">
        <f t="shared" si="405"/>
        <v>432.77051329806068</v>
      </c>
      <c r="EA526" s="803">
        <f t="shared" si="405"/>
        <v>422.17100259978821</v>
      </c>
      <c r="EB526" s="803">
        <f t="shared" si="405"/>
        <v>416.25101850094472</v>
      </c>
      <c r="EC526" s="803">
        <f t="shared" si="405"/>
        <v>419.76532648150231</v>
      </c>
      <c r="ED526" s="803">
        <f t="shared" si="405"/>
        <v>1690.9578608802958</v>
      </c>
      <c r="EE526" s="803">
        <f t="shared" si="405"/>
        <v>417.53082208692007</v>
      </c>
    </row>
    <row r="527" spans="1:135" hidden="1" outlineLevel="1" x14ac:dyDescent="0.3">
      <c r="A527" s="67" t="s">
        <v>1904</v>
      </c>
      <c r="DU527" s="76">
        <f>+DU508*DU489*3/1000</f>
        <v>0</v>
      </c>
      <c r="DV527" s="76">
        <f>+DV508*DV489*3/1000</f>
        <v>0</v>
      </c>
      <c r="DW527" s="76">
        <f>+DW508*DW489*3/1000</f>
        <v>0</v>
      </c>
      <c r="DX527" s="76">
        <f>+DX508*DX489*3/1000</f>
        <v>0</v>
      </c>
      <c r="DY527" s="85">
        <f>+SUM(DU527:DX527)</f>
        <v>0</v>
      </c>
      <c r="DZ527" s="76">
        <f>+DZ508*DZ489*3/1000</f>
        <v>4.203052325581396E-2</v>
      </c>
      <c r="EA527" s="76">
        <f>+EA508*EA489*3/1000</f>
        <v>0.12119023255813954</v>
      </c>
      <c r="EB527" s="76">
        <f>+EB508*EB489*3/1000</f>
        <v>0.20195999999999997</v>
      </c>
      <c r="EC527" s="76">
        <f>+EC508*EC489*3/1000</f>
        <v>0.54297209302325578</v>
      </c>
      <c r="ED527" s="85">
        <f>+SUM(DZ527:EC527)</f>
        <v>0.90815284883720926</v>
      </c>
      <c r="EE527" s="76">
        <f>+EE508*EE489*3/1000</f>
        <v>0.85680000000000001</v>
      </c>
    </row>
    <row r="528" spans="1:135" hidden="1" outlineLevel="1" x14ac:dyDescent="0.3">
      <c r="A528" s="67" t="s">
        <v>1905</v>
      </c>
      <c r="DU528" s="76">
        <f>+DU510*DU490*3/1000</f>
        <v>179.96535</v>
      </c>
      <c r="DV528" s="76">
        <f>+DV510*DV490*3/1000</f>
        <v>178.33199999999999</v>
      </c>
      <c r="DW528" s="76">
        <f>+DW510*DW490*3/1000</f>
        <v>174.87495000000001</v>
      </c>
      <c r="DX528" s="76">
        <f>+DX510*DX490*3/1000</f>
        <v>169.65299999999996</v>
      </c>
      <c r="DY528" s="85">
        <f>+SUM(DU528:DX528)</f>
        <v>702.82529999999997</v>
      </c>
      <c r="DZ528" s="76">
        <f>+DZ510*DZ490*3/1000</f>
        <v>165.96495000000002</v>
      </c>
      <c r="EA528" s="76">
        <f>+EA510*EA490*3/1000</f>
        <v>165.33435</v>
      </c>
      <c r="EB528" s="76">
        <f>+EB510*EB490*3/1000</f>
        <v>163.10565000000003</v>
      </c>
      <c r="EC528" s="76">
        <f>+EC510*EC490*3/1000</f>
        <v>160.81559999999999</v>
      </c>
      <c r="ED528" s="85">
        <f>+SUM(DZ528:EC528)</f>
        <v>655.22055</v>
      </c>
      <c r="EE528" s="76">
        <f>+EE510*EE490*3/1000</f>
        <v>160.84110000000001</v>
      </c>
    </row>
    <row r="529" spans="1:150" hidden="1" outlineLevel="1" x14ac:dyDescent="0.3">
      <c r="A529" s="67" t="s">
        <v>1906</v>
      </c>
      <c r="DU529" s="95">
        <f>+$DY529/$DY$347*DU$347</f>
        <v>50.999999999999972</v>
      </c>
      <c r="DV529" s="95">
        <f>+$DY529/$DY$347*DV$347</f>
        <v>49.599999999999973</v>
      </c>
      <c r="DW529" s="95">
        <f>+$DY529/$DY$347*DW$347</f>
        <v>46.59999999999998</v>
      </c>
      <c r="DX529" s="95">
        <f>+$DY529/$DY$347*DX$347</f>
        <v>44.399999999999977</v>
      </c>
      <c r="DY529" s="463">
        <f>DY347-DY523</f>
        <v>191.59999999999991</v>
      </c>
      <c r="DZ529" s="95">
        <f>+$DY529/$DY$347*DZ$347</f>
        <v>42.399999999999977</v>
      </c>
      <c r="EA529" s="95">
        <f>+$DY529/$DY$347*EA$347</f>
        <v>39.399999999999977</v>
      </c>
      <c r="EB529" s="95">
        <f>+$DY529/$DY$347*EB$347</f>
        <v>37.199999999999982</v>
      </c>
      <c r="EC529" s="95">
        <f>+$DY529/$DY$347*EC$347</f>
        <v>36.199999999999982</v>
      </c>
      <c r="ED529" s="85">
        <f>+SUM(DZ529:EC529)</f>
        <v>155.19999999999993</v>
      </c>
      <c r="EE529" s="95">
        <f>+$DY529/$DY$347*EE$347</f>
        <v>33.799999999999983</v>
      </c>
    </row>
    <row r="530" spans="1:150" hidden="1" outlineLevel="1" x14ac:dyDescent="0.3">
      <c r="A530" s="67" t="s">
        <v>1907</v>
      </c>
      <c r="DU530" s="76">
        <f>+DU514*DU490*3/1000</f>
        <v>244.6831838011359</v>
      </c>
      <c r="DV530" s="76">
        <f>+DV514*DV490*3/1000</f>
        <v>239.94336982467695</v>
      </c>
      <c r="DW530" s="76">
        <f>+DW514*DW490*3/1000</f>
        <v>232.87249979422177</v>
      </c>
      <c r="DX530" s="76">
        <f>+DX514*DX490*3/1000</f>
        <v>226.50094657996544</v>
      </c>
      <c r="DY530" s="463">
        <v>944</v>
      </c>
      <c r="DZ530" s="76">
        <f>+DZ514*DZ490*3/1000</f>
        <v>222.14964194583919</v>
      </c>
      <c r="EA530" s="76">
        <f>+EA514*EA490*3/1000</f>
        <v>219.04156720717756</v>
      </c>
      <c r="EB530" s="76">
        <f>+EB514*EB490*3/1000</f>
        <v>216.08889620544903</v>
      </c>
      <c r="EC530" s="76">
        <f>+EC514*EC490*3/1000</f>
        <v>211.97069717672235</v>
      </c>
      <c r="ED530" s="85">
        <f>+SUM(DZ530:EC530)</f>
        <v>869.25080253518809</v>
      </c>
      <c r="EE530" s="76">
        <f>+EE514*EE490*3/1000</f>
        <v>207.77479627952923</v>
      </c>
    </row>
    <row r="531" spans="1:150" hidden="1" outlineLevel="1" x14ac:dyDescent="0.3">
      <c r="A531" s="67" t="s">
        <v>1908</v>
      </c>
      <c r="DU531" s="76">
        <f>+DU351-SUM(DU527:DU530,DU522:DU525)</f>
        <v>43.002905596302639</v>
      </c>
      <c r="DV531" s="76">
        <f>+DV351-SUM(DV527:DV530,DV522:DV525)</f>
        <v>36.915074065728277</v>
      </c>
      <c r="DW531" s="76">
        <f>+DW351-SUM(DW527:DW530,DW522:DW525)</f>
        <v>39.582534123477103</v>
      </c>
      <c r="DX531" s="76">
        <f>+DX351-SUM(DX527:DX530,DX522:DX525)</f>
        <v>42.445886214491907</v>
      </c>
      <c r="DY531" s="85">
        <f>+SUM(DU531:DX531)</f>
        <v>161.94639999999993</v>
      </c>
      <c r="DZ531" s="76">
        <f>+DZ351-SUM(DZ527:DZ530,DZ522:DZ525)</f>
        <v>30.672864232844404</v>
      </c>
      <c r="EA531" s="76">
        <f>+EA351-SUM(EA527:EA530,EA522:EA525)</f>
        <v>27.931889960476155</v>
      </c>
      <c r="EB531" s="76">
        <f>+EB351-SUM(EB527:EB530,EB522:EB525)</f>
        <v>26.152475293606244</v>
      </c>
      <c r="EC531" s="76">
        <f>+EC351-SUM(EC527:EC530,EC522:EC525)</f>
        <v>27.705404248752188</v>
      </c>
      <c r="ED531" s="85">
        <f>+SUM(DZ531:EC531)</f>
        <v>112.46263373567899</v>
      </c>
      <c r="EE531" s="76">
        <f>+EE351-SUM(EE527:EE530,EE522:EE525)</f>
        <v>23.196481633550661</v>
      </c>
    </row>
    <row r="532" spans="1:150" hidden="1" outlineLevel="1" x14ac:dyDescent="0.3">
      <c r="A532" s="64" t="s">
        <v>1909</v>
      </c>
      <c r="DU532" s="803">
        <f>+SUM(DU528:DU531)</f>
        <v>518.65143939743848</v>
      </c>
      <c r="DV532" s="803">
        <f>+SUM(DV528:DV531)</f>
        <v>504.79044389040519</v>
      </c>
      <c r="DW532" s="803">
        <f>+SUM(DW528:DW531)</f>
        <v>493.92998391769885</v>
      </c>
      <c r="DX532" s="803">
        <f>+SUM(DX528:DX531)</f>
        <v>482.99983279445729</v>
      </c>
      <c r="DY532" s="803">
        <f>+SUM(DU532:DX532)</f>
        <v>2000.3716999999997</v>
      </c>
      <c r="DZ532" s="803">
        <f t="shared" ref="DZ532:EE532" si="406">+SUM(DZ528:DZ531)</f>
        <v>461.18745617868359</v>
      </c>
      <c r="EA532" s="803">
        <f t="shared" si="406"/>
        <v>451.7078071676537</v>
      </c>
      <c r="EB532" s="803">
        <f t="shared" si="406"/>
        <v>442.54702149905529</v>
      </c>
      <c r="EC532" s="803">
        <f t="shared" si="406"/>
        <v>436.69170142547455</v>
      </c>
      <c r="ED532" s="803">
        <f t="shared" si="406"/>
        <v>1792.1339862708669</v>
      </c>
      <c r="EE532" s="803">
        <f t="shared" si="406"/>
        <v>425.61237791307985</v>
      </c>
    </row>
    <row r="533" spans="1:150" hidden="1" outlineLevel="1" x14ac:dyDescent="0.3">
      <c r="A533" s="64"/>
      <c r="DU533" s="85"/>
      <c r="DV533" s="85"/>
      <c r="DW533" s="85"/>
      <c r="DX533" s="85"/>
      <c r="DY533" s="85"/>
      <c r="DZ533" s="85"/>
      <c r="EA533" s="85"/>
      <c r="EB533" s="85"/>
      <c r="EC533" s="85"/>
      <c r="ED533" s="85"/>
      <c r="EE533" s="85"/>
    </row>
    <row r="534" spans="1:150" ht="12.5" hidden="1" outlineLevel="1" thickBot="1" x14ac:dyDescent="0.35">
      <c r="A534" s="60" t="s">
        <v>23</v>
      </c>
      <c r="DU534" s="466">
        <f>+SUM(DU532,DU527,DU526)</f>
        <v>996</v>
      </c>
      <c r="DV534" s="466">
        <f>+SUM(DV532,DV527,DV526)</f>
        <v>969</v>
      </c>
      <c r="DW534" s="466">
        <f>+SUM(DW532,DW527,DW526)</f>
        <v>942.99999999999989</v>
      </c>
      <c r="DX534" s="466">
        <f>+SUM(DX532,DX527,DX526)</f>
        <v>923</v>
      </c>
      <c r="DY534" s="466">
        <f>+SUM(DU534:DX534)</f>
        <v>3831</v>
      </c>
      <c r="DZ534" s="466">
        <f>+SUM(DZ532,DZ527,DZ526)</f>
        <v>894</v>
      </c>
      <c r="EA534" s="466">
        <f>+SUM(EA532,EA527,EA526)</f>
        <v>874</v>
      </c>
      <c r="EB534" s="466">
        <f>+SUM(EB532,EB527,EB526)</f>
        <v>859</v>
      </c>
      <c r="EC534" s="466">
        <f>+SUM(EC532,EC527,EC526)</f>
        <v>857.00000000000011</v>
      </c>
      <c r="ED534" s="466">
        <f>+SUM(DZ534:EC534)</f>
        <v>3484</v>
      </c>
      <c r="EE534" s="466">
        <f>+SUM(EE532,EE527,EE526)</f>
        <v>844</v>
      </c>
    </row>
    <row r="535" spans="1:150" ht="12.5" hidden="1" outlineLevel="1" thickTop="1" x14ac:dyDescent="0.3">
      <c r="A535" s="60"/>
      <c r="DZ535" s="87"/>
      <c r="EA535" s="87"/>
      <c r="EB535" s="87"/>
      <c r="EC535" s="87"/>
      <c r="ED535" s="84"/>
      <c r="EE535" s="87"/>
    </row>
    <row r="536" spans="1:150" hidden="1" outlineLevel="1" x14ac:dyDescent="0.3">
      <c r="A536" s="43" t="s">
        <v>4055</v>
      </c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43"/>
      <c r="AU536" s="43"/>
      <c r="AV536" s="43"/>
      <c r="AW536" s="43"/>
      <c r="AX536" s="43"/>
      <c r="AY536" s="43"/>
      <c r="AZ536" s="43"/>
      <c r="BA536" s="43"/>
      <c r="BB536" s="43"/>
      <c r="BC536" s="43"/>
      <c r="BD536" s="43"/>
      <c r="BE536" s="43"/>
      <c r="BF536" s="43"/>
      <c r="BG536" s="43"/>
      <c r="BH536" s="43"/>
      <c r="BI536" s="43"/>
      <c r="BJ536" s="43"/>
      <c r="BK536" s="43"/>
      <c r="BL536" s="43"/>
      <c r="BM536" s="43"/>
      <c r="BN536" s="43"/>
      <c r="BO536" s="43"/>
      <c r="BP536" s="43"/>
      <c r="BQ536" s="43"/>
      <c r="BR536" s="43"/>
      <c r="BS536" s="43"/>
      <c r="BT536" s="43"/>
      <c r="BU536" s="43"/>
      <c r="BV536" s="43"/>
      <c r="BW536" s="43"/>
      <c r="BX536" s="43"/>
      <c r="BY536" s="43"/>
      <c r="BZ536" s="43"/>
      <c r="CA536" s="43"/>
      <c r="CB536" s="43"/>
      <c r="CC536" s="43"/>
      <c r="CD536" s="43"/>
      <c r="CE536" s="43"/>
      <c r="CF536" s="43"/>
      <c r="CG536" s="43"/>
      <c r="CH536" s="43"/>
      <c r="CI536" s="43"/>
      <c r="CJ536" s="43"/>
      <c r="CK536" s="43"/>
      <c r="CL536" s="43"/>
      <c r="CM536" s="43"/>
      <c r="CN536" s="43"/>
      <c r="CO536" s="43"/>
      <c r="CP536" s="43"/>
      <c r="CQ536" s="43"/>
      <c r="CR536" s="43"/>
      <c r="CS536" s="43"/>
      <c r="CT536" s="43"/>
      <c r="CU536" s="43"/>
      <c r="CV536" s="43"/>
      <c r="CW536" s="43"/>
      <c r="CX536" s="43"/>
      <c r="CY536" s="43"/>
      <c r="CZ536" s="43"/>
      <c r="DA536" s="43"/>
      <c r="DB536" s="43"/>
      <c r="DC536" s="43"/>
      <c r="DD536" s="43"/>
      <c r="DE536" s="43"/>
      <c r="DF536" s="43"/>
      <c r="DG536" s="43"/>
      <c r="DH536" s="43"/>
      <c r="DI536" s="43"/>
      <c r="DJ536" s="43"/>
      <c r="DK536" s="43"/>
      <c r="DL536" s="43"/>
      <c r="DM536" s="43"/>
      <c r="DN536" s="43"/>
      <c r="DO536" s="43"/>
      <c r="DP536" s="43"/>
      <c r="DQ536" s="43"/>
      <c r="DR536" s="43"/>
      <c r="DS536" s="43"/>
      <c r="DT536" s="43"/>
      <c r="DU536" s="43"/>
      <c r="DV536" s="43"/>
      <c r="DW536" s="43"/>
      <c r="DX536" s="43"/>
      <c r="DY536" s="43"/>
      <c r="DZ536" s="43"/>
      <c r="EA536" s="43"/>
      <c r="EB536" s="43"/>
      <c r="EC536" s="43"/>
      <c r="ED536" s="43"/>
      <c r="EE536" s="43"/>
      <c r="EF536" s="43"/>
      <c r="EG536" s="43"/>
      <c r="EH536" s="43"/>
      <c r="EI536" s="43"/>
      <c r="EJ536" s="43"/>
      <c r="EK536" s="43"/>
      <c r="EL536" s="43"/>
      <c r="EM536" s="43"/>
      <c r="EN536" s="43"/>
      <c r="EO536" s="43"/>
      <c r="EP536" s="43"/>
      <c r="EQ536" s="43"/>
      <c r="ER536" s="43"/>
      <c r="ES536" s="43"/>
      <c r="ET536" s="43"/>
    </row>
    <row r="537" spans="1:150" hidden="1" outlineLevel="1" x14ac:dyDescent="0.3">
      <c r="A537" s="55" t="s">
        <v>357</v>
      </c>
      <c r="DU537" s="85"/>
      <c r="DV537" s="85"/>
      <c r="DW537" s="85"/>
      <c r="DX537" s="85"/>
      <c r="DY537" s="85"/>
      <c r="DZ537" s="85"/>
      <c r="EA537" s="85"/>
      <c r="EB537" s="85"/>
      <c r="EC537" s="85"/>
      <c r="ED537" s="85"/>
      <c r="EE537" s="85"/>
    </row>
    <row r="538" spans="1:150" hidden="1" outlineLevel="1" x14ac:dyDescent="0.3">
      <c r="A538" s="67" t="s">
        <v>349</v>
      </c>
      <c r="DU538" s="76">
        <f>+AVERAGE(DU454,DU457)</f>
        <v>117</v>
      </c>
      <c r="DV538" s="76">
        <f>+AVERAGE(DV454,DV457)</f>
        <v>117</v>
      </c>
      <c r="DW538" s="76">
        <f>+AVERAGE(DW454,DW457)</f>
        <v>117</v>
      </c>
      <c r="DX538" s="76">
        <f>+AVERAGE(DX454,DX457)</f>
        <v>117.5</v>
      </c>
      <c r="DY538" s="85">
        <f>+AVERAGE(DU538:DX538)</f>
        <v>117.125</v>
      </c>
      <c r="DZ538" s="76">
        <f>+AVERAGE(DZ454,DZ457)</f>
        <v>118</v>
      </c>
      <c r="EA538" s="76">
        <f>+AVERAGE(EA454,EA457)</f>
        <v>117</v>
      </c>
      <c r="EB538" s="76">
        <f>+AVERAGE(EB454,EB457)</f>
        <v>116.5</v>
      </c>
      <c r="EC538" s="76">
        <f>+AVERAGE(EC454,EC457)</f>
        <v>117</v>
      </c>
      <c r="ED538" s="85">
        <f>+AVERAGE(DZ538:EC538)</f>
        <v>117.125</v>
      </c>
      <c r="EE538" s="76">
        <f>+AVERAGE(EE454,EE457)</f>
        <v>118.5</v>
      </c>
      <c r="EF538" s="76">
        <f>+AVERAGE(EF454,EF457)</f>
        <v>121.26190950173709</v>
      </c>
      <c r="EG538" s="76">
        <f>+AVERAGE(EG454,EG457)</f>
        <v>123.54515684912791</v>
      </c>
      <c r="EH538" s="76">
        <f>+AVERAGE(EH454,EH457)</f>
        <v>125.3519585818018</v>
      </c>
      <c r="EI538" s="85">
        <f>+AVERAGE(EE538:EH538)</f>
        <v>122.1647562331667</v>
      </c>
      <c r="EJ538" s="76">
        <f t="shared" ref="EJ538:ES538" si="407">+AVERAGE(EJ454,EJ457)</f>
        <v>130.59485677377967</v>
      </c>
      <c r="EK538" s="76">
        <f t="shared" si="407"/>
        <v>138.60040878548375</v>
      </c>
      <c r="EL538" s="76">
        <f t="shared" si="407"/>
        <v>144.97282818680017</v>
      </c>
      <c r="EM538" s="76">
        <f t="shared" si="407"/>
        <v>150.04527403024804</v>
      </c>
      <c r="EN538" s="76">
        <f t="shared" si="407"/>
        <v>154.08294092163254</v>
      </c>
      <c r="EO538" s="76">
        <f t="shared" si="407"/>
        <v>157.29692376717463</v>
      </c>
      <c r="EP538" s="76">
        <f t="shared" si="407"/>
        <v>159.85525411222613</v>
      </c>
      <c r="EQ538" s="76">
        <f t="shared" si="407"/>
        <v>161.89168506688713</v>
      </c>
      <c r="ER538" s="76">
        <f t="shared" si="407"/>
        <v>163.51268410679728</v>
      </c>
      <c r="ES538" s="76">
        <f t="shared" si="407"/>
        <v>164.80299934256573</v>
      </c>
    </row>
    <row r="539" spans="1:150" hidden="1" outlineLevel="1" x14ac:dyDescent="0.3">
      <c r="A539" s="67" t="s">
        <v>3753</v>
      </c>
      <c r="DU539" s="76">
        <f>+AVERAGE(DU465,DU468)</f>
        <v>201</v>
      </c>
      <c r="DV539" s="76">
        <f>+AVERAGE(DV465,DV468)</f>
        <v>195</v>
      </c>
      <c r="DW539" s="76">
        <f>+AVERAGE(DW465,DW468)</f>
        <v>188.5</v>
      </c>
      <c r="DX539" s="76">
        <f>+AVERAGE(DX465,DX468)</f>
        <v>182</v>
      </c>
      <c r="DY539" s="85">
        <f>+AVERAGE(DU539:DX539)</f>
        <v>191.625</v>
      </c>
      <c r="DZ539" s="76">
        <f>+AVERAGE(DZ465,DZ468)</f>
        <v>175</v>
      </c>
      <c r="EA539" s="76">
        <f>+AVERAGE(EA465,EA468)</f>
        <v>168.5</v>
      </c>
      <c r="EB539" s="76">
        <f>+AVERAGE(EB465,EB468)</f>
        <v>163</v>
      </c>
      <c r="EC539" s="76">
        <f>+AVERAGE(EC465,EC468)</f>
        <v>157</v>
      </c>
      <c r="ED539" s="85">
        <f>+AVERAGE(DZ539:EC539)</f>
        <v>165.875</v>
      </c>
      <c r="EE539" s="76">
        <f>+AVERAGE(EE465,EE468)</f>
        <v>151.5</v>
      </c>
      <c r="EF539" s="76">
        <f>+AVERAGE(EF465,EF468)</f>
        <v>144.97368540217946</v>
      </c>
      <c r="EG539" s="76">
        <f>+AVERAGE(EG465,EG468)</f>
        <v>136.6505444359575</v>
      </c>
      <c r="EH539" s="76">
        <f>+AVERAGE(EH465,EH468)</f>
        <v>128.32819224260084</v>
      </c>
      <c r="EI539" s="85">
        <f>+AVERAGE(EE539:EH539)</f>
        <v>140.36310552018443</v>
      </c>
      <c r="EJ539" s="76">
        <f t="shared" ref="EJ539:ES539" si="408">+AVERAGE(EJ465,EJ468)</f>
        <v>110.79283743960335</v>
      </c>
      <c r="EK539" s="76">
        <f t="shared" si="408"/>
        <v>86.900417194387842</v>
      </c>
      <c r="EL539" s="76">
        <f t="shared" si="408"/>
        <v>68.539700975152641</v>
      </c>
      <c r="EM539" s="76">
        <f t="shared" si="408"/>
        <v>54.431414182645973</v>
      </c>
      <c r="EN539" s="76">
        <f t="shared" si="408"/>
        <v>43.59128196882353</v>
      </c>
      <c r="EO539" s="76">
        <f t="shared" si="408"/>
        <v>35.262728078959114</v>
      </c>
      <c r="EP539" s="76">
        <f t="shared" si="408"/>
        <v>28.864224940325297</v>
      </c>
      <c r="EQ539" s="76">
        <f t="shared" si="408"/>
        <v>23.94881270527058</v>
      </c>
      <c r="ER539" s="76">
        <f t="shared" si="408"/>
        <v>20.172975677804146</v>
      </c>
      <c r="ES539" s="76">
        <f t="shared" si="408"/>
        <v>17.272713940518731</v>
      </c>
    </row>
    <row r="540" spans="1:150" hidden="1" outlineLevel="1" x14ac:dyDescent="0.3">
      <c r="A540" s="67"/>
      <c r="DU540" s="76"/>
      <c r="DV540" s="76"/>
      <c r="DW540" s="76"/>
      <c r="DX540" s="76"/>
      <c r="DY540" s="85"/>
      <c r="DZ540" s="76"/>
      <c r="EA540" s="76"/>
      <c r="EB540" s="76"/>
      <c r="EC540" s="76"/>
      <c r="ED540" s="85"/>
      <c r="EE540" s="76"/>
      <c r="EF540" s="76"/>
      <c r="EG540" s="76"/>
      <c r="EH540" s="76"/>
      <c r="EI540" s="85"/>
      <c r="EJ540" s="76"/>
      <c r="EK540" s="76"/>
      <c r="EL540" s="76"/>
      <c r="EM540" s="76"/>
      <c r="EN540" s="76"/>
      <c r="EO540" s="76"/>
      <c r="EP540" s="76"/>
      <c r="EQ540" s="76"/>
      <c r="ER540" s="76"/>
      <c r="ES540" s="76"/>
    </row>
    <row r="541" spans="1:150" hidden="1" outlineLevel="1" x14ac:dyDescent="0.3">
      <c r="A541" s="846" t="s">
        <v>280</v>
      </c>
      <c r="DZ541" s="87"/>
      <c r="EA541" s="87"/>
      <c r="EB541" s="87"/>
      <c r="EC541" s="87"/>
      <c r="ED541" s="84"/>
      <c r="EE541" s="87"/>
    </row>
    <row r="542" spans="1:150" hidden="1" outlineLevel="1" x14ac:dyDescent="0.3">
      <c r="A542" s="67" t="s">
        <v>1910</v>
      </c>
      <c r="DU542" s="651">
        <f>+Inputs!DU614</f>
        <v>84.8</v>
      </c>
      <c r="DV542" s="651">
        <f>+Inputs!DV614</f>
        <v>87.6</v>
      </c>
      <c r="DW542" s="651">
        <f>+Inputs!DW614</f>
        <v>87.8</v>
      </c>
      <c r="DX542" s="651">
        <f>+Inputs!DX614</f>
        <v>87.1</v>
      </c>
      <c r="DY542" s="591">
        <f>+DY560/AVERAGE(DU$538:DX$538)/12*1000</f>
        <v>86.825293489861252</v>
      </c>
      <c r="DZ542" s="651">
        <f>+Inputs!DZ614</f>
        <v>87.1</v>
      </c>
      <c r="EA542" s="651">
        <f>+Inputs!EA614</f>
        <v>86.1</v>
      </c>
      <c r="EB542" s="651">
        <f>+Inputs!EB614</f>
        <v>86.2</v>
      </c>
      <c r="EC542" s="651">
        <f>+Inputs!EC614</f>
        <v>87.1</v>
      </c>
      <c r="ED542" s="591">
        <f>+ED560/AVERAGE(DZ$538:EC$538)/12*1000</f>
        <v>86.626467449306304</v>
      </c>
      <c r="EE542" s="651">
        <f>+Inputs!EE614</f>
        <v>86.6</v>
      </c>
    </row>
    <row r="543" spans="1:150" hidden="1" outlineLevel="1" x14ac:dyDescent="0.3">
      <c r="A543" s="70" t="s">
        <v>363</v>
      </c>
      <c r="DZ543" s="75">
        <f t="shared" ref="DZ543:EE543" si="409">+DZ542/DU542-1</f>
        <v>2.7122641509433887E-2</v>
      </c>
      <c r="EA543" s="75">
        <f t="shared" si="409"/>
        <v>-1.7123287671232834E-2</v>
      </c>
      <c r="EB543" s="75">
        <f t="shared" si="409"/>
        <v>-1.8223234624145768E-2</v>
      </c>
      <c r="EC543" s="75">
        <f t="shared" si="409"/>
        <v>0</v>
      </c>
      <c r="ED543" s="84">
        <f t="shared" si="409"/>
        <v>-2.2899552948607571E-3</v>
      </c>
      <c r="EE543" s="75">
        <f t="shared" si="409"/>
        <v>-5.7405281285878296E-3</v>
      </c>
    </row>
    <row r="544" spans="1:150" hidden="1" outlineLevel="1" x14ac:dyDescent="0.3">
      <c r="A544" s="67" t="s">
        <v>1911</v>
      </c>
      <c r="DU544" s="103">
        <f>+DV544</f>
        <v>453.90754180007116</v>
      </c>
      <c r="DV544" s="103">
        <f>+DW544</f>
        <v>453.90754180007116</v>
      </c>
      <c r="DW544" s="103">
        <f>+DX544</f>
        <v>453.90754180007116</v>
      </c>
      <c r="DX544" s="103">
        <f>+DY544</f>
        <v>453.90754180007116</v>
      </c>
      <c r="DY544" s="591">
        <f>+DY561/AVERAGE(DU$538:DX$538)/12*1000</f>
        <v>453.90754180007116</v>
      </c>
      <c r="DZ544" s="101">
        <f>+DU544*(1+DZ545)</f>
        <v>453.90754180007116</v>
      </c>
      <c r="EA544" s="101">
        <f>+DV544*(1+EA545)</f>
        <v>453.90754180007116</v>
      </c>
      <c r="EB544" s="101">
        <f>+DW544*(1+EB545)</f>
        <v>453.90754180007116</v>
      </c>
      <c r="EC544" s="101">
        <f>+DX544*(1+EC545)</f>
        <v>453.90754180007116</v>
      </c>
      <c r="ED544" s="591">
        <f>+ED561/AVERAGE(DZ$538:EC$538)/12*1000</f>
        <v>453.90754180007116</v>
      </c>
      <c r="EE544" s="101">
        <f>+DZ544*(1+EE545)</f>
        <v>453.90754180007116</v>
      </c>
    </row>
    <row r="545" spans="1:135" hidden="1" outlineLevel="1" x14ac:dyDescent="0.3">
      <c r="A545" s="70" t="s">
        <v>363</v>
      </c>
      <c r="DZ545" s="87">
        <v>0</v>
      </c>
      <c r="EA545" s="87">
        <f>+DZ545</f>
        <v>0</v>
      </c>
      <c r="EB545" s="87">
        <f>+EA545</f>
        <v>0</v>
      </c>
      <c r="EC545" s="87">
        <f>+EB545</f>
        <v>0</v>
      </c>
      <c r="ED545" s="84">
        <f>+ED544/DY544-1</f>
        <v>0</v>
      </c>
      <c r="EE545" s="87">
        <v>0</v>
      </c>
    </row>
    <row r="546" spans="1:135" hidden="1" outlineLevel="1" x14ac:dyDescent="0.3">
      <c r="A546" s="64" t="s">
        <v>1912</v>
      </c>
      <c r="DU546" s="863">
        <f>+DU562/DU538/3*1000</f>
        <v>538.70754180007123</v>
      </c>
      <c r="DV546" s="863">
        <f>+DV562/DV538/3*1000</f>
        <v>541.50754180007107</v>
      </c>
      <c r="DW546" s="863">
        <f>+DW562/DW538/3*1000</f>
        <v>541.70754180007111</v>
      </c>
      <c r="DX546" s="863">
        <f>+DX562/DX538/3*1000</f>
        <v>541.00754180007118</v>
      </c>
      <c r="DY546" s="863">
        <f>+DY562/AVERAGE(DU538:DX538)/12*1000</f>
        <v>540.73283528993238</v>
      </c>
      <c r="DZ546" s="863">
        <f>+DZ562/DZ538/3*1000</f>
        <v>541.00754180007118</v>
      </c>
      <c r="EA546" s="863">
        <f>+EA562/EA538/3*1000</f>
        <v>540.00754180007118</v>
      </c>
      <c r="EB546" s="863">
        <f>+EB562/EB538/3*1000</f>
        <v>540.10754180007109</v>
      </c>
      <c r="EC546" s="863">
        <f>+EC562/EC538/3*1000</f>
        <v>541.00754180007118</v>
      </c>
      <c r="ED546" s="863">
        <f>+ED562/AVERAGE(DZ538:EC538)/12*1000</f>
        <v>540.53400924937739</v>
      </c>
      <c r="EE546" s="863">
        <f>+EE562/EE538/3*1000</f>
        <v>540.50754180007118</v>
      </c>
    </row>
    <row r="547" spans="1:135" hidden="1" outlineLevel="1" x14ac:dyDescent="0.3">
      <c r="A547" s="70" t="s">
        <v>363</v>
      </c>
      <c r="DZ547" s="75">
        <f t="shared" ref="DZ547:EE547" si="410">+DZ546/DU546-1</f>
        <v>4.2694780034349122E-3</v>
      </c>
      <c r="EA547" s="75">
        <f t="shared" si="410"/>
        <v>-2.7700445223969306E-3</v>
      </c>
      <c r="EB547" s="75">
        <f t="shared" si="410"/>
        <v>-2.9536232681629526E-3</v>
      </c>
      <c r="EC547" s="75">
        <f t="shared" si="410"/>
        <v>0</v>
      </c>
      <c r="ED547" s="84">
        <f t="shared" si="410"/>
        <v>-3.676973684211271E-4</v>
      </c>
      <c r="EE547" s="75">
        <f t="shared" si="410"/>
        <v>-9.2420153393124593E-4</v>
      </c>
    </row>
    <row r="548" spans="1:135" hidden="1" outlineLevel="1" x14ac:dyDescent="0.3">
      <c r="A548" s="67" t="s">
        <v>1913</v>
      </c>
      <c r="DU548" s="651">
        <f>+Inputs!DU615</f>
        <v>61.9</v>
      </c>
      <c r="DV548" s="651">
        <f>+Inputs!DV615</f>
        <v>64.2</v>
      </c>
      <c r="DW548" s="651">
        <f>+Inputs!DW615</f>
        <v>63.8</v>
      </c>
      <c r="DX548" s="651">
        <f>+Inputs!DX615</f>
        <v>64.400000000000006</v>
      </c>
      <c r="DY548" s="591">
        <f>+DY563/AVERAGE(DU$539:DX$539)/12*1000</f>
        <v>63.545988258317017</v>
      </c>
      <c r="DZ548" s="651">
        <f>+Inputs!DZ615</f>
        <v>65.2</v>
      </c>
      <c r="EA548" s="651">
        <f>+Inputs!EA615</f>
        <v>64</v>
      </c>
      <c r="EB548" s="651">
        <f>+Inputs!EB615</f>
        <v>64.2</v>
      </c>
      <c r="EC548" s="651">
        <f>+Inputs!EC615</f>
        <v>65.2</v>
      </c>
      <c r="ED548" s="591">
        <f>+ED563/AVERAGE(DZ$539:EC$539)/12*1000</f>
        <v>64.649585531273544</v>
      </c>
      <c r="EE548" s="651">
        <f>+Inputs!EE615</f>
        <v>64.900000000000006</v>
      </c>
    </row>
    <row r="549" spans="1:135" hidden="1" outlineLevel="1" x14ac:dyDescent="0.3">
      <c r="A549" s="70" t="s">
        <v>363</v>
      </c>
      <c r="DZ549" s="75">
        <f t="shared" ref="DZ549:EE549" si="411">+DZ548/DU548-1</f>
        <v>5.331179321486279E-2</v>
      </c>
      <c r="EA549" s="75">
        <f t="shared" si="411"/>
        <v>-3.1152647975077885E-3</v>
      </c>
      <c r="EB549" s="75">
        <f t="shared" si="411"/>
        <v>6.2695924764890609E-3</v>
      </c>
      <c r="EC549" s="75">
        <f t="shared" si="411"/>
        <v>1.2422360248447228E-2</v>
      </c>
      <c r="ED549" s="84">
        <f t="shared" si="411"/>
        <v>1.7366907073194993E-2</v>
      </c>
      <c r="EE549" s="75">
        <f t="shared" si="411"/>
        <v>-4.6012269938650041E-3</v>
      </c>
    </row>
    <row r="550" spans="1:135" hidden="1" outlineLevel="1" x14ac:dyDescent="0.3">
      <c r="A550" s="67" t="s">
        <v>1914</v>
      </c>
      <c r="DU550" s="480">
        <f>+DU564/DU539/3*1000</f>
        <v>523.27312821963028</v>
      </c>
      <c r="DV550" s="480">
        <f>+DV564/DV539/3*1000</f>
        <v>510.36882576881402</v>
      </c>
      <c r="DW550" s="480">
        <f>+DW564/DW539/3*1000</f>
        <v>526.61542934572537</v>
      </c>
      <c r="DX550" s="480">
        <f>+DX564/DX539/3*1000</f>
        <v>522.16028445750726</v>
      </c>
      <c r="DY550" s="591">
        <f>+DY564/AVERAGE(DU$539:DX$539)/12*1000</f>
        <v>520.54794520547944</v>
      </c>
      <c r="DZ550" s="480">
        <f>+DZ564/DZ539/3*1000</f>
        <v>501.34256686278076</v>
      </c>
      <c r="EA550" s="480">
        <f>+EA564/EA539/3*1000</f>
        <v>486.68806772476455</v>
      </c>
      <c r="EB550" s="480">
        <f>+EB564/EB539/3*1000</f>
        <v>490.25804197636529</v>
      </c>
      <c r="EC550" s="480">
        <f>+EC564/EC539/3*1000</f>
        <v>496.04430971030519</v>
      </c>
      <c r="ED550" s="591">
        <f>+ED564/AVERAGE(DZ$539:EC$539)/12*1000</f>
        <v>493.64416892128844</v>
      </c>
      <c r="EE550" s="480">
        <f>+EE564/EE539/3*1000</f>
        <v>516.0229858184905</v>
      </c>
    </row>
    <row r="551" spans="1:135" hidden="1" outlineLevel="1" x14ac:dyDescent="0.3">
      <c r="A551" s="70" t="s">
        <v>363</v>
      </c>
      <c r="DZ551" s="75">
        <f t="shared" ref="DZ551:EE551" si="412">+DZ550/DU550-1</f>
        <v>-4.1910352689933594E-2</v>
      </c>
      <c r="EA551" s="75">
        <f t="shared" si="412"/>
        <v>-4.6399303500516575E-2</v>
      </c>
      <c r="EB551" s="75">
        <f t="shared" si="412"/>
        <v>-6.9039730595305659E-2</v>
      </c>
      <c r="EC551" s="75">
        <f t="shared" si="412"/>
        <v>-5.0015245365386152E-2</v>
      </c>
      <c r="ED551" s="84">
        <f t="shared" si="412"/>
        <v>-5.168357023015635E-2</v>
      </c>
      <c r="EE551" s="75">
        <f t="shared" si="412"/>
        <v>2.9282211258410573E-2</v>
      </c>
    </row>
    <row r="552" spans="1:135" hidden="1" outlineLevel="1" x14ac:dyDescent="0.3">
      <c r="A552" s="67" t="s">
        <v>1915</v>
      </c>
      <c r="DU552" s="480" t="e">
        <f>+DU565/DU539/3*1000</f>
        <v>#REF!</v>
      </c>
      <c r="DV552" s="480" t="e">
        <f>+DV565/DV539/3*1000</f>
        <v>#REF!</v>
      </c>
      <c r="DW552" s="480" t="e">
        <f>+DW565/DW539/3*1000</f>
        <v>#REF!</v>
      </c>
      <c r="DX552" s="480" t="e">
        <f>+DX565/DX539/3*1000</f>
        <v>#REF!</v>
      </c>
      <c r="DY552" s="591" t="e">
        <f>+DY565/AVERAGE(DU$539:DX$539)/12*1000</f>
        <v>#REF!</v>
      </c>
      <c r="DZ552" s="480" t="e">
        <f>+DZ565/DZ539/3*1000</f>
        <v>#REF!</v>
      </c>
      <c r="EA552" s="480" t="e">
        <f>+EA565/EA539/3*1000</f>
        <v>#REF!</v>
      </c>
      <c r="EB552" s="480" t="e">
        <f>+EB565/EB539/3*1000</f>
        <v>#REF!</v>
      </c>
      <c r="EC552" s="480" t="e">
        <f>+EC565/EC539/3*1000</f>
        <v>#REF!</v>
      </c>
      <c r="ED552" s="591" t="e">
        <f>+ED565/AVERAGE(DZ$539:EC$539)/12*1000</f>
        <v>#REF!</v>
      </c>
      <c r="EE552" s="480" t="e">
        <f>+EE565/EE539/3*1000</f>
        <v>#REF!</v>
      </c>
    </row>
    <row r="553" spans="1:135" hidden="1" outlineLevel="1" x14ac:dyDescent="0.3">
      <c r="A553" s="70" t="s">
        <v>363</v>
      </c>
      <c r="DZ553" s="75" t="e">
        <f t="shared" ref="DZ553:EE553" si="413">+DZ552/DU552-1</f>
        <v>#REF!</v>
      </c>
      <c r="EA553" s="75" t="e">
        <f t="shared" si="413"/>
        <v>#REF!</v>
      </c>
      <c r="EB553" s="75" t="e">
        <f t="shared" si="413"/>
        <v>#REF!</v>
      </c>
      <c r="EC553" s="75" t="e">
        <f t="shared" si="413"/>
        <v>#REF!</v>
      </c>
      <c r="ED553" s="84" t="e">
        <f t="shared" si="413"/>
        <v>#REF!</v>
      </c>
      <c r="EE553" s="75" t="e">
        <f t="shared" si="413"/>
        <v>#REF!</v>
      </c>
    </row>
    <row r="554" spans="1:135" hidden="1" outlineLevel="1" x14ac:dyDescent="0.3">
      <c r="A554" s="67" t="s">
        <v>1916</v>
      </c>
      <c r="DU554" s="741">
        <f>+DU566/DU539/3*1000</f>
        <v>63.91990660624046</v>
      </c>
      <c r="DV554" s="741">
        <f>+DV566/DV539/3*1000</f>
        <v>73.233310983322738</v>
      </c>
      <c r="DW554" s="741">
        <f>+DW566/DW539/3*1000</f>
        <v>62.408708585309192</v>
      </c>
      <c r="DX554" s="741">
        <f>+DX566/DX539/3*1000</f>
        <v>62.960228363005371</v>
      </c>
      <c r="DY554" s="591">
        <f>+DY566/AVERAGE(DU$539:DX$539)/12*1000</f>
        <v>65.689758643183339</v>
      </c>
      <c r="DZ554" s="741">
        <f>+DZ566/DZ539/3*1000</f>
        <v>87.56686170864765</v>
      </c>
      <c r="EA554" s="741">
        <f>+EA566/EA539/3*1000</f>
        <v>90.017273521526434</v>
      </c>
      <c r="EB554" s="741">
        <f>+EB566/EB539/3*1000</f>
        <v>92.254943708706136</v>
      </c>
      <c r="EC554" s="741">
        <f>+EC566/EC539/3*1000</f>
        <v>87.905477975469566</v>
      </c>
      <c r="ED554" s="591">
        <f>+ED566/AVERAGE(DZ$539:EC$539)/12*1000</f>
        <v>89.420990586372838</v>
      </c>
      <c r="EE554" s="741">
        <f>+EE566/EE539/3*1000</f>
        <v>87.341370617153245</v>
      </c>
    </row>
    <row r="555" spans="1:135" hidden="1" outlineLevel="1" x14ac:dyDescent="0.3">
      <c r="A555" s="70" t="s">
        <v>363</v>
      </c>
      <c r="DZ555" s="75">
        <f t="shared" ref="DZ555:EE555" si="414">+DZ554/DU554-1</f>
        <v>0.36994664663822507</v>
      </c>
      <c r="EA555" s="75">
        <f t="shared" si="414"/>
        <v>0.22918481102166566</v>
      </c>
      <c r="EB555" s="75">
        <f t="shared" si="414"/>
        <v>0.47823830679974444</v>
      </c>
      <c r="EC555" s="75">
        <f t="shared" si="414"/>
        <v>0.3962064665432774</v>
      </c>
      <c r="ED555" s="84">
        <f t="shared" si="414"/>
        <v>0.36126227943832001</v>
      </c>
      <c r="EE555" s="75">
        <f t="shared" si="414"/>
        <v>-2.5750733450361496E-3</v>
      </c>
    </row>
    <row r="556" spans="1:135" hidden="1" outlineLevel="1" x14ac:dyDescent="0.3">
      <c r="A556" s="64" t="s">
        <v>1917</v>
      </c>
      <c r="DU556" s="864" t="e">
        <f>+DU567/DU539/3*1000</f>
        <v>#REF!</v>
      </c>
      <c r="DV556" s="864" t="e">
        <f>+DV567/DV539/3*1000</f>
        <v>#REF!</v>
      </c>
      <c r="DW556" s="864" t="e">
        <f>+DW567/DW539/3*1000</f>
        <v>#REF!</v>
      </c>
      <c r="DX556" s="864" t="e">
        <f>+DX567/DX539/3*1000</f>
        <v>#REF!</v>
      </c>
      <c r="DY556" s="864" t="e">
        <f>+DY567/AVERAGE(DU539:DX539)/12*1000</f>
        <v>#REF!</v>
      </c>
      <c r="DZ556" s="864" t="e">
        <f>+DZ567/DZ539/3*1000</f>
        <v>#REF!</v>
      </c>
      <c r="EA556" s="864" t="e">
        <f>+EA567/EA539/3*1000</f>
        <v>#REF!</v>
      </c>
      <c r="EB556" s="864" t="e">
        <f>+EB567/EB539/3*1000</f>
        <v>#REF!</v>
      </c>
      <c r="EC556" s="864" t="e">
        <f>+EC567/EC539/3*1000</f>
        <v>#REF!</v>
      </c>
      <c r="ED556" s="864" t="e">
        <f>+ED567/AVERAGE(DZ539:EC539)/12*1000</f>
        <v>#REF!</v>
      </c>
      <c r="EE556" s="864" t="e">
        <f>+EE567/EE539/3*1000</f>
        <v>#REF!</v>
      </c>
    </row>
    <row r="557" spans="1:135" hidden="1" outlineLevel="1" x14ac:dyDescent="0.3">
      <c r="A557" s="70" t="s">
        <v>363</v>
      </c>
      <c r="DY557" s="74"/>
      <c r="DZ557" s="75" t="e">
        <f t="shared" ref="DZ557:EE557" si="415">+DZ556/DU556-1</f>
        <v>#REF!</v>
      </c>
      <c r="EA557" s="75" t="e">
        <f t="shared" si="415"/>
        <v>#REF!</v>
      </c>
      <c r="EB557" s="75" t="e">
        <f t="shared" si="415"/>
        <v>#REF!</v>
      </c>
      <c r="EC557" s="75" t="e">
        <f t="shared" si="415"/>
        <v>#REF!</v>
      </c>
      <c r="ED557" s="84" t="e">
        <f t="shared" si="415"/>
        <v>#REF!</v>
      </c>
      <c r="EE557" s="75" t="e">
        <f t="shared" si="415"/>
        <v>#REF!</v>
      </c>
    </row>
    <row r="558" spans="1:135" hidden="1" outlineLevel="1" x14ac:dyDescent="0.3">
      <c r="A558" s="70"/>
      <c r="DY558" s="74"/>
      <c r="DZ558" s="75"/>
      <c r="EA558" s="75"/>
      <c r="EB558" s="75"/>
      <c r="EC558" s="75"/>
      <c r="ED558" s="84"/>
      <c r="EE558" s="75"/>
    </row>
    <row r="559" spans="1:135" hidden="1" outlineLevel="1" x14ac:dyDescent="0.3">
      <c r="A559" s="846" t="s">
        <v>284</v>
      </c>
      <c r="DU559" s="85"/>
      <c r="DV559" s="85"/>
      <c r="DW559" s="85"/>
      <c r="DX559" s="85"/>
      <c r="DY559" s="85"/>
      <c r="DZ559" s="85"/>
      <c r="EA559" s="85"/>
      <c r="EB559" s="85"/>
      <c r="EC559" s="85"/>
      <c r="ED559" s="85"/>
      <c r="EE559" s="85"/>
    </row>
    <row r="560" spans="1:135" hidden="1" outlineLevel="1" x14ac:dyDescent="0.3">
      <c r="A560" s="67" t="s">
        <v>1910</v>
      </c>
      <c r="DU560" s="76">
        <f>+DU542*DU$538*3/1000</f>
        <v>29.764800000000005</v>
      </c>
      <c r="DV560" s="76">
        <f>+DV542*DV$538*3/1000</f>
        <v>30.747599999999998</v>
      </c>
      <c r="DW560" s="76">
        <f>+DW542*DW$538*3/1000</f>
        <v>30.817800000000002</v>
      </c>
      <c r="DX560" s="76">
        <f>+DX542*DX$538*3/1000</f>
        <v>30.702750000000002</v>
      </c>
      <c r="DY560" s="85">
        <f>+SUM(DU560:DX560)</f>
        <v>122.03295</v>
      </c>
      <c r="DZ560" s="76">
        <f>+DZ542*DZ$538*3/1000</f>
        <v>30.833399999999997</v>
      </c>
      <c r="EA560" s="76">
        <f>+EA542*EA$538*3/1000</f>
        <v>30.2211</v>
      </c>
      <c r="EB560" s="76">
        <f>+EB542*EB$538*3/1000</f>
        <v>30.126900000000003</v>
      </c>
      <c r="EC560" s="76">
        <f>+EC542*EC$538*3/1000</f>
        <v>30.572099999999999</v>
      </c>
      <c r="ED560" s="85">
        <f t="shared" ref="ED560:ED566" si="416">+SUM(DZ560:EC560)</f>
        <v>121.7535</v>
      </c>
      <c r="EE560" s="76">
        <f>+EE542*EE$538*3/1000</f>
        <v>30.786299999999997</v>
      </c>
    </row>
    <row r="561" spans="1:136" ht="12" hidden="1" customHeight="1" outlineLevel="1" x14ac:dyDescent="0.3">
      <c r="A561" s="67" t="s">
        <v>1911</v>
      </c>
      <c r="DU561" s="76">
        <f>+DU544*DU538*0.003</f>
        <v>159.32154717182496</v>
      </c>
      <c r="DV561" s="76">
        <f>+DV544*DV538*0.003</f>
        <v>159.32154717182496</v>
      </c>
      <c r="DW561" s="76">
        <f>+DW544*DW538*0.003</f>
        <v>159.32154717182496</v>
      </c>
      <c r="DX561" s="76">
        <f>+DX544*DX538*0.003</f>
        <v>160.00240848452509</v>
      </c>
      <c r="DY561" s="860">
        <f>760-DY560</f>
        <v>637.96704999999997</v>
      </c>
      <c r="DZ561" s="76">
        <f>+DZ544*DZ538*0.003</f>
        <v>160.68326979722519</v>
      </c>
      <c r="EA561" s="76">
        <f>+EA544*EA538*0.003</f>
        <v>159.32154717182496</v>
      </c>
      <c r="EB561" s="76">
        <f>+EB544*EB538*0.003</f>
        <v>158.64068585912486</v>
      </c>
      <c r="EC561" s="76">
        <f>+EC544*EC538*0.003</f>
        <v>159.32154717182496</v>
      </c>
      <c r="ED561" s="85">
        <f t="shared" si="416"/>
        <v>637.96704999999997</v>
      </c>
      <c r="EE561" s="76">
        <f>+EE544*EE538*0.003</f>
        <v>161.3641311099253</v>
      </c>
    </row>
    <row r="562" spans="1:136" ht="12" hidden="1" customHeight="1" outlineLevel="1" x14ac:dyDescent="0.3">
      <c r="A562" s="64" t="s">
        <v>1912</v>
      </c>
      <c r="DU562" s="803">
        <f>+SUM(DU560,DU561)</f>
        <v>189.08634717182497</v>
      </c>
      <c r="DV562" s="803">
        <f>+SUM(DV560,DV561)</f>
        <v>190.06914717182497</v>
      </c>
      <c r="DW562" s="803">
        <f>+SUM(DW560,DW561)</f>
        <v>190.13934717182497</v>
      </c>
      <c r="DX562" s="803">
        <f>+SUM(DX560,DX561)</f>
        <v>190.7051584845251</v>
      </c>
      <c r="DY562" s="803">
        <f>+SUM(DU562:DX562)</f>
        <v>760</v>
      </c>
      <c r="DZ562" s="803">
        <f>+SUM(DZ560,DZ561)</f>
        <v>191.51666979722518</v>
      </c>
      <c r="EA562" s="803">
        <f>+SUM(EA560,EA561)</f>
        <v>189.54264717182497</v>
      </c>
      <c r="EB562" s="803">
        <f>+SUM(EB560,EB561)</f>
        <v>188.76758585912486</v>
      </c>
      <c r="EC562" s="803">
        <f>+SUM(EC560,EC561)</f>
        <v>189.89364717182497</v>
      </c>
      <c r="ED562" s="803">
        <f t="shared" si="416"/>
        <v>759.72055</v>
      </c>
      <c r="EE562" s="803">
        <f>+SUM(EE560,EE561)</f>
        <v>192.15043110992531</v>
      </c>
    </row>
    <row r="563" spans="1:136" ht="12" hidden="1" customHeight="1" outlineLevel="1" x14ac:dyDescent="0.3">
      <c r="A563" s="67" t="s">
        <v>1913</v>
      </c>
      <c r="DU563" s="76">
        <f>+DU548*DU539*3/1000</f>
        <v>37.325699999999998</v>
      </c>
      <c r="DV563" s="76">
        <f>+DV548*DV539*3/1000</f>
        <v>37.557000000000002</v>
      </c>
      <c r="DW563" s="76">
        <f>+DW548*DW539*3/1000</f>
        <v>36.078899999999997</v>
      </c>
      <c r="DX563" s="76">
        <f>+DX548*DX$539*3/1000</f>
        <v>35.162399999999998</v>
      </c>
      <c r="DY563" s="85">
        <f>+SUM(DU563:DX563)</f>
        <v>146.124</v>
      </c>
      <c r="DZ563" s="76">
        <f>+DZ548*DZ$539*3/1000</f>
        <v>34.229999999999997</v>
      </c>
      <c r="EA563" s="76">
        <f>+EA548*EA$539*3/1000</f>
        <v>32.351999999999997</v>
      </c>
      <c r="EB563" s="76">
        <f>+EB548*EB$539*3/1000</f>
        <v>31.393800000000002</v>
      </c>
      <c r="EC563" s="76">
        <f>+EC548*EC$539*3/1000</f>
        <v>30.709199999999996</v>
      </c>
      <c r="ED563" s="85">
        <f t="shared" si="416"/>
        <v>128.685</v>
      </c>
      <c r="EE563" s="76">
        <f>+EE548*EE$539*3/1000</f>
        <v>29.497050000000002</v>
      </c>
    </row>
    <row r="564" spans="1:136" ht="12" hidden="1" customHeight="1" outlineLevel="1" x14ac:dyDescent="0.3">
      <c r="A564" s="67" t="s">
        <v>1914</v>
      </c>
      <c r="DU564" s="76">
        <f>+DU346-DU530-DU524</f>
        <v>315.53369631643704</v>
      </c>
      <c r="DV564" s="76">
        <f>+DV346-DV530-DV524</f>
        <v>298.56576307475621</v>
      </c>
      <c r="DW564" s="76">
        <f>+DW346-DW530-DW524</f>
        <v>297.80102529500772</v>
      </c>
      <c r="DX564" s="76">
        <f>+DX346-DX530-DX524</f>
        <v>285.09951531379897</v>
      </c>
      <c r="DY564" s="85">
        <f>+DY593-DY530-DY524</f>
        <v>1197</v>
      </c>
      <c r="DZ564" s="76">
        <f>+DZ346-DZ530-DZ524</f>
        <v>263.20484760295989</v>
      </c>
      <c r="EA564" s="76">
        <f>+EA346-EA530-EA524</f>
        <v>246.02081823486847</v>
      </c>
      <c r="EB564" s="76">
        <f>+EB346-EB530-EB524</f>
        <v>239.73618252644263</v>
      </c>
      <c r="EC564" s="76">
        <f>+EC346-EC530-EC524</f>
        <v>233.63686987355374</v>
      </c>
      <c r="ED564" s="85">
        <f t="shared" si="416"/>
        <v>982.59871823782464</v>
      </c>
      <c r="EE564" s="76">
        <f>+EE346-EE530-EE524</f>
        <v>234.5324470545039</v>
      </c>
    </row>
    <row r="565" spans="1:136" ht="12" hidden="1" customHeight="1" outlineLevel="1" x14ac:dyDescent="0.3">
      <c r="A565" s="67" t="s">
        <v>1915</v>
      </c>
      <c r="DU565" s="76" t="e">
        <f>+DU573-DU566-DU564-DU563-DU532</f>
        <v>#REF!</v>
      </c>
      <c r="DV565" s="76" t="e">
        <f>+DV573-DV566-DV564-DV563-DV532</f>
        <v>#REF!</v>
      </c>
      <c r="DW565" s="76" t="e">
        <f>+DW573-DW566-DW564-DW563-DW532</f>
        <v>#REF!</v>
      </c>
      <c r="DX565" s="76" t="e">
        <f>+DX573-DX566-DX564-DX563-DX532</f>
        <v>#REF!</v>
      </c>
      <c r="DY565" s="475" t="e">
        <f>+SUM(DU565:DX565)</f>
        <v>#REF!</v>
      </c>
      <c r="DZ565" s="76" t="e">
        <f>+DZ573-DZ566-DZ564-DZ563-DZ532</f>
        <v>#REF!</v>
      </c>
      <c r="EA565" s="76" t="e">
        <f>+EA573-EA566-EA564-EA563-EA532</f>
        <v>#REF!</v>
      </c>
      <c r="EB565" s="76" t="e">
        <f>+EB573-EB566-EB564-EB563-EB532</f>
        <v>#REF!</v>
      </c>
      <c r="EC565" s="76" t="e">
        <f>+EC573-EC566-EC564-EC563-EC532</f>
        <v>#REF!</v>
      </c>
      <c r="ED565" s="85" t="e">
        <f t="shared" si="416"/>
        <v>#REF!</v>
      </c>
      <c r="EE565" s="76" t="e">
        <f>+EE573-EE566-EE564-EE563-EE532</f>
        <v>#REF!</v>
      </c>
    </row>
    <row r="566" spans="1:136" ht="12" hidden="1" customHeight="1" outlineLevel="1" x14ac:dyDescent="0.3">
      <c r="A566" s="67" t="s">
        <v>1916</v>
      </c>
      <c r="DU566" s="365">
        <f>+DU348-DU531-DU525</f>
        <v>38.543703683562995</v>
      </c>
      <c r="DV566" s="365">
        <f>+DV348-DV531-DV525</f>
        <v>42.8414869252438</v>
      </c>
      <c r="DW566" s="365">
        <f>+DW348-DW531-DW525</f>
        <v>35.292124704992347</v>
      </c>
      <c r="DX566" s="365">
        <f>+DX348-DX531-DX525</f>
        <v>34.376284686200933</v>
      </c>
      <c r="DY566" s="475">
        <f>+DY595-DY531-DY525</f>
        <v>151.05360000000007</v>
      </c>
      <c r="DZ566" s="365">
        <f>+DZ348-DZ531-DZ525</f>
        <v>45.972602397040021</v>
      </c>
      <c r="EA566" s="365">
        <f>+EA348-EA531-EA525</f>
        <v>45.503731765131604</v>
      </c>
      <c r="EB566" s="365">
        <f>+EB348-EB531-EB525</f>
        <v>45.112667473557309</v>
      </c>
      <c r="EC566" s="365">
        <f>+EC348-EC531-EC525</f>
        <v>41.403480126446162</v>
      </c>
      <c r="ED566" s="85">
        <f t="shared" si="416"/>
        <v>177.99248176217512</v>
      </c>
      <c r="EE566" s="365">
        <f>+EE348-EE531-EE525</f>
        <v>39.696652945496147</v>
      </c>
    </row>
    <row r="567" spans="1:136" ht="12" hidden="1" customHeight="1" outlineLevel="1" x14ac:dyDescent="0.3">
      <c r="A567" s="64" t="s">
        <v>1917</v>
      </c>
      <c r="DU567" s="803" t="e">
        <f t="shared" ref="DU567:EE567" si="417">+SUM(DU566,DU565,DU564,DU563)</f>
        <v>#REF!</v>
      </c>
      <c r="DV567" s="803" t="e">
        <f t="shared" si="417"/>
        <v>#REF!</v>
      </c>
      <c r="DW567" s="803" t="e">
        <f t="shared" si="417"/>
        <v>#REF!</v>
      </c>
      <c r="DX567" s="803" t="e">
        <f t="shared" si="417"/>
        <v>#REF!</v>
      </c>
      <c r="DY567" s="803" t="e">
        <f t="shared" si="417"/>
        <v>#REF!</v>
      </c>
      <c r="DZ567" s="803" t="e">
        <f t="shared" si="417"/>
        <v>#REF!</v>
      </c>
      <c r="EA567" s="803" t="e">
        <f t="shared" si="417"/>
        <v>#REF!</v>
      </c>
      <c r="EB567" s="803" t="e">
        <f t="shared" si="417"/>
        <v>#REF!</v>
      </c>
      <c r="EC567" s="803" t="e">
        <f t="shared" si="417"/>
        <v>#REF!</v>
      </c>
      <c r="ED567" s="803" t="e">
        <f t="shared" si="417"/>
        <v>#REF!</v>
      </c>
      <c r="EE567" s="803" t="e">
        <f t="shared" si="417"/>
        <v>#REF!</v>
      </c>
    </row>
    <row r="568" spans="1:136" ht="12" hidden="1" customHeight="1" outlineLevel="1" x14ac:dyDescent="0.3">
      <c r="A568" s="67"/>
      <c r="DU568" s="76"/>
      <c r="DV568" s="76"/>
      <c r="DW568" s="76"/>
      <c r="DX568" s="76"/>
      <c r="DY568" s="860"/>
      <c r="DZ568" s="76"/>
      <c r="EA568" s="76"/>
      <c r="EB568" s="76"/>
      <c r="EC568" s="76"/>
      <c r="ED568" s="85"/>
      <c r="EE568" s="76"/>
    </row>
    <row r="569" spans="1:136" ht="12.5" hidden="1" outlineLevel="1" thickBot="1" x14ac:dyDescent="0.35">
      <c r="A569" s="60" t="s">
        <v>1870</v>
      </c>
      <c r="DU569" s="466" t="e">
        <f>+SUM(DU567,DU562)</f>
        <v>#REF!</v>
      </c>
      <c r="DV569" s="466" t="e">
        <f t="shared" ref="DV569:EE569" si="418">+SUM(DV567,DV562)</f>
        <v>#REF!</v>
      </c>
      <c r="DW569" s="466" t="e">
        <f t="shared" si="418"/>
        <v>#REF!</v>
      </c>
      <c r="DX569" s="466" t="e">
        <f t="shared" si="418"/>
        <v>#REF!</v>
      </c>
      <c r="DY569" s="466" t="e">
        <f>+SUM(DU569:DX569)</f>
        <v>#REF!</v>
      </c>
      <c r="DZ569" s="466" t="e">
        <f t="shared" si="418"/>
        <v>#REF!</v>
      </c>
      <c r="EA569" s="466" t="e">
        <f t="shared" si="418"/>
        <v>#REF!</v>
      </c>
      <c r="EB569" s="466" t="e">
        <f t="shared" si="418"/>
        <v>#REF!</v>
      </c>
      <c r="EC569" s="466" t="e">
        <f t="shared" si="418"/>
        <v>#REF!</v>
      </c>
      <c r="ED569" s="466" t="e">
        <f>+SUM(DZ569:EC569)</f>
        <v>#REF!</v>
      </c>
      <c r="EE569" s="466" t="e">
        <f t="shared" si="418"/>
        <v>#REF!</v>
      </c>
    </row>
    <row r="570" spans="1:136" ht="12" hidden="1" customHeight="1" outlineLevel="1" thickTop="1" x14ac:dyDescent="0.3">
      <c r="A570" s="67"/>
      <c r="DU570" s="76"/>
      <c r="DV570" s="76"/>
      <c r="DW570" s="76"/>
      <c r="DX570" s="76"/>
      <c r="DY570" s="860"/>
      <c r="DZ570" s="76"/>
      <c r="EA570" s="76"/>
      <c r="EB570" s="76"/>
      <c r="EC570" s="76"/>
      <c r="ED570" s="85"/>
      <c r="EE570" s="76"/>
    </row>
    <row r="571" spans="1:136" hidden="1" outlineLevel="1" x14ac:dyDescent="0.3">
      <c r="A571" s="862" t="s">
        <v>3972</v>
      </c>
      <c r="B571" s="806"/>
      <c r="C571" s="806"/>
      <c r="D571" s="806"/>
      <c r="E571" s="806"/>
      <c r="F571" s="806"/>
      <c r="G571" s="806"/>
      <c r="H571" s="806"/>
      <c r="I571" s="806"/>
      <c r="J571" s="806"/>
      <c r="K571" s="806"/>
      <c r="L571" s="806"/>
      <c r="M571" s="806"/>
      <c r="N571" s="806"/>
      <c r="O571" s="806"/>
      <c r="P571" s="806"/>
      <c r="Q571" s="806"/>
      <c r="R571" s="806"/>
      <c r="S571" s="806"/>
      <c r="T571" s="806"/>
      <c r="U571" s="806"/>
      <c r="V571" s="806"/>
      <c r="W571" s="806"/>
      <c r="X571" s="806"/>
      <c r="Y571" s="806"/>
      <c r="Z571" s="806"/>
      <c r="AA571" s="806"/>
      <c r="AB571" s="806"/>
      <c r="AC571" s="806"/>
      <c r="AD571" s="806"/>
      <c r="AE571" s="806"/>
      <c r="AF571" s="806"/>
      <c r="AG571" s="806"/>
      <c r="AH571" s="806"/>
      <c r="AI571" s="806"/>
      <c r="AJ571" s="806"/>
      <c r="AK571" s="806"/>
      <c r="AL571" s="806"/>
      <c r="AM571" s="806"/>
      <c r="AN571" s="806"/>
      <c r="AO571" s="806"/>
      <c r="AP571" s="806"/>
      <c r="AQ571" s="806"/>
      <c r="AR571" s="806"/>
      <c r="AS571" s="806"/>
      <c r="AT571" s="806"/>
      <c r="AU571" s="806"/>
      <c r="AV571" s="806"/>
      <c r="AW571" s="806"/>
      <c r="AX571" s="806"/>
      <c r="AY571" s="806"/>
      <c r="AZ571" s="806"/>
      <c r="BA571" s="806"/>
      <c r="BB571" s="806"/>
      <c r="BC571" s="806"/>
      <c r="BD571" s="806"/>
      <c r="BE571" s="806"/>
      <c r="BF571" s="806"/>
      <c r="BG571" s="806"/>
      <c r="BH571" s="806"/>
      <c r="BI571" s="806"/>
      <c r="BJ571" s="806"/>
      <c r="BK571" s="806"/>
      <c r="BL571" s="806"/>
      <c r="BM571" s="806"/>
      <c r="BN571" s="806"/>
      <c r="BO571" s="806"/>
      <c r="BP571" s="806"/>
      <c r="BQ571" s="806"/>
      <c r="BR571" s="806"/>
      <c r="BS571" s="806"/>
      <c r="BT571" s="806"/>
      <c r="BU571" s="806"/>
      <c r="BV571" s="806"/>
      <c r="BW571" s="806"/>
      <c r="BX571" s="806"/>
      <c r="BY571" s="806"/>
      <c r="BZ571" s="806"/>
      <c r="CA571" s="806"/>
      <c r="CB571" s="806"/>
      <c r="CC571" s="806"/>
      <c r="CD571" s="806"/>
      <c r="CE571" s="806"/>
      <c r="CF571" s="806"/>
      <c r="CG571" s="806"/>
      <c r="CH571" s="806"/>
      <c r="CI571" s="806"/>
      <c r="CJ571" s="806"/>
      <c r="CK571" s="806"/>
      <c r="CL571" s="806"/>
      <c r="CM571" s="806"/>
      <c r="CN571" s="806"/>
      <c r="CO571" s="806"/>
      <c r="CP571" s="806"/>
      <c r="CQ571" s="806"/>
      <c r="CR571" s="806"/>
      <c r="CS571" s="806"/>
      <c r="CT571" s="806"/>
      <c r="CU571" s="806"/>
      <c r="CV571" s="806"/>
      <c r="CW571" s="806"/>
      <c r="CX571" s="806"/>
      <c r="CY571" s="806"/>
      <c r="CZ571" s="806"/>
      <c r="DA571" s="806"/>
      <c r="DB571" s="806"/>
      <c r="DC571" s="806"/>
      <c r="DD571" s="806"/>
      <c r="DE571" s="806"/>
      <c r="DF571" s="806"/>
      <c r="DG571" s="806"/>
      <c r="DH571" s="806"/>
      <c r="DI571" s="806"/>
      <c r="DJ571" s="806"/>
      <c r="DK571" s="806"/>
      <c r="DL571" s="806"/>
      <c r="DM571" s="806"/>
      <c r="DN571" s="806"/>
      <c r="DO571" s="806"/>
      <c r="DP571" s="806"/>
      <c r="DQ571" s="806"/>
      <c r="DR571" s="806"/>
      <c r="DS571" s="806"/>
      <c r="DT571" s="806"/>
      <c r="DU571" s="804">
        <f>+DU526+DU560+DU561</f>
        <v>666.43490777438637</v>
      </c>
      <c r="DV571" s="804">
        <f>+DV526+DV560+DV561</f>
        <v>654.27870328141978</v>
      </c>
      <c r="DW571" s="804">
        <f>+DW526+DW560+DW561</f>
        <v>639.20936325412595</v>
      </c>
      <c r="DX571" s="804">
        <f>+DX526+DX560+DX561</f>
        <v>630.70532569006787</v>
      </c>
      <c r="DY571" s="803">
        <f t="shared" ref="DY571:DY576" si="419">+SUM(DU571:DX571)</f>
        <v>2590.6283000000003</v>
      </c>
      <c r="DZ571" s="804">
        <f>+DZ526+DZ560+DZ561</f>
        <v>624.28718309528585</v>
      </c>
      <c r="EA571" s="804">
        <f>+EA526+EA560+EA561</f>
        <v>611.71364977161318</v>
      </c>
      <c r="EB571" s="804">
        <f>+EB526+EB560+EB561</f>
        <v>605.0186043600695</v>
      </c>
      <c r="EC571" s="804">
        <f>+EC526+EC560+EC561</f>
        <v>609.65897365332728</v>
      </c>
      <c r="ED571" s="803">
        <f t="shared" ref="ED571:ED576" si="420">+SUM(DZ571:EC571)</f>
        <v>2450.6784108802958</v>
      </c>
      <c r="EE571" s="804">
        <f>+EE526+EE560+EE561</f>
        <v>609.68125319684532</v>
      </c>
    </row>
    <row r="572" spans="1:136" hidden="1" outlineLevel="1" x14ac:dyDescent="0.3">
      <c r="A572" s="67" t="s">
        <v>4056</v>
      </c>
      <c r="DU572" s="76">
        <f>+DU527</f>
        <v>0</v>
      </c>
      <c r="DV572" s="76">
        <f t="shared" ref="DV572:EE572" si="421">+DV527</f>
        <v>0</v>
      </c>
      <c r="DW572" s="76">
        <f t="shared" si="421"/>
        <v>0</v>
      </c>
      <c r="DX572" s="76">
        <f t="shared" si="421"/>
        <v>0</v>
      </c>
      <c r="DY572" s="85">
        <f t="shared" si="419"/>
        <v>0</v>
      </c>
      <c r="DZ572" s="76">
        <f t="shared" si="421"/>
        <v>4.203052325581396E-2</v>
      </c>
      <c r="EA572" s="76">
        <f t="shared" si="421"/>
        <v>0.12119023255813954</v>
      </c>
      <c r="EB572" s="76">
        <f t="shared" si="421"/>
        <v>0.20195999999999997</v>
      </c>
      <c r="EC572" s="76">
        <f t="shared" si="421"/>
        <v>0.54297209302325578</v>
      </c>
      <c r="ED572" s="85">
        <f t="shared" si="420"/>
        <v>0.90815284883720926</v>
      </c>
      <c r="EE572" s="76">
        <f t="shared" si="421"/>
        <v>0.85680000000000001</v>
      </c>
    </row>
    <row r="573" spans="1:136" hidden="1" outlineLevel="1" x14ac:dyDescent="0.3">
      <c r="A573" s="67" t="s">
        <v>4057</v>
      </c>
      <c r="DU573" s="76" t="e">
        <f>+DU574-DU527-DU571</f>
        <v>#REF!</v>
      </c>
      <c r="DV573" s="76" t="e">
        <f>+DV574-DV527-DV571</f>
        <v>#REF!</v>
      </c>
      <c r="DW573" s="76" t="e">
        <f>+DW574-DW527-DW571</f>
        <v>#REF!</v>
      </c>
      <c r="DX573" s="76" t="e">
        <f>+DX574-DX527-DX571</f>
        <v>#REF!</v>
      </c>
      <c r="DY573" s="76" t="e">
        <f t="shared" si="419"/>
        <v>#REF!</v>
      </c>
      <c r="DZ573" s="76" t="e">
        <f>+DZ574-DZ527-DZ571</f>
        <v>#REF!</v>
      </c>
      <c r="EA573" s="76" t="e">
        <f>+EA574-EA527-EA571</f>
        <v>#REF!</v>
      </c>
      <c r="EB573" s="76" t="e">
        <f>+EB574-EB527-EB571</f>
        <v>#REF!</v>
      </c>
      <c r="EC573" s="76" t="e">
        <f>+EC574-EC527-EC571</f>
        <v>#REF!</v>
      </c>
      <c r="ED573" s="76" t="e">
        <f t="shared" si="420"/>
        <v>#REF!</v>
      </c>
      <c r="EE573" s="76" t="e">
        <f>+EE574-EE527-EE571</f>
        <v>#REF!</v>
      </c>
    </row>
    <row r="574" spans="1:136" hidden="1" outlineLevel="1" x14ac:dyDescent="0.3">
      <c r="A574" s="64" t="s">
        <v>4058</v>
      </c>
      <c r="DU574" s="803" t="e">
        <f>+DU576-DU575</f>
        <v>#REF!</v>
      </c>
      <c r="DV574" s="803" t="e">
        <f>+DV576-DV575</f>
        <v>#REF!</v>
      </c>
      <c r="DW574" s="803" t="e">
        <f>+DW576-DW575</f>
        <v>#REF!</v>
      </c>
      <c r="DX574" s="803" t="e">
        <f>+DX576-DX575</f>
        <v>#REF!</v>
      </c>
      <c r="DY574" s="803" t="e">
        <f t="shared" si="419"/>
        <v>#REF!</v>
      </c>
      <c r="DZ574" s="803" t="e">
        <f>+DZ576-DZ575</f>
        <v>#REF!</v>
      </c>
      <c r="EA574" s="803" t="e">
        <f>+EA576-EA575</f>
        <v>#REF!</v>
      </c>
      <c r="EB574" s="803" t="e">
        <f>+EB576-EB575</f>
        <v>#REF!</v>
      </c>
      <c r="EC574" s="803" t="e">
        <f>+EC576-EC575</f>
        <v>#REF!</v>
      </c>
      <c r="ED574" s="803" t="e">
        <f t="shared" si="420"/>
        <v>#REF!</v>
      </c>
      <c r="EE574" s="803" t="e">
        <f>+EE576-EE575</f>
        <v>#REF!</v>
      </c>
      <c r="EF574" s="633"/>
    </row>
    <row r="575" spans="1:136" hidden="1" outlineLevel="1" x14ac:dyDescent="0.3">
      <c r="A575" s="67" t="s">
        <v>1918</v>
      </c>
      <c r="DU575" s="76" t="e">
        <f>+#REF!</f>
        <v>#REF!</v>
      </c>
      <c r="DV575" s="76" t="e">
        <f>+#REF!</f>
        <v>#REF!</v>
      </c>
      <c r="DW575" s="76" t="e">
        <f>+#REF!</f>
        <v>#REF!</v>
      </c>
      <c r="DX575" s="76" t="e">
        <f>+#REF!</f>
        <v>#REF!</v>
      </c>
      <c r="DY575" s="85" t="e">
        <f t="shared" si="419"/>
        <v>#REF!</v>
      </c>
      <c r="DZ575" s="76" t="e">
        <f>+#REF!</f>
        <v>#REF!</v>
      </c>
      <c r="EA575" s="76" t="e">
        <f>+#REF!</f>
        <v>#REF!</v>
      </c>
      <c r="EB575" s="76" t="e">
        <f>+#REF!</f>
        <v>#REF!</v>
      </c>
      <c r="EC575" s="76" t="e">
        <f>+#REF!</f>
        <v>#REF!</v>
      </c>
      <c r="ED575" s="85" t="e">
        <f t="shared" si="420"/>
        <v>#REF!</v>
      </c>
      <c r="EE575" s="76" t="e">
        <f>+#REF!</f>
        <v>#REF!</v>
      </c>
    </row>
    <row r="576" spans="1:136" ht="12.5" hidden="1" outlineLevel="1" thickBot="1" x14ac:dyDescent="0.35">
      <c r="A576" s="64" t="s">
        <v>19</v>
      </c>
      <c r="DU576" s="466" t="e">
        <f>+#REF!</f>
        <v>#REF!</v>
      </c>
      <c r="DV576" s="466" t="e">
        <f>+#REF!</f>
        <v>#REF!</v>
      </c>
      <c r="DW576" s="466" t="e">
        <f>+#REF!</f>
        <v>#REF!</v>
      </c>
      <c r="DX576" s="466" t="e">
        <f>+#REF!</f>
        <v>#REF!</v>
      </c>
      <c r="DY576" s="466" t="e">
        <f t="shared" si="419"/>
        <v>#REF!</v>
      </c>
      <c r="DZ576" s="466" t="e">
        <f>+#REF!</f>
        <v>#REF!</v>
      </c>
      <c r="EA576" s="466" t="e">
        <f>+#REF!</f>
        <v>#REF!</v>
      </c>
      <c r="EB576" s="466" t="e">
        <f>+#REF!</f>
        <v>#REF!</v>
      </c>
      <c r="EC576" s="466" t="e">
        <f>+#REF!</f>
        <v>#REF!</v>
      </c>
      <c r="ED576" s="466" t="e">
        <f t="shared" si="420"/>
        <v>#REF!</v>
      </c>
      <c r="EE576" s="466" t="e">
        <f>+#REF!</f>
        <v>#REF!</v>
      </c>
    </row>
    <row r="577" spans="1:137" ht="12.5" hidden="1" outlineLevel="1" thickTop="1" x14ac:dyDescent="0.3">
      <c r="A577" s="72" t="s">
        <v>3994</v>
      </c>
      <c r="DU577" s="85"/>
      <c r="DV577" s="85"/>
      <c r="DW577" s="85"/>
      <c r="DX577" s="85"/>
      <c r="DY577" s="85"/>
      <c r="DZ577" s="75">
        <f t="shared" ref="DZ577:EE580" si="422">+IFERROR(DZ571/DU571-1,"")</f>
        <v>-6.3243572909252754E-2</v>
      </c>
      <c r="EA577" s="75">
        <f t="shared" si="422"/>
        <v>-6.5056455752463105E-2</v>
      </c>
      <c r="EB577" s="75">
        <f t="shared" si="422"/>
        <v>-5.3489139645883865E-2</v>
      </c>
      <c r="EC577" s="75">
        <f t="shared" si="422"/>
        <v>-3.3369548629882506E-2</v>
      </c>
      <c r="ED577" s="84">
        <f t="shared" si="422"/>
        <v>-5.4021601292514432E-2</v>
      </c>
      <c r="EE577" s="75">
        <f t="shared" si="422"/>
        <v>-2.3396171335798854E-2</v>
      </c>
    </row>
    <row r="578" spans="1:137" hidden="1" outlineLevel="1" x14ac:dyDescent="0.3">
      <c r="A578" s="72" t="s">
        <v>4019</v>
      </c>
      <c r="DU578" s="85"/>
      <c r="DV578" s="85"/>
      <c r="DW578" s="85"/>
      <c r="DX578" s="85"/>
      <c r="DY578" s="85"/>
      <c r="DZ578" s="75" t="str">
        <f t="shared" si="422"/>
        <v/>
      </c>
      <c r="EA578" s="75" t="str">
        <f t="shared" si="422"/>
        <v/>
      </c>
      <c r="EB578" s="75" t="str">
        <f t="shared" si="422"/>
        <v/>
      </c>
      <c r="EC578" s="75" t="str">
        <f t="shared" si="422"/>
        <v/>
      </c>
      <c r="ED578" s="84" t="str">
        <f t="shared" si="422"/>
        <v/>
      </c>
      <c r="EE578" s="75">
        <f t="shared" si="422"/>
        <v>19.385185185185183</v>
      </c>
    </row>
    <row r="579" spans="1:137" hidden="1" outlineLevel="1" x14ac:dyDescent="0.3">
      <c r="A579" s="72" t="s">
        <v>4021</v>
      </c>
      <c r="DU579" s="85"/>
      <c r="DV579" s="85"/>
      <c r="DW579" s="85"/>
      <c r="DX579" s="85"/>
      <c r="DY579" s="85"/>
      <c r="DZ579" s="75" t="str">
        <f t="shared" si="422"/>
        <v/>
      </c>
      <c r="EA579" s="75" t="str">
        <f t="shared" si="422"/>
        <v/>
      </c>
      <c r="EB579" s="75" t="str">
        <f t="shared" si="422"/>
        <v/>
      </c>
      <c r="EC579" s="75" t="str">
        <f t="shared" si="422"/>
        <v/>
      </c>
      <c r="ED579" s="84" t="str">
        <f t="shared" si="422"/>
        <v/>
      </c>
      <c r="EE579" s="75" t="str">
        <f t="shared" si="422"/>
        <v/>
      </c>
    </row>
    <row r="580" spans="1:137" hidden="1" outlineLevel="1" x14ac:dyDescent="0.3">
      <c r="A580" s="72" t="s">
        <v>4059</v>
      </c>
      <c r="DU580" s="85"/>
      <c r="DV580" s="85"/>
      <c r="DW580" s="85"/>
      <c r="DX580" s="85"/>
      <c r="DY580" s="85"/>
      <c r="DZ580" s="75" t="str">
        <f t="shared" si="422"/>
        <v/>
      </c>
      <c r="EA580" s="75" t="str">
        <f t="shared" si="422"/>
        <v/>
      </c>
      <c r="EB580" s="75" t="str">
        <f t="shared" si="422"/>
        <v/>
      </c>
      <c r="EC580" s="75" t="str">
        <f t="shared" si="422"/>
        <v/>
      </c>
      <c r="ED580" s="84" t="str">
        <f t="shared" si="422"/>
        <v/>
      </c>
      <c r="EE580" s="75" t="str">
        <f t="shared" si="422"/>
        <v/>
      </c>
    </row>
    <row r="581" spans="1:137" hidden="1" outlineLevel="1" x14ac:dyDescent="0.3">
      <c r="A581" s="865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  <c r="AA581" s="114"/>
      <c r="AB581" s="114"/>
      <c r="AC581" s="114"/>
      <c r="AD581" s="114"/>
      <c r="AE581" s="114"/>
      <c r="AF581" s="114"/>
      <c r="AG581" s="114"/>
      <c r="AH581" s="114"/>
      <c r="AI581" s="114"/>
      <c r="AJ581" s="114"/>
      <c r="AK581" s="114"/>
      <c r="AL581" s="114"/>
      <c r="AM581" s="114"/>
      <c r="AN581" s="114"/>
      <c r="AO581" s="114"/>
      <c r="AP581" s="114"/>
      <c r="AQ581" s="114"/>
      <c r="AR581" s="114"/>
      <c r="AS581" s="114"/>
      <c r="AT581" s="114"/>
      <c r="AU581" s="114"/>
      <c r="AV581" s="114"/>
      <c r="AW581" s="114"/>
      <c r="AX581" s="114"/>
      <c r="AY581" s="114"/>
      <c r="AZ581" s="114"/>
      <c r="BA581" s="114"/>
      <c r="BB581" s="114"/>
      <c r="BC581" s="114"/>
      <c r="BD581" s="114"/>
      <c r="BE581" s="114"/>
      <c r="BF581" s="114"/>
      <c r="BG581" s="114"/>
      <c r="BH581" s="114"/>
      <c r="BI581" s="114"/>
      <c r="BJ581" s="114"/>
      <c r="BK581" s="114"/>
      <c r="BL581" s="114"/>
      <c r="BM581" s="114"/>
      <c r="BN581" s="114"/>
      <c r="BO581" s="114"/>
      <c r="BP581" s="114"/>
      <c r="BQ581" s="114"/>
      <c r="BR581" s="114"/>
      <c r="BS581" s="114"/>
      <c r="BT581" s="114"/>
      <c r="BU581" s="114"/>
      <c r="BV581" s="114"/>
      <c r="BW581" s="114"/>
      <c r="BX581" s="114"/>
      <c r="BY581" s="114"/>
      <c r="BZ581" s="114"/>
      <c r="CA581" s="114"/>
      <c r="CB581" s="114"/>
      <c r="CC581" s="114"/>
      <c r="CD581" s="114"/>
      <c r="CE581" s="114"/>
      <c r="CF581" s="114"/>
      <c r="CG581" s="114"/>
      <c r="CH581" s="114"/>
      <c r="CI581" s="114"/>
      <c r="CJ581" s="114"/>
      <c r="CK581" s="114"/>
      <c r="CL581" s="114"/>
      <c r="CM581" s="114"/>
      <c r="CN581" s="114"/>
      <c r="CO581" s="114"/>
      <c r="CP581" s="114"/>
      <c r="CQ581" s="114"/>
      <c r="CR581" s="114"/>
      <c r="CS581" s="114"/>
      <c r="CT581" s="114"/>
      <c r="CU581" s="114"/>
      <c r="CV581" s="114"/>
      <c r="CW581" s="114"/>
      <c r="CX581" s="114"/>
      <c r="CY581" s="114"/>
      <c r="CZ581" s="114"/>
      <c r="DA581" s="114"/>
      <c r="DB581" s="114"/>
      <c r="DC581" s="114"/>
      <c r="DD581" s="114"/>
      <c r="DE581" s="114"/>
      <c r="DF581" s="114"/>
      <c r="DG581" s="114"/>
      <c r="DH581" s="114"/>
      <c r="DI581" s="114"/>
      <c r="DJ581" s="114"/>
      <c r="DK581" s="114"/>
      <c r="DL581" s="114"/>
      <c r="DM581" s="114"/>
      <c r="DN581" s="114"/>
      <c r="DO581" s="114"/>
      <c r="DP581" s="114"/>
      <c r="DQ581" s="114"/>
      <c r="DR581" s="114"/>
      <c r="DS581" s="114"/>
      <c r="DT581" s="114"/>
      <c r="DU581" s="100"/>
      <c r="DV581" s="100"/>
      <c r="DW581" s="100"/>
      <c r="DX581" s="100"/>
      <c r="DY581" s="100"/>
      <c r="DZ581" s="100"/>
      <c r="EA581" s="100"/>
      <c r="EB581" s="100"/>
      <c r="EC581" s="100"/>
      <c r="ED581" s="100"/>
      <c r="EE581" s="100"/>
    </row>
    <row r="582" spans="1:137" hidden="1" outlineLevel="1" x14ac:dyDescent="0.3">
      <c r="A582" s="64"/>
      <c r="DU582" s="85"/>
      <c r="DV582" s="85"/>
      <c r="DW582" s="85"/>
      <c r="DX582" s="85"/>
      <c r="DY582" s="85"/>
      <c r="DZ582" s="85"/>
      <c r="EA582" s="85"/>
      <c r="EB582" s="85"/>
      <c r="EC582" s="85"/>
      <c r="ED582" s="85"/>
      <c r="EE582" s="85"/>
    </row>
    <row r="583" spans="1:137" hidden="1" outlineLevel="2" x14ac:dyDescent="0.3">
      <c r="A583" s="846" t="s">
        <v>4060</v>
      </c>
    </row>
    <row r="584" spans="1:137" hidden="1" outlineLevel="2" x14ac:dyDescent="0.3">
      <c r="A584" s="141" t="s">
        <v>3287</v>
      </c>
      <c r="DX584" s="76"/>
      <c r="DY584" s="76"/>
      <c r="ED584" s="76"/>
    </row>
    <row r="585" spans="1:137" hidden="1" outlineLevel="2" x14ac:dyDescent="0.3">
      <c r="A585" t="s">
        <v>541</v>
      </c>
      <c r="DU585" s="76" t="e">
        <f>+DU522+DU560+DU528+DU563+DU565+DU561+DU527</f>
        <v>#REF!</v>
      </c>
      <c r="DV585" s="76" t="e">
        <f>+DV522+DV560+DV528+DV563+DV565+DV561+DV527</f>
        <v>#REF!</v>
      </c>
      <c r="DW585" s="76" t="e">
        <f>+DW522+DW560+DW528+DW563+DW565+DW561+DW527</f>
        <v>#REF!</v>
      </c>
      <c r="DX585" s="76" t="e">
        <f>+DX522+DX560+DX528+DX563+DX565+DX561+DX527</f>
        <v>#REF!</v>
      </c>
      <c r="DY585" s="85" t="e">
        <f>+SUM(DU585:DX585)</f>
        <v>#REF!</v>
      </c>
      <c r="DZ585" s="76" t="e">
        <f>+DZ522+DZ560+DZ528+DZ563+DZ565+DZ561+DZ527</f>
        <v>#REF!</v>
      </c>
      <c r="EA585" s="76" t="e">
        <f>+EA522+EA560+EA528+EA563+EA565+EA561+EA527</f>
        <v>#REF!</v>
      </c>
      <c r="EB585" s="76" t="e">
        <f>+EB522+EB560+EB528+EB563+EB565+EB561+EB527</f>
        <v>#REF!</v>
      </c>
      <c r="EC585" s="76" t="e">
        <f>+EC522+EC560+EC528+EC563+EC565+EC561+EC527</f>
        <v>#REF!</v>
      </c>
      <c r="ED585" s="85" t="e">
        <f>+SUM(DZ585:EC585)</f>
        <v>#REF!</v>
      </c>
      <c r="EE585" s="76" t="e">
        <f>+EE522+EE560+EE528+EE563+EE565+EE561+EE527</f>
        <v>#REF!</v>
      </c>
      <c r="EF585" s="76"/>
    </row>
    <row r="586" spans="1:137" hidden="1" outlineLevel="2" x14ac:dyDescent="0.3">
      <c r="A586" t="s">
        <v>542</v>
      </c>
      <c r="DU586" s="76">
        <f>+DU524+DU530+DU564</f>
        <v>604</v>
      </c>
      <c r="DV586" s="76">
        <f>+DV524+DV530+DV564</f>
        <v>582</v>
      </c>
      <c r="DW586" s="76">
        <f>+DW524+DW530+DW564</f>
        <v>574</v>
      </c>
      <c r="DX586" s="76">
        <f>+DX524+DX530+DX564</f>
        <v>555</v>
      </c>
      <c r="DY586" s="85">
        <f>+SUM(DU586:DX586)</f>
        <v>2315</v>
      </c>
      <c r="DZ586" s="76">
        <f>+DZ524+DZ530+DZ564</f>
        <v>529</v>
      </c>
      <c r="EA586" s="76">
        <f>+EA524+EA530+EA564</f>
        <v>509</v>
      </c>
      <c r="EB586" s="76">
        <f>+EB524+EB530+EB564</f>
        <v>500</v>
      </c>
      <c r="EC586" s="76">
        <f>+EC524+EC530+EC564</f>
        <v>490</v>
      </c>
      <c r="ED586" s="85">
        <f>+SUM(DZ586:EC586)</f>
        <v>2028</v>
      </c>
      <c r="EE586" s="76">
        <f>+EE524+EE530+EE564</f>
        <v>487</v>
      </c>
    </row>
    <row r="587" spans="1:137" hidden="1" outlineLevel="2" x14ac:dyDescent="0.3">
      <c r="A587" t="s">
        <v>461</v>
      </c>
      <c r="DU587" s="76">
        <f>+DU523+DU529</f>
        <v>254.99999999999997</v>
      </c>
      <c r="DV587" s="76">
        <f>+DV523+DV529</f>
        <v>247.99999999999997</v>
      </c>
      <c r="DW587" s="76">
        <f>+DW523+DW529</f>
        <v>233</v>
      </c>
      <c r="DX587" s="76">
        <f>+DX523+DX529</f>
        <v>222</v>
      </c>
      <c r="DY587" s="85">
        <f>+SUM(DU587:DX587)</f>
        <v>958</v>
      </c>
      <c r="DZ587" s="76">
        <f>+DZ523+DZ529</f>
        <v>212</v>
      </c>
      <c r="EA587" s="76">
        <f>+EA523+EA529</f>
        <v>197</v>
      </c>
      <c r="EB587" s="76">
        <f>+EB523+EB529</f>
        <v>186</v>
      </c>
      <c r="EC587" s="76">
        <f>+EC523+EC529</f>
        <v>181</v>
      </c>
      <c r="ED587" s="85">
        <f>+SUM(DZ587:EC587)</f>
        <v>776</v>
      </c>
      <c r="EE587" s="76">
        <f>+EE523+EE529</f>
        <v>169</v>
      </c>
    </row>
    <row r="588" spans="1:137" hidden="1" outlineLevel="2" x14ac:dyDescent="0.3">
      <c r="A588" t="s">
        <v>34</v>
      </c>
      <c r="DU588" s="76">
        <f>+DU566+DU531+DU525</f>
        <v>113</v>
      </c>
      <c r="DV588" s="76">
        <f>+DV566+DV531+DV525</f>
        <v>111</v>
      </c>
      <c r="DW588" s="76">
        <f>+DW566+DW531+DW525</f>
        <v>106</v>
      </c>
      <c r="DX588" s="76">
        <f>+DX566+DX531+DX525</f>
        <v>108</v>
      </c>
      <c r="DY588" s="85">
        <f>+SUM(DU588:DX588)</f>
        <v>438</v>
      </c>
      <c r="DZ588" s="76">
        <f>+DZ566+DZ531+DZ525</f>
        <v>108</v>
      </c>
      <c r="EA588" s="76">
        <f>+EA566+EA531+EA525</f>
        <v>105</v>
      </c>
      <c r="EB588" s="76">
        <f>+EB566+EB531+EB525</f>
        <v>103</v>
      </c>
      <c r="EC588" s="76">
        <f>+EC566+EC531+EC525</f>
        <v>101</v>
      </c>
      <c r="ED588" s="85">
        <f>+SUM(DZ588:EC588)</f>
        <v>417</v>
      </c>
      <c r="EE588" s="76">
        <f>+EE566+EE531+EE525</f>
        <v>95</v>
      </c>
    </row>
    <row r="589" spans="1:137" hidden="1" outlineLevel="2" x14ac:dyDescent="0.3">
      <c r="A589" s="90" t="s">
        <v>35</v>
      </c>
      <c r="DU589" s="804" t="e">
        <f>+SUM(DU585:DU588)</f>
        <v>#REF!</v>
      </c>
      <c r="DV589" s="804" t="e">
        <f>+SUM(DV585:DV588)</f>
        <v>#REF!</v>
      </c>
      <c r="DW589" s="804" t="e">
        <f>+SUM(DW585:DW588)</f>
        <v>#REF!</v>
      </c>
      <c r="DX589" s="804" t="e">
        <f>+SUM(DX585:DX588)</f>
        <v>#REF!</v>
      </c>
      <c r="DY589" s="803" t="e">
        <f>+SUM(DU589:DX589)</f>
        <v>#REF!</v>
      </c>
      <c r="DZ589" s="804" t="e">
        <f>+SUM(DZ585:DZ588)</f>
        <v>#REF!</v>
      </c>
      <c r="EA589" s="804" t="e">
        <f>+SUM(EA585:EA588)</f>
        <v>#REF!</v>
      </c>
      <c r="EB589" s="804" t="e">
        <f>+SUM(EB585:EB588)</f>
        <v>#REF!</v>
      </c>
      <c r="EC589" s="804" t="e">
        <f>+SUM(EC585:EC588)</f>
        <v>#REF!</v>
      </c>
      <c r="ED589" s="803" t="e">
        <f>+SUM(DZ589:EC589)</f>
        <v>#REF!</v>
      </c>
      <c r="EE589" s="804" t="e">
        <f>+SUM(EE585:EE588)</f>
        <v>#REF!</v>
      </c>
    </row>
    <row r="590" spans="1:137" hidden="1" outlineLevel="2" x14ac:dyDescent="0.3">
      <c r="A590" s="27"/>
      <c r="EE590" s="861"/>
    </row>
    <row r="591" spans="1:137" hidden="1" outlineLevel="2" x14ac:dyDescent="0.3">
      <c r="A591" s="141" t="s">
        <v>1013</v>
      </c>
      <c r="EE591" s="861"/>
    </row>
    <row r="592" spans="1:137" hidden="1" outlineLevel="2" x14ac:dyDescent="0.3">
      <c r="A592" t="s">
        <v>541</v>
      </c>
      <c r="DU592" s="76">
        <f t="shared" ref="DU592:DX595" si="423">+DU345</f>
        <v>888</v>
      </c>
      <c r="DV592" s="76">
        <f t="shared" si="423"/>
        <v>885</v>
      </c>
      <c r="DW592" s="76">
        <f t="shared" si="423"/>
        <v>851</v>
      </c>
      <c r="DX592" s="76">
        <f t="shared" si="423"/>
        <v>822</v>
      </c>
      <c r="DY592" s="85">
        <f>+SUM(DU592:DX592)</f>
        <v>3446</v>
      </c>
      <c r="DZ592" s="76">
        <f t="shared" ref="DZ592:EC595" si="424">+DZ345</f>
        <v>855</v>
      </c>
      <c r="EA592" s="76">
        <f t="shared" si="424"/>
        <v>849</v>
      </c>
      <c r="EB592" s="76">
        <f t="shared" si="424"/>
        <v>838</v>
      </c>
      <c r="EC592" s="76">
        <f t="shared" si="424"/>
        <v>834</v>
      </c>
      <c r="ED592" s="85">
        <f>+SUM(DZ592:EC592)</f>
        <v>3376</v>
      </c>
      <c r="EE592" s="76">
        <f>+EE345</f>
        <v>842</v>
      </c>
      <c r="EF592" s="76"/>
      <c r="EG592" s="76"/>
    </row>
    <row r="593" spans="1:150" hidden="1" outlineLevel="2" x14ac:dyDescent="0.3">
      <c r="A593" t="s">
        <v>542</v>
      </c>
      <c r="DU593" s="76">
        <f t="shared" si="423"/>
        <v>604</v>
      </c>
      <c r="DV593" s="76">
        <f t="shared" si="423"/>
        <v>582</v>
      </c>
      <c r="DW593" s="76">
        <f t="shared" si="423"/>
        <v>574</v>
      </c>
      <c r="DX593" s="76">
        <f t="shared" si="423"/>
        <v>555</v>
      </c>
      <c r="DY593" s="85">
        <f>+SUM(DU593:DX593)</f>
        <v>2315</v>
      </c>
      <c r="DZ593" s="76">
        <f t="shared" si="424"/>
        <v>529</v>
      </c>
      <c r="EA593" s="76">
        <f t="shared" si="424"/>
        <v>509</v>
      </c>
      <c r="EB593" s="76">
        <f t="shared" si="424"/>
        <v>500</v>
      </c>
      <c r="EC593" s="76">
        <f t="shared" si="424"/>
        <v>490</v>
      </c>
      <c r="ED593" s="85">
        <f>+SUM(DZ593:EC593)</f>
        <v>2028</v>
      </c>
      <c r="EE593" s="76">
        <f>+EE346</f>
        <v>487</v>
      </c>
      <c r="EF593" s="76"/>
    </row>
    <row r="594" spans="1:150" hidden="1" outlineLevel="2" x14ac:dyDescent="0.3">
      <c r="A594" t="s">
        <v>461</v>
      </c>
      <c r="DU594" s="76">
        <f t="shared" si="423"/>
        <v>255</v>
      </c>
      <c r="DV594" s="76">
        <f t="shared" si="423"/>
        <v>248</v>
      </c>
      <c r="DW594" s="76">
        <f t="shared" si="423"/>
        <v>233</v>
      </c>
      <c r="DX594" s="76">
        <f t="shared" si="423"/>
        <v>222</v>
      </c>
      <c r="DY594" s="85">
        <f>+SUM(DU594:DX594)</f>
        <v>958</v>
      </c>
      <c r="DZ594" s="76">
        <f t="shared" si="424"/>
        <v>212</v>
      </c>
      <c r="EA594" s="76">
        <f t="shared" si="424"/>
        <v>197</v>
      </c>
      <c r="EB594" s="76">
        <f t="shared" si="424"/>
        <v>186</v>
      </c>
      <c r="EC594" s="76">
        <f t="shared" si="424"/>
        <v>181</v>
      </c>
      <c r="ED594" s="85">
        <f>+SUM(DZ594:EC594)</f>
        <v>776</v>
      </c>
      <c r="EE594" s="76">
        <f>+EE347</f>
        <v>169</v>
      </c>
      <c r="EF594" s="76"/>
    </row>
    <row r="595" spans="1:150" hidden="1" outlineLevel="2" x14ac:dyDescent="0.3">
      <c r="A595" t="s">
        <v>34</v>
      </c>
      <c r="DU595" s="76">
        <f t="shared" si="423"/>
        <v>113</v>
      </c>
      <c r="DV595" s="76">
        <f t="shared" si="423"/>
        <v>111</v>
      </c>
      <c r="DW595" s="76">
        <f t="shared" si="423"/>
        <v>106</v>
      </c>
      <c r="DX595" s="76">
        <f t="shared" si="423"/>
        <v>108</v>
      </c>
      <c r="DY595" s="85">
        <f>+SUM(DU595:DX595)</f>
        <v>438</v>
      </c>
      <c r="DZ595" s="76">
        <f t="shared" si="424"/>
        <v>108</v>
      </c>
      <c r="EA595" s="76">
        <f t="shared" si="424"/>
        <v>105</v>
      </c>
      <c r="EB595" s="76">
        <f t="shared" si="424"/>
        <v>103</v>
      </c>
      <c r="EC595" s="76">
        <f t="shared" si="424"/>
        <v>101</v>
      </c>
      <c r="ED595" s="85">
        <f>+SUM(DZ595:EC595)</f>
        <v>417</v>
      </c>
      <c r="EE595" s="76">
        <f>+EE348</f>
        <v>95</v>
      </c>
      <c r="EF595" s="76"/>
    </row>
    <row r="596" spans="1:150" hidden="1" outlineLevel="2" x14ac:dyDescent="0.3">
      <c r="A596" s="90" t="s">
        <v>35</v>
      </c>
      <c r="DU596" s="804">
        <f>+SUM(DU592:DU595)</f>
        <v>1860</v>
      </c>
      <c r="DV596" s="804">
        <f>+SUM(DV592:DV595)</f>
        <v>1826</v>
      </c>
      <c r="DW596" s="804">
        <f>+SUM(DW592:DW595)</f>
        <v>1764</v>
      </c>
      <c r="DX596" s="804">
        <f>+SUM(DX592:DX595)</f>
        <v>1707</v>
      </c>
      <c r="DY596" s="803">
        <f>+SUM(DU596:DX596)</f>
        <v>7157</v>
      </c>
      <c r="DZ596" s="804">
        <f>+SUM(DZ592:DZ595)</f>
        <v>1704</v>
      </c>
      <c r="EA596" s="804">
        <f>+SUM(EA592:EA595)</f>
        <v>1660</v>
      </c>
      <c r="EB596" s="804">
        <f>+SUM(EB592:EB595)</f>
        <v>1627</v>
      </c>
      <c r="EC596" s="804">
        <f>+SUM(EC592:EC595)</f>
        <v>1606</v>
      </c>
      <c r="ED596" s="803">
        <f>+SUM(DZ596:EC596)</f>
        <v>6597</v>
      </c>
      <c r="EE596" s="804">
        <f>+SUM(EE592:EE595)</f>
        <v>1593</v>
      </c>
    </row>
    <row r="597" spans="1:150" hidden="1" outlineLevel="2" x14ac:dyDescent="0.3">
      <c r="A597" s="27"/>
    </row>
    <row r="598" spans="1:150" hidden="1" outlineLevel="2" x14ac:dyDescent="0.3">
      <c r="A598" s="141" t="s">
        <v>3287</v>
      </c>
    </row>
    <row r="599" spans="1:150" hidden="1" outlineLevel="2" x14ac:dyDescent="0.3">
      <c r="A599" t="s">
        <v>38</v>
      </c>
      <c r="DU599" s="76">
        <f>+SUM(DU532,DU526,DU527)</f>
        <v>996</v>
      </c>
      <c r="DV599" s="76">
        <f>+SUM(DV532,DV526,DV527)</f>
        <v>969</v>
      </c>
      <c r="DW599" s="76">
        <f>+SUM(DW532,DW526,DW527)</f>
        <v>942.99999999999989</v>
      </c>
      <c r="DX599" s="76">
        <f>+SUM(DX532,DX526,DX527)</f>
        <v>923</v>
      </c>
      <c r="DY599" s="85">
        <f>+SUM(DU599:DX599)</f>
        <v>3831</v>
      </c>
      <c r="DZ599" s="76">
        <f>+SUM(DZ522:DZ525,DZ527:DZ531)</f>
        <v>894.00000000000011</v>
      </c>
      <c r="EA599" s="76">
        <f>+SUM(EA522:EA525,EA527:EA531)</f>
        <v>874</v>
      </c>
      <c r="EB599" s="76">
        <f>+SUM(EB522:EB525,EB527:EB531)</f>
        <v>858.99999999999989</v>
      </c>
      <c r="EC599" s="76">
        <f>+SUM(EC522:EC525,EC527:EC531)</f>
        <v>857.00000000000011</v>
      </c>
      <c r="ED599" s="85">
        <f>+SUM(DZ599:EC599)</f>
        <v>3484</v>
      </c>
      <c r="EE599" s="76">
        <f>+SUM(EE522:EE525,EE527:EE531)</f>
        <v>844</v>
      </c>
    </row>
    <row r="600" spans="1:150" hidden="1" outlineLevel="2" x14ac:dyDescent="0.3">
      <c r="A600" t="s">
        <v>1865</v>
      </c>
      <c r="DU600" s="76" t="e">
        <f>+SUM(DU560:DU561,DU563:DU566)</f>
        <v>#REF!</v>
      </c>
      <c r="DV600" s="76" t="e">
        <f>+SUM(DV560:DV561,DV563:DV566)</f>
        <v>#REF!</v>
      </c>
      <c r="DW600" s="76" t="e">
        <f>+SUM(DW560:DW561,DW563:DW566)</f>
        <v>#REF!</v>
      </c>
      <c r="DX600" s="76" t="e">
        <f>+SUM(DX560:DX561,DX563:DX566)</f>
        <v>#REF!</v>
      </c>
      <c r="DY600" s="85" t="e">
        <f>+SUM(DU600:DX600)</f>
        <v>#REF!</v>
      </c>
      <c r="DZ600" s="76" t="e">
        <f>+SUM(DZ560:DZ561,DZ563:DZ566)</f>
        <v>#REF!</v>
      </c>
      <c r="EA600" s="76" t="e">
        <f>+SUM(EA560:EA561,EA563:EA566)</f>
        <v>#REF!</v>
      </c>
      <c r="EB600" s="76" t="e">
        <f>+SUM(EB560:EB561,EB563:EB566)</f>
        <v>#REF!</v>
      </c>
      <c r="EC600" s="76" t="e">
        <f>+SUM(EC560:EC561,EC563:EC566)</f>
        <v>#REF!</v>
      </c>
      <c r="ED600" s="85" t="e">
        <f>+SUM(DZ600:EC600)</f>
        <v>#REF!</v>
      </c>
      <c r="EE600" s="76" t="e">
        <f>+SUM(EE560:EE561,EE563:EE566)</f>
        <v>#REF!</v>
      </c>
    </row>
    <row r="601" spans="1:150" hidden="1" outlineLevel="2" x14ac:dyDescent="0.3">
      <c r="A601" s="90" t="s">
        <v>4058</v>
      </c>
      <c r="DU601" s="804" t="e">
        <f t="shared" ref="DU601:EE601" si="425">+SUM(DU599:DU600)</f>
        <v>#REF!</v>
      </c>
      <c r="DV601" s="804" t="e">
        <f t="shared" si="425"/>
        <v>#REF!</v>
      </c>
      <c r="DW601" s="804" t="e">
        <f t="shared" si="425"/>
        <v>#REF!</v>
      </c>
      <c r="DX601" s="804" t="e">
        <f t="shared" si="425"/>
        <v>#REF!</v>
      </c>
      <c r="DY601" s="803" t="e">
        <f t="shared" si="425"/>
        <v>#REF!</v>
      </c>
      <c r="DZ601" s="804" t="e">
        <f t="shared" si="425"/>
        <v>#REF!</v>
      </c>
      <c r="EA601" s="804" t="e">
        <f t="shared" si="425"/>
        <v>#REF!</v>
      </c>
      <c r="EB601" s="804" t="e">
        <f t="shared" si="425"/>
        <v>#REF!</v>
      </c>
      <c r="EC601" s="804" t="e">
        <f t="shared" si="425"/>
        <v>#REF!</v>
      </c>
      <c r="ED601" s="803" t="e">
        <f t="shared" si="425"/>
        <v>#REF!</v>
      </c>
      <c r="EE601" s="804" t="e">
        <f t="shared" si="425"/>
        <v>#REF!</v>
      </c>
    </row>
    <row r="602" spans="1:150" hidden="1" outlineLevel="2" x14ac:dyDescent="0.3">
      <c r="A602" s="90"/>
    </row>
    <row r="603" spans="1:150" hidden="1" outlineLevel="2" x14ac:dyDescent="0.3">
      <c r="A603" s="141" t="s">
        <v>1013</v>
      </c>
    </row>
    <row r="604" spans="1:150" hidden="1" outlineLevel="2" x14ac:dyDescent="0.3">
      <c r="A604" t="s">
        <v>38</v>
      </c>
      <c r="DU604" s="76">
        <f t="shared" ref="DU604:DX605" si="426">+DU351</f>
        <v>996</v>
      </c>
      <c r="DV604" s="76">
        <f t="shared" si="426"/>
        <v>969</v>
      </c>
      <c r="DW604" s="76">
        <f t="shared" si="426"/>
        <v>943</v>
      </c>
      <c r="DX604" s="76">
        <f t="shared" si="426"/>
        <v>923</v>
      </c>
      <c r="DY604" s="85">
        <f>+SUM(DU604:DX604)</f>
        <v>3831</v>
      </c>
      <c r="DZ604" s="76">
        <f t="shared" ref="DZ604:EC605" si="427">+DZ351</f>
        <v>894</v>
      </c>
      <c r="EA604" s="76">
        <f t="shared" si="427"/>
        <v>874</v>
      </c>
      <c r="EB604" s="76">
        <f t="shared" si="427"/>
        <v>859</v>
      </c>
      <c r="EC604" s="76">
        <f t="shared" si="427"/>
        <v>857</v>
      </c>
      <c r="ED604" s="85">
        <f>+SUM(DZ604:EC604)</f>
        <v>3484</v>
      </c>
      <c r="EE604" s="76">
        <f>+EE351</f>
        <v>844</v>
      </c>
    </row>
    <row r="605" spans="1:150" hidden="1" outlineLevel="2" x14ac:dyDescent="0.3">
      <c r="A605" t="s">
        <v>1865</v>
      </c>
      <c r="DU605" s="76">
        <f t="shared" si="426"/>
        <v>864</v>
      </c>
      <c r="DV605" s="76">
        <f t="shared" si="426"/>
        <v>857</v>
      </c>
      <c r="DW605" s="76">
        <f t="shared" si="426"/>
        <v>821</v>
      </c>
      <c r="DX605" s="76">
        <f t="shared" si="426"/>
        <v>784</v>
      </c>
      <c r="DY605" s="85">
        <f>+SUM(DU605:DX605)</f>
        <v>3326</v>
      </c>
      <c r="DZ605" s="76">
        <f t="shared" si="427"/>
        <v>810</v>
      </c>
      <c r="EA605" s="76">
        <f t="shared" si="427"/>
        <v>786</v>
      </c>
      <c r="EB605" s="76">
        <f t="shared" si="427"/>
        <v>768</v>
      </c>
      <c r="EC605" s="76">
        <f t="shared" si="427"/>
        <v>749</v>
      </c>
      <c r="ED605" s="85">
        <f>+SUM(DZ605:EC605)</f>
        <v>3113</v>
      </c>
      <c r="EE605" s="76">
        <f>+EE352</f>
        <v>749</v>
      </c>
    </row>
    <row r="606" spans="1:150" hidden="1" outlineLevel="2" x14ac:dyDescent="0.3">
      <c r="A606" s="90" t="s">
        <v>4058</v>
      </c>
      <c r="DU606" s="804">
        <f t="shared" ref="DU606:EE606" si="428">+SUM(DU604:DU605)</f>
        <v>1860</v>
      </c>
      <c r="DV606" s="804">
        <f t="shared" si="428"/>
        <v>1826</v>
      </c>
      <c r="DW606" s="804">
        <f t="shared" si="428"/>
        <v>1764</v>
      </c>
      <c r="DX606" s="804">
        <f t="shared" si="428"/>
        <v>1707</v>
      </c>
      <c r="DY606" s="803">
        <f t="shared" si="428"/>
        <v>7157</v>
      </c>
      <c r="DZ606" s="804">
        <f t="shared" si="428"/>
        <v>1704</v>
      </c>
      <c r="EA606" s="804">
        <f t="shared" si="428"/>
        <v>1660</v>
      </c>
      <c r="EB606" s="804">
        <f t="shared" si="428"/>
        <v>1627</v>
      </c>
      <c r="EC606" s="804">
        <f t="shared" si="428"/>
        <v>1606</v>
      </c>
      <c r="ED606" s="803">
        <f t="shared" si="428"/>
        <v>6597</v>
      </c>
      <c r="EE606" s="804">
        <f t="shared" si="428"/>
        <v>1593</v>
      </c>
    </row>
    <row r="607" spans="1:150" hidden="1" outlineLevel="1" collapsed="1" x14ac:dyDescent="0.3">
      <c r="A607" s="29"/>
    </row>
    <row r="608" spans="1:150" hidden="1" outlineLevel="1" x14ac:dyDescent="0.3">
      <c r="A608" s="43" t="s">
        <v>3699</v>
      </c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43"/>
      <c r="AN608" s="43"/>
      <c r="AO608" s="43"/>
      <c r="AP608" s="43"/>
      <c r="AQ608" s="43"/>
      <c r="AR608" s="43"/>
      <c r="AS608" s="43"/>
      <c r="AT608" s="43"/>
      <c r="AU608" s="43"/>
      <c r="AV608" s="43"/>
      <c r="AW608" s="43"/>
      <c r="AX608" s="43"/>
      <c r="AY608" s="43"/>
      <c r="AZ608" s="43"/>
      <c r="BA608" s="43"/>
      <c r="BB608" s="43"/>
      <c r="BC608" s="43"/>
      <c r="BD608" s="43"/>
      <c r="BE608" s="43"/>
      <c r="BF608" s="43"/>
      <c r="BG608" s="43"/>
      <c r="BH608" s="43"/>
      <c r="BI608" s="43"/>
      <c r="BJ608" s="43"/>
      <c r="BK608" s="43"/>
      <c r="BL608" s="43"/>
      <c r="BM608" s="43"/>
      <c r="BN608" s="43"/>
      <c r="BO608" s="43"/>
      <c r="BP608" s="43"/>
      <c r="BQ608" s="43"/>
      <c r="BR608" s="43"/>
      <c r="BS608" s="43"/>
      <c r="BT608" s="43"/>
      <c r="BU608" s="43"/>
      <c r="BV608" s="43"/>
      <c r="BW608" s="43"/>
      <c r="BX608" s="43"/>
      <c r="BY608" s="43"/>
      <c r="BZ608" s="43"/>
      <c r="CA608" s="43"/>
      <c r="CB608" s="43"/>
      <c r="CC608" s="43"/>
      <c r="CD608" s="43"/>
      <c r="CE608" s="43"/>
      <c r="CF608" s="43"/>
      <c r="CG608" s="43"/>
      <c r="CH608" s="43"/>
      <c r="CI608" s="43"/>
      <c r="CJ608" s="43"/>
      <c r="CK608" s="43"/>
      <c r="CL608" s="43"/>
      <c r="CM608" s="43"/>
      <c r="CN608" s="43"/>
      <c r="CO608" s="43"/>
      <c r="CP608" s="43"/>
      <c r="CQ608" s="43"/>
      <c r="CR608" s="43"/>
      <c r="CS608" s="43"/>
      <c r="CT608" s="43"/>
      <c r="CU608" s="43"/>
      <c r="CV608" s="43"/>
      <c r="CW608" s="43"/>
      <c r="CX608" s="43"/>
      <c r="CY608" s="43"/>
      <c r="CZ608" s="43"/>
      <c r="DA608" s="43"/>
      <c r="DB608" s="43"/>
      <c r="DC608" s="43"/>
      <c r="DD608" s="43"/>
      <c r="DE608" s="43"/>
      <c r="DF608" s="43"/>
      <c r="DG608" s="43"/>
      <c r="DH608" s="43"/>
      <c r="DI608" s="43"/>
      <c r="DJ608" s="43"/>
      <c r="DK608" s="43"/>
      <c r="DL608" s="43"/>
      <c r="DM608" s="43"/>
      <c r="DN608" s="43"/>
      <c r="DO608" s="43"/>
      <c r="DP608" s="43"/>
      <c r="DQ608" s="43"/>
      <c r="DR608" s="43"/>
      <c r="DS608" s="43"/>
      <c r="DT608" s="43"/>
      <c r="DU608" s="43"/>
      <c r="DV608" s="43"/>
      <c r="DW608" s="43"/>
      <c r="DX608" s="43"/>
      <c r="DY608" s="43"/>
      <c r="DZ608" s="43"/>
      <c r="EA608" s="43"/>
      <c r="EB608" s="43"/>
      <c r="EC608" s="43"/>
      <c r="ED608" s="43"/>
      <c r="EE608" s="43"/>
      <c r="EF608" s="43"/>
      <c r="EG608" s="43"/>
      <c r="EH608" s="43"/>
      <c r="EI608" s="43"/>
      <c r="EJ608" s="43"/>
      <c r="EK608" s="43"/>
      <c r="EL608" s="43"/>
      <c r="EM608" s="43"/>
      <c r="EN608" s="43"/>
      <c r="EO608" s="43"/>
      <c r="EP608" s="43"/>
      <c r="EQ608" s="43"/>
      <c r="ER608" s="43"/>
      <c r="ES608" s="43"/>
      <c r="ET608" s="43"/>
    </row>
    <row r="609" spans="1:1" hidden="1" outlineLevel="1" x14ac:dyDescent="0.3">
      <c r="A609" s="110" t="s">
        <v>477</v>
      </c>
    </row>
    <row r="610" spans="1:1" hidden="1" outlineLevel="1" x14ac:dyDescent="0.3">
      <c r="A610" s="70" t="s">
        <v>363</v>
      </c>
    </row>
    <row r="611" spans="1:1" hidden="1" outlineLevel="1" x14ac:dyDescent="0.3">
      <c r="A611" s="61" t="s">
        <v>391</v>
      </c>
    </row>
    <row r="612" spans="1:1" hidden="1" outlineLevel="1" x14ac:dyDescent="0.3">
      <c r="A612" s="70" t="s">
        <v>387</v>
      </c>
    </row>
    <row r="613" spans="1:1" hidden="1" outlineLevel="1" x14ac:dyDescent="0.3">
      <c r="A613" s="61" t="s">
        <v>4061</v>
      </c>
    </row>
    <row r="614" spans="1:1" hidden="1" outlineLevel="1" x14ac:dyDescent="0.3">
      <c r="A614" s="61" t="s">
        <v>4062</v>
      </c>
    </row>
    <row r="615" spans="1:1" hidden="1" outlineLevel="1" x14ac:dyDescent="0.3">
      <c r="A615" s="192"/>
    </row>
    <row r="616" spans="1:1" hidden="1" outlineLevel="1" x14ac:dyDescent="0.3">
      <c r="A616" s="110" t="s">
        <v>4063</v>
      </c>
    </row>
    <row r="617" spans="1:1" hidden="1" outlineLevel="1" x14ac:dyDescent="0.3">
      <c r="A617" s="70" t="s">
        <v>4064</v>
      </c>
    </row>
    <row r="618" spans="1:1" hidden="1" outlineLevel="1" x14ac:dyDescent="0.3">
      <c r="A618" s="192"/>
    </row>
    <row r="619" spans="1:1" hidden="1" outlineLevel="1" x14ac:dyDescent="0.3">
      <c r="A619" s="110" t="s">
        <v>4065</v>
      </c>
    </row>
    <row r="620" spans="1:1" hidden="1" outlineLevel="1" x14ac:dyDescent="0.3">
      <c r="A620" s="70" t="s">
        <v>363</v>
      </c>
    </row>
    <row r="621" spans="1:1" hidden="1" outlineLevel="1" x14ac:dyDescent="0.3">
      <c r="A621" s="61" t="s">
        <v>391</v>
      </c>
    </row>
    <row r="622" spans="1:1" hidden="1" outlineLevel="1" x14ac:dyDescent="0.3">
      <c r="A622" s="70" t="s">
        <v>387</v>
      </c>
    </row>
    <row r="623" spans="1:1" hidden="1" outlineLevel="1" x14ac:dyDescent="0.3">
      <c r="A623" s="70" t="s">
        <v>394</v>
      </c>
    </row>
    <row r="624" spans="1:1" hidden="1" outlineLevel="1" x14ac:dyDescent="0.3">
      <c r="A624" s="70"/>
    </row>
    <row r="625" spans="1:1" hidden="1" outlineLevel="1" x14ac:dyDescent="0.3">
      <c r="A625" s="110" t="s">
        <v>48</v>
      </c>
    </row>
    <row r="626" spans="1:1" hidden="1" outlineLevel="1" x14ac:dyDescent="0.3">
      <c r="A626" s="70" t="s">
        <v>363</v>
      </c>
    </row>
    <row r="627" spans="1:1" hidden="1" outlineLevel="1" x14ac:dyDescent="0.3">
      <c r="A627" s="61" t="s">
        <v>391</v>
      </c>
    </row>
    <row r="628" spans="1:1" hidden="1" outlineLevel="1" x14ac:dyDescent="0.3">
      <c r="A628" s="70" t="s">
        <v>387</v>
      </c>
    </row>
    <row r="629" spans="1:1" hidden="1" outlineLevel="1" x14ac:dyDescent="0.3">
      <c r="A629" s="70" t="s">
        <v>394</v>
      </c>
    </row>
    <row r="630" spans="1:1" hidden="1" outlineLevel="1" x14ac:dyDescent="0.3"/>
    <row r="631" spans="1:1" hidden="1" outlineLevel="1" x14ac:dyDescent="0.3">
      <c r="A631" s="110" t="s">
        <v>42</v>
      </c>
    </row>
    <row r="632" spans="1:1" hidden="1" outlineLevel="1" x14ac:dyDescent="0.3">
      <c r="A632" s="70" t="s">
        <v>363</v>
      </c>
    </row>
    <row r="633" spans="1:1" hidden="1" outlineLevel="1" x14ac:dyDescent="0.3">
      <c r="A633" s="61" t="s">
        <v>391</v>
      </c>
    </row>
    <row r="634" spans="1:1" hidden="1" outlineLevel="1" x14ac:dyDescent="0.3">
      <c r="A634" s="70" t="s">
        <v>387</v>
      </c>
    </row>
    <row r="635" spans="1:1" hidden="1" outlineLevel="1" x14ac:dyDescent="0.3">
      <c r="A635" s="70" t="s">
        <v>394</v>
      </c>
    </row>
    <row r="636" spans="1:1" hidden="1" outlineLevel="1" x14ac:dyDescent="0.3"/>
    <row r="637" spans="1:1" hidden="1" outlineLevel="1" x14ac:dyDescent="0.3">
      <c r="A637" s="55" t="s">
        <v>445</v>
      </c>
    </row>
    <row r="638" spans="1:1" hidden="1" outlineLevel="1" x14ac:dyDescent="0.3">
      <c r="A638" s="70" t="s">
        <v>363</v>
      </c>
    </row>
    <row r="639" spans="1:1" hidden="1" outlineLevel="1" x14ac:dyDescent="0.3">
      <c r="A639" s="61" t="s">
        <v>391</v>
      </c>
    </row>
    <row r="640" spans="1:1" hidden="1" outlineLevel="1" x14ac:dyDescent="0.3">
      <c r="A640" s="70" t="s">
        <v>387</v>
      </c>
    </row>
    <row r="641" spans="1:150" hidden="1" outlineLevel="1" x14ac:dyDescent="0.3">
      <c r="A641" s="70" t="s">
        <v>394</v>
      </c>
    </row>
    <row r="642" spans="1:150" hidden="1" outlineLevel="1" x14ac:dyDescent="0.3"/>
    <row r="643" spans="1:150" hidden="1" outlineLevel="1" x14ac:dyDescent="0.3">
      <c r="A643" s="1797" t="s">
        <v>284</v>
      </c>
    </row>
    <row r="644" spans="1:150" hidden="1" outlineLevel="1" x14ac:dyDescent="0.3">
      <c r="A644" s="70" t="s">
        <v>363</v>
      </c>
    </row>
    <row r="645" spans="1:150" hidden="1" outlineLevel="1" x14ac:dyDescent="0.3">
      <c r="A645" s="56" t="s">
        <v>480</v>
      </c>
    </row>
    <row r="646" spans="1:150" hidden="1" outlineLevel="1" x14ac:dyDescent="0.3">
      <c r="A646" s="70" t="s">
        <v>363</v>
      </c>
    </row>
    <row r="647" spans="1:150" hidden="1" outlineLevel="1" x14ac:dyDescent="0.3">
      <c r="A647" s="60" t="s">
        <v>44</v>
      </c>
    </row>
    <row r="648" spans="1:150" hidden="1" outlineLevel="1" x14ac:dyDescent="0.3">
      <c r="A648" s="116" t="s">
        <v>481</v>
      </c>
    </row>
    <row r="649" spans="1:150" hidden="1" outlineLevel="1" x14ac:dyDescent="0.3">
      <c r="A649" s="116" t="s">
        <v>482</v>
      </c>
    </row>
    <row r="650" spans="1:150" hidden="1" outlineLevel="1" x14ac:dyDescent="0.3">
      <c r="A650" s="116" t="s">
        <v>483</v>
      </c>
    </row>
    <row r="651" spans="1:150" hidden="1" outlineLevel="1" x14ac:dyDescent="0.3">
      <c r="A651" s="72" t="s">
        <v>387</v>
      </c>
    </row>
    <row r="652" spans="1:150" hidden="1" outlineLevel="1" x14ac:dyDescent="0.3">
      <c r="A652" s="113" t="s">
        <v>484</v>
      </c>
    </row>
    <row r="653" spans="1:150" hidden="1" outlineLevel="1" x14ac:dyDescent="0.3"/>
    <row r="654" spans="1:150" collapsed="1" x14ac:dyDescent="0.3">
      <c r="A654" s="43" t="s">
        <v>4066</v>
      </c>
      <c r="DU654" s="43"/>
      <c r="DV654" s="43"/>
      <c r="DW654" s="43"/>
      <c r="DX654" s="43"/>
      <c r="DY654" s="43"/>
      <c r="DZ654" s="43"/>
      <c r="EA654" s="43"/>
      <c r="EB654" s="43"/>
      <c r="EC654" s="43"/>
      <c r="ED654" s="43"/>
      <c r="EE654" s="43"/>
      <c r="EF654" s="43"/>
      <c r="EG654" s="43"/>
      <c r="EH654" s="43"/>
      <c r="EI654" s="43"/>
      <c r="EJ654" s="43"/>
      <c r="EK654" s="43"/>
      <c r="EL654" s="43"/>
      <c r="EM654" s="43"/>
      <c r="EN654" s="43"/>
      <c r="EO654" s="43"/>
      <c r="EP654" s="43"/>
      <c r="EQ654" s="43"/>
      <c r="ER654" s="43"/>
      <c r="ES654" s="43"/>
      <c r="ET654" s="43"/>
    </row>
    <row r="655" spans="1:150" x14ac:dyDescent="0.3">
      <c r="A655" s="60" t="s">
        <v>4067</v>
      </c>
      <c r="DU655" s="85">
        <f>+DU656*DU657/1000</f>
        <v>0</v>
      </c>
      <c r="DV655" s="85">
        <f>+DV656*DV657/1000</f>
        <v>0</v>
      </c>
      <c r="DW655" s="85">
        <f>+DW656*DW657/1000</f>
        <v>0</v>
      </c>
      <c r="DX655" s="85">
        <f>+DX656*DX657/1000</f>
        <v>0</v>
      </c>
      <c r="DY655" s="85">
        <f>+SUM(DU655:DX655)</f>
        <v>0</v>
      </c>
      <c r="DZ655" s="85">
        <f>+DZ656*DZ657/1000</f>
        <v>0</v>
      </c>
      <c r="EA655" s="85">
        <f>+EA656*EA657/1000</f>
        <v>6.6</v>
      </c>
      <c r="EB655" s="85">
        <f>+EB656*EB657/1000</f>
        <v>7.4249999999999998</v>
      </c>
      <c r="EC655" s="85">
        <f>+EC656*EC657/1000</f>
        <v>49.5</v>
      </c>
      <c r="ED655" s="85">
        <f>+SUM(DZ655:EC655)</f>
        <v>63.524999999999999</v>
      </c>
      <c r="EE655" s="85">
        <f>+EE656*EE657/1000</f>
        <v>57.2</v>
      </c>
      <c r="EF655" s="85">
        <f>+EF656*EF657/1000</f>
        <v>86.35</v>
      </c>
      <c r="EG655" s="85">
        <f>+EG656*EG657/1000</f>
        <v>90.75</v>
      </c>
      <c r="EH655" s="85">
        <f>+EH656*EH657/1000</f>
        <v>95.7</v>
      </c>
      <c r="EI655" s="85">
        <f>+SUM(EE655:EH655)</f>
        <v>330</v>
      </c>
      <c r="EJ655" s="85">
        <f t="shared" ref="EJ655:EP655" si="429">+EJ656*EJ657/1000</f>
        <v>965.56372549019602</v>
      </c>
      <c r="EK655" s="85">
        <f t="shared" si="429"/>
        <v>1718.9090909090908</v>
      </c>
      <c r="EL655" s="85">
        <f t="shared" si="429"/>
        <v>1827.5000000000005</v>
      </c>
      <c r="EM655" s="85">
        <f t="shared" si="429"/>
        <v>1827.4999999999995</v>
      </c>
      <c r="EN655" s="85">
        <f t="shared" si="429"/>
        <v>967.5</v>
      </c>
      <c r="EO655" s="85">
        <f t="shared" si="429"/>
        <v>100.22999999999956</v>
      </c>
      <c r="EP655" s="85">
        <f t="shared" si="429"/>
        <v>101.23229999999967</v>
      </c>
      <c r="EQ655" s="471">
        <f>+Analysis!L4506</f>
        <v>0</v>
      </c>
      <c r="ER655" s="471">
        <f>+Analysis!M4506</f>
        <v>0</v>
      </c>
      <c r="ES655" s="471">
        <f>+Analysis!N4506</f>
        <v>0</v>
      </c>
      <c r="ET655" s="189">
        <f>+(EM655/ED655)^0.2-1</f>
        <v>0.95786409675537287</v>
      </c>
    </row>
    <row r="656" spans="1:150" x14ac:dyDescent="0.3">
      <c r="A656" s="70" t="s">
        <v>488</v>
      </c>
      <c r="DU656" s="77">
        <f>DU196</f>
        <v>0</v>
      </c>
      <c r="DV656" s="77">
        <f>DV196</f>
        <v>0</v>
      </c>
      <c r="DW656" s="77">
        <f>DW196</f>
        <v>0</v>
      </c>
      <c r="DX656" s="77">
        <f>DX196</f>
        <v>0</v>
      </c>
      <c r="DY656" s="86">
        <f>+SUM(DU656:DX656)</f>
        <v>0</v>
      </c>
      <c r="DZ656" s="77">
        <f>DZ196</f>
        <v>0</v>
      </c>
      <c r="EA656" s="77">
        <f>EA196</f>
        <v>8</v>
      </c>
      <c r="EB656" s="77">
        <f>EB196</f>
        <v>9</v>
      </c>
      <c r="EC656" s="77">
        <f>EC196</f>
        <v>60</v>
      </c>
      <c r="ED656" s="86">
        <f>+SUM(DZ656:EC656)</f>
        <v>77</v>
      </c>
      <c r="EE656" s="77">
        <f>EE196</f>
        <v>104</v>
      </c>
      <c r="EF656" s="77">
        <f>EF196</f>
        <v>157</v>
      </c>
      <c r="EG656" s="77">
        <f>EG196</f>
        <v>165</v>
      </c>
      <c r="EH656" s="77">
        <f>EH196</f>
        <v>174</v>
      </c>
      <c r="EI656" s="86">
        <f>+SUM(EE656:EH656)</f>
        <v>600</v>
      </c>
      <c r="EJ656" s="77">
        <f t="shared" ref="EJ656:ES656" si="430">EJ196</f>
        <v>1000</v>
      </c>
      <c r="EK656" s="77">
        <f t="shared" si="430"/>
        <v>1600</v>
      </c>
      <c r="EL656" s="77">
        <f t="shared" si="430"/>
        <v>1700</v>
      </c>
      <c r="EM656" s="77">
        <f t="shared" si="430"/>
        <v>1700</v>
      </c>
      <c r="EN656" s="77">
        <f t="shared" si="430"/>
        <v>900</v>
      </c>
      <c r="EO656" s="77">
        <f t="shared" si="430"/>
        <v>100.22999999999956</v>
      </c>
      <c r="EP656" s="77">
        <f t="shared" si="430"/>
        <v>101.23229999999967</v>
      </c>
      <c r="EQ656" s="77">
        <f t="shared" si="430"/>
        <v>102.24462299999868</v>
      </c>
      <c r="ER656" s="77">
        <f t="shared" si="430"/>
        <v>103.26706923000165</v>
      </c>
      <c r="ES656" s="77">
        <f t="shared" si="430"/>
        <v>104.29973992229861</v>
      </c>
    </row>
    <row r="657" spans="1:150" x14ac:dyDescent="0.3">
      <c r="A657" s="70" t="s">
        <v>489</v>
      </c>
      <c r="DU657" s="138">
        <v>635</v>
      </c>
      <c r="DV657" s="138">
        <f>+DU657</f>
        <v>635</v>
      </c>
      <c r="DW657" s="138">
        <f>+DV657</f>
        <v>635</v>
      </c>
      <c r="DX657" s="138">
        <f>+DW657</f>
        <v>635</v>
      </c>
      <c r="DY657" s="139">
        <f>+IFERROR(DY655/DY656*1000,DX657)</f>
        <v>635</v>
      </c>
      <c r="DZ657" s="138">
        <v>825</v>
      </c>
      <c r="EA657" s="138">
        <f>+DZ657</f>
        <v>825</v>
      </c>
      <c r="EB657" s="138">
        <f>+EA657</f>
        <v>825</v>
      </c>
      <c r="EC657" s="138">
        <f>+EB657</f>
        <v>825</v>
      </c>
      <c r="ED657" s="139">
        <f>+ED655/ED656*1000</f>
        <v>825</v>
      </c>
      <c r="EE657" s="138">
        <f>Drivers!EE543</f>
        <v>550</v>
      </c>
      <c r="EF657" s="138">
        <f>Drivers!EF543</f>
        <v>550</v>
      </c>
      <c r="EG657" s="138">
        <f>Drivers!EG543</f>
        <v>550</v>
      </c>
      <c r="EH657" s="138">
        <f>Drivers!EH543</f>
        <v>550</v>
      </c>
      <c r="EI657" s="139">
        <f>+EI655/EI656*1000</f>
        <v>550</v>
      </c>
      <c r="EJ657" s="138">
        <f>Drivers!EN543</f>
        <v>965.56372549019602</v>
      </c>
      <c r="EK657" s="138">
        <f>Drivers!ES543</f>
        <v>1074.3181818181818</v>
      </c>
      <c r="EL657" s="138">
        <f>Drivers!EX543</f>
        <v>1075.0000000000002</v>
      </c>
      <c r="EM657" s="138">
        <f>Drivers!FC543</f>
        <v>1074.9999999999998</v>
      </c>
      <c r="EN657" s="138">
        <f>Drivers!FD543</f>
        <v>1075</v>
      </c>
      <c r="EO657" s="138">
        <f>Drivers!FE543</f>
        <v>1000</v>
      </c>
      <c r="EP657" s="138">
        <f>Drivers!FF543</f>
        <v>1000</v>
      </c>
      <c r="EQ657" s="542">
        <f>+EQ655/EQ656*1000</f>
        <v>0</v>
      </c>
      <c r="ER657" s="542">
        <f>+ER655/ER656*1000</f>
        <v>0</v>
      </c>
      <c r="ES657" s="542">
        <f>+ES655/ES656*1000</f>
        <v>0</v>
      </c>
    </row>
    <row r="658" spans="1:150" x14ac:dyDescent="0.3">
      <c r="A658" s="70" t="s">
        <v>490</v>
      </c>
      <c r="DU658" s="138"/>
      <c r="DV658" s="138"/>
      <c r="DW658" s="138"/>
      <c r="DX658" s="138"/>
      <c r="DY658" s="139"/>
      <c r="DZ658" s="77">
        <f>+SUM($DY656:DZ656)</f>
        <v>0</v>
      </c>
      <c r="EA658" s="77">
        <f>+DZ658+EA656</f>
        <v>8</v>
      </c>
      <c r="EB658" s="77">
        <f>+EA658+EB656</f>
        <v>17</v>
      </c>
      <c r="EC658" s="77">
        <f t="shared" ref="EC658:ES658" si="431">+EB658+EC656</f>
        <v>77</v>
      </c>
      <c r="ED658" s="86">
        <f>+EC658</f>
        <v>77</v>
      </c>
      <c r="EE658" s="77">
        <f t="shared" si="431"/>
        <v>181</v>
      </c>
      <c r="EF658" s="77">
        <f t="shared" si="431"/>
        <v>338</v>
      </c>
      <c r="EG658" s="77">
        <f t="shared" si="431"/>
        <v>503</v>
      </c>
      <c r="EH658" s="77">
        <f t="shared" si="431"/>
        <v>677</v>
      </c>
      <c r="EI658" s="86">
        <f>+EH658</f>
        <v>677</v>
      </c>
      <c r="EJ658" s="77">
        <f t="shared" si="431"/>
        <v>1677</v>
      </c>
      <c r="EK658" s="77">
        <f t="shared" si="431"/>
        <v>3277</v>
      </c>
      <c r="EL658" s="77">
        <f t="shared" si="431"/>
        <v>4977</v>
      </c>
      <c r="EM658" s="77">
        <f t="shared" si="431"/>
        <v>6677</v>
      </c>
      <c r="EN658" s="77">
        <f t="shared" si="431"/>
        <v>7577</v>
      </c>
      <c r="EO658" s="77">
        <f t="shared" si="431"/>
        <v>7677.23</v>
      </c>
      <c r="EP658" s="77">
        <f t="shared" si="431"/>
        <v>7778.4622999999992</v>
      </c>
      <c r="EQ658" s="77">
        <f t="shared" si="431"/>
        <v>7880.7069229999979</v>
      </c>
      <c r="ER658" s="77">
        <f t="shared" si="431"/>
        <v>7983.9739922299996</v>
      </c>
      <c r="ES658" s="77">
        <f t="shared" si="431"/>
        <v>8088.2737321522982</v>
      </c>
    </row>
    <row r="659" spans="1:150" x14ac:dyDescent="0.3">
      <c r="A659" s="55"/>
    </row>
    <row r="660" spans="1:150" x14ac:dyDescent="0.3">
      <c r="A660" s="60" t="s">
        <v>498</v>
      </c>
      <c r="DU660" s="85">
        <f>+DU661*DU662/1000</f>
        <v>0</v>
      </c>
      <c r="DV660" s="85">
        <f>+DV661*DV662/1000</f>
        <v>0</v>
      </c>
      <c r="DW660" s="85">
        <f>+DW661*DW662/1000</f>
        <v>0</v>
      </c>
      <c r="DX660" s="85">
        <f>+DX661*DX662/1000</f>
        <v>0</v>
      </c>
      <c r="DY660" s="85">
        <f>+SUM(DU660:DX660)</f>
        <v>0</v>
      </c>
      <c r="DZ660" s="85">
        <f>+DZ661*DZ662/1000</f>
        <v>0</v>
      </c>
      <c r="EA660" s="85">
        <f>+EA661*EA662/1000</f>
        <v>0.10561897674418598</v>
      </c>
      <c r="EB660" s="85">
        <f>+EB661*EB662/1000</f>
        <v>0.17305490608228979</v>
      </c>
      <c r="EC660" s="85">
        <f>+EC661*EC662/1000</f>
        <v>1.462672635478637</v>
      </c>
      <c r="ED660" s="85">
        <f>+SUM(DZ660:EC660)</f>
        <v>1.7413465183051127</v>
      </c>
      <c r="EE660" s="85">
        <f>+EE661*EE662/1000</f>
        <v>1.4752943236842102</v>
      </c>
      <c r="EF660" s="85">
        <f>+EF661*EF662/1000</f>
        <v>3.6571565907780981</v>
      </c>
      <c r="EG660" s="85">
        <f>+EG661*EG662/1000</f>
        <v>6.0309698379003898</v>
      </c>
      <c r="EH660" s="85">
        <f>+EH661*EH662/1000</f>
        <v>8.6237916175890685</v>
      </c>
      <c r="EI660" s="132">
        <f>SUM(EE660:EH660)</f>
        <v>19.787212369951767</v>
      </c>
      <c r="EJ660" s="85">
        <f t="shared" ref="EJ660:ES660" si="432">+EJ661*EJ662/1000</f>
        <v>65.011415106131892</v>
      </c>
      <c r="EK660" s="85">
        <f t="shared" si="432"/>
        <v>136.86158921069898</v>
      </c>
      <c r="EL660" s="85">
        <f t="shared" si="432"/>
        <v>222.06208114020063</v>
      </c>
      <c r="EM660" s="85">
        <f t="shared" si="432"/>
        <v>307.15427280300617</v>
      </c>
      <c r="EN660" s="85">
        <f t="shared" si="432"/>
        <v>330.77789581323441</v>
      </c>
      <c r="EO660" s="85">
        <f t="shared" si="432"/>
        <v>300.99482313136434</v>
      </c>
      <c r="EP660" s="85">
        <f t="shared" si="432"/>
        <v>257.28958332473724</v>
      </c>
      <c r="EQ660" s="85">
        <f t="shared" si="432"/>
        <v>198.41021171225731</v>
      </c>
      <c r="ER660" s="85">
        <f t="shared" si="432"/>
        <v>137.34199518895227</v>
      </c>
      <c r="ES660" s="85">
        <f t="shared" si="432"/>
        <v>88.060012195731886</v>
      </c>
      <c r="ET660" s="189">
        <f>+(EM660/ED660)^0.2-1</f>
        <v>1.8138067805859115</v>
      </c>
    </row>
    <row r="661" spans="1:150" x14ac:dyDescent="0.3">
      <c r="A661" s="70" t="s">
        <v>495</v>
      </c>
      <c r="DU661" s="77">
        <f>DU206*SUM(DU196:$DY196)/DU195</f>
        <v>0</v>
      </c>
      <c r="DV661" s="77">
        <f>DV206*SUM(DV196:$DY196)/DV195</f>
        <v>0</v>
      </c>
      <c r="DW661" s="77">
        <f>DW206*SUM(DW196:$DY196)/DW195</f>
        <v>0</v>
      </c>
      <c r="DX661" s="77">
        <f>DX206*SUM(DX196:$DY196)/DX195</f>
        <v>0</v>
      </c>
      <c r="DY661" s="86">
        <f>+SUM(DU661:DX661)</f>
        <v>0</v>
      </c>
      <c r="DZ661" s="77">
        <f>DZ206*SUM($DY196:DZ196)/DZ195</f>
        <v>0</v>
      </c>
      <c r="EA661" s="77">
        <f>EA206*SUM($DY196:EA196)/EA195</f>
        <v>0.23470883720930219</v>
      </c>
      <c r="EB661" s="77">
        <f>EB206*SUM($DY196:EB196)/EB195</f>
        <v>0.38456645796064398</v>
      </c>
      <c r="EC661" s="77">
        <f>EC206*SUM($DY196:EC196)/EC195</f>
        <v>3.2503836343969712</v>
      </c>
      <c r="ED661" s="86">
        <f>+SUM(DZ661:EC661)</f>
        <v>3.8696589295669175</v>
      </c>
      <c r="EE661" s="77">
        <f>EE206*SUM($ED196:EE196)/EE195</f>
        <v>2.6823533157894732</v>
      </c>
      <c r="EF661" s="77">
        <f>EF206*SUM($ED196:EF196)/EF195</f>
        <v>6.6493756195965421</v>
      </c>
      <c r="EG661" s="77">
        <f>EG206*SUM($ED196:EG196)/EG195</f>
        <v>10.965399705273436</v>
      </c>
      <c r="EH661" s="77">
        <f>EH206*SUM($ED196:EH196)/EH195</f>
        <v>15.679621122889213</v>
      </c>
      <c r="EI661" s="86">
        <f>+SUM(EE661:EH661)</f>
        <v>35.976749763548668</v>
      </c>
      <c r="EJ661" s="77">
        <f>EJ206*SUM(ED196,EI196,EJ196)/EJ195</f>
        <v>118.20257292023982</v>
      </c>
      <c r="EK661" s="77">
        <f>+EK206*(SUM($ED$196,$EI196:EK196)/EK195)</f>
        <v>248.83925311036182</v>
      </c>
      <c r="EL661" s="77">
        <f>+EL206*(SUM($ED$196,$EI196:EL196)/EL195)</f>
        <v>403.74923843672843</v>
      </c>
      <c r="EM661" s="77">
        <f>+EM206*(SUM($ED$196,$EI196:EM196)/EM195)</f>
        <v>558.46231418728394</v>
      </c>
      <c r="EN661" s="77">
        <f>+EN206*(SUM($ED$196,$EI196:EN196)/EN195)</f>
        <v>601.4143560240625</v>
      </c>
      <c r="EO661" s="77">
        <f>+EO206*(SUM($ED$196,$EI196:EO196)/EO195)</f>
        <v>547.26331478429881</v>
      </c>
      <c r="EP661" s="77">
        <f>+EP206*(SUM($ED$196,$EI196:EP196)/EP195)</f>
        <v>467.79924240861317</v>
      </c>
      <c r="EQ661" s="77">
        <f>+EQ206*(SUM($ED$196,$EI196:EQ196)/EQ195)</f>
        <v>360.74583947683146</v>
      </c>
      <c r="ER661" s="77">
        <f>+ER206*(SUM($ED$196,$EI196:ER196)/ER195)</f>
        <v>249.71271852536776</v>
      </c>
      <c r="ES661" s="77">
        <f>+ES206*(SUM($ED$196,$EI196:ES196)/ES195)</f>
        <v>160.10911308314888</v>
      </c>
    </row>
    <row r="662" spans="1:150" x14ac:dyDescent="0.3">
      <c r="A662" s="70" t="s">
        <v>496</v>
      </c>
      <c r="DU662" s="138">
        <v>450</v>
      </c>
      <c r="DV662" s="138">
        <f>+DU662</f>
        <v>450</v>
      </c>
      <c r="DW662" s="138">
        <f>+DV662</f>
        <v>450</v>
      </c>
      <c r="DX662" s="138">
        <f>+DW662</f>
        <v>450</v>
      </c>
      <c r="DY662" s="139" t="e">
        <f>+DY660/DY661*1000</f>
        <v>#DIV/0!</v>
      </c>
      <c r="DZ662" s="138">
        <f>+DX662</f>
        <v>450</v>
      </c>
      <c r="EA662" s="138">
        <f>+DZ662</f>
        <v>450</v>
      </c>
      <c r="EB662" s="138">
        <f>+EA662</f>
        <v>450</v>
      </c>
      <c r="EC662" s="138">
        <f>+EB662</f>
        <v>450</v>
      </c>
      <c r="ED662" s="139">
        <f>+ED660/ED661*1000</f>
        <v>449.99999999999994</v>
      </c>
      <c r="EE662" s="138">
        <v>550</v>
      </c>
      <c r="EF662" s="138">
        <f>+EE662</f>
        <v>550</v>
      </c>
      <c r="EG662" s="138">
        <f>+EF662</f>
        <v>550</v>
      </c>
      <c r="EH662" s="138">
        <f>+EG662</f>
        <v>550</v>
      </c>
      <c r="EI662" s="139">
        <f>+EI660/EI661*1000</f>
        <v>550</v>
      </c>
      <c r="EJ662" s="138">
        <v>550</v>
      </c>
      <c r="EK662" s="138">
        <f t="shared" ref="EK662:ES662" si="433">+EJ662</f>
        <v>550</v>
      </c>
      <c r="EL662" s="138">
        <f t="shared" si="433"/>
        <v>550</v>
      </c>
      <c r="EM662" s="138">
        <f t="shared" si="433"/>
        <v>550</v>
      </c>
      <c r="EN662" s="138">
        <f t="shared" si="433"/>
        <v>550</v>
      </c>
      <c r="EO662" s="138">
        <f t="shared" si="433"/>
        <v>550</v>
      </c>
      <c r="EP662" s="138">
        <f t="shared" si="433"/>
        <v>550</v>
      </c>
      <c r="EQ662" s="138">
        <f t="shared" si="433"/>
        <v>550</v>
      </c>
      <c r="ER662" s="138">
        <f t="shared" si="433"/>
        <v>550</v>
      </c>
      <c r="ES662" s="138">
        <f t="shared" si="433"/>
        <v>550</v>
      </c>
    </row>
    <row r="663" spans="1:150" x14ac:dyDescent="0.3">
      <c r="A663" s="55"/>
      <c r="EI663" s="76"/>
      <c r="EJ663" s="76"/>
      <c r="EK663" s="76"/>
      <c r="EL663" s="76"/>
      <c r="EM663" s="76"/>
      <c r="EN663" s="76"/>
      <c r="EO663" s="76"/>
      <c r="EP663" s="76"/>
      <c r="EQ663" s="76"/>
      <c r="ER663" s="76"/>
      <c r="ES663" s="76"/>
    </row>
    <row r="664" spans="1:150" x14ac:dyDescent="0.3">
      <c r="A664" s="55" t="s">
        <v>499</v>
      </c>
      <c r="DU664" s="76">
        <f>DU666*(AVERAGE(DT195:DU195)+AVERAGE(DT200:DU200))/1000</f>
        <v>216.71052631578948</v>
      </c>
      <c r="DV664" s="76">
        <f>DV666*(AVERAGE(DU195:DV195)+AVERAGE(DU200:DV200))/1000</f>
        <v>195.39473684210526</v>
      </c>
      <c r="DW664" s="76">
        <f>DW666*(AVERAGE(DV195:DW195)+AVERAGE(DV200:DW200))/1000</f>
        <v>225.94736842105263</v>
      </c>
      <c r="DX664" s="76">
        <f>DX666*(AVERAGE(DW195:DX195)+AVERAGE(DW200:DX200))/1000</f>
        <v>233.05263157894737</v>
      </c>
      <c r="DY664" s="85">
        <f>+SUM(DU664:DX664)</f>
        <v>871.1052631578948</v>
      </c>
      <c r="DZ664" s="76">
        <f>DZ666*(AVERAGE(DY195:DZ195)+AVERAGE(DY200:DZ200))/1000</f>
        <v>172.31403552631573</v>
      </c>
      <c r="EA664" s="76">
        <f>EA666*(AVERAGE(DZ195:EA195)+AVERAGE(DZ200:EA200))/1000</f>
        <v>134.90635263157895</v>
      </c>
      <c r="EB664" s="76">
        <f>EB666*(AVERAGE(EA195:EB195)+AVERAGE(EA200:EB200))/1000</f>
        <v>194.79512368421052</v>
      </c>
      <c r="EC664" s="76">
        <f>EC666*(AVERAGE(EB195:EC195)+AVERAGE(EB200:EC200))/1000</f>
        <v>196.50831631578947</v>
      </c>
      <c r="ED664" s="85">
        <f>+SUM(DZ664:EC664)</f>
        <v>698.52382815789474</v>
      </c>
      <c r="EE664" s="76">
        <f>EE666*(AVERAGE(ED195:EE195)+AVERAGE(ED200:EE200))/1000</f>
        <v>197.10502072499995</v>
      </c>
      <c r="EF664" s="76">
        <f>EF666*(AVERAGE(EE195:EF195)+AVERAGE(EE200:EF200))/1000</f>
        <v>176.1867692596721</v>
      </c>
      <c r="EG664" s="76">
        <f>EG666*(AVERAGE(EF195:EG195)+AVERAGE(EF200:EG200))/1000</f>
        <v>142.61304605163394</v>
      </c>
      <c r="EH664" s="76">
        <f>EH666*(AVERAGE(EG195:EH195)+AVERAGE(EG200:EH200))/1000</f>
        <v>246.60485945882357</v>
      </c>
      <c r="EI664" s="85">
        <f>+SUM(EE664:EH664)</f>
        <v>762.50969549512956</v>
      </c>
      <c r="EJ664" s="76">
        <f t="shared" ref="EJ664:ES664" si="434">EJ666*(AVERAGE(EI195:EJ195)+AVERAGE(EI200:EJ200))/1000</f>
        <v>661.10333109211365</v>
      </c>
      <c r="EK664" s="76">
        <f t="shared" si="434"/>
        <v>1129.5086572764938</v>
      </c>
      <c r="EL664" s="76">
        <f t="shared" si="434"/>
        <v>908.6152891551975</v>
      </c>
      <c r="EM664" s="76">
        <f t="shared" si="434"/>
        <v>881.67380450476253</v>
      </c>
      <c r="EN664" s="76">
        <f t="shared" si="434"/>
        <v>891.84092612777442</v>
      </c>
      <c r="EO664" s="76">
        <f t="shared" si="434"/>
        <v>902.09955184539342</v>
      </c>
      <c r="EP664" s="76">
        <f t="shared" si="434"/>
        <v>684.33787889585324</v>
      </c>
      <c r="EQ664" s="76">
        <f t="shared" si="434"/>
        <v>657.56241470062935</v>
      </c>
      <c r="ER664" s="76">
        <f t="shared" si="434"/>
        <v>661.74546323135439</v>
      </c>
      <c r="ES664" s="76">
        <f t="shared" si="434"/>
        <v>665.93714377311574</v>
      </c>
      <c r="ET664" s="189">
        <f>+(EM664/ED664)^0.2-1</f>
        <v>4.767201276842159E-2</v>
      </c>
    </row>
    <row r="665" spans="1:150" x14ac:dyDescent="0.3">
      <c r="A665" s="70" t="s">
        <v>500</v>
      </c>
      <c r="DU665" s="136">
        <f>DU664/(AVERAGE(DT208:DU208)+AVERAGE(DT218:DU218))*1000/3</f>
        <v>46.157726584832695</v>
      </c>
      <c r="DV665" s="136">
        <f>DV664/(AVERAGE(DU208:DV208)+AVERAGE(DU218:DV218))*1000/3</f>
        <v>42.183665121352604</v>
      </c>
      <c r="DW665" s="136">
        <f>DW664/(AVERAGE(DV208:DW208)+AVERAGE(DV218:DW218))*1000/3</f>
        <v>50.244022330676586</v>
      </c>
      <c r="DX665" s="136">
        <f>DX664/(AVERAGE(DW208:DX208)+AVERAGE(DW218:DX218))*1000/3</f>
        <v>53.263085722533965</v>
      </c>
      <c r="DY665" s="136">
        <f>DY664/(AVERAGE(DT208:DX208)+AVERAGE(DT218:DX218))*1000/12</f>
        <v>48.354441474210091</v>
      </c>
      <c r="DZ665" s="136">
        <f>DZ664/(AVERAGE(DY208:DZ208)+AVERAGE(DY218:DZ218))*1000/3</f>
        <v>40.144913493057281</v>
      </c>
      <c r="EA665" s="136">
        <f>EA664/(AVERAGE(DZ208:EA208)+AVERAGE(DZ218:EA218))*1000/3</f>
        <v>31.875326636559947</v>
      </c>
      <c r="EB665" s="136">
        <f>EB664/(AVERAGE(EA208:EB208)+AVERAGE(EA218:EB218))*1000/3</f>
        <v>46.637128365256025</v>
      </c>
      <c r="EC665" s="136">
        <f>EC664/(AVERAGE(EB208:EC208)+AVERAGE(EB218:EC218))*1000/3</f>
        <v>47.87091292547165</v>
      </c>
      <c r="ED665" s="136">
        <f>ED664/(AVERAGE(DY208:EC208)+AVERAGE(DY218:EC218))*1000/12</f>
        <v>41.577708052941283</v>
      </c>
      <c r="EE665" s="136">
        <f>EE664/(AVERAGE(ED208:EE208)+AVERAGE(ED218:EE218))*1000/3</f>
        <v>48.870628960874718</v>
      </c>
      <c r="EF665" s="136">
        <f>EF664/(AVERAGE(EE208:EF208)+AVERAGE(EE218:EF218))*1000/3</f>
        <v>44.39285112063758</v>
      </c>
      <c r="EG665" s="136">
        <f>EG664/(AVERAGE(EF208:EG208)+AVERAGE(EF218:EG218))*1000/3</f>
        <v>36.748880217484341</v>
      </c>
      <c r="EH665" s="136">
        <f>EH664/(AVERAGE(EG208:EH208)+AVERAGE(EG218:EH218))*1000/3</f>
        <v>65.152736340302255</v>
      </c>
      <c r="EI665" s="136">
        <f>EI664/(AVERAGE(ED208:EH208)+AVERAGE(ED218:EH218))*1000/12</f>
        <v>48.704059500005002</v>
      </c>
      <c r="EJ665" s="136">
        <f t="shared" ref="EJ665:ES665" si="435">EJ664/(AVERAGE(EI208:EJ208)+AVERAGE(EI218:EJ218))*1000/12</f>
        <v>44.773057372237737</v>
      </c>
      <c r="EK665" s="136">
        <f t="shared" si="435"/>
        <v>74.734482722569695</v>
      </c>
      <c r="EL665" s="136">
        <f t="shared" si="435"/>
        <v>53.172883990891108</v>
      </c>
      <c r="EM665" s="136">
        <f t="shared" si="435"/>
        <v>42.401451170346917</v>
      </c>
      <c r="EN665" s="136">
        <f t="shared" si="435"/>
        <v>34.911093804869573</v>
      </c>
      <c r="EO665" s="136">
        <f t="shared" si="435"/>
        <v>29.941632242705733</v>
      </c>
      <c r="EP665" s="136">
        <f t="shared" si="435"/>
        <v>20.208559187665028</v>
      </c>
      <c r="EQ665" s="136">
        <f t="shared" si="435"/>
        <v>18.033991080635122</v>
      </c>
      <c r="ER665" s="136">
        <f t="shared" si="435"/>
        <v>17.525757397609102</v>
      </c>
      <c r="ES665" s="136">
        <f t="shared" si="435"/>
        <v>17.573357982565316</v>
      </c>
    </row>
    <row r="666" spans="1:150" x14ac:dyDescent="0.3">
      <c r="A666" s="70" t="s">
        <v>489</v>
      </c>
      <c r="DU666" s="136">
        <f>Drivers!DU567</f>
        <v>20.065789473684209</v>
      </c>
      <c r="DV666" s="136">
        <f>Drivers!DV567</f>
        <v>18.092105263157894</v>
      </c>
      <c r="DW666" s="136">
        <f>Drivers!DW567</f>
        <v>20.921052631578949</v>
      </c>
      <c r="DX666" s="136">
        <f>Drivers!DX567</f>
        <v>21.578947368421051</v>
      </c>
      <c r="DY666" s="137">
        <f>DY664/(AVERAGE(DT195:DX195)+AVERAGE(DT200:DX200))*1000</f>
        <v>80.65789473684211</v>
      </c>
      <c r="DZ666" s="136">
        <f>Drivers!DZ567</f>
        <v>15.95500328947368</v>
      </c>
      <c r="EA666" s="136">
        <f>Drivers!EA567</f>
        <v>12.491328947368421</v>
      </c>
      <c r="EB666" s="136">
        <f>Drivers!EB567</f>
        <v>18.03658552631579</v>
      </c>
      <c r="EC666" s="136">
        <f>Drivers!EC567</f>
        <v>18.19521447368421</v>
      </c>
      <c r="ED666" s="137">
        <f>ED664/(AVERAGE(DY195:EC195)+AVERAGE(DY200:EC200))*1000</f>
        <v>64.678132236842103</v>
      </c>
      <c r="EE666" s="136">
        <f>Drivers!EE567</f>
        <v>18.226837499999995</v>
      </c>
      <c r="EF666" s="136">
        <f>Drivers!EF567</f>
        <v>16.250393770491801</v>
      </c>
      <c r="EG666" s="136">
        <f>Drivers!EG567</f>
        <v>13.107214379084965</v>
      </c>
      <c r="EH666" s="136">
        <f>Drivers!EH567</f>
        <v>22.592172549019612</v>
      </c>
      <c r="EI666" s="137">
        <f>EI664/(AVERAGE(ED195:EH195)+AVERAGE(ED200:EH200))*1000</f>
        <v>70.193288731946012</v>
      </c>
      <c r="EJ666" s="136">
        <f>Drivers!EN567</f>
        <v>60.157359347471449</v>
      </c>
      <c r="EK666" s="136">
        <f>Drivers!ES567</f>
        <v>101.59943421482521</v>
      </c>
      <c r="EL666" s="136">
        <f>Drivers!EX567</f>
        <v>80.79360681613106</v>
      </c>
      <c r="EM666" s="136">
        <f>Drivers!FC567</f>
        <v>77.501992446846302</v>
      </c>
      <c r="EN666" s="136">
        <f>Drivers!FD567</f>
        <v>77.501992446846302</v>
      </c>
      <c r="EO666" s="136">
        <f>Drivers!FE567</f>
        <v>77.501992446846302</v>
      </c>
      <c r="EP666" s="136">
        <f>Drivers!FF567</f>
        <v>58.126494335134723</v>
      </c>
      <c r="EQ666" s="136">
        <f>Drivers!FG567</f>
        <v>55.220169618377987</v>
      </c>
      <c r="ER666" s="136">
        <f>Drivers!FH567</f>
        <v>54.944068770286094</v>
      </c>
      <c r="ES666" s="136">
        <f>Drivers!FI567</f>
        <v>54.669348426434667</v>
      </c>
    </row>
    <row r="667" spans="1:150" x14ac:dyDescent="0.3">
      <c r="A667" s="70" t="s">
        <v>501</v>
      </c>
      <c r="DU667" s="77">
        <f>DU200</f>
        <v>10791</v>
      </c>
      <c r="DV667" s="77">
        <f>DV200</f>
        <v>10791</v>
      </c>
      <c r="DW667" s="77">
        <f>DW200</f>
        <v>10791</v>
      </c>
      <c r="DX667" s="77">
        <f>DX200</f>
        <v>10791</v>
      </c>
      <c r="DY667" s="86">
        <f>+DX667</f>
        <v>10791</v>
      </c>
      <c r="DZ667" s="77">
        <f>DZ200</f>
        <v>10791</v>
      </c>
      <c r="EA667" s="77">
        <f>EA200</f>
        <v>10783</v>
      </c>
      <c r="EB667" s="77">
        <f>EB200</f>
        <v>10774</v>
      </c>
      <c r="EC667" s="77">
        <f>EC200</f>
        <v>10714</v>
      </c>
      <c r="ED667" s="86">
        <f>+EC667</f>
        <v>10714</v>
      </c>
      <c r="EE667" s="77">
        <f>EE200</f>
        <v>10638</v>
      </c>
      <c r="EF667" s="77">
        <f>EF200</f>
        <v>10509</v>
      </c>
      <c r="EG667" s="77">
        <f>EG200</f>
        <v>10393</v>
      </c>
      <c r="EH667" s="77">
        <f>EH200</f>
        <v>10239.999999999998</v>
      </c>
      <c r="EI667" s="86">
        <f>+EH667</f>
        <v>10239.999999999998</v>
      </c>
      <c r="EJ667" s="77">
        <f t="shared" ref="EJ667:ES667" si="436">EJ200</f>
        <v>9367.1339999999964</v>
      </c>
      <c r="EK667" s="77">
        <f t="shared" si="436"/>
        <v>7895.4122059999954</v>
      </c>
      <c r="EL667" s="77">
        <f t="shared" si="436"/>
        <v>6324.8449158539934</v>
      </c>
      <c r="EM667" s="77">
        <f t="shared" si="436"/>
        <v>4755.442520096678</v>
      </c>
      <c r="EN667" s="77">
        <f t="shared" si="436"/>
        <v>3987.2155027775461</v>
      </c>
      <c r="EO667" s="77">
        <f t="shared" si="436"/>
        <v>4019.9444423025434</v>
      </c>
      <c r="EP667" s="77">
        <f t="shared" si="436"/>
        <v>4052.8677122832651</v>
      </c>
      <c r="EQ667" s="77">
        <f t="shared" si="436"/>
        <v>4085.9860593938138</v>
      </c>
      <c r="ER667" s="77">
        <f t="shared" si="436"/>
        <v>4119.3002270053548</v>
      </c>
      <c r="ES667" s="77">
        <f t="shared" si="436"/>
        <v>4152.810955056173</v>
      </c>
    </row>
    <row r="668" spans="1:150" x14ac:dyDescent="0.3">
      <c r="A668" s="70"/>
    </row>
    <row r="669" spans="1:150" x14ac:dyDescent="0.3">
      <c r="A669" s="55" t="s">
        <v>504</v>
      </c>
      <c r="DU669" s="76">
        <f>DU655+DU660+DU664</f>
        <v>216.71052631578948</v>
      </c>
      <c r="DV669" s="76">
        <f>DV655+DV660+DV664</f>
        <v>195.39473684210526</v>
      </c>
      <c r="DW669" s="76">
        <f>DW655+DW660+DW664</f>
        <v>225.94736842105263</v>
      </c>
      <c r="DX669" s="76">
        <f>DX655+DX660+DX664</f>
        <v>233.05263157894737</v>
      </c>
      <c r="DY669" s="85">
        <f>SUM(DU669:DX669)</f>
        <v>871.1052631578948</v>
      </c>
      <c r="DZ669" s="76">
        <f>DZ655+DZ660+DZ664</f>
        <v>172.31403552631573</v>
      </c>
      <c r="EA669" s="76">
        <f>EA655+EA660+EA664</f>
        <v>141.61197160832313</v>
      </c>
      <c r="EB669" s="76">
        <f>EB655+EB660+EB664</f>
        <v>202.39317859029282</v>
      </c>
      <c r="EC669" s="76">
        <f>EC655+EC660+EC664</f>
        <v>247.47098895126811</v>
      </c>
      <c r="ED669" s="85">
        <f>SUM(DZ669:EC669)</f>
        <v>763.79017467619974</v>
      </c>
      <c r="EE669" s="76">
        <f>EE655+EE660+EE664</f>
        <v>255.78031504868414</v>
      </c>
      <c r="EF669" s="76">
        <f>EF655+EF660+EF664</f>
        <v>266.19392585045023</v>
      </c>
      <c r="EG669" s="76">
        <f>EG655+EG660+EG664</f>
        <v>239.39401588953433</v>
      </c>
      <c r="EH669" s="76">
        <f>EH655+EH660+EH664</f>
        <v>350.92865107641262</v>
      </c>
      <c r="EI669" s="85">
        <f>SUM(EE669:EH669)</f>
        <v>1112.2969078650813</v>
      </c>
      <c r="EJ669" s="76">
        <f t="shared" ref="EJ669:ES669" si="437">EJ655+EJ660+EJ664</f>
        <v>1691.6784716884415</v>
      </c>
      <c r="EK669" s="76">
        <f t="shared" si="437"/>
        <v>2985.2793373962832</v>
      </c>
      <c r="EL669" s="76">
        <f t="shared" si="437"/>
        <v>2958.1773702953983</v>
      </c>
      <c r="EM669" s="76">
        <f t="shared" si="437"/>
        <v>3016.3280773077686</v>
      </c>
      <c r="EN669" s="76">
        <f t="shared" si="437"/>
        <v>2190.1188219410087</v>
      </c>
      <c r="EO669" s="76">
        <f t="shared" si="437"/>
        <v>1303.3243749767573</v>
      </c>
      <c r="EP669" s="76">
        <f t="shared" si="437"/>
        <v>1042.8597622205903</v>
      </c>
      <c r="EQ669" s="76">
        <f t="shared" si="437"/>
        <v>855.97262641288671</v>
      </c>
      <c r="ER669" s="76">
        <f t="shared" si="437"/>
        <v>799.08745842030669</v>
      </c>
      <c r="ES669" s="76">
        <f t="shared" si="437"/>
        <v>753.99715596884766</v>
      </c>
    </row>
    <row r="670" spans="1:150" hidden="1" x14ac:dyDescent="0.3">
      <c r="A670" s="70" t="s">
        <v>481</v>
      </c>
    </row>
    <row r="671" spans="1:150" hidden="1" x14ac:dyDescent="0.3">
      <c r="A671" s="70" t="s">
        <v>482</v>
      </c>
    </row>
    <row r="672" spans="1:150" hidden="1" x14ac:dyDescent="0.3">
      <c r="A672" s="70" t="s">
        <v>500</v>
      </c>
    </row>
    <row r="673" spans="1:150" hidden="1" x14ac:dyDescent="0.3">
      <c r="A673" s="70" t="s">
        <v>489</v>
      </c>
    </row>
    <row r="674" spans="1:150" x14ac:dyDescent="0.3">
      <c r="A674" s="70" t="s">
        <v>503</v>
      </c>
      <c r="DU674" s="898">
        <f t="shared" ref="DU674:ES674" si="438">DU669/DU314</f>
        <v>0.18115417201743417</v>
      </c>
      <c r="DV674" s="898">
        <f t="shared" si="438"/>
        <v>0.16693495620899904</v>
      </c>
      <c r="DW674" s="898">
        <f t="shared" si="438"/>
        <v>0.20176577072161</v>
      </c>
      <c r="DX674" s="898">
        <f t="shared" si="438"/>
        <v>0.21671469747630381</v>
      </c>
      <c r="DY674" s="898">
        <f t="shared" si="438"/>
        <v>0.19094810678603569</v>
      </c>
      <c r="DZ674" s="898">
        <f t="shared" si="438"/>
        <v>0.16439089751646851</v>
      </c>
      <c r="EA674" s="898">
        <f t="shared" si="438"/>
        <v>0.14066857815794651</v>
      </c>
      <c r="EB674" s="898">
        <f t="shared" si="438"/>
        <v>0.20665338912284409</v>
      </c>
      <c r="EC674" s="898">
        <f t="shared" si="438"/>
        <v>0.25705614733414844</v>
      </c>
      <c r="ED674" s="898">
        <f t="shared" si="438"/>
        <v>0.19109086181541149</v>
      </c>
      <c r="EE674" s="898">
        <f t="shared" si="438"/>
        <v>0.27684857397643076</v>
      </c>
      <c r="EF674" s="898">
        <f t="shared" si="438"/>
        <v>0.29756407690387326</v>
      </c>
      <c r="EG674" s="898">
        <f t="shared" si="438"/>
        <v>0.27422732725068266</v>
      </c>
      <c r="EH674" s="898">
        <f t="shared" si="438"/>
        <v>0.41249074430633398</v>
      </c>
      <c r="EI674" s="898">
        <f t="shared" si="438"/>
        <v>0.31401228548001087</v>
      </c>
      <c r="EJ674" s="898">
        <f t="shared" si="438"/>
        <v>0.50223447065657356</v>
      </c>
      <c r="EK674" s="898">
        <f t="shared" si="438"/>
        <v>0.89734704715386626</v>
      </c>
      <c r="EL674" s="898">
        <f t="shared" si="438"/>
        <v>0.85984277919655716</v>
      </c>
      <c r="EM674" s="898">
        <f t="shared" si="438"/>
        <v>0.80936520652786514</v>
      </c>
      <c r="EN674" s="898">
        <f t="shared" si="438"/>
        <v>0.52982549327095385</v>
      </c>
      <c r="EO674" s="898">
        <f t="shared" si="438"/>
        <v>0.28625671929305091</v>
      </c>
      <c r="EP674" s="898">
        <f t="shared" si="438"/>
        <v>0.21193747559529069</v>
      </c>
      <c r="EQ674" s="898">
        <f t="shared" si="438"/>
        <v>0.1643955266960897</v>
      </c>
      <c r="ER674" s="898">
        <f t="shared" si="438"/>
        <v>0.14824354476275892</v>
      </c>
      <c r="ES674" s="898">
        <f t="shared" si="438"/>
        <v>0.1376036738706776</v>
      </c>
    </row>
    <row r="675" spans="1:150" x14ac:dyDescent="0.3">
      <c r="A675" s="135" t="s">
        <v>505</v>
      </c>
    </row>
    <row r="676" spans="1:150" x14ac:dyDescent="0.3">
      <c r="A676" s="70"/>
    </row>
    <row r="677" spans="1:150" outlineLevel="1" x14ac:dyDescent="0.3">
      <c r="A677" s="132" t="s">
        <v>513</v>
      </c>
      <c r="DU677" s="76">
        <f>DU669</f>
        <v>216.71052631578948</v>
      </c>
      <c r="DV677" s="76">
        <f>DV669</f>
        <v>195.39473684210526</v>
      </c>
      <c r="DW677" s="76">
        <f>DW669</f>
        <v>225.94736842105263</v>
      </c>
      <c r="DX677" s="76">
        <f>DX669</f>
        <v>233.05263157894737</v>
      </c>
      <c r="DY677" s="76">
        <f>SUM(DU677:DX677)</f>
        <v>871.1052631578948</v>
      </c>
      <c r="DZ677" s="76">
        <f>DZ669</f>
        <v>172.31403552631573</v>
      </c>
      <c r="EA677" s="76">
        <f>EA669</f>
        <v>141.61197160832313</v>
      </c>
      <c r="EB677" s="76">
        <f>EB669</f>
        <v>202.39317859029282</v>
      </c>
      <c r="EC677" s="76">
        <f>EC669</f>
        <v>247.47098895126811</v>
      </c>
      <c r="ED677" s="76">
        <f>SUM(DZ677:EC677)</f>
        <v>763.79017467619974</v>
      </c>
      <c r="EE677" s="76">
        <f>EE669</f>
        <v>255.78031504868414</v>
      </c>
      <c r="EF677" s="76">
        <f>EF669</f>
        <v>266.19392585045023</v>
      </c>
      <c r="EG677" s="76">
        <f>EG669</f>
        <v>239.39401588953433</v>
      </c>
      <c r="EH677" s="76">
        <f>EH669</f>
        <v>350.92865107641262</v>
      </c>
      <c r="EI677" s="76">
        <f>SUM(EE677:EH677)</f>
        <v>1112.2969078650813</v>
      </c>
      <c r="EJ677" s="85">
        <f t="shared" ref="EJ677:ES677" si="439">+EI677+EJ678-EJ680</f>
        <v>1270.1464588126648</v>
      </c>
      <c r="EK677" s="85">
        <f t="shared" si="439"/>
        <v>1555.7498813326949</v>
      </c>
      <c r="EL677" s="85">
        <f t="shared" si="439"/>
        <v>1835.7369189522078</v>
      </c>
      <c r="EM677" s="85">
        <f t="shared" si="439"/>
        <v>2118.689989208136</v>
      </c>
      <c r="EN677" s="85">
        <f t="shared" si="439"/>
        <v>2316.1429146800579</v>
      </c>
      <c r="EO677" s="85">
        <f t="shared" si="439"/>
        <v>2422.9071920814881</v>
      </c>
      <c r="EP677" s="85">
        <f t="shared" si="439"/>
        <v>2502.5386168769533</v>
      </c>
      <c r="EQ677" s="85">
        <f t="shared" si="439"/>
        <v>2562.6710300066825</v>
      </c>
      <c r="ER677" s="85">
        <f t="shared" si="439"/>
        <v>2616.5030425321293</v>
      </c>
      <c r="ES677" s="85">
        <f t="shared" si="439"/>
        <v>2665.2782514080077</v>
      </c>
    </row>
    <row r="678" spans="1:150" outlineLevel="1" x14ac:dyDescent="0.3">
      <c r="A678" s="134" t="s">
        <v>228</v>
      </c>
      <c r="DU678" s="133">
        <f>DU669/DU679</f>
        <v>21.671052631578949</v>
      </c>
      <c r="DV678" s="133">
        <f>DV669/DV679</f>
        <v>19.539473684210527</v>
      </c>
      <c r="DW678" s="133">
        <f>DW669/DW679</f>
        <v>22.594736842105263</v>
      </c>
      <c r="DX678" s="133">
        <f>DX669/DX679</f>
        <v>23.305263157894736</v>
      </c>
      <c r="DY678" s="140">
        <f>+SUM(DU678:DX678)</f>
        <v>87.110526315789485</v>
      </c>
      <c r="DZ678" s="133">
        <f>DZ669/DZ679</f>
        <v>17.231403552631573</v>
      </c>
      <c r="EA678" s="133">
        <f>EA669/EA679</f>
        <v>14.161197160832312</v>
      </c>
      <c r="EB678" s="133">
        <f>EB669/EB679</f>
        <v>20.239317859029281</v>
      </c>
      <c r="EC678" s="133">
        <f>EC669/EC679</f>
        <v>24.747098895126811</v>
      </c>
      <c r="ED678" s="140">
        <f>+SUM(DZ678:EC678)</f>
        <v>76.379017467619974</v>
      </c>
      <c r="EE678" s="133">
        <f>EE669/EE679</f>
        <v>25.578031504868413</v>
      </c>
      <c r="EF678" s="133">
        <f>EF669/EF679</f>
        <v>26.619392585045023</v>
      </c>
      <c r="EG678" s="133">
        <f>EG669/EG679</f>
        <v>23.939401588953434</v>
      </c>
      <c r="EH678" s="133">
        <f>EH669/EH679</f>
        <v>35.092865107641259</v>
      </c>
      <c r="EI678" s="140">
        <f>+SUM(EE678:EH678)</f>
        <v>111.22969078650813</v>
      </c>
      <c r="EJ678" s="133">
        <f>EJ669/EJ679</f>
        <v>169.16784716884416</v>
      </c>
      <c r="EK678" s="133">
        <f>EK669/EK679</f>
        <v>298.52793373962834</v>
      </c>
      <c r="EL678" s="133">
        <f>EL669/EL679</f>
        <v>295.81773702953984</v>
      </c>
      <c r="EM678" s="133">
        <f t="shared" ref="EM678:ER678" si="440">EM669/EM679</f>
        <v>301.63280773077685</v>
      </c>
      <c r="EN678" s="133">
        <f t="shared" si="440"/>
        <v>219.01188219410088</v>
      </c>
      <c r="EO678" s="133">
        <f t="shared" si="440"/>
        <v>130.33243749767573</v>
      </c>
      <c r="EP678" s="133">
        <f t="shared" si="440"/>
        <v>104.28597622205902</v>
      </c>
      <c r="EQ678" s="133">
        <f t="shared" si="440"/>
        <v>85.597262641288665</v>
      </c>
      <c r="ER678" s="133">
        <f t="shared" si="440"/>
        <v>79.908745842030669</v>
      </c>
      <c r="ES678" s="133">
        <f>ES669/ES679</f>
        <v>75.399715596884761</v>
      </c>
    </row>
    <row r="679" spans="1:150" outlineLevel="1" x14ac:dyDescent="0.3">
      <c r="A679" s="134" t="s">
        <v>514</v>
      </c>
      <c r="DU679" s="96">
        <v>10</v>
      </c>
      <c r="DV679" s="96">
        <v>10</v>
      </c>
      <c r="DW679" s="96">
        <v>10</v>
      </c>
      <c r="DX679" s="96">
        <v>10</v>
      </c>
      <c r="DY679" s="86">
        <f>DY669/DY678</f>
        <v>10</v>
      </c>
      <c r="DZ679" s="96">
        <v>10</v>
      </c>
      <c r="EA679" s="96">
        <v>10</v>
      </c>
      <c r="EB679" s="96">
        <v>10</v>
      </c>
      <c r="EC679" s="96">
        <v>10</v>
      </c>
      <c r="ED679" s="86">
        <f>ED669/ED678</f>
        <v>10</v>
      </c>
      <c r="EE679" s="96">
        <v>10</v>
      </c>
      <c r="EF679" s="96">
        <v>10</v>
      </c>
      <c r="EG679" s="96">
        <v>10</v>
      </c>
      <c r="EH679" s="96">
        <v>10</v>
      </c>
      <c r="EI679" s="86">
        <f>EI669/EI678</f>
        <v>10</v>
      </c>
      <c r="EJ679" s="96">
        <v>10</v>
      </c>
      <c r="EK679" s="96">
        <v>10</v>
      </c>
      <c r="EL679" s="96">
        <v>10</v>
      </c>
      <c r="EM679" s="96">
        <v>10</v>
      </c>
      <c r="EN679" s="96">
        <v>10</v>
      </c>
      <c r="EO679" s="96">
        <v>10</v>
      </c>
      <c r="EP679" s="96">
        <v>10</v>
      </c>
      <c r="EQ679" s="96">
        <v>10</v>
      </c>
      <c r="ER679" s="96">
        <v>10</v>
      </c>
      <c r="ES679" s="96">
        <v>10</v>
      </c>
    </row>
    <row r="680" spans="1:150" outlineLevel="1" x14ac:dyDescent="0.3">
      <c r="A680" s="134" t="s">
        <v>229</v>
      </c>
      <c r="DU680" s="887">
        <f>DV680</f>
        <v>40.85526315789474</v>
      </c>
      <c r="DV680" s="947">
        <f>DU677+DV678-DV677</f>
        <v>40.85526315789474</v>
      </c>
      <c r="DW680" s="947">
        <f>DV677+DW678-DW677</f>
        <v>-7.9578947368421211</v>
      </c>
      <c r="DX680" s="947">
        <f>DW677+DX678-DX677</f>
        <v>16.199999999999989</v>
      </c>
      <c r="DY680" s="885">
        <f>SUM(DU680:DX680)</f>
        <v>89.952631578947347</v>
      </c>
      <c r="DZ680" s="947">
        <f>DX677+DZ678-DZ677</f>
        <v>77.969999605263212</v>
      </c>
      <c r="EA680" s="947">
        <f>DZ677+EA678-EA677</f>
        <v>44.863261078824905</v>
      </c>
      <c r="EB680" s="947">
        <f>EA677+EB678-EB677</f>
        <v>-40.541889122940404</v>
      </c>
      <c r="EC680" s="947">
        <f>EB677+EC678-EC677</f>
        <v>-20.330711465848481</v>
      </c>
      <c r="ED680" s="885">
        <f>SUM(DZ680:EC680)</f>
        <v>61.960660095299232</v>
      </c>
      <c r="EE680" s="947">
        <f>EC677+EE678-EE677</f>
        <v>17.268705407452387</v>
      </c>
      <c r="EF680" s="947">
        <f>EE677+EF678-EF677</f>
        <v>16.205781783278951</v>
      </c>
      <c r="EG680" s="947">
        <f>EF677+EG678-EG677</f>
        <v>50.739311549869342</v>
      </c>
      <c r="EH680" s="947">
        <f>EG677+EH678-EH677</f>
        <v>-76.441770079237017</v>
      </c>
      <c r="EI680" s="885">
        <f>SUM(EE680:EH680)</f>
        <v>7.7720286613636631</v>
      </c>
      <c r="EJ680" s="133">
        <f t="shared" ref="EJ680:ES680" si="441">+EI677*EJ681</f>
        <v>11.31829622126058</v>
      </c>
      <c r="EK680" s="133">
        <f t="shared" si="441"/>
        <v>12.924511219598436</v>
      </c>
      <c r="EL680" s="133">
        <f t="shared" si="441"/>
        <v>15.830699410026854</v>
      </c>
      <c r="EM680" s="133">
        <f t="shared" si="441"/>
        <v>18.679737474848359</v>
      </c>
      <c r="EN680" s="133">
        <f t="shared" si="441"/>
        <v>21.558956722179229</v>
      </c>
      <c r="EO680" s="133">
        <f t="shared" si="441"/>
        <v>23.568160096245229</v>
      </c>
      <c r="EP680" s="133">
        <f t="shared" si="441"/>
        <v>24.654551426593869</v>
      </c>
      <c r="EQ680" s="133">
        <f t="shared" si="441"/>
        <v>25.464849511559358</v>
      </c>
      <c r="ER680" s="133">
        <f t="shared" si="441"/>
        <v>26.076733316583876</v>
      </c>
      <c r="ES680" s="133">
        <f t="shared" si="441"/>
        <v>26.624506721006146</v>
      </c>
    </row>
    <row r="681" spans="1:150" outlineLevel="1" x14ac:dyDescent="0.3">
      <c r="A681" s="134" t="s">
        <v>515</v>
      </c>
      <c r="DV681" s="143">
        <f>+DV680/DU677</f>
        <v>0.18852459016393444</v>
      </c>
      <c r="DW681" s="143">
        <f>+DW680/DV677</f>
        <v>-4.0727272727272806E-2</v>
      </c>
      <c r="DX681" s="143">
        <f>+DX680/DW677</f>
        <v>7.1698113207547126E-2</v>
      </c>
      <c r="DY681" s="145"/>
      <c r="DZ681" s="143">
        <f>+DZ680/DX677</f>
        <v>0.33455961890243924</v>
      </c>
      <c r="EA681" s="143">
        <f>+EA680/DZ677</f>
        <v>0.2603575555629849</v>
      </c>
      <c r="EB681" s="143">
        <f>+EB680/EA677</f>
        <v>-0.28628857195119783</v>
      </c>
      <c r="EC681" s="143">
        <f>+EC680/EB677</f>
        <v>-0.10045156465971715</v>
      </c>
      <c r="ED681" s="145">
        <f>+ED680/DY677</f>
        <v>7.1128786285462223E-2</v>
      </c>
      <c r="EE681" s="143">
        <f>+EE680/EC677</f>
        <v>6.9780726543477528E-2</v>
      </c>
      <c r="EF681" s="143">
        <f>+EF680/EE677</f>
        <v>6.3358205576509716E-2</v>
      </c>
      <c r="EG681" s="143">
        <f>+EG680/EF677</f>
        <v>0.19061032811986503</v>
      </c>
      <c r="EH681" s="143">
        <f>+EH680/EG677</f>
        <v>-0.31931362108278516</v>
      </c>
      <c r="EI681" s="145">
        <f>+EI680/ED677</f>
        <v>1.0175607017540554E-2</v>
      </c>
      <c r="EJ681" s="142">
        <f t="shared" ref="EJ681:ES681" si="442">+EI681</f>
        <v>1.0175607017540554E-2</v>
      </c>
      <c r="EK681" s="142">
        <f t="shared" si="442"/>
        <v>1.0175607017540554E-2</v>
      </c>
      <c r="EL681" s="142">
        <f t="shared" si="442"/>
        <v>1.0175607017540554E-2</v>
      </c>
      <c r="EM681" s="142">
        <f t="shared" si="442"/>
        <v>1.0175607017540554E-2</v>
      </c>
      <c r="EN681" s="142">
        <f t="shared" si="442"/>
        <v>1.0175607017540554E-2</v>
      </c>
      <c r="EO681" s="142">
        <f t="shared" si="442"/>
        <v>1.0175607017540554E-2</v>
      </c>
      <c r="EP681" s="142">
        <f t="shared" si="442"/>
        <v>1.0175607017540554E-2</v>
      </c>
      <c r="EQ681" s="142">
        <f t="shared" si="442"/>
        <v>1.0175607017540554E-2</v>
      </c>
      <c r="ER681" s="142">
        <f t="shared" si="442"/>
        <v>1.0175607017540554E-2</v>
      </c>
      <c r="ES681" s="142">
        <f t="shared" si="442"/>
        <v>1.0175607017540554E-2</v>
      </c>
    </row>
    <row r="682" spans="1:150" outlineLevel="1" x14ac:dyDescent="0.3">
      <c r="A682" s="135" t="s">
        <v>505</v>
      </c>
      <c r="DU682" s="143">
        <f>+DU677/$DY677</f>
        <v>0.24877650897226752</v>
      </c>
      <c r="DV682" s="143">
        <f>+DV677/$DY677</f>
        <v>0.22430668841761825</v>
      </c>
      <c r="DW682" s="143">
        <f>+DW677/$DY677</f>
        <v>0.25938009787928218</v>
      </c>
      <c r="DX682" s="143">
        <f>+DX677/$DY677</f>
        <v>0.26753670473083196</v>
      </c>
      <c r="DY682" s="145">
        <f>+DY677/$DY677</f>
        <v>1</v>
      </c>
      <c r="DZ682" s="143">
        <f>+DZ677/$ED677</f>
        <v>0.22560389127729527</v>
      </c>
      <c r="EA682" s="143">
        <f>+EA677/$ED677</f>
        <v>0.18540690402093471</v>
      </c>
      <c r="EB682" s="143">
        <f>+EB677/$ED677</f>
        <v>0.26498531311442325</v>
      </c>
      <c r="EC682" s="143">
        <f>+EC677/$ED677</f>
        <v>0.32400389158734683</v>
      </c>
      <c r="ED682" s="145">
        <f>+ED677/$ED677</f>
        <v>1</v>
      </c>
      <c r="EE682" s="143">
        <f>+EE677/$EI677</f>
        <v>0.22995686964519516</v>
      </c>
      <c r="EF682" s="143">
        <f>+EF677/$EI677</f>
        <v>0.23931912780498249</v>
      </c>
      <c r="EG682" s="143">
        <f>+EG677/$EI677</f>
        <v>0.21522492258746098</v>
      </c>
      <c r="EH682" s="143">
        <f>+EH677/$EI677</f>
        <v>0.31549907996236143</v>
      </c>
      <c r="EI682" s="145">
        <f>+EI677/$EI677</f>
        <v>1</v>
      </c>
      <c r="EJ682" s="143">
        <f t="shared" ref="EJ682:ES682" si="443">+EJ677/EJ677</f>
        <v>1</v>
      </c>
      <c r="EK682" s="143">
        <f t="shared" si="443"/>
        <v>1</v>
      </c>
      <c r="EL682" s="143">
        <f t="shared" si="443"/>
        <v>1</v>
      </c>
      <c r="EM682" s="143">
        <f t="shared" si="443"/>
        <v>1</v>
      </c>
      <c r="EN682" s="143">
        <f t="shared" si="443"/>
        <v>1</v>
      </c>
      <c r="EO682" s="143">
        <f t="shared" si="443"/>
        <v>1</v>
      </c>
      <c r="EP682" s="143">
        <f t="shared" si="443"/>
        <v>1</v>
      </c>
      <c r="EQ682" s="143">
        <f t="shared" si="443"/>
        <v>1</v>
      </c>
      <c r="ER682" s="143">
        <f t="shared" si="443"/>
        <v>1</v>
      </c>
      <c r="ES682" s="143">
        <f t="shared" si="443"/>
        <v>1</v>
      </c>
    </row>
    <row r="683" spans="1:150" outlineLevel="1" x14ac:dyDescent="0.3">
      <c r="A683" s="56"/>
    </row>
    <row r="684" spans="1:150" outlineLevel="1" x14ac:dyDescent="0.3">
      <c r="A684" s="105"/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  <c r="AB684" s="105"/>
      <c r="AC684" s="105"/>
      <c r="AD684" s="105"/>
      <c r="AE684" s="105"/>
      <c r="AF684" s="105"/>
      <c r="AG684" s="105"/>
      <c r="AH684" s="105"/>
      <c r="AI684" s="105"/>
      <c r="AJ684" s="105"/>
      <c r="AK684" s="105"/>
      <c r="AL684" s="105"/>
      <c r="AM684" s="105"/>
      <c r="AN684" s="105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  <c r="BY684" s="105"/>
      <c r="BZ684" s="105"/>
      <c r="CA684" s="105"/>
      <c r="CB684" s="105"/>
      <c r="CC684" s="105"/>
      <c r="CD684" s="105"/>
      <c r="CE684" s="105"/>
      <c r="CF684" s="105"/>
      <c r="CG684" s="105"/>
      <c r="CH684" s="105"/>
      <c r="CI684" s="105"/>
      <c r="CJ684" s="105"/>
      <c r="CK684" s="105"/>
      <c r="CL684" s="105"/>
      <c r="CM684" s="105"/>
      <c r="CN684" s="105"/>
      <c r="CO684" s="105"/>
      <c r="CP684" s="105"/>
      <c r="CQ684" s="105"/>
      <c r="CR684" s="105"/>
      <c r="CS684" s="105"/>
      <c r="CT684" s="105"/>
      <c r="CU684" s="105"/>
      <c r="CV684" s="105"/>
      <c r="CW684" s="105"/>
      <c r="CX684" s="105"/>
      <c r="CY684" s="105"/>
      <c r="CZ684" s="105"/>
      <c r="DA684" s="105"/>
      <c r="DB684" s="105"/>
      <c r="DC684" s="105"/>
      <c r="DD684" s="105"/>
      <c r="DE684" s="105"/>
      <c r="DF684" s="105"/>
      <c r="DG684" s="105"/>
      <c r="DH684" s="105"/>
      <c r="DI684" s="105"/>
      <c r="DJ684" s="105"/>
      <c r="DK684" s="105"/>
      <c r="DL684" s="105"/>
      <c r="DM684" s="105"/>
      <c r="DN684" s="105"/>
      <c r="DO684" s="105"/>
      <c r="DP684" s="105"/>
      <c r="DQ684" s="105"/>
      <c r="DR684" s="105"/>
      <c r="DS684" s="105"/>
      <c r="DT684" s="105"/>
      <c r="DU684" s="105"/>
      <c r="DV684" s="105"/>
      <c r="DW684" s="105"/>
      <c r="DX684" s="105"/>
      <c r="DY684" s="105"/>
      <c r="DZ684" s="105"/>
      <c r="EA684" s="105"/>
      <c r="EB684" s="105"/>
      <c r="EC684" s="105"/>
      <c r="ED684" s="105"/>
      <c r="EE684" s="105"/>
      <c r="EF684" s="105"/>
      <c r="EG684" s="105"/>
      <c r="EH684" s="105"/>
      <c r="EI684" s="105"/>
      <c r="EJ684" s="105"/>
      <c r="EK684" s="105"/>
      <c r="EL684" s="105"/>
      <c r="EM684" s="105"/>
      <c r="EN684" s="105"/>
      <c r="EO684" s="105"/>
      <c r="EP684" s="105"/>
      <c r="EQ684" s="105"/>
      <c r="ER684" s="105"/>
      <c r="ES684" s="105"/>
      <c r="ET684" s="105"/>
    </row>
    <row r="685" spans="1:150" outlineLevel="1" x14ac:dyDescent="0.3"/>
    <row r="686" spans="1:150" x14ac:dyDescent="0.3">
      <c r="A686" s="43" t="s">
        <v>4068</v>
      </c>
      <c r="DU686" s="43"/>
      <c r="DV686" s="43"/>
      <c r="DW686" s="43"/>
      <c r="DX686" s="43"/>
      <c r="DY686" s="43"/>
      <c r="DZ686" s="43"/>
      <c r="EA686" s="43"/>
      <c r="EB686" s="43"/>
      <c r="EC686" s="43"/>
      <c r="ED686" s="43"/>
      <c r="EE686" s="43"/>
      <c r="EF686" s="43"/>
      <c r="EG686" s="43"/>
      <c r="EH686" s="43"/>
      <c r="EI686" s="43"/>
      <c r="EJ686" s="43"/>
      <c r="EK686" s="43"/>
      <c r="EL686" s="43"/>
      <c r="EM686" s="43"/>
      <c r="EN686" s="43"/>
      <c r="EO686" s="43"/>
      <c r="EP686" s="43"/>
      <c r="EQ686" s="43"/>
      <c r="ER686" s="43"/>
      <c r="ES686" s="43"/>
      <c r="ET686" s="43"/>
    </row>
    <row r="687" spans="1:150" x14ac:dyDescent="0.3">
      <c r="A687" s="55" t="s">
        <v>504</v>
      </c>
      <c r="DU687" s="76">
        <f>-DU669+Drivers!DU572</f>
        <v>88.28947368421052</v>
      </c>
      <c r="DV687" s="76">
        <f>-DV669+Drivers!DV572</f>
        <v>79.60526315789474</v>
      </c>
      <c r="DW687" s="76">
        <f>-DW669+Drivers!DW572</f>
        <v>92.05263157894737</v>
      </c>
      <c r="DX687" s="76">
        <f>-DX669+Drivers!DX572</f>
        <v>94.94736842105263</v>
      </c>
      <c r="DY687" s="85">
        <f>SUM(DU687:DX687)</f>
        <v>354.8947368421052</v>
      </c>
      <c r="DZ687" s="76">
        <f>-DZ669+Drivers!DZ572</f>
        <v>113.68596447368427</v>
      </c>
      <c r="EA687" s="76">
        <f>-EA669+Drivers!EA572</f>
        <v>83.388028391676869</v>
      </c>
      <c r="EB687" s="76">
        <f>-EB669+Drivers!EB572</f>
        <v>111.60682140970718</v>
      </c>
      <c r="EC687" s="76">
        <f>-EC669+Drivers!EC572</f>
        <v>108.52901104873189</v>
      </c>
      <c r="ED687" s="85">
        <f>SUM(DZ687:EC687)</f>
        <v>417.2098253238002</v>
      </c>
      <c r="EE687" s="76">
        <f>-EE669+Drivers!EE572</f>
        <v>128.21968495131586</v>
      </c>
      <c r="EF687" s="76">
        <f>-EF669+Drivers!EF572</f>
        <v>118.80607414954977</v>
      </c>
      <c r="EG687" s="76">
        <f>-EG669+Drivers!EG572</f>
        <v>137.60598411046567</v>
      </c>
      <c r="EH687" s="76">
        <f>-EH669+Drivers!EH572</f>
        <v>208.07134892358738</v>
      </c>
      <c r="EI687" s="85">
        <f>SUM(EE687:EH687)</f>
        <v>592.70309213491873</v>
      </c>
      <c r="EJ687" s="76">
        <f t="shared" ref="EJ687:ES687" si="444">EJ692*EJ165</f>
        <v>623.9303995677717</v>
      </c>
      <c r="EK687" s="76">
        <f t="shared" si="444"/>
        <v>660.22052639104902</v>
      </c>
      <c r="EL687" s="76">
        <f t="shared" si="444"/>
        <v>673.39361646868565</v>
      </c>
      <c r="EM687" s="76">
        <f t="shared" si="444"/>
        <v>663.57377391629791</v>
      </c>
      <c r="EN687" s="76">
        <f t="shared" si="444"/>
        <v>647.53456205660723</v>
      </c>
      <c r="EO687" s="76">
        <f t="shared" si="444"/>
        <v>638.90324194868219</v>
      </c>
      <c r="EP687" s="76">
        <f t="shared" si="444"/>
        <v>633.97020906828436</v>
      </c>
      <c r="EQ687" s="76">
        <f t="shared" si="444"/>
        <v>637.69207971183891</v>
      </c>
      <c r="ER687" s="76">
        <f t="shared" si="444"/>
        <v>663.87664470680306</v>
      </c>
      <c r="ES687" s="76">
        <f t="shared" si="444"/>
        <v>711.05089072713827</v>
      </c>
    </row>
    <row r="688" spans="1:150" hidden="1" x14ac:dyDescent="0.3">
      <c r="A688" s="70" t="s">
        <v>481</v>
      </c>
    </row>
    <row r="689" spans="1:150" hidden="1" x14ac:dyDescent="0.3">
      <c r="A689" s="70" t="s">
        <v>482</v>
      </c>
    </row>
    <row r="690" spans="1:150" hidden="1" x14ac:dyDescent="0.3">
      <c r="A690" s="70" t="s">
        <v>500</v>
      </c>
    </row>
    <row r="691" spans="1:150" hidden="1" x14ac:dyDescent="0.3">
      <c r="A691" s="70" t="s">
        <v>489</v>
      </c>
    </row>
    <row r="692" spans="1:150" x14ac:dyDescent="0.3">
      <c r="A692" s="70" t="s">
        <v>503</v>
      </c>
      <c r="DU692" s="898">
        <f t="shared" ref="DU692:EI692" si="445">DU687/DU165</f>
        <v>0.13302151954836808</v>
      </c>
      <c r="DV692" s="898">
        <f t="shared" si="445"/>
        <v>0.12143913099053989</v>
      </c>
      <c r="DW692" s="898">
        <f t="shared" si="445"/>
        <v>0.14290555054922285</v>
      </c>
      <c r="DX692" s="898">
        <f t="shared" si="445"/>
        <v>0.15032573700335128</v>
      </c>
      <c r="DY692" s="898">
        <f t="shared" si="445"/>
        <v>0.13676097758847985</v>
      </c>
      <c r="DZ692" s="898">
        <f t="shared" si="445"/>
        <v>0.17335381790944984</v>
      </c>
      <c r="EA692" s="898">
        <f t="shared" si="445"/>
        <v>0.12764251910789054</v>
      </c>
      <c r="EB692" s="898">
        <f t="shared" si="445"/>
        <v>0.17233507400130707</v>
      </c>
      <c r="EC692" s="898">
        <f t="shared" si="445"/>
        <v>0.16870978324810168</v>
      </c>
      <c r="ED692" s="898">
        <f t="shared" si="445"/>
        <v>0.16046531743223086</v>
      </c>
      <c r="EE692" s="898">
        <f t="shared" si="445"/>
        <v>0.1916299923510392</v>
      </c>
      <c r="EF692" s="898">
        <f t="shared" si="445"/>
        <v>0.18609298344530648</v>
      </c>
      <c r="EG692" s="898">
        <f t="shared" si="445"/>
        <v>0.21734692111079953</v>
      </c>
      <c r="EH692" s="898">
        <f t="shared" si="445"/>
        <v>0.33332902555931193</v>
      </c>
      <c r="EI692" s="898">
        <f t="shared" si="445"/>
        <v>0.23108572899978624</v>
      </c>
      <c r="EJ692" s="948">
        <f>EI692</f>
        <v>0.23108572899978624</v>
      </c>
      <c r="EK692" s="948">
        <f t="shared" ref="EK692:ES692" si="446">EJ692</f>
        <v>0.23108572899978624</v>
      </c>
      <c r="EL692" s="948">
        <f t="shared" si="446"/>
        <v>0.23108572899978624</v>
      </c>
      <c r="EM692" s="948">
        <f t="shared" si="446"/>
        <v>0.23108572899978624</v>
      </c>
      <c r="EN692" s="948">
        <f t="shared" si="446"/>
        <v>0.23108572899978624</v>
      </c>
      <c r="EO692" s="948">
        <f t="shared" si="446"/>
        <v>0.23108572899978624</v>
      </c>
      <c r="EP692" s="948">
        <f t="shared" si="446"/>
        <v>0.23108572899978624</v>
      </c>
      <c r="EQ692" s="948">
        <f t="shared" si="446"/>
        <v>0.23108572899978624</v>
      </c>
      <c r="ER692" s="948">
        <f t="shared" si="446"/>
        <v>0.23108572899978624</v>
      </c>
      <c r="ES692" s="948">
        <f t="shared" si="446"/>
        <v>0.23108572899978624</v>
      </c>
    </row>
    <row r="693" spans="1:150" x14ac:dyDescent="0.3">
      <c r="A693" s="135" t="s">
        <v>505</v>
      </c>
    </row>
    <row r="694" spans="1:150" x14ac:dyDescent="0.3">
      <c r="A694" s="70"/>
    </row>
    <row r="695" spans="1:150" outlineLevel="1" x14ac:dyDescent="0.3">
      <c r="A695" s="132" t="s">
        <v>513</v>
      </c>
      <c r="DU695" s="76">
        <f>DU687</f>
        <v>88.28947368421052</v>
      </c>
      <c r="DV695" s="76">
        <f>DV687</f>
        <v>79.60526315789474</v>
      </c>
      <c r="DW695" s="76">
        <f>DW687</f>
        <v>92.05263157894737</v>
      </c>
      <c r="DX695" s="76">
        <f>DX687</f>
        <v>94.94736842105263</v>
      </c>
      <c r="DY695" s="45">
        <f>+SUM(DU695:DX695)</f>
        <v>354.8947368421052</v>
      </c>
      <c r="DZ695" s="76">
        <f>DZ687</f>
        <v>113.68596447368427</v>
      </c>
      <c r="EA695" s="76">
        <f>EA687</f>
        <v>83.388028391676869</v>
      </c>
      <c r="EB695" s="76">
        <f>EB687</f>
        <v>111.60682140970718</v>
      </c>
      <c r="EC695" s="76">
        <f>EC687</f>
        <v>108.52901104873189</v>
      </c>
      <c r="ED695" s="45">
        <f>+SUM(DZ695:EC695)</f>
        <v>417.2098253238002</v>
      </c>
      <c r="EE695" s="76">
        <f>EE687</f>
        <v>128.21968495131586</v>
      </c>
      <c r="EF695" s="76">
        <f>EF687</f>
        <v>118.80607414954977</v>
      </c>
      <c r="EG695" s="76">
        <f>EG687</f>
        <v>137.60598411046567</v>
      </c>
      <c r="EH695" s="76">
        <f>EH687</f>
        <v>208.07134892358738</v>
      </c>
      <c r="EI695" s="45">
        <f>+SUM(EE695:EH695)</f>
        <v>592.70309213491873</v>
      </c>
      <c r="EJ695" s="85">
        <f t="shared" ref="EJ695:ES695" si="447">+EI695+EJ696-EJ698</f>
        <v>712.30800598659062</v>
      </c>
      <c r="EK695" s="85">
        <f t="shared" si="447"/>
        <v>847.0870405844671</v>
      </c>
      <c r="EL695" s="85">
        <f t="shared" si="447"/>
        <v>996.19320518380994</v>
      </c>
      <c r="EM695" s="85">
        <f t="shared" si="447"/>
        <v>1158.7101619436428</v>
      </c>
      <c r="EN695" s="85">
        <f t="shared" si="447"/>
        <v>1335.3104779776684</v>
      </c>
      <c r="EO695" s="85">
        <f t="shared" si="447"/>
        <v>1528.0943674168357</v>
      </c>
      <c r="EP695" s="85">
        <f t="shared" si="447"/>
        <v>1738.9938113888875</v>
      </c>
      <c r="EQ695" s="85">
        <f t="shared" si="447"/>
        <v>1970.6229410669348</v>
      </c>
      <c r="ER695" s="85">
        <f t="shared" si="447"/>
        <v>2227.2290010459078</v>
      </c>
      <c r="ES695" s="85">
        <f t="shared" si="447"/>
        <v>2513.3219085285259</v>
      </c>
    </row>
    <row r="696" spans="1:150" outlineLevel="1" x14ac:dyDescent="0.3">
      <c r="A696" s="134" t="s">
        <v>228</v>
      </c>
      <c r="DU696" s="133">
        <f>DU687/DU697</f>
        <v>8.8289473684210513</v>
      </c>
      <c r="DV696" s="133">
        <f>DV687/DV697</f>
        <v>7.9605263157894743</v>
      </c>
      <c r="DW696" s="133">
        <f>DW687/DW697</f>
        <v>9.2052631578947377</v>
      </c>
      <c r="DX696" s="133">
        <f>DX687/DX697</f>
        <v>9.4947368421052634</v>
      </c>
      <c r="DY696" s="140">
        <f>+SUM(DU696:DX696)</f>
        <v>35.48947368421053</v>
      </c>
      <c r="DZ696" s="133">
        <f>DZ687/DZ697</f>
        <v>11.368596447368427</v>
      </c>
      <c r="EA696" s="133">
        <f>EA687/EA697</f>
        <v>8.3388028391676876</v>
      </c>
      <c r="EB696" s="133">
        <f>EB687/EB697</f>
        <v>11.160682140970717</v>
      </c>
      <c r="EC696" s="133">
        <f>EC687/EC697</f>
        <v>10.852901104873188</v>
      </c>
      <c r="ED696" s="140">
        <f>+SUM(DZ696:EC696)</f>
        <v>41.72098253238002</v>
      </c>
      <c r="EE696" s="133">
        <f>EE687/EE697</f>
        <v>12.821968495131586</v>
      </c>
      <c r="EF696" s="133">
        <f>EF687/EF697</f>
        <v>11.880607414954977</v>
      </c>
      <c r="EG696" s="133">
        <f>EG687/EG697</f>
        <v>13.760598411046567</v>
      </c>
      <c r="EH696" s="133">
        <f>EH687/EH697</f>
        <v>20.807134892358739</v>
      </c>
      <c r="EI696" s="140">
        <f>+SUM(EE696:EH696)</f>
        <v>59.270309213491871</v>
      </c>
      <c r="EJ696" s="133">
        <f>EJ687/EJ697</f>
        <v>62.393039956777173</v>
      </c>
      <c r="EK696" s="133">
        <f>EK687/EK697</f>
        <v>66.022052639104899</v>
      </c>
      <c r="EL696" s="133">
        <f>EL687/EL697</f>
        <v>67.339361646868568</v>
      </c>
      <c r="EM696" s="133">
        <f t="shared" ref="EM696:ER696" si="448">EM687/EM697</f>
        <v>66.357377391629797</v>
      </c>
      <c r="EN696" s="133">
        <f t="shared" si="448"/>
        <v>64.753456205660726</v>
      </c>
      <c r="EO696" s="133">
        <f t="shared" si="448"/>
        <v>63.890324194868221</v>
      </c>
      <c r="EP696" s="133">
        <f t="shared" si="448"/>
        <v>63.397020906828438</v>
      </c>
      <c r="EQ696" s="133">
        <f t="shared" si="448"/>
        <v>63.769207971183889</v>
      </c>
      <c r="ER696" s="133">
        <f t="shared" si="448"/>
        <v>66.387664470680306</v>
      </c>
      <c r="ES696" s="133">
        <f>ES687/ES697</f>
        <v>71.105089072713824</v>
      </c>
    </row>
    <row r="697" spans="1:150" outlineLevel="1" x14ac:dyDescent="0.3">
      <c r="A697" s="134" t="s">
        <v>514</v>
      </c>
      <c r="DU697" s="96">
        <v>10</v>
      </c>
      <c r="DV697" s="96">
        <v>10</v>
      </c>
      <c r="DW697" s="96">
        <v>10</v>
      </c>
      <c r="DX697" s="96">
        <v>10</v>
      </c>
      <c r="DY697" s="86">
        <f>DY687/DY696</f>
        <v>9.9999999999999964</v>
      </c>
      <c r="DZ697" s="96">
        <v>10</v>
      </c>
      <c r="EA697" s="96">
        <v>10</v>
      </c>
      <c r="EB697" s="96">
        <v>10</v>
      </c>
      <c r="EC697" s="96">
        <v>10</v>
      </c>
      <c r="ED697" s="86">
        <f>ED687/ED696</f>
        <v>10</v>
      </c>
      <c r="EE697" s="96">
        <v>10</v>
      </c>
      <c r="EF697" s="96">
        <v>10</v>
      </c>
      <c r="EG697" s="96">
        <v>10</v>
      </c>
      <c r="EH697" s="96">
        <v>10</v>
      </c>
      <c r="EI697" s="86">
        <f>EI687/EI696</f>
        <v>10</v>
      </c>
      <c r="EJ697" s="96">
        <v>10</v>
      </c>
      <c r="EK697" s="96">
        <v>10</v>
      </c>
      <c r="EL697" s="96">
        <v>10</v>
      </c>
      <c r="EM697" s="96">
        <v>10</v>
      </c>
      <c r="EN697" s="96">
        <v>10</v>
      </c>
      <c r="EO697" s="96">
        <v>10</v>
      </c>
      <c r="EP697" s="96">
        <v>10</v>
      </c>
      <c r="EQ697" s="96">
        <v>10</v>
      </c>
      <c r="ER697" s="96">
        <v>10</v>
      </c>
      <c r="ES697" s="96">
        <v>10</v>
      </c>
    </row>
    <row r="698" spans="1:150" outlineLevel="1" x14ac:dyDescent="0.3">
      <c r="A698" s="134" t="s">
        <v>229</v>
      </c>
      <c r="DU698" s="887">
        <f>DV698</f>
        <v>16.64473684210526</v>
      </c>
      <c r="DV698" s="947">
        <f>DU695+DV696-DV695</f>
        <v>16.64473684210526</v>
      </c>
      <c r="DW698" s="947">
        <f>DV695+DW696-DW695</f>
        <v>-3.2421052631578959</v>
      </c>
      <c r="DX698" s="947">
        <f>DW695+DX696-DX695</f>
        <v>6.6000000000000085</v>
      </c>
      <c r="DY698" s="885">
        <f>SUM(DU698:DX698)</f>
        <v>36.647368421052633</v>
      </c>
      <c r="DZ698" s="947">
        <f>DX695+DZ696-DZ695</f>
        <v>-7.3699996052632031</v>
      </c>
      <c r="EA698" s="947">
        <f>DZ695+EA696-EA695</f>
        <v>38.63673892117508</v>
      </c>
      <c r="EB698" s="947">
        <f>EA695+EB696-EB695</f>
        <v>-17.05811087705959</v>
      </c>
      <c r="EC698" s="947">
        <f>EB695+EC696-EC695</f>
        <v>13.930711465848475</v>
      </c>
      <c r="ED698" s="885">
        <f>SUM(DZ698:EC698)</f>
        <v>28.139339904700762</v>
      </c>
      <c r="EE698" s="947">
        <f>EC695+EE696-EE695</f>
        <v>-6.8687054074523815</v>
      </c>
      <c r="EF698" s="947">
        <f>EE695+EF696-EF695</f>
        <v>21.294218216721049</v>
      </c>
      <c r="EG698" s="947">
        <f>EF695+EG696-EG695</f>
        <v>-5.0393115498693248</v>
      </c>
      <c r="EH698" s="947">
        <f>EG695+EH696-EH695</f>
        <v>-49.658229920762977</v>
      </c>
      <c r="EI698" s="885">
        <f>SUM(EE698:EH698)</f>
        <v>-40.272028661363635</v>
      </c>
      <c r="EJ698" s="133">
        <f t="shared" ref="EJ698:ES698" si="449">+EI695*EJ699</f>
        <v>-57.211873894894687</v>
      </c>
      <c r="EK698" s="133">
        <f t="shared" si="449"/>
        <v>-68.756981958771547</v>
      </c>
      <c r="EL698" s="133">
        <f t="shared" si="449"/>
        <v>-81.766802952474222</v>
      </c>
      <c r="EM698" s="133">
        <f t="shared" si="449"/>
        <v>-96.159579368203055</v>
      </c>
      <c r="EN698" s="133">
        <f t="shared" si="449"/>
        <v>-111.84685982836488</v>
      </c>
      <c r="EO698" s="133">
        <f t="shared" si="449"/>
        <v>-128.893565244299</v>
      </c>
      <c r="EP698" s="133">
        <f t="shared" si="449"/>
        <v>-147.50242306522341</v>
      </c>
      <c r="EQ698" s="133">
        <f t="shared" si="449"/>
        <v>-167.85992170686342</v>
      </c>
      <c r="ER698" s="133">
        <f t="shared" si="449"/>
        <v>-190.21839550829262</v>
      </c>
      <c r="ES698" s="133">
        <f t="shared" si="449"/>
        <v>-214.98781840990441</v>
      </c>
    </row>
    <row r="699" spans="1:150" outlineLevel="1" x14ac:dyDescent="0.3">
      <c r="A699" s="134" t="s">
        <v>515</v>
      </c>
      <c r="DV699" s="143">
        <f>+DV698/DU695</f>
        <v>0.18852459016393441</v>
      </c>
      <c r="DW699" s="143">
        <f>+DW698/DV695</f>
        <v>-4.0727272727272744E-2</v>
      </c>
      <c r="DX699" s="143">
        <f>+DX698/DW695</f>
        <v>7.1698113207547265E-2</v>
      </c>
      <c r="DY699" s="145"/>
      <c r="DZ699" s="143">
        <f>+DZ698/DX695</f>
        <v>-7.7621947062084737E-2</v>
      </c>
      <c r="EA699" s="143">
        <f>+EA698/DZ695</f>
        <v>0.33985496010915767</v>
      </c>
      <c r="EB699" s="143">
        <f>+EB698/EA695</f>
        <v>-0.20456306745780065</v>
      </c>
      <c r="EC699" s="143">
        <f>+EC698/EB695</f>
        <v>0.1248195342353584</v>
      </c>
      <c r="ED699" s="145">
        <f>+ED698/DY695</f>
        <v>7.9289256738738628E-2</v>
      </c>
      <c r="EE699" s="143">
        <f>+EE698/EC695</f>
        <v>-6.3289118191339491E-2</v>
      </c>
      <c r="EF699" s="143">
        <f>+EF698/EE695</f>
        <v>0.1660760453810686</v>
      </c>
      <c r="EG699" s="143">
        <f>+EG698/EF695</f>
        <v>-4.2416278678866035E-2</v>
      </c>
      <c r="EH699" s="143">
        <f>+EH698/EG695</f>
        <v>-0.36087260479092931</v>
      </c>
      <c r="EI699" s="145">
        <f>+EI698/ED695</f>
        <v>-9.6527037996068668E-2</v>
      </c>
      <c r="EJ699" s="142">
        <f t="shared" ref="EJ699:ES699" si="450">+EI699</f>
        <v>-9.6527037996068668E-2</v>
      </c>
      <c r="EK699" s="142">
        <f t="shared" si="450"/>
        <v>-9.6527037996068668E-2</v>
      </c>
      <c r="EL699" s="142">
        <f t="shared" si="450"/>
        <v>-9.6527037996068668E-2</v>
      </c>
      <c r="EM699" s="142">
        <f t="shared" si="450"/>
        <v>-9.6527037996068668E-2</v>
      </c>
      <c r="EN699" s="142">
        <f t="shared" si="450"/>
        <v>-9.6527037996068668E-2</v>
      </c>
      <c r="EO699" s="142">
        <f t="shared" si="450"/>
        <v>-9.6527037996068668E-2</v>
      </c>
      <c r="EP699" s="142">
        <f t="shared" si="450"/>
        <v>-9.6527037996068668E-2</v>
      </c>
      <c r="EQ699" s="142">
        <f t="shared" si="450"/>
        <v>-9.6527037996068668E-2</v>
      </c>
      <c r="ER699" s="142">
        <f t="shared" si="450"/>
        <v>-9.6527037996068668E-2</v>
      </c>
      <c r="ES699" s="142">
        <f t="shared" si="450"/>
        <v>-9.6527037996068668E-2</v>
      </c>
    </row>
    <row r="700" spans="1:150" outlineLevel="1" x14ac:dyDescent="0.3">
      <c r="A700" s="135" t="s">
        <v>505</v>
      </c>
      <c r="DU700" s="143">
        <f>+DU695/$DY695</f>
        <v>0.24877650897226755</v>
      </c>
      <c r="DV700" s="143">
        <f>+DV695/$DY695</f>
        <v>0.22430668841761831</v>
      </c>
      <c r="DW700" s="143">
        <f>+DW695/$DY695</f>
        <v>0.25938009787928229</v>
      </c>
      <c r="DX700" s="143">
        <f>+DX695/$DY695</f>
        <v>0.26753670473083202</v>
      </c>
      <c r="DY700" s="145">
        <f>+DY695/$DY695</f>
        <v>1</v>
      </c>
      <c r="DZ700" s="143">
        <f>+DZ695/$ED695</f>
        <v>0.27249110057619469</v>
      </c>
      <c r="EA700" s="143">
        <f>+EA695/$ED695</f>
        <v>0.1998707205108573</v>
      </c>
      <c r="EB700" s="143">
        <f>+EB695/$ED695</f>
        <v>0.26750765354839895</v>
      </c>
      <c r="EC700" s="143">
        <f>+EC695/$ED695</f>
        <v>0.26013052536454906</v>
      </c>
      <c r="ED700" s="145">
        <f>+ED695/$ED695</f>
        <v>1</v>
      </c>
      <c r="EE700" s="143">
        <f>+EE695/$EI695</f>
        <v>0.21633037966693927</v>
      </c>
      <c r="EF700" s="143">
        <f>+EF695/$EI695</f>
        <v>0.20044787301785427</v>
      </c>
      <c r="EG700" s="143">
        <f>+EG695/$EI695</f>
        <v>0.23216680651151728</v>
      </c>
      <c r="EH700" s="143">
        <f>+EH695/$EI695</f>
        <v>0.3510549408036891</v>
      </c>
      <c r="EI700" s="145">
        <f>+EI695/$EI695</f>
        <v>1</v>
      </c>
      <c r="EJ700" s="143">
        <f t="shared" ref="EJ700:ES700" si="451">+EJ695/EJ695</f>
        <v>1</v>
      </c>
      <c r="EK700" s="143">
        <f t="shared" si="451"/>
        <v>1</v>
      </c>
      <c r="EL700" s="143">
        <f t="shared" si="451"/>
        <v>1</v>
      </c>
      <c r="EM700" s="143">
        <f t="shared" si="451"/>
        <v>1</v>
      </c>
      <c r="EN700" s="143">
        <f t="shared" si="451"/>
        <v>1</v>
      </c>
      <c r="EO700" s="143">
        <f t="shared" si="451"/>
        <v>1</v>
      </c>
      <c r="EP700" s="143">
        <f t="shared" si="451"/>
        <v>1</v>
      </c>
      <c r="EQ700" s="143">
        <f t="shared" si="451"/>
        <v>1</v>
      </c>
      <c r="ER700" s="143">
        <f t="shared" si="451"/>
        <v>1</v>
      </c>
      <c r="ES700" s="143">
        <f t="shared" si="451"/>
        <v>1</v>
      </c>
    </row>
    <row r="701" spans="1:150" outlineLevel="1" x14ac:dyDescent="0.3">
      <c r="A701" s="56"/>
    </row>
    <row r="702" spans="1:150" outlineLevel="1" x14ac:dyDescent="0.3">
      <c r="A702" s="105"/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  <c r="AA702" s="105"/>
      <c r="AB702" s="105"/>
      <c r="AC702" s="105"/>
      <c r="AD702" s="105"/>
      <c r="AE702" s="105"/>
      <c r="AF702" s="105"/>
      <c r="AG702" s="105"/>
      <c r="AH702" s="105"/>
      <c r="AI702" s="105"/>
      <c r="AJ702" s="105"/>
      <c r="AK702" s="105"/>
      <c r="AL702" s="105"/>
      <c r="AM702" s="105"/>
      <c r="AN702" s="105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  <c r="BY702" s="105"/>
      <c r="BZ702" s="105"/>
      <c r="CA702" s="105"/>
      <c r="CB702" s="105"/>
      <c r="CC702" s="105"/>
      <c r="CD702" s="105"/>
      <c r="CE702" s="105"/>
      <c r="CF702" s="105"/>
      <c r="CG702" s="105"/>
      <c r="CH702" s="105"/>
      <c r="CI702" s="105"/>
      <c r="CJ702" s="105"/>
      <c r="CK702" s="105"/>
      <c r="CL702" s="105"/>
      <c r="CM702" s="105"/>
      <c r="CN702" s="105"/>
      <c r="CO702" s="105"/>
      <c r="CP702" s="105"/>
      <c r="CQ702" s="105"/>
      <c r="CR702" s="105"/>
      <c r="CS702" s="105"/>
      <c r="CT702" s="105"/>
      <c r="CU702" s="105"/>
      <c r="CV702" s="105"/>
      <c r="CW702" s="105"/>
      <c r="CX702" s="105"/>
      <c r="CY702" s="105"/>
      <c r="CZ702" s="105"/>
      <c r="DA702" s="105"/>
      <c r="DB702" s="105"/>
      <c r="DC702" s="105"/>
      <c r="DD702" s="105"/>
      <c r="DE702" s="105"/>
      <c r="DF702" s="105"/>
      <c r="DG702" s="105"/>
      <c r="DH702" s="105"/>
      <c r="DI702" s="105"/>
      <c r="DJ702" s="105"/>
      <c r="DK702" s="105"/>
      <c r="DL702" s="105"/>
      <c r="DM702" s="105"/>
      <c r="DN702" s="105"/>
      <c r="DO702" s="105"/>
      <c r="DP702" s="105"/>
      <c r="DQ702" s="105"/>
      <c r="DR702" s="105"/>
      <c r="DS702" s="105"/>
      <c r="DT702" s="105"/>
      <c r="DU702" s="105"/>
      <c r="DV702" s="105"/>
      <c r="DW702" s="105"/>
      <c r="DX702" s="105"/>
      <c r="DY702" s="105"/>
      <c r="DZ702" s="105"/>
      <c r="EA702" s="105"/>
      <c r="EB702" s="105"/>
      <c r="EC702" s="105"/>
      <c r="ED702" s="105"/>
      <c r="EE702" s="105"/>
      <c r="EF702" s="105"/>
      <c r="EG702" s="105"/>
      <c r="EH702" s="105"/>
      <c r="EI702" s="105"/>
      <c r="EJ702" s="105"/>
      <c r="EK702" s="105"/>
      <c r="EL702" s="105"/>
      <c r="EM702" s="105"/>
      <c r="EN702" s="105"/>
      <c r="EO702" s="105"/>
      <c r="EP702" s="105"/>
      <c r="EQ702" s="105"/>
      <c r="ER702" s="105"/>
      <c r="ES702" s="105"/>
      <c r="ET702" s="105"/>
    </row>
  </sheetData>
  <pageMargins left="0.7" right="0.7" top="0.75" bottom="0.75" header="0.3" footer="0.3"/>
  <pageSetup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5819E-3E97-4F62-9F45-5865E6E447B6}">
  <dimension ref="A1:AB71"/>
  <sheetViews>
    <sheetView zoomScaleNormal="100" workbookViewId="0">
      <selection activeCell="ES196" sqref="ES196"/>
    </sheetView>
  </sheetViews>
  <sheetFormatPr defaultColWidth="9.109375" defaultRowHeight="12" outlineLevelCol="1" x14ac:dyDescent="0.3"/>
  <cols>
    <col min="1" max="1" width="31.44140625" style="108" customWidth="1"/>
    <col min="2" max="2" width="10.109375" style="108" bestFit="1" customWidth="1"/>
    <col min="3" max="8" width="9.33203125" style="108" bestFit="1" customWidth="1"/>
    <col min="9" max="22" width="10.109375" style="108" bestFit="1" customWidth="1"/>
    <col min="23" max="23" width="20" style="108" bestFit="1" customWidth="1"/>
    <col min="24" max="24" width="8.44140625" style="108" hidden="1" customWidth="1" outlineLevel="1"/>
    <col min="25" max="25" width="10.109375" style="108" customWidth="1" collapsed="1"/>
    <col min="26" max="27" width="10.109375" style="108" customWidth="1"/>
    <col min="28" max="43" width="10.109375" style="108" bestFit="1" customWidth="1"/>
    <col min="44" max="16384" width="9.109375" style="108"/>
  </cols>
  <sheetData>
    <row r="1" spans="1:28" ht="21.5" thickBot="1" x14ac:dyDescent="0.55000000000000004">
      <c r="A1" s="922" t="s">
        <v>13</v>
      </c>
      <c r="B1" s="922"/>
      <c r="C1" s="922"/>
      <c r="D1" s="922"/>
      <c r="E1" s="922"/>
      <c r="F1" s="922"/>
      <c r="G1" s="922"/>
      <c r="H1" s="922"/>
      <c r="I1" s="922"/>
      <c r="J1" s="922"/>
      <c r="K1" s="922"/>
      <c r="L1" s="922"/>
      <c r="M1" s="922"/>
      <c r="N1" s="922"/>
      <c r="O1" s="922"/>
      <c r="P1" s="922"/>
      <c r="Q1" s="922"/>
      <c r="R1" s="922"/>
      <c r="S1" s="922"/>
      <c r="AA1" s="108" t="s">
        <v>2937</v>
      </c>
      <c r="AB1" s="108" t="s">
        <v>4069</v>
      </c>
    </row>
    <row r="2" spans="1:28" x14ac:dyDescent="0.3">
      <c r="A2" s="923" t="s">
        <v>548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923"/>
      <c r="N2" s="923"/>
      <c r="O2" s="923"/>
      <c r="P2" s="923"/>
      <c r="Q2" s="923"/>
      <c r="R2" s="923"/>
      <c r="S2" s="923"/>
      <c r="AA2" s="108" t="s">
        <v>4070</v>
      </c>
      <c r="AB2" s="108" t="s">
        <v>4071</v>
      </c>
    </row>
    <row r="3" spans="1:28" x14ac:dyDescent="0.3">
      <c r="A3" s="924" t="s">
        <v>15</v>
      </c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924"/>
      <c r="S3" s="924"/>
      <c r="AA3" s="108" t="s">
        <v>2936</v>
      </c>
      <c r="AB3" s="108" t="s">
        <v>4072</v>
      </c>
    </row>
    <row r="5" spans="1:28" x14ac:dyDescent="0.3">
      <c r="A5" s="533" t="s">
        <v>4073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  <c r="L5" s="534"/>
      <c r="M5" s="534"/>
      <c r="N5" s="534"/>
      <c r="O5" s="534"/>
      <c r="P5" s="534"/>
      <c r="Q5" s="534"/>
      <c r="R5" s="534"/>
      <c r="S5" s="534"/>
    </row>
    <row r="6" spans="1:28" x14ac:dyDescent="0.3">
      <c r="B6" s="934"/>
      <c r="C6" s="934"/>
      <c r="D6" s="934"/>
      <c r="E6" s="934"/>
      <c r="F6" s="934"/>
      <c r="G6" s="934"/>
      <c r="H6" s="934"/>
      <c r="I6" s="934"/>
      <c r="J6" s="934"/>
      <c r="K6" s="934"/>
      <c r="L6" s="934"/>
      <c r="M6" s="934"/>
      <c r="N6" s="934"/>
      <c r="O6" s="934"/>
      <c r="P6" s="934"/>
      <c r="Q6" s="934"/>
    </row>
    <row r="7" spans="1:28" x14ac:dyDescent="0.3">
      <c r="A7" s="951" t="s">
        <v>4074</v>
      </c>
      <c r="B7" s="936"/>
      <c r="C7" s="936"/>
      <c r="D7" s="936"/>
      <c r="E7" s="936"/>
      <c r="F7" s="936"/>
      <c r="G7" s="936"/>
      <c r="H7" s="936"/>
      <c r="I7" s="936"/>
      <c r="J7" s="936"/>
      <c r="K7" s="936"/>
      <c r="L7" s="936"/>
      <c r="M7" s="936"/>
      <c r="N7" s="936"/>
      <c r="O7" s="936"/>
      <c r="P7" s="936"/>
      <c r="Q7" s="936"/>
    </row>
    <row r="8" spans="1:28" ht="12.5" thickBot="1" x14ac:dyDescent="0.35">
      <c r="B8" s="936"/>
      <c r="C8" s="936"/>
      <c r="D8" s="936"/>
      <c r="E8" s="936"/>
      <c r="F8" s="936"/>
      <c r="G8" s="936"/>
      <c r="H8" s="936"/>
      <c r="I8" s="936"/>
      <c r="J8" s="936"/>
      <c r="K8" s="936"/>
      <c r="L8" s="936"/>
      <c r="M8" s="936"/>
      <c r="N8" s="936"/>
      <c r="O8" s="936"/>
      <c r="P8" s="936"/>
      <c r="Q8" s="936"/>
    </row>
    <row r="9" spans="1:28" ht="12.5" thickBot="1" x14ac:dyDescent="0.35">
      <c r="A9" s="538" t="s">
        <v>4075</v>
      </c>
      <c r="B9" s="937" t="s">
        <v>2937</v>
      </c>
      <c r="C9" s="936"/>
      <c r="D9" s="936" t="s">
        <v>4076</v>
      </c>
      <c r="E9" s="936"/>
      <c r="F9" s="937" t="s">
        <v>4071</v>
      </c>
      <c r="G9" s="936"/>
      <c r="H9" s="936"/>
      <c r="I9" s="936"/>
      <c r="J9" s="936"/>
      <c r="K9" s="936"/>
      <c r="L9" s="936"/>
      <c r="M9" s="936"/>
      <c r="N9" s="936"/>
      <c r="O9" s="936"/>
      <c r="P9" s="936"/>
      <c r="Q9" s="936"/>
    </row>
    <row r="10" spans="1:28" x14ac:dyDescent="0.3">
      <c r="B10" s="935"/>
      <c r="C10" s="935"/>
      <c r="D10" s="935"/>
      <c r="E10" s="935"/>
      <c r="F10" s="935"/>
      <c r="G10" s="935"/>
      <c r="H10" s="935"/>
      <c r="I10" s="935"/>
      <c r="J10" s="935"/>
      <c r="K10" s="935"/>
      <c r="L10" s="935"/>
      <c r="M10" s="935"/>
      <c r="N10" s="935"/>
      <c r="O10" s="935"/>
      <c r="P10" s="935"/>
      <c r="Q10" s="935"/>
    </row>
    <row r="11" spans="1:28" x14ac:dyDescent="0.3">
      <c r="B11" s="682">
        <v>2020</v>
      </c>
      <c r="C11" s="682" t="s">
        <v>1125</v>
      </c>
      <c r="D11" s="682" t="s">
        <v>1126</v>
      </c>
      <c r="E11" s="682" t="s">
        <v>1127</v>
      </c>
      <c r="F11" s="682" t="s">
        <v>1128</v>
      </c>
      <c r="G11" s="682">
        <v>2021</v>
      </c>
      <c r="H11" s="682">
        <f>G11+1</f>
        <v>2022</v>
      </c>
      <c r="I11" s="682">
        <f t="shared" ref="I11:Q11" si="0">H11+1</f>
        <v>2023</v>
      </c>
      <c r="J11" s="682">
        <f t="shared" si="0"/>
        <v>2024</v>
      </c>
      <c r="K11" s="682">
        <f t="shared" si="0"/>
        <v>2025</v>
      </c>
      <c r="L11" s="682">
        <f t="shared" si="0"/>
        <v>2026</v>
      </c>
      <c r="M11" s="682">
        <f t="shared" si="0"/>
        <v>2027</v>
      </c>
      <c r="N11" s="682">
        <f t="shared" si="0"/>
        <v>2028</v>
      </c>
      <c r="O11" s="682">
        <f t="shared" si="0"/>
        <v>2029</v>
      </c>
      <c r="P11" s="682">
        <f t="shared" si="0"/>
        <v>2030</v>
      </c>
      <c r="Q11" s="682">
        <f t="shared" si="0"/>
        <v>2031</v>
      </c>
    </row>
    <row r="12" spans="1:28" x14ac:dyDescent="0.3">
      <c r="A12" t="s">
        <v>327</v>
      </c>
      <c r="B12" s="108">
        <f>IF($B$9="Base",New_Build_Base_Case!B7,IF($B$9="Optimistic",New_Build_Optimistic_Case!B7,New_Build_Conservative_Case!B7))</f>
        <v>0</v>
      </c>
      <c r="C12" s="108">
        <f>IF($B$9="Base",New_Build_Base_Case!C7,IF($B$9="Optimistic",New_Build_Optimistic_Case!C7,New_Build_Conservative_Case!C7))</f>
        <v>104</v>
      </c>
      <c r="D12" s="108">
        <f>IF($B$9="Base",New_Build_Base_Case!D7,IF($B$9="Optimistic",New_Build_Optimistic_Case!D7,New_Build_Conservative_Case!D7))</f>
        <v>157</v>
      </c>
      <c r="E12" s="108">
        <f>IF($B$9="Base",New_Build_Base_Case!E7,IF($B$9="Optimistic",New_Build_Optimistic_Case!E7,New_Build_Conservative_Case!E7))</f>
        <v>165</v>
      </c>
      <c r="F12" s="108">
        <f>IF($B$9="Base",New_Build_Base_Case!F7,IF($B$9="Optimistic",New_Build_Optimistic_Case!F7,New_Build_Conservative_Case!F7))</f>
        <v>174</v>
      </c>
      <c r="G12" s="108">
        <f>IF($B$9="Base",New_Build_Base_Case!G7,IF($B$9="Optimistic",New_Build_Optimistic_Case!G7,New_Build_Conservative_Case!G7))</f>
        <v>600</v>
      </c>
      <c r="H12" s="108">
        <f>IF($B$9="Base",New_Build_Base_Case!H7,IF($B$9="Optimistic",New_Build_Optimistic_Case!H7,New_Build_Conservative_Case!H7))</f>
        <v>1000</v>
      </c>
      <c r="I12" s="108">
        <f>IF($B$9="Base",New_Build_Base_Case!I7,IF($B$9="Optimistic",New_Build_Optimistic_Case!I7,New_Build_Conservative_Case!I7))</f>
        <v>1600</v>
      </c>
      <c r="J12" s="108">
        <f>IF($B$9="Base",New_Build_Base_Case!J7,IF($B$9="Optimistic",New_Build_Optimistic_Case!J7,New_Build_Conservative_Case!J7))</f>
        <v>1700</v>
      </c>
      <c r="K12" s="108">
        <f>IF($B$9="Base",New_Build_Base_Case!K7,IF($B$9="Optimistic",New_Build_Optimistic_Case!K7,New_Build_Conservative_Case!K7))</f>
        <v>1700</v>
      </c>
      <c r="L12" s="108">
        <f>IF($B$9="Base",New_Build_Base_Case!L7,IF($B$9="Optimistic",New_Build_Optimistic_Case!L7,New_Build_Conservative_Case!L7))</f>
        <v>14</v>
      </c>
      <c r="M12" s="108">
        <f>IF($B$9="Base",New_Build_Base_Case!M7,IF($B$9="Optimistic",New_Build_Optimistic_Case!M7,New_Build_Conservative_Case!M7))</f>
        <v>0</v>
      </c>
      <c r="N12" s="108">
        <f>IF($B$9="Base",New_Build_Base_Case!N7,IF($B$9="Optimistic",New_Build_Optimistic_Case!N7,New_Build_Conservative_Case!N7))</f>
        <v>0</v>
      </c>
      <c r="O12" s="108">
        <f>IF($B$9="Base",New_Build_Base_Case!O7,IF($B$9="Optimistic",New_Build_Optimistic_Case!O7,New_Build_Conservative_Case!O7))</f>
        <v>0</v>
      </c>
      <c r="P12" s="108">
        <f>IF($B$9="Base",New_Build_Base_Case!P7,IF($B$9="Optimistic",New_Build_Optimistic_Case!P7,New_Build_Conservative_Case!P7))</f>
        <v>0</v>
      </c>
      <c r="Q12" s="108">
        <f>IF($B$9="Base",New_Build_Base_Case!Q7,IF($B$9="Optimistic",New_Build_Optimistic_Case!Q7,New_Build_Conservative_Case!Q7))</f>
        <v>0</v>
      </c>
    </row>
    <row r="13" spans="1:28" x14ac:dyDescent="0.3">
      <c r="A13" s="61" t="s">
        <v>4077</v>
      </c>
      <c r="B13" s="680">
        <f>IF($B$9="Base",New_Build_Base_Case!B8,IF($B$9="Optimistic",New_Build_Optimistic_Case!B8,New_Build_Conservative_Case!B8))</f>
        <v>86</v>
      </c>
      <c r="C13" s="680">
        <f>IF($B$9="Base",New_Build_Base_Case!C8,IF($B$9="Optimistic",New_Build_Optimistic_Case!C8,New_Build_Conservative_Case!C8))</f>
        <v>190</v>
      </c>
      <c r="D13" s="680">
        <f>IF($B$9="Base",New_Build_Base_Case!D8,IF($B$9="Optimistic",New_Build_Optimistic_Case!D8,New_Build_Conservative_Case!D8))</f>
        <v>347</v>
      </c>
      <c r="E13" s="680">
        <f>IF($B$9="Base",New_Build_Base_Case!E8,IF($B$9="Optimistic",New_Build_Optimistic_Case!E8,New_Build_Conservative_Case!E8))</f>
        <v>512</v>
      </c>
      <c r="F13" s="680">
        <f>IF($B$9="Base",New_Build_Base_Case!F8,IF($B$9="Optimistic",New_Build_Optimistic_Case!F8,New_Build_Conservative_Case!F8))</f>
        <v>686</v>
      </c>
      <c r="G13" s="680">
        <f>IF($B$9="Base",New_Build_Base_Case!G8,IF($B$9="Optimistic",New_Build_Optimistic_Case!G8,New_Build_Conservative_Case!G8))</f>
        <v>686</v>
      </c>
      <c r="H13" s="680">
        <f>IF($B$9="Base",New_Build_Base_Case!H8,IF($B$9="Optimistic",New_Build_Optimistic_Case!H8,New_Build_Conservative_Case!H8))</f>
        <v>1686</v>
      </c>
      <c r="I13" s="680">
        <f>IF($B$9="Base",New_Build_Base_Case!I8,IF($B$9="Optimistic",New_Build_Optimistic_Case!I8,New_Build_Conservative_Case!I8))</f>
        <v>3286</v>
      </c>
      <c r="J13" s="680">
        <f>IF($B$9="Base",New_Build_Base_Case!J8,IF($B$9="Optimistic",New_Build_Optimistic_Case!J8,New_Build_Conservative_Case!J8))</f>
        <v>4986</v>
      </c>
      <c r="K13" s="680">
        <f>IF($B$9="Base",New_Build_Base_Case!K8,IF($B$9="Optimistic",New_Build_Optimistic_Case!K8,New_Build_Conservative_Case!K8))</f>
        <v>6686</v>
      </c>
      <c r="L13" s="680">
        <f>IF($B$9="Base",New_Build_Base_Case!L8,IF($B$9="Optimistic",New_Build_Optimistic_Case!L8,New_Build_Conservative_Case!L8))</f>
        <v>6700</v>
      </c>
      <c r="M13" s="680">
        <f>IF($B$9="Base",New_Build_Base_Case!M8,IF($B$9="Optimistic",New_Build_Optimistic_Case!M8,New_Build_Conservative_Case!M8))</f>
        <v>6700</v>
      </c>
      <c r="N13" s="680">
        <f>IF($B$9="Base",New_Build_Base_Case!N8,IF($B$9="Optimistic",New_Build_Optimistic_Case!N8,New_Build_Conservative_Case!N8))</f>
        <v>6700</v>
      </c>
      <c r="O13" s="680">
        <f>IF($B$9="Base",New_Build_Base_Case!O8,IF($B$9="Optimistic",New_Build_Optimistic_Case!O8,New_Build_Conservative_Case!O8))</f>
        <v>6700</v>
      </c>
      <c r="P13" s="680">
        <f>IF($B$9="Base",New_Build_Base_Case!P8,IF($B$9="Optimistic",New_Build_Optimistic_Case!P8,New_Build_Conservative_Case!P8))</f>
        <v>6700</v>
      </c>
      <c r="Q13" s="680">
        <f>IF($B$9="Base",New_Build_Base_Case!Q8,IF($B$9="Optimistic",New_Build_Optimistic_Case!Q8,New_Build_Conservative_Case!Q8))</f>
        <v>6700</v>
      </c>
    </row>
    <row r="15" spans="1:28" x14ac:dyDescent="0.3">
      <c r="A15" s="108" t="s">
        <v>4078</v>
      </c>
      <c r="B15" s="925">
        <f>IF($B$9="Base",New_Build_Base_Case!B10,IF($B$9="Optimistic",New_Build_Optimistic_Case!B10,New_Build_Conservative_Case!B10))</f>
        <v>5.0999999999999996</v>
      </c>
      <c r="C15" s="925">
        <f>IF($B$9="Base",New_Build_Base_Case!C10,IF($B$9="Optimistic",New_Build_Optimistic_Case!C10,New_Build_Conservative_Case!C10))</f>
        <v>2.6</v>
      </c>
      <c r="D15" s="925">
        <f>IF($B$9="Base",New_Build_Base_Case!D10,IF($B$9="Optimistic",New_Build_Optimistic_Case!D10,New_Build_Conservative_Case!D10))</f>
        <v>6.4730000000000008</v>
      </c>
      <c r="E15" s="925">
        <f>IF($B$9="Base",New_Build_Base_Case!E10,IF($B$9="Optimistic",New_Build_Optimistic_Case!E10,New_Build_Conservative_Case!E10))</f>
        <v>10.468540000000001</v>
      </c>
      <c r="F15" s="925">
        <f>IF($B$9="Base",New_Build_Base_Case!F10,IF($B$9="Optimistic",New_Build_Optimistic_Case!F10,New_Build_Conservative_Case!F10))</f>
        <v>14.6091692</v>
      </c>
      <c r="G15" s="925">
        <f>IF($B$9="Base",New_Build_Base_Case!G10,IF($B$9="Optimistic",New_Build_Optimistic_Case!G10,New_Build_Conservative_Case!G10))</f>
        <v>34.150709200000001</v>
      </c>
      <c r="H15" s="925">
        <f>IF($B$9="Base",New_Build_Base_Case!H10,IF($B$9="Optimistic",New_Build_Optimistic_Case!H10,New_Build_Conservative_Case!H10))</f>
        <v>116.83514760749908</v>
      </c>
      <c r="I15" s="925">
        <f>IF($B$9="Base",New_Build_Base_Case!I10,IF($B$9="Optimistic",New_Build_Optimistic_Case!I10,New_Build_Conservative_Case!I10))</f>
        <v>241.56229012205733</v>
      </c>
      <c r="J15" s="925">
        <f>IF($B$9="Base",New_Build_Base_Case!J10,IF($B$9="Optimistic",New_Build_Optimistic_Case!J10,New_Build_Conservative_Case!J10))</f>
        <v>384.19929006526809</v>
      </c>
      <c r="K15" s="925">
        <f>IF($B$9="Base",New_Build_Base_Case!K10,IF($B$9="Optimistic",New_Build_Optimistic_Case!K10,New_Build_Conservative_Case!K10))</f>
        <v>519.34085225080776</v>
      </c>
      <c r="L15" s="925">
        <f>IF($B$9="Base",New_Build_Base_Case!L10,IF($B$9="Optimistic",New_Build_Optimistic_Case!L10,New_Build_Conservative_Case!L10))</f>
        <v>535.76811637194351</v>
      </c>
      <c r="M15" s="925">
        <f>IF($B$9="Base",New_Build_Base_Case!M10,IF($B$9="Optimistic",New_Build_Optimistic_Case!M10,New_Build_Conservative_Case!M10))</f>
        <v>454.22009368921522</v>
      </c>
      <c r="N15" s="925">
        <f>IF($B$9="Base",New_Build_Base_Case!N10,IF($B$9="Optimistic",New_Build_Optimistic_Case!N10,New_Build_Conservative_Case!N10))</f>
        <v>351.49050385934743</v>
      </c>
      <c r="O15" s="925">
        <f>IF($B$9="Base",New_Build_Base_Case!O10,IF($B$9="Optimistic",New_Build_Optimistic_Case!O10,New_Build_Conservative_Case!O10))</f>
        <v>226.38180471579699</v>
      </c>
      <c r="P15" s="925">
        <f>IF($B$9="Base",New_Build_Base_Case!P10,IF($B$9="Optimistic",New_Build_Optimistic_Case!P10,New_Build_Conservative_Case!P10))</f>
        <v>103.67272002825803</v>
      </c>
      <c r="Q15" s="925">
        <f>IF($B$9="Base",New_Build_Base_Case!Q10,IF($B$9="Optimistic",New_Build_Optimistic_Case!Q10,New_Build_Conservative_Case!Q10))</f>
        <v>8.6784720898067462</v>
      </c>
    </row>
    <row r="16" spans="1:28" x14ac:dyDescent="0.3">
      <c r="A16" s="108" t="s">
        <v>4079</v>
      </c>
      <c r="B16" s="925">
        <f>IF($B$9="Base",New_Build_Base_Case!B11,IF($B$9="Optimistic",New_Build_Optimistic_Case!B11,New_Build_Conservative_Case!B11))</f>
        <v>5.0999999999999996</v>
      </c>
      <c r="C16" s="925">
        <f>IF($B$9="Base",New_Build_Base_Case!C11,IF($B$9="Optimistic",New_Build_Optimistic_Case!C11,New_Build_Conservative_Case!C11))</f>
        <v>7.6999999999999993</v>
      </c>
      <c r="D16" s="925">
        <f>IF($B$9="Base",New_Build_Base_Case!D11,IF($B$9="Optimistic",New_Build_Optimistic_Case!D11,New_Build_Conservative_Case!D11))</f>
        <v>14.173</v>
      </c>
      <c r="E16" s="925">
        <f>IF($B$9="Base",New_Build_Base_Case!E11,IF($B$9="Optimistic",New_Build_Optimistic_Case!E11,New_Build_Conservative_Case!E11))</f>
        <v>24.641539999999999</v>
      </c>
      <c r="F16" s="925">
        <f>IF($B$9="Base",New_Build_Base_Case!F11,IF($B$9="Optimistic",New_Build_Optimistic_Case!F11,New_Build_Conservative_Case!F11))</f>
        <v>39.250709200000003</v>
      </c>
      <c r="G16" s="925">
        <f>IF($B$9="Base",New_Build_Base_Case!G11,IF($B$9="Optimistic",New_Build_Optimistic_Case!G11,New_Build_Conservative_Case!G11))</f>
        <v>39.250709200000003</v>
      </c>
      <c r="H16" s="925">
        <f>IF($B$9="Base",New_Build_Base_Case!H11,IF($B$9="Optimistic",New_Build_Optimistic_Case!H11,New_Build_Conservative_Case!H11))</f>
        <v>156.08585680749908</v>
      </c>
      <c r="I16" s="925">
        <f>IF($B$9="Base",New_Build_Base_Case!I11,IF($B$9="Optimistic",New_Build_Optimistic_Case!I11,New_Build_Conservative_Case!I11))</f>
        <v>397.64814692955645</v>
      </c>
      <c r="J16" s="925">
        <f>IF($B$9="Base",New_Build_Base_Case!J11,IF($B$9="Optimistic",New_Build_Optimistic_Case!J11,New_Build_Conservative_Case!J11))</f>
        <v>781.84743699482453</v>
      </c>
      <c r="K16" s="925">
        <f>IF($B$9="Base",New_Build_Base_Case!K11,IF($B$9="Optimistic",New_Build_Optimistic_Case!K11,New_Build_Conservative_Case!K11))</f>
        <v>1301.1882892456324</v>
      </c>
      <c r="L16" s="925">
        <f>IF($B$9="Base",New_Build_Base_Case!L11,IF($B$9="Optimistic",New_Build_Optimistic_Case!L11,New_Build_Conservative_Case!L11))</f>
        <v>1836.9564056175759</v>
      </c>
      <c r="M16" s="925">
        <f>IF($B$9="Base",New_Build_Base_Case!M11,IF($B$9="Optimistic",New_Build_Optimistic_Case!M11,New_Build_Conservative_Case!M11))</f>
        <v>2291.1764993067909</v>
      </c>
      <c r="N16" s="925">
        <f>IF($B$9="Base",New_Build_Base_Case!N11,IF($B$9="Optimistic",New_Build_Optimistic_Case!N11,New_Build_Conservative_Case!N11))</f>
        <v>2642.6670031661383</v>
      </c>
      <c r="O16" s="925">
        <f>IF($B$9="Base",New_Build_Base_Case!O11,IF($B$9="Optimistic",New_Build_Optimistic_Case!O11,New_Build_Conservative_Case!O11))</f>
        <v>2869.0488078819353</v>
      </c>
      <c r="P16" s="925">
        <f>IF($B$9="Base",New_Build_Base_Case!P11,IF($B$9="Optimistic",New_Build_Optimistic_Case!P11,New_Build_Conservative_Case!P11))</f>
        <v>2972.7215279101933</v>
      </c>
      <c r="Q16" s="925">
        <f>IF($B$9="Base",New_Build_Base_Case!Q11,IF($B$9="Optimistic",New_Build_Optimistic_Case!Q11,New_Build_Conservative_Case!Q11))</f>
        <v>2981.4</v>
      </c>
    </row>
    <row r="26" spans="1:27" x14ac:dyDescent="0.3">
      <c r="A26" s="538" t="s">
        <v>44</v>
      </c>
      <c r="B26" s="682">
        <v>2020</v>
      </c>
      <c r="C26" s="682">
        <v>2021</v>
      </c>
      <c r="D26" s="682">
        <f t="shared" ref="D26:L26" si="1">C26+1</f>
        <v>2022</v>
      </c>
      <c r="E26" s="682">
        <f t="shared" si="1"/>
        <v>2023</v>
      </c>
      <c r="F26" s="682">
        <f t="shared" si="1"/>
        <v>2024</v>
      </c>
      <c r="G26" s="682">
        <f t="shared" si="1"/>
        <v>2025</v>
      </c>
      <c r="H26" s="682">
        <f t="shared" si="1"/>
        <v>2026</v>
      </c>
      <c r="I26" s="682">
        <f t="shared" si="1"/>
        <v>2027</v>
      </c>
      <c r="J26" s="682">
        <f t="shared" si="1"/>
        <v>2028</v>
      </c>
      <c r="K26" s="682">
        <f t="shared" si="1"/>
        <v>2029</v>
      </c>
      <c r="L26" s="682">
        <f t="shared" si="1"/>
        <v>2030</v>
      </c>
    </row>
    <row r="27" spans="1:27" x14ac:dyDescent="0.3">
      <c r="A27" s="927" t="s">
        <v>4069</v>
      </c>
      <c r="B27" s="925">
        <v>2772</v>
      </c>
      <c r="C27" s="925">
        <v>2340.8147765327703</v>
      </c>
      <c r="D27" s="925">
        <v>1985.1288854287322</v>
      </c>
      <c r="E27" s="925">
        <v>1982.482559434316</v>
      </c>
      <c r="F27" s="925">
        <v>2062.6606304069087</v>
      </c>
      <c r="G27" s="925">
        <v>2198.5828672411171</v>
      </c>
      <c r="H27" s="925">
        <v>2395.7381195042826</v>
      </c>
      <c r="I27" s="925">
        <v>2656.3016210462638</v>
      </c>
      <c r="J27" s="925">
        <v>2947.5142805700548</v>
      </c>
      <c r="K27" s="925">
        <v>3235.4374464334824</v>
      </c>
      <c r="L27" s="925">
        <v>3500.6691482553179</v>
      </c>
    </row>
    <row r="28" spans="1:27" x14ac:dyDescent="0.3">
      <c r="A28" s="927" t="s">
        <v>4071</v>
      </c>
      <c r="B28" s="925">
        <v>2772</v>
      </c>
      <c r="C28" s="925">
        <v>2340.8147765327703</v>
      </c>
      <c r="D28" s="925">
        <v>1985.5766378853723</v>
      </c>
      <c r="E28" s="925">
        <v>1986.5357618658077</v>
      </c>
      <c r="F28" s="925">
        <v>2078.9116564650667</v>
      </c>
      <c r="G28" s="925">
        <v>2240.35998435071</v>
      </c>
      <c r="H28" s="925">
        <v>2479.839575315707</v>
      </c>
      <c r="I28" s="925">
        <v>2793.7504448770501</v>
      </c>
      <c r="J28" s="925">
        <v>3125.8404729001513</v>
      </c>
      <c r="K28" s="925">
        <v>3420.2220160179222</v>
      </c>
      <c r="L28" s="925">
        <v>3666.2695322218424</v>
      </c>
    </row>
    <row r="29" spans="1:27" x14ac:dyDescent="0.3">
      <c r="A29" s="927" t="s">
        <v>4072</v>
      </c>
      <c r="B29" s="925">
        <v>2772</v>
      </c>
      <c r="C29" s="925">
        <v>2340.8147765327703</v>
      </c>
      <c r="D29" s="925">
        <v>1986.0741406149741</v>
      </c>
      <c r="E29" s="925">
        <v>1990.8708394378186</v>
      </c>
      <c r="F29" s="925">
        <v>2095.869643030097</v>
      </c>
      <c r="G29" s="925">
        <v>2283.358825106478</v>
      </c>
      <c r="H29" s="925">
        <v>2553.9362130249719</v>
      </c>
      <c r="I29" s="925">
        <v>2881.9845738418135</v>
      </c>
      <c r="J29" s="925">
        <v>3209.2994759121311</v>
      </c>
      <c r="K29" s="925">
        <v>3493.3853397860848</v>
      </c>
      <c r="L29" s="925">
        <v>3729.1814079904707</v>
      </c>
    </row>
    <row r="31" spans="1:27" ht="14.5" x14ac:dyDescent="0.35">
      <c r="W31" s="952"/>
      <c r="X31" s="953"/>
      <c r="Y31" s="1856" t="s">
        <v>4080</v>
      </c>
      <c r="Z31" s="1856"/>
      <c r="AA31" s="1856"/>
    </row>
    <row r="32" spans="1:27" ht="14.5" x14ac:dyDescent="0.35">
      <c r="A32" s="538" t="s">
        <v>3644</v>
      </c>
      <c r="W32" s="954" t="s">
        <v>4081</v>
      </c>
      <c r="X32" s="955">
        <f>'Model Main'!FC132</f>
        <v>-1838.2067340418082</v>
      </c>
      <c r="Y32" s="956" t="s">
        <v>4069</v>
      </c>
      <c r="Z32" s="956" t="s">
        <v>4071</v>
      </c>
      <c r="AA32" s="956" t="s">
        <v>4072</v>
      </c>
    </row>
    <row r="33" spans="1:27" ht="14.5" x14ac:dyDescent="0.35">
      <c r="A33" s="927" t="s">
        <v>4069</v>
      </c>
      <c r="C33" s="950">
        <f>C27/B27-1</f>
        <v>-0.15555022491602799</v>
      </c>
      <c r="D33" s="950">
        <f t="shared" ref="D33:L33" si="2">D27/C27-1</f>
        <v>-0.15194960945644842</v>
      </c>
      <c r="E33" s="950">
        <f t="shared" si="2"/>
        <v>-1.3330751538808139E-3</v>
      </c>
      <c r="F33" s="950">
        <f t="shared" si="2"/>
        <v>4.0443266747058226E-2</v>
      </c>
      <c r="G33" s="950">
        <f t="shared" si="2"/>
        <v>6.5896558469433986E-2</v>
      </c>
      <c r="H33" s="950">
        <f t="shared" si="2"/>
        <v>8.9673787238488289E-2</v>
      </c>
      <c r="I33" s="950">
        <f t="shared" si="2"/>
        <v>0.10876126210150883</v>
      </c>
      <c r="J33" s="950">
        <f t="shared" si="2"/>
        <v>0.10963087068745159</v>
      </c>
      <c r="K33" s="950">
        <f t="shared" si="2"/>
        <v>9.7683382829189425E-2</v>
      </c>
      <c r="L33" s="950">
        <f t="shared" si="2"/>
        <v>8.1977076118163961E-2</v>
      </c>
      <c r="W33" s="957" t="s">
        <v>2306</v>
      </c>
      <c r="X33" s="958" t="s">
        <v>2936</v>
      </c>
      <c r="Y33" s="959">
        <f t="dataTable" ref="Y33:AA35" dt2D="1" dtr="1" r1="F9" r2="B9"/>
        <v>-1838.2067340418082</v>
      </c>
      <c r="Z33" s="959">
        <v>-1838.2067340418082</v>
      </c>
      <c r="AA33" s="959">
        <v>-1838.2067340418082</v>
      </c>
    </row>
    <row r="34" spans="1:27" ht="14.5" x14ac:dyDescent="0.35">
      <c r="A34" s="927" t="s">
        <v>4071</v>
      </c>
      <c r="C34" s="950">
        <f t="shared" ref="C34:L35" si="3">C28/B28-1</f>
        <v>-0.15555022491602799</v>
      </c>
      <c r="D34" s="950">
        <f t="shared" si="3"/>
        <v>-0.15175832885572393</v>
      </c>
      <c r="E34" s="950">
        <f t="shared" si="3"/>
        <v>4.8304556073786031E-4</v>
      </c>
      <c r="F34" s="950">
        <f t="shared" si="3"/>
        <v>4.6500997551887524E-2</v>
      </c>
      <c r="G34" s="950">
        <f t="shared" si="3"/>
        <v>7.766002339905409E-2</v>
      </c>
      <c r="H34" s="950">
        <f t="shared" si="3"/>
        <v>0.10689335313869286</v>
      </c>
      <c r="I34" s="950">
        <f t="shared" si="3"/>
        <v>0.1265851519937049</v>
      </c>
      <c r="J34" s="950">
        <f t="shared" si="3"/>
        <v>0.11886889490507668</v>
      </c>
      <c r="K34" s="950">
        <f t="shared" si="3"/>
        <v>9.4176764831713999E-2</v>
      </c>
      <c r="L34" s="950">
        <f t="shared" si="3"/>
        <v>7.1939048123661697E-2</v>
      </c>
      <c r="W34" s="957" t="s">
        <v>4082</v>
      </c>
      <c r="X34" s="958" t="s">
        <v>2937</v>
      </c>
      <c r="Y34" s="959">
        <v>-1838.2067340418082</v>
      </c>
      <c r="Z34" s="959">
        <v>-1838.2067340418082</v>
      </c>
      <c r="AA34" s="959">
        <v>-1838.2067340418082</v>
      </c>
    </row>
    <row r="35" spans="1:27" ht="14.5" x14ac:dyDescent="0.35">
      <c r="A35" s="927" t="s">
        <v>4072</v>
      </c>
      <c r="C35" s="950">
        <f t="shared" si="3"/>
        <v>-0.15555022491602799</v>
      </c>
      <c r="D35" s="950">
        <f t="shared" si="3"/>
        <v>-0.15154579485491815</v>
      </c>
      <c r="E35" s="950">
        <f t="shared" si="3"/>
        <v>2.4151660427738086E-3</v>
      </c>
      <c r="F35" s="950">
        <f t="shared" si="3"/>
        <v>5.2740138391864644E-2</v>
      </c>
      <c r="G35" s="950">
        <f t="shared" si="3"/>
        <v>8.9456509234667525E-2</v>
      </c>
      <c r="H35" s="950">
        <f t="shared" si="3"/>
        <v>0.11849972283960941</v>
      </c>
      <c r="I35" s="950">
        <f t="shared" si="3"/>
        <v>0.1284481417914074</v>
      </c>
      <c r="J35" s="950">
        <f t="shared" si="3"/>
        <v>0.11357274603104228</v>
      </c>
      <c r="K35" s="950">
        <f t="shared" si="3"/>
        <v>8.8519586908670123E-2</v>
      </c>
      <c r="L35" s="950">
        <f t="shared" si="3"/>
        <v>6.7497869622028306E-2</v>
      </c>
      <c r="W35" s="957" t="s">
        <v>2307</v>
      </c>
      <c r="X35" s="958" t="s">
        <v>4070</v>
      </c>
      <c r="Y35" s="959">
        <v>-1838.2067340418082</v>
      </c>
      <c r="Z35" s="959">
        <v>-1838.2067340418082</v>
      </c>
      <c r="AA35" s="959">
        <v>-1838.2067340418082</v>
      </c>
    </row>
    <row r="36" spans="1:27" ht="14.5" x14ac:dyDescent="0.35">
      <c r="W36" s="960"/>
      <c r="X36" s="960"/>
      <c r="Y36" s="960"/>
      <c r="Z36" s="960"/>
      <c r="AA36" s="960"/>
    </row>
    <row r="37" spans="1:27" ht="14.5" x14ac:dyDescent="0.35">
      <c r="W37" s="952"/>
      <c r="X37" s="953"/>
      <c r="Y37" s="1857" t="s">
        <v>4080</v>
      </c>
      <c r="Z37" s="1857"/>
      <c r="AA37" s="1857"/>
    </row>
    <row r="38" spans="1:27" ht="14.5" x14ac:dyDescent="0.35">
      <c r="W38" s="954" t="s">
        <v>4081</v>
      </c>
      <c r="X38" s="955">
        <f>'Model Main'!FH132</f>
        <v>895.51751512356009</v>
      </c>
      <c r="Y38" s="956" t="s">
        <v>4069</v>
      </c>
      <c r="Z38" s="956" t="s">
        <v>4071</v>
      </c>
      <c r="AA38" s="956" t="s">
        <v>4072</v>
      </c>
    </row>
    <row r="39" spans="1:27" ht="14.5" x14ac:dyDescent="0.35">
      <c r="W39" s="957" t="s">
        <v>2306</v>
      </c>
      <c r="X39" s="958" t="s">
        <v>2936</v>
      </c>
      <c r="Y39" s="959">
        <f t="dataTable" ref="Y39:AA41" dt2D="1" dtr="1" r1="F9" r2="B9"/>
        <v>895.51751512356009</v>
      </c>
      <c r="Z39" s="959">
        <v>895.51751512356009</v>
      </c>
      <c r="AA39" s="959">
        <v>895.51751512356009</v>
      </c>
    </row>
    <row r="40" spans="1:27" ht="14.5" x14ac:dyDescent="0.35">
      <c r="W40" s="957" t="s">
        <v>4082</v>
      </c>
      <c r="X40" s="958" t="s">
        <v>2937</v>
      </c>
      <c r="Y40" s="959">
        <v>895.51751512356009</v>
      </c>
      <c r="Z40" s="959">
        <v>895.51751512356009</v>
      </c>
      <c r="AA40" s="959">
        <v>895.51751512356009</v>
      </c>
    </row>
    <row r="41" spans="1:27" ht="14.5" x14ac:dyDescent="0.35">
      <c r="W41" s="957" t="s">
        <v>2307</v>
      </c>
      <c r="X41" s="958" t="s">
        <v>4070</v>
      </c>
      <c r="Y41" s="959">
        <v>895.51751512356009</v>
      </c>
      <c r="Z41" s="959">
        <v>895.51751512356009</v>
      </c>
      <c r="AA41" s="959">
        <v>895.51751512356009</v>
      </c>
    </row>
    <row r="42" spans="1:27" ht="14.5" x14ac:dyDescent="0.35">
      <c r="W42" s="960"/>
      <c r="X42" s="960"/>
      <c r="Y42" s="960"/>
      <c r="Z42" s="960"/>
      <c r="AA42" s="960"/>
    </row>
    <row r="43" spans="1:27" ht="14.5" x14ac:dyDescent="0.35">
      <c r="W43" s="952"/>
      <c r="X43" s="953"/>
      <c r="Y43" s="1857" t="s">
        <v>4080</v>
      </c>
      <c r="Z43" s="1857"/>
      <c r="AA43" s="1857"/>
    </row>
    <row r="44" spans="1:27" ht="14.5" x14ac:dyDescent="0.35">
      <c r="W44" s="954" t="s">
        <v>4081</v>
      </c>
      <c r="X44" s="961">
        <f>Valuation!C141</f>
        <v>67.190072716945934</v>
      </c>
      <c r="Y44" s="956" t="s">
        <v>4069</v>
      </c>
      <c r="Z44" s="956" t="s">
        <v>4071</v>
      </c>
      <c r="AA44" s="956" t="s">
        <v>4072</v>
      </c>
    </row>
    <row r="45" spans="1:27" ht="14.5" x14ac:dyDescent="0.35">
      <c r="W45" s="957" t="s">
        <v>2306</v>
      </c>
      <c r="X45" s="958" t="s">
        <v>2936</v>
      </c>
      <c r="Y45" s="962">
        <f t="dataTable" ref="Y45:AA47" dt2D="1" dtr="1" r1="F9" r2="B9"/>
        <v>67.190072716945934</v>
      </c>
      <c r="Z45" s="962">
        <v>67.190072716945934</v>
      </c>
      <c r="AA45" s="962">
        <v>67.190072716945934</v>
      </c>
    </row>
    <row r="46" spans="1:27" ht="14.5" x14ac:dyDescent="0.35">
      <c r="W46" s="957" t="s">
        <v>4082</v>
      </c>
      <c r="X46" s="958" t="s">
        <v>2937</v>
      </c>
      <c r="Y46" s="962">
        <v>67.190072716945934</v>
      </c>
      <c r="Z46" s="962">
        <v>67.190072716945934</v>
      </c>
      <c r="AA46" s="962">
        <v>67.190072716945934</v>
      </c>
    </row>
    <row r="47" spans="1:27" ht="14.5" x14ac:dyDescent="0.35">
      <c r="W47" s="957" t="s">
        <v>2307</v>
      </c>
      <c r="X47" s="958" t="s">
        <v>4070</v>
      </c>
      <c r="Y47" s="962">
        <v>67.190072716945934</v>
      </c>
      <c r="Z47" s="962">
        <v>67.190072716945934</v>
      </c>
      <c r="AA47" s="962">
        <v>67.190072716945934</v>
      </c>
    </row>
    <row r="50" spans="1:27" ht="14.5" x14ac:dyDescent="0.35">
      <c r="W50" s="952"/>
      <c r="X50" s="953"/>
      <c r="Y50" s="1857" t="s">
        <v>4080</v>
      </c>
      <c r="Z50" s="1857"/>
      <c r="AA50" s="1857"/>
    </row>
    <row r="51" spans="1:27" ht="14.5" x14ac:dyDescent="0.35">
      <c r="W51" s="954" t="s">
        <v>4081</v>
      </c>
      <c r="X51" s="961">
        <f>X44</f>
        <v>67.190072716945934</v>
      </c>
      <c r="Y51" s="956" t="s">
        <v>4069</v>
      </c>
      <c r="Z51" s="956" t="s">
        <v>4071</v>
      </c>
      <c r="AA51" s="956" t="s">
        <v>4072</v>
      </c>
    </row>
    <row r="52" spans="1:27" ht="14.5" x14ac:dyDescent="0.35">
      <c r="W52" s="957" t="s">
        <v>2306</v>
      </c>
      <c r="X52" s="958" t="s">
        <v>2936</v>
      </c>
      <c r="Y52" s="962" t="e">
        <f>Y53-(#REF!-#REF!)</f>
        <v>#REF!</v>
      </c>
      <c r="Z52" s="962" t="e">
        <f>Z53-(#REF!-#REF!)</f>
        <v>#REF!</v>
      </c>
      <c r="AA52" s="962" t="e">
        <f>AA53-(#REF!-#REF!)</f>
        <v>#REF!</v>
      </c>
    </row>
    <row r="53" spans="1:27" ht="14.5" x14ac:dyDescent="0.35">
      <c r="W53" s="957" t="s">
        <v>4082</v>
      </c>
      <c r="X53" s="958" t="s">
        <v>2937</v>
      </c>
      <c r="Y53" s="962">
        <f>Y46</f>
        <v>67.190072716945934</v>
      </c>
      <c r="Z53" s="962">
        <f>Z46</f>
        <v>67.190072716945934</v>
      </c>
      <c r="AA53" s="962">
        <f>AA46</f>
        <v>67.190072716945934</v>
      </c>
    </row>
    <row r="54" spans="1:27" ht="14.5" x14ac:dyDescent="0.35">
      <c r="W54" s="957" t="s">
        <v>2307</v>
      </c>
      <c r="X54" s="958" t="s">
        <v>4070</v>
      </c>
      <c r="Y54" s="962" t="e">
        <f>Y53+(#REF!-#REF!)</f>
        <v>#REF!</v>
      </c>
      <c r="Z54" s="962" t="e">
        <f>Z53+(#REF!-#REF!)</f>
        <v>#REF!</v>
      </c>
      <c r="AA54" s="962" t="e">
        <f>AA53+(#REF!-#REF!)</f>
        <v>#REF!</v>
      </c>
    </row>
    <row r="62" spans="1:27" x14ac:dyDescent="0.3">
      <c r="A62" s="538" t="s">
        <v>44</v>
      </c>
      <c r="B62" s="682">
        <v>2020</v>
      </c>
      <c r="C62" s="682">
        <v>2021</v>
      </c>
      <c r="D62" s="682">
        <f t="shared" ref="D62:L62" si="4">C62+1</f>
        <v>2022</v>
      </c>
      <c r="E62" s="682">
        <f t="shared" si="4"/>
        <v>2023</v>
      </c>
      <c r="F62" s="682">
        <f t="shared" si="4"/>
        <v>2024</v>
      </c>
      <c r="G62" s="682">
        <f t="shared" si="4"/>
        <v>2025</v>
      </c>
      <c r="H62" s="682">
        <f t="shared" si="4"/>
        <v>2026</v>
      </c>
      <c r="I62" s="682">
        <f t="shared" si="4"/>
        <v>2027</v>
      </c>
      <c r="J62" s="682">
        <f t="shared" si="4"/>
        <v>2028</v>
      </c>
      <c r="K62" s="682">
        <f t="shared" si="4"/>
        <v>2029</v>
      </c>
      <c r="L62" s="682">
        <f t="shared" si="4"/>
        <v>2030</v>
      </c>
    </row>
    <row r="63" spans="1:27" x14ac:dyDescent="0.3">
      <c r="A63" s="108" t="s">
        <v>4083</v>
      </c>
      <c r="B63" s="925">
        <v>2772</v>
      </c>
      <c r="C63" s="925">
        <v>2448.5987656680049</v>
      </c>
      <c r="D63" s="925">
        <v>1959.2556241824459</v>
      </c>
      <c r="E63" s="925">
        <v>1921.954425482887</v>
      </c>
      <c r="F63" s="925">
        <v>2045.7146143971931</v>
      </c>
      <c r="G63" s="925">
        <v>2283.2884036358596</v>
      </c>
      <c r="H63" s="925">
        <v>2637.0883519805493</v>
      </c>
      <c r="I63" s="925">
        <v>3088.5942931158506</v>
      </c>
      <c r="J63" s="925">
        <v>3510.5094287609782</v>
      </c>
      <c r="K63" s="925">
        <v>3822.1342641610845</v>
      </c>
      <c r="L63" s="925">
        <v>3988.685989888023</v>
      </c>
    </row>
    <row r="64" spans="1:27" x14ac:dyDescent="0.3">
      <c r="A64" s="108" t="s">
        <v>4084</v>
      </c>
      <c r="B64" s="925">
        <v>2772</v>
      </c>
      <c r="C64" s="925">
        <v>2448.4851660475724</v>
      </c>
      <c r="D64" s="925">
        <v>1956.6086584537888</v>
      </c>
      <c r="E64" s="925">
        <v>1909.6333233972764</v>
      </c>
      <c r="F64" s="925">
        <v>2009.5460945257964</v>
      </c>
      <c r="G64" s="925">
        <v>2202.7113455368276</v>
      </c>
      <c r="H64" s="925">
        <v>2487.4973718516321</v>
      </c>
      <c r="I64" s="925">
        <v>2852.354229688036</v>
      </c>
      <c r="J64" s="925">
        <v>3193.1748481549184</v>
      </c>
      <c r="K64" s="925">
        <v>3455.2960073050526</v>
      </c>
      <c r="L64" s="925">
        <v>3614.3915139229812</v>
      </c>
    </row>
    <row r="65" spans="1:12" x14ac:dyDescent="0.3">
      <c r="A65" s="108" t="s">
        <v>4085</v>
      </c>
      <c r="B65" s="925">
        <v>2772</v>
      </c>
      <c r="C65" s="925">
        <v>2448.392892926503</v>
      </c>
      <c r="D65" s="925">
        <v>1954.3641039427857</v>
      </c>
      <c r="E65" s="925">
        <v>1898.8585233269296</v>
      </c>
      <c r="F65" s="925">
        <v>1976.8455516648974</v>
      </c>
      <c r="G65" s="925">
        <v>2130.0242262022334</v>
      </c>
      <c r="H65" s="925">
        <v>2366.7849361834387</v>
      </c>
      <c r="I65" s="925">
        <v>2697.3807349350109</v>
      </c>
      <c r="J65" s="925">
        <v>3025.0890539485708</v>
      </c>
      <c r="K65" s="925">
        <v>3291.5859231818049</v>
      </c>
      <c r="L65" s="925">
        <v>3475.0116258495855</v>
      </c>
    </row>
    <row r="68" spans="1:12" x14ac:dyDescent="0.3">
      <c r="A68" s="538" t="s">
        <v>3644</v>
      </c>
    </row>
    <row r="69" spans="1:12" x14ac:dyDescent="0.3">
      <c r="A69" s="108" t="s">
        <v>4083</v>
      </c>
      <c r="C69" s="950">
        <f>C63/B63-1</f>
        <v>-0.11666711195237922</v>
      </c>
      <c r="D69" s="950">
        <f t="shared" ref="D69:L69" si="5">D63/C63-1</f>
        <v>-0.19984619299277506</v>
      </c>
      <c r="E69" s="950">
        <f t="shared" si="5"/>
        <v>-1.9038454318651699E-2</v>
      </c>
      <c r="F69" s="950">
        <f t="shared" si="5"/>
        <v>6.4392884281432305E-2</v>
      </c>
      <c r="G69" s="950">
        <f t="shared" si="5"/>
        <v>0.11613242021476777</v>
      </c>
      <c r="H69" s="950">
        <f t="shared" si="5"/>
        <v>0.15495193151303455</v>
      </c>
      <c r="I69" s="950">
        <f t="shared" si="5"/>
        <v>0.17121380889502769</v>
      </c>
      <c r="J69" s="950">
        <f t="shared" si="5"/>
        <v>0.13660425928569886</v>
      </c>
      <c r="K69" s="950">
        <f t="shared" si="5"/>
        <v>8.8769120756953201E-2</v>
      </c>
      <c r="L69" s="950">
        <f t="shared" si="5"/>
        <v>4.3575582178951633E-2</v>
      </c>
    </row>
    <row r="70" spans="1:12" x14ac:dyDescent="0.3">
      <c r="A70" s="108" t="s">
        <v>4084</v>
      </c>
      <c r="C70" s="950">
        <f t="shared" ref="C70:L70" si="6">C64/B64-1</f>
        <v>-0.11670809305643126</v>
      </c>
      <c r="D70" s="950">
        <f t="shared" si="6"/>
        <v>-0.20089013174941439</v>
      </c>
      <c r="E70" s="950">
        <f t="shared" si="6"/>
        <v>-2.4008549105386634E-2</v>
      </c>
      <c r="F70" s="950">
        <f t="shared" si="6"/>
        <v>5.2320395703387312E-2</v>
      </c>
      <c r="G70" s="950">
        <f t="shared" si="6"/>
        <v>9.6123821960209188E-2</v>
      </c>
      <c r="H70" s="950">
        <f t="shared" si="6"/>
        <v>0.12928885434391701</v>
      </c>
      <c r="I70" s="950">
        <f t="shared" si="6"/>
        <v>0.14667627872298539</v>
      </c>
      <c r="J70" s="950">
        <f t="shared" si="6"/>
        <v>0.11948747982264396</v>
      </c>
      <c r="K70" s="950">
        <f t="shared" si="6"/>
        <v>8.2087944323372408E-2</v>
      </c>
      <c r="L70" s="950">
        <f t="shared" si="6"/>
        <v>4.6043958688799735E-2</v>
      </c>
    </row>
    <row r="71" spans="1:12" x14ac:dyDescent="0.3">
      <c r="A71" s="108" t="s">
        <v>4085</v>
      </c>
      <c r="C71" s="950">
        <f t="shared" ref="C71:L71" si="7">C65/B65-1</f>
        <v>-0.11674138061814465</v>
      </c>
      <c r="D71" s="950">
        <f t="shared" si="7"/>
        <v>-0.20177676156918467</v>
      </c>
      <c r="E71" s="950">
        <f t="shared" si="7"/>
        <v>-2.8400839180313331E-2</v>
      </c>
      <c r="F71" s="950">
        <f t="shared" si="7"/>
        <v>4.1070478595387483E-2</v>
      </c>
      <c r="G71" s="950">
        <f t="shared" si="7"/>
        <v>7.74864148634824E-2</v>
      </c>
      <c r="H71" s="950">
        <f t="shared" si="7"/>
        <v>0.11115399865819464</v>
      </c>
      <c r="I71" s="950">
        <f t="shared" si="7"/>
        <v>0.13968138536688279</v>
      </c>
      <c r="J71" s="950">
        <f t="shared" si="7"/>
        <v>0.12149130998425983</v>
      </c>
      <c r="K71" s="950">
        <f t="shared" si="7"/>
        <v>8.8095545116393392E-2</v>
      </c>
      <c r="L71" s="950">
        <f t="shared" si="7"/>
        <v>5.57256310327372E-2</v>
      </c>
    </row>
  </sheetData>
  <mergeCells count="4">
    <mergeCell ref="Y31:AA31"/>
    <mergeCell ref="Y37:AA37"/>
    <mergeCell ref="Y43:AA43"/>
    <mergeCell ref="Y50:AA50"/>
  </mergeCells>
  <dataValidations count="2">
    <dataValidation type="list" allowBlank="1" showInputMessage="1" showErrorMessage="1" sqref="B9" xr:uid="{F4E862EC-2273-4662-9391-9DB9F4C2E262}">
      <formula1>$AA$1:$AA$3</formula1>
    </dataValidation>
    <dataValidation type="list" allowBlank="1" showInputMessage="1" showErrorMessage="1" sqref="F9" xr:uid="{A7627C82-75F2-4784-AD11-6A7C983B47A9}">
      <formula1>$AB$1:$AB$3</formula1>
    </dataValidation>
  </dataValidations>
  <pageMargins left="0.7" right="0.7" top="0.75" bottom="0.75" header="0.3" footer="0.3"/>
  <pageSetup orientation="portrait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77589-7046-4A18-AE62-35FD1108BB3B}">
  <dimension ref="A1:AT90"/>
  <sheetViews>
    <sheetView workbookViewId="0">
      <selection activeCell="ES196" sqref="ES196"/>
    </sheetView>
  </sheetViews>
  <sheetFormatPr defaultColWidth="9.109375" defaultRowHeight="12" x14ac:dyDescent="0.3"/>
  <cols>
    <col min="1" max="1" width="31.44140625" style="108" customWidth="1"/>
    <col min="2" max="2" width="10.109375" style="108" bestFit="1" customWidth="1"/>
    <col min="3" max="8" width="9.33203125" style="108" bestFit="1" customWidth="1"/>
    <col min="9" max="42" width="10.109375" style="108" bestFit="1" customWidth="1"/>
    <col min="43" max="16384" width="9.109375" style="108"/>
  </cols>
  <sheetData>
    <row r="1" spans="1:19" ht="21.5" thickBot="1" x14ac:dyDescent="0.55000000000000004">
      <c r="A1" s="922" t="s">
        <v>13</v>
      </c>
      <c r="B1" s="922"/>
      <c r="C1" s="922"/>
      <c r="D1" s="922"/>
      <c r="E1" s="922"/>
      <c r="F1" s="922"/>
      <c r="G1" s="922"/>
      <c r="H1" s="922"/>
      <c r="I1" s="922"/>
      <c r="J1" s="922"/>
      <c r="K1" s="922"/>
      <c r="L1" s="922"/>
      <c r="M1" s="922"/>
      <c r="N1" s="922"/>
      <c r="O1" s="922"/>
      <c r="P1" s="922"/>
      <c r="Q1" s="922"/>
      <c r="R1" s="922"/>
      <c r="S1" s="922"/>
    </row>
    <row r="2" spans="1:19" x14ac:dyDescent="0.3">
      <c r="A2" s="923" t="s">
        <v>548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923"/>
      <c r="N2" s="923"/>
      <c r="O2" s="923"/>
      <c r="P2" s="923"/>
      <c r="Q2" s="923"/>
      <c r="R2" s="923"/>
      <c r="S2" s="923"/>
    </row>
    <row r="3" spans="1:19" x14ac:dyDescent="0.3">
      <c r="A3" s="924" t="s">
        <v>15</v>
      </c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924"/>
      <c r="S3" s="924"/>
    </row>
    <row r="5" spans="1:19" x14ac:dyDescent="0.3">
      <c r="A5" s="533" t="s">
        <v>4073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  <c r="L5" s="534"/>
      <c r="M5" s="534"/>
      <c r="N5" s="534"/>
      <c r="O5" s="534"/>
      <c r="P5" s="534"/>
      <c r="Q5" s="534"/>
      <c r="R5" s="534"/>
      <c r="S5" s="534"/>
    </row>
    <row r="6" spans="1:19" x14ac:dyDescent="0.3">
      <c r="B6" s="682">
        <v>2020</v>
      </c>
      <c r="C6" s="682" t="s">
        <v>1125</v>
      </c>
      <c r="D6" s="682" t="s">
        <v>1126</v>
      </c>
      <c r="E6" s="682" t="s">
        <v>1127</v>
      </c>
      <c r="F6" s="682" t="s">
        <v>1128</v>
      </c>
      <c r="G6" s="682">
        <v>2021</v>
      </c>
      <c r="H6" s="682">
        <f>G6+1</f>
        <v>2022</v>
      </c>
      <c r="I6" s="682">
        <f t="shared" ref="I6:Q6" si="0">H6+1</f>
        <v>2023</v>
      </c>
      <c r="J6" s="682">
        <f t="shared" si="0"/>
        <v>2024</v>
      </c>
      <c r="K6" s="682">
        <f t="shared" si="0"/>
        <v>2025</v>
      </c>
      <c r="L6" s="682">
        <f t="shared" si="0"/>
        <v>2026</v>
      </c>
      <c r="M6" s="682">
        <f t="shared" si="0"/>
        <v>2027</v>
      </c>
      <c r="N6" s="682">
        <f t="shared" si="0"/>
        <v>2028</v>
      </c>
      <c r="O6" s="682">
        <f t="shared" si="0"/>
        <v>2029</v>
      </c>
      <c r="P6" s="682">
        <f t="shared" si="0"/>
        <v>2030</v>
      </c>
      <c r="Q6" s="682">
        <f t="shared" si="0"/>
        <v>2031</v>
      </c>
    </row>
    <row r="7" spans="1:19" x14ac:dyDescent="0.3">
      <c r="A7" t="s">
        <v>327</v>
      </c>
      <c r="C7" s="929">
        <f>C25</f>
        <v>104</v>
      </c>
      <c r="D7" s="929">
        <f t="shared" ref="C7:F8" si="1">D25</f>
        <v>157</v>
      </c>
      <c r="E7" s="929">
        <f t="shared" si="1"/>
        <v>165</v>
      </c>
      <c r="F7" s="929">
        <f t="shared" si="1"/>
        <v>174</v>
      </c>
      <c r="G7" s="929">
        <f>SUM(C7:F7)</f>
        <v>600</v>
      </c>
      <c r="H7" s="929">
        <f>SUM(G25:J25)</f>
        <v>1000</v>
      </c>
      <c r="I7" s="929">
        <f>SUM(K25:N25)</f>
        <v>1600</v>
      </c>
      <c r="J7" s="929">
        <f>SUM(O25:R25)</f>
        <v>1700</v>
      </c>
      <c r="K7" s="929">
        <f>SUM(S25:V25)</f>
        <v>1700</v>
      </c>
      <c r="L7" s="929">
        <f>SUM(W25:Z25)</f>
        <v>14</v>
      </c>
      <c r="M7" s="929">
        <f>SUM(AA25:AD25)</f>
        <v>0</v>
      </c>
      <c r="N7" s="929">
        <f>SUM(AE25:AH25)</f>
        <v>0</v>
      </c>
      <c r="O7" s="929">
        <f>SUM(AI25:AL25)</f>
        <v>0</v>
      </c>
      <c r="P7" s="929">
        <f>SUM(AM25:AP25)</f>
        <v>0</v>
      </c>
      <c r="Q7" s="929">
        <f>SUM(AQ25:AT25)</f>
        <v>0</v>
      </c>
    </row>
    <row r="8" spans="1:19" x14ac:dyDescent="0.3">
      <c r="A8" s="61" t="s">
        <v>4077</v>
      </c>
      <c r="B8" s="929">
        <f>B26</f>
        <v>86</v>
      </c>
      <c r="C8" s="929">
        <f t="shared" si="1"/>
        <v>190</v>
      </c>
      <c r="D8" s="929">
        <f t="shared" si="1"/>
        <v>347</v>
      </c>
      <c r="E8" s="929">
        <f t="shared" si="1"/>
        <v>512</v>
      </c>
      <c r="F8" s="929">
        <f t="shared" si="1"/>
        <v>686</v>
      </c>
      <c r="G8" s="929">
        <f>F8</f>
        <v>686</v>
      </c>
      <c r="H8" s="929">
        <f>J26</f>
        <v>1686</v>
      </c>
      <c r="I8" s="929">
        <f>N26</f>
        <v>3286</v>
      </c>
      <c r="J8" s="929">
        <f>R26</f>
        <v>4986</v>
      </c>
      <c r="K8" s="929">
        <f>V26</f>
        <v>6686</v>
      </c>
      <c r="L8" s="929">
        <f>Z26</f>
        <v>6700</v>
      </c>
      <c r="M8" s="929">
        <f>AD26</f>
        <v>6700</v>
      </c>
      <c r="N8" s="929">
        <f>AH26</f>
        <v>6700</v>
      </c>
      <c r="O8" s="929">
        <f>AL26</f>
        <v>6700</v>
      </c>
      <c r="P8" s="929">
        <f>AP26</f>
        <v>6700</v>
      </c>
      <c r="Q8" s="929">
        <f>AT26</f>
        <v>6700</v>
      </c>
    </row>
    <row r="10" spans="1:19" x14ac:dyDescent="0.3">
      <c r="A10" s="108" t="s">
        <v>4078</v>
      </c>
      <c r="B10" s="120">
        <f>'Segment Model'!ED208-'Segment Model'!DY208</f>
        <v>5.0999999999999996</v>
      </c>
      <c r="C10" s="929">
        <f>C87</f>
        <v>2.6</v>
      </c>
      <c r="D10" s="929">
        <f>D87</f>
        <v>6.4730000000000008</v>
      </c>
      <c r="E10" s="929">
        <f>E87</f>
        <v>10.468540000000001</v>
      </c>
      <c r="F10" s="929">
        <f>F87</f>
        <v>14.6091692</v>
      </c>
      <c r="G10" s="929">
        <f>SUM(C10:F10)</f>
        <v>34.150709200000001</v>
      </c>
      <c r="H10" s="929">
        <f>SUM(G87:J87)</f>
        <v>116.83514760749908</v>
      </c>
      <c r="I10" s="929">
        <f>SUM(K87:N87)</f>
        <v>241.56229012205733</v>
      </c>
      <c r="J10" s="929">
        <f>SUM(O87:R87)</f>
        <v>384.19929006526809</v>
      </c>
      <c r="K10" s="929">
        <f>SUM(S87:V87)</f>
        <v>519.34085225080776</v>
      </c>
      <c r="L10" s="929">
        <f>SUM(W87:Z87)</f>
        <v>535.76811637194351</v>
      </c>
      <c r="M10" s="929">
        <f>SUM(AA87:AD87)</f>
        <v>454.22009368921522</v>
      </c>
      <c r="N10" s="929">
        <f>SUM(AE87:AH87)</f>
        <v>351.49050385934743</v>
      </c>
      <c r="O10" s="929">
        <f>SUM(AI87:AL87)</f>
        <v>226.38180471579699</v>
      </c>
      <c r="P10" s="929">
        <f>SUM(AM87:AP87)</f>
        <v>103.67272002825803</v>
      </c>
      <c r="Q10" s="929">
        <f>SUM(AQ87:AT87)</f>
        <v>8.6784720898067462</v>
      </c>
    </row>
    <row r="11" spans="1:19" x14ac:dyDescent="0.3">
      <c r="A11" s="108" t="s">
        <v>4079</v>
      </c>
      <c r="B11" s="120">
        <f>B10</f>
        <v>5.0999999999999996</v>
      </c>
      <c r="C11" s="929">
        <f>B11+C10</f>
        <v>7.6999999999999993</v>
      </c>
      <c r="D11" s="929">
        <f>C11+D10</f>
        <v>14.173</v>
      </c>
      <c r="E11" s="929">
        <f>D11+E10</f>
        <v>24.641539999999999</v>
      </c>
      <c r="F11" s="929">
        <f>E11+F10</f>
        <v>39.250709200000003</v>
      </c>
      <c r="G11" s="929">
        <f>F11</f>
        <v>39.250709200000003</v>
      </c>
      <c r="H11" s="929">
        <f t="shared" ref="H11:Q11" si="2">G11+H10</f>
        <v>156.08585680749908</v>
      </c>
      <c r="I11" s="929">
        <f t="shared" si="2"/>
        <v>397.64814692955645</v>
      </c>
      <c r="J11" s="929">
        <f t="shared" si="2"/>
        <v>781.84743699482453</v>
      </c>
      <c r="K11" s="929">
        <f t="shared" si="2"/>
        <v>1301.1882892456324</v>
      </c>
      <c r="L11" s="929">
        <f t="shared" si="2"/>
        <v>1836.9564056175759</v>
      </c>
      <c r="M11" s="929">
        <f t="shared" si="2"/>
        <v>2291.1764993067909</v>
      </c>
      <c r="N11" s="929">
        <f t="shared" si="2"/>
        <v>2642.6670031661383</v>
      </c>
      <c r="O11" s="929">
        <f t="shared" si="2"/>
        <v>2869.0488078819353</v>
      </c>
      <c r="P11" s="929">
        <f t="shared" si="2"/>
        <v>2972.7215279101933</v>
      </c>
      <c r="Q11" s="929">
        <f t="shared" si="2"/>
        <v>2981.4</v>
      </c>
    </row>
    <row r="15" spans="1:19" x14ac:dyDescent="0.3">
      <c r="A15" s="108" t="s">
        <v>4076</v>
      </c>
    </row>
    <row r="16" spans="1:19" x14ac:dyDescent="0.3">
      <c r="A16" s="108" t="s">
        <v>4069</v>
      </c>
      <c r="D16" s="929">
        <v>157</v>
      </c>
      <c r="E16" s="929">
        <v>165</v>
      </c>
      <c r="F16" s="929">
        <v>174</v>
      </c>
      <c r="G16" s="108">
        <v>250</v>
      </c>
      <c r="H16" s="108">
        <f t="shared" ref="H16:J18" si="3">G16</f>
        <v>250</v>
      </c>
      <c r="I16" s="108">
        <f t="shared" si="3"/>
        <v>250</v>
      </c>
      <c r="J16" s="108">
        <f t="shared" si="3"/>
        <v>250</v>
      </c>
    </row>
    <row r="17" spans="1:46" x14ac:dyDescent="0.3">
      <c r="A17" s="108" t="s">
        <v>4071</v>
      </c>
      <c r="D17" s="929">
        <v>157</v>
      </c>
      <c r="E17" s="929">
        <v>165</v>
      </c>
      <c r="F17" s="929">
        <v>174</v>
      </c>
      <c r="G17" s="108">
        <v>250</v>
      </c>
      <c r="H17" s="108">
        <f t="shared" si="3"/>
        <v>250</v>
      </c>
      <c r="I17" s="108">
        <f t="shared" si="3"/>
        <v>250</v>
      </c>
      <c r="J17" s="108">
        <f t="shared" si="3"/>
        <v>250</v>
      </c>
    </row>
    <row r="18" spans="1:46" x14ac:dyDescent="0.3">
      <c r="A18" s="108" t="s">
        <v>4072</v>
      </c>
      <c r="D18" s="929">
        <v>157</v>
      </c>
      <c r="E18" s="929">
        <v>165</v>
      </c>
      <c r="F18" s="929">
        <v>174</v>
      </c>
      <c r="G18" s="108">
        <v>250</v>
      </c>
      <c r="H18" s="108">
        <f t="shared" si="3"/>
        <v>250</v>
      </c>
      <c r="I18" s="108">
        <f t="shared" si="3"/>
        <v>250</v>
      </c>
      <c r="J18" s="108">
        <f t="shared" si="3"/>
        <v>250</v>
      </c>
    </row>
    <row r="22" spans="1:46" x14ac:dyDescent="0.3">
      <c r="A22" s="533" t="s">
        <v>4086</v>
      </c>
      <c r="B22" s="534"/>
      <c r="C22" s="534"/>
      <c r="D22" s="534"/>
      <c r="E22" s="534"/>
      <c r="F22" s="534"/>
      <c r="G22" s="534"/>
      <c r="H22" s="534"/>
      <c r="I22" s="534"/>
      <c r="J22" s="534"/>
      <c r="K22" s="534"/>
      <c r="L22" s="534"/>
      <c r="M22" s="534"/>
      <c r="N22" s="534"/>
      <c r="O22" s="534"/>
      <c r="P22" s="534"/>
      <c r="Q22" s="534"/>
      <c r="R22" s="534"/>
      <c r="S22" s="534"/>
    </row>
    <row r="24" spans="1:46" x14ac:dyDescent="0.3">
      <c r="B24" s="682">
        <v>2020</v>
      </c>
      <c r="C24" s="682" t="s">
        <v>1125</v>
      </c>
      <c r="D24" s="682" t="s">
        <v>1126</v>
      </c>
      <c r="E24" s="682" t="s">
        <v>1127</v>
      </c>
      <c r="F24" s="682" t="s">
        <v>1128</v>
      </c>
      <c r="G24" s="682" t="s">
        <v>922</v>
      </c>
      <c r="H24" s="682" t="s">
        <v>923</v>
      </c>
      <c r="I24" s="682" t="s">
        <v>924</v>
      </c>
      <c r="J24" s="682" t="s">
        <v>925</v>
      </c>
      <c r="K24" s="682" t="s">
        <v>883</v>
      </c>
      <c r="L24" s="682" t="s">
        <v>884</v>
      </c>
      <c r="M24" s="682" t="s">
        <v>885</v>
      </c>
      <c r="N24" s="682" t="s">
        <v>886</v>
      </c>
      <c r="O24" s="682" t="s">
        <v>887</v>
      </c>
      <c r="P24" s="682" t="s">
        <v>888</v>
      </c>
      <c r="Q24" s="682" t="s">
        <v>1027</v>
      </c>
      <c r="R24" s="682" t="s">
        <v>1028</v>
      </c>
      <c r="S24" s="682" t="s">
        <v>1047</v>
      </c>
      <c r="T24" s="682" t="s">
        <v>1048</v>
      </c>
      <c r="U24" s="682" t="s">
        <v>1049</v>
      </c>
      <c r="V24" s="682" t="s">
        <v>1050</v>
      </c>
      <c r="W24" s="682" t="s">
        <v>1051</v>
      </c>
      <c r="X24" s="682" t="s">
        <v>1052</v>
      </c>
      <c r="Y24" s="682" t="s">
        <v>1053</v>
      </c>
      <c r="Z24" s="682" t="s">
        <v>1054</v>
      </c>
      <c r="AA24" s="682" t="s">
        <v>1055</v>
      </c>
      <c r="AB24" s="682" t="s">
        <v>1056</v>
      </c>
      <c r="AC24" s="682" t="s">
        <v>1057</v>
      </c>
      <c r="AD24" s="682" t="s">
        <v>1058</v>
      </c>
      <c r="AE24" s="682" t="s">
        <v>1059</v>
      </c>
      <c r="AF24" s="682" t="s">
        <v>1060</v>
      </c>
      <c r="AG24" s="682" t="s">
        <v>1061</v>
      </c>
      <c r="AH24" s="682" t="s">
        <v>1062</v>
      </c>
      <c r="AI24" s="682" t="s">
        <v>4087</v>
      </c>
      <c r="AJ24" s="682" t="s">
        <v>4088</v>
      </c>
      <c r="AK24" s="682" t="s">
        <v>4089</v>
      </c>
      <c r="AL24" s="682" t="s">
        <v>4090</v>
      </c>
      <c r="AM24" s="682" t="s">
        <v>4091</v>
      </c>
      <c r="AN24" s="682" t="s">
        <v>4092</v>
      </c>
      <c r="AO24" s="682" t="s">
        <v>4093</v>
      </c>
      <c r="AP24" s="682" t="s">
        <v>4094</v>
      </c>
      <c r="AQ24" s="682" t="s">
        <v>4095</v>
      </c>
      <c r="AR24" s="682" t="s">
        <v>4096</v>
      </c>
      <c r="AS24" s="682" t="s">
        <v>4097</v>
      </c>
      <c r="AT24" s="682" t="s">
        <v>4098</v>
      </c>
    </row>
    <row r="25" spans="1:46" x14ac:dyDescent="0.3">
      <c r="A25" t="s">
        <v>327</v>
      </c>
      <c r="B25" s="925"/>
      <c r="C25" s="925">
        <f>'Segment Model'!EE196</f>
        <v>104</v>
      </c>
      <c r="D25" s="929">
        <v>157</v>
      </c>
      <c r="E25" s="929">
        <v>165</v>
      </c>
      <c r="F25" s="929">
        <f>600-SUM(C25:E25)</f>
        <v>174</v>
      </c>
      <c r="G25">
        <f>IF(New_Build_Summary!$F$9=New_Build_Base_Case!$A$16,New_Build_Base_Case!G16,IF(New_Build_Summary!$F$9=New_Build_Base_Case!$A$17,New_Build_Base_Case!G17,New_Build_Base_Case!G18))</f>
        <v>250</v>
      </c>
      <c r="H25">
        <f>IF(New_Build_Summary!$F$9=New_Build_Base_Case!$A$16,New_Build_Base_Case!H16,IF(New_Build_Summary!$F$9=New_Build_Base_Case!$A$17,New_Build_Base_Case!H17,New_Build_Base_Case!H18))</f>
        <v>250</v>
      </c>
      <c r="I25">
        <f>IF(New_Build_Summary!$F$9=New_Build_Base_Case!$A$16,New_Build_Base_Case!I16,IF(New_Build_Summary!$F$9=New_Build_Base_Case!$A$17,New_Build_Base_Case!I17,New_Build_Base_Case!I18))</f>
        <v>250</v>
      </c>
      <c r="J25">
        <f>IF(New_Build_Summary!$F$9=New_Build_Base_Case!$A$16,New_Build_Base_Case!J16,IF(New_Build_Summary!$F$9=New_Build_Base_Case!$A$17,New_Build_Base_Case!J17,New_Build_Base_Case!J18))</f>
        <v>250</v>
      </c>
      <c r="K25" s="925">
        <v>400</v>
      </c>
      <c r="L25" s="925">
        <v>400</v>
      </c>
      <c r="M25" s="925">
        <v>400</v>
      </c>
      <c r="N25" s="925">
        <v>400</v>
      </c>
      <c r="O25" s="925">
        <v>425</v>
      </c>
      <c r="P25" s="925">
        <v>425</v>
      </c>
      <c r="Q25" s="925">
        <v>425</v>
      </c>
      <c r="R25" s="925">
        <v>425</v>
      </c>
      <c r="S25" s="925">
        <v>425</v>
      </c>
      <c r="T25" s="925">
        <v>425</v>
      </c>
      <c r="U25" s="925">
        <v>425</v>
      </c>
      <c r="V25" s="925">
        <v>425</v>
      </c>
      <c r="W25" s="925">
        <f>IF(New_Build_Summary!$F$9=New_Build_Base_Case!$A$16,MIN($J$16,$B$32-V26),IF(New_Build_Summary!$F$9=New_Build_Base_Case!$A$17,MIN($J$17,$B$32-V26),MIN($J$18,$B$32-V26)))</f>
        <v>14</v>
      </c>
      <c r="X25" s="925">
        <f>IF(New_Build_Summary!$F$9=New_Build_Base_Case!$A$16,MIN($J$16,$B$32-W26),IF(New_Build_Summary!$F$9=New_Build_Base_Case!$A$17,MIN($J$17,$B$32-W26),MIN($J$18,$B$32-W26)))</f>
        <v>0</v>
      </c>
      <c r="Y25" s="925">
        <f>IF(New_Build_Summary!$F$9=New_Build_Base_Case!$A$16,MIN($J$16,$B$32-X26),IF(New_Build_Summary!$F$9=New_Build_Base_Case!$A$17,MIN($J$17,$B$32-X26),MIN($J$18,$B$32-X26)))</f>
        <v>0</v>
      </c>
      <c r="Z25" s="925">
        <f>IF(New_Build_Summary!$F$9=New_Build_Base_Case!$A$16,MIN($J$16,$B$32-Y26),IF(New_Build_Summary!$F$9=New_Build_Base_Case!$A$17,MIN($J$17,$B$32-Y26),MIN($J$18,$B$32-Y26)))</f>
        <v>0</v>
      </c>
      <c r="AA25" s="925">
        <f>IF(New_Build_Summary!$F$9=New_Build_Base_Case!$A$16,MIN($J$16,$B$32-Z26),IF(New_Build_Summary!$F$9=New_Build_Base_Case!$A$17,MIN($J$17,$B$32-Z26),MIN($J$18,$B$32-Z26)))</f>
        <v>0</v>
      </c>
      <c r="AB25" s="925">
        <f>IF(New_Build_Summary!$F$9=New_Build_Base_Case!$A$16,MIN($J$16,$B$32-AA26),IF(New_Build_Summary!$F$9=New_Build_Base_Case!$A$17,MIN($J$17,$B$32-AA26),MIN($J$18,$B$32-AA26)))</f>
        <v>0</v>
      </c>
      <c r="AC25" s="925">
        <f>IF(New_Build_Summary!$F$9=New_Build_Base_Case!$A$16,MIN($J$16,$B$32-AB26),IF(New_Build_Summary!$F$9=New_Build_Base_Case!$A$17,MIN($J$17,$B$32-AB26),MIN($J$18,$B$32-AB26)))</f>
        <v>0</v>
      </c>
      <c r="AD25" s="925">
        <f>IF(New_Build_Summary!$F$9=New_Build_Base_Case!$A$16,MIN($J$16,$B$32-AC26),IF(New_Build_Summary!$F$9=New_Build_Base_Case!$A$17,MIN($J$17,$B$32-AC26),MIN($J$18,$B$32-AC26)))</f>
        <v>0</v>
      </c>
      <c r="AE25" s="925">
        <f>IF(New_Build_Summary!$F$9=New_Build_Base_Case!$A$16,MIN($J$16,$B$32-AD26),IF(New_Build_Summary!$F$9=New_Build_Base_Case!$A$17,MIN($J$17,$B$32-AD26),MIN($J$18,$B$32-AD26)))</f>
        <v>0</v>
      </c>
      <c r="AF25" s="925">
        <f>IF(New_Build_Summary!$F$9=New_Build_Base_Case!$A$16,MIN($J$16,$B$32-AE26),IF(New_Build_Summary!$F$9=New_Build_Base_Case!$A$17,MIN($J$17,$B$32-AE26),MIN($J$18,$B$32-AE26)))</f>
        <v>0</v>
      </c>
      <c r="AG25" s="925">
        <f>IF(New_Build_Summary!$F$9=New_Build_Base_Case!$A$16,MIN($J$16,$B$32-AF26),IF(New_Build_Summary!$F$9=New_Build_Base_Case!$A$17,MIN($J$17,$B$32-AF26),MIN($J$18,$B$32-AF26)))</f>
        <v>0</v>
      </c>
      <c r="AH25" s="925">
        <f>IF(New_Build_Summary!$F$9=New_Build_Base_Case!$A$16,MIN($J$16,$B$32-AG26),IF(New_Build_Summary!$F$9=New_Build_Base_Case!$A$17,MIN($J$17,$B$32-AG26),MIN($J$18,$B$32-AG26)))</f>
        <v>0</v>
      </c>
      <c r="AI25" s="925">
        <f>IF(New_Build_Summary!$F$9=New_Build_Base_Case!$A$16,MIN($J$16,$B$32-AH26),IF(New_Build_Summary!$F$9=New_Build_Base_Case!$A$17,MIN($J$17,$B$32-AH26),MIN($J$18,$B$32-AH26)))</f>
        <v>0</v>
      </c>
      <c r="AJ25" s="925">
        <f>IF(New_Build_Summary!$F$9=New_Build_Base_Case!$A$16,MIN($J$16,$B$32-AI26),IF(New_Build_Summary!$F$9=New_Build_Base_Case!$A$17,MIN($J$17,$B$32-AI26),MIN($J$18,$B$32-AI26)))</f>
        <v>0</v>
      </c>
      <c r="AK25" s="925">
        <f>IF(New_Build_Summary!$F$9=New_Build_Base_Case!$A$16,MIN($J$16,$B$32-AJ26),IF(New_Build_Summary!$F$9=New_Build_Base_Case!$A$17,MIN($J$17,$B$32-AJ26),MIN($J$18,$B$32-AJ26)))</f>
        <v>0</v>
      </c>
      <c r="AL25" s="925">
        <f>IF(New_Build_Summary!$F$9=New_Build_Base_Case!$A$16,MIN($J$16,$B$32-AK26),IF(New_Build_Summary!$F$9=New_Build_Base_Case!$A$17,MIN($J$17,$B$32-AK26),MIN($J$18,$B$32-AK26)))</f>
        <v>0</v>
      </c>
      <c r="AM25" s="925">
        <f>IF(New_Build_Summary!$F$9=New_Build_Base_Case!$A$16,MIN($J$16,$B$32-AL26),IF(New_Build_Summary!$F$9=New_Build_Base_Case!$A$17,MIN($J$17,$B$32-AL26),MIN($J$18,$B$32-AL26)))</f>
        <v>0</v>
      </c>
      <c r="AN25" s="925">
        <f>IF(New_Build_Summary!$F$9=New_Build_Base_Case!$A$16,MIN($J$16,$B$32-AM26),IF(New_Build_Summary!$F$9=New_Build_Base_Case!$A$17,MIN($J$17,$B$32-AM26),MIN($J$18,$B$32-AM26)))</f>
        <v>0</v>
      </c>
      <c r="AO25" s="925">
        <f>IF(New_Build_Summary!$F$9=New_Build_Base_Case!$A$16,MIN($J$16,$B$32-AN26),IF(New_Build_Summary!$F$9=New_Build_Base_Case!$A$17,MIN($J$17,$B$32-AN26),MIN($J$18,$B$32-AN26)))</f>
        <v>0</v>
      </c>
      <c r="AP25" s="925">
        <f>IF(New_Build_Summary!$F$9=New_Build_Base_Case!$A$16,MIN($J$16,$B$32-AO26),IF(New_Build_Summary!$F$9=New_Build_Base_Case!$A$17,MIN($J$17,$B$32-AO26),MIN($J$18,$B$32-AO26)))</f>
        <v>0</v>
      </c>
      <c r="AQ25" s="925">
        <f>IF(New_Build_Summary!$F$9=New_Build_Base_Case!$A$16,MIN($J$16,$B$32-AP26),IF(New_Build_Summary!$F$9=New_Build_Base_Case!$A$17,MIN($J$17,$B$32-AP26),MIN($J$18,$B$32-AP26)))</f>
        <v>0</v>
      </c>
      <c r="AR25" s="925">
        <f>IF(New_Build_Summary!$F$9=New_Build_Base_Case!$A$16,MIN($J$16,$B$32-AQ26),IF(New_Build_Summary!$F$9=New_Build_Base_Case!$A$17,MIN($J$17,$B$32-AQ26),MIN($J$18,$B$32-AQ26)))</f>
        <v>0</v>
      </c>
      <c r="AS25" s="925">
        <f>IF(New_Build_Summary!$F$9=New_Build_Base_Case!$A$16,MIN($J$16,$B$32-AR26),IF(New_Build_Summary!$F$9=New_Build_Base_Case!$A$17,MIN($J$17,$B$32-AR26),MIN($J$18,$B$32-AR26)))</f>
        <v>0</v>
      </c>
      <c r="AT25" s="925">
        <f>IF(New_Build_Summary!$F$9=New_Build_Base_Case!$A$16,MIN($J$16,$B$32-AS26),IF(New_Build_Summary!$F$9=New_Build_Base_Case!$A$17,MIN($J$17,$B$32-AS26),MIN($J$18,$B$32-AS26)))</f>
        <v>0</v>
      </c>
    </row>
    <row r="26" spans="1:46" x14ac:dyDescent="0.3">
      <c r="A26" s="61" t="s">
        <v>4077</v>
      </c>
      <c r="B26" s="925">
        <f>'Segment Model'!ED195</f>
        <v>86</v>
      </c>
      <c r="C26" s="925">
        <f t="shared" ref="C26:AT26" si="4">B26+C25</f>
        <v>190</v>
      </c>
      <c r="D26" s="925">
        <f t="shared" si="4"/>
        <v>347</v>
      </c>
      <c r="E26" s="925">
        <f t="shared" si="4"/>
        <v>512</v>
      </c>
      <c r="F26" s="925">
        <f t="shared" si="4"/>
        <v>686</v>
      </c>
      <c r="G26" s="925">
        <f t="shared" si="4"/>
        <v>936</v>
      </c>
      <c r="H26" s="925">
        <f t="shared" si="4"/>
        <v>1186</v>
      </c>
      <c r="I26" s="925">
        <f t="shared" si="4"/>
        <v>1436</v>
      </c>
      <c r="J26" s="925">
        <f t="shared" si="4"/>
        <v>1686</v>
      </c>
      <c r="K26" s="925">
        <f t="shared" si="4"/>
        <v>2086</v>
      </c>
      <c r="L26" s="925">
        <f t="shared" si="4"/>
        <v>2486</v>
      </c>
      <c r="M26" s="925">
        <f t="shared" si="4"/>
        <v>2886</v>
      </c>
      <c r="N26" s="925">
        <f t="shared" si="4"/>
        <v>3286</v>
      </c>
      <c r="O26" s="925">
        <f t="shared" si="4"/>
        <v>3711</v>
      </c>
      <c r="P26" s="925">
        <f t="shared" si="4"/>
        <v>4136</v>
      </c>
      <c r="Q26" s="925">
        <f t="shared" si="4"/>
        <v>4561</v>
      </c>
      <c r="R26" s="925">
        <f t="shared" si="4"/>
        <v>4986</v>
      </c>
      <c r="S26" s="925">
        <f t="shared" si="4"/>
        <v>5411</v>
      </c>
      <c r="T26" s="925">
        <f t="shared" si="4"/>
        <v>5836</v>
      </c>
      <c r="U26" s="925">
        <f t="shared" si="4"/>
        <v>6261</v>
      </c>
      <c r="V26" s="925">
        <f t="shared" si="4"/>
        <v>6686</v>
      </c>
      <c r="W26" s="925">
        <f t="shared" si="4"/>
        <v>6700</v>
      </c>
      <c r="X26" s="925">
        <f t="shared" si="4"/>
        <v>6700</v>
      </c>
      <c r="Y26" s="925">
        <f t="shared" si="4"/>
        <v>6700</v>
      </c>
      <c r="Z26" s="925">
        <f t="shared" si="4"/>
        <v>6700</v>
      </c>
      <c r="AA26" s="925">
        <f t="shared" si="4"/>
        <v>6700</v>
      </c>
      <c r="AB26" s="925">
        <f t="shared" si="4"/>
        <v>6700</v>
      </c>
      <c r="AC26" s="925">
        <f t="shared" si="4"/>
        <v>6700</v>
      </c>
      <c r="AD26" s="925">
        <f t="shared" si="4"/>
        <v>6700</v>
      </c>
      <c r="AE26" s="925">
        <f t="shared" si="4"/>
        <v>6700</v>
      </c>
      <c r="AF26" s="925">
        <f t="shared" si="4"/>
        <v>6700</v>
      </c>
      <c r="AG26" s="925">
        <f t="shared" si="4"/>
        <v>6700</v>
      </c>
      <c r="AH26" s="925">
        <f t="shared" si="4"/>
        <v>6700</v>
      </c>
      <c r="AI26" s="925">
        <f t="shared" si="4"/>
        <v>6700</v>
      </c>
      <c r="AJ26" s="925">
        <f t="shared" si="4"/>
        <v>6700</v>
      </c>
      <c r="AK26" s="925">
        <f t="shared" si="4"/>
        <v>6700</v>
      </c>
      <c r="AL26" s="925">
        <f t="shared" si="4"/>
        <v>6700</v>
      </c>
      <c r="AM26" s="925">
        <f t="shared" si="4"/>
        <v>6700</v>
      </c>
      <c r="AN26" s="925">
        <f t="shared" si="4"/>
        <v>6700</v>
      </c>
      <c r="AO26" s="925">
        <f t="shared" si="4"/>
        <v>6700</v>
      </c>
      <c r="AP26" s="925">
        <f t="shared" si="4"/>
        <v>6700</v>
      </c>
      <c r="AQ26" s="925">
        <f t="shared" si="4"/>
        <v>6700</v>
      </c>
      <c r="AR26" s="925">
        <f t="shared" si="4"/>
        <v>6700</v>
      </c>
      <c r="AS26" s="925">
        <f t="shared" si="4"/>
        <v>6700</v>
      </c>
      <c r="AT26" s="925">
        <f t="shared" si="4"/>
        <v>6700</v>
      </c>
    </row>
    <row r="28" spans="1:46" x14ac:dyDescent="0.3">
      <c r="A28" s="108" t="s">
        <v>4099</v>
      </c>
      <c r="C28" s="693">
        <v>2.5000000000000001E-2</v>
      </c>
      <c r="D28" s="693">
        <f t="shared" ref="D28:AH28" si="5">MIN(C28*$B$33,$B$31-C29)</f>
        <v>2.4500000000000001E-2</v>
      </c>
      <c r="E28" s="693">
        <f t="shared" si="5"/>
        <v>2.401E-2</v>
      </c>
      <c r="F28" s="693">
        <f t="shared" si="5"/>
        <v>2.35298E-2</v>
      </c>
      <c r="G28" s="693">
        <f t="shared" si="5"/>
        <v>2.3059204E-2</v>
      </c>
      <c r="H28" s="693">
        <f t="shared" si="5"/>
        <v>2.259801992E-2</v>
      </c>
      <c r="I28" s="693">
        <f t="shared" si="5"/>
        <v>2.2146059521599998E-2</v>
      </c>
      <c r="J28" s="693">
        <f t="shared" si="5"/>
        <v>2.1703138331168E-2</v>
      </c>
      <c r="K28" s="693">
        <f t="shared" si="5"/>
        <v>2.1269075564544639E-2</v>
      </c>
      <c r="L28" s="693">
        <f t="shared" si="5"/>
        <v>2.0843694053253745E-2</v>
      </c>
      <c r="M28" s="693">
        <f t="shared" si="5"/>
        <v>2.0426820172188668E-2</v>
      </c>
      <c r="N28" s="693">
        <f t="shared" si="5"/>
        <v>2.0018283768744895E-2</v>
      </c>
      <c r="O28" s="693">
        <f t="shared" si="5"/>
        <v>1.9617918093369997E-2</v>
      </c>
      <c r="P28" s="693">
        <f t="shared" si="5"/>
        <v>1.9225559731502598E-2</v>
      </c>
      <c r="Q28" s="693">
        <f t="shared" si="5"/>
        <v>1.8841048536872546E-2</v>
      </c>
      <c r="R28" s="693">
        <f t="shared" si="5"/>
        <v>1.8464227566135093E-2</v>
      </c>
      <c r="S28" s="693">
        <f t="shared" si="5"/>
        <v>1.809494301481239E-2</v>
      </c>
      <c r="T28" s="693">
        <f t="shared" si="5"/>
        <v>1.7733044154516143E-2</v>
      </c>
      <c r="U28" s="693">
        <f t="shared" si="5"/>
        <v>1.737838327142582E-2</v>
      </c>
      <c r="V28" s="693">
        <f t="shared" si="5"/>
        <v>1.7030815605997302E-2</v>
      </c>
      <c r="W28" s="693">
        <f t="shared" si="5"/>
        <v>1.6690199293877356E-2</v>
      </c>
      <c r="X28" s="693">
        <f t="shared" si="5"/>
        <v>1.6356395307999809E-2</v>
      </c>
      <c r="Y28" s="693">
        <f t="shared" si="5"/>
        <v>1.4633700919909898E-3</v>
      </c>
      <c r="Z28" s="693">
        <f t="shared" si="5"/>
        <v>0</v>
      </c>
      <c r="AA28" s="693">
        <f t="shared" si="5"/>
        <v>0</v>
      </c>
      <c r="AB28" s="693">
        <f t="shared" si="5"/>
        <v>0</v>
      </c>
      <c r="AC28" s="693">
        <f t="shared" si="5"/>
        <v>0</v>
      </c>
      <c r="AD28" s="693">
        <f t="shared" si="5"/>
        <v>0</v>
      </c>
      <c r="AE28" s="693">
        <f t="shared" si="5"/>
        <v>0</v>
      </c>
      <c r="AF28" s="693">
        <f t="shared" si="5"/>
        <v>0</v>
      </c>
      <c r="AG28" s="693">
        <f t="shared" si="5"/>
        <v>0</v>
      </c>
      <c r="AH28" s="693">
        <f t="shared" si="5"/>
        <v>0</v>
      </c>
      <c r="AI28" s="693">
        <f t="shared" ref="AI28:AT28" si="6">MIN(AH28*$B$33,$B$31-AH29)</f>
        <v>0</v>
      </c>
      <c r="AJ28" s="693">
        <f t="shared" si="6"/>
        <v>0</v>
      </c>
      <c r="AK28" s="693">
        <f t="shared" si="6"/>
        <v>0</v>
      </c>
      <c r="AL28" s="693">
        <f t="shared" si="6"/>
        <v>0</v>
      </c>
      <c r="AM28" s="693">
        <f t="shared" si="6"/>
        <v>0</v>
      </c>
      <c r="AN28" s="693">
        <f t="shared" si="6"/>
        <v>0</v>
      </c>
      <c r="AO28" s="693">
        <f t="shared" si="6"/>
        <v>0</v>
      </c>
      <c r="AP28" s="693">
        <f t="shared" si="6"/>
        <v>0</v>
      </c>
      <c r="AQ28" s="693">
        <f t="shared" si="6"/>
        <v>0</v>
      </c>
      <c r="AR28" s="693">
        <f t="shared" si="6"/>
        <v>0</v>
      </c>
      <c r="AS28" s="693">
        <f t="shared" si="6"/>
        <v>0</v>
      </c>
      <c r="AT28" s="693">
        <f t="shared" si="6"/>
        <v>0</v>
      </c>
    </row>
    <row r="29" spans="1:46" x14ac:dyDescent="0.3">
      <c r="A29" s="108" t="s">
        <v>2281</v>
      </c>
      <c r="C29" s="926">
        <f>$B$30+C28</f>
        <v>2.5000000000000001E-2</v>
      </c>
      <c r="D29" s="926">
        <f t="shared" ref="D29:AT29" si="7">C29+D28</f>
        <v>4.9500000000000002E-2</v>
      </c>
      <c r="E29" s="926">
        <f t="shared" si="7"/>
        <v>7.3510000000000006E-2</v>
      </c>
      <c r="F29" s="926">
        <f t="shared" si="7"/>
        <v>9.7039800000000009E-2</v>
      </c>
      <c r="G29" s="926">
        <f t="shared" si="7"/>
        <v>0.12009900400000001</v>
      </c>
      <c r="H29" s="926">
        <f t="shared" si="7"/>
        <v>0.14269702392</v>
      </c>
      <c r="I29" s="926">
        <f t="shared" si="7"/>
        <v>0.16484308344160001</v>
      </c>
      <c r="J29" s="926">
        <f t="shared" si="7"/>
        <v>0.186546221772768</v>
      </c>
      <c r="K29" s="926">
        <f t="shared" si="7"/>
        <v>0.20781529733731263</v>
      </c>
      <c r="L29" s="926">
        <f t="shared" si="7"/>
        <v>0.22865899139056639</v>
      </c>
      <c r="M29" s="926">
        <f t="shared" si="7"/>
        <v>0.24908581156275506</v>
      </c>
      <c r="N29" s="926">
        <f t="shared" si="7"/>
        <v>0.26910409533149993</v>
      </c>
      <c r="O29" s="926">
        <f t="shared" si="7"/>
        <v>0.28872201342486992</v>
      </c>
      <c r="P29" s="926">
        <f t="shared" si="7"/>
        <v>0.3079475731563725</v>
      </c>
      <c r="Q29" s="926">
        <f t="shared" si="7"/>
        <v>0.32678862169324507</v>
      </c>
      <c r="R29" s="926">
        <f t="shared" si="7"/>
        <v>0.34525284925938016</v>
      </c>
      <c r="S29" s="926">
        <f t="shared" si="7"/>
        <v>0.36334779227419256</v>
      </c>
      <c r="T29" s="926">
        <f t="shared" si="7"/>
        <v>0.38108083642870871</v>
      </c>
      <c r="U29" s="926">
        <f t="shared" si="7"/>
        <v>0.39845921970013454</v>
      </c>
      <c r="V29" s="926">
        <f t="shared" si="7"/>
        <v>0.41549003530613182</v>
      </c>
      <c r="W29" s="926">
        <f t="shared" si="7"/>
        <v>0.43218023460000921</v>
      </c>
      <c r="X29" s="926">
        <f t="shared" si="7"/>
        <v>0.44853662990800902</v>
      </c>
      <c r="Y29" s="926">
        <f t="shared" si="7"/>
        <v>0.45</v>
      </c>
      <c r="Z29" s="926">
        <f t="shared" si="7"/>
        <v>0.45</v>
      </c>
      <c r="AA29" s="926">
        <f t="shared" si="7"/>
        <v>0.45</v>
      </c>
      <c r="AB29" s="926">
        <f t="shared" si="7"/>
        <v>0.45</v>
      </c>
      <c r="AC29" s="926">
        <f t="shared" si="7"/>
        <v>0.45</v>
      </c>
      <c r="AD29" s="926">
        <f t="shared" si="7"/>
        <v>0.45</v>
      </c>
      <c r="AE29" s="926">
        <f t="shared" si="7"/>
        <v>0.45</v>
      </c>
      <c r="AF29" s="926">
        <f t="shared" si="7"/>
        <v>0.45</v>
      </c>
      <c r="AG29" s="926">
        <f t="shared" si="7"/>
        <v>0.45</v>
      </c>
      <c r="AH29" s="926">
        <f t="shared" si="7"/>
        <v>0.45</v>
      </c>
      <c r="AI29" s="926">
        <f t="shared" si="7"/>
        <v>0.45</v>
      </c>
      <c r="AJ29" s="926">
        <f t="shared" si="7"/>
        <v>0.45</v>
      </c>
      <c r="AK29" s="926">
        <f t="shared" si="7"/>
        <v>0.45</v>
      </c>
      <c r="AL29" s="926">
        <f t="shared" si="7"/>
        <v>0.45</v>
      </c>
      <c r="AM29" s="926">
        <f t="shared" si="7"/>
        <v>0.45</v>
      </c>
      <c r="AN29" s="926">
        <f t="shared" si="7"/>
        <v>0.45</v>
      </c>
      <c r="AO29" s="926">
        <f t="shared" si="7"/>
        <v>0.45</v>
      </c>
      <c r="AP29" s="926">
        <f t="shared" si="7"/>
        <v>0.45</v>
      </c>
      <c r="AQ29" s="926">
        <f t="shared" si="7"/>
        <v>0.45</v>
      </c>
      <c r="AR29" s="926">
        <f t="shared" si="7"/>
        <v>0.45</v>
      </c>
      <c r="AS29" s="926">
        <f t="shared" si="7"/>
        <v>0.45</v>
      </c>
      <c r="AT29" s="926">
        <f t="shared" si="7"/>
        <v>0.45</v>
      </c>
    </row>
    <row r="30" spans="1:46" x14ac:dyDescent="0.3">
      <c r="A30" s="108" t="s">
        <v>4100</v>
      </c>
      <c r="B30" s="926">
        <v>0</v>
      </c>
      <c r="C30" s="926"/>
      <c r="D30" s="926"/>
      <c r="E30" s="926"/>
      <c r="F30" s="926"/>
      <c r="H30" s="926"/>
      <c r="I30" s="926"/>
      <c r="J30" s="926"/>
      <c r="K30" s="926"/>
      <c r="M30" s="926"/>
      <c r="N30" s="926"/>
      <c r="O30" s="926"/>
      <c r="P30" s="926"/>
      <c r="R30" s="926"/>
      <c r="S30" s="926"/>
      <c r="T30" s="926"/>
      <c r="U30" s="926"/>
      <c r="W30" s="926"/>
      <c r="X30" s="926"/>
      <c r="Y30" s="926"/>
      <c r="Z30" s="926"/>
      <c r="AB30" s="926"/>
      <c r="AC30" s="926"/>
      <c r="AD30" s="926"/>
      <c r="AE30" s="926"/>
      <c r="AG30" s="926"/>
      <c r="AH30" s="926"/>
      <c r="AI30" s="926"/>
      <c r="AJ30" s="926"/>
      <c r="AL30" s="926"/>
      <c r="AM30" s="926"/>
      <c r="AN30" s="926"/>
      <c r="AO30" s="926"/>
    </row>
    <row r="31" spans="1:46" x14ac:dyDescent="0.3">
      <c r="A31" s="108" t="s">
        <v>4101</v>
      </c>
      <c r="B31" s="926">
        <v>0.45</v>
      </c>
      <c r="C31" s="926"/>
      <c r="D31" s="926"/>
      <c r="E31" s="926"/>
      <c r="F31" s="926"/>
      <c r="H31" s="926"/>
      <c r="I31" s="926"/>
      <c r="J31" s="926"/>
      <c r="K31" s="926"/>
      <c r="M31" s="926"/>
      <c r="N31" s="926"/>
      <c r="O31" s="926"/>
      <c r="P31" s="926"/>
      <c r="R31" s="926"/>
      <c r="S31" s="926"/>
      <c r="T31" s="926"/>
      <c r="U31" s="926"/>
      <c r="W31" s="926"/>
      <c r="X31" s="926"/>
      <c r="Y31" s="926"/>
      <c r="Z31" s="926"/>
      <c r="AB31" s="926"/>
      <c r="AC31" s="926"/>
      <c r="AD31" s="926"/>
      <c r="AE31" s="926"/>
      <c r="AG31" s="926"/>
      <c r="AH31" s="926"/>
      <c r="AI31" s="926"/>
      <c r="AJ31" s="926"/>
      <c r="AL31" s="926"/>
      <c r="AM31" s="926"/>
      <c r="AN31" s="926"/>
      <c r="AO31" s="926"/>
    </row>
    <row r="32" spans="1:46" x14ac:dyDescent="0.3">
      <c r="A32" s="108" t="s">
        <v>4102</v>
      </c>
      <c r="B32" s="925">
        <v>6700</v>
      </c>
      <c r="C32" s="926"/>
      <c r="D32" s="926"/>
      <c r="E32" s="926"/>
      <c r="F32" s="926"/>
      <c r="H32" s="926"/>
      <c r="I32" s="926"/>
      <c r="J32" s="926"/>
      <c r="K32" s="926"/>
      <c r="M32" s="926"/>
      <c r="N32" s="926"/>
      <c r="O32" s="926"/>
      <c r="P32" s="926"/>
      <c r="R32" s="926"/>
      <c r="S32" s="926"/>
      <c r="T32" s="926"/>
      <c r="U32" s="926"/>
      <c r="W32" s="926"/>
      <c r="X32" s="926"/>
      <c r="Y32" s="926"/>
      <c r="Z32" s="926"/>
      <c r="AB32" s="926"/>
      <c r="AC32" s="926"/>
      <c r="AD32" s="926"/>
      <c r="AE32" s="926"/>
      <c r="AG32" s="926"/>
      <c r="AH32" s="926"/>
      <c r="AI32" s="926"/>
      <c r="AJ32" s="926"/>
      <c r="AL32" s="926"/>
      <c r="AM32" s="926"/>
      <c r="AN32" s="926"/>
      <c r="AO32" s="926"/>
    </row>
    <row r="33" spans="1:46" x14ac:dyDescent="0.3">
      <c r="A33" s="108" t="s">
        <v>4103</v>
      </c>
      <c r="B33" s="926">
        <v>0.98</v>
      </c>
    </row>
    <row r="34" spans="1:46" x14ac:dyDescent="0.3">
      <c r="A34" s="108" t="s">
        <v>4104</v>
      </c>
      <c r="B34" s="926">
        <f>R29</f>
        <v>0.34525284925938016</v>
      </c>
    </row>
    <row r="35" spans="1:46" x14ac:dyDescent="0.3">
      <c r="A35" s="108" t="s">
        <v>4105</v>
      </c>
      <c r="B35" s="926">
        <f>AD29</f>
        <v>0.45</v>
      </c>
    </row>
    <row r="38" spans="1:46" x14ac:dyDescent="0.3">
      <c r="A38" s="90" t="s">
        <v>3078</v>
      </c>
    </row>
    <row r="39" spans="1:46" x14ac:dyDescent="0.3">
      <c r="A39" s="610"/>
      <c r="B39" s="682">
        <v>2020</v>
      </c>
      <c r="C39" s="682" t="s">
        <v>1125</v>
      </c>
      <c r="D39" s="682" t="s">
        <v>1126</v>
      </c>
      <c r="E39" s="682" t="s">
        <v>1127</v>
      </c>
      <c r="F39" s="682" t="s">
        <v>1128</v>
      </c>
      <c r="G39" s="682" t="s">
        <v>922</v>
      </c>
      <c r="H39" s="682" t="s">
        <v>923</v>
      </c>
      <c r="I39" s="682" t="s">
        <v>924</v>
      </c>
      <c r="J39" s="682" t="s">
        <v>925</v>
      </c>
      <c r="K39" s="682" t="s">
        <v>883</v>
      </c>
      <c r="L39" s="682" t="s">
        <v>884</v>
      </c>
      <c r="M39" s="682" t="s">
        <v>885</v>
      </c>
      <c r="N39" s="682" t="s">
        <v>886</v>
      </c>
      <c r="O39" s="682" t="s">
        <v>887</v>
      </c>
      <c r="P39" s="682" t="s">
        <v>888</v>
      </c>
      <c r="Q39" s="682" t="s">
        <v>1027</v>
      </c>
      <c r="R39" s="682" t="s">
        <v>1028</v>
      </c>
      <c r="S39" s="682" t="s">
        <v>1047</v>
      </c>
      <c r="T39" s="682" t="s">
        <v>1048</v>
      </c>
      <c r="U39" s="682" t="s">
        <v>1049</v>
      </c>
      <c r="V39" s="682" t="s">
        <v>1050</v>
      </c>
      <c r="W39" s="682" t="s">
        <v>1051</v>
      </c>
      <c r="X39" s="682" t="s">
        <v>1052</v>
      </c>
      <c r="Y39" s="682" t="s">
        <v>1053</v>
      </c>
      <c r="Z39" s="682" t="s">
        <v>1054</v>
      </c>
      <c r="AA39" s="682" t="s">
        <v>1055</v>
      </c>
      <c r="AB39" s="682" t="s">
        <v>1056</v>
      </c>
      <c r="AC39" s="682" t="s">
        <v>1057</v>
      </c>
      <c r="AD39" s="682" t="s">
        <v>1058</v>
      </c>
      <c r="AE39" s="682" t="s">
        <v>1059</v>
      </c>
      <c r="AF39" s="682" t="s">
        <v>1060</v>
      </c>
      <c r="AG39" s="682" t="s">
        <v>1061</v>
      </c>
      <c r="AH39" s="682" t="s">
        <v>1062</v>
      </c>
      <c r="AI39" s="682" t="s">
        <v>4087</v>
      </c>
      <c r="AJ39" s="682" t="s">
        <v>4088</v>
      </c>
      <c r="AK39" s="682" t="s">
        <v>4089</v>
      </c>
      <c r="AL39" s="682" t="s">
        <v>4090</v>
      </c>
      <c r="AM39" s="682" t="s">
        <v>4091</v>
      </c>
      <c r="AN39" s="682" t="s">
        <v>4092</v>
      </c>
      <c r="AO39" s="682" t="s">
        <v>4093</v>
      </c>
      <c r="AP39" s="682" t="s">
        <v>4094</v>
      </c>
      <c r="AQ39" s="682" t="s">
        <v>4095</v>
      </c>
      <c r="AR39" s="682" t="s">
        <v>4096</v>
      </c>
      <c r="AS39" s="682" t="s">
        <v>4097</v>
      </c>
      <c r="AT39" s="682" t="s">
        <v>4098</v>
      </c>
    </row>
    <row r="40" spans="1:46" x14ac:dyDescent="0.3">
      <c r="A40" s="927">
        <v>2020</v>
      </c>
    </row>
    <row r="41" spans="1:46" x14ac:dyDescent="0.3">
      <c r="A41" s="927" t="s">
        <v>1125</v>
      </c>
      <c r="C41" s="928">
        <f>$C$25*C$29</f>
        <v>2.6</v>
      </c>
      <c r="D41" s="928">
        <f t="shared" ref="D41:AT41" si="8">$C$25*D$29</f>
        <v>5.1480000000000006</v>
      </c>
      <c r="E41" s="928">
        <f t="shared" si="8"/>
        <v>7.6450400000000007</v>
      </c>
      <c r="F41" s="928">
        <f t="shared" si="8"/>
        <v>10.092139200000002</v>
      </c>
      <c r="G41" s="928">
        <f t="shared" si="8"/>
        <v>12.490296416000001</v>
      </c>
      <c r="H41" s="928">
        <f t="shared" si="8"/>
        <v>14.84049048768</v>
      </c>
      <c r="I41" s="928">
        <f t="shared" si="8"/>
        <v>17.143680677926401</v>
      </c>
      <c r="J41" s="928">
        <f t="shared" si="8"/>
        <v>19.400807064367871</v>
      </c>
      <c r="K41" s="928">
        <f t="shared" si="8"/>
        <v>21.612790923080514</v>
      </c>
      <c r="L41" s="928">
        <f t="shared" si="8"/>
        <v>23.780535104618906</v>
      </c>
      <c r="M41" s="928">
        <f t="shared" si="8"/>
        <v>25.904924402526525</v>
      </c>
      <c r="N41" s="928">
        <f t="shared" si="8"/>
        <v>27.986825914475993</v>
      </c>
      <c r="O41" s="928">
        <f t="shared" si="8"/>
        <v>30.027089396186472</v>
      </c>
      <c r="P41" s="928">
        <f t="shared" si="8"/>
        <v>32.026547608262739</v>
      </c>
      <c r="Q41" s="928">
        <f t="shared" si="8"/>
        <v>33.98601665609749</v>
      </c>
      <c r="R41" s="928">
        <f t="shared" si="8"/>
        <v>35.906296322975535</v>
      </c>
      <c r="S41" s="928">
        <f t="shared" si="8"/>
        <v>37.788170396516023</v>
      </c>
      <c r="T41" s="928">
        <f t="shared" si="8"/>
        <v>39.632406988585707</v>
      </c>
      <c r="U41" s="928">
        <f t="shared" si="8"/>
        <v>41.439758848813995</v>
      </c>
      <c r="V41" s="928">
        <f t="shared" si="8"/>
        <v>43.21096367183771</v>
      </c>
      <c r="W41" s="928">
        <f t="shared" si="8"/>
        <v>44.946744398400959</v>
      </c>
      <c r="X41" s="928">
        <f t="shared" si="8"/>
        <v>46.647809510432936</v>
      </c>
      <c r="Y41" s="928">
        <f t="shared" si="8"/>
        <v>46.800000000000004</v>
      </c>
      <c r="Z41" s="928">
        <f t="shared" si="8"/>
        <v>46.800000000000004</v>
      </c>
      <c r="AA41" s="928">
        <f t="shared" si="8"/>
        <v>46.800000000000004</v>
      </c>
      <c r="AB41" s="928">
        <f t="shared" si="8"/>
        <v>46.800000000000004</v>
      </c>
      <c r="AC41" s="928">
        <f t="shared" si="8"/>
        <v>46.800000000000004</v>
      </c>
      <c r="AD41" s="928">
        <f t="shared" si="8"/>
        <v>46.800000000000004</v>
      </c>
      <c r="AE41" s="928">
        <f t="shared" si="8"/>
        <v>46.800000000000004</v>
      </c>
      <c r="AF41" s="928">
        <f t="shared" si="8"/>
        <v>46.800000000000004</v>
      </c>
      <c r="AG41" s="928">
        <f t="shared" si="8"/>
        <v>46.800000000000004</v>
      </c>
      <c r="AH41" s="928">
        <f t="shared" si="8"/>
        <v>46.800000000000004</v>
      </c>
      <c r="AI41" s="928">
        <f t="shared" si="8"/>
        <v>46.800000000000004</v>
      </c>
      <c r="AJ41" s="928">
        <f t="shared" si="8"/>
        <v>46.800000000000004</v>
      </c>
      <c r="AK41" s="928">
        <f t="shared" si="8"/>
        <v>46.800000000000004</v>
      </c>
      <c r="AL41" s="928">
        <f t="shared" si="8"/>
        <v>46.800000000000004</v>
      </c>
      <c r="AM41" s="928">
        <f t="shared" si="8"/>
        <v>46.800000000000004</v>
      </c>
      <c r="AN41" s="928">
        <f t="shared" si="8"/>
        <v>46.800000000000004</v>
      </c>
      <c r="AO41" s="928">
        <f t="shared" si="8"/>
        <v>46.800000000000004</v>
      </c>
      <c r="AP41" s="928">
        <f t="shared" si="8"/>
        <v>46.800000000000004</v>
      </c>
      <c r="AQ41" s="928">
        <f t="shared" si="8"/>
        <v>46.800000000000004</v>
      </c>
      <c r="AR41" s="928">
        <f t="shared" si="8"/>
        <v>46.800000000000004</v>
      </c>
      <c r="AS41" s="928">
        <f t="shared" si="8"/>
        <v>46.800000000000004</v>
      </c>
      <c r="AT41" s="928">
        <f t="shared" si="8"/>
        <v>46.800000000000004</v>
      </c>
    </row>
    <row r="42" spans="1:46" x14ac:dyDescent="0.3">
      <c r="A42" s="927" t="s">
        <v>1126</v>
      </c>
      <c r="C42" s="928"/>
      <c r="D42" s="928">
        <f>$D$25*C$29</f>
        <v>3.9250000000000003</v>
      </c>
      <c r="E42" s="928">
        <f t="shared" ref="E42:AH42" si="9">$D$25*D$29</f>
        <v>7.7715000000000005</v>
      </c>
      <c r="F42" s="928">
        <f t="shared" si="9"/>
        <v>11.541070000000001</v>
      </c>
      <c r="G42" s="928">
        <f t="shared" si="9"/>
        <v>15.235248600000002</v>
      </c>
      <c r="H42" s="928">
        <f t="shared" si="9"/>
        <v>18.855543628000003</v>
      </c>
      <c r="I42" s="928">
        <f t="shared" si="9"/>
        <v>22.403432755440001</v>
      </c>
      <c r="J42" s="928">
        <f t="shared" si="9"/>
        <v>25.880364100331199</v>
      </c>
      <c r="K42" s="928">
        <f t="shared" si="9"/>
        <v>29.287756818324578</v>
      </c>
      <c r="L42" s="928">
        <f t="shared" si="9"/>
        <v>32.627001681958085</v>
      </c>
      <c r="M42" s="928">
        <f t="shared" si="9"/>
        <v>35.899461648318926</v>
      </c>
      <c r="N42" s="928">
        <f t="shared" si="9"/>
        <v>39.106472415352542</v>
      </c>
      <c r="O42" s="928">
        <f t="shared" si="9"/>
        <v>42.249342967045486</v>
      </c>
      <c r="P42" s="928">
        <f t="shared" si="9"/>
        <v>45.329356107704577</v>
      </c>
      <c r="Q42" s="928">
        <f t="shared" si="9"/>
        <v>48.347768985550481</v>
      </c>
      <c r="R42" s="928">
        <f t="shared" si="9"/>
        <v>51.305813605839475</v>
      </c>
      <c r="S42" s="928">
        <f t="shared" si="9"/>
        <v>54.204697333722685</v>
      </c>
      <c r="T42" s="928">
        <f t="shared" si="9"/>
        <v>57.045603387048232</v>
      </c>
      <c r="U42" s="928">
        <f t="shared" si="9"/>
        <v>59.829691319307265</v>
      </c>
      <c r="V42" s="928">
        <f t="shared" si="9"/>
        <v>62.558097492921121</v>
      </c>
      <c r="W42" s="928">
        <f t="shared" si="9"/>
        <v>65.23193554306269</v>
      </c>
      <c r="X42" s="928">
        <f t="shared" si="9"/>
        <v>67.852296832201446</v>
      </c>
      <c r="Y42" s="928">
        <f t="shared" si="9"/>
        <v>70.420250895557416</v>
      </c>
      <c r="Z42" s="928">
        <f t="shared" si="9"/>
        <v>70.650000000000006</v>
      </c>
      <c r="AA42" s="928">
        <f t="shared" si="9"/>
        <v>70.650000000000006</v>
      </c>
      <c r="AB42" s="928">
        <f t="shared" si="9"/>
        <v>70.650000000000006</v>
      </c>
      <c r="AC42" s="928">
        <f t="shared" si="9"/>
        <v>70.650000000000006</v>
      </c>
      <c r="AD42" s="928">
        <f t="shared" si="9"/>
        <v>70.650000000000006</v>
      </c>
      <c r="AE42" s="928">
        <f t="shared" si="9"/>
        <v>70.650000000000006</v>
      </c>
      <c r="AF42" s="928">
        <f t="shared" si="9"/>
        <v>70.650000000000006</v>
      </c>
      <c r="AG42" s="928">
        <f t="shared" si="9"/>
        <v>70.650000000000006</v>
      </c>
      <c r="AH42" s="928">
        <f t="shared" si="9"/>
        <v>70.650000000000006</v>
      </c>
      <c r="AI42" s="928">
        <f t="shared" ref="AI42:AT42" si="10">$D$25*AH$29</f>
        <v>70.650000000000006</v>
      </c>
      <c r="AJ42" s="928">
        <f t="shared" si="10"/>
        <v>70.650000000000006</v>
      </c>
      <c r="AK42" s="928">
        <f t="shared" si="10"/>
        <v>70.650000000000006</v>
      </c>
      <c r="AL42" s="928">
        <f t="shared" si="10"/>
        <v>70.650000000000006</v>
      </c>
      <c r="AM42" s="928">
        <f t="shared" si="10"/>
        <v>70.650000000000006</v>
      </c>
      <c r="AN42" s="928">
        <f t="shared" si="10"/>
        <v>70.650000000000006</v>
      </c>
      <c r="AO42" s="928">
        <f t="shared" si="10"/>
        <v>70.650000000000006</v>
      </c>
      <c r="AP42" s="928">
        <f t="shared" si="10"/>
        <v>70.650000000000006</v>
      </c>
      <c r="AQ42" s="928">
        <f t="shared" si="10"/>
        <v>70.650000000000006</v>
      </c>
      <c r="AR42" s="928">
        <f t="shared" si="10"/>
        <v>70.650000000000006</v>
      </c>
      <c r="AS42" s="928">
        <f t="shared" si="10"/>
        <v>70.650000000000006</v>
      </c>
      <c r="AT42" s="928">
        <f t="shared" si="10"/>
        <v>70.650000000000006</v>
      </c>
    </row>
    <row r="43" spans="1:46" x14ac:dyDescent="0.3">
      <c r="A43" s="927" t="s">
        <v>1127</v>
      </c>
      <c r="E43" s="928">
        <f>$E$25*C$29</f>
        <v>4.125</v>
      </c>
      <c r="F43" s="928">
        <f t="shared" ref="F43:AH43" si="11">$E$25*D$29</f>
        <v>8.1675000000000004</v>
      </c>
      <c r="G43" s="928">
        <f t="shared" si="11"/>
        <v>12.129150000000001</v>
      </c>
      <c r="H43" s="928">
        <f t="shared" si="11"/>
        <v>16.011567000000003</v>
      </c>
      <c r="I43" s="928">
        <f t="shared" si="11"/>
        <v>19.81633566</v>
      </c>
      <c r="J43" s="928">
        <f t="shared" si="11"/>
        <v>23.545008946799999</v>
      </c>
      <c r="K43" s="928">
        <f t="shared" si="11"/>
        <v>27.199108767864001</v>
      </c>
      <c r="L43" s="928">
        <f t="shared" si="11"/>
        <v>30.780126592506718</v>
      </c>
      <c r="M43" s="928">
        <f t="shared" si="11"/>
        <v>34.289524060656582</v>
      </c>
      <c r="N43" s="928">
        <f t="shared" si="11"/>
        <v>37.728733579443457</v>
      </c>
      <c r="O43" s="928">
        <f t="shared" si="11"/>
        <v>41.099158907854587</v>
      </c>
      <c r="P43" s="928">
        <f t="shared" si="11"/>
        <v>44.40217572969749</v>
      </c>
      <c r="Q43" s="928">
        <f t="shared" si="11"/>
        <v>47.639132215103537</v>
      </c>
      <c r="R43" s="928">
        <f t="shared" si="11"/>
        <v>50.811349570801461</v>
      </c>
      <c r="S43" s="928">
        <f t="shared" si="11"/>
        <v>53.920122579385435</v>
      </c>
      <c r="T43" s="928">
        <f t="shared" si="11"/>
        <v>56.966720127797728</v>
      </c>
      <c r="U43" s="928">
        <f t="shared" si="11"/>
        <v>59.952385725241776</v>
      </c>
      <c r="V43" s="928">
        <f t="shared" si="11"/>
        <v>62.87833801073694</v>
      </c>
      <c r="W43" s="928">
        <f t="shared" si="11"/>
        <v>65.745771250522196</v>
      </c>
      <c r="X43" s="928">
        <f t="shared" si="11"/>
        <v>68.555855825511756</v>
      </c>
      <c r="Y43" s="928">
        <f t="shared" si="11"/>
        <v>71.309738709001522</v>
      </c>
      <c r="Z43" s="928">
        <f t="shared" si="11"/>
        <v>74.008543934821489</v>
      </c>
      <c r="AA43" s="928">
        <f t="shared" si="11"/>
        <v>74.25</v>
      </c>
      <c r="AB43" s="928">
        <f t="shared" si="11"/>
        <v>74.25</v>
      </c>
      <c r="AC43" s="928">
        <f t="shared" si="11"/>
        <v>74.25</v>
      </c>
      <c r="AD43" s="928">
        <f t="shared" si="11"/>
        <v>74.25</v>
      </c>
      <c r="AE43" s="928">
        <f t="shared" si="11"/>
        <v>74.25</v>
      </c>
      <c r="AF43" s="928">
        <f t="shared" si="11"/>
        <v>74.25</v>
      </c>
      <c r="AG43" s="928">
        <f t="shared" si="11"/>
        <v>74.25</v>
      </c>
      <c r="AH43" s="928">
        <f t="shared" si="11"/>
        <v>74.25</v>
      </c>
      <c r="AI43" s="928">
        <f t="shared" ref="AI43:AT43" si="12">$E$25*AG$29</f>
        <v>74.25</v>
      </c>
      <c r="AJ43" s="928">
        <f t="shared" si="12"/>
        <v>74.25</v>
      </c>
      <c r="AK43" s="928">
        <f t="shared" si="12"/>
        <v>74.25</v>
      </c>
      <c r="AL43" s="928">
        <f t="shared" si="12"/>
        <v>74.25</v>
      </c>
      <c r="AM43" s="928">
        <f t="shared" si="12"/>
        <v>74.25</v>
      </c>
      <c r="AN43" s="928">
        <f t="shared" si="12"/>
        <v>74.25</v>
      </c>
      <c r="AO43" s="928">
        <f t="shared" si="12"/>
        <v>74.25</v>
      </c>
      <c r="AP43" s="928">
        <f t="shared" si="12"/>
        <v>74.25</v>
      </c>
      <c r="AQ43" s="928">
        <f t="shared" si="12"/>
        <v>74.25</v>
      </c>
      <c r="AR43" s="928">
        <f t="shared" si="12"/>
        <v>74.25</v>
      </c>
      <c r="AS43" s="928">
        <f t="shared" si="12"/>
        <v>74.25</v>
      </c>
      <c r="AT43" s="928">
        <f t="shared" si="12"/>
        <v>74.25</v>
      </c>
    </row>
    <row r="44" spans="1:46" x14ac:dyDescent="0.3">
      <c r="A44" s="927" t="s">
        <v>1128</v>
      </c>
      <c r="F44" s="928">
        <f>$F$25*C$29</f>
        <v>4.3500000000000005</v>
      </c>
      <c r="G44" s="928">
        <f t="shared" ref="G44:AH44" si="13">$F$25*D$29</f>
        <v>8.6129999999999995</v>
      </c>
      <c r="H44" s="928">
        <f t="shared" si="13"/>
        <v>12.790740000000001</v>
      </c>
      <c r="I44" s="928">
        <f t="shared" si="13"/>
        <v>16.884925200000001</v>
      </c>
      <c r="J44" s="928">
        <f t="shared" si="13"/>
        <v>20.897226696000001</v>
      </c>
      <c r="K44" s="928">
        <f t="shared" si="13"/>
        <v>24.829282162079998</v>
      </c>
      <c r="L44" s="928">
        <f t="shared" si="13"/>
        <v>28.682696518838402</v>
      </c>
      <c r="M44" s="928">
        <f t="shared" si="13"/>
        <v>32.459042588461635</v>
      </c>
      <c r="N44" s="928">
        <f t="shared" si="13"/>
        <v>36.159861736692399</v>
      </c>
      <c r="O44" s="928">
        <f t="shared" si="13"/>
        <v>39.786664501958555</v>
      </c>
      <c r="P44" s="928">
        <f t="shared" si="13"/>
        <v>43.340931211919383</v>
      </c>
      <c r="Q44" s="928">
        <f t="shared" si="13"/>
        <v>46.824112587680986</v>
      </c>
      <c r="R44" s="928">
        <f t="shared" si="13"/>
        <v>50.237630335927363</v>
      </c>
      <c r="S44" s="928">
        <f t="shared" si="13"/>
        <v>53.582877729208818</v>
      </c>
      <c r="T44" s="928">
        <f t="shared" si="13"/>
        <v>56.861220174624641</v>
      </c>
      <c r="U44" s="928">
        <f t="shared" si="13"/>
        <v>60.073995771132147</v>
      </c>
      <c r="V44" s="928">
        <f t="shared" si="13"/>
        <v>63.222515855709503</v>
      </c>
      <c r="W44" s="928">
        <f t="shared" si="13"/>
        <v>66.308065538595315</v>
      </c>
      <c r="X44" s="928">
        <f t="shared" si="13"/>
        <v>69.331904227823415</v>
      </c>
      <c r="Y44" s="928">
        <f t="shared" si="13"/>
        <v>72.295266143266943</v>
      </c>
      <c r="Z44" s="928">
        <f t="shared" si="13"/>
        <v>75.199360820401608</v>
      </c>
      <c r="AA44" s="928">
        <f t="shared" si="13"/>
        <v>78.045373603993568</v>
      </c>
      <c r="AB44" s="928">
        <f t="shared" si="13"/>
        <v>78.3</v>
      </c>
      <c r="AC44" s="928">
        <f t="shared" si="13"/>
        <v>78.3</v>
      </c>
      <c r="AD44" s="928">
        <f t="shared" si="13"/>
        <v>78.3</v>
      </c>
      <c r="AE44" s="928">
        <f t="shared" si="13"/>
        <v>78.3</v>
      </c>
      <c r="AF44" s="928">
        <f t="shared" si="13"/>
        <v>78.3</v>
      </c>
      <c r="AG44" s="928">
        <f t="shared" si="13"/>
        <v>78.3</v>
      </c>
      <c r="AH44" s="928">
        <f t="shared" si="13"/>
        <v>78.3</v>
      </c>
      <c r="AI44" s="928">
        <f t="shared" ref="AI44:AT44" si="14">$F$25*AF$29</f>
        <v>78.3</v>
      </c>
      <c r="AJ44" s="928">
        <f t="shared" si="14"/>
        <v>78.3</v>
      </c>
      <c r="AK44" s="928">
        <f t="shared" si="14"/>
        <v>78.3</v>
      </c>
      <c r="AL44" s="928">
        <f t="shared" si="14"/>
        <v>78.3</v>
      </c>
      <c r="AM44" s="928">
        <f t="shared" si="14"/>
        <v>78.3</v>
      </c>
      <c r="AN44" s="928">
        <f t="shared" si="14"/>
        <v>78.3</v>
      </c>
      <c r="AO44" s="928">
        <f t="shared" si="14"/>
        <v>78.3</v>
      </c>
      <c r="AP44" s="928">
        <f t="shared" si="14"/>
        <v>78.3</v>
      </c>
      <c r="AQ44" s="928">
        <f t="shared" si="14"/>
        <v>78.3</v>
      </c>
      <c r="AR44" s="928">
        <f t="shared" si="14"/>
        <v>78.3</v>
      </c>
      <c r="AS44" s="928">
        <f t="shared" si="14"/>
        <v>78.3</v>
      </c>
      <c r="AT44" s="928">
        <f t="shared" si="14"/>
        <v>78.3</v>
      </c>
    </row>
    <row r="45" spans="1:46" x14ac:dyDescent="0.3">
      <c r="A45" s="927" t="s">
        <v>922</v>
      </c>
      <c r="G45" s="928">
        <f>$G$25*C$29</f>
        <v>6.25</v>
      </c>
      <c r="H45" s="928">
        <f t="shared" ref="H45:AH45" si="15">$G$25*D$29</f>
        <v>12.375</v>
      </c>
      <c r="I45" s="928">
        <f t="shared" si="15"/>
        <v>18.377500000000001</v>
      </c>
      <c r="J45" s="928">
        <f t="shared" si="15"/>
        <v>24.259950000000003</v>
      </c>
      <c r="K45" s="928">
        <f t="shared" si="15"/>
        <v>30.024751000000002</v>
      </c>
      <c r="L45" s="928">
        <f t="shared" si="15"/>
        <v>35.674255979999998</v>
      </c>
      <c r="M45" s="928">
        <f t="shared" si="15"/>
        <v>41.210770860400004</v>
      </c>
      <c r="N45" s="928">
        <f t="shared" si="15"/>
        <v>46.636555443192002</v>
      </c>
      <c r="O45" s="928">
        <f t="shared" si="15"/>
        <v>51.953824334328161</v>
      </c>
      <c r="P45" s="928">
        <f t="shared" si="15"/>
        <v>57.1647478476416</v>
      </c>
      <c r="Q45" s="928">
        <f t="shared" si="15"/>
        <v>62.271452890688764</v>
      </c>
      <c r="R45" s="928">
        <f t="shared" si="15"/>
        <v>67.276023832874984</v>
      </c>
      <c r="S45" s="928">
        <f t="shared" si="15"/>
        <v>72.180503356217486</v>
      </c>
      <c r="T45" s="928">
        <f t="shared" si="15"/>
        <v>76.986893289093132</v>
      </c>
      <c r="U45" s="928">
        <f t="shared" si="15"/>
        <v>81.697155423311273</v>
      </c>
      <c r="V45" s="928">
        <f t="shared" si="15"/>
        <v>86.313212314845046</v>
      </c>
      <c r="W45" s="928">
        <f t="shared" si="15"/>
        <v>90.836948068548139</v>
      </c>
      <c r="X45" s="928">
        <f t="shared" si="15"/>
        <v>95.27020910717718</v>
      </c>
      <c r="Y45" s="928">
        <f t="shared" si="15"/>
        <v>99.614804925033638</v>
      </c>
      <c r="Z45" s="928">
        <f t="shared" si="15"/>
        <v>103.87250882653295</v>
      </c>
      <c r="AA45" s="928">
        <f t="shared" si="15"/>
        <v>108.0450586500023</v>
      </c>
      <c r="AB45" s="928">
        <f t="shared" si="15"/>
        <v>112.13415747700226</v>
      </c>
      <c r="AC45" s="928">
        <f t="shared" si="15"/>
        <v>112.5</v>
      </c>
      <c r="AD45" s="928">
        <f t="shared" si="15"/>
        <v>112.5</v>
      </c>
      <c r="AE45" s="928">
        <f t="shared" si="15"/>
        <v>112.5</v>
      </c>
      <c r="AF45" s="928">
        <f t="shared" si="15"/>
        <v>112.5</v>
      </c>
      <c r="AG45" s="928">
        <f t="shared" si="15"/>
        <v>112.5</v>
      </c>
      <c r="AH45" s="928">
        <f t="shared" si="15"/>
        <v>112.5</v>
      </c>
      <c r="AI45" s="928">
        <f t="shared" ref="AI45:AT45" si="16">$G$25*AE$29</f>
        <v>112.5</v>
      </c>
      <c r="AJ45" s="928">
        <f t="shared" si="16"/>
        <v>112.5</v>
      </c>
      <c r="AK45" s="928">
        <f t="shared" si="16"/>
        <v>112.5</v>
      </c>
      <c r="AL45" s="928">
        <f t="shared" si="16"/>
        <v>112.5</v>
      </c>
      <c r="AM45" s="928">
        <f t="shared" si="16"/>
        <v>112.5</v>
      </c>
      <c r="AN45" s="928">
        <f t="shared" si="16"/>
        <v>112.5</v>
      </c>
      <c r="AO45" s="928">
        <f t="shared" si="16"/>
        <v>112.5</v>
      </c>
      <c r="AP45" s="928">
        <f t="shared" si="16"/>
        <v>112.5</v>
      </c>
      <c r="AQ45" s="928">
        <f t="shared" si="16"/>
        <v>112.5</v>
      </c>
      <c r="AR45" s="928">
        <f t="shared" si="16"/>
        <v>112.5</v>
      </c>
      <c r="AS45" s="928">
        <f t="shared" si="16"/>
        <v>112.5</v>
      </c>
      <c r="AT45" s="928">
        <f t="shared" si="16"/>
        <v>112.5</v>
      </c>
    </row>
    <row r="46" spans="1:46" x14ac:dyDescent="0.3">
      <c r="A46" s="927" t="s">
        <v>923</v>
      </c>
      <c r="H46" s="928">
        <f>$H$25*C$29</f>
        <v>6.25</v>
      </c>
      <c r="I46" s="928">
        <f t="shared" ref="I46:AH46" si="17">$H$25*D$29</f>
        <v>12.375</v>
      </c>
      <c r="J46" s="928">
        <f t="shared" si="17"/>
        <v>18.377500000000001</v>
      </c>
      <c r="K46" s="928">
        <f t="shared" si="17"/>
        <v>24.259950000000003</v>
      </c>
      <c r="L46" s="928">
        <f t="shared" si="17"/>
        <v>30.024751000000002</v>
      </c>
      <c r="M46" s="928">
        <f t="shared" si="17"/>
        <v>35.674255979999998</v>
      </c>
      <c r="N46" s="928">
        <f t="shared" si="17"/>
        <v>41.210770860400004</v>
      </c>
      <c r="O46" s="928">
        <f t="shared" si="17"/>
        <v>46.636555443192002</v>
      </c>
      <c r="P46" s="928">
        <f t="shared" si="17"/>
        <v>51.953824334328161</v>
      </c>
      <c r="Q46" s="928">
        <f t="shared" si="17"/>
        <v>57.1647478476416</v>
      </c>
      <c r="R46" s="928">
        <f t="shared" si="17"/>
        <v>62.271452890688764</v>
      </c>
      <c r="S46" s="928">
        <f t="shared" si="17"/>
        <v>67.276023832874984</v>
      </c>
      <c r="T46" s="928">
        <f t="shared" si="17"/>
        <v>72.180503356217486</v>
      </c>
      <c r="U46" s="928">
        <f t="shared" si="17"/>
        <v>76.986893289093132</v>
      </c>
      <c r="V46" s="928">
        <f t="shared" si="17"/>
        <v>81.697155423311273</v>
      </c>
      <c r="W46" s="928">
        <f t="shared" si="17"/>
        <v>86.313212314845046</v>
      </c>
      <c r="X46" s="928">
        <f t="shared" si="17"/>
        <v>90.836948068548139</v>
      </c>
      <c r="Y46" s="928">
        <f t="shared" si="17"/>
        <v>95.27020910717718</v>
      </c>
      <c r="Z46" s="928">
        <f t="shared" si="17"/>
        <v>99.614804925033638</v>
      </c>
      <c r="AA46" s="928">
        <f t="shared" si="17"/>
        <v>103.87250882653295</v>
      </c>
      <c r="AB46" s="928">
        <f t="shared" si="17"/>
        <v>108.0450586500023</v>
      </c>
      <c r="AC46" s="928">
        <f t="shared" si="17"/>
        <v>112.13415747700226</v>
      </c>
      <c r="AD46" s="928">
        <f t="shared" si="17"/>
        <v>112.5</v>
      </c>
      <c r="AE46" s="928">
        <f t="shared" si="17"/>
        <v>112.5</v>
      </c>
      <c r="AF46" s="928">
        <f t="shared" si="17"/>
        <v>112.5</v>
      </c>
      <c r="AG46" s="928">
        <f t="shared" si="17"/>
        <v>112.5</v>
      </c>
      <c r="AH46" s="928">
        <f t="shared" si="17"/>
        <v>112.5</v>
      </c>
      <c r="AI46" s="928">
        <f t="shared" ref="AI46:AT46" si="18">$H$25*AD$29</f>
        <v>112.5</v>
      </c>
      <c r="AJ46" s="928">
        <f t="shared" si="18"/>
        <v>112.5</v>
      </c>
      <c r="AK46" s="928">
        <f t="shared" si="18"/>
        <v>112.5</v>
      </c>
      <c r="AL46" s="928">
        <f t="shared" si="18"/>
        <v>112.5</v>
      </c>
      <c r="AM46" s="928">
        <f t="shared" si="18"/>
        <v>112.5</v>
      </c>
      <c r="AN46" s="928">
        <f t="shared" si="18"/>
        <v>112.5</v>
      </c>
      <c r="AO46" s="928">
        <f t="shared" si="18"/>
        <v>112.5</v>
      </c>
      <c r="AP46" s="928">
        <f t="shared" si="18"/>
        <v>112.5</v>
      </c>
      <c r="AQ46" s="928">
        <f t="shared" si="18"/>
        <v>112.5</v>
      </c>
      <c r="AR46" s="928">
        <f t="shared" si="18"/>
        <v>112.5</v>
      </c>
      <c r="AS46" s="928">
        <f t="shared" si="18"/>
        <v>112.5</v>
      </c>
      <c r="AT46" s="928">
        <f t="shared" si="18"/>
        <v>112.5</v>
      </c>
    </row>
    <row r="47" spans="1:46" x14ac:dyDescent="0.3">
      <c r="A47" s="927" t="s">
        <v>924</v>
      </c>
      <c r="I47" s="928">
        <f>$I$25*C$29</f>
        <v>6.25</v>
      </c>
      <c r="J47" s="928">
        <f t="shared" ref="J47:AH47" si="19">$I$25*D$29</f>
        <v>12.375</v>
      </c>
      <c r="K47" s="928">
        <f t="shared" si="19"/>
        <v>18.377500000000001</v>
      </c>
      <c r="L47" s="928">
        <f t="shared" si="19"/>
        <v>24.259950000000003</v>
      </c>
      <c r="M47" s="928">
        <f t="shared" si="19"/>
        <v>30.024751000000002</v>
      </c>
      <c r="N47" s="928">
        <f t="shared" si="19"/>
        <v>35.674255979999998</v>
      </c>
      <c r="O47" s="928">
        <f t="shared" si="19"/>
        <v>41.210770860400004</v>
      </c>
      <c r="P47" s="928">
        <f t="shared" si="19"/>
        <v>46.636555443192002</v>
      </c>
      <c r="Q47" s="928">
        <f t="shared" si="19"/>
        <v>51.953824334328161</v>
      </c>
      <c r="R47" s="928">
        <f t="shared" si="19"/>
        <v>57.1647478476416</v>
      </c>
      <c r="S47" s="928">
        <f t="shared" si="19"/>
        <v>62.271452890688764</v>
      </c>
      <c r="T47" s="928">
        <f t="shared" si="19"/>
        <v>67.276023832874984</v>
      </c>
      <c r="U47" s="928">
        <f t="shared" si="19"/>
        <v>72.180503356217486</v>
      </c>
      <c r="V47" s="928">
        <f t="shared" si="19"/>
        <v>76.986893289093132</v>
      </c>
      <c r="W47" s="928">
        <f t="shared" si="19"/>
        <v>81.697155423311273</v>
      </c>
      <c r="X47" s="928">
        <f t="shared" si="19"/>
        <v>86.313212314845046</v>
      </c>
      <c r="Y47" s="928">
        <f t="shared" si="19"/>
        <v>90.836948068548139</v>
      </c>
      <c r="Z47" s="928">
        <f t="shared" si="19"/>
        <v>95.27020910717718</v>
      </c>
      <c r="AA47" s="928">
        <f t="shared" si="19"/>
        <v>99.614804925033638</v>
      </c>
      <c r="AB47" s="928">
        <f t="shared" si="19"/>
        <v>103.87250882653295</v>
      </c>
      <c r="AC47" s="928">
        <f t="shared" si="19"/>
        <v>108.0450586500023</v>
      </c>
      <c r="AD47" s="928">
        <f t="shared" si="19"/>
        <v>112.13415747700226</v>
      </c>
      <c r="AE47" s="928">
        <f t="shared" si="19"/>
        <v>112.5</v>
      </c>
      <c r="AF47" s="928">
        <f t="shared" si="19"/>
        <v>112.5</v>
      </c>
      <c r="AG47" s="928">
        <f t="shared" si="19"/>
        <v>112.5</v>
      </c>
      <c r="AH47" s="928">
        <f t="shared" si="19"/>
        <v>112.5</v>
      </c>
      <c r="AI47" s="928">
        <f t="shared" ref="AI47:AT47" si="20">$I$25*AC$29</f>
        <v>112.5</v>
      </c>
      <c r="AJ47" s="928">
        <f t="shared" si="20"/>
        <v>112.5</v>
      </c>
      <c r="AK47" s="928">
        <f t="shared" si="20"/>
        <v>112.5</v>
      </c>
      <c r="AL47" s="928">
        <f t="shared" si="20"/>
        <v>112.5</v>
      </c>
      <c r="AM47" s="928">
        <f t="shared" si="20"/>
        <v>112.5</v>
      </c>
      <c r="AN47" s="928">
        <f t="shared" si="20"/>
        <v>112.5</v>
      </c>
      <c r="AO47" s="928">
        <f t="shared" si="20"/>
        <v>112.5</v>
      </c>
      <c r="AP47" s="928">
        <f t="shared" si="20"/>
        <v>112.5</v>
      </c>
      <c r="AQ47" s="928">
        <f t="shared" si="20"/>
        <v>112.5</v>
      </c>
      <c r="AR47" s="928">
        <f t="shared" si="20"/>
        <v>112.5</v>
      </c>
      <c r="AS47" s="928">
        <f t="shared" si="20"/>
        <v>112.5</v>
      </c>
      <c r="AT47" s="928">
        <f t="shared" si="20"/>
        <v>112.5</v>
      </c>
    </row>
    <row r="48" spans="1:46" x14ac:dyDescent="0.3">
      <c r="A48" s="927" t="s">
        <v>925</v>
      </c>
      <c r="J48" s="928">
        <f>$J$25*C$29</f>
        <v>6.25</v>
      </c>
      <c r="K48" s="928">
        <f t="shared" ref="K48:AH48" si="21">$J$25*D$29</f>
        <v>12.375</v>
      </c>
      <c r="L48" s="928">
        <f t="shared" si="21"/>
        <v>18.377500000000001</v>
      </c>
      <c r="M48" s="928">
        <f t="shared" si="21"/>
        <v>24.259950000000003</v>
      </c>
      <c r="N48" s="928">
        <f t="shared" si="21"/>
        <v>30.024751000000002</v>
      </c>
      <c r="O48" s="928">
        <f t="shared" si="21"/>
        <v>35.674255979999998</v>
      </c>
      <c r="P48" s="928">
        <f t="shared" si="21"/>
        <v>41.210770860400004</v>
      </c>
      <c r="Q48" s="928">
        <f t="shared" si="21"/>
        <v>46.636555443192002</v>
      </c>
      <c r="R48" s="928">
        <f t="shared" si="21"/>
        <v>51.953824334328161</v>
      </c>
      <c r="S48" s="928">
        <f t="shared" si="21"/>
        <v>57.1647478476416</v>
      </c>
      <c r="T48" s="928">
        <f t="shared" si="21"/>
        <v>62.271452890688764</v>
      </c>
      <c r="U48" s="928">
        <f t="shared" si="21"/>
        <v>67.276023832874984</v>
      </c>
      <c r="V48" s="928">
        <f t="shared" si="21"/>
        <v>72.180503356217486</v>
      </c>
      <c r="W48" s="928">
        <f t="shared" si="21"/>
        <v>76.986893289093132</v>
      </c>
      <c r="X48" s="928">
        <f t="shared" si="21"/>
        <v>81.697155423311273</v>
      </c>
      <c r="Y48" s="928">
        <f t="shared" si="21"/>
        <v>86.313212314845046</v>
      </c>
      <c r="Z48" s="928">
        <f t="shared" si="21"/>
        <v>90.836948068548139</v>
      </c>
      <c r="AA48" s="928">
        <f t="shared" si="21"/>
        <v>95.27020910717718</v>
      </c>
      <c r="AB48" s="928">
        <f t="shared" si="21"/>
        <v>99.614804925033638</v>
      </c>
      <c r="AC48" s="928">
        <f t="shared" si="21"/>
        <v>103.87250882653295</v>
      </c>
      <c r="AD48" s="928">
        <f t="shared" si="21"/>
        <v>108.0450586500023</v>
      </c>
      <c r="AE48" s="928">
        <f t="shared" si="21"/>
        <v>112.13415747700226</v>
      </c>
      <c r="AF48" s="928">
        <f t="shared" si="21"/>
        <v>112.5</v>
      </c>
      <c r="AG48" s="928">
        <f t="shared" si="21"/>
        <v>112.5</v>
      </c>
      <c r="AH48" s="928">
        <f t="shared" si="21"/>
        <v>112.5</v>
      </c>
      <c r="AI48" s="928">
        <f t="shared" ref="AI48:AT48" si="22">$J$25*AB$29</f>
        <v>112.5</v>
      </c>
      <c r="AJ48" s="928">
        <f t="shared" si="22"/>
        <v>112.5</v>
      </c>
      <c r="AK48" s="928">
        <f t="shared" si="22"/>
        <v>112.5</v>
      </c>
      <c r="AL48" s="928">
        <f t="shared" si="22"/>
        <v>112.5</v>
      </c>
      <c r="AM48" s="928">
        <f t="shared" si="22"/>
        <v>112.5</v>
      </c>
      <c r="AN48" s="928">
        <f t="shared" si="22"/>
        <v>112.5</v>
      </c>
      <c r="AO48" s="928">
        <f t="shared" si="22"/>
        <v>112.5</v>
      </c>
      <c r="AP48" s="928">
        <f t="shared" si="22"/>
        <v>112.5</v>
      </c>
      <c r="AQ48" s="928">
        <f t="shared" si="22"/>
        <v>112.5</v>
      </c>
      <c r="AR48" s="928">
        <f t="shared" si="22"/>
        <v>112.5</v>
      </c>
      <c r="AS48" s="928">
        <f t="shared" si="22"/>
        <v>112.5</v>
      </c>
      <c r="AT48" s="928">
        <f t="shared" si="22"/>
        <v>112.5</v>
      </c>
    </row>
    <row r="49" spans="1:46" x14ac:dyDescent="0.3">
      <c r="A49" s="927" t="s">
        <v>883</v>
      </c>
      <c r="K49" s="928">
        <f>$K$25*C$29</f>
        <v>10</v>
      </c>
      <c r="L49" s="928">
        <f t="shared" ref="L49:AH49" si="23">$K$25*D$29</f>
        <v>19.8</v>
      </c>
      <c r="M49" s="928">
        <f t="shared" si="23"/>
        <v>29.404000000000003</v>
      </c>
      <c r="N49" s="928">
        <f t="shared" si="23"/>
        <v>38.815920000000006</v>
      </c>
      <c r="O49" s="928">
        <f t="shared" si="23"/>
        <v>48.039601600000005</v>
      </c>
      <c r="P49" s="928">
        <f t="shared" si="23"/>
        <v>57.078809567999997</v>
      </c>
      <c r="Q49" s="928">
        <f t="shared" si="23"/>
        <v>65.937233376640009</v>
      </c>
      <c r="R49" s="928">
        <f t="shared" si="23"/>
        <v>74.618488709107197</v>
      </c>
      <c r="S49" s="928">
        <f t="shared" si="23"/>
        <v>83.126118934925046</v>
      </c>
      <c r="T49" s="928">
        <f t="shared" si="23"/>
        <v>91.463596556226562</v>
      </c>
      <c r="U49" s="928">
        <f t="shared" si="23"/>
        <v>99.634324625102025</v>
      </c>
      <c r="V49" s="928">
        <f t="shared" si="23"/>
        <v>107.64163813259997</v>
      </c>
      <c r="W49" s="928">
        <f t="shared" si="23"/>
        <v>115.48880536994797</v>
      </c>
      <c r="X49" s="928">
        <f t="shared" si="23"/>
        <v>123.17902926254899</v>
      </c>
      <c r="Y49" s="928">
        <f t="shared" si="23"/>
        <v>130.71544867729804</v>
      </c>
      <c r="Z49" s="928">
        <f t="shared" si="23"/>
        <v>138.10113970375207</v>
      </c>
      <c r="AA49" s="928">
        <f t="shared" si="23"/>
        <v>145.33911690967702</v>
      </c>
      <c r="AB49" s="928">
        <f t="shared" si="23"/>
        <v>152.43233457148349</v>
      </c>
      <c r="AC49" s="928">
        <f t="shared" si="23"/>
        <v>159.38368788005383</v>
      </c>
      <c r="AD49" s="928">
        <f t="shared" si="23"/>
        <v>166.19601412245274</v>
      </c>
      <c r="AE49" s="928">
        <f t="shared" si="23"/>
        <v>172.87209384000369</v>
      </c>
      <c r="AF49" s="928">
        <f t="shared" si="23"/>
        <v>179.4146519632036</v>
      </c>
      <c r="AG49" s="928">
        <f t="shared" si="23"/>
        <v>180</v>
      </c>
      <c r="AH49" s="928">
        <f t="shared" si="23"/>
        <v>180</v>
      </c>
      <c r="AI49" s="928">
        <f t="shared" ref="AI49:AT49" si="24">$K$25*AA$29</f>
        <v>180</v>
      </c>
      <c r="AJ49" s="928">
        <f t="shared" si="24"/>
        <v>180</v>
      </c>
      <c r="AK49" s="928">
        <f t="shared" si="24"/>
        <v>180</v>
      </c>
      <c r="AL49" s="928">
        <f t="shared" si="24"/>
        <v>180</v>
      </c>
      <c r="AM49" s="928">
        <f t="shared" si="24"/>
        <v>180</v>
      </c>
      <c r="AN49" s="928">
        <f t="shared" si="24"/>
        <v>180</v>
      </c>
      <c r="AO49" s="928">
        <f t="shared" si="24"/>
        <v>180</v>
      </c>
      <c r="AP49" s="928">
        <f t="shared" si="24"/>
        <v>180</v>
      </c>
      <c r="AQ49" s="928">
        <f t="shared" si="24"/>
        <v>180</v>
      </c>
      <c r="AR49" s="928">
        <f t="shared" si="24"/>
        <v>180</v>
      </c>
      <c r="AS49" s="928">
        <f t="shared" si="24"/>
        <v>180</v>
      </c>
      <c r="AT49" s="928">
        <f t="shared" si="24"/>
        <v>180</v>
      </c>
    </row>
    <row r="50" spans="1:46" x14ac:dyDescent="0.3">
      <c r="A50" s="927" t="s">
        <v>884</v>
      </c>
      <c r="L50" s="928">
        <f>$L$25*C$29</f>
        <v>10</v>
      </c>
      <c r="M50" s="928">
        <f t="shared" ref="M50:AH50" si="25">$L$25*D$29</f>
        <v>19.8</v>
      </c>
      <c r="N50" s="928">
        <f t="shared" si="25"/>
        <v>29.404000000000003</v>
      </c>
      <c r="O50" s="928">
        <f t="shared" si="25"/>
        <v>38.815920000000006</v>
      </c>
      <c r="P50" s="928">
        <f t="shared" si="25"/>
        <v>48.039601600000005</v>
      </c>
      <c r="Q50" s="928">
        <f t="shared" si="25"/>
        <v>57.078809567999997</v>
      </c>
      <c r="R50" s="928">
        <f t="shared" si="25"/>
        <v>65.937233376640009</v>
      </c>
      <c r="S50" s="928">
        <f t="shared" si="25"/>
        <v>74.618488709107197</v>
      </c>
      <c r="T50" s="928">
        <f t="shared" si="25"/>
        <v>83.126118934925046</v>
      </c>
      <c r="U50" s="928">
        <f t="shared" si="25"/>
        <v>91.463596556226562</v>
      </c>
      <c r="V50" s="928">
        <f t="shared" si="25"/>
        <v>99.634324625102025</v>
      </c>
      <c r="W50" s="928">
        <f t="shared" si="25"/>
        <v>107.64163813259997</v>
      </c>
      <c r="X50" s="928">
        <f t="shared" si="25"/>
        <v>115.48880536994797</v>
      </c>
      <c r="Y50" s="928">
        <f t="shared" si="25"/>
        <v>123.17902926254899</v>
      </c>
      <c r="Z50" s="928">
        <f t="shared" si="25"/>
        <v>130.71544867729804</v>
      </c>
      <c r="AA50" s="928">
        <f t="shared" si="25"/>
        <v>138.10113970375207</v>
      </c>
      <c r="AB50" s="928">
        <f t="shared" si="25"/>
        <v>145.33911690967702</v>
      </c>
      <c r="AC50" s="928">
        <f t="shared" si="25"/>
        <v>152.43233457148349</v>
      </c>
      <c r="AD50" s="928">
        <f t="shared" si="25"/>
        <v>159.38368788005383</v>
      </c>
      <c r="AE50" s="928">
        <f t="shared" si="25"/>
        <v>166.19601412245274</v>
      </c>
      <c r="AF50" s="928">
        <f t="shared" si="25"/>
        <v>172.87209384000369</v>
      </c>
      <c r="AG50" s="928">
        <f t="shared" si="25"/>
        <v>179.4146519632036</v>
      </c>
      <c r="AH50" s="928">
        <f t="shared" si="25"/>
        <v>180</v>
      </c>
      <c r="AI50" s="928">
        <f t="shared" ref="AI50:AT50" si="26">$L$25*Z$29</f>
        <v>180</v>
      </c>
      <c r="AJ50" s="928">
        <f t="shared" si="26"/>
        <v>180</v>
      </c>
      <c r="AK50" s="928">
        <f t="shared" si="26"/>
        <v>180</v>
      </c>
      <c r="AL50" s="928">
        <f t="shared" si="26"/>
        <v>180</v>
      </c>
      <c r="AM50" s="928">
        <f t="shared" si="26"/>
        <v>180</v>
      </c>
      <c r="AN50" s="928">
        <f t="shared" si="26"/>
        <v>180</v>
      </c>
      <c r="AO50" s="928">
        <f t="shared" si="26"/>
        <v>180</v>
      </c>
      <c r="AP50" s="928">
        <f t="shared" si="26"/>
        <v>180</v>
      </c>
      <c r="AQ50" s="928">
        <f t="shared" si="26"/>
        <v>180</v>
      </c>
      <c r="AR50" s="928">
        <f t="shared" si="26"/>
        <v>180</v>
      </c>
      <c r="AS50" s="928">
        <f t="shared" si="26"/>
        <v>180</v>
      </c>
      <c r="AT50" s="928">
        <f t="shared" si="26"/>
        <v>180</v>
      </c>
    </row>
    <row r="51" spans="1:46" x14ac:dyDescent="0.3">
      <c r="A51" s="927" t="s">
        <v>885</v>
      </c>
      <c r="M51" s="928">
        <f>$M$25*C$29</f>
        <v>10</v>
      </c>
      <c r="N51" s="928">
        <f t="shared" ref="N51:AH51" si="27">$M$25*D$29</f>
        <v>19.8</v>
      </c>
      <c r="O51" s="928">
        <f t="shared" si="27"/>
        <v>29.404000000000003</v>
      </c>
      <c r="P51" s="928">
        <f t="shared" si="27"/>
        <v>38.815920000000006</v>
      </c>
      <c r="Q51" s="928">
        <f t="shared" si="27"/>
        <v>48.039601600000005</v>
      </c>
      <c r="R51" s="928">
        <f t="shared" si="27"/>
        <v>57.078809567999997</v>
      </c>
      <c r="S51" s="928">
        <f t="shared" si="27"/>
        <v>65.937233376640009</v>
      </c>
      <c r="T51" s="928">
        <f t="shared" si="27"/>
        <v>74.618488709107197</v>
      </c>
      <c r="U51" s="928">
        <f t="shared" si="27"/>
        <v>83.126118934925046</v>
      </c>
      <c r="V51" s="928">
        <f t="shared" si="27"/>
        <v>91.463596556226562</v>
      </c>
      <c r="W51" s="928">
        <f t="shared" si="27"/>
        <v>99.634324625102025</v>
      </c>
      <c r="X51" s="928">
        <f t="shared" si="27"/>
        <v>107.64163813259997</v>
      </c>
      <c r="Y51" s="928">
        <f t="shared" si="27"/>
        <v>115.48880536994797</v>
      </c>
      <c r="Z51" s="928">
        <f t="shared" si="27"/>
        <v>123.17902926254899</v>
      </c>
      <c r="AA51" s="928">
        <f t="shared" si="27"/>
        <v>130.71544867729804</v>
      </c>
      <c r="AB51" s="928">
        <f t="shared" si="27"/>
        <v>138.10113970375207</v>
      </c>
      <c r="AC51" s="928">
        <f t="shared" si="27"/>
        <v>145.33911690967702</v>
      </c>
      <c r="AD51" s="928">
        <f t="shared" si="27"/>
        <v>152.43233457148349</v>
      </c>
      <c r="AE51" s="928">
        <f t="shared" si="27"/>
        <v>159.38368788005383</v>
      </c>
      <c r="AF51" s="928">
        <f t="shared" si="27"/>
        <v>166.19601412245274</v>
      </c>
      <c r="AG51" s="928">
        <f t="shared" si="27"/>
        <v>172.87209384000369</v>
      </c>
      <c r="AH51" s="928">
        <f t="shared" si="27"/>
        <v>179.4146519632036</v>
      </c>
      <c r="AI51" s="928">
        <f t="shared" ref="AI51:AT51" si="28">$M$25*Y$29</f>
        <v>180</v>
      </c>
      <c r="AJ51" s="928">
        <f t="shared" si="28"/>
        <v>180</v>
      </c>
      <c r="AK51" s="928">
        <f t="shared" si="28"/>
        <v>180</v>
      </c>
      <c r="AL51" s="928">
        <f t="shared" si="28"/>
        <v>180</v>
      </c>
      <c r="AM51" s="928">
        <f t="shared" si="28"/>
        <v>180</v>
      </c>
      <c r="AN51" s="928">
        <f t="shared" si="28"/>
        <v>180</v>
      </c>
      <c r="AO51" s="928">
        <f t="shared" si="28"/>
        <v>180</v>
      </c>
      <c r="AP51" s="928">
        <f t="shared" si="28"/>
        <v>180</v>
      </c>
      <c r="AQ51" s="928">
        <f t="shared" si="28"/>
        <v>180</v>
      </c>
      <c r="AR51" s="928">
        <f t="shared" si="28"/>
        <v>180</v>
      </c>
      <c r="AS51" s="928">
        <f t="shared" si="28"/>
        <v>180</v>
      </c>
      <c r="AT51" s="928">
        <f t="shared" si="28"/>
        <v>180</v>
      </c>
    </row>
    <row r="52" spans="1:46" x14ac:dyDescent="0.3">
      <c r="A52" s="927" t="s">
        <v>886</v>
      </c>
      <c r="N52" s="928">
        <f>$N$25*C$29</f>
        <v>10</v>
      </c>
      <c r="O52" s="928">
        <f t="shared" ref="O52:AH52" si="29">$N$25*D$29</f>
        <v>19.8</v>
      </c>
      <c r="P52" s="928">
        <f t="shared" si="29"/>
        <v>29.404000000000003</v>
      </c>
      <c r="Q52" s="928">
        <f t="shared" si="29"/>
        <v>38.815920000000006</v>
      </c>
      <c r="R52" s="928">
        <f t="shared" si="29"/>
        <v>48.039601600000005</v>
      </c>
      <c r="S52" s="928">
        <f t="shared" si="29"/>
        <v>57.078809567999997</v>
      </c>
      <c r="T52" s="928">
        <f t="shared" si="29"/>
        <v>65.937233376640009</v>
      </c>
      <c r="U52" s="928">
        <f t="shared" si="29"/>
        <v>74.618488709107197</v>
      </c>
      <c r="V52" s="928">
        <f t="shared" si="29"/>
        <v>83.126118934925046</v>
      </c>
      <c r="W52" s="928">
        <f t="shared" si="29"/>
        <v>91.463596556226562</v>
      </c>
      <c r="X52" s="928">
        <f t="shared" si="29"/>
        <v>99.634324625102025</v>
      </c>
      <c r="Y52" s="928">
        <f t="shared" si="29"/>
        <v>107.64163813259997</v>
      </c>
      <c r="Z52" s="928">
        <f t="shared" si="29"/>
        <v>115.48880536994797</v>
      </c>
      <c r="AA52" s="928">
        <f t="shared" si="29"/>
        <v>123.17902926254899</v>
      </c>
      <c r="AB52" s="928">
        <f t="shared" si="29"/>
        <v>130.71544867729804</v>
      </c>
      <c r="AC52" s="928">
        <f t="shared" si="29"/>
        <v>138.10113970375207</v>
      </c>
      <c r="AD52" s="928">
        <f t="shared" si="29"/>
        <v>145.33911690967702</v>
      </c>
      <c r="AE52" s="928">
        <f t="shared" si="29"/>
        <v>152.43233457148349</v>
      </c>
      <c r="AF52" s="928">
        <f t="shared" si="29"/>
        <v>159.38368788005383</v>
      </c>
      <c r="AG52" s="928">
        <f t="shared" si="29"/>
        <v>166.19601412245274</v>
      </c>
      <c r="AH52" s="928">
        <f t="shared" si="29"/>
        <v>172.87209384000369</v>
      </c>
      <c r="AI52" s="928">
        <f t="shared" ref="AI52:AT52" si="30">$N$25*X$29</f>
        <v>179.4146519632036</v>
      </c>
      <c r="AJ52" s="928">
        <f t="shared" si="30"/>
        <v>180</v>
      </c>
      <c r="AK52" s="928">
        <f t="shared" si="30"/>
        <v>180</v>
      </c>
      <c r="AL52" s="928">
        <f t="shared" si="30"/>
        <v>180</v>
      </c>
      <c r="AM52" s="928">
        <f t="shared" si="30"/>
        <v>180</v>
      </c>
      <c r="AN52" s="928">
        <f t="shared" si="30"/>
        <v>180</v>
      </c>
      <c r="AO52" s="928">
        <f t="shared" si="30"/>
        <v>180</v>
      </c>
      <c r="AP52" s="928">
        <f t="shared" si="30"/>
        <v>180</v>
      </c>
      <c r="AQ52" s="928">
        <f t="shared" si="30"/>
        <v>180</v>
      </c>
      <c r="AR52" s="928">
        <f t="shared" si="30"/>
        <v>180</v>
      </c>
      <c r="AS52" s="928">
        <f t="shared" si="30"/>
        <v>180</v>
      </c>
      <c r="AT52" s="928">
        <f t="shared" si="30"/>
        <v>180</v>
      </c>
    </row>
    <row r="53" spans="1:46" x14ac:dyDescent="0.3">
      <c r="A53" s="927" t="s">
        <v>887</v>
      </c>
      <c r="O53" s="928">
        <f>$O$25*C$29</f>
        <v>10.625</v>
      </c>
      <c r="P53" s="928">
        <f t="shared" ref="P53:AH53" si="31">$O$25*D$29</f>
        <v>21.037500000000001</v>
      </c>
      <c r="Q53" s="928">
        <f t="shared" si="31"/>
        <v>31.241750000000003</v>
      </c>
      <c r="R53" s="928">
        <f t="shared" si="31"/>
        <v>41.241915000000006</v>
      </c>
      <c r="S53" s="928">
        <f t="shared" si="31"/>
        <v>51.042076700000003</v>
      </c>
      <c r="T53" s="928">
        <f t="shared" si="31"/>
        <v>60.646235165999997</v>
      </c>
      <c r="U53" s="928">
        <f t="shared" si="31"/>
        <v>70.058310462679998</v>
      </c>
      <c r="V53" s="928">
        <f t="shared" si="31"/>
        <v>79.282144253426395</v>
      </c>
      <c r="W53" s="928">
        <f t="shared" si="31"/>
        <v>88.321501368357872</v>
      </c>
      <c r="X53" s="928">
        <f t="shared" si="31"/>
        <v>97.180071340990722</v>
      </c>
      <c r="Y53" s="928">
        <f t="shared" si="31"/>
        <v>105.8614699141709</v>
      </c>
      <c r="Z53" s="928">
        <f t="shared" si="31"/>
        <v>114.36924051588747</v>
      </c>
      <c r="AA53" s="928">
        <f t="shared" si="31"/>
        <v>122.70685570556971</v>
      </c>
      <c r="AB53" s="928">
        <f t="shared" si="31"/>
        <v>130.87771859145832</v>
      </c>
      <c r="AC53" s="928">
        <f t="shared" si="31"/>
        <v>138.88516421962916</v>
      </c>
      <c r="AD53" s="928">
        <f t="shared" si="31"/>
        <v>146.73246093523656</v>
      </c>
      <c r="AE53" s="928">
        <f t="shared" si="31"/>
        <v>154.42281171653184</v>
      </c>
      <c r="AF53" s="928">
        <f t="shared" si="31"/>
        <v>161.9593554822012</v>
      </c>
      <c r="AG53" s="928">
        <f t="shared" si="31"/>
        <v>169.34516837255717</v>
      </c>
      <c r="AH53" s="928">
        <f t="shared" si="31"/>
        <v>176.58326500510603</v>
      </c>
      <c r="AI53" s="928">
        <f t="shared" ref="AI53:AT53" si="32">$O$25*W$29</f>
        <v>183.67659970500392</v>
      </c>
      <c r="AJ53" s="928">
        <f t="shared" si="32"/>
        <v>190.62806771090382</v>
      </c>
      <c r="AK53" s="928">
        <f t="shared" si="32"/>
        <v>191.25</v>
      </c>
      <c r="AL53" s="928">
        <f t="shared" si="32"/>
        <v>191.25</v>
      </c>
      <c r="AM53" s="928">
        <f t="shared" si="32"/>
        <v>191.25</v>
      </c>
      <c r="AN53" s="928">
        <f t="shared" si="32"/>
        <v>191.25</v>
      </c>
      <c r="AO53" s="928">
        <f t="shared" si="32"/>
        <v>191.25</v>
      </c>
      <c r="AP53" s="928">
        <f t="shared" si="32"/>
        <v>191.25</v>
      </c>
      <c r="AQ53" s="928">
        <f t="shared" si="32"/>
        <v>191.25</v>
      </c>
      <c r="AR53" s="928">
        <f t="shared" si="32"/>
        <v>191.25</v>
      </c>
      <c r="AS53" s="928">
        <f t="shared" si="32"/>
        <v>191.25</v>
      </c>
      <c r="AT53" s="928">
        <f t="shared" si="32"/>
        <v>191.25</v>
      </c>
    </row>
    <row r="54" spans="1:46" x14ac:dyDescent="0.3">
      <c r="A54" s="927" t="s">
        <v>888</v>
      </c>
      <c r="P54" s="928">
        <f>$P$25*C$29</f>
        <v>10.625</v>
      </c>
      <c r="Q54" s="928">
        <f t="shared" ref="Q54:AH54" si="33">$P$25*D$29</f>
        <v>21.037500000000001</v>
      </c>
      <c r="R54" s="928">
        <f t="shared" si="33"/>
        <v>31.241750000000003</v>
      </c>
      <c r="S54" s="928">
        <f t="shared" si="33"/>
        <v>41.241915000000006</v>
      </c>
      <c r="T54" s="928">
        <f t="shared" si="33"/>
        <v>51.042076700000003</v>
      </c>
      <c r="U54" s="928">
        <f t="shared" si="33"/>
        <v>60.646235165999997</v>
      </c>
      <c r="V54" s="928">
        <f t="shared" si="33"/>
        <v>70.058310462679998</v>
      </c>
      <c r="W54" s="928">
        <f t="shared" si="33"/>
        <v>79.282144253426395</v>
      </c>
      <c r="X54" s="928">
        <f t="shared" si="33"/>
        <v>88.321501368357872</v>
      </c>
      <c r="Y54" s="928">
        <f t="shared" si="33"/>
        <v>97.180071340990722</v>
      </c>
      <c r="Z54" s="928">
        <f t="shared" si="33"/>
        <v>105.8614699141709</v>
      </c>
      <c r="AA54" s="928">
        <f t="shared" si="33"/>
        <v>114.36924051588747</v>
      </c>
      <c r="AB54" s="928">
        <f t="shared" si="33"/>
        <v>122.70685570556971</v>
      </c>
      <c r="AC54" s="928">
        <f t="shared" si="33"/>
        <v>130.87771859145832</v>
      </c>
      <c r="AD54" s="928">
        <f t="shared" si="33"/>
        <v>138.88516421962916</v>
      </c>
      <c r="AE54" s="928">
        <f t="shared" si="33"/>
        <v>146.73246093523656</v>
      </c>
      <c r="AF54" s="928">
        <f t="shared" si="33"/>
        <v>154.42281171653184</v>
      </c>
      <c r="AG54" s="928">
        <f t="shared" si="33"/>
        <v>161.9593554822012</v>
      </c>
      <c r="AH54" s="928">
        <f t="shared" si="33"/>
        <v>169.34516837255717</v>
      </c>
      <c r="AI54" s="928">
        <f t="shared" ref="AI54:AT54" si="34">$P$25*V$29</f>
        <v>176.58326500510603</v>
      </c>
      <c r="AJ54" s="928">
        <f t="shared" si="34"/>
        <v>183.67659970500392</v>
      </c>
      <c r="AK54" s="928">
        <f t="shared" si="34"/>
        <v>190.62806771090382</v>
      </c>
      <c r="AL54" s="928">
        <f t="shared" si="34"/>
        <v>191.25</v>
      </c>
      <c r="AM54" s="928">
        <f t="shared" si="34"/>
        <v>191.25</v>
      </c>
      <c r="AN54" s="928">
        <f t="shared" si="34"/>
        <v>191.25</v>
      </c>
      <c r="AO54" s="928">
        <f t="shared" si="34"/>
        <v>191.25</v>
      </c>
      <c r="AP54" s="928">
        <f t="shared" si="34"/>
        <v>191.25</v>
      </c>
      <c r="AQ54" s="928">
        <f t="shared" si="34"/>
        <v>191.25</v>
      </c>
      <c r="AR54" s="928">
        <f t="shared" si="34"/>
        <v>191.25</v>
      </c>
      <c r="AS54" s="928">
        <f t="shared" si="34"/>
        <v>191.25</v>
      </c>
      <c r="AT54" s="928">
        <f t="shared" si="34"/>
        <v>191.25</v>
      </c>
    </row>
    <row r="55" spans="1:46" x14ac:dyDescent="0.3">
      <c r="A55" s="927" t="s">
        <v>1027</v>
      </c>
      <c r="Q55" s="928">
        <f>$Q$25*C$29</f>
        <v>10.625</v>
      </c>
      <c r="R55" s="928">
        <f t="shared" ref="R55:AH55" si="35">$Q$25*D$29</f>
        <v>21.037500000000001</v>
      </c>
      <c r="S55" s="928">
        <f t="shared" si="35"/>
        <v>31.241750000000003</v>
      </c>
      <c r="T55" s="928">
        <f t="shared" si="35"/>
        <v>41.241915000000006</v>
      </c>
      <c r="U55" s="928">
        <f t="shared" si="35"/>
        <v>51.042076700000003</v>
      </c>
      <c r="V55" s="928">
        <f t="shared" si="35"/>
        <v>60.646235165999997</v>
      </c>
      <c r="W55" s="928">
        <f t="shared" si="35"/>
        <v>70.058310462679998</v>
      </c>
      <c r="X55" s="928">
        <f t="shared" si="35"/>
        <v>79.282144253426395</v>
      </c>
      <c r="Y55" s="928">
        <f t="shared" si="35"/>
        <v>88.321501368357872</v>
      </c>
      <c r="Z55" s="928">
        <f t="shared" si="35"/>
        <v>97.180071340990722</v>
      </c>
      <c r="AA55" s="928">
        <f t="shared" si="35"/>
        <v>105.8614699141709</v>
      </c>
      <c r="AB55" s="928">
        <f t="shared" si="35"/>
        <v>114.36924051588747</v>
      </c>
      <c r="AC55" s="928">
        <f t="shared" si="35"/>
        <v>122.70685570556971</v>
      </c>
      <c r="AD55" s="928">
        <f t="shared" si="35"/>
        <v>130.87771859145832</v>
      </c>
      <c r="AE55" s="928">
        <f t="shared" si="35"/>
        <v>138.88516421962916</v>
      </c>
      <c r="AF55" s="928">
        <f t="shared" si="35"/>
        <v>146.73246093523656</v>
      </c>
      <c r="AG55" s="928">
        <f t="shared" si="35"/>
        <v>154.42281171653184</v>
      </c>
      <c r="AH55" s="928">
        <f t="shared" si="35"/>
        <v>161.9593554822012</v>
      </c>
      <c r="AI55" s="928">
        <f t="shared" ref="AI55:AT55" si="36">$Q$25*U$29</f>
        <v>169.34516837255717</v>
      </c>
      <c r="AJ55" s="928">
        <f t="shared" si="36"/>
        <v>176.58326500510603</v>
      </c>
      <c r="AK55" s="928">
        <f t="shared" si="36"/>
        <v>183.67659970500392</v>
      </c>
      <c r="AL55" s="928">
        <f t="shared" si="36"/>
        <v>190.62806771090382</v>
      </c>
      <c r="AM55" s="928">
        <f t="shared" si="36"/>
        <v>191.25</v>
      </c>
      <c r="AN55" s="928">
        <f t="shared" si="36"/>
        <v>191.25</v>
      </c>
      <c r="AO55" s="928">
        <f t="shared" si="36"/>
        <v>191.25</v>
      </c>
      <c r="AP55" s="928">
        <f t="shared" si="36"/>
        <v>191.25</v>
      </c>
      <c r="AQ55" s="928">
        <f t="shared" si="36"/>
        <v>191.25</v>
      </c>
      <c r="AR55" s="928">
        <f t="shared" si="36"/>
        <v>191.25</v>
      </c>
      <c r="AS55" s="928">
        <f t="shared" si="36"/>
        <v>191.25</v>
      </c>
      <c r="AT55" s="928">
        <f t="shared" si="36"/>
        <v>191.25</v>
      </c>
    </row>
    <row r="56" spans="1:46" x14ac:dyDescent="0.3">
      <c r="A56" s="927" t="s">
        <v>1028</v>
      </c>
      <c r="R56" s="928">
        <f>$R$25*C$29</f>
        <v>10.625</v>
      </c>
      <c r="S56" s="928">
        <f t="shared" ref="S56:AH56" si="37">$R$25*D$29</f>
        <v>21.037500000000001</v>
      </c>
      <c r="T56" s="928">
        <f t="shared" si="37"/>
        <v>31.241750000000003</v>
      </c>
      <c r="U56" s="928">
        <f t="shared" si="37"/>
        <v>41.241915000000006</v>
      </c>
      <c r="V56" s="928">
        <f t="shared" si="37"/>
        <v>51.042076700000003</v>
      </c>
      <c r="W56" s="928">
        <f t="shared" si="37"/>
        <v>60.646235165999997</v>
      </c>
      <c r="X56" s="928">
        <f t="shared" si="37"/>
        <v>70.058310462679998</v>
      </c>
      <c r="Y56" s="928">
        <f t="shared" si="37"/>
        <v>79.282144253426395</v>
      </c>
      <c r="Z56" s="928">
        <f t="shared" si="37"/>
        <v>88.321501368357872</v>
      </c>
      <c r="AA56" s="928">
        <f t="shared" si="37"/>
        <v>97.180071340990722</v>
      </c>
      <c r="AB56" s="928">
        <f t="shared" si="37"/>
        <v>105.8614699141709</v>
      </c>
      <c r="AC56" s="928">
        <f t="shared" si="37"/>
        <v>114.36924051588747</v>
      </c>
      <c r="AD56" s="928">
        <f t="shared" si="37"/>
        <v>122.70685570556971</v>
      </c>
      <c r="AE56" s="928">
        <f t="shared" si="37"/>
        <v>130.87771859145832</v>
      </c>
      <c r="AF56" s="928">
        <f t="shared" si="37"/>
        <v>138.88516421962916</v>
      </c>
      <c r="AG56" s="928">
        <f t="shared" si="37"/>
        <v>146.73246093523656</v>
      </c>
      <c r="AH56" s="928">
        <f t="shared" si="37"/>
        <v>154.42281171653184</v>
      </c>
      <c r="AI56" s="928">
        <f t="shared" ref="AI56:AT56" si="38">$R$25*T$29</f>
        <v>161.9593554822012</v>
      </c>
      <c r="AJ56" s="928">
        <f t="shared" si="38"/>
        <v>169.34516837255717</v>
      </c>
      <c r="AK56" s="928">
        <f t="shared" si="38"/>
        <v>176.58326500510603</v>
      </c>
      <c r="AL56" s="928">
        <f t="shared" si="38"/>
        <v>183.67659970500392</v>
      </c>
      <c r="AM56" s="928">
        <f t="shared" si="38"/>
        <v>190.62806771090382</v>
      </c>
      <c r="AN56" s="928">
        <f t="shared" si="38"/>
        <v>191.25</v>
      </c>
      <c r="AO56" s="928">
        <f t="shared" si="38"/>
        <v>191.25</v>
      </c>
      <c r="AP56" s="928">
        <f t="shared" si="38"/>
        <v>191.25</v>
      </c>
      <c r="AQ56" s="928">
        <f t="shared" si="38"/>
        <v>191.25</v>
      </c>
      <c r="AR56" s="928">
        <f t="shared" si="38"/>
        <v>191.25</v>
      </c>
      <c r="AS56" s="928">
        <f t="shared" si="38"/>
        <v>191.25</v>
      </c>
      <c r="AT56" s="928">
        <f t="shared" si="38"/>
        <v>191.25</v>
      </c>
    </row>
    <row r="57" spans="1:46" x14ac:dyDescent="0.3">
      <c r="A57" s="927" t="s">
        <v>1047</v>
      </c>
      <c r="S57" s="928">
        <f>$S$25*C$29</f>
        <v>10.625</v>
      </c>
      <c r="T57" s="928">
        <f t="shared" ref="T57:AH57" si="39">$S$25*D$29</f>
        <v>21.037500000000001</v>
      </c>
      <c r="U57" s="928">
        <f t="shared" si="39"/>
        <v>31.241750000000003</v>
      </c>
      <c r="V57" s="928">
        <f t="shared" si="39"/>
        <v>41.241915000000006</v>
      </c>
      <c r="W57" s="928">
        <f t="shared" si="39"/>
        <v>51.042076700000003</v>
      </c>
      <c r="X57" s="928">
        <f t="shared" si="39"/>
        <v>60.646235165999997</v>
      </c>
      <c r="Y57" s="928">
        <f t="shared" si="39"/>
        <v>70.058310462679998</v>
      </c>
      <c r="Z57" s="928">
        <f t="shared" si="39"/>
        <v>79.282144253426395</v>
      </c>
      <c r="AA57" s="928">
        <f t="shared" si="39"/>
        <v>88.321501368357872</v>
      </c>
      <c r="AB57" s="928">
        <f t="shared" si="39"/>
        <v>97.180071340990722</v>
      </c>
      <c r="AC57" s="928">
        <f t="shared" si="39"/>
        <v>105.8614699141709</v>
      </c>
      <c r="AD57" s="928">
        <f t="shared" si="39"/>
        <v>114.36924051588747</v>
      </c>
      <c r="AE57" s="928">
        <f t="shared" si="39"/>
        <v>122.70685570556971</v>
      </c>
      <c r="AF57" s="928">
        <f t="shared" si="39"/>
        <v>130.87771859145832</v>
      </c>
      <c r="AG57" s="928">
        <f t="shared" si="39"/>
        <v>138.88516421962916</v>
      </c>
      <c r="AH57" s="928">
        <f t="shared" si="39"/>
        <v>146.73246093523656</v>
      </c>
      <c r="AI57" s="928">
        <f t="shared" ref="AI57:AT57" si="40">$S$25*S$29</f>
        <v>154.42281171653184</v>
      </c>
      <c r="AJ57" s="928">
        <f t="shared" si="40"/>
        <v>161.9593554822012</v>
      </c>
      <c r="AK57" s="928">
        <f t="shared" si="40"/>
        <v>169.34516837255717</v>
      </c>
      <c r="AL57" s="928">
        <f t="shared" si="40"/>
        <v>176.58326500510603</v>
      </c>
      <c r="AM57" s="928">
        <f t="shared" si="40"/>
        <v>183.67659970500392</v>
      </c>
      <c r="AN57" s="928">
        <f t="shared" si="40"/>
        <v>190.62806771090382</v>
      </c>
      <c r="AO57" s="928">
        <f t="shared" si="40"/>
        <v>191.25</v>
      </c>
      <c r="AP57" s="928">
        <f t="shared" si="40"/>
        <v>191.25</v>
      </c>
      <c r="AQ57" s="928">
        <f t="shared" si="40"/>
        <v>191.25</v>
      </c>
      <c r="AR57" s="928">
        <f t="shared" si="40"/>
        <v>191.25</v>
      </c>
      <c r="AS57" s="928">
        <f t="shared" si="40"/>
        <v>191.25</v>
      </c>
      <c r="AT57" s="928">
        <f t="shared" si="40"/>
        <v>191.25</v>
      </c>
    </row>
    <row r="58" spans="1:46" x14ac:dyDescent="0.3">
      <c r="A58" s="927" t="s">
        <v>1048</v>
      </c>
      <c r="T58" s="928">
        <f>$T$25*C$29</f>
        <v>10.625</v>
      </c>
      <c r="U58" s="928">
        <f t="shared" ref="U58:AH58" si="41">$T$25*D$29</f>
        <v>21.037500000000001</v>
      </c>
      <c r="V58" s="928">
        <f t="shared" si="41"/>
        <v>31.241750000000003</v>
      </c>
      <c r="W58" s="928">
        <f t="shared" si="41"/>
        <v>41.241915000000006</v>
      </c>
      <c r="X58" s="928">
        <f t="shared" si="41"/>
        <v>51.042076700000003</v>
      </c>
      <c r="Y58" s="928">
        <f t="shared" si="41"/>
        <v>60.646235165999997</v>
      </c>
      <c r="Z58" s="928">
        <f t="shared" si="41"/>
        <v>70.058310462679998</v>
      </c>
      <c r="AA58" s="928">
        <f t="shared" si="41"/>
        <v>79.282144253426395</v>
      </c>
      <c r="AB58" s="928">
        <f t="shared" si="41"/>
        <v>88.321501368357872</v>
      </c>
      <c r="AC58" s="928">
        <f t="shared" si="41"/>
        <v>97.180071340990722</v>
      </c>
      <c r="AD58" s="928">
        <f t="shared" si="41"/>
        <v>105.8614699141709</v>
      </c>
      <c r="AE58" s="928">
        <f t="shared" si="41"/>
        <v>114.36924051588747</v>
      </c>
      <c r="AF58" s="928">
        <f t="shared" si="41"/>
        <v>122.70685570556971</v>
      </c>
      <c r="AG58" s="928">
        <f t="shared" si="41"/>
        <v>130.87771859145832</v>
      </c>
      <c r="AH58" s="928">
        <f t="shared" si="41"/>
        <v>138.88516421962916</v>
      </c>
      <c r="AI58" s="928">
        <f t="shared" ref="AI58:AT58" si="42">$T$25*R$29</f>
        <v>146.73246093523656</v>
      </c>
      <c r="AJ58" s="928">
        <f t="shared" si="42"/>
        <v>154.42281171653184</v>
      </c>
      <c r="AK58" s="928">
        <f t="shared" si="42"/>
        <v>161.9593554822012</v>
      </c>
      <c r="AL58" s="928">
        <f t="shared" si="42"/>
        <v>169.34516837255717</v>
      </c>
      <c r="AM58" s="928">
        <f t="shared" si="42"/>
        <v>176.58326500510603</v>
      </c>
      <c r="AN58" s="928">
        <f t="shared" si="42"/>
        <v>183.67659970500392</v>
      </c>
      <c r="AO58" s="928">
        <f t="shared" si="42"/>
        <v>190.62806771090382</v>
      </c>
      <c r="AP58" s="928">
        <f t="shared" si="42"/>
        <v>191.25</v>
      </c>
      <c r="AQ58" s="928">
        <f t="shared" si="42"/>
        <v>191.25</v>
      </c>
      <c r="AR58" s="928">
        <f t="shared" si="42"/>
        <v>191.25</v>
      </c>
      <c r="AS58" s="928">
        <f t="shared" si="42"/>
        <v>191.25</v>
      </c>
      <c r="AT58" s="928">
        <f t="shared" si="42"/>
        <v>191.25</v>
      </c>
    </row>
    <row r="59" spans="1:46" x14ac:dyDescent="0.3">
      <c r="A59" s="927" t="s">
        <v>1049</v>
      </c>
      <c r="U59" s="928">
        <f>$U$25*C$29</f>
        <v>10.625</v>
      </c>
      <c r="V59" s="928">
        <f t="shared" ref="V59:AH59" si="43">$U$25*D$29</f>
        <v>21.037500000000001</v>
      </c>
      <c r="W59" s="928">
        <f t="shared" si="43"/>
        <v>31.241750000000003</v>
      </c>
      <c r="X59" s="928">
        <f t="shared" si="43"/>
        <v>41.241915000000006</v>
      </c>
      <c r="Y59" s="928">
        <f t="shared" si="43"/>
        <v>51.042076700000003</v>
      </c>
      <c r="Z59" s="928">
        <f t="shared" si="43"/>
        <v>60.646235165999997</v>
      </c>
      <c r="AA59" s="928">
        <f t="shared" si="43"/>
        <v>70.058310462679998</v>
      </c>
      <c r="AB59" s="928">
        <f t="shared" si="43"/>
        <v>79.282144253426395</v>
      </c>
      <c r="AC59" s="928">
        <f t="shared" si="43"/>
        <v>88.321501368357872</v>
      </c>
      <c r="AD59" s="928">
        <f t="shared" si="43"/>
        <v>97.180071340990722</v>
      </c>
      <c r="AE59" s="928">
        <f t="shared" si="43"/>
        <v>105.8614699141709</v>
      </c>
      <c r="AF59" s="928">
        <f t="shared" si="43"/>
        <v>114.36924051588747</v>
      </c>
      <c r="AG59" s="928">
        <f t="shared" si="43"/>
        <v>122.70685570556971</v>
      </c>
      <c r="AH59" s="928">
        <f t="shared" si="43"/>
        <v>130.87771859145832</v>
      </c>
      <c r="AI59" s="928">
        <f t="shared" ref="AI59:AT59" si="44">$U$25*Q$29</f>
        <v>138.88516421962916</v>
      </c>
      <c r="AJ59" s="928">
        <f t="shared" si="44"/>
        <v>146.73246093523656</v>
      </c>
      <c r="AK59" s="928">
        <f t="shared" si="44"/>
        <v>154.42281171653184</v>
      </c>
      <c r="AL59" s="928">
        <f t="shared" si="44"/>
        <v>161.9593554822012</v>
      </c>
      <c r="AM59" s="928">
        <f t="shared" si="44"/>
        <v>169.34516837255717</v>
      </c>
      <c r="AN59" s="928">
        <f t="shared" si="44"/>
        <v>176.58326500510603</v>
      </c>
      <c r="AO59" s="928">
        <f t="shared" si="44"/>
        <v>183.67659970500392</v>
      </c>
      <c r="AP59" s="928">
        <f t="shared" si="44"/>
        <v>190.62806771090382</v>
      </c>
      <c r="AQ59" s="928">
        <f t="shared" si="44"/>
        <v>191.25</v>
      </c>
      <c r="AR59" s="928">
        <f t="shared" si="44"/>
        <v>191.25</v>
      </c>
      <c r="AS59" s="928">
        <f t="shared" si="44"/>
        <v>191.25</v>
      </c>
      <c r="AT59" s="928">
        <f t="shared" si="44"/>
        <v>191.25</v>
      </c>
    </row>
    <row r="60" spans="1:46" x14ac:dyDescent="0.3">
      <c r="A60" s="927" t="s">
        <v>1050</v>
      </c>
      <c r="V60" s="928">
        <f>$V$25*C$29</f>
        <v>10.625</v>
      </c>
      <c r="W60" s="928">
        <f t="shared" ref="W60:AH60" si="45">$V$25*D$29</f>
        <v>21.037500000000001</v>
      </c>
      <c r="X60" s="928">
        <f t="shared" si="45"/>
        <v>31.241750000000003</v>
      </c>
      <c r="Y60" s="928">
        <f t="shared" si="45"/>
        <v>41.241915000000006</v>
      </c>
      <c r="Z60" s="928">
        <f t="shared" si="45"/>
        <v>51.042076700000003</v>
      </c>
      <c r="AA60" s="928">
        <f t="shared" si="45"/>
        <v>60.646235165999997</v>
      </c>
      <c r="AB60" s="928">
        <f t="shared" si="45"/>
        <v>70.058310462679998</v>
      </c>
      <c r="AC60" s="928">
        <f t="shared" si="45"/>
        <v>79.282144253426395</v>
      </c>
      <c r="AD60" s="928">
        <f t="shared" si="45"/>
        <v>88.321501368357872</v>
      </c>
      <c r="AE60" s="928">
        <f t="shared" si="45"/>
        <v>97.180071340990722</v>
      </c>
      <c r="AF60" s="928">
        <f t="shared" si="45"/>
        <v>105.8614699141709</v>
      </c>
      <c r="AG60" s="928">
        <f t="shared" si="45"/>
        <v>114.36924051588747</v>
      </c>
      <c r="AH60" s="928">
        <f t="shared" si="45"/>
        <v>122.70685570556971</v>
      </c>
      <c r="AI60" s="928">
        <f t="shared" ref="AI60:AT60" si="46">$V$25*P$29</f>
        <v>130.87771859145832</v>
      </c>
      <c r="AJ60" s="928">
        <f t="shared" si="46"/>
        <v>138.88516421962916</v>
      </c>
      <c r="AK60" s="928">
        <f t="shared" si="46"/>
        <v>146.73246093523656</v>
      </c>
      <c r="AL60" s="928">
        <f t="shared" si="46"/>
        <v>154.42281171653184</v>
      </c>
      <c r="AM60" s="928">
        <f t="shared" si="46"/>
        <v>161.9593554822012</v>
      </c>
      <c r="AN60" s="928">
        <f t="shared" si="46"/>
        <v>169.34516837255717</v>
      </c>
      <c r="AO60" s="928">
        <f t="shared" si="46"/>
        <v>176.58326500510603</v>
      </c>
      <c r="AP60" s="928">
        <f t="shared" si="46"/>
        <v>183.67659970500392</v>
      </c>
      <c r="AQ60" s="928">
        <f t="shared" si="46"/>
        <v>190.62806771090382</v>
      </c>
      <c r="AR60" s="928">
        <f t="shared" si="46"/>
        <v>191.25</v>
      </c>
      <c r="AS60" s="928">
        <f t="shared" si="46"/>
        <v>191.25</v>
      </c>
      <c r="AT60" s="928">
        <f t="shared" si="46"/>
        <v>191.25</v>
      </c>
    </row>
    <row r="61" spans="1:46" x14ac:dyDescent="0.3">
      <c r="A61" s="927" t="s">
        <v>1051</v>
      </c>
      <c r="W61" s="928">
        <f>$W$25*C$29</f>
        <v>0.35000000000000003</v>
      </c>
      <c r="X61" s="928">
        <f t="shared" ref="X61:AH61" si="47">$W$25*D$29</f>
        <v>0.69300000000000006</v>
      </c>
      <c r="Y61" s="928">
        <f t="shared" si="47"/>
        <v>1.0291400000000002</v>
      </c>
      <c r="Z61" s="928">
        <f t="shared" si="47"/>
        <v>1.3585572000000001</v>
      </c>
      <c r="AA61" s="928">
        <f t="shared" si="47"/>
        <v>1.681386056</v>
      </c>
      <c r="AB61" s="928">
        <f t="shared" si="47"/>
        <v>1.9977583348799999</v>
      </c>
      <c r="AC61" s="928">
        <f t="shared" si="47"/>
        <v>2.3078031681824003</v>
      </c>
      <c r="AD61" s="928">
        <f t="shared" si="47"/>
        <v>2.611647104818752</v>
      </c>
      <c r="AE61" s="928">
        <f t="shared" si="47"/>
        <v>2.9094141627223769</v>
      </c>
      <c r="AF61" s="928">
        <f t="shared" si="47"/>
        <v>3.2012258794679296</v>
      </c>
      <c r="AG61" s="928">
        <f t="shared" si="47"/>
        <v>3.4872013618785709</v>
      </c>
      <c r="AH61" s="928">
        <f t="shared" si="47"/>
        <v>3.7674573346409987</v>
      </c>
      <c r="AI61" s="928">
        <f t="shared" ref="AI61:AT61" si="48">$W$25*O$29</f>
        <v>4.0421081879481786</v>
      </c>
      <c r="AJ61" s="928">
        <f t="shared" si="48"/>
        <v>4.3112660241892149</v>
      </c>
      <c r="AK61" s="928">
        <f t="shared" si="48"/>
        <v>4.5750407037054313</v>
      </c>
      <c r="AL61" s="928">
        <f t="shared" si="48"/>
        <v>4.8335398896313224</v>
      </c>
      <c r="AM61" s="928">
        <f t="shared" si="48"/>
        <v>5.0868690918386958</v>
      </c>
      <c r="AN61" s="928">
        <f t="shared" si="48"/>
        <v>5.3351317100019218</v>
      </c>
      <c r="AO61" s="928">
        <f t="shared" si="48"/>
        <v>5.5784290758018837</v>
      </c>
      <c r="AP61" s="928">
        <f t="shared" si="48"/>
        <v>5.8168604942858453</v>
      </c>
      <c r="AQ61" s="928">
        <f t="shared" si="48"/>
        <v>6.0505232844001284</v>
      </c>
      <c r="AR61" s="928">
        <f t="shared" si="48"/>
        <v>6.2795128187121261</v>
      </c>
      <c r="AS61" s="928">
        <f t="shared" si="48"/>
        <v>6.3</v>
      </c>
      <c r="AT61" s="928">
        <f t="shared" si="48"/>
        <v>6.3</v>
      </c>
    </row>
    <row r="62" spans="1:46" x14ac:dyDescent="0.3">
      <c r="A62" s="927" t="s">
        <v>1052</v>
      </c>
      <c r="X62" s="928">
        <f>$X$25*C$29</f>
        <v>0</v>
      </c>
      <c r="Y62" s="928">
        <f t="shared" ref="Y62:AH62" si="49">$X$25*D$29</f>
        <v>0</v>
      </c>
      <c r="Z62" s="928">
        <f t="shared" si="49"/>
        <v>0</v>
      </c>
      <c r="AA62" s="928">
        <f t="shared" si="49"/>
        <v>0</v>
      </c>
      <c r="AB62" s="928">
        <f t="shared" si="49"/>
        <v>0</v>
      </c>
      <c r="AC62" s="928">
        <f t="shared" si="49"/>
        <v>0</v>
      </c>
      <c r="AD62" s="928">
        <f t="shared" si="49"/>
        <v>0</v>
      </c>
      <c r="AE62" s="928">
        <f t="shared" si="49"/>
        <v>0</v>
      </c>
      <c r="AF62" s="928">
        <f t="shared" si="49"/>
        <v>0</v>
      </c>
      <c r="AG62" s="928">
        <f t="shared" si="49"/>
        <v>0</v>
      </c>
      <c r="AH62" s="928">
        <f t="shared" si="49"/>
        <v>0</v>
      </c>
      <c r="AI62" s="928">
        <f t="shared" ref="AI62:AT62" si="50">$X$25*N$29</f>
        <v>0</v>
      </c>
      <c r="AJ62" s="928">
        <f t="shared" si="50"/>
        <v>0</v>
      </c>
      <c r="AK62" s="928">
        <f t="shared" si="50"/>
        <v>0</v>
      </c>
      <c r="AL62" s="928">
        <f t="shared" si="50"/>
        <v>0</v>
      </c>
      <c r="AM62" s="928">
        <f t="shared" si="50"/>
        <v>0</v>
      </c>
      <c r="AN62" s="928">
        <f t="shared" si="50"/>
        <v>0</v>
      </c>
      <c r="AO62" s="928">
        <f t="shared" si="50"/>
        <v>0</v>
      </c>
      <c r="AP62" s="928">
        <f t="shared" si="50"/>
        <v>0</v>
      </c>
      <c r="AQ62" s="928">
        <f t="shared" si="50"/>
        <v>0</v>
      </c>
      <c r="AR62" s="928">
        <f t="shared" si="50"/>
        <v>0</v>
      </c>
      <c r="AS62" s="928">
        <f t="shared" si="50"/>
        <v>0</v>
      </c>
      <c r="AT62" s="928">
        <f t="shared" si="50"/>
        <v>0</v>
      </c>
    </row>
    <row r="63" spans="1:46" x14ac:dyDescent="0.3">
      <c r="A63" s="927" t="s">
        <v>1053</v>
      </c>
      <c r="Y63" s="928">
        <f>$Y$25*C$29</f>
        <v>0</v>
      </c>
      <c r="Z63" s="928">
        <f t="shared" ref="Z63:AH63" si="51">$Y$25*D$29</f>
        <v>0</v>
      </c>
      <c r="AA63" s="928">
        <f t="shared" si="51"/>
        <v>0</v>
      </c>
      <c r="AB63" s="928">
        <f t="shared" si="51"/>
        <v>0</v>
      </c>
      <c r="AC63" s="928">
        <f t="shared" si="51"/>
        <v>0</v>
      </c>
      <c r="AD63" s="928">
        <f t="shared" si="51"/>
        <v>0</v>
      </c>
      <c r="AE63" s="928">
        <f t="shared" si="51"/>
        <v>0</v>
      </c>
      <c r="AF63" s="928">
        <f t="shared" si="51"/>
        <v>0</v>
      </c>
      <c r="AG63" s="928">
        <f t="shared" si="51"/>
        <v>0</v>
      </c>
      <c r="AH63" s="928">
        <f t="shared" si="51"/>
        <v>0</v>
      </c>
      <c r="AI63" s="928">
        <f t="shared" ref="AI63:AT63" si="52">$Y$25*M$29</f>
        <v>0</v>
      </c>
      <c r="AJ63" s="928">
        <f t="shared" si="52"/>
        <v>0</v>
      </c>
      <c r="AK63" s="928">
        <f t="shared" si="52"/>
        <v>0</v>
      </c>
      <c r="AL63" s="928">
        <f t="shared" si="52"/>
        <v>0</v>
      </c>
      <c r="AM63" s="928">
        <f t="shared" si="52"/>
        <v>0</v>
      </c>
      <c r="AN63" s="928">
        <f t="shared" si="52"/>
        <v>0</v>
      </c>
      <c r="AO63" s="928">
        <f t="shared" si="52"/>
        <v>0</v>
      </c>
      <c r="AP63" s="928">
        <f t="shared" si="52"/>
        <v>0</v>
      </c>
      <c r="AQ63" s="928">
        <f t="shared" si="52"/>
        <v>0</v>
      </c>
      <c r="AR63" s="928">
        <f t="shared" si="52"/>
        <v>0</v>
      </c>
      <c r="AS63" s="928">
        <f t="shared" si="52"/>
        <v>0</v>
      </c>
      <c r="AT63" s="928">
        <f t="shared" si="52"/>
        <v>0</v>
      </c>
    </row>
    <row r="64" spans="1:46" x14ac:dyDescent="0.3">
      <c r="A64" s="927" t="s">
        <v>1054</v>
      </c>
      <c r="Z64" s="928">
        <f>$Z$25*C$29</f>
        <v>0</v>
      </c>
      <c r="AA64" s="928">
        <f t="shared" ref="AA64:AH64" si="53">$Z$25*D$29</f>
        <v>0</v>
      </c>
      <c r="AB64" s="928">
        <f t="shared" si="53"/>
        <v>0</v>
      </c>
      <c r="AC64" s="928">
        <f t="shared" si="53"/>
        <v>0</v>
      </c>
      <c r="AD64" s="928">
        <f t="shared" si="53"/>
        <v>0</v>
      </c>
      <c r="AE64" s="928">
        <f t="shared" si="53"/>
        <v>0</v>
      </c>
      <c r="AF64" s="928">
        <f t="shared" si="53"/>
        <v>0</v>
      </c>
      <c r="AG64" s="928">
        <f t="shared" si="53"/>
        <v>0</v>
      </c>
      <c r="AH64" s="928">
        <f t="shared" si="53"/>
        <v>0</v>
      </c>
      <c r="AI64" s="928">
        <f t="shared" ref="AI64:AT64" si="54">$Z$25*L$29</f>
        <v>0</v>
      </c>
      <c r="AJ64" s="928">
        <f t="shared" si="54"/>
        <v>0</v>
      </c>
      <c r="AK64" s="928">
        <f t="shared" si="54"/>
        <v>0</v>
      </c>
      <c r="AL64" s="928">
        <f t="shared" si="54"/>
        <v>0</v>
      </c>
      <c r="AM64" s="928">
        <f t="shared" si="54"/>
        <v>0</v>
      </c>
      <c r="AN64" s="928">
        <f t="shared" si="54"/>
        <v>0</v>
      </c>
      <c r="AO64" s="928">
        <f t="shared" si="54"/>
        <v>0</v>
      </c>
      <c r="AP64" s="928">
        <f t="shared" si="54"/>
        <v>0</v>
      </c>
      <c r="AQ64" s="928">
        <f t="shared" si="54"/>
        <v>0</v>
      </c>
      <c r="AR64" s="928">
        <f t="shared" si="54"/>
        <v>0</v>
      </c>
      <c r="AS64" s="928">
        <f t="shared" si="54"/>
        <v>0</v>
      </c>
      <c r="AT64" s="928">
        <f t="shared" si="54"/>
        <v>0</v>
      </c>
    </row>
    <row r="65" spans="1:46" x14ac:dyDescent="0.3">
      <c r="A65" s="927" t="s">
        <v>1055</v>
      </c>
      <c r="AA65" s="928">
        <f>$AA$25*C$29</f>
        <v>0</v>
      </c>
      <c r="AB65" s="928">
        <f t="shared" ref="AB65:AH65" si="55">$AA$25*D$29</f>
        <v>0</v>
      </c>
      <c r="AC65" s="928">
        <f t="shared" si="55"/>
        <v>0</v>
      </c>
      <c r="AD65" s="928">
        <f t="shared" si="55"/>
        <v>0</v>
      </c>
      <c r="AE65" s="928">
        <f t="shared" si="55"/>
        <v>0</v>
      </c>
      <c r="AF65" s="928">
        <f t="shared" si="55"/>
        <v>0</v>
      </c>
      <c r="AG65" s="928">
        <f t="shared" si="55"/>
        <v>0</v>
      </c>
      <c r="AH65" s="928">
        <f t="shared" si="55"/>
        <v>0</v>
      </c>
      <c r="AI65" s="928">
        <f t="shared" ref="AI65:AT65" si="56">$AA$25*K$29</f>
        <v>0</v>
      </c>
      <c r="AJ65" s="928">
        <f t="shared" si="56"/>
        <v>0</v>
      </c>
      <c r="AK65" s="928">
        <f t="shared" si="56"/>
        <v>0</v>
      </c>
      <c r="AL65" s="928">
        <f t="shared" si="56"/>
        <v>0</v>
      </c>
      <c r="AM65" s="928">
        <f t="shared" si="56"/>
        <v>0</v>
      </c>
      <c r="AN65" s="928">
        <f t="shared" si="56"/>
        <v>0</v>
      </c>
      <c r="AO65" s="928">
        <f t="shared" si="56"/>
        <v>0</v>
      </c>
      <c r="AP65" s="928">
        <f t="shared" si="56"/>
        <v>0</v>
      </c>
      <c r="AQ65" s="928">
        <f t="shared" si="56"/>
        <v>0</v>
      </c>
      <c r="AR65" s="928">
        <f t="shared" si="56"/>
        <v>0</v>
      </c>
      <c r="AS65" s="928">
        <f t="shared" si="56"/>
        <v>0</v>
      </c>
      <c r="AT65" s="928">
        <f t="shared" si="56"/>
        <v>0</v>
      </c>
    </row>
    <row r="66" spans="1:46" x14ac:dyDescent="0.3">
      <c r="A66" s="927" t="s">
        <v>1056</v>
      </c>
      <c r="AB66" s="928">
        <f>$AB$25*C$29</f>
        <v>0</v>
      </c>
      <c r="AC66" s="928">
        <f t="shared" ref="AC66:AH66" si="57">$AB$25*D$29</f>
        <v>0</v>
      </c>
      <c r="AD66" s="928">
        <f t="shared" si="57"/>
        <v>0</v>
      </c>
      <c r="AE66" s="928">
        <f t="shared" si="57"/>
        <v>0</v>
      </c>
      <c r="AF66" s="928">
        <f t="shared" si="57"/>
        <v>0</v>
      </c>
      <c r="AG66" s="928">
        <f t="shared" si="57"/>
        <v>0</v>
      </c>
      <c r="AH66" s="928">
        <f t="shared" si="57"/>
        <v>0</v>
      </c>
      <c r="AI66" s="928">
        <f t="shared" ref="AI66:AT66" si="58">$AB$25*J$29</f>
        <v>0</v>
      </c>
      <c r="AJ66" s="928">
        <f t="shared" si="58"/>
        <v>0</v>
      </c>
      <c r="AK66" s="928">
        <f t="shared" si="58"/>
        <v>0</v>
      </c>
      <c r="AL66" s="928">
        <f t="shared" si="58"/>
        <v>0</v>
      </c>
      <c r="AM66" s="928">
        <f t="shared" si="58"/>
        <v>0</v>
      </c>
      <c r="AN66" s="928">
        <f t="shared" si="58"/>
        <v>0</v>
      </c>
      <c r="AO66" s="928">
        <f t="shared" si="58"/>
        <v>0</v>
      </c>
      <c r="AP66" s="928">
        <f t="shared" si="58"/>
        <v>0</v>
      </c>
      <c r="AQ66" s="928">
        <f t="shared" si="58"/>
        <v>0</v>
      </c>
      <c r="AR66" s="928">
        <f t="shared" si="58"/>
        <v>0</v>
      </c>
      <c r="AS66" s="928">
        <f t="shared" si="58"/>
        <v>0</v>
      </c>
      <c r="AT66" s="928">
        <f t="shared" si="58"/>
        <v>0</v>
      </c>
    </row>
    <row r="67" spans="1:46" x14ac:dyDescent="0.3">
      <c r="A67" s="927" t="s">
        <v>1057</v>
      </c>
      <c r="AC67" s="928">
        <f t="shared" ref="AC67:AT67" si="59">$AC$25*C$29</f>
        <v>0</v>
      </c>
      <c r="AD67" s="928">
        <f t="shared" si="59"/>
        <v>0</v>
      </c>
      <c r="AE67" s="928">
        <f t="shared" si="59"/>
        <v>0</v>
      </c>
      <c r="AF67" s="928">
        <f t="shared" si="59"/>
        <v>0</v>
      </c>
      <c r="AG67" s="928">
        <f t="shared" si="59"/>
        <v>0</v>
      </c>
      <c r="AH67" s="928">
        <f t="shared" si="59"/>
        <v>0</v>
      </c>
      <c r="AI67" s="928">
        <f t="shared" si="59"/>
        <v>0</v>
      </c>
      <c r="AJ67" s="928">
        <f t="shared" si="59"/>
        <v>0</v>
      </c>
      <c r="AK67" s="928">
        <f t="shared" si="59"/>
        <v>0</v>
      </c>
      <c r="AL67" s="928">
        <f t="shared" si="59"/>
        <v>0</v>
      </c>
      <c r="AM67" s="928">
        <f t="shared" si="59"/>
        <v>0</v>
      </c>
      <c r="AN67" s="928">
        <f t="shared" si="59"/>
        <v>0</v>
      </c>
      <c r="AO67" s="928">
        <f t="shared" si="59"/>
        <v>0</v>
      </c>
      <c r="AP67" s="928">
        <f t="shared" si="59"/>
        <v>0</v>
      </c>
      <c r="AQ67" s="928">
        <f t="shared" si="59"/>
        <v>0</v>
      </c>
      <c r="AR67" s="928">
        <f t="shared" si="59"/>
        <v>0</v>
      </c>
      <c r="AS67" s="928">
        <f t="shared" si="59"/>
        <v>0</v>
      </c>
      <c r="AT67" s="928">
        <f t="shared" si="59"/>
        <v>0</v>
      </c>
    </row>
    <row r="68" spans="1:46" x14ac:dyDescent="0.3">
      <c r="A68" s="927" t="s">
        <v>1058</v>
      </c>
      <c r="AD68" s="928">
        <f t="shared" ref="AD68:AT68" si="60">$AD$25*C$29</f>
        <v>0</v>
      </c>
      <c r="AE68" s="928">
        <f t="shared" si="60"/>
        <v>0</v>
      </c>
      <c r="AF68" s="928">
        <f t="shared" si="60"/>
        <v>0</v>
      </c>
      <c r="AG68" s="928">
        <f t="shared" si="60"/>
        <v>0</v>
      </c>
      <c r="AH68" s="928">
        <f t="shared" si="60"/>
        <v>0</v>
      </c>
      <c r="AI68" s="928">
        <f t="shared" si="60"/>
        <v>0</v>
      </c>
      <c r="AJ68" s="928">
        <f t="shared" si="60"/>
        <v>0</v>
      </c>
      <c r="AK68" s="928">
        <f t="shared" si="60"/>
        <v>0</v>
      </c>
      <c r="AL68" s="928">
        <f t="shared" si="60"/>
        <v>0</v>
      </c>
      <c r="AM68" s="928">
        <f t="shared" si="60"/>
        <v>0</v>
      </c>
      <c r="AN68" s="928">
        <f t="shared" si="60"/>
        <v>0</v>
      </c>
      <c r="AO68" s="928">
        <f t="shared" si="60"/>
        <v>0</v>
      </c>
      <c r="AP68" s="928">
        <f t="shared" si="60"/>
        <v>0</v>
      </c>
      <c r="AQ68" s="928">
        <f t="shared" si="60"/>
        <v>0</v>
      </c>
      <c r="AR68" s="928">
        <f t="shared" si="60"/>
        <v>0</v>
      </c>
      <c r="AS68" s="928">
        <f t="shared" si="60"/>
        <v>0</v>
      </c>
      <c r="AT68" s="928">
        <f t="shared" si="60"/>
        <v>0</v>
      </c>
    </row>
    <row r="69" spans="1:46" x14ac:dyDescent="0.3">
      <c r="A69" s="927" t="s">
        <v>1059</v>
      </c>
      <c r="AE69" s="928">
        <f t="shared" ref="AE69:AT69" si="61">$AE$25*C$29</f>
        <v>0</v>
      </c>
      <c r="AF69" s="928">
        <f t="shared" si="61"/>
        <v>0</v>
      </c>
      <c r="AG69" s="928">
        <f t="shared" si="61"/>
        <v>0</v>
      </c>
      <c r="AH69" s="928">
        <f t="shared" si="61"/>
        <v>0</v>
      </c>
      <c r="AI69" s="928">
        <f t="shared" si="61"/>
        <v>0</v>
      </c>
      <c r="AJ69" s="928">
        <f t="shared" si="61"/>
        <v>0</v>
      </c>
      <c r="AK69" s="928">
        <f t="shared" si="61"/>
        <v>0</v>
      </c>
      <c r="AL69" s="928">
        <f t="shared" si="61"/>
        <v>0</v>
      </c>
      <c r="AM69" s="928">
        <f t="shared" si="61"/>
        <v>0</v>
      </c>
      <c r="AN69" s="928">
        <f t="shared" si="61"/>
        <v>0</v>
      </c>
      <c r="AO69" s="928">
        <f t="shared" si="61"/>
        <v>0</v>
      </c>
      <c r="AP69" s="928">
        <f t="shared" si="61"/>
        <v>0</v>
      </c>
      <c r="AQ69" s="928">
        <f t="shared" si="61"/>
        <v>0</v>
      </c>
      <c r="AR69" s="928">
        <f t="shared" si="61"/>
        <v>0</v>
      </c>
      <c r="AS69" s="928">
        <f t="shared" si="61"/>
        <v>0</v>
      </c>
      <c r="AT69" s="928">
        <f t="shared" si="61"/>
        <v>0</v>
      </c>
    </row>
    <row r="70" spans="1:46" x14ac:dyDescent="0.3">
      <c r="A70" s="927" t="s">
        <v>1060</v>
      </c>
      <c r="AF70" s="928">
        <f t="shared" ref="AF70:AT70" si="62">$AF$25*C$29</f>
        <v>0</v>
      </c>
      <c r="AG70" s="928">
        <f t="shared" si="62"/>
        <v>0</v>
      </c>
      <c r="AH70" s="928">
        <f t="shared" si="62"/>
        <v>0</v>
      </c>
      <c r="AI70" s="928">
        <f t="shared" si="62"/>
        <v>0</v>
      </c>
      <c r="AJ70" s="928">
        <f t="shared" si="62"/>
        <v>0</v>
      </c>
      <c r="AK70" s="928">
        <f t="shared" si="62"/>
        <v>0</v>
      </c>
      <c r="AL70" s="928">
        <f t="shared" si="62"/>
        <v>0</v>
      </c>
      <c r="AM70" s="928">
        <f t="shared" si="62"/>
        <v>0</v>
      </c>
      <c r="AN70" s="928">
        <f t="shared" si="62"/>
        <v>0</v>
      </c>
      <c r="AO70" s="928">
        <f t="shared" si="62"/>
        <v>0</v>
      </c>
      <c r="AP70" s="928">
        <f t="shared" si="62"/>
        <v>0</v>
      </c>
      <c r="AQ70" s="928">
        <f t="shared" si="62"/>
        <v>0</v>
      </c>
      <c r="AR70" s="928">
        <f t="shared" si="62"/>
        <v>0</v>
      </c>
      <c r="AS70" s="928">
        <f t="shared" si="62"/>
        <v>0</v>
      </c>
      <c r="AT70" s="928">
        <f t="shared" si="62"/>
        <v>0</v>
      </c>
    </row>
    <row r="71" spans="1:46" x14ac:dyDescent="0.3">
      <c r="A71" s="927" t="s">
        <v>1061</v>
      </c>
      <c r="AG71" s="928">
        <f>$AG$25*C$29</f>
        <v>0</v>
      </c>
      <c r="AH71" s="928">
        <f>$AG$25*D$29</f>
        <v>0</v>
      </c>
      <c r="AI71" s="928">
        <f t="shared" ref="AI71:AT71" si="63">$AG$25*E$29</f>
        <v>0</v>
      </c>
      <c r="AJ71" s="928">
        <f t="shared" si="63"/>
        <v>0</v>
      </c>
      <c r="AK71" s="928">
        <f t="shared" si="63"/>
        <v>0</v>
      </c>
      <c r="AL71" s="928">
        <f t="shared" si="63"/>
        <v>0</v>
      </c>
      <c r="AM71" s="928">
        <f t="shared" si="63"/>
        <v>0</v>
      </c>
      <c r="AN71" s="928">
        <f t="shared" si="63"/>
        <v>0</v>
      </c>
      <c r="AO71" s="928">
        <f t="shared" si="63"/>
        <v>0</v>
      </c>
      <c r="AP71" s="928">
        <f t="shared" si="63"/>
        <v>0</v>
      </c>
      <c r="AQ71" s="928">
        <f t="shared" si="63"/>
        <v>0</v>
      </c>
      <c r="AR71" s="928">
        <f t="shared" si="63"/>
        <v>0</v>
      </c>
      <c r="AS71" s="928">
        <f t="shared" si="63"/>
        <v>0</v>
      </c>
      <c r="AT71" s="928">
        <f t="shared" si="63"/>
        <v>0</v>
      </c>
    </row>
    <row r="72" spans="1:46" x14ac:dyDescent="0.3">
      <c r="A72" s="927" t="s">
        <v>1062</v>
      </c>
      <c r="AH72" s="928">
        <f>$AH$25*C$29</f>
        <v>0</v>
      </c>
      <c r="AI72" s="928">
        <f t="shared" ref="AI72:AT72" si="64">$AH$25*D$29</f>
        <v>0</v>
      </c>
      <c r="AJ72" s="928">
        <f t="shared" si="64"/>
        <v>0</v>
      </c>
      <c r="AK72" s="928">
        <f t="shared" si="64"/>
        <v>0</v>
      </c>
      <c r="AL72" s="928">
        <f t="shared" si="64"/>
        <v>0</v>
      </c>
      <c r="AM72" s="928">
        <f t="shared" si="64"/>
        <v>0</v>
      </c>
      <c r="AN72" s="928">
        <f t="shared" si="64"/>
        <v>0</v>
      </c>
      <c r="AO72" s="928">
        <f t="shared" si="64"/>
        <v>0</v>
      </c>
      <c r="AP72" s="928">
        <f t="shared" si="64"/>
        <v>0</v>
      </c>
      <c r="AQ72" s="928">
        <f t="shared" si="64"/>
        <v>0</v>
      </c>
      <c r="AR72" s="928">
        <f t="shared" si="64"/>
        <v>0</v>
      </c>
      <c r="AS72" s="928">
        <f t="shared" si="64"/>
        <v>0</v>
      </c>
      <c r="AT72" s="928">
        <f t="shared" si="64"/>
        <v>0</v>
      </c>
    </row>
    <row r="73" spans="1:46" x14ac:dyDescent="0.3">
      <c r="A73" s="927" t="s">
        <v>4087</v>
      </c>
      <c r="AH73" s="928"/>
      <c r="AI73" s="928">
        <f>$AI$25*C$29</f>
        <v>0</v>
      </c>
      <c r="AJ73" s="928">
        <f t="shared" ref="AJ73:AT73" si="65">$AI$25*D$29</f>
        <v>0</v>
      </c>
      <c r="AK73" s="928">
        <f t="shared" si="65"/>
        <v>0</v>
      </c>
      <c r="AL73" s="928">
        <f t="shared" si="65"/>
        <v>0</v>
      </c>
      <c r="AM73" s="928">
        <f t="shared" si="65"/>
        <v>0</v>
      </c>
      <c r="AN73" s="928">
        <f t="shared" si="65"/>
        <v>0</v>
      </c>
      <c r="AO73" s="928">
        <f t="shared" si="65"/>
        <v>0</v>
      </c>
      <c r="AP73" s="928">
        <f t="shared" si="65"/>
        <v>0</v>
      </c>
      <c r="AQ73" s="928">
        <f t="shared" si="65"/>
        <v>0</v>
      </c>
      <c r="AR73" s="928">
        <f t="shared" si="65"/>
        <v>0</v>
      </c>
      <c r="AS73" s="928">
        <f t="shared" si="65"/>
        <v>0</v>
      </c>
      <c r="AT73" s="928">
        <f t="shared" si="65"/>
        <v>0</v>
      </c>
    </row>
    <row r="74" spans="1:46" x14ac:dyDescent="0.3">
      <c r="A74" s="927" t="s">
        <v>4088</v>
      </c>
      <c r="AH74" s="928"/>
      <c r="AI74" s="928"/>
      <c r="AJ74" s="928">
        <f>$AJ$25*C$29</f>
        <v>0</v>
      </c>
      <c r="AK74" s="928">
        <f t="shared" ref="AK74:AT74" si="66">$AJ$25*D$29</f>
        <v>0</v>
      </c>
      <c r="AL74" s="928">
        <f t="shared" si="66"/>
        <v>0</v>
      </c>
      <c r="AM74" s="928">
        <f t="shared" si="66"/>
        <v>0</v>
      </c>
      <c r="AN74" s="928">
        <f t="shared" si="66"/>
        <v>0</v>
      </c>
      <c r="AO74" s="928">
        <f t="shared" si="66"/>
        <v>0</v>
      </c>
      <c r="AP74" s="928">
        <f t="shared" si="66"/>
        <v>0</v>
      </c>
      <c r="AQ74" s="928">
        <f t="shared" si="66"/>
        <v>0</v>
      </c>
      <c r="AR74" s="928">
        <f t="shared" si="66"/>
        <v>0</v>
      </c>
      <c r="AS74" s="928">
        <f t="shared" si="66"/>
        <v>0</v>
      </c>
      <c r="AT74" s="928">
        <f t="shared" si="66"/>
        <v>0</v>
      </c>
    </row>
    <row r="75" spans="1:46" x14ac:dyDescent="0.3">
      <c r="A75" s="927" t="s">
        <v>4089</v>
      </c>
      <c r="AH75" s="928"/>
      <c r="AI75" s="928"/>
      <c r="AJ75" s="928"/>
      <c r="AK75" s="928">
        <f>$AK$25*C$29</f>
        <v>0</v>
      </c>
      <c r="AL75" s="928">
        <f t="shared" ref="AL75:AT75" si="67">$AK$25*D$29</f>
        <v>0</v>
      </c>
      <c r="AM75" s="928">
        <f t="shared" si="67"/>
        <v>0</v>
      </c>
      <c r="AN75" s="928">
        <f t="shared" si="67"/>
        <v>0</v>
      </c>
      <c r="AO75" s="928">
        <f t="shared" si="67"/>
        <v>0</v>
      </c>
      <c r="AP75" s="928">
        <f t="shared" si="67"/>
        <v>0</v>
      </c>
      <c r="AQ75" s="928">
        <f t="shared" si="67"/>
        <v>0</v>
      </c>
      <c r="AR75" s="928">
        <f t="shared" si="67"/>
        <v>0</v>
      </c>
      <c r="AS75" s="928">
        <f t="shared" si="67"/>
        <v>0</v>
      </c>
      <c r="AT75" s="928">
        <f t="shared" si="67"/>
        <v>0</v>
      </c>
    </row>
    <row r="76" spans="1:46" x14ac:dyDescent="0.3">
      <c r="A76" s="927" t="s">
        <v>4090</v>
      </c>
      <c r="AH76" s="928"/>
      <c r="AI76" s="928"/>
      <c r="AJ76" s="928"/>
      <c r="AK76" s="928"/>
      <c r="AL76" s="928">
        <f>$AL$25*C$29</f>
        <v>0</v>
      </c>
      <c r="AM76" s="928">
        <f t="shared" ref="AM76:AT76" si="68">$AL$25*D$29</f>
        <v>0</v>
      </c>
      <c r="AN76" s="928">
        <f t="shared" si="68"/>
        <v>0</v>
      </c>
      <c r="AO76" s="928">
        <f t="shared" si="68"/>
        <v>0</v>
      </c>
      <c r="AP76" s="928">
        <f t="shared" si="68"/>
        <v>0</v>
      </c>
      <c r="AQ76" s="928">
        <f t="shared" si="68"/>
        <v>0</v>
      </c>
      <c r="AR76" s="928">
        <f t="shared" si="68"/>
        <v>0</v>
      </c>
      <c r="AS76" s="928">
        <f t="shared" si="68"/>
        <v>0</v>
      </c>
      <c r="AT76" s="928">
        <f t="shared" si="68"/>
        <v>0</v>
      </c>
    </row>
    <row r="77" spans="1:46" x14ac:dyDescent="0.3">
      <c r="A77" s="927" t="s">
        <v>4091</v>
      </c>
      <c r="AH77" s="928"/>
      <c r="AI77" s="928"/>
      <c r="AJ77" s="928"/>
      <c r="AK77" s="928"/>
      <c r="AL77" s="928"/>
      <c r="AM77" s="928">
        <f>$AM$25*C$29</f>
        <v>0</v>
      </c>
      <c r="AN77" s="928">
        <f t="shared" ref="AN77:AT77" si="69">$AM$25*D$29</f>
        <v>0</v>
      </c>
      <c r="AO77" s="928">
        <f t="shared" si="69"/>
        <v>0</v>
      </c>
      <c r="AP77" s="928">
        <f t="shared" si="69"/>
        <v>0</v>
      </c>
      <c r="AQ77" s="928">
        <f t="shared" si="69"/>
        <v>0</v>
      </c>
      <c r="AR77" s="928">
        <f t="shared" si="69"/>
        <v>0</v>
      </c>
      <c r="AS77" s="928">
        <f t="shared" si="69"/>
        <v>0</v>
      </c>
      <c r="AT77" s="928">
        <f t="shared" si="69"/>
        <v>0</v>
      </c>
    </row>
    <row r="78" spans="1:46" x14ac:dyDescent="0.3">
      <c r="A78" s="927" t="s">
        <v>4092</v>
      </c>
      <c r="AH78" s="928"/>
      <c r="AI78" s="928"/>
      <c r="AJ78" s="928"/>
      <c r="AK78" s="928"/>
      <c r="AL78" s="928"/>
      <c r="AM78" s="928"/>
      <c r="AN78" s="928">
        <f>$AN$25*C$29</f>
        <v>0</v>
      </c>
      <c r="AO78" s="928">
        <f t="shared" ref="AO78:AT78" si="70">$AN$25*D$29</f>
        <v>0</v>
      </c>
      <c r="AP78" s="928">
        <f t="shared" si="70"/>
        <v>0</v>
      </c>
      <c r="AQ78" s="928">
        <f t="shared" si="70"/>
        <v>0</v>
      </c>
      <c r="AR78" s="928">
        <f t="shared" si="70"/>
        <v>0</v>
      </c>
      <c r="AS78" s="928">
        <f t="shared" si="70"/>
        <v>0</v>
      </c>
      <c r="AT78" s="928">
        <f t="shared" si="70"/>
        <v>0</v>
      </c>
    </row>
    <row r="79" spans="1:46" x14ac:dyDescent="0.3">
      <c r="A79" s="927" t="s">
        <v>4093</v>
      </c>
      <c r="AH79" s="928"/>
      <c r="AI79" s="928"/>
      <c r="AJ79" s="928"/>
      <c r="AK79" s="928"/>
      <c r="AL79" s="928"/>
      <c r="AM79" s="928"/>
      <c r="AN79" s="928"/>
      <c r="AO79" s="928">
        <f t="shared" ref="AO79:AT79" si="71">$AO$25*C$29</f>
        <v>0</v>
      </c>
      <c r="AP79" s="928">
        <f t="shared" si="71"/>
        <v>0</v>
      </c>
      <c r="AQ79" s="928">
        <f t="shared" si="71"/>
        <v>0</v>
      </c>
      <c r="AR79" s="928">
        <f t="shared" si="71"/>
        <v>0</v>
      </c>
      <c r="AS79" s="928">
        <f t="shared" si="71"/>
        <v>0</v>
      </c>
      <c r="AT79" s="928">
        <f t="shared" si="71"/>
        <v>0</v>
      </c>
    </row>
    <row r="80" spans="1:46" x14ac:dyDescent="0.3">
      <c r="A80" s="927" t="s">
        <v>4094</v>
      </c>
      <c r="AH80" s="928"/>
      <c r="AI80" s="928"/>
      <c r="AJ80" s="928"/>
      <c r="AK80" s="928"/>
      <c r="AL80" s="928"/>
      <c r="AM80" s="928"/>
      <c r="AN80" s="928"/>
      <c r="AO80" s="928"/>
      <c r="AP80" s="928">
        <f>$AP$25*C$29</f>
        <v>0</v>
      </c>
      <c r="AQ80" s="928">
        <f>$AP$25*D$29</f>
        <v>0</v>
      </c>
      <c r="AR80" s="928">
        <f>$AP$25*E$29</f>
        <v>0</v>
      </c>
      <c r="AS80" s="928">
        <f>$AP$25*F$29</f>
        <v>0</v>
      </c>
      <c r="AT80" s="928">
        <f>$AP$25*G$29</f>
        <v>0</v>
      </c>
    </row>
    <row r="81" spans="1:46" x14ac:dyDescent="0.3">
      <c r="A81" s="927" t="s">
        <v>4095</v>
      </c>
      <c r="AH81" s="928"/>
      <c r="AI81" s="928"/>
      <c r="AJ81" s="928"/>
      <c r="AK81" s="928"/>
      <c r="AL81" s="928"/>
      <c r="AM81" s="928"/>
      <c r="AN81" s="928"/>
      <c r="AO81" s="928"/>
      <c r="AP81" s="928"/>
      <c r="AQ81" s="928">
        <f>$AQ$25*C$29</f>
        <v>0</v>
      </c>
      <c r="AR81" s="928">
        <f>$AQ$25*D$29</f>
        <v>0</v>
      </c>
      <c r="AS81" s="928">
        <f>$AQ$25*E$29</f>
        <v>0</v>
      </c>
      <c r="AT81" s="928">
        <f>$AQ$25*F$29</f>
        <v>0</v>
      </c>
    </row>
    <row r="82" spans="1:46" x14ac:dyDescent="0.3">
      <c r="A82" s="927" t="s">
        <v>4096</v>
      </c>
      <c r="AH82" s="928"/>
      <c r="AI82" s="928"/>
      <c r="AJ82" s="928"/>
      <c r="AK82" s="928"/>
      <c r="AL82" s="928"/>
      <c r="AM82" s="928"/>
      <c r="AN82" s="928"/>
      <c r="AO82" s="928"/>
      <c r="AP82" s="928"/>
      <c r="AQ82" s="928"/>
      <c r="AR82" s="928">
        <f>$AR$25*C$29</f>
        <v>0</v>
      </c>
      <c r="AS82" s="928">
        <f>$AR$25*D$29</f>
        <v>0</v>
      </c>
      <c r="AT82" s="928">
        <f>$AR$25*E$29</f>
        <v>0</v>
      </c>
    </row>
    <row r="83" spans="1:46" x14ac:dyDescent="0.3">
      <c r="A83" s="927" t="s">
        <v>4097</v>
      </c>
      <c r="AH83" s="928"/>
      <c r="AI83" s="928"/>
      <c r="AJ83" s="928"/>
      <c r="AK83" s="928"/>
      <c r="AL83" s="928"/>
      <c r="AM83" s="928"/>
      <c r="AN83" s="928"/>
      <c r="AO83" s="928"/>
      <c r="AP83" s="928"/>
      <c r="AQ83" s="928"/>
      <c r="AR83" s="928"/>
      <c r="AS83" s="928">
        <f>$AS$25*C$29</f>
        <v>0</v>
      </c>
      <c r="AT83" s="928">
        <f>$AS$25*D$29</f>
        <v>0</v>
      </c>
    </row>
    <row r="84" spans="1:46" x14ac:dyDescent="0.3">
      <c r="A84" s="927" t="s">
        <v>4098</v>
      </c>
      <c r="AH84" s="928"/>
      <c r="AI84" s="928"/>
      <c r="AJ84" s="928"/>
      <c r="AK84" s="928"/>
      <c r="AL84" s="928"/>
      <c r="AM84" s="928"/>
      <c r="AN84" s="928"/>
      <c r="AO84" s="928"/>
      <c r="AP84" s="928"/>
      <c r="AQ84" s="928"/>
      <c r="AR84" s="928"/>
      <c r="AS84" s="928"/>
      <c r="AT84" s="928">
        <f>$AT$25*C$29</f>
        <v>0</v>
      </c>
    </row>
    <row r="85" spans="1:46" x14ac:dyDescent="0.3">
      <c r="A85" s="930" t="s">
        <v>3078</v>
      </c>
      <c r="B85" s="538"/>
      <c r="C85" s="931">
        <f>SUM(C41:C84)</f>
        <v>2.6</v>
      </c>
      <c r="D85" s="931">
        <f t="shared" ref="D85:AH85" si="72">SUM(D41:D84)</f>
        <v>9.0730000000000004</v>
      </c>
      <c r="E85" s="931">
        <f t="shared" si="72"/>
        <v>19.541540000000001</v>
      </c>
      <c r="F85" s="931">
        <f t="shared" si="72"/>
        <v>34.150709200000001</v>
      </c>
      <c r="G85" s="931">
        <f t="shared" si="72"/>
        <v>54.717695016000008</v>
      </c>
      <c r="H85" s="931">
        <f t="shared" si="72"/>
        <v>81.123341115680006</v>
      </c>
      <c r="I85" s="931">
        <f t="shared" si="72"/>
        <v>113.25087429336641</v>
      </c>
      <c r="J85" s="931">
        <f t="shared" si="72"/>
        <v>150.98585680749909</v>
      </c>
      <c r="K85" s="931">
        <f t="shared" si="72"/>
        <v>197.96613967134911</v>
      </c>
      <c r="L85" s="931">
        <f t="shared" si="72"/>
        <v>254.00681687792215</v>
      </c>
      <c r="M85" s="931">
        <f t="shared" si="72"/>
        <v>318.92668054036369</v>
      </c>
      <c r="N85" s="931">
        <f t="shared" si="72"/>
        <v>392.54814692955642</v>
      </c>
      <c r="O85" s="931">
        <f t="shared" si="72"/>
        <v>475.3221839909653</v>
      </c>
      <c r="P85" s="931">
        <f t="shared" si="72"/>
        <v>567.06574031114599</v>
      </c>
      <c r="Q85" s="931">
        <f t="shared" si="72"/>
        <v>667.59942550492292</v>
      </c>
      <c r="R85" s="931">
        <f t="shared" si="72"/>
        <v>776.74743699482451</v>
      </c>
      <c r="S85" s="931">
        <f t="shared" si="72"/>
        <v>894.33748825492808</v>
      </c>
      <c r="T85" s="931">
        <f t="shared" si="72"/>
        <v>1020.2007384898297</v>
      </c>
      <c r="U85" s="931">
        <f t="shared" si="72"/>
        <v>1154.1717237200328</v>
      </c>
      <c r="V85" s="931">
        <f t="shared" si="72"/>
        <v>1296.0882892456323</v>
      </c>
      <c r="W85" s="931">
        <f t="shared" si="72"/>
        <v>1435.5165234607196</v>
      </c>
      <c r="X85" s="931">
        <f t="shared" si="72"/>
        <v>1572.1561929915051</v>
      </c>
      <c r="Y85" s="931">
        <f t="shared" si="72"/>
        <v>1704.548215811451</v>
      </c>
      <c r="Z85" s="931">
        <f t="shared" si="72"/>
        <v>1831.8564056175758</v>
      </c>
      <c r="AA85" s="931">
        <f t="shared" si="72"/>
        <v>1953.989904449099</v>
      </c>
      <c r="AB85" s="931">
        <f t="shared" si="72"/>
        <v>2070.909640228203</v>
      </c>
      <c r="AC85" s="931">
        <f t="shared" si="72"/>
        <v>2181.5999730961767</v>
      </c>
      <c r="AD85" s="931">
        <f t="shared" si="72"/>
        <v>2286.076499306791</v>
      </c>
      <c r="AE85" s="931">
        <f t="shared" si="72"/>
        <v>2384.4634949931933</v>
      </c>
      <c r="AF85" s="931">
        <f t="shared" si="72"/>
        <v>2476.8827507658671</v>
      </c>
      <c r="AG85" s="931">
        <f t="shared" si="72"/>
        <v>2561.2687368266102</v>
      </c>
      <c r="AH85" s="931">
        <f t="shared" si="72"/>
        <v>2637.5670031661384</v>
      </c>
      <c r="AI85" s="931">
        <f t="shared" ref="AI85:AT85" si="73">SUM(AI41:AI84)</f>
        <v>2705.9393041788758</v>
      </c>
      <c r="AJ85" s="931">
        <f t="shared" si="73"/>
        <v>2766.5441591713588</v>
      </c>
      <c r="AK85" s="931">
        <f t="shared" si="73"/>
        <v>2819.172769631246</v>
      </c>
      <c r="AL85" s="931">
        <f t="shared" si="73"/>
        <v>2863.9488078819354</v>
      </c>
      <c r="AM85" s="931">
        <f t="shared" si="73"/>
        <v>2901.0293253676109</v>
      </c>
      <c r="AN85" s="931">
        <f t="shared" si="73"/>
        <v>2930.5682325035727</v>
      </c>
      <c r="AO85" s="931">
        <f t="shared" si="73"/>
        <v>2952.7163614968158</v>
      </c>
      <c r="AP85" s="931">
        <f t="shared" si="73"/>
        <v>2967.6215279101934</v>
      </c>
      <c r="AQ85" s="931">
        <f t="shared" si="73"/>
        <v>2975.4285909953041</v>
      </c>
      <c r="AR85" s="931">
        <f t="shared" si="73"/>
        <v>2976.2795128187122</v>
      </c>
      <c r="AS85" s="931">
        <f t="shared" si="73"/>
        <v>2976.3</v>
      </c>
      <c r="AT85" s="931">
        <f t="shared" si="73"/>
        <v>2976.3</v>
      </c>
    </row>
    <row r="86" spans="1:46" x14ac:dyDescent="0.3">
      <c r="A86" s="927" t="s">
        <v>1806</v>
      </c>
      <c r="C86" s="932">
        <f>C85/C26</f>
        <v>1.368421052631579E-2</v>
      </c>
      <c r="D86" s="932">
        <f t="shared" ref="D86:AH86" si="74">D85/D26</f>
        <v>2.6146974063400576E-2</v>
      </c>
      <c r="E86" s="932">
        <f t="shared" si="74"/>
        <v>3.8167070312500002E-2</v>
      </c>
      <c r="F86" s="932">
        <f t="shared" si="74"/>
        <v>4.9782374927113703E-2</v>
      </c>
      <c r="G86" s="932">
        <f t="shared" si="74"/>
        <v>5.8459075871794879E-2</v>
      </c>
      <c r="H86" s="932">
        <f t="shared" si="74"/>
        <v>6.8400793520809453E-2</v>
      </c>
      <c r="I86" s="932">
        <f t="shared" si="74"/>
        <v>7.8865511346355444E-2</v>
      </c>
      <c r="J86" s="932">
        <f t="shared" si="74"/>
        <v>8.9552702732798986E-2</v>
      </c>
      <c r="K86" s="932">
        <f t="shared" si="74"/>
        <v>9.4902272133916166E-2</v>
      </c>
      <c r="L86" s="932">
        <f t="shared" si="74"/>
        <v>0.10217490622603466</v>
      </c>
      <c r="M86" s="932">
        <f t="shared" si="74"/>
        <v>0.11050820531544134</v>
      </c>
      <c r="N86" s="932">
        <f t="shared" si="74"/>
        <v>0.11946078725792952</v>
      </c>
      <c r="O86" s="932">
        <f t="shared" si="74"/>
        <v>0.12808466289166406</v>
      </c>
      <c r="P86" s="932">
        <f t="shared" si="74"/>
        <v>0.13710486951430029</v>
      </c>
      <c r="Q86" s="932">
        <f t="shared" si="74"/>
        <v>0.14637128382041723</v>
      </c>
      <c r="R86" s="932">
        <f t="shared" si="74"/>
        <v>0.15578568732347062</v>
      </c>
      <c r="S86" s="932">
        <f t="shared" si="74"/>
        <v>0.16528136911013272</v>
      </c>
      <c r="T86" s="932">
        <f t="shared" si="74"/>
        <v>0.17481164127653012</v>
      </c>
      <c r="U86" s="932">
        <f t="shared" si="74"/>
        <v>0.1843430320587818</v>
      </c>
      <c r="V86" s="932">
        <f t="shared" si="74"/>
        <v>0.19385107526856599</v>
      </c>
      <c r="W86" s="932">
        <f t="shared" si="74"/>
        <v>0.21425619753145067</v>
      </c>
      <c r="X86" s="932">
        <f t="shared" si="74"/>
        <v>0.23465017805843361</v>
      </c>
      <c r="Y86" s="932">
        <f t="shared" si="74"/>
        <v>0.25441018146439565</v>
      </c>
      <c r="Z86" s="932">
        <f t="shared" si="74"/>
        <v>0.27341140382351875</v>
      </c>
      <c r="AA86" s="932">
        <f t="shared" si="74"/>
        <v>0.2916402842461342</v>
      </c>
      <c r="AB86" s="932">
        <f t="shared" si="74"/>
        <v>0.30909099107883625</v>
      </c>
      <c r="AC86" s="932">
        <f t="shared" si="74"/>
        <v>0.32561193628301144</v>
      </c>
      <c r="AD86" s="932">
        <f t="shared" si="74"/>
        <v>0.34120544765772998</v>
      </c>
      <c r="AE86" s="932">
        <f t="shared" si="74"/>
        <v>0.3558900738795811</v>
      </c>
      <c r="AF86" s="932">
        <f t="shared" si="74"/>
        <v>0.36968399265162194</v>
      </c>
      <c r="AG86" s="932">
        <f t="shared" si="74"/>
        <v>0.38227891594427016</v>
      </c>
      <c r="AH86" s="932">
        <f t="shared" si="74"/>
        <v>0.39366671689046839</v>
      </c>
      <c r="AI86" s="932">
        <f t="shared" ref="AI86:AT86" si="75">AI85/AI26</f>
        <v>0.40387153793714564</v>
      </c>
      <c r="AJ86" s="932">
        <f t="shared" si="75"/>
        <v>0.41291703868229235</v>
      </c>
      <c r="AK86" s="932">
        <f t="shared" si="75"/>
        <v>0.4207720551688427</v>
      </c>
      <c r="AL86" s="932">
        <f t="shared" si="75"/>
        <v>0.42745504595252765</v>
      </c>
      <c r="AM86" s="932">
        <f t="shared" si="75"/>
        <v>0.43298945154740459</v>
      </c>
      <c r="AN86" s="932">
        <f t="shared" si="75"/>
        <v>0.43739824365724966</v>
      </c>
      <c r="AO86" s="932">
        <f t="shared" si="75"/>
        <v>0.44070393455176354</v>
      </c>
      <c r="AP86" s="932">
        <f t="shared" si="75"/>
        <v>0.44292858625525278</v>
      </c>
      <c r="AQ86" s="932">
        <f t="shared" si="75"/>
        <v>0.44409381955153793</v>
      </c>
      <c r="AR86" s="932">
        <f t="shared" si="75"/>
        <v>0.44422082280876302</v>
      </c>
      <c r="AS86" s="932">
        <f t="shared" si="75"/>
        <v>0.44422388059701495</v>
      </c>
      <c r="AT86" s="932">
        <f t="shared" si="75"/>
        <v>0.44422388059701495</v>
      </c>
    </row>
    <row r="87" spans="1:46" x14ac:dyDescent="0.3">
      <c r="A87" s="930" t="s">
        <v>4106</v>
      </c>
      <c r="B87" s="538"/>
      <c r="C87" s="933">
        <f>C85</f>
        <v>2.6</v>
      </c>
      <c r="D87" s="933">
        <f>D85-C85</f>
        <v>6.4730000000000008</v>
      </c>
      <c r="E87" s="933">
        <f t="shared" ref="E87:AT87" si="76">E85-D85</f>
        <v>10.468540000000001</v>
      </c>
      <c r="F87" s="933">
        <f t="shared" si="76"/>
        <v>14.6091692</v>
      </c>
      <c r="G87" s="933">
        <f t="shared" si="76"/>
        <v>20.566985816000006</v>
      </c>
      <c r="H87" s="933">
        <f t="shared" si="76"/>
        <v>26.405646099679998</v>
      </c>
      <c r="I87" s="933">
        <f t="shared" si="76"/>
        <v>32.127533177686402</v>
      </c>
      <c r="J87" s="933">
        <f t="shared" si="76"/>
        <v>37.734982514132682</v>
      </c>
      <c r="K87" s="933">
        <f t="shared" si="76"/>
        <v>46.980282863850022</v>
      </c>
      <c r="L87" s="933">
        <f t="shared" si="76"/>
        <v>56.040677206573037</v>
      </c>
      <c r="M87" s="933">
        <f t="shared" si="76"/>
        <v>64.919863662441543</v>
      </c>
      <c r="N87" s="933">
        <f t="shared" si="76"/>
        <v>73.621466389192733</v>
      </c>
      <c r="O87" s="933">
        <f t="shared" si="76"/>
        <v>82.774037061408876</v>
      </c>
      <c r="P87" s="933">
        <f t="shared" si="76"/>
        <v>91.743556320180687</v>
      </c>
      <c r="Q87" s="933">
        <f t="shared" si="76"/>
        <v>100.53368519377693</v>
      </c>
      <c r="R87" s="933">
        <f t="shared" si="76"/>
        <v>109.14801148990159</v>
      </c>
      <c r="S87" s="933">
        <f t="shared" si="76"/>
        <v>117.59005126010356</v>
      </c>
      <c r="T87" s="933">
        <f t="shared" si="76"/>
        <v>125.86325023490167</v>
      </c>
      <c r="U87" s="933">
        <f t="shared" si="76"/>
        <v>133.97098523020304</v>
      </c>
      <c r="V87" s="933">
        <f t="shared" si="76"/>
        <v>141.91656552559948</v>
      </c>
      <c r="W87" s="933">
        <f t="shared" si="76"/>
        <v>139.42823421508729</v>
      </c>
      <c r="X87" s="933">
        <f t="shared" si="76"/>
        <v>136.63966953078557</v>
      </c>
      <c r="Y87" s="933">
        <f t="shared" si="76"/>
        <v>132.39202281994585</v>
      </c>
      <c r="Z87" s="933">
        <f t="shared" si="76"/>
        <v>127.3081898061248</v>
      </c>
      <c r="AA87" s="933">
        <f t="shared" si="76"/>
        <v>122.13349883152318</v>
      </c>
      <c r="AB87" s="933">
        <f t="shared" si="76"/>
        <v>116.91973577910403</v>
      </c>
      <c r="AC87" s="933">
        <f t="shared" si="76"/>
        <v>110.69033286797367</v>
      </c>
      <c r="AD87" s="933">
        <f t="shared" si="76"/>
        <v>104.47652621061434</v>
      </c>
      <c r="AE87" s="933">
        <f t="shared" si="76"/>
        <v>98.386995686402315</v>
      </c>
      <c r="AF87" s="933">
        <f t="shared" si="76"/>
        <v>92.41925577267375</v>
      </c>
      <c r="AG87" s="933">
        <f t="shared" si="76"/>
        <v>84.385986060743107</v>
      </c>
      <c r="AH87" s="933">
        <f t="shared" si="76"/>
        <v>76.298266339528254</v>
      </c>
      <c r="AI87" s="933">
        <f t="shared" si="76"/>
        <v>68.372301012737353</v>
      </c>
      <c r="AJ87" s="933">
        <f t="shared" si="76"/>
        <v>60.60485499248307</v>
      </c>
      <c r="AK87" s="933">
        <f t="shared" si="76"/>
        <v>52.628610459887113</v>
      </c>
      <c r="AL87" s="933">
        <f t="shared" si="76"/>
        <v>44.776038250689453</v>
      </c>
      <c r="AM87" s="933">
        <f t="shared" si="76"/>
        <v>37.0805174856755</v>
      </c>
      <c r="AN87" s="933">
        <f t="shared" si="76"/>
        <v>29.538907135961836</v>
      </c>
      <c r="AO87" s="933">
        <f t="shared" si="76"/>
        <v>22.148128993243063</v>
      </c>
      <c r="AP87" s="933">
        <f t="shared" si="76"/>
        <v>14.905166413377628</v>
      </c>
      <c r="AQ87" s="933">
        <f t="shared" si="76"/>
        <v>7.8070630851107126</v>
      </c>
      <c r="AR87" s="933">
        <f t="shared" si="76"/>
        <v>0.85092182340804356</v>
      </c>
      <c r="AS87" s="933">
        <f t="shared" si="76"/>
        <v>2.0487181287990097E-2</v>
      </c>
      <c r="AT87" s="933">
        <f t="shared" si="76"/>
        <v>0</v>
      </c>
    </row>
    <row r="88" spans="1:46" x14ac:dyDescent="0.3">
      <c r="A88" s="927"/>
    </row>
    <row r="89" spans="1:46" x14ac:dyDescent="0.3">
      <c r="A89" s="927"/>
    </row>
    <row r="90" spans="1:46" x14ac:dyDescent="0.3">
      <c r="A90" s="927"/>
    </row>
  </sheetData>
  <phoneticPr fontId="60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6E8ED-E4F8-4438-8B43-661437A7379C}">
  <dimension ref="A1:AT90"/>
  <sheetViews>
    <sheetView topLeftCell="A9" workbookViewId="0">
      <selection activeCell="ES196" sqref="ES196"/>
    </sheetView>
  </sheetViews>
  <sheetFormatPr defaultColWidth="9.109375" defaultRowHeight="12" x14ac:dyDescent="0.3"/>
  <cols>
    <col min="1" max="1" width="31.44140625" style="108" customWidth="1"/>
    <col min="2" max="2" width="10.109375" style="108" bestFit="1" customWidth="1"/>
    <col min="3" max="8" width="9.33203125" style="108" bestFit="1" customWidth="1"/>
    <col min="9" max="42" width="10.109375" style="108" bestFit="1" customWidth="1"/>
    <col min="43" max="16384" width="9.109375" style="108"/>
  </cols>
  <sheetData>
    <row r="1" spans="1:19" ht="21.5" thickBot="1" x14ac:dyDescent="0.55000000000000004">
      <c r="A1" s="922" t="s">
        <v>13</v>
      </c>
      <c r="B1" s="922"/>
      <c r="C1" s="922"/>
      <c r="D1" s="922"/>
      <c r="E1" s="922"/>
      <c r="F1" s="922"/>
      <c r="G1" s="922"/>
      <c r="H1" s="922"/>
      <c r="I1" s="922"/>
      <c r="J1" s="922"/>
      <c r="K1" s="922"/>
      <c r="L1" s="922"/>
      <c r="M1" s="922"/>
      <c r="N1" s="922"/>
      <c r="O1" s="922"/>
      <c r="P1" s="922"/>
      <c r="Q1" s="922"/>
      <c r="R1" s="922"/>
      <c r="S1" s="922"/>
    </row>
    <row r="2" spans="1:19" x14ac:dyDescent="0.3">
      <c r="A2" s="923" t="s">
        <v>548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923"/>
      <c r="N2" s="923"/>
      <c r="O2" s="923"/>
      <c r="P2" s="923"/>
      <c r="Q2" s="923"/>
      <c r="R2" s="923"/>
      <c r="S2" s="923"/>
    </row>
    <row r="3" spans="1:19" x14ac:dyDescent="0.3">
      <c r="A3" s="924" t="s">
        <v>15</v>
      </c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924"/>
      <c r="S3" s="924"/>
    </row>
    <row r="5" spans="1:19" x14ac:dyDescent="0.3">
      <c r="A5" s="533" t="s">
        <v>4107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  <c r="L5" s="534"/>
      <c r="M5" s="534"/>
      <c r="N5" s="534"/>
      <c r="O5" s="534"/>
      <c r="P5" s="534"/>
      <c r="Q5" s="534"/>
      <c r="R5" s="534"/>
      <c r="S5" s="534"/>
    </row>
    <row r="6" spans="1:19" x14ac:dyDescent="0.3">
      <c r="B6" s="682">
        <v>2020</v>
      </c>
      <c r="C6" s="682" t="s">
        <v>1125</v>
      </c>
      <c r="D6" s="682" t="s">
        <v>1126</v>
      </c>
      <c r="E6" s="682" t="s">
        <v>1127</v>
      </c>
      <c r="F6" s="682" t="s">
        <v>1128</v>
      </c>
      <c r="G6" s="682">
        <v>2021</v>
      </c>
      <c r="H6" s="682">
        <f>G6+1</f>
        <v>2022</v>
      </c>
      <c r="I6" s="682">
        <f t="shared" ref="I6:Q6" si="0">H6+1</f>
        <v>2023</v>
      </c>
      <c r="J6" s="682">
        <f t="shared" si="0"/>
        <v>2024</v>
      </c>
      <c r="K6" s="682">
        <f t="shared" si="0"/>
        <v>2025</v>
      </c>
      <c r="L6" s="682">
        <f t="shared" si="0"/>
        <v>2026</v>
      </c>
      <c r="M6" s="682">
        <f t="shared" si="0"/>
        <v>2027</v>
      </c>
      <c r="N6" s="682">
        <f t="shared" si="0"/>
        <v>2028</v>
      </c>
      <c r="O6" s="682">
        <f t="shared" si="0"/>
        <v>2029</v>
      </c>
      <c r="P6" s="682">
        <f t="shared" si="0"/>
        <v>2030</v>
      </c>
      <c r="Q6" s="682">
        <f t="shared" si="0"/>
        <v>2031</v>
      </c>
    </row>
    <row r="7" spans="1:19" x14ac:dyDescent="0.3">
      <c r="A7" t="s">
        <v>327</v>
      </c>
      <c r="C7" s="929">
        <f t="shared" ref="C7:F8" si="1">C25</f>
        <v>104</v>
      </c>
      <c r="D7" s="929">
        <f t="shared" si="1"/>
        <v>157</v>
      </c>
      <c r="E7" s="929">
        <f t="shared" si="1"/>
        <v>165</v>
      </c>
      <c r="F7" s="929">
        <f t="shared" si="1"/>
        <v>174</v>
      </c>
      <c r="G7" s="929">
        <f>SUM(C7:F7)</f>
        <v>600</v>
      </c>
      <c r="H7" s="929">
        <f>SUM(G25:J25)</f>
        <v>1000</v>
      </c>
      <c r="I7" s="929">
        <f>SUM(K25:N25)</f>
        <v>1000</v>
      </c>
      <c r="J7" s="929">
        <f>SUM(O25:R25)</f>
        <v>1000</v>
      </c>
      <c r="K7" s="929">
        <f>SUM(S25:V25)</f>
        <v>1000</v>
      </c>
      <c r="L7" s="929">
        <f>SUM(W25:Z25)</f>
        <v>1000</v>
      </c>
      <c r="M7" s="929">
        <f>SUM(AA25:AD25)</f>
        <v>1000</v>
      </c>
      <c r="N7" s="929">
        <f>SUM(AE25:AH25)</f>
        <v>1000</v>
      </c>
      <c r="O7" s="929">
        <f>SUM(AI25:AL25)</f>
        <v>1000</v>
      </c>
      <c r="P7" s="929">
        <f>SUM(AM25:AP25)</f>
        <v>314</v>
      </c>
      <c r="Q7" s="929">
        <f>SUM(AQ25:AT25)</f>
        <v>0</v>
      </c>
    </row>
    <row r="8" spans="1:19" x14ac:dyDescent="0.3">
      <c r="A8" s="61" t="s">
        <v>4077</v>
      </c>
      <c r="B8" s="929">
        <f>B26</f>
        <v>86</v>
      </c>
      <c r="C8" s="929">
        <f t="shared" si="1"/>
        <v>190</v>
      </c>
      <c r="D8" s="929">
        <f t="shared" si="1"/>
        <v>347</v>
      </c>
      <c r="E8" s="929">
        <f t="shared" si="1"/>
        <v>512</v>
      </c>
      <c r="F8" s="929">
        <f t="shared" si="1"/>
        <v>686</v>
      </c>
      <c r="G8" s="929">
        <f>F8</f>
        <v>686</v>
      </c>
      <c r="H8" s="929">
        <f>J26</f>
        <v>1686</v>
      </c>
      <c r="I8" s="929">
        <f>N26</f>
        <v>2686</v>
      </c>
      <c r="J8" s="929">
        <f>R26</f>
        <v>3686</v>
      </c>
      <c r="K8" s="929">
        <f>V26</f>
        <v>4686</v>
      </c>
      <c r="L8" s="929">
        <f>Z26</f>
        <v>5686</v>
      </c>
      <c r="M8" s="929">
        <f>AD26</f>
        <v>6686</v>
      </c>
      <c r="N8" s="929">
        <f>AH26</f>
        <v>7686</v>
      </c>
      <c r="O8" s="929">
        <f>AL26</f>
        <v>8686</v>
      </c>
      <c r="P8" s="929">
        <f>AP26</f>
        <v>9000</v>
      </c>
      <c r="Q8" s="929">
        <f>AT26</f>
        <v>9000</v>
      </c>
    </row>
    <row r="10" spans="1:19" x14ac:dyDescent="0.3">
      <c r="A10" s="108" t="s">
        <v>4078</v>
      </c>
      <c r="B10" s="120">
        <f>'Segment Model'!ED208-'Segment Model'!DY208</f>
        <v>5.0999999999999996</v>
      </c>
      <c r="C10" s="929">
        <f>C87</f>
        <v>3.12</v>
      </c>
      <c r="D10" s="929">
        <f>D87</f>
        <v>7.7519999999999998</v>
      </c>
      <c r="E10" s="929">
        <f>E87</f>
        <v>12.508199999999999</v>
      </c>
      <c r="F10" s="929">
        <f>F87</f>
        <v>17.415494999999996</v>
      </c>
      <c r="G10" s="929">
        <f>SUM(C10:F10)</f>
        <v>40.795694999999995</v>
      </c>
      <c r="H10" s="929">
        <f>SUM(G87:J87)</f>
        <v>138.56391962363082</v>
      </c>
      <c r="I10" s="929">
        <f>SUM(K87:N87)</f>
        <v>240.79306749141102</v>
      </c>
      <c r="J10" s="929">
        <f>SUM(O87:R87)</f>
        <v>333.1763104884364</v>
      </c>
      <c r="K10" s="929">
        <f>SUM(S87:V87)</f>
        <v>412.58515502750345</v>
      </c>
      <c r="L10" s="929">
        <f>SUM(W87:Z87)</f>
        <v>446.78037814256209</v>
      </c>
      <c r="M10" s="929">
        <f>SUM(AA87:AD87)</f>
        <v>450.00000000000045</v>
      </c>
      <c r="N10" s="929">
        <f>SUM(AE87:AH87)</f>
        <v>449.99999999999955</v>
      </c>
      <c r="O10" s="929">
        <f>SUM(AI87:AL87)</f>
        <v>449.99999999999955</v>
      </c>
      <c r="P10" s="929">
        <f>SUM(AM87:AP87)</f>
        <v>411.36251250000032</v>
      </c>
      <c r="Q10" s="929">
        <f>SUM(AQ87:AT87)</f>
        <v>301.28880917207516</v>
      </c>
    </row>
    <row r="11" spans="1:19" x14ac:dyDescent="0.3">
      <c r="A11" s="108" t="s">
        <v>4079</v>
      </c>
      <c r="B11" s="120">
        <f>B10</f>
        <v>5.0999999999999996</v>
      </c>
      <c r="C11" s="929">
        <f>B11+C10</f>
        <v>8.2199999999999989</v>
      </c>
      <c r="D11" s="929">
        <f>C11+D10</f>
        <v>15.971999999999998</v>
      </c>
      <c r="E11" s="929">
        <f>D11+E10</f>
        <v>28.480199999999996</v>
      </c>
      <c r="F11" s="929">
        <f>E11+F10</f>
        <v>45.895694999999989</v>
      </c>
      <c r="G11" s="929">
        <f>F11</f>
        <v>45.895694999999989</v>
      </c>
      <c r="H11" s="929">
        <f t="shared" ref="H11:Q11" si="2">G11+H10</f>
        <v>184.45961462363081</v>
      </c>
      <c r="I11" s="929">
        <f t="shared" si="2"/>
        <v>425.25268211504181</v>
      </c>
      <c r="J11" s="929">
        <f t="shared" si="2"/>
        <v>758.42899260347826</v>
      </c>
      <c r="K11" s="929">
        <f t="shared" si="2"/>
        <v>1171.0141476309818</v>
      </c>
      <c r="L11" s="929">
        <f t="shared" si="2"/>
        <v>1617.7945257735439</v>
      </c>
      <c r="M11" s="929">
        <f t="shared" si="2"/>
        <v>2067.7945257735446</v>
      </c>
      <c r="N11" s="929">
        <f t="shared" si="2"/>
        <v>2517.7945257735441</v>
      </c>
      <c r="O11" s="929">
        <f t="shared" si="2"/>
        <v>2967.7945257735437</v>
      </c>
      <c r="P11" s="929">
        <f t="shared" si="2"/>
        <v>3379.157038273544</v>
      </c>
      <c r="Q11" s="929">
        <f t="shared" si="2"/>
        <v>3680.4458474456192</v>
      </c>
    </row>
    <row r="15" spans="1:19" x14ac:dyDescent="0.3">
      <c r="A15" s="108" t="s">
        <v>4076</v>
      </c>
    </row>
    <row r="16" spans="1:19" x14ac:dyDescent="0.3">
      <c r="A16" s="108" t="s">
        <v>4069</v>
      </c>
      <c r="D16" s="929">
        <v>157</v>
      </c>
      <c r="E16" s="929">
        <v>165</v>
      </c>
      <c r="F16" s="929">
        <v>174</v>
      </c>
      <c r="G16" s="108">
        <v>250</v>
      </c>
      <c r="H16" s="108">
        <f>G16</f>
        <v>250</v>
      </c>
      <c r="I16" s="108">
        <f>H16</f>
        <v>250</v>
      </c>
      <c r="J16" s="108">
        <f>I16</f>
        <v>250</v>
      </c>
    </row>
    <row r="17" spans="1:46" x14ac:dyDescent="0.3">
      <c r="A17" s="108" t="s">
        <v>4071</v>
      </c>
      <c r="D17" s="929">
        <v>157</v>
      </c>
      <c r="E17" s="929">
        <v>165</v>
      </c>
      <c r="F17" s="929">
        <v>174</v>
      </c>
      <c r="G17" s="108">
        <v>250</v>
      </c>
      <c r="H17" s="108">
        <f t="shared" ref="H17:J18" si="3">G17</f>
        <v>250</v>
      </c>
      <c r="I17" s="108">
        <f t="shared" si="3"/>
        <v>250</v>
      </c>
      <c r="J17" s="108">
        <f t="shared" si="3"/>
        <v>250</v>
      </c>
    </row>
    <row r="18" spans="1:46" x14ac:dyDescent="0.3">
      <c r="A18" s="108" t="s">
        <v>4072</v>
      </c>
      <c r="D18" s="929">
        <v>157</v>
      </c>
      <c r="E18" s="929">
        <v>165</v>
      </c>
      <c r="F18" s="929">
        <v>174</v>
      </c>
      <c r="G18" s="108">
        <v>250</v>
      </c>
      <c r="H18" s="108">
        <f t="shared" si="3"/>
        <v>250</v>
      </c>
      <c r="I18" s="108">
        <f t="shared" si="3"/>
        <v>250</v>
      </c>
      <c r="J18" s="108">
        <f t="shared" si="3"/>
        <v>250</v>
      </c>
    </row>
    <row r="22" spans="1:46" x14ac:dyDescent="0.3">
      <c r="A22" s="533" t="s">
        <v>4108</v>
      </c>
      <c r="B22" s="534"/>
      <c r="C22" s="534"/>
      <c r="D22" s="534"/>
      <c r="E22" s="534"/>
      <c r="F22" s="534"/>
      <c r="G22" s="534"/>
      <c r="H22" s="534"/>
      <c r="I22" s="534"/>
      <c r="J22" s="534"/>
      <c r="K22" s="534"/>
      <c r="L22" s="534"/>
      <c r="M22" s="534"/>
      <c r="N22" s="534"/>
      <c r="O22" s="534"/>
      <c r="P22" s="534"/>
      <c r="Q22" s="534"/>
      <c r="R22" s="534"/>
      <c r="S22" s="534"/>
    </row>
    <row r="24" spans="1:46" x14ac:dyDescent="0.3">
      <c r="B24" s="682">
        <v>2020</v>
      </c>
      <c r="C24" s="682" t="s">
        <v>1125</v>
      </c>
      <c r="D24" s="682" t="s">
        <v>1126</v>
      </c>
      <c r="E24" s="682" t="s">
        <v>1127</v>
      </c>
      <c r="F24" s="682" t="s">
        <v>1128</v>
      </c>
      <c r="G24" s="682" t="s">
        <v>922</v>
      </c>
      <c r="H24" s="682" t="s">
        <v>923</v>
      </c>
      <c r="I24" s="682" t="s">
        <v>924</v>
      </c>
      <c r="J24" s="682" t="s">
        <v>925</v>
      </c>
      <c r="K24" s="682" t="s">
        <v>883</v>
      </c>
      <c r="L24" s="682" t="s">
        <v>884</v>
      </c>
      <c r="M24" s="682" t="s">
        <v>885</v>
      </c>
      <c r="N24" s="682" t="s">
        <v>886</v>
      </c>
      <c r="O24" s="682" t="s">
        <v>887</v>
      </c>
      <c r="P24" s="682" t="s">
        <v>888</v>
      </c>
      <c r="Q24" s="682" t="s">
        <v>1027</v>
      </c>
      <c r="R24" s="682" t="s">
        <v>1028</v>
      </c>
      <c r="S24" s="682" t="s">
        <v>1047</v>
      </c>
      <c r="T24" s="682" t="s">
        <v>1048</v>
      </c>
      <c r="U24" s="682" t="s">
        <v>1049</v>
      </c>
      <c r="V24" s="682" t="s">
        <v>1050</v>
      </c>
      <c r="W24" s="682" t="s">
        <v>1051</v>
      </c>
      <c r="X24" s="682" t="s">
        <v>1052</v>
      </c>
      <c r="Y24" s="682" t="s">
        <v>1053</v>
      </c>
      <c r="Z24" s="682" t="s">
        <v>1054</v>
      </c>
      <c r="AA24" s="682" t="s">
        <v>1055</v>
      </c>
      <c r="AB24" s="682" t="s">
        <v>1056</v>
      </c>
      <c r="AC24" s="682" t="s">
        <v>1057</v>
      </c>
      <c r="AD24" s="682" t="s">
        <v>1058</v>
      </c>
      <c r="AE24" s="682" t="s">
        <v>1059</v>
      </c>
      <c r="AF24" s="682" t="s">
        <v>1060</v>
      </c>
      <c r="AG24" s="682" t="s">
        <v>1061</v>
      </c>
      <c r="AH24" s="682" t="s">
        <v>1062</v>
      </c>
      <c r="AI24" s="682" t="s">
        <v>4087</v>
      </c>
      <c r="AJ24" s="682" t="s">
        <v>4088</v>
      </c>
      <c r="AK24" s="682" t="s">
        <v>4089</v>
      </c>
      <c r="AL24" s="682" t="s">
        <v>4090</v>
      </c>
      <c r="AM24" s="682" t="s">
        <v>4091</v>
      </c>
      <c r="AN24" s="682" t="s">
        <v>4092</v>
      </c>
      <c r="AO24" s="682" t="s">
        <v>4093</v>
      </c>
      <c r="AP24" s="682" t="s">
        <v>4094</v>
      </c>
      <c r="AQ24" s="682" t="s">
        <v>4095</v>
      </c>
      <c r="AR24" s="682" t="s">
        <v>4096</v>
      </c>
      <c r="AS24" s="682" t="s">
        <v>4097</v>
      </c>
      <c r="AT24" s="682" t="s">
        <v>4098</v>
      </c>
    </row>
    <row r="25" spans="1:46" x14ac:dyDescent="0.3">
      <c r="A25" t="s">
        <v>327</v>
      </c>
      <c r="B25" s="925"/>
      <c r="C25" s="925">
        <f>'Segment Model'!EE196</f>
        <v>104</v>
      </c>
      <c r="D25" s="929">
        <v>157</v>
      </c>
      <c r="E25" s="929">
        <v>165</v>
      </c>
      <c r="F25" s="929">
        <f>600-SUM(C25:E25)</f>
        <v>174</v>
      </c>
      <c r="G25">
        <f>IF(New_Build_Summary!$F$9=New_Build_Optimistic_Case!$A$16,New_Build_Optimistic_Case!G16,IF(New_Build_Summary!$F$9=New_Build_Optimistic_Case!$A$17,New_Build_Optimistic_Case!G17,New_Build_Optimistic_Case!G18))</f>
        <v>250</v>
      </c>
      <c r="H25">
        <f>IF(New_Build_Summary!$F$9=New_Build_Optimistic_Case!$A$16,New_Build_Optimistic_Case!H16,IF(New_Build_Summary!$F$9=New_Build_Optimistic_Case!$A$17,New_Build_Optimistic_Case!H17,New_Build_Optimistic_Case!H18))</f>
        <v>250</v>
      </c>
      <c r="I25">
        <f>IF(New_Build_Summary!$F$9=New_Build_Optimistic_Case!$A$16,New_Build_Optimistic_Case!I16,IF(New_Build_Summary!$F$9=New_Build_Optimistic_Case!$A$17,New_Build_Optimistic_Case!I17,New_Build_Optimistic_Case!I18))</f>
        <v>250</v>
      </c>
      <c r="J25">
        <f>IF(New_Build_Summary!$F$9=New_Build_Optimistic_Case!$A$16,New_Build_Optimistic_Case!J16,IF(New_Build_Summary!$F$9=New_Build_Optimistic_Case!$A$17,New_Build_Optimistic_Case!J17,New_Build_Optimistic_Case!J18))</f>
        <v>250</v>
      </c>
      <c r="K25" s="925">
        <f>IF(New_Build_Summary!$F$9=New_Build_Optimistic_Case!$A$16,MIN($J$16,$B$32-J26),IF(New_Build_Summary!$F$9=New_Build_Optimistic_Case!$A$17,MIN($J$17,$B$32-J26),MIN($J$18,$B$32-J26)))</f>
        <v>250</v>
      </c>
      <c r="L25" s="925">
        <f>IF(New_Build_Summary!$F$9=New_Build_Optimistic_Case!$A$16,MIN($J$16,$B$32-K26),IF(New_Build_Summary!$F$9=New_Build_Optimistic_Case!$A$17,MIN($J$17,$B$32-K26),MIN($J$18,$B$32-K26)))</f>
        <v>250</v>
      </c>
      <c r="M25" s="925">
        <f>IF(New_Build_Summary!$F$9=New_Build_Optimistic_Case!$A$16,MIN($J$16,$B$32-L26),IF(New_Build_Summary!$F$9=New_Build_Optimistic_Case!$A$17,MIN($J$17,$B$32-L26),MIN($J$18,$B$32-L26)))</f>
        <v>250</v>
      </c>
      <c r="N25" s="925">
        <f>IF(New_Build_Summary!$F$9=New_Build_Optimistic_Case!$A$16,MIN($J$16,$B$32-M26),IF(New_Build_Summary!$F$9=New_Build_Optimistic_Case!$A$17,MIN($J$17,$B$32-M26),MIN($J$18,$B$32-M26)))</f>
        <v>250</v>
      </c>
      <c r="O25" s="925">
        <f>IF(New_Build_Summary!$F$9=New_Build_Optimistic_Case!$A$16,MIN($J$16,$B$32-N26),IF(New_Build_Summary!$F$9=New_Build_Optimistic_Case!$A$17,MIN($J$17,$B$32-N26),MIN($J$18,$B$32-N26)))</f>
        <v>250</v>
      </c>
      <c r="P25" s="925">
        <f>IF(New_Build_Summary!$F$9=New_Build_Optimistic_Case!$A$16,MIN($J$16,$B$32-O26),IF(New_Build_Summary!$F$9=New_Build_Optimistic_Case!$A$17,MIN($J$17,$B$32-O26),MIN($J$18,$B$32-O26)))</f>
        <v>250</v>
      </c>
      <c r="Q25" s="925">
        <f>IF(New_Build_Summary!$F$9=New_Build_Optimistic_Case!$A$16,MIN($J$16,$B$32-P26),IF(New_Build_Summary!$F$9=New_Build_Optimistic_Case!$A$17,MIN($J$17,$B$32-P26),MIN($J$18,$B$32-P26)))</f>
        <v>250</v>
      </c>
      <c r="R25" s="925">
        <f>IF(New_Build_Summary!$F$9=New_Build_Optimistic_Case!$A$16,MIN($J$16,$B$32-Q26),IF(New_Build_Summary!$F$9=New_Build_Optimistic_Case!$A$17,MIN($J$17,$B$32-Q26),MIN($J$18,$B$32-Q26)))</f>
        <v>250</v>
      </c>
      <c r="S25" s="925">
        <f>IF(New_Build_Summary!$F$9=New_Build_Optimistic_Case!$A$16,MIN($J$16,$B$32-R26),IF(New_Build_Summary!$F$9=New_Build_Optimistic_Case!$A$17,MIN($J$17,$B$32-R26),MIN($J$18,$B$32-R26)))</f>
        <v>250</v>
      </c>
      <c r="T25" s="925">
        <f>IF(New_Build_Summary!$F$9=New_Build_Optimistic_Case!$A$16,MIN($J$16,$B$32-S26),IF(New_Build_Summary!$F$9=New_Build_Optimistic_Case!$A$17,MIN($J$17,$B$32-S26),MIN($J$18,$B$32-S26)))</f>
        <v>250</v>
      </c>
      <c r="U25" s="925">
        <f>IF(New_Build_Summary!$F$9=New_Build_Optimistic_Case!$A$16,MIN($J$16,$B$32-T26),IF(New_Build_Summary!$F$9=New_Build_Optimistic_Case!$A$17,MIN($J$17,$B$32-T26),MIN($J$18,$B$32-T26)))</f>
        <v>250</v>
      </c>
      <c r="V25" s="925">
        <f>IF(New_Build_Summary!$F$9=New_Build_Optimistic_Case!$A$16,MIN($J$16,$B$32-U26),IF(New_Build_Summary!$F$9=New_Build_Optimistic_Case!$A$17,MIN($J$17,$B$32-U26),MIN($J$18,$B$32-U26)))</f>
        <v>250</v>
      </c>
      <c r="W25" s="925">
        <f>IF(New_Build_Summary!$F$9=New_Build_Optimistic_Case!$A$16,MIN($J$16,$B$32-V26),IF(New_Build_Summary!$F$9=New_Build_Optimistic_Case!$A$17,MIN($J$17,$B$32-V26),MIN($J$18,$B$32-V26)))</f>
        <v>250</v>
      </c>
      <c r="X25" s="925">
        <f>IF(New_Build_Summary!$F$9=New_Build_Optimistic_Case!$A$16,MIN($J$16,$B$32-W26),IF(New_Build_Summary!$F$9=New_Build_Optimistic_Case!$A$17,MIN($J$17,$B$32-W26),MIN($J$18,$B$32-W26)))</f>
        <v>250</v>
      </c>
      <c r="Y25" s="925">
        <f>IF(New_Build_Summary!$F$9=New_Build_Optimistic_Case!$A$16,MIN($J$16,$B$32-X26),IF(New_Build_Summary!$F$9=New_Build_Optimistic_Case!$A$17,MIN($J$17,$B$32-X26),MIN($J$18,$B$32-X26)))</f>
        <v>250</v>
      </c>
      <c r="Z25" s="925">
        <f>IF(New_Build_Summary!$F$9=New_Build_Optimistic_Case!$A$16,MIN($J$16,$B$32-Y26),IF(New_Build_Summary!$F$9=New_Build_Optimistic_Case!$A$17,MIN($J$17,$B$32-Y26),MIN($J$18,$B$32-Y26)))</f>
        <v>250</v>
      </c>
      <c r="AA25" s="925">
        <f>IF(New_Build_Summary!$F$9=New_Build_Optimistic_Case!$A$16,MIN($J$16,$B$32-Z26),IF(New_Build_Summary!$F$9=New_Build_Optimistic_Case!$A$17,MIN($J$17,$B$32-Z26),MIN($J$18,$B$32-Z26)))</f>
        <v>250</v>
      </c>
      <c r="AB25" s="925">
        <f>IF(New_Build_Summary!$F$9=New_Build_Optimistic_Case!$A$16,MIN($J$16,$B$32-AA26),IF(New_Build_Summary!$F$9=New_Build_Optimistic_Case!$A$17,MIN($J$17,$B$32-AA26),MIN($J$18,$B$32-AA26)))</f>
        <v>250</v>
      </c>
      <c r="AC25" s="925">
        <f>IF(New_Build_Summary!$F$9=New_Build_Optimistic_Case!$A$16,MIN($J$16,$B$32-AB26),IF(New_Build_Summary!$F$9=New_Build_Optimistic_Case!$A$17,MIN($J$17,$B$32-AB26),MIN($J$18,$B$32-AB26)))</f>
        <v>250</v>
      </c>
      <c r="AD25" s="925">
        <f>IF(New_Build_Summary!$F$9=New_Build_Optimistic_Case!$A$16,MIN($J$16,$B$32-AC26),IF(New_Build_Summary!$F$9=New_Build_Optimistic_Case!$A$17,MIN($J$17,$B$32-AC26),MIN($J$18,$B$32-AC26)))</f>
        <v>250</v>
      </c>
      <c r="AE25" s="925">
        <f>IF(New_Build_Summary!$F$9=New_Build_Optimistic_Case!$A$16,MIN($J$16,$B$32-AD26),IF(New_Build_Summary!$F$9=New_Build_Optimistic_Case!$A$17,MIN($J$17,$B$32-AD26),MIN($J$18,$B$32-AD26)))</f>
        <v>250</v>
      </c>
      <c r="AF25" s="925">
        <f>IF(New_Build_Summary!$F$9=New_Build_Optimistic_Case!$A$16,MIN($J$16,$B$32-AE26),IF(New_Build_Summary!$F$9=New_Build_Optimistic_Case!$A$17,MIN($J$17,$B$32-AE26),MIN($J$18,$B$32-AE26)))</f>
        <v>250</v>
      </c>
      <c r="AG25" s="925">
        <f>IF(New_Build_Summary!$F$9=New_Build_Optimistic_Case!$A$16,MIN($J$16,$B$32-AF26),IF(New_Build_Summary!$F$9=New_Build_Optimistic_Case!$A$17,MIN($J$17,$B$32-AF26),MIN($J$18,$B$32-AF26)))</f>
        <v>250</v>
      </c>
      <c r="AH25" s="925">
        <f>IF(New_Build_Summary!$F$9=New_Build_Optimistic_Case!$A$16,MIN($J$16,$B$32-AG26),IF(New_Build_Summary!$F$9=New_Build_Optimistic_Case!$A$17,MIN($J$17,$B$32-AG26),MIN($J$18,$B$32-AG26)))</f>
        <v>250</v>
      </c>
      <c r="AI25" s="925">
        <f>IF(New_Build_Summary!$F$9=New_Build_Optimistic_Case!$A$16,MIN($J$16,$B$32-AH26),IF(New_Build_Summary!$F$9=New_Build_Optimistic_Case!$A$17,MIN($J$17,$B$32-AH26),MIN($J$18,$B$32-AH26)))</f>
        <v>250</v>
      </c>
      <c r="AJ25" s="925">
        <f>IF(New_Build_Summary!$F$9=New_Build_Optimistic_Case!$A$16,MIN($J$16,$B$32-AI26),IF(New_Build_Summary!$F$9=New_Build_Optimistic_Case!$A$17,MIN($J$17,$B$32-AI26),MIN($J$18,$B$32-AI26)))</f>
        <v>250</v>
      </c>
      <c r="AK25" s="925">
        <f>IF(New_Build_Summary!$F$9=New_Build_Optimistic_Case!$A$16,MIN($J$16,$B$32-AJ26),IF(New_Build_Summary!$F$9=New_Build_Optimistic_Case!$A$17,MIN($J$17,$B$32-AJ26),MIN($J$18,$B$32-AJ26)))</f>
        <v>250</v>
      </c>
      <c r="AL25" s="925">
        <f>IF(New_Build_Summary!$F$9=New_Build_Optimistic_Case!$A$16,MIN($J$16,$B$32-AK26),IF(New_Build_Summary!$F$9=New_Build_Optimistic_Case!$A$17,MIN($J$17,$B$32-AK26),MIN($J$18,$B$32-AK26)))</f>
        <v>250</v>
      </c>
      <c r="AM25" s="925">
        <f>IF(New_Build_Summary!$F$9=New_Build_Optimistic_Case!$A$16,MIN($J$16,$B$32-AL26),IF(New_Build_Summary!$F$9=New_Build_Optimistic_Case!$A$17,MIN($J$17,$B$32-AL26),MIN($J$18,$B$32-AL26)))</f>
        <v>250</v>
      </c>
      <c r="AN25" s="925">
        <f>IF(New_Build_Summary!$F$9=New_Build_Optimistic_Case!$A$16,MIN($J$16,$B$32-AM26),IF(New_Build_Summary!$F$9=New_Build_Optimistic_Case!$A$17,MIN($J$17,$B$32-AM26),MIN($J$18,$B$32-AM26)))</f>
        <v>64</v>
      </c>
      <c r="AO25" s="925">
        <f>IF(New_Build_Summary!$F$9=New_Build_Optimistic_Case!$A$16,MIN($J$16,$B$32-AN26),IF(New_Build_Summary!$F$9=New_Build_Optimistic_Case!$A$17,MIN($J$17,$B$32-AN26),MIN($J$18,$B$32-AN26)))</f>
        <v>0</v>
      </c>
      <c r="AP25" s="925">
        <f>IF(New_Build_Summary!$F$9=New_Build_Optimistic_Case!$A$16,MIN($J$16,$B$32-AO26),IF(New_Build_Summary!$F$9=New_Build_Optimistic_Case!$A$17,MIN($J$17,$B$32-AO26),MIN($J$18,$B$32-AO26)))</f>
        <v>0</v>
      </c>
      <c r="AQ25" s="925">
        <f>IF(New_Build_Summary!$F$9=New_Build_Optimistic_Case!$A$16,MIN($J$16,$B$32-AP26),IF(New_Build_Summary!$F$9=New_Build_Optimistic_Case!$A$17,MIN($J$17,$B$32-AP26),MIN($J$18,$B$32-AP26)))</f>
        <v>0</v>
      </c>
      <c r="AR25" s="925">
        <f>IF(New_Build_Summary!$F$9=New_Build_Optimistic_Case!$A$16,MIN($J$16,$B$32-AQ26),IF(New_Build_Summary!$F$9=New_Build_Optimistic_Case!$A$17,MIN($J$17,$B$32-AQ26),MIN($J$18,$B$32-AQ26)))</f>
        <v>0</v>
      </c>
      <c r="AS25" s="925">
        <f>IF(New_Build_Summary!$F$9=New_Build_Optimistic_Case!$A$16,MIN($J$16,$B$32-AR26),IF(New_Build_Summary!$F$9=New_Build_Optimistic_Case!$A$17,MIN($J$17,$B$32-AR26),MIN($J$18,$B$32-AR26)))</f>
        <v>0</v>
      </c>
      <c r="AT25" s="925">
        <f>IF(New_Build_Summary!$F$9=New_Build_Optimistic_Case!$A$16,MIN($J$16,$B$32-AS26),IF(New_Build_Summary!$F$9=New_Build_Optimistic_Case!$A$17,MIN($J$17,$B$32-AS26),MIN($J$18,$B$32-AS26)))</f>
        <v>0</v>
      </c>
    </row>
    <row r="26" spans="1:46" x14ac:dyDescent="0.3">
      <c r="A26" s="61" t="s">
        <v>4077</v>
      </c>
      <c r="B26" s="925">
        <f>'Segment Model'!ED195</f>
        <v>86</v>
      </c>
      <c r="C26" s="925">
        <f>B26+C25</f>
        <v>190</v>
      </c>
      <c r="D26" s="925">
        <f t="shared" ref="D26:AT26" si="4">C26+D25</f>
        <v>347</v>
      </c>
      <c r="E26" s="925">
        <f t="shared" si="4"/>
        <v>512</v>
      </c>
      <c r="F26" s="925">
        <f t="shared" si="4"/>
        <v>686</v>
      </c>
      <c r="G26" s="925">
        <f t="shared" si="4"/>
        <v>936</v>
      </c>
      <c r="H26" s="925">
        <f t="shared" si="4"/>
        <v>1186</v>
      </c>
      <c r="I26" s="925">
        <f t="shared" si="4"/>
        <v>1436</v>
      </c>
      <c r="J26" s="925">
        <f t="shared" si="4"/>
        <v>1686</v>
      </c>
      <c r="K26" s="925">
        <f t="shared" si="4"/>
        <v>1936</v>
      </c>
      <c r="L26" s="925">
        <f t="shared" si="4"/>
        <v>2186</v>
      </c>
      <c r="M26" s="925">
        <f t="shared" si="4"/>
        <v>2436</v>
      </c>
      <c r="N26" s="925">
        <f t="shared" si="4"/>
        <v>2686</v>
      </c>
      <c r="O26" s="925">
        <f t="shared" si="4"/>
        <v>2936</v>
      </c>
      <c r="P26" s="925">
        <f t="shared" si="4"/>
        <v>3186</v>
      </c>
      <c r="Q26" s="925">
        <f t="shared" si="4"/>
        <v>3436</v>
      </c>
      <c r="R26" s="925">
        <f t="shared" si="4"/>
        <v>3686</v>
      </c>
      <c r="S26" s="925">
        <f t="shared" si="4"/>
        <v>3936</v>
      </c>
      <c r="T26" s="925">
        <f t="shared" si="4"/>
        <v>4186</v>
      </c>
      <c r="U26" s="925">
        <f t="shared" si="4"/>
        <v>4436</v>
      </c>
      <c r="V26" s="925">
        <f t="shared" si="4"/>
        <v>4686</v>
      </c>
      <c r="W26" s="925">
        <f t="shared" si="4"/>
        <v>4936</v>
      </c>
      <c r="X26" s="925">
        <f t="shared" si="4"/>
        <v>5186</v>
      </c>
      <c r="Y26" s="925">
        <f t="shared" si="4"/>
        <v>5436</v>
      </c>
      <c r="Z26" s="925">
        <f t="shared" si="4"/>
        <v>5686</v>
      </c>
      <c r="AA26" s="925">
        <f t="shared" si="4"/>
        <v>5936</v>
      </c>
      <c r="AB26" s="925">
        <f t="shared" si="4"/>
        <v>6186</v>
      </c>
      <c r="AC26" s="925">
        <f t="shared" si="4"/>
        <v>6436</v>
      </c>
      <c r="AD26" s="925">
        <f t="shared" si="4"/>
        <v>6686</v>
      </c>
      <c r="AE26" s="925">
        <f t="shared" si="4"/>
        <v>6936</v>
      </c>
      <c r="AF26" s="925">
        <f t="shared" si="4"/>
        <v>7186</v>
      </c>
      <c r="AG26" s="925">
        <f t="shared" si="4"/>
        <v>7436</v>
      </c>
      <c r="AH26" s="925">
        <f t="shared" si="4"/>
        <v>7686</v>
      </c>
      <c r="AI26" s="925">
        <f t="shared" si="4"/>
        <v>7936</v>
      </c>
      <c r="AJ26" s="925">
        <f t="shared" si="4"/>
        <v>8186</v>
      </c>
      <c r="AK26" s="925">
        <f t="shared" si="4"/>
        <v>8436</v>
      </c>
      <c r="AL26" s="925">
        <f t="shared" si="4"/>
        <v>8686</v>
      </c>
      <c r="AM26" s="925">
        <f t="shared" si="4"/>
        <v>8936</v>
      </c>
      <c r="AN26" s="925">
        <f t="shared" si="4"/>
        <v>9000</v>
      </c>
      <c r="AO26" s="925">
        <f t="shared" si="4"/>
        <v>9000</v>
      </c>
      <c r="AP26" s="925">
        <f t="shared" si="4"/>
        <v>9000</v>
      </c>
      <c r="AQ26" s="925">
        <f t="shared" si="4"/>
        <v>9000</v>
      </c>
      <c r="AR26" s="925">
        <f t="shared" si="4"/>
        <v>9000</v>
      </c>
      <c r="AS26" s="925">
        <f t="shared" si="4"/>
        <v>9000</v>
      </c>
      <c r="AT26" s="925">
        <f t="shared" si="4"/>
        <v>9000</v>
      </c>
    </row>
    <row r="28" spans="1:46" x14ac:dyDescent="0.3">
      <c r="A28" s="108" t="s">
        <v>4099</v>
      </c>
      <c r="C28" s="693">
        <v>0.03</v>
      </c>
      <c r="D28" s="693">
        <f t="shared" ref="D28:AE28" si="5">MIN(C28*$B$33,$B$31-C29)</f>
        <v>2.9249999999999998E-2</v>
      </c>
      <c r="E28" s="693">
        <f t="shared" si="5"/>
        <v>2.8518749999999999E-2</v>
      </c>
      <c r="F28" s="693">
        <f t="shared" si="5"/>
        <v>2.7805781249999998E-2</v>
      </c>
      <c r="G28" s="693">
        <f t="shared" si="5"/>
        <v>2.7110636718749997E-2</v>
      </c>
      <c r="H28" s="693">
        <f t="shared" si="5"/>
        <v>2.6432870800781248E-2</v>
      </c>
      <c r="I28" s="693">
        <f t="shared" si="5"/>
        <v>2.5772049030761714E-2</v>
      </c>
      <c r="J28" s="693">
        <f t="shared" si="5"/>
        <v>2.5127747804992672E-2</v>
      </c>
      <c r="K28" s="693">
        <f t="shared" si="5"/>
        <v>2.4499554109867854E-2</v>
      </c>
      <c r="L28" s="693">
        <f t="shared" si="5"/>
        <v>2.3887065257121157E-2</v>
      </c>
      <c r="M28" s="693">
        <f t="shared" si="5"/>
        <v>2.3289888625693127E-2</v>
      </c>
      <c r="N28" s="693">
        <f t="shared" si="5"/>
        <v>2.27076414100508E-2</v>
      </c>
      <c r="O28" s="693">
        <f t="shared" si="5"/>
        <v>2.213995037479953E-2</v>
      </c>
      <c r="P28" s="693">
        <f t="shared" si="5"/>
        <v>2.158645161542954E-2</v>
      </c>
      <c r="Q28" s="693">
        <f t="shared" si="5"/>
        <v>2.10467903250438E-2</v>
      </c>
      <c r="R28" s="693">
        <f t="shared" si="5"/>
        <v>2.0520620566917704E-2</v>
      </c>
      <c r="S28" s="693">
        <f t="shared" si="5"/>
        <v>2.0007605052744761E-2</v>
      </c>
      <c r="T28" s="693">
        <f t="shared" si="5"/>
        <v>1.9507414926426141E-2</v>
      </c>
      <c r="U28" s="693">
        <f t="shared" si="5"/>
        <v>1.0789182130619968E-2</v>
      </c>
      <c r="V28" s="693">
        <f t="shared" si="5"/>
        <v>0</v>
      </c>
      <c r="W28" s="693">
        <f t="shared" si="5"/>
        <v>0</v>
      </c>
      <c r="X28" s="693">
        <f t="shared" si="5"/>
        <v>0</v>
      </c>
      <c r="Y28" s="693">
        <f t="shared" si="5"/>
        <v>0</v>
      </c>
      <c r="Z28" s="693">
        <f t="shared" si="5"/>
        <v>0</v>
      </c>
      <c r="AA28" s="693">
        <f t="shared" si="5"/>
        <v>0</v>
      </c>
      <c r="AB28" s="693">
        <f t="shared" si="5"/>
        <v>0</v>
      </c>
      <c r="AC28" s="693">
        <f t="shared" si="5"/>
        <v>0</v>
      </c>
      <c r="AD28" s="693">
        <f t="shared" si="5"/>
        <v>0</v>
      </c>
      <c r="AE28" s="693">
        <f t="shared" si="5"/>
        <v>0</v>
      </c>
      <c r="AF28" s="693">
        <f t="shared" ref="AF28:AT28" si="6">MIN(AE28*$B$33,$B$31-AE29)</f>
        <v>0</v>
      </c>
      <c r="AG28" s="693">
        <f t="shared" si="6"/>
        <v>0</v>
      </c>
      <c r="AH28" s="693">
        <f t="shared" si="6"/>
        <v>0</v>
      </c>
      <c r="AI28" s="693">
        <f t="shared" si="6"/>
        <v>0</v>
      </c>
      <c r="AJ28" s="693">
        <f t="shared" si="6"/>
        <v>0</v>
      </c>
      <c r="AK28" s="693">
        <f t="shared" si="6"/>
        <v>0</v>
      </c>
      <c r="AL28" s="693">
        <f t="shared" si="6"/>
        <v>0</v>
      </c>
      <c r="AM28" s="693">
        <f t="shared" si="6"/>
        <v>0</v>
      </c>
      <c r="AN28" s="693">
        <f t="shared" si="6"/>
        <v>0</v>
      </c>
      <c r="AO28" s="693">
        <f t="shared" si="6"/>
        <v>0</v>
      </c>
      <c r="AP28" s="693">
        <f t="shared" si="6"/>
        <v>0</v>
      </c>
      <c r="AQ28" s="693">
        <f t="shared" si="6"/>
        <v>0</v>
      </c>
      <c r="AR28" s="693">
        <f t="shared" si="6"/>
        <v>0</v>
      </c>
      <c r="AS28" s="693">
        <f t="shared" si="6"/>
        <v>0</v>
      </c>
      <c r="AT28" s="693">
        <f t="shared" si="6"/>
        <v>0</v>
      </c>
    </row>
    <row r="29" spans="1:46" x14ac:dyDescent="0.3">
      <c r="A29" s="108" t="s">
        <v>2281</v>
      </c>
      <c r="C29" s="926">
        <f>$B$30+C28</f>
        <v>0.03</v>
      </c>
      <c r="D29" s="926">
        <f t="shared" ref="D29:AF29" si="7">C29+D28</f>
        <v>5.9249999999999997E-2</v>
      </c>
      <c r="E29" s="926">
        <f t="shared" si="7"/>
        <v>8.7768749999999993E-2</v>
      </c>
      <c r="F29" s="926">
        <f t="shared" si="7"/>
        <v>0.11557453124999999</v>
      </c>
      <c r="G29" s="926">
        <f t="shared" si="7"/>
        <v>0.14268516796874997</v>
      </c>
      <c r="H29" s="926">
        <f t="shared" si="7"/>
        <v>0.16911803876953121</v>
      </c>
      <c r="I29" s="926">
        <f t="shared" si="7"/>
        <v>0.19489008780029293</v>
      </c>
      <c r="J29" s="926">
        <f t="shared" si="7"/>
        <v>0.22001783560528559</v>
      </c>
      <c r="K29" s="926">
        <f t="shared" si="7"/>
        <v>0.24451738971515344</v>
      </c>
      <c r="L29" s="926">
        <f t="shared" si="7"/>
        <v>0.26840445497227461</v>
      </c>
      <c r="M29" s="926">
        <f t="shared" si="7"/>
        <v>0.29169434359796775</v>
      </c>
      <c r="N29" s="926">
        <f t="shared" si="7"/>
        <v>0.31440198500801853</v>
      </c>
      <c r="O29" s="926">
        <f t="shared" si="7"/>
        <v>0.33654193538281807</v>
      </c>
      <c r="P29" s="926">
        <f t="shared" si="7"/>
        <v>0.35812838699824762</v>
      </c>
      <c r="Q29" s="926">
        <f t="shared" si="7"/>
        <v>0.37917517732329142</v>
      </c>
      <c r="R29" s="926">
        <f t="shared" si="7"/>
        <v>0.39969579789020915</v>
      </c>
      <c r="S29" s="926">
        <f t="shared" si="7"/>
        <v>0.41970340294295388</v>
      </c>
      <c r="T29" s="926">
        <f t="shared" si="7"/>
        <v>0.43921081786938004</v>
      </c>
      <c r="U29" s="926">
        <f t="shared" si="7"/>
        <v>0.45</v>
      </c>
      <c r="V29" s="926">
        <f t="shared" si="7"/>
        <v>0.45</v>
      </c>
      <c r="W29" s="926">
        <f t="shared" si="7"/>
        <v>0.45</v>
      </c>
      <c r="X29" s="926">
        <f t="shared" si="7"/>
        <v>0.45</v>
      </c>
      <c r="Y29" s="926">
        <f t="shared" si="7"/>
        <v>0.45</v>
      </c>
      <c r="Z29" s="926">
        <f t="shared" si="7"/>
        <v>0.45</v>
      </c>
      <c r="AA29" s="926">
        <f t="shared" si="7"/>
        <v>0.45</v>
      </c>
      <c r="AB29" s="926">
        <f t="shared" si="7"/>
        <v>0.45</v>
      </c>
      <c r="AC29" s="926">
        <f t="shared" si="7"/>
        <v>0.45</v>
      </c>
      <c r="AD29" s="926">
        <f t="shared" si="7"/>
        <v>0.45</v>
      </c>
      <c r="AE29" s="926">
        <f t="shared" si="7"/>
        <v>0.45</v>
      </c>
      <c r="AF29" s="926">
        <f t="shared" si="7"/>
        <v>0.45</v>
      </c>
      <c r="AG29" s="926">
        <f t="shared" ref="AG29:AT29" si="8">AF29+AG28</f>
        <v>0.45</v>
      </c>
      <c r="AH29" s="926">
        <f t="shared" si="8"/>
        <v>0.45</v>
      </c>
      <c r="AI29" s="926">
        <f t="shared" si="8"/>
        <v>0.45</v>
      </c>
      <c r="AJ29" s="926">
        <f t="shared" si="8"/>
        <v>0.45</v>
      </c>
      <c r="AK29" s="926">
        <f t="shared" si="8"/>
        <v>0.45</v>
      </c>
      <c r="AL29" s="926">
        <f t="shared" si="8"/>
        <v>0.45</v>
      </c>
      <c r="AM29" s="926">
        <f t="shared" si="8"/>
        <v>0.45</v>
      </c>
      <c r="AN29" s="926">
        <f t="shared" si="8"/>
        <v>0.45</v>
      </c>
      <c r="AO29" s="926">
        <f t="shared" si="8"/>
        <v>0.45</v>
      </c>
      <c r="AP29" s="926">
        <f t="shared" si="8"/>
        <v>0.45</v>
      </c>
      <c r="AQ29" s="926">
        <f t="shared" si="8"/>
        <v>0.45</v>
      </c>
      <c r="AR29" s="926">
        <f t="shared" si="8"/>
        <v>0.45</v>
      </c>
      <c r="AS29" s="926">
        <f t="shared" si="8"/>
        <v>0.45</v>
      </c>
      <c r="AT29" s="926">
        <f t="shared" si="8"/>
        <v>0.45</v>
      </c>
    </row>
    <row r="30" spans="1:46" x14ac:dyDescent="0.3">
      <c r="A30" s="108" t="s">
        <v>4100</v>
      </c>
      <c r="B30" s="926">
        <v>0</v>
      </c>
      <c r="C30" s="926"/>
      <c r="D30" s="926"/>
      <c r="E30" s="926"/>
      <c r="F30" s="926"/>
      <c r="H30" s="926"/>
      <c r="I30" s="926"/>
      <c r="J30" s="926"/>
      <c r="K30" s="926"/>
      <c r="M30" s="926"/>
      <c r="N30" s="926"/>
      <c r="O30" s="926"/>
      <c r="P30" s="926"/>
      <c r="R30" s="926"/>
      <c r="S30" s="926"/>
      <c r="T30" s="926"/>
      <c r="U30" s="926"/>
      <c r="W30" s="926"/>
      <c r="X30" s="926"/>
      <c r="Y30" s="926"/>
      <c r="Z30" s="926"/>
      <c r="AB30" s="926"/>
      <c r="AC30" s="926"/>
      <c r="AD30" s="926"/>
      <c r="AE30" s="926"/>
      <c r="AG30" s="926"/>
      <c r="AH30" s="926"/>
      <c r="AI30" s="926"/>
      <c r="AJ30" s="926"/>
      <c r="AL30" s="926"/>
      <c r="AM30" s="926"/>
      <c r="AN30" s="926"/>
      <c r="AO30" s="926"/>
    </row>
    <row r="31" spans="1:46" x14ac:dyDescent="0.3">
      <c r="A31" s="108" t="s">
        <v>4101</v>
      </c>
      <c r="B31" s="926">
        <v>0.45</v>
      </c>
      <c r="C31" s="926"/>
      <c r="D31" s="926"/>
      <c r="E31" s="926"/>
      <c r="F31" s="926"/>
      <c r="H31" s="926"/>
      <c r="I31" s="926"/>
      <c r="J31" s="926"/>
      <c r="K31" s="926"/>
      <c r="M31" s="926"/>
      <c r="N31" s="926"/>
      <c r="O31" s="926"/>
      <c r="P31" s="926"/>
      <c r="R31" s="926"/>
      <c r="S31" s="926"/>
      <c r="T31" s="926"/>
      <c r="U31" s="926"/>
      <c r="W31" s="926"/>
      <c r="X31" s="926"/>
      <c r="Y31" s="926"/>
      <c r="Z31" s="926"/>
      <c r="AB31" s="926"/>
      <c r="AC31" s="926"/>
      <c r="AD31" s="926"/>
      <c r="AE31" s="926"/>
      <c r="AG31" s="926"/>
      <c r="AH31" s="926"/>
      <c r="AI31" s="926"/>
      <c r="AJ31" s="926"/>
      <c r="AL31" s="926"/>
      <c r="AM31" s="926"/>
      <c r="AN31" s="926"/>
      <c r="AO31" s="926"/>
    </row>
    <row r="32" spans="1:46" x14ac:dyDescent="0.3">
      <c r="A32" s="108" t="s">
        <v>4102</v>
      </c>
      <c r="B32" s="925">
        <v>9000</v>
      </c>
      <c r="C32" s="926"/>
      <c r="D32" s="926"/>
      <c r="E32" s="926"/>
      <c r="F32" s="926"/>
      <c r="H32" s="926"/>
      <c r="I32" s="926"/>
      <c r="J32" s="926"/>
      <c r="K32" s="926"/>
      <c r="M32" s="926"/>
      <c r="N32" s="926"/>
      <c r="O32" s="926"/>
      <c r="P32" s="926"/>
      <c r="R32" s="926"/>
      <c r="S32" s="926"/>
      <c r="T32" s="926"/>
      <c r="U32" s="926"/>
      <c r="W32" s="926"/>
      <c r="X32" s="926"/>
      <c r="Y32" s="926"/>
      <c r="Z32" s="926"/>
      <c r="AB32" s="926"/>
      <c r="AC32" s="926"/>
      <c r="AD32" s="926"/>
      <c r="AE32" s="926"/>
      <c r="AG32" s="926"/>
      <c r="AH32" s="926"/>
      <c r="AI32" s="926"/>
      <c r="AJ32" s="926"/>
      <c r="AL32" s="926"/>
      <c r="AM32" s="926"/>
      <c r="AN32" s="926"/>
      <c r="AO32" s="926"/>
    </row>
    <row r="33" spans="1:46" x14ac:dyDescent="0.3">
      <c r="A33" s="108" t="s">
        <v>4103</v>
      </c>
      <c r="B33" s="926">
        <v>0.97499999999999998</v>
      </c>
    </row>
    <row r="34" spans="1:46" x14ac:dyDescent="0.3">
      <c r="A34" s="108" t="s">
        <v>4104</v>
      </c>
      <c r="B34" s="926">
        <f>R29</f>
        <v>0.39969579789020915</v>
      </c>
    </row>
    <row r="35" spans="1:46" x14ac:dyDescent="0.3">
      <c r="A35" s="108" t="s">
        <v>4105</v>
      </c>
      <c r="B35" s="926">
        <f>AD29</f>
        <v>0.45</v>
      </c>
    </row>
    <row r="38" spans="1:46" x14ac:dyDescent="0.3">
      <c r="A38" s="90" t="s">
        <v>3078</v>
      </c>
    </row>
    <row r="39" spans="1:46" x14ac:dyDescent="0.3">
      <c r="A39" s="610"/>
      <c r="B39" s="682">
        <v>2020</v>
      </c>
      <c r="C39" s="682" t="s">
        <v>1125</v>
      </c>
      <c r="D39" s="682" t="s">
        <v>1126</v>
      </c>
      <c r="E39" s="682" t="s">
        <v>1127</v>
      </c>
      <c r="F39" s="682" t="s">
        <v>1128</v>
      </c>
      <c r="G39" s="682" t="s">
        <v>922</v>
      </c>
      <c r="H39" s="682" t="s">
        <v>923</v>
      </c>
      <c r="I39" s="682" t="s">
        <v>924</v>
      </c>
      <c r="J39" s="682" t="s">
        <v>925</v>
      </c>
      <c r="K39" s="682" t="s">
        <v>883</v>
      </c>
      <c r="L39" s="682" t="s">
        <v>884</v>
      </c>
      <c r="M39" s="682" t="s">
        <v>885</v>
      </c>
      <c r="N39" s="682" t="s">
        <v>886</v>
      </c>
      <c r="O39" s="682" t="s">
        <v>887</v>
      </c>
      <c r="P39" s="682" t="s">
        <v>888</v>
      </c>
      <c r="Q39" s="682" t="s">
        <v>1027</v>
      </c>
      <c r="R39" s="682" t="s">
        <v>1028</v>
      </c>
      <c r="S39" s="682" t="s">
        <v>1047</v>
      </c>
      <c r="T39" s="682" t="s">
        <v>1048</v>
      </c>
      <c r="U39" s="682" t="s">
        <v>1049</v>
      </c>
      <c r="V39" s="682" t="s">
        <v>1050</v>
      </c>
      <c r="W39" s="682" t="s">
        <v>1051</v>
      </c>
      <c r="X39" s="682" t="s">
        <v>1052</v>
      </c>
      <c r="Y39" s="682" t="s">
        <v>1053</v>
      </c>
      <c r="Z39" s="682" t="s">
        <v>1054</v>
      </c>
      <c r="AA39" s="682" t="s">
        <v>1055</v>
      </c>
      <c r="AB39" s="682" t="s">
        <v>1056</v>
      </c>
      <c r="AC39" s="682" t="s">
        <v>1057</v>
      </c>
      <c r="AD39" s="682" t="s">
        <v>1058</v>
      </c>
      <c r="AE39" s="682" t="s">
        <v>1059</v>
      </c>
      <c r="AF39" s="682" t="s">
        <v>1060</v>
      </c>
      <c r="AG39" s="682" t="s">
        <v>1061</v>
      </c>
      <c r="AH39" s="682" t="s">
        <v>1062</v>
      </c>
      <c r="AI39" s="682" t="s">
        <v>4087</v>
      </c>
      <c r="AJ39" s="682" t="s">
        <v>4088</v>
      </c>
      <c r="AK39" s="682" t="s">
        <v>4089</v>
      </c>
      <c r="AL39" s="682" t="s">
        <v>4090</v>
      </c>
      <c r="AM39" s="682" t="s">
        <v>4091</v>
      </c>
      <c r="AN39" s="682" t="s">
        <v>4092</v>
      </c>
      <c r="AO39" s="682" t="s">
        <v>4093</v>
      </c>
      <c r="AP39" s="682" t="s">
        <v>4094</v>
      </c>
      <c r="AQ39" s="682" t="s">
        <v>4095</v>
      </c>
      <c r="AR39" s="682" t="s">
        <v>4096</v>
      </c>
      <c r="AS39" s="682" t="s">
        <v>4097</v>
      </c>
      <c r="AT39" s="682" t="s">
        <v>4098</v>
      </c>
    </row>
    <row r="40" spans="1:46" x14ac:dyDescent="0.3">
      <c r="A40" s="927">
        <v>2020</v>
      </c>
    </row>
    <row r="41" spans="1:46" x14ac:dyDescent="0.3">
      <c r="A41" s="927" t="s">
        <v>1125</v>
      </c>
      <c r="C41" s="928">
        <f>$C$25*C$29</f>
        <v>3.12</v>
      </c>
      <c r="D41" s="928">
        <f t="shared" ref="D41:AT41" si="9">$C$25*D$29</f>
        <v>6.1619999999999999</v>
      </c>
      <c r="E41" s="928">
        <f t="shared" si="9"/>
        <v>9.1279499999999985</v>
      </c>
      <c r="F41" s="928">
        <f t="shared" si="9"/>
        <v>12.019751249999999</v>
      </c>
      <c r="G41" s="928">
        <f t="shared" si="9"/>
        <v>14.839257468749997</v>
      </c>
      <c r="H41" s="928">
        <f t="shared" si="9"/>
        <v>17.588276032031246</v>
      </c>
      <c r="I41" s="928">
        <f t="shared" si="9"/>
        <v>20.268569131230464</v>
      </c>
      <c r="J41" s="928">
        <f t="shared" si="9"/>
        <v>22.881854902949701</v>
      </c>
      <c r="K41" s="928">
        <f t="shared" si="9"/>
        <v>25.429808530375958</v>
      </c>
      <c r="L41" s="928">
        <f t="shared" si="9"/>
        <v>27.914063317116558</v>
      </c>
      <c r="M41" s="928">
        <f t="shared" si="9"/>
        <v>30.336211734188645</v>
      </c>
      <c r="N41" s="928">
        <f t="shared" si="9"/>
        <v>32.697806440833929</v>
      </c>
      <c r="O41" s="928">
        <f t="shared" si="9"/>
        <v>35.000361279813077</v>
      </c>
      <c r="P41" s="928">
        <f t="shared" si="9"/>
        <v>37.245352247817749</v>
      </c>
      <c r="Q41" s="928">
        <f t="shared" si="9"/>
        <v>39.434218441622306</v>
      </c>
      <c r="R41" s="928">
        <f t="shared" si="9"/>
        <v>41.568362980581753</v>
      </c>
      <c r="S41" s="928">
        <f t="shared" si="9"/>
        <v>43.649153906067205</v>
      </c>
      <c r="T41" s="928">
        <f t="shared" si="9"/>
        <v>45.677925058415525</v>
      </c>
      <c r="U41" s="928">
        <f t="shared" si="9"/>
        <v>46.800000000000004</v>
      </c>
      <c r="V41" s="928">
        <f t="shared" si="9"/>
        <v>46.800000000000004</v>
      </c>
      <c r="W41" s="928">
        <f t="shared" si="9"/>
        <v>46.800000000000004</v>
      </c>
      <c r="X41" s="928">
        <f t="shared" si="9"/>
        <v>46.800000000000004</v>
      </c>
      <c r="Y41" s="928">
        <f t="shared" si="9"/>
        <v>46.800000000000004</v>
      </c>
      <c r="Z41" s="928">
        <f t="shared" si="9"/>
        <v>46.800000000000004</v>
      </c>
      <c r="AA41" s="928">
        <f t="shared" si="9"/>
        <v>46.800000000000004</v>
      </c>
      <c r="AB41" s="928">
        <f t="shared" si="9"/>
        <v>46.800000000000004</v>
      </c>
      <c r="AC41" s="928">
        <f t="shared" si="9"/>
        <v>46.800000000000004</v>
      </c>
      <c r="AD41" s="928">
        <f t="shared" si="9"/>
        <v>46.800000000000004</v>
      </c>
      <c r="AE41" s="928">
        <f t="shared" si="9"/>
        <v>46.800000000000004</v>
      </c>
      <c r="AF41" s="928">
        <f t="shared" si="9"/>
        <v>46.800000000000004</v>
      </c>
      <c r="AG41" s="928">
        <f t="shared" si="9"/>
        <v>46.800000000000004</v>
      </c>
      <c r="AH41" s="928">
        <f t="shared" si="9"/>
        <v>46.800000000000004</v>
      </c>
      <c r="AI41" s="928">
        <f t="shared" si="9"/>
        <v>46.800000000000004</v>
      </c>
      <c r="AJ41" s="928">
        <f t="shared" si="9"/>
        <v>46.800000000000004</v>
      </c>
      <c r="AK41" s="928">
        <f t="shared" si="9"/>
        <v>46.800000000000004</v>
      </c>
      <c r="AL41" s="928">
        <f t="shared" si="9"/>
        <v>46.800000000000004</v>
      </c>
      <c r="AM41" s="928">
        <f t="shared" si="9"/>
        <v>46.800000000000004</v>
      </c>
      <c r="AN41" s="928">
        <f t="shared" si="9"/>
        <v>46.800000000000004</v>
      </c>
      <c r="AO41" s="928">
        <f t="shared" si="9"/>
        <v>46.800000000000004</v>
      </c>
      <c r="AP41" s="928">
        <f t="shared" si="9"/>
        <v>46.800000000000004</v>
      </c>
      <c r="AQ41" s="928">
        <f t="shared" si="9"/>
        <v>46.800000000000004</v>
      </c>
      <c r="AR41" s="928">
        <f t="shared" si="9"/>
        <v>46.800000000000004</v>
      </c>
      <c r="AS41" s="928">
        <f t="shared" si="9"/>
        <v>46.800000000000004</v>
      </c>
      <c r="AT41" s="928">
        <f t="shared" si="9"/>
        <v>46.800000000000004</v>
      </c>
    </row>
    <row r="42" spans="1:46" x14ac:dyDescent="0.3">
      <c r="A42" s="927" t="s">
        <v>1126</v>
      </c>
      <c r="C42" s="928"/>
      <c r="D42" s="928">
        <f>$D$25*C$29</f>
        <v>4.71</v>
      </c>
      <c r="E42" s="928">
        <f t="shared" ref="E42:AT42" si="10">$D$25*D$29</f>
        <v>9.302249999999999</v>
      </c>
      <c r="F42" s="928">
        <f t="shared" si="10"/>
        <v>13.779693749999998</v>
      </c>
      <c r="G42" s="928">
        <f t="shared" si="10"/>
        <v>18.145201406249999</v>
      </c>
      <c r="H42" s="928">
        <f t="shared" si="10"/>
        <v>22.401571371093745</v>
      </c>
      <c r="I42" s="928">
        <f t="shared" si="10"/>
        <v>26.551532086816401</v>
      </c>
      <c r="J42" s="928">
        <f t="shared" si="10"/>
        <v>30.597743784645992</v>
      </c>
      <c r="K42" s="928">
        <f t="shared" si="10"/>
        <v>34.542800190029837</v>
      </c>
      <c r="L42" s="928">
        <f t="shared" si="10"/>
        <v>38.389230185279089</v>
      </c>
      <c r="M42" s="928">
        <f t="shared" si="10"/>
        <v>42.139499430647113</v>
      </c>
      <c r="N42" s="928">
        <f t="shared" si="10"/>
        <v>45.796011944880938</v>
      </c>
      <c r="O42" s="928">
        <f t="shared" si="10"/>
        <v>49.361111646258905</v>
      </c>
      <c r="P42" s="928">
        <f t="shared" si="10"/>
        <v>52.837083855102435</v>
      </c>
      <c r="Q42" s="928">
        <f t="shared" si="10"/>
        <v>56.226156758724876</v>
      </c>
      <c r="R42" s="928">
        <f t="shared" si="10"/>
        <v>59.530502839756757</v>
      </c>
      <c r="S42" s="928">
        <f t="shared" si="10"/>
        <v>62.752240268762833</v>
      </c>
      <c r="T42" s="928">
        <f t="shared" si="10"/>
        <v>65.893434262043755</v>
      </c>
      <c r="U42" s="928">
        <f t="shared" si="10"/>
        <v>68.956098405492668</v>
      </c>
      <c r="V42" s="928">
        <f t="shared" si="10"/>
        <v>70.650000000000006</v>
      </c>
      <c r="W42" s="928">
        <f t="shared" si="10"/>
        <v>70.650000000000006</v>
      </c>
      <c r="X42" s="928">
        <f t="shared" si="10"/>
        <v>70.650000000000006</v>
      </c>
      <c r="Y42" s="928">
        <f t="shared" si="10"/>
        <v>70.650000000000006</v>
      </c>
      <c r="Z42" s="928">
        <f t="shared" si="10"/>
        <v>70.650000000000006</v>
      </c>
      <c r="AA42" s="928">
        <f t="shared" si="10"/>
        <v>70.650000000000006</v>
      </c>
      <c r="AB42" s="928">
        <f t="shared" si="10"/>
        <v>70.650000000000006</v>
      </c>
      <c r="AC42" s="928">
        <f t="shared" si="10"/>
        <v>70.650000000000006</v>
      </c>
      <c r="AD42" s="928">
        <f t="shared" si="10"/>
        <v>70.650000000000006</v>
      </c>
      <c r="AE42" s="928">
        <f t="shared" si="10"/>
        <v>70.650000000000006</v>
      </c>
      <c r="AF42" s="928">
        <f t="shared" si="10"/>
        <v>70.650000000000006</v>
      </c>
      <c r="AG42" s="928">
        <f t="shared" si="10"/>
        <v>70.650000000000006</v>
      </c>
      <c r="AH42" s="928">
        <f t="shared" si="10"/>
        <v>70.650000000000006</v>
      </c>
      <c r="AI42" s="928">
        <f t="shared" si="10"/>
        <v>70.650000000000006</v>
      </c>
      <c r="AJ42" s="928">
        <f t="shared" si="10"/>
        <v>70.650000000000006</v>
      </c>
      <c r="AK42" s="928">
        <f t="shared" si="10"/>
        <v>70.650000000000006</v>
      </c>
      <c r="AL42" s="928">
        <f t="shared" si="10"/>
        <v>70.650000000000006</v>
      </c>
      <c r="AM42" s="928">
        <f t="shared" si="10"/>
        <v>70.650000000000006</v>
      </c>
      <c r="AN42" s="928">
        <f t="shared" si="10"/>
        <v>70.650000000000006</v>
      </c>
      <c r="AO42" s="928">
        <f t="shared" si="10"/>
        <v>70.650000000000006</v>
      </c>
      <c r="AP42" s="928">
        <f t="shared" si="10"/>
        <v>70.650000000000006</v>
      </c>
      <c r="AQ42" s="928">
        <f t="shared" si="10"/>
        <v>70.650000000000006</v>
      </c>
      <c r="AR42" s="928">
        <f t="shared" si="10"/>
        <v>70.650000000000006</v>
      </c>
      <c r="AS42" s="928">
        <f t="shared" si="10"/>
        <v>70.650000000000006</v>
      </c>
      <c r="AT42" s="928">
        <f t="shared" si="10"/>
        <v>70.650000000000006</v>
      </c>
    </row>
    <row r="43" spans="1:46" x14ac:dyDescent="0.3">
      <c r="A43" s="927" t="s">
        <v>1127</v>
      </c>
      <c r="E43" s="928">
        <f>$E$25*C$29</f>
        <v>4.95</v>
      </c>
      <c r="F43" s="928">
        <f t="shared" ref="F43:AT43" si="11">$E$25*D$29</f>
        <v>9.7762499999999992</v>
      </c>
      <c r="G43" s="928">
        <f t="shared" si="11"/>
        <v>14.481843749999999</v>
      </c>
      <c r="H43" s="928">
        <f t="shared" si="11"/>
        <v>19.06979765625</v>
      </c>
      <c r="I43" s="928">
        <f t="shared" si="11"/>
        <v>23.543052714843746</v>
      </c>
      <c r="J43" s="928">
        <f t="shared" si="11"/>
        <v>27.904476396972651</v>
      </c>
      <c r="K43" s="928">
        <f t="shared" si="11"/>
        <v>32.156864487048331</v>
      </c>
      <c r="L43" s="928">
        <f t="shared" si="11"/>
        <v>36.302942874872123</v>
      </c>
      <c r="M43" s="928">
        <f t="shared" si="11"/>
        <v>40.345369303000318</v>
      </c>
      <c r="N43" s="928">
        <f t="shared" si="11"/>
        <v>44.286735070425308</v>
      </c>
      <c r="O43" s="928">
        <f t="shared" si="11"/>
        <v>48.129566693664678</v>
      </c>
      <c r="P43" s="928">
        <f t="shared" si="11"/>
        <v>51.87632752632306</v>
      </c>
      <c r="Q43" s="928">
        <f t="shared" si="11"/>
        <v>55.529419338164985</v>
      </c>
      <c r="R43" s="928">
        <f t="shared" si="11"/>
        <v>59.091183854710856</v>
      </c>
      <c r="S43" s="928">
        <f t="shared" si="11"/>
        <v>62.563904258343086</v>
      </c>
      <c r="T43" s="928">
        <f t="shared" si="11"/>
        <v>65.949806651884515</v>
      </c>
      <c r="U43" s="928">
        <f t="shared" si="11"/>
        <v>69.251061485587385</v>
      </c>
      <c r="V43" s="928">
        <f t="shared" si="11"/>
        <v>72.46978494844771</v>
      </c>
      <c r="W43" s="928">
        <f t="shared" si="11"/>
        <v>74.25</v>
      </c>
      <c r="X43" s="928">
        <f t="shared" si="11"/>
        <v>74.25</v>
      </c>
      <c r="Y43" s="928">
        <f t="shared" si="11"/>
        <v>74.25</v>
      </c>
      <c r="Z43" s="928">
        <f t="shared" si="11"/>
        <v>74.25</v>
      </c>
      <c r="AA43" s="928">
        <f t="shared" si="11"/>
        <v>74.25</v>
      </c>
      <c r="AB43" s="928">
        <f t="shared" si="11"/>
        <v>74.25</v>
      </c>
      <c r="AC43" s="928">
        <f t="shared" si="11"/>
        <v>74.25</v>
      </c>
      <c r="AD43" s="928">
        <f t="shared" si="11"/>
        <v>74.25</v>
      </c>
      <c r="AE43" s="928">
        <f t="shared" si="11"/>
        <v>74.25</v>
      </c>
      <c r="AF43" s="928">
        <f t="shared" si="11"/>
        <v>74.25</v>
      </c>
      <c r="AG43" s="928">
        <f t="shared" si="11"/>
        <v>74.25</v>
      </c>
      <c r="AH43" s="928">
        <f t="shared" si="11"/>
        <v>74.25</v>
      </c>
      <c r="AI43" s="928">
        <f t="shared" si="11"/>
        <v>74.25</v>
      </c>
      <c r="AJ43" s="928">
        <f t="shared" si="11"/>
        <v>74.25</v>
      </c>
      <c r="AK43" s="928">
        <f t="shared" si="11"/>
        <v>74.25</v>
      </c>
      <c r="AL43" s="928">
        <f t="shared" si="11"/>
        <v>74.25</v>
      </c>
      <c r="AM43" s="928">
        <f t="shared" si="11"/>
        <v>74.25</v>
      </c>
      <c r="AN43" s="928">
        <f t="shared" si="11"/>
        <v>74.25</v>
      </c>
      <c r="AO43" s="928">
        <f t="shared" si="11"/>
        <v>74.25</v>
      </c>
      <c r="AP43" s="928">
        <f t="shared" si="11"/>
        <v>74.25</v>
      </c>
      <c r="AQ43" s="928">
        <f t="shared" si="11"/>
        <v>74.25</v>
      </c>
      <c r="AR43" s="928">
        <f t="shared" si="11"/>
        <v>74.25</v>
      </c>
      <c r="AS43" s="928">
        <f t="shared" si="11"/>
        <v>74.25</v>
      </c>
      <c r="AT43" s="928">
        <f t="shared" si="11"/>
        <v>74.25</v>
      </c>
    </row>
    <row r="44" spans="1:46" x14ac:dyDescent="0.3">
      <c r="A44" s="927" t="s">
        <v>1128</v>
      </c>
      <c r="F44" s="928">
        <f>$F$25*C$29</f>
        <v>5.22</v>
      </c>
      <c r="G44" s="928">
        <f t="shared" ref="G44:AT44" si="12">$F$25*D$29</f>
        <v>10.3095</v>
      </c>
      <c r="H44" s="928">
        <f t="shared" si="12"/>
        <v>15.271762499999999</v>
      </c>
      <c r="I44" s="928">
        <f t="shared" si="12"/>
        <v>20.109968437499997</v>
      </c>
      <c r="J44" s="928">
        <f t="shared" si="12"/>
        <v>24.827219226562494</v>
      </c>
      <c r="K44" s="928">
        <f t="shared" si="12"/>
        <v>29.42653874589843</v>
      </c>
      <c r="L44" s="928">
        <f t="shared" si="12"/>
        <v>33.910875277250973</v>
      </c>
      <c r="M44" s="928">
        <f t="shared" si="12"/>
        <v>38.283103395319692</v>
      </c>
      <c r="N44" s="928">
        <f t="shared" si="12"/>
        <v>42.546025810436696</v>
      </c>
      <c r="O44" s="928">
        <f t="shared" si="12"/>
        <v>46.702375165175781</v>
      </c>
      <c r="P44" s="928">
        <f t="shared" si="12"/>
        <v>50.754815786046386</v>
      </c>
      <c r="Q44" s="928">
        <f t="shared" si="12"/>
        <v>54.705945391395225</v>
      </c>
      <c r="R44" s="928">
        <f t="shared" si="12"/>
        <v>58.558296756610346</v>
      </c>
      <c r="S44" s="928">
        <f t="shared" si="12"/>
        <v>62.314339337695088</v>
      </c>
      <c r="T44" s="928">
        <f t="shared" si="12"/>
        <v>65.976480854252713</v>
      </c>
      <c r="U44" s="928">
        <f t="shared" si="12"/>
        <v>69.547068832896386</v>
      </c>
      <c r="V44" s="928">
        <f t="shared" si="12"/>
        <v>73.028392112073973</v>
      </c>
      <c r="W44" s="928">
        <f t="shared" si="12"/>
        <v>76.422682309272133</v>
      </c>
      <c r="X44" s="928">
        <f t="shared" si="12"/>
        <v>78.3</v>
      </c>
      <c r="Y44" s="928">
        <f t="shared" si="12"/>
        <v>78.3</v>
      </c>
      <c r="Z44" s="928">
        <f t="shared" si="12"/>
        <v>78.3</v>
      </c>
      <c r="AA44" s="928">
        <f t="shared" si="12"/>
        <v>78.3</v>
      </c>
      <c r="AB44" s="928">
        <f t="shared" si="12"/>
        <v>78.3</v>
      </c>
      <c r="AC44" s="928">
        <f t="shared" si="12"/>
        <v>78.3</v>
      </c>
      <c r="AD44" s="928">
        <f t="shared" si="12"/>
        <v>78.3</v>
      </c>
      <c r="AE44" s="928">
        <f t="shared" si="12"/>
        <v>78.3</v>
      </c>
      <c r="AF44" s="928">
        <f t="shared" si="12"/>
        <v>78.3</v>
      </c>
      <c r="AG44" s="928">
        <f t="shared" si="12"/>
        <v>78.3</v>
      </c>
      <c r="AH44" s="928">
        <f t="shared" si="12"/>
        <v>78.3</v>
      </c>
      <c r="AI44" s="928">
        <f t="shared" si="12"/>
        <v>78.3</v>
      </c>
      <c r="AJ44" s="928">
        <f t="shared" si="12"/>
        <v>78.3</v>
      </c>
      <c r="AK44" s="928">
        <f t="shared" si="12"/>
        <v>78.3</v>
      </c>
      <c r="AL44" s="928">
        <f t="shared" si="12"/>
        <v>78.3</v>
      </c>
      <c r="AM44" s="928">
        <f t="shared" si="12"/>
        <v>78.3</v>
      </c>
      <c r="AN44" s="928">
        <f t="shared" si="12"/>
        <v>78.3</v>
      </c>
      <c r="AO44" s="928">
        <f t="shared" si="12"/>
        <v>78.3</v>
      </c>
      <c r="AP44" s="928">
        <f t="shared" si="12"/>
        <v>78.3</v>
      </c>
      <c r="AQ44" s="928">
        <f t="shared" si="12"/>
        <v>78.3</v>
      </c>
      <c r="AR44" s="928">
        <f t="shared" si="12"/>
        <v>78.3</v>
      </c>
      <c r="AS44" s="928">
        <f t="shared" si="12"/>
        <v>78.3</v>
      </c>
      <c r="AT44" s="928">
        <f t="shared" si="12"/>
        <v>78.3</v>
      </c>
    </row>
    <row r="45" spans="1:46" x14ac:dyDescent="0.3">
      <c r="A45" s="927" t="s">
        <v>922</v>
      </c>
      <c r="G45" s="928">
        <f>$G$25*C$29</f>
        <v>7.5</v>
      </c>
      <c r="H45" s="928">
        <f t="shared" ref="H45:AT45" si="13">$G$25*D$29</f>
        <v>14.8125</v>
      </c>
      <c r="I45" s="928">
        <f t="shared" si="13"/>
        <v>21.942187499999999</v>
      </c>
      <c r="J45" s="928">
        <f t="shared" si="13"/>
        <v>28.893632812499998</v>
      </c>
      <c r="K45" s="928">
        <f t="shared" si="13"/>
        <v>35.671291992187491</v>
      </c>
      <c r="L45" s="928">
        <f t="shared" si="13"/>
        <v>42.279509692382803</v>
      </c>
      <c r="M45" s="928">
        <f t="shared" si="13"/>
        <v>48.722521950073236</v>
      </c>
      <c r="N45" s="928">
        <f t="shared" si="13"/>
        <v>55.004458901321399</v>
      </c>
      <c r="O45" s="928">
        <f t="shared" si="13"/>
        <v>61.129347428788357</v>
      </c>
      <c r="P45" s="928">
        <f t="shared" si="13"/>
        <v>67.101113743068652</v>
      </c>
      <c r="Q45" s="928">
        <f t="shared" si="13"/>
        <v>72.92358589949194</v>
      </c>
      <c r="R45" s="928">
        <f t="shared" si="13"/>
        <v>78.600496252004632</v>
      </c>
      <c r="S45" s="928">
        <f t="shared" si="13"/>
        <v>84.135483845704513</v>
      </c>
      <c r="T45" s="928">
        <f t="shared" si="13"/>
        <v>89.532096749561902</v>
      </c>
      <c r="U45" s="928">
        <f t="shared" si="13"/>
        <v>94.793794330822863</v>
      </c>
      <c r="V45" s="928">
        <f t="shared" si="13"/>
        <v>99.92394947255228</v>
      </c>
      <c r="W45" s="928">
        <f t="shared" si="13"/>
        <v>104.92585073573846</v>
      </c>
      <c r="X45" s="928">
        <f t="shared" si="13"/>
        <v>109.80270446734501</v>
      </c>
      <c r="Y45" s="928">
        <f t="shared" si="13"/>
        <v>112.5</v>
      </c>
      <c r="Z45" s="928">
        <f t="shared" si="13"/>
        <v>112.5</v>
      </c>
      <c r="AA45" s="928">
        <f t="shared" si="13"/>
        <v>112.5</v>
      </c>
      <c r="AB45" s="928">
        <f t="shared" si="13"/>
        <v>112.5</v>
      </c>
      <c r="AC45" s="928">
        <f t="shared" si="13"/>
        <v>112.5</v>
      </c>
      <c r="AD45" s="928">
        <f t="shared" si="13"/>
        <v>112.5</v>
      </c>
      <c r="AE45" s="928">
        <f t="shared" si="13"/>
        <v>112.5</v>
      </c>
      <c r="AF45" s="928">
        <f t="shared" si="13"/>
        <v>112.5</v>
      </c>
      <c r="AG45" s="928">
        <f t="shared" si="13"/>
        <v>112.5</v>
      </c>
      <c r="AH45" s="928">
        <f t="shared" si="13"/>
        <v>112.5</v>
      </c>
      <c r="AI45" s="928">
        <f t="shared" si="13"/>
        <v>112.5</v>
      </c>
      <c r="AJ45" s="928">
        <f t="shared" si="13"/>
        <v>112.5</v>
      </c>
      <c r="AK45" s="928">
        <f t="shared" si="13"/>
        <v>112.5</v>
      </c>
      <c r="AL45" s="928">
        <f t="shared" si="13"/>
        <v>112.5</v>
      </c>
      <c r="AM45" s="928">
        <f t="shared" si="13"/>
        <v>112.5</v>
      </c>
      <c r="AN45" s="928">
        <f t="shared" si="13"/>
        <v>112.5</v>
      </c>
      <c r="AO45" s="928">
        <f t="shared" si="13"/>
        <v>112.5</v>
      </c>
      <c r="AP45" s="928">
        <f t="shared" si="13"/>
        <v>112.5</v>
      </c>
      <c r="AQ45" s="928">
        <f t="shared" si="13"/>
        <v>112.5</v>
      </c>
      <c r="AR45" s="928">
        <f t="shared" si="13"/>
        <v>112.5</v>
      </c>
      <c r="AS45" s="928">
        <f t="shared" si="13"/>
        <v>112.5</v>
      </c>
      <c r="AT45" s="928">
        <f t="shared" si="13"/>
        <v>112.5</v>
      </c>
    </row>
    <row r="46" spans="1:46" x14ac:dyDescent="0.3">
      <c r="A46" s="927" t="s">
        <v>923</v>
      </c>
      <c r="H46" s="928">
        <f>$H$25*C$29</f>
        <v>7.5</v>
      </c>
      <c r="I46" s="928">
        <f t="shared" ref="I46:AT46" si="14">$H$25*D$29</f>
        <v>14.8125</v>
      </c>
      <c r="J46" s="928">
        <f t="shared" si="14"/>
        <v>21.942187499999999</v>
      </c>
      <c r="K46" s="928">
        <f t="shared" si="14"/>
        <v>28.893632812499998</v>
      </c>
      <c r="L46" s="928">
        <f t="shared" si="14"/>
        <v>35.671291992187491</v>
      </c>
      <c r="M46" s="928">
        <f t="shared" si="14"/>
        <v>42.279509692382803</v>
      </c>
      <c r="N46" s="928">
        <f t="shared" si="14"/>
        <v>48.722521950073236</v>
      </c>
      <c r="O46" s="928">
        <f t="shared" si="14"/>
        <v>55.004458901321399</v>
      </c>
      <c r="P46" s="928">
        <f t="shared" si="14"/>
        <v>61.129347428788357</v>
      </c>
      <c r="Q46" s="928">
        <f t="shared" si="14"/>
        <v>67.101113743068652</v>
      </c>
      <c r="R46" s="928">
        <f t="shared" si="14"/>
        <v>72.92358589949194</v>
      </c>
      <c r="S46" s="928">
        <f t="shared" si="14"/>
        <v>78.600496252004632</v>
      </c>
      <c r="T46" s="928">
        <f t="shared" si="14"/>
        <v>84.135483845704513</v>
      </c>
      <c r="U46" s="928">
        <f t="shared" si="14"/>
        <v>89.532096749561902</v>
      </c>
      <c r="V46" s="928">
        <f t="shared" si="14"/>
        <v>94.793794330822863</v>
      </c>
      <c r="W46" s="928">
        <f t="shared" si="14"/>
        <v>99.92394947255228</v>
      </c>
      <c r="X46" s="928">
        <f t="shared" si="14"/>
        <v>104.92585073573846</v>
      </c>
      <c r="Y46" s="928">
        <f t="shared" si="14"/>
        <v>109.80270446734501</v>
      </c>
      <c r="Z46" s="928">
        <f t="shared" si="14"/>
        <v>112.5</v>
      </c>
      <c r="AA46" s="928">
        <f t="shared" si="14"/>
        <v>112.5</v>
      </c>
      <c r="AB46" s="928">
        <f t="shared" si="14"/>
        <v>112.5</v>
      </c>
      <c r="AC46" s="928">
        <f t="shared" si="14"/>
        <v>112.5</v>
      </c>
      <c r="AD46" s="928">
        <f t="shared" si="14"/>
        <v>112.5</v>
      </c>
      <c r="AE46" s="928">
        <f t="shared" si="14"/>
        <v>112.5</v>
      </c>
      <c r="AF46" s="928">
        <f t="shared" si="14"/>
        <v>112.5</v>
      </c>
      <c r="AG46" s="928">
        <f t="shared" si="14"/>
        <v>112.5</v>
      </c>
      <c r="AH46" s="928">
        <f t="shared" si="14"/>
        <v>112.5</v>
      </c>
      <c r="AI46" s="928">
        <f t="shared" si="14"/>
        <v>112.5</v>
      </c>
      <c r="AJ46" s="928">
        <f t="shared" si="14"/>
        <v>112.5</v>
      </c>
      <c r="AK46" s="928">
        <f t="shared" si="14"/>
        <v>112.5</v>
      </c>
      <c r="AL46" s="928">
        <f t="shared" si="14"/>
        <v>112.5</v>
      </c>
      <c r="AM46" s="928">
        <f t="shared" si="14"/>
        <v>112.5</v>
      </c>
      <c r="AN46" s="928">
        <f t="shared" si="14"/>
        <v>112.5</v>
      </c>
      <c r="AO46" s="928">
        <f t="shared" si="14"/>
        <v>112.5</v>
      </c>
      <c r="AP46" s="928">
        <f t="shared" si="14"/>
        <v>112.5</v>
      </c>
      <c r="AQ46" s="928">
        <f t="shared" si="14"/>
        <v>112.5</v>
      </c>
      <c r="AR46" s="928">
        <f t="shared" si="14"/>
        <v>112.5</v>
      </c>
      <c r="AS46" s="928">
        <f t="shared" si="14"/>
        <v>112.5</v>
      </c>
      <c r="AT46" s="928">
        <f t="shared" si="14"/>
        <v>112.5</v>
      </c>
    </row>
    <row r="47" spans="1:46" x14ac:dyDescent="0.3">
      <c r="A47" s="927" t="s">
        <v>924</v>
      </c>
      <c r="I47" s="928">
        <f>$I$25*C$29</f>
        <v>7.5</v>
      </c>
      <c r="J47" s="928">
        <f t="shared" ref="J47:AT47" si="15">$I$25*D$29</f>
        <v>14.8125</v>
      </c>
      <c r="K47" s="928">
        <f t="shared" si="15"/>
        <v>21.942187499999999</v>
      </c>
      <c r="L47" s="928">
        <f t="shared" si="15"/>
        <v>28.893632812499998</v>
      </c>
      <c r="M47" s="928">
        <f t="shared" si="15"/>
        <v>35.671291992187491</v>
      </c>
      <c r="N47" s="928">
        <f t="shared" si="15"/>
        <v>42.279509692382803</v>
      </c>
      <c r="O47" s="928">
        <f t="shared" si="15"/>
        <v>48.722521950073236</v>
      </c>
      <c r="P47" s="928">
        <f t="shared" si="15"/>
        <v>55.004458901321399</v>
      </c>
      <c r="Q47" s="928">
        <f t="shared" si="15"/>
        <v>61.129347428788357</v>
      </c>
      <c r="R47" s="928">
        <f t="shared" si="15"/>
        <v>67.101113743068652</v>
      </c>
      <c r="S47" s="928">
        <f t="shared" si="15"/>
        <v>72.92358589949194</v>
      </c>
      <c r="T47" s="928">
        <f t="shared" si="15"/>
        <v>78.600496252004632</v>
      </c>
      <c r="U47" s="928">
        <f t="shared" si="15"/>
        <v>84.135483845704513</v>
      </c>
      <c r="V47" s="928">
        <f t="shared" si="15"/>
        <v>89.532096749561902</v>
      </c>
      <c r="W47" s="928">
        <f t="shared" si="15"/>
        <v>94.793794330822863</v>
      </c>
      <c r="X47" s="928">
        <f t="shared" si="15"/>
        <v>99.92394947255228</v>
      </c>
      <c r="Y47" s="928">
        <f t="shared" si="15"/>
        <v>104.92585073573846</v>
      </c>
      <c r="Z47" s="928">
        <f t="shared" si="15"/>
        <v>109.80270446734501</v>
      </c>
      <c r="AA47" s="928">
        <f t="shared" si="15"/>
        <v>112.5</v>
      </c>
      <c r="AB47" s="928">
        <f t="shared" si="15"/>
        <v>112.5</v>
      </c>
      <c r="AC47" s="928">
        <f t="shared" si="15"/>
        <v>112.5</v>
      </c>
      <c r="AD47" s="928">
        <f t="shared" si="15"/>
        <v>112.5</v>
      </c>
      <c r="AE47" s="928">
        <f t="shared" si="15"/>
        <v>112.5</v>
      </c>
      <c r="AF47" s="928">
        <f t="shared" si="15"/>
        <v>112.5</v>
      </c>
      <c r="AG47" s="928">
        <f t="shared" si="15"/>
        <v>112.5</v>
      </c>
      <c r="AH47" s="928">
        <f t="shared" si="15"/>
        <v>112.5</v>
      </c>
      <c r="AI47" s="928">
        <f t="shared" si="15"/>
        <v>112.5</v>
      </c>
      <c r="AJ47" s="928">
        <f t="shared" si="15"/>
        <v>112.5</v>
      </c>
      <c r="AK47" s="928">
        <f t="shared" si="15"/>
        <v>112.5</v>
      </c>
      <c r="AL47" s="928">
        <f t="shared" si="15"/>
        <v>112.5</v>
      </c>
      <c r="AM47" s="928">
        <f t="shared" si="15"/>
        <v>112.5</v>
      </c>
      <c r="AN47" s="928">
        <f t="shared" si="15"/>
        <v>112.5</v>
      </c>
      <c r="AO47" s="928">
        <f t="shared" si="15"/>
        <v>112.5</v>
      </c>
      <c r="AP47" s="928">
        <f t="shared" si="15"/>
        <v>112.5</v>
      </c>
      <c r="AQ47" s="928">
        <f t="shared" si="15"/>
        <v>112.5</v>
      </c>
      <c r="AR47" s="928">
        <f t="shared" si="15"/>
        <v>112.5</v>
      </c>
      <c r="AS47" s="928">
        <f t="shared" si="15"/>
        <v>112.5</v>
      </c>
      <c r="AT47" s="928">
        <f t="shared" si="15"/>
        <v>112.5</v>
      </c>
    </row>
    <row r="48" spans="1:46" x14ac:dyDescent="0.3">
      <c r="A48" s="927" t="s">
        <v>925</v>
      </c>
      <c r="J48" s="928">
        <f>$J$25*C$29</f>
        <v>7.5</v>
      </c>
      <c r="K48" s="928">
        <f t="shared" ref="K48:AT48" si="16">$J$25*D$29</f>
        <v>14.8125</v>
      </c>
      <c r="L48" s="928">
        <f t="shared" si="16"/>
        <v>21.942187499999999</v>
      </c>
      <c r="M48" s="928">
        <f t="shared" si="16"/>
        <v>28.893632812499998</v>
      </c>
      <c r="N48" s="928">
        <f t="shared" si="16"/>
        <v>35.671291992187491</v>
      </c>
      <c r="O48" s="928">
        <f t="shared" si="16"/>
        <v>42.279509692382803</v>
      </c>
      <c r="P48" s="928">
        <f t="shared" si="16"/>
        <v>48.722521950073236</v>
      </c>
      <c r="Q48" s="928">
        <f t="shared" si="16"/>
        <v>55.004458901321399</v>
      </c>
      <c r="R48" s="928">
        <f t="shared" si="16"/>
        <v>61.129347428788357</v>
      </c>
      <c r="S48" s="928">
        <f t="shared" si="16"/>
        <v>67.101113743068652</v>
      </c>
      <c r="T48" s="928">
        <f t="shared" si="16"/>
        <v>72.92358589949194</v>
      </c>
      <c r="U48" s="928">
        <f t="shared" si="16"/>
        <v>78.600496252004632</v>
      </c>
      <c r="V48" s="928">
        <f t="shared" si="16"/>
        <v>84.135483845704513</v>
      </c>
      <c r="W48" s="928">
        <f t="shared" si="16"/>
        <v>89.532096749561902</v>
      </c>
      <c r="X48" s="928">
        <f t="shared" si="16"/>
        <v>94.793794330822863</v>
      </c>
      <c r="Y48" s="928">
        <f t="shared" si="16"/>
        <v>99.92394947255228</v>
      </c>
      <c r="Z48" s="928">
        <f t="shared" si="16"/>
        <v>104.92585073573846</v>
      </c>
      <c r="AA48" s="928">
        <f t="shared" si="16"/>
        <v>109.80270446734501</v>
      </c>
      <c r="AB48" s="928">
        <f t="shared" si="16"/>
        <v>112.5</v>
      </c>
      <c r="AC48" s="928">
        <f t="shared" si="16"/>
        <v>112.5</v>
      </c>
      <c r="AD48" s="928">
        <f t="shared" si="16"/>
        <v>112.5</v>
      </c>
      <c r="AE48" s="928">
        <f t="shared" si="16"/>
        <v>112.5</v>
      </c>
      <c r="AF48" s="928">
        <f t="shared" si="16"/>
        <v>112.5</v>
      </c>
      <c r="AG48" s="928">
        <f t="shared" si="16"/>
        <v>112.5</v>
      </c>
      <c r="AH48" s="928">
        <f t="shared" si="16"/>
        <v>112.5</v>
      </c>
      <c r="AI48" s="928">
        <f t="shared" si="16"/>
        <v>112.5</v>
      </c>
      <c r="AJ48" s="928">
        <f t="shared" si="16"/>
        <v>112.5</v>
      </c>
      <c r="AK48" s="928">
        <f t="shared" si="16"/>
        <v>112.5</v>
      </c>
      <c r="AL48" s="928">
        <f t="shared" si="16"/>
        <v>112.5</v>
      </c>
      <c r="AM48" s="928">
        <f t="shared" si="16"/>
        <v>112.5</v>
      </c>
      <c r="AN48" s="928">
        <f t="shared" si="16"/>
        <v>112.5</v>
      </c>
      <c r="AO48" s="928">
        <f t="shared" si="16"/>
        <v>112.5</v>
      </c>
      <c r="AP48" s="928">
        <f t="shared" si="16"/>
        <v>112.5</v>
      </c>
      <c r="AQ48" s="928">
        <f t="shared" si="16"/>
        <v>112.5</v>
      </c>
      <c r="AR48" s="928">
        <f t="shared" si="16"/>
        <v>112.5</v>
      </c>
      <c r="AS48" s="928">
        <f t="shared" si="16"/>
        <v>112.5</v>
      </c>
      <c r="AT48" s="928">
        <f t="shared" si="16"/>
        <v>112.5</v>
      </c>
    </row>
    <row r="49" spans="1:46" x14ac:dyDescent="0.3">
      <c r="A49" s="927" t="s">
        <v>883</v>
      </c>
      <c r="K49" s="928">
        <f>$K$25*C$29</f>
        <v>7.5</v>
      </c>
      <c r="L49" s="928">
        <f t="shared" ref="L49:AT49" si="17">$K$25*D$29</f>
        <v>14.8125</v>
      </c>
      <c r="M49" s="928">
        <f t="shared" si="17"/>
        <v>21.942187499999999</v>
      </c>
      <c r="N49" s="928">
        <f t="shared" si="17"/>
        <v>28.893632812499998</v>
      </c>
      <c r="O49" s="928">
        <f t="shared" si="17"/>
        <v>35.671291992187491</v>
      </c>
      <c r="P49" s="928">
        <f t="shared" si="17"/>
        <v>42.279509692382803</v>
      </c>
      <c r="Q49" s="928">
        <f t="shared" si="17"/>
        <v>48.722521950073236</v>
      </c>
      <c r="R49" s="928">
        <f t="shared" si="17"/>
        <v>55.004458901321399</v>
      </c>
      <c r="S49" s="928">
        <f t="shared" si="17"/>
        <v>61.129347428788357</v>
      </c>
      <c r="T49" s="928">
        <f t="shared" si="17"/>
        <v>67.101113743068652</v>
      </c>
      <c r="U49" s="928">
        <f t="shared" si="17"/>
        <v>72.92358589949194</v>
      </c>
      <c r="V49" s="928">
        <f t="shared" si="17"/>
        <v>78.600496252004632</v>
      </c>
      <c r="W49" s="928">
        <f t="shared" si="17"/>
        <v>84.135483845704513</v>
      </c>
      <c r="X49" s="928">
        <f t="shared" si="17"/>
        <v>89.532096749561902</v>
      </c>
      <c r="Y49" s="928">
        <f t="shared" si="17"/>
        <v>94.793794330822863</v>
      </c>
      <c r="Z49" s="928">
        <f t="shared" si="17"/>
        <v>99.92394947255228</v>
      </c>
      <c r="AA49" s="928">
        <f t="shared" si="17"/>
        <v>104.92585073573846</v>
      </c>
      <c r="AB49" s="928">
        <f t="shared" si="17"/>
        <v>109.80270446734501</v>
      </c>
      <c r="AC49" s="928">
        <f t="shared" si="17"/>
        <v>112.5</v>
      </c>
      <c r="AD49" s="928">
        <f t="shared" si="17"/>
        <v>112.5</v>
      </c>
      <c r="AE49" s="928">
        <f t="shared" si="17"/>
        <v>112.5</v>
      </c>
      <c r="AF49" s="928">
        <f t="shared" si="17"/>
        <v>112.5</v>
      </c>
      <c r="AG49" s="928">
        <f t="shared" si="17"/>
        <v>112.5</v>
      </c>
      <c r="AH49" s="928">
        <f t="shared" si="17"/>
        <v>112.5</v>
      </c>
      <c r="AI49" s="928">
        <f t="shared" si="17"/>
        <v>112.5</v>
      </c>
      <c r="AJ49" s="928">
        <f t="shared" si="17"/>
        <v>112.5</v>
      </c>
      <c r="AK49" s="928">
        <f t="shared" si="17"/>
        <v>112.5</v>
      </c>
      <c r="AL49" s="928">
        <f t="shared" si="17"/>
        <v>112.5</v>
      </c>
      <c r="AM49" s="928">
        <f t="shared" si="17"/>
        <v>112.5</v>
      </c>
      <c r="AN49" s="928">
        <f t="shared" si="17"/>
        <v>112.5</v>
      </c>
      <c r="AO49" s="928">
        <f t="shared" si="17"/>
        <v>112.5</v>
      </c>
      <c r="AP49" s="928">
        <f t="shared" si="17"/>
        <v>112.5</v>
      </c>
      <c r="AQ49" s="928">
        <f t="shared" si="17"/>
        <v>112.5</v>
      </c>
      <c r="AR49" s="928">
        <f t="shared" si="17"/>
        <v>112.5</v>
      </c>
      <c r="AS49" s="928">
        <f t="shared" si="17"/>
        <v>112.5</v>
      </c>
      <c r="AT49" s="928">
        <f t="shared" si="17"/>
        <v>112.5</v>
      </c>
    </row>
    <row r="50" spans="1:46" x14ac:dyDescent="0.3">
      <c r="A50" s="927" t="s">
        <v>884</v>
      </c>
      <c r="L50" s="928">
        <f>$L$25*C$29</f>
        <v>7.5</v>
      </c>
      <c r="M50" s="928">
        <f t="shared" ref="M50:AT50" si="18">$L$25*D$29</f>
        <v>14.8125</v>
      </c>
      <c r="N50" s="928">
        <f t="shared" si="18"/>
        <v>21.942187499999999</v>
      </c>
      <c r="O50" s="928">
        <f t="shared" si="18"/>
        <v>28.893632812499998</v>
      </c>
      <c r="P50" s="928">
        <f t="shared" si="18"/>
        <v>35.671291992187491</v>
      </c>
      <c r="Q50" s="928">
        <f t="shared" si="18"/>
        <v>42.279509692382803</v>
      </c>
      <c r="R50" s="928">
        <f t="shared" si="18"/>
        <v>48.722521950073236</v>
      </c>
      <c r="S50" s="928">
        <f t="shared" si="18"/>
        <v>55.004458901321399</v>
      </c>
      <c r="T50" s="928">
        <f t="shared" si="18"/>
        <v>61.129347428788357</v>
      </c>
      <c r="U50" s="928">
        <f t="shared" si="18"/>
        <v>67.101113743068652</v>
      </c>
      <c r="V50" s="928">
        <f t="shared" si="18"/>
        <v>72.92358589949194</v>
      </c>
      <c r="W50" s="928">
        <f t="shared" si="18"/>
        <v>78.600496252004632</v>
      </c>
      <c r="X50" s="928">
        <f t="shared" si="18"/>
        <v>84.135483845704513</v>
      </c>
      <c r="Y50" s="928">
        <f t="shared" si="18"/>
        <v>89.532096749561902</v>
      </c>
      <c r="Z50" s="928">
        <f t="shared" si="18"/>
        <v>94.793794330822863</v>
      </c>
      <c r="AA50" s="928">
        <f t="shared" si="18"/>
        <v>99.92394947255228</v>
      </c>
      <c r="AB50" s="928">
        <f t="shared" si="18"/>
        <v>104.92585073573846</v>
      </c>
      <c r="AC50" s="928">
        <f t="shared" si="18"/>
        <v>109.80270446734501</v>
      </c>
      <c r="AD50" s="928">
        <f t="shared" si="18"/>
        <v>112.5</v>
      </c>
      <c r="AE50" s="928">
        <f t="shared" si="18"/>
        <v>112.5</v>
      </c>
      <c r="AF50" s="928">
        <f t="shared" si="18"/>
        <v>112.5</v>
      </c>
      <c r="AG50" s="928">
        <f t="shared" si="18"/>
        <v>112.5</v>
      </c>
      <c r="AH50" s="928">
        <f t="shared" si="18"/>
        <v>112.5</v>
      </c>
      <c r="AI50" s="928">
        <f t="shared" si="18"/>
        <v>112.5</v>
      </c>
      <c r="AJ50" s="928">
        <f t="shared" si="18"/>
        <v>112.5</v>
      </c>
      <c r="AK50" s="928">
        <f t="shared" si="18"/>
        <v>112.5</v>
      </c>
      <c r="AL50" s="928">
        <f t="shared" si="18"/>
        <v>112.5</v>
      </c>
      <c r="AM50" s="928">
        <f t="shared" si="18"/>
        <v>112.5</v>
      </c>
      <c r="AN50" s="928">
        <f t="shared" si="18"/>
        <v>112.5</v>
      </c>
      <c r="AO50" s="928">
        <f t="shared" si="18"/>
        <v>112.5</v>
      </c>
      <c r="AP50" s="928">
        <f t="shared" si="18"/>
        <v>112.5</v>
      </c>
      <c r="AQ50" s="928">
        <f t="shared" si="18"/>
        <v>112.5</v>
      </c>
      <c r="AR50" s="928">
        <f t="shared" si="18"/>
        <v>112.5</v>
      </c>
      <c r="AS50" s="928">
        <f t="shared" si="18"/>
        <v>112.5</v>
      </c>
      <c r="AT50" s="928">
        <f t="shared" si="18"/>
        <v>112.5</v>
      </c>
    </row>
    <row r="51" spans="1:46" x14ac:dyDescent="0.3">
      <c r="A51" s="927" t="s">
        <v>885</v>
      </c>
      <c r="M51" s="928">
        <f>$M$25*C$29</f>
        <v>7.5</v>
      </c>
      <c r="N51" s="928">
        <f t="shared" ref="N51:AT51" si="19">$M$25*D$29</f>
        <v>14.8125</v>
      </c>
      <c r="O51" s="928">
        <f t="shared" si="19"/>
        <v>21.942187499999999</v>
      </c>
      <c r="P51" s="928">
        <f t="shared" si="19"/>
        <v>28.893632812499998</v>
      </c>
      <c r="Q51" s="928">
        <f t="shared" si="19"/>
        <v>35.671291992187491</v>
      </c>
      <c r="R51" s="928">
        <f t="shared" si="19"/>
        <v>42.279509692382803</v>
      </c>
      <c r="S51" s="928">
        <f t="shared" si="19"/>
        <v>48.722521950073236</v>
      </c>
      <c r="T51" s="928">
        <f t="shared" si="19"/>
        <v>55.004458901321399</v>
      </c>
      <c r="U51" s="928">
        <f t="shared" si="19"/>
        <v>61.129347428788357</v>
      </c>
      <c r="V51" s="928">
        <f t="shared" si="19"/>
        <v>67.101113743068652</v>
      </c>
      <c r="W51" s="928">
        <f t="shared" si="19"/>
        <v>72.92358589949194</v>
      </c>
      <c r="X51" s="928">
        <f t="shared" si="19"/>
        <v>78.600496252004632</v>
      </c>
      <c r="Y51" s="928">
        <f t="shared" si="19"/>
        <v>84.135483845704513</v>
      </c>
      <c r="Z51" s="928">
        <f t="shared" si="19"/>
        <v>89.532096749561902</v>
      </c>
      <c r="AA51" s="928">
        <f t="shared" si="19"/>
        <v>94.793794330822863</v>
      </c>
      <c r="AB51" s="928">
        <f t="shared" si="19"/>
        <v>99.92394947255228</v>
      </c>
      <c r="AC51" s="928">
        <f t="shared" si="19"/>
        <v>104.92585073573846</v>
      </c>
      <c r="AD51" s="928">
        <f t="shared" si="19"/>
        <v>109.80270446734501</v>
      </c>
      <c r="AE51" s="928">
        <f t="shared" si="19"/>
        <v>112.5</v>
      </c>
      <c r="AF51" s="928">
        <f t="shared" si="19"/>
        <v>112.5</v>
      </c>
      <c r="AG51" s="928">
        <f t="shared" si="19"/>
        <v>112.5</v>
      </c>
      <c r="AH51" s="928">
        <f t="shared" si="19"/>
        <v>112.5</v>
      </c>
      <c r="AI51" s="928">
        <f t="shared" si="19"/>
        <v>112.5</v>
      </c>
      <c r="AJ51" s="928">
        <f t="shared" si="19"/>
        <v>112.5</v>
      </c>
      <c r="AK51" s="928">
        <f t="shared" si="19"/>
        <v>112.5</v>
      </c>
      <c r="AL51" s="928">
        <f t="shared" si="19"/>
        <v>112.5</v>
      </c>
      <c r="AM51" s="928">
        <f t="shared" si="19"/>
        <v>112.5</v>
      </c>
      <c r="AN51" s="928">
        <f t="shared" si="19"/>
        <v>112.5</v>
      </c>
      <c r="AO51" s="928">
        <f t="shared" si="19"/>
        <v>112.5</v>
      </c>
      <c r="AP51" s="928">
        <f t="shared" si="19"/>
        <v>112.5</v>
      </c>
      <c r="AQ51" s="928">
        <f t="shared" si="19"/>
        <v>112.5</v>
      </c>
      <c r="AR51" s="928">
        <f t="shared" si="19"/>
        <v>112.5</v>
      </c>
      <c r="AS51" s="928">
        <f t="shared" si="19"/>
        <v>112.5</v>
      </c>
      <c r="AT51" s="928">
        <f t="shared" si="19"/>
        <v>112.5</v>
      </c>
    </row>
    <row r="52" spans="1:46" x14ac:dyDescent="0.3">
      <c r="A52" s="927" t="s">
        <v>886</v>
      </c>
      <c r="N52" s="928">
        <f>$N$25*C$29</f>
        <v>7.5</v>
      </c>
      <c r="O52" s="928">
        <f t="shared" ref="O52:AT52" si="20">$N$25*D$29</f>
        <v>14.8125</v>
      </c>
      <c r="P52" s="928">
        <f t="shared" si="20"/>
        <v>21.942187499999999</v>
      </c>
      <c r="Q52" s="928">
        <f t="shared" si="20"/>
        <v>28.893632812499998</v>
      </c>
      <c r="R52" s="928">
        <f t="shared" si="20"/>
        <v>35.671291992187491</v>
      </c>
      <c r="S52" s="928">
        <f t="shared" si="20"/>
        <v>42.279509692382803</v>
      </c>
      <c r="T52" s="928">
        <f t="shared" si="20"/>
        <v>48.722521950073236</v>
      </c>
      <c r="U52" s="928">
        <f t="shared" si="20"/>
        <v>55.004458901321399</v>
      </c>
      <c r="V52" s="928">
        <f t="shared" si="20"/>
        <v>61.129347428788357</v>
      </c>
      <c r="W52" s="928">
        <f t="shared" si="20"/>
        <v>67.101113743068652</v>
      </c>
      <c r="X52" s="928">
        <f t="shared" si="20"/>
        <v>72.92358589949194</v>
      </c>
      <c r="Y52" s="928">
        <f t="shared" si="20"/>
        <v>78.600496252004632</v>
      </c>
      <c r="Z52" s="928">
        <f t="shared" si="20"/>
        <v>84.135483845704513</v>
      </c>
      <c r="AA52" s="928">
        <f t="shared" si="20"/>
        <v>89.532096749561902</v>
      </c>
      <c r="AB52" s="928">
        <f t="shared" si="20"/>
        <v>94.793794330822863</v>
      </c>
      <c r="AC52" s="928">
        <f t="shared" si="20"/>
        <v>99.92394947255228</v>
      </c>
      <c r="AD52" s="928">
        <f t="shared" si="20"/>
        <v>104.92585073573846</v>
      </c>
      <c r="AE52" s="928">
        <f t="shared" si="20"/>
        <v>109.80270446734501</v>
      </c>
      <c r="AF52" s="928">
        <f t="shared" si="20"/>
        <v>112.5</v>
      </c>
      <c r="AG52" s="928">
        <f t="shared" si="20"/>
        <v>112.5</v>
      </c>
      <c r="AH52" s="928">
        <f t="shared" si="20"/>
        <v>112.5</v>
      </c>
      <c r="AI52" s="928">
        <f t="shared" si="20"/>
        <v>112.5</v>
      </c>
      <c r="AJ52" s="928">
        <f t="shared" si="20"/>
        <v>112.5</v>
      </c>
      <c r="AK52" s="928">
        <f t="shared" si="20"/>
        <v>112.5</v>
      </c>
      <c r="AL52" s="928">
        <f t="shared" si="20"/>
        <v>112.5</v>
      </c>
      <c r="AM52" s="928">
        <f t="shared" si="20"/>
        <v>112.5</v>
      </c>
      <c r="AN52" s="928">
        <f t="shared" si="20"/>
        <v>112.5</v>
      </c>
      <c r="AO52" s="928">
        <f t="shared" si="20"/>
        <v>112.5</v>
      </c>
      <c r="AP52" s="928">
        <f t="shared" si="20"/>
        <v>112.5</v>
      </c>
      <c r="AQ52" s="928">
        <f t="shared" si="20"/>
        <v>112.5</v>
      </c>
      <c r="AR52" s="928">
        <f t="shared" si="20"/>
        <v>112.5</v>
      </c>
      <c r="AS52" s="928">
        <f t="shared" si="20"/>
        <v>112.5</v>
      </c>
      <c r="AT52" s="928">
        <f t="shared" si="20"/>
        <v>112.5</v>
      </c>
    </row>
    <row r="53" spans="1:46" x14ac:dyDescent="0.3">
      <c r="A53" s="927" t="s">
        <v>887</v>
      </c>
      <c r="O53" s="928">
        <f>$O$25*C$29</f>
        <v>7.5</v>
      </c>
      <c r="P53" s="928">
        <f t="shared" ref="P53:AT53" si="21">$O$25*D$29</f>
        <v>14.8125</v>
      </c>
      <c r="Q53" s="928">
        <f t="shared" si="21"/>
        <v>21.942187499999999</v>
      </c>
      <c r="R53" s="928">
        <f t="shared" si="21"/>
        <v>28.893632812499998</v>
      </c>
      <c r="S53" s="928">
        <f t="shared" si="21"/>
        <v>35.671291992187491</v>
      </c>
      <c r="T53" s="928">
        <f t="shared" si="21"/>
        <v>42.279509692382803</v>
      </c>
      <c r="U53" s="928">
        <f t="shared" si="21"/>
        <v>48.722521950073236</v>
      </c>
      <c r="V53" s="928">
        <f t="shared" si="21"/>
        <v>55.004458901321399</v>
      </c>
      <c r="W53" s="928">
        <f t="shared" si="21"/>
        <v>61.129347428788357</v>
      </c>
      <c r="X53" s="928">
        <f t="shared" si="21"/>
        <v>67.101113743068652</v>
      </c>
      <c r="Y53" s="928">
        <f t="shared" si="21"/>
        <v>72.92358589949194</v>
      </c>
      <c r="Z53" s="928">
        <f t="shared" si="21"/>
        <v>78.600496252004632</v>
      </c>
      <c r="AA53" s="928">
        <f t="shared" si="21"/>
        <v>84.135483845704513</v>
      </c>
      <c r="AB53" s="928">
        <f t="shared" si="21"/>
        <v>89.532096749561902</v>
      </c>
      <c r="AC53" s="928">
        <f t="shared" si="21"/>
        <v>94.793794330822863</v>
      </c>
      <c r="AD53" s="928">
        <f t="shared" si="21"/>
        <v>99.92394947255228</v>
      </c>
      <c r="AE53" s="928">
        <f t="shared" si="21"/>
        <v>104.92585073573846</v>
      </c>
      <c r="AF53" s="928">
        <f t="shared" si="21"/>
        <v>109.80270446734501</v>
      </c>
      <c r="AG53" s="928">
        <f t="shared" si="21"/>
        <v>112.5</v>
      </c>
      <c r="AH53" s="928">
        <f t="shared" si="21"/>
        <v>112.5</v>
      </c>
      <c r="AI53" s="928">
        <f t="shared" si="21"/>
        <v>112.5</v>
      </c>
      <c r="AJ53" s="928">
        <f t="shared" si="21"/>
        <v>112.5</v>
      </c>
      <c r="AK53" s="928">
        <f t="shared" si="21"/>
        <v>112.5</v>
      </c>
      <c r="AL53" s="928">
        <f t="shared" si="21"/>
        <v>112.5</v>
      </c>
      <c r="AM53" s="928">
        <f t="shared" si="21"/>
        <v>112.5</v>
      </c>
      <c r="AN53" s="928">
        <f t="shared" si="21"/>
        <v>112.5</v>
      </c>
      <c r="AO53" s="928">
        <f t="shared" si="21"/>
        <v>112.5</v>
      </c>
      <c r="AP53" s="928">
        <f t="shared" si="21"/>
        <v>112.5</v>
      </c>
      <c r="AQ53" s="928">
        <f t="shared" si="21"/>
        <v>112.5</v>
      </c>
      <c r="AR53" s="928">
        <f t="shared" si="21"/>
        <v>112.5</v>
      </c>
      <c r="AS53" s="928">
        <f t="shared" si="21"/>
        <v>112.5</v>
      </c>
      <c r="AT53" s="928">
        <f t="shared" si="21"/>
        <v>112.5</v>
      </c>
    </row>
    <row r="54" spans="1:46" x14ac:dyDescent="0.3">
      <c r="A54" s="927" t="s">
        <v>888</v>
      </c>
      <c r="P54" s="928">
        <f>$P$25*C$29</f>
        <v>7.5</v>
      </c>
      <c r="Q54" s="928">
        <f t="shared" ref="Q54:AT54" si="22">$P$25*D$29</f>
        <v>14.8125</v>
      </c>
      <c r="R54" s="928">
        <f t="shared" si="22"/>
        <v>21.942187499999999</v>
      </c>
      <c r="S54" s="928">
        <f t="shared" si="22"/>
        <v>28.893632812499998</v>
      </c>
      <c r="T54" s="928">
        <f t="shared" si="22"/>
        <v>35.671291992187491</v>
      </c>
      <c r="U54" s="928">
        <f t="shared" si="22"/>
        <v>42.279509692382803</v>
      </c>
      <c r="V54" s="928">
        <f t="shared" si="22"/>
        <v>48.722521950073236</v>
      </c>
      <c r="W54" s="928">
        <f t="shared" si="22"/>
        <v>55.004458901321399</v>
      </c>
      <c r="X54" s="928">
        <f t="shared" si="22"/>
        <v>61.129347428788357</v>
      </c>
      <c r="Y54" s="928">
        <f t="shared" si="22"/>
        <v>67.101113743068652</v>
      </c>
      <c r="Z54" s="928">
        <f t="shared" si="22"/>
        <v>72.92358589949194</v>
      </c>
      <c r="AA54" s="928">
        <f t="shared" si="22"/>
        <v>78.600496252004632</v>
      </c>
      <c r="AB54" s="928">
        <f t="shared" si="22"/>
        <v>84.135483845704513</v>
      </c>
      <c r="AC54" s="928">
        <f t="shared" si="22"/>
        <v>89.532096749561902</v>
      </c>
      <c r="AD54" s="928">
        <f t="shared" si="22"/>
        <v>94.793794330822863</v>
      </c>
      <c r="AE54" s="928">
        <f t="shared" si="22"/>
        <v>99.92394947255228</v>
      </c>
      <c r="AF54" s="928">
        <f t="shared" si="22"/>
        <v>104.92585073573846</v>
      </c>
      <c r="AG54" s="928">
        <f t="shared" si="22"/>
        <v>109.80270446734501</v>
      </c>
      <c r="AH54" s="928">
        <f t="shared" si="22"/>
        <v>112.5</v>
      </c>
      <c r="AI54" s="928">
        <f t="shared" si="22"/>
        <v>112.5</v>
      </c>
      <c r="AJ54" s="928">
        <f t="shared" si="22"/>
        <v>112.5</v>
      </c>
      <c r="AK54" s="928">
        <f t="shared" si="22"/>
        <v>112.5</v>
      </c>
      <c r="AL54" s="928">
        <f t="shared" si="22"/>
        <v>112.5</v>
      </c>
      <c r="AM54" s="928">
        <f t="shared" si="22"/>
        <v>112.5</v>
      </c>
      <c r="AN54" s="928">
        <f t="shared" si="22"/>
        <v>112.5</v>
      </c>
      <c r="AO54" s="928">
        <f t="shared" si="22"/>
        <v>112.5</v>
      </c>
      <c r="AP54" s="928">
        <f t="shared" si="22"/>
        <v>112.5</v>
      </c>
      <c r="AQ54" s="928">
        <f t="shared" si="22"/>
        <v>112.5</v>
      </c>
      <c r="AR54" s="928">
        <f t="shared" si="22"/>
        <v>112.5</v>
      </c>
      <c r="AS54" s="928">
        <f t="shared" si="22"/>
        <v>112.5</v>
      </c>
      <c r="AT54" s="928">
        <f t="shared" si="22"/>
        <v>112.5</v>
      </c>
    </row>
    <row r="55" spans="1:46" x14ac:dyDescent="0.3">
      <c r="A55" s="927" t="s">
        <v>1027</v>
      </c>
      <c r="Q55" s="928">
        <f>$Q$25*C$29</f>
        <v>7.5</v>
      </c>
      <c r="R55" s="928">
        <f t="shared" ref="R55:AT55" si="23">$Q$25*D$29</f>
        <v>14.8125</v>
      </c>
      <c r="S55" s="928">
        <f t="shared" si="23"/>
        <v>21.942187499999999</v>
      </c>
      <c r="T55" s="928">
        <f t="shared" si="23"/>
        <v>28.893632812499998</v>
      </c>
      <c r="U55" s="928">
        <f t="shared" si="23"/>
        <v>35.671291992187491</v>
      </c>
      <c r="V55" s="928">
        <f t="shared" si="23"/>
        <v>42.279509692382803</v>
      </c>
      <c r="W55" s="928">
        <f t="shared" si="23"/>
        <v>48.722521950073236</v>
      </c>
      <c r="X55" s="928">
        <f t="shared" si="23"/>
        <v>55.004458901321399</v>
      </c>
      <c r="Y55" s="928">
        <f t="shared" si="23"/>
        <v>61.129347428788357</v>
      </c>
      <c r="Z55" s="928">
        <f t="shared" si="23"/>
        <v>67.101113743068652</v>
      </c>
      <c r="AA55" s="928">
        <f t="shared" si="23"/>
        <v>72.92358589949194</v>
      </c>
      <c r="AB55" s="928">
        <f t="shared" si="23"/>
        <v>78.600496252004632</v>
      </c>
      <c r="AC55" s="928">
        <f t="shared" si="23"/>
        <v>84.135483845704513</v>
      </c>
      <c r="AD55" s="928">
        <f t="shared" si="23"/>
        <v>89.532096749561902</v>
      </c>
      <c r="AE55" s="928">
        <f t="shared" si="23"/>
        <v>94.793794330822863</v>
      </c>
      <c r="AF55" s="928">
        <f t="shared" si="23"/>
        <v>99.92394947255228</v>
      </c>
      <c r="AG55" s="928">
        <f t="shared" si="23"/>
        <v>104.92585073573846</v>
      </c>
      <c r="AH55" s="928">
        <f t="shared" si="23"/>
        <v>109.80270446734501</v>
      </c>
      <c r="AI55" s="928">
        <f t="shared" si="23"/>
        <v>112.5</v>
      </c>
      <c r="AJ55" s="928">
        <f t="shared" si="23"/>
        <v>112.5</v>
      </c>
      <c r="AK55" s="928">
        <f t="shared" si="23"/>
        <v>112.5</v>
      </c>
      <c r="AL55" s="928">
        <f t="shared" si="23"/>
        <v>112.5</v>
      </c>
      <c r="AM55" s="928">
        <f t="shared" si="23"/>
        <v>112.5</v>
      </c>
      <c r="AN55" s="928">
        <f t="shared" si="23"/>
        <v>112.5</v>
      </c>
      <c r="AO55" s="928">
        <f t="shared" si="23"/>
        <v>112.5</v>
      </c>
      <c r="AP55" s="928">
        <f t="shared" si="23"/>
        <v>112.5</v>
      </c>
      <c r="AQ55" s="928">
        <f t="shared" si="23"/>
        <v>112.5</v>
      </c>
      <c r="AR55" s="928">
        <f t="shared" si="23"/>
        <v>112.5</v>
      </c>
      <c r="AS55" s="928">
        <f t="shared" si="23"/>
        <v>112.5</v>
      </c>
      <c r="AT55" s="928">
        <f t="shared" si="23"/>
        <v>112.5</v>
      </c>
    </row>
    <row r="56" spans="1:46" x14ac:dyDescent="0.3">
      <c r="A56" s="927" t="s">
        <v>1028</v>
      </c>
      <c r="R56" s="928">
        <f>$R$25*C$29</f>
        <v>7.5</v>
      </c>
      <c r="S56" s="928">
        <f t="shared" ref="S56:AT56" si="24">$R$25*D$29</f>
        <v>14.8125</v>
      </c>
      <c r="T56" s="928">
        <f t="shared" si="24"/>
        <v>21.942187499999999</v>
      </c>
      <c r="U56" s="928">
        <f t="shared" si="24"/>
        <v>28.893632812499998</v>
      </c>
      <c r="V56" s="928">
        <f t="shared" si="24"/>
        <v>35.671291992187491</v>
      </c>
      <c r="W56" s="928">
        <f t="shared" si="24"/>
        <v>42.279509692382803</v>
      </c>
      <c r="X56" s="928">
        <f t="shared" si="24"/>
        <v>48.722521950073236</v>
      </c>
      <c r="Y56" s="928">
        <f t="shared" si="24"/>
        <v>55.004458901321399</v>
      </c>
      <c r="Z56" s="928">
        <f t="shared" si="24"/>
        <v>61.129347428788357</v>
      </c>
      <c r="AA56" s="928">
        <f t="shared" si="24"/>
        <v>67.101113743068652</v>
      </c>
      <c r="AB56" s="928">
        <f t="shared" si="24"/>
        <v>72.92358589949194</v>
      </c>
      <c r="AC56" s="928">
        <f t="shared" si="24"/>
        <v>78.600496252004632</v>
      </c>
      <c r="AD56" s="928">
        <f t="shared" si="24"/>
        <v>84.135483845704513</v>
      </c>
      <c r="AE56" s="928">
        <f t="shared" si="24"/>
        <v>89.532096749561902</v>
      </c>
      <c r="AF56" s="928">
        <f t="shared" si="24"/>
        <v>94.793794330822863</v>
      </c>
      <c r="AG56" s="928">
        <f t="shared" si="24"/>
        <v>99.92394947255228</v>
      </c>
      <c r="AH56" s="928">
        <f t="shared" si="24"/>
        <v>104.92585073573846</v>
      </c>
      <c r="AI56" s="928">
        <f t="shared" si="24"/>
        <v>109.80270446734501</v>
      </c>
      <c r="AJ56" s="928">
        <f t="shared" si="24"/>
        <v>112.5</v>
      </c>
      <c r="AK56" s="928">
        <f t="shared" si="24"/>
        <v>112.5</v>
      </c>
      <c r="AL56" s="928">
        <f t="shared" si="24"/>
        <v>112.5</v>
      </c>
      <c r="AM56" s="928">
        <f t="shared" si="24"/>
        <v>112.5</v>
      </c>
      <c r="AN56" s="928">
        <f t="shared" si="24"/>
        <v>112.5</v>
      </c>
      <c r="AO56" s="928">
        <f t="shared" si="24"/>
        <v>112.5</v>
      </c>
      <c r="AP56" s="928">
        <f t="shared" si="24"/>
        <v>112.5</v>
      </c>
      <c r="AQ56" s="928">
        <f t="shared" si="24"/>
        <v>112.5</v>
      </c>
      <c r="AR56" s="928">
        <f t="shared" si="24"/>
        <v>112.5</v>
      </c>
      <c r="AS56" s="928">
        <f t="shared" si="24"/>
        <v>112.5</v>
      </c>
      <c r="AT56" s="928">
        <f t="shared" si="24"/>
        <v>112.5</v>
      </c>
    </row>
    <row r="57" spans="1:46" x14ac:dyDescent="0.3">
      <c r="A57" s="927" t="s">
        <v>1047</v>
      </c>
      <c r="S57" s="928">
        <f>$S$25*C$29</f>
        <v>7.5</v>
      </c>
      <c r="T57" s="928">
        <f t="shared" ref="T57:AT57" si="25">$S$25*D$29</f>
        <v>14.8125</v>
      </c>
      <c r="U57" s="928">
        <f t="shared" si="25"/>
        <v>21.942187499999999</v>
      </c>
      <c r="V57" s="928">
        <f t="shared" si="25"/>
        <v>28.893632812499998</v>
      </c>
      <c r="W57" s="928">
        <f t="shared" si="25"/>
        <v>35.671291992187491</v>
      </c>
      <c r="X57" s="928">
        <f t="shared" si="25"/>
        <v>42.279509692382803</v>
      </c>
      <c r="Y57" s="928">
        <f t="shared" si="25"/>
        <v>48.722521950073236</v>
      </c>
      <c r="Z57" s="928">
        <f t="shared" si="25"/>
        <v>55.004458901321399</v>
      </c>
      <c r="AA57" s="928">
        <f t="shared" si="25"/>
        <v>61.129347428788357</v>
      </c>
      <c r="AB57" s="928">
        <f t="shared" si="25"/>
        <v>67.101113743068652</v>
      </c>
      <c r="AC57" s="928">
        <f t="shared" si="25"/>
        <v>72.92358589949194</v>
      </c>
      <c r="AD57" s="928">
        <f t="shared" si="25"/>
        <v>78.600496252004632</v>
      </c>
      <c r="AE57" s="928">
        <f t="shared" si="25"/>
        <v>84.135483845704513</v>
      </c>
      <c r="AF57" s="928">
        <f t="shared" si="25"/>
        <v>89.532096749561902</v>
      </c>
      <c r="AG57" s="928">
        <f t="shared" si="25"/>
        <v>94.793794330822863</v>
      </c>
      <c r="AH57" s="928">
        <f t="shared" si="25"/>
        <v>99.92394947255228</v>
      </c>
      <c r="AI57" s="928">
        <f t="shared" si="25"/>
        <v>104.92585073573846</v>
      </c>
      <c r="AJ57" s="928">
        <f t="shared" si="25"/>
        <v>109.80270446734501</v>
      </c>
      <c r="AK57" s="928">
        <f t="shared" si="25"/>
        <v>112.5</v>
      </c>
      <c r="AL57" s="928">
        <f t="shared" si="25"/>
        <v>112.5</v>
      </c>
      <c r="AM57" s="928">
        <f t="shared" si="25"/>
        <v>112.5</v>
      </c>
      <c r="AN57" s="928">
        <f t="shared" si="25"/>
        <v>112.5</v>
      </c>
      <c r="AO57" s="928">
        <f t="shared" si="25"/>
        <v>112.5</v>
      </c>
      <c r="AP57" s="928">
        <f t="shared" si="25"/>
        <v>112.5</v>
      </c>
      <c r="AQ57" s="928">
        <f t="shared" si="25"/>
        <v>112.5</v>
      </c>
      <c r="AR57" s="928">
        <f t="shared" si="25"/>
        <v>112.5</v>
      </c>
      <c r="AS57" s="928">
        <f t="shared" si="25"/>
        <v>112.5</v>
      </c>
      <c r="AT57" s="928">
        <f t="shared" si="25"/>
        <v>112.5</v>
      </c>
    </row>
    <row r="58" spans="1:46" x14ac:dyDescent="0.3">
      <c r="A58" s="927" t="s">
        <v>1048</v>
      </c>
      <c r="T58" s="928">
        <f>$T$25*C$29</f>
        <v>7.5</v>
      </c>
      <c r="U58" s="928">
        <f t="shared" ref="U58:AT58" si="26">$T$25*D$29</f>
        <v>14.8125</v>
      </c>
      <c r="V58" s="928">
        <f t="shared" si="26"/>
        <v>21.942187499999999</v>
      </c>
      <c r="W58" s="928">
        <f t="shared" si="26"/>
        <v>28.893632812499998</v>
      </c>
      <c r="X58" s="928">
        <f t="shared" si="26"/>
        <v>35.671291992187491</v>
      </c>
      <c r="Y58" s="928">
        <f t="shared" si="26"/>
        <v>42.279509692382803</v>
      </c>
      <c r="Z58" s="928">
        <f t="shared" si="26"/>
        <v>48.722521950073236</v>
      </c>
      <c r="AA58" s="928">
        <f t="shared" si="26"/>
        <v>55.004458901321399</v>
      </c>
      <c r="AB58" s="928">
        <f t="shared" si="26"/>
        <v>61.129347428788357</v>
      </c>
      <c r="AC58" s="928">
        <f t="shared" si="26"/>
        <v>67.101113743068652</v>
      </c>
      <c r="AD58" s="928">
        <f t="shared" si="26"/>
        <v>72.92358589949194</v>
      </c>
      <c r="AE58" s="928">
        <f t="shared" si="26"/>
        <v>78.600496252004632</v>
      </c>
      <c r="AF58" s="928">
        <f t="shared" si="26"/>
        <v>84.135483845704513</v>
      </c>
      <c r="AG58" s="928">
        <f t="shared" si="26"/>
        <v>89.532096749561902</v>
      </c>
      <c r="AH58" s="928">
        <f t="shared" si="26"/>
        <v>94.793794330822863</v>
      </c>
      <c r="AI58" s="928">
        <f t="shared" si="26"/>
        <v>99.92394947255228</v>
      </c>
      <c r="AJ58" s="928">
        <f t="shared" si="26"/>
        <v>104.92585073573846</v>
      </c>
      <c r="AK58" s="928">
        <f t="shared" si="26"/>
        <v>109.80270446734501</v>
      </c>
      <c r="AL58" s="928">
        <f t="shared" si="26"/>
        <v>112.5</v>
      </c>
      <c r="AM58" s="928">
        <f t="shared" si="26"/>
        <v>112.5</v>
      </c>
      <c r="AN58" s="928">
        <f t="shared" si="26"/>
        <v>112.5</v>
      </c>
      <c r="AO58" s="928">
        <f t="shared" si="26"/>
        <v>112.5</v>
      </c>
      <c r="AP58" s="928">
        <f t="shared" si="26"/>
        <v>112.5</v>
      </c>
      <c r="AQ58" s="928">
        <f t="shared" si="26"/>
        <v>112.5</v>
      </c>
      <c r="AR58" s="928">
        <f t="shared" si="26"/>
        <v>112.5</v>
      </c>
      <c r="AS58" s="928">
        <f t="shared" si="26"/>
        <v>112.5</v>
      </c>
      <c r="AT58" s="928">
        <f t="shared" si="26"/>
        <v>112.5</v>
      </c>
    </row>
    <row r="59" spans="1:46" x14ac:dyDescent="0.3">
      <c r="A59" s="927" t="s">
        <v>1049</v>
      </c>
      <c r="U59" s="928">
        <f>$U$25*C$29</f>
        <v>7.5</v>
      </c>
      <c r="V59" s="928">
        <f t="shared" ref="V59:AT59" si="27">$U$25*D$29</f>
        <v>14.8125</v>
      </c>
      <c r="W59" s="928">
        <f t="shared" si="27"/>
        <v>21.942187499999999</v>
      </c>
      <c r="X59" s="928">
        <f t="shared" si="27"/>
        <v>28.893632812499998</v>
      </c>
      <c r="Y59" s="928">
        <f t="shared" si="27"/>
        <v>35.671291992187491</v>
      </c>
      <c r="Z59" s="928">
        <f t="shared" si="27"/>
        <v>42.279509692382803</v>
      </c>
      <c r="AA59" s="928">
        <f t="shared" si="27"/>
        <v>48.722521950073236</v>
      </c>
      <c r="AB59" s="928">
        <f t="shared" si="27"/>
        <v>55.004458901321399</v>
      </c>
      <c r="AC59" s="928">
        <f t="shared" si="27"/>
        <v>61.129347428788357</v>
      </c>
      <c r="AD59" s="928">
        <f t="shared" si="27"/>
        <v>67.101113743068652</v>
      </c>
      <c r="AE59" s="928">
        <f t="shared" si="27"/>
        <v>72.92358589949194</v>
      </c>
      <c r="AF59" s="928">
        <f t="shared" si="27"/>
        <v>78.600496252004632</v>
      </c>
      <c r="AG59" s="928">
        <f t="shared" si="27"/>
        <v>84.135483845704513</v>
      </c>
      <c r="AH59" s="928">
        <f t="shared" si="27"/>
        <v>89.532096749561902</v>
      </c>
      <c r="AI59" s="928">
        <f t="shared" si="27"/>
        <v>94.793794330822863</v>
      </c>
      <c r="AJ59" s="928">
        <f t="shared" si="27"/>
        <v>99.92394947255228</v>
      </c>
      <c r="AK59" s="928">
        <f t="shared" si="27"/>
        <v>104.92585073573846</v>
      </c>
      <c r="AL59" s="928">
        <f t="shared" si="27"/>
        <v>109.80270446734501</v>
      </c>
      <c r="AM59" s="928">
        <f t="shared" si="27"/>
        <v>112.5</v>
      </c>
      <c r="AN59" s="928">
        <f t="shared" si="27"/>
        <v>112.5</v>
      </c>
      <c r="AO59" s="928">
        <f t="shared" si="27"/>
        <v>112.5</v>
      </c>
      <c r="AP59" s="928">
        <f t="shared" si="27"/>
        <v>112.5</v>
      </c>
      <c r="AQ59" s="928">
        <f t="shared" si="27"/>
        <v>112.5</v>
      </c>
      <c r="AR59" s="928">
        <f t="shared" si="27"/>
        <v>112.5</v>
      </c>
      <c r="AS59" s="928">
        <f t="shared" si="27"/>
        <v>112.5</v>
      </c>
      <c r="AT59" s="928">
        <f t="shared" si="27"/>
        <v>112.5</v>
      </c>
    </row>
    <row r="60" spans="1:46" x14ac:dyDescent="0.3">
      <c r="A60" s="927" t="s">
        <v>1050</v>
      </c>
      <c r="V60" s="928">
        <f>$V$25*C$29</f>
        <v>7.5</v>
      </c>
      <c r="W60" s="928">
        <f t="shared" ref="W60:AT60" si="28">$V$25*D$29</f>
        <v>14.8125</v>
      </c>
      <c r="X60" s="928">
        <f t="shared" si="28"/>
        <v>21.942187499999999</v>
      </c>
      <c r="Y60" s="928">
        <f t="shared" si="28"/>
        <v>28.893632812499998</v>
      </c>
      <c r="Z60" s="928">
        <f t="shared" si="28"/>
        <v>35.671291992187491</v>
      </c>
      <c r="AA60" s="928">
        <f t="shared" si="28"/>
        <v>42.279509692382803</v>
      </c>
      <c r="AB60" s="928">
        <f t="shared" si="28"/>
        <v>48.722521950073236</v>
      </c>
      <c r="AC60" s="928">
        <f t="shared" si="28"/>
        <v>55.004458901321399</v>
      </c>
      <c r="AD60" s="928">
        <f t="shared" si="28"/>
        <v>61.129347428788357</v>
      </c>
      <c r="AE60" s="928">
        <f t="shared" si="28"/>
        <v>67.101113743068652</v>
      </c>
      <c r="AF60" s="928">
        <f t="shared" si="28"/>
        <v>72.92358589949194</v>
      </c>
      <c r="AG60" s="928">
        <f t="shared" si="28"/>
        <v>78.600496252004632</v>
      </c>
      <c r="AH60" s="928">
        <f t="shared" si="28"/>
        <v>84.135483845704513</v>
      </c>
      <c r="AI60" s="928">
        <f t="shared" si="28"/>
        <v>89.532096749561902</v>
      </c>
      <c r="AJ60" s="928">
        <f t="shared" si="28"/>
        <v>94.793794330822863</v>
      </c>
      <c r="AK60" s="928">
        <f t="shared" si="28"/>
        <v>99.92394947255228</v>
      </c>
      <c r="AL60" s="928">
        <f t="shared" si="28"/>
        <v>104.92585073573846</v>
      </c>
      <c r="AM60" s="928">
        <f t="shared" si="28"/>
        <v>109.80270446734501</v>
      </c>
      <c r="AN60" s="928">
        <f t="shared" si="28"/>
        <v>112.5</v>
      </c>
      <c r="AO60" s="928">
        <f t="shared" si="28"/>
        <v>112.5</v>
      </c>
      <c r="AP60" s="928">
        <f t="shared" si="28"/>
        <v>112.5</v>
      </c>
      <c r="AQ60" s="928">
        <f t="shared" si="28"/>
        <v>112.5</v>
      </c>
      <c r="AR60" s="928">
        <f t="shared" si="28"/>
        <v>112.5</v>
      </c>
      <c r="AS60" s="928">
        <f t="shared" si="28"/>
        <v>112.5</v>
      </c>
      <c r="AT60" s="928">
        <f t="shared" si="28"/>
        <v>112.5</v>
      </c>
    </row>
    <row r="61" spans="1:46" x14ac:dyDescent="0.3">
      <c r="A61" s="927" t="s">
        <v>1051</v>
      </c>
      <c r="W61" s="928">
        <f>$W$25*C$29</f>
        <v>7.5</v>
      </c>
      <c r="X61" s="928">
        <f t="shared" ref="X61:AT61" si="29">$W$25*D$29</f>
        <v>14.8125</v>
      </c>
      <c r="Y61" s="928">
        <f t="shared" si="29"/>
        <v>21.942187499999999</v>
      </c>
      <c r="Z61" s="928">
        <f t="shared" si="29"/>
        <v>28.893632812499998</v>
      </c>
      <c r="AA61" s="928">
        <f t="shared" si="29"/>
        <v>35.671291992187491</v>
      </c>
      <c r="AB61" s="928">
        <f t="shared" si="29"/>
        <v>42.279509692382803</v>
      </c>
      <c r="AC61" s="928">
        <f t="shared" si="29"/>
        <v>48.722521950073236</v>
      </c>
      <c r="AD61" s="928">
        <f t="shared" si="29"/>
        <v>55.004458901321399</v>
      </c>
      <c r="AE61" s="928">
        <f t="shared" si="29"/>
        <v>61.129347428788357</v>
      </c>
      <c r="AF61" s="928">
        <f t="shared" si="29"/>
        <v>67.101113743068652</v>
      </c>
      <c r="AG61" s="928">
        <f t="shared" si="29"/>
        <v>72.92358589949194</v>
      </c>
      <c r="AH61" s="928">
        <f t="shared" si="29"/>
        <v>78.600496252004632</v>
      </c>
      <c r="AI61" s="928">
        <f t="shared" si="29"/>
        <v>84.135483845704513</v>
      </c>
      <c r="AJ61" s="928">
        <f t="shared" si="29"/>
        <v>89.532096749561902</v>
      </c>
      <c r="AK61" s="928">
        <f t="shared" si="29"/>
        <v>94.793794330822863</v>
      </c>
      <c r="AL61" s="928">
        <f t="shared" si="29"/>
        <v>99.92394947255228</v>
      </c>
      <c r="AM61" s="928">
        <f t="shared" si="29"/>
        <v>104.92585073573846</v>
      </c>
      <c r="AN61" s="928">
        <f t="shared" si="29"/>
        <v>109.80270446734501</v>
      </c>
      <c r="AO61" s="928">
        <f t="shared" si="29"/>
        <v>112.5</v>
      </c>
      <c r="AP61" s="928">
        <f t="shared" si="29"/>
        <v>112.5</v>
      </c>
      <c r="AQ61" s="928">
        <f t="shared" si="29"/>
        <v>112.5</v>
      </c>
      <c r="AR61" s="928">
        <f t="shared" si="29"/>
        <v>112.5</v>
      </c>
      <c r="AS61" s="928">
        <f t="shared" si="29"/>
        <v>112.5</v>
      </c>
      <c r="AT61" s="928">
        <f t="shared" si="29"/>
        <v>112.5</v>
      </c>
    </row>
    <row r="62" spans="1:46" x14ac:dyDescent="0.3">
      <c r="A62" s="927" t="s">
        <v>1052</v>
      </c>
      <c r="X62" s="928">
        <f>$X$25*C$29</f>
        <v>7.5</v>
      </c>
      <c r="Y62" s="928">
        <f t="shared" ref="Y62:AT62" si="30">$X$25*D$29</f>
        <v>14.8125</v>
      </c>
      <c r="Z62" s="928">
        <f t="shared" si="30"/>
        <v>21.942187499999999</v>
      </c>
      <c r="AA62" s="928">
        <f t="shared" si="30"/>
        <v>28.893632812499998</v>
      </c>
      <c r="AB62" s="928">
        <f t="shared" si="30"/>
        <v>35.671291992187491</v>
      </c>
      <c r="AC62" s="928">
        <f t="shared" si="30"/>
        <v>42.279509692382803</v>
      </c>
      <c r="AD62" s="928">
        <f t="shared" si="30"/>
        <v>48.722521950073236</v>
      </c>
      <c r="AE62" s="928">
        <f t="shared" si="30"/>
        <v>55.004458901321399</v>
      </c>
      <c r="AF62" s="928">
        <f t="shared" si="30"/>
        <v>61.129347428788357</v>
      </c>
      <c r="AG62" s="928">
        <f t="shared" si="30"/>
        <v>67.101113743068652</v>
      </c>
      <c r="AH62" s="928">
        <f t="shared" si="30"/>
        <v>72.92358589949194</v>
      </c>
      <c r="AI62" s="928">
        <f t="shared" si="30"/>
        <v>78.600496252004632</v>
      </c>
      <c r="AJ62" s="928">
        <f t="shared" si="30"/>
        <v>84.135483845704513</v>
      </c>
      <c r="AK62" s="928">
        <f t="shared" si="30"/>
        <v>89.532096749561902</v>
      </c>
      <c r="AL62" s="928">
        <f t="shared" si="30"/>
        <v>94.793794330822863</v>
      </c>
      <c r="AM62" s="928">
        <f t="shared" si="30"/>
        <v>99.92394947255228</v>
      </c>
      <c r="AN62" s="928">
        <f t="shared" si="30"/>
        <v>104.92585073573846</v>
      </c>
      <c r="AO62" s="928">
        <f t="shared" si="30"/>
        <v>109.80270446734501</v>
      </c>
      <c r="AP62" s="928">
        <f t="shared" si="30"/>
        <v>112.5</v>
      </c>
      <c r="AQ62" s="928">
        <f t="shared" si="30"/>
        <v>112.5</v>
      </c>
      <c r="AR62" s="928">
        <f t="shared" si="30"/>
        <v>112.5</v>
      </c>
      <c r="AS62" s="928">
        <f t="shared" si="30"/>
        <v>112.5</v>
      </c>
      <c r="AT62" s="928">
        <f t="shared" si="30"/>
        <v>112.5</v>
      </c>
    </row>
    <row r="63" spans="1:46" x14ac:dyDescent="0.3">
      <c r="A63" s="927" t="s">
        <v>1053</v>
      </c>
      <c r="Y63" s="928">
        <f>$Y$25*C$29</f>
        <v>7.5</v>
      </c>
      <c r="Z63" s="928">
        <f t="shared" ref="Z63:AT63" si="31">$Y$25*D$29</f>
        <v>14.8125</v>
      </c>
      <c r="AA63" s="928">
        <f t="shared" si="31"/>
        <v>21.942187499999999</v>
      </c>
      <c r="AB63" s="928">
        <f t="shared" si="31"/>
        <v>28.893632812499998</v>
      </c>
      <c r="AC63" s="928">
        <f t="shared" si="31"/>
        <v>35.671291992187491</v>
      </c>
      <c r="AD63" s="928">
        <f t="shared" si="31"/>
        <v>42.279509692382803</v>
      </c>
      <c r="AE63" s="928">
        <f t="shared" si="31"/>
        <v>48.722521950073236</v>
      </c>
      <c r="AF63" s="928">
        <f t="shared" si="31"/>
        <v>55.004458901321399</v>
      </c>
      <c r="AG63" s="928">
        <f t="shared" si="31"/>
        <v>61.129347428788357</v>
      </c>
      <c r="AH63" s="928">
        <f t="shared" si="31"/>
        <v>67.101113743068652</v>
      </c>
      <c r="AI63" s="928">
        <f t="shared" si="31"/>
        <v>72.92358589949194</v>
      </c>
      <c r="AJ63" s="928">
        <f t="shared" si="31"/>
        <v>78.600496252004632</v>
      </c>
      <c r="AK63" s="928">
        <f t="shared" si="31"/>
        <v>84.135483845704513</v>
      </c>
      <c r="AL63" s="928">
        <f t="shared" si="31"/>
        <v>89.532096749561902</v>
      </c>
      <c r="AM63" s="928">
        <f t="shared" si="31"/>
        <v>94.793794330822863</v>
      </c>
      <c r="AN63" s="928">
        <f t="shared" si="31"/>
        <v>99.92394947255228</v>
      </c>
      <c r="AO63" s="928">
        <f t="shared" si="31"/>
        <v>104.92585073573846</v>
      </c>
      <c r="AP63" s="928">
        <f t="shared" si="31"/>
        <v>109.80270446734501</v>
      </c>
      <c r="AQ63" s="928">
        <f t="shared" si="31"/>
        <v>112.5</v>
      </c>
      <c r="AR63" s="928">
        <f t="shared" si="31"/>
        <v>112.5</v>
      </c>
      <c r="AS63" s="928">
        <f t="shared" si="31"/>
        <v>112.5</v>
      </c>
      <c r="AT63" s="928">
        <f t="shared" si="31"/>
        <v>112.5</v>
      </c>
    </row>
    <row r="64" spans="1:46" x14ac:dyDescent="0.3">
      <c r="A64" s="927" t="s">
        <v>1054</v>
      </c>
      <c r="Z64" s="928">
        <f>$Z$25*C$29</f>
        <v>7.5</v>
      </c>
      <c r="AA64" s="928">
        <f t="shared" ref="AA64:AT64" si="32">$Z$25*D$29</f>
        <v>14.8125</v>
      </c>
      <c r="AB64" s="928">
        <f t="shared" si="32"/>
        <v>21.942187499999999</v>
      </c>
      <c r="AC64" s="928">
        <f t="shared" si="32"/>
        <v>28.893632812499998</v>
      </c>
      <c r="AD64" s="928">
        <f t="shared" si="32"/>
        <v>35.671291992187491</v>
      </c>
      <c r="AE64" s="928">
        <f t="shared" si="32"/>
        <v>42.279509692382803</v>
      </c>
      <c r="AF64" s="928">
        <f t="shared" si="32"/>
        <v>48.722521950073236</v>
      </c>
      <c r="AG64" s="928">
        <f t="shared" si="32"/>
        <v>55.004458901321399</v>
      </c>
      <c r="AH64" s="928">
        <f t="shared" si="32"/>
        <v>61.129347428788357</v>
      </c>
      <c r="AI64" s="928">
        <f t="shared" si="32"/>
        <v>67.101113743068652</v>
      </c>
      <c r="AJ64" s="928">
        <f t="shared" si="32"/>
        <v>72.92358589949194</v>
      </c>
      <c r="AK64" s="928">
        <f t="shared" si="32"/>
        <v>78.600496252004632</v>
      </c>
      <c r="AL64" s="928">
        <f t="shared" si="32"/>
        <v>84.135483845704513</v>
      </c>
      <c r="AM64" s="928">
        <f t="shared" si="32"/>
        <v>89.532096749561902</v>
      </c>
      <c r="AN64" s="928">
        <f t="shared" si="32"/>
        <v>94.793794330822863</v>
      </c>
      <c r="AO64" s="928">
        <f t="shared" si="32"/>
        <v>99.92394947255228</v>
      </c>
      <c r="AP64" s="928">
        <f t="shared" si="32"/>
        <v>104.92585073573846</v>
      </c>
      <c r="AQ64" s="928">
        <f t="shared" si="32"/>
        <v>109.80270446734501</v>
      </c>
      <c r="AR64" s="928">
        <f t="shared" si="32"/>
        <v>112.5</v>
      </c>
      <c r="AS64" s="928">
        <f t="shared" si="32"/>
        <v>112.5</v>
      </c>
      <c r="AT64" s="928">
        <f t="shared" si="32"/>
        <v>112.5</v>
      </c>
    </row>
    <row r="65" spans="1:46" x14ac:dyDescent="0.3">
      <c r="A65" s="927" t="s">
        <v>1055</v>
      </c>
      <c r="AA65" s="928">
        <f>$AA$25*C$29</f>
        <v>7.5</v>
      </c>
      <c r="AB65" s="928">
        <f t="shared" ref="AB65:AT65" si="33">$AA$25*D$29</f>
        <v>14.8125</v>
      </c>
      <c r="AC65" s="928">
        <f t="shared" si="33"/>
        <v>21.942187499999999</v>
      </c>
      <c r="AD65" s="928">
        <f t="shared" si="33"/>
        <v>28.893632812499998</v>
      </c>
      <c r="AE65" s="928">
        <f t="shared" si="33"/>
        <v>35.671291992187491</v>
      </c>
      <c r="AF65" s="928">
        <f t="shared" si="33"/>
        <v>42.279509692382803</v>
      </c>
      <c r="AG65" s="928">
        <f t="shared" si="33"/>
        <v>48.722521950073236</v>
      </c>
      <c r="AH65" s="928">
        <f t="shared" si="33"/>
        <v>55.004458901321399</v>
      </c>
      <c r="AI65" s="928">
        <f t="shared" si="33"/>
        <v>61.129347428788357</v>
      </c>
      <c r="AJ65" s="928">
        <f t="shared" si="33"/>
        <v>67.101113743068652</v>
      </c>
      <c r="AK65" s="928">
        <f t="shared" si="33"/>
        <v>72.92358589949194</v>
      </c>
      <c r="AL65" s="928">
        <f t="shared" si="33"/>
        <v>78.600496252004632</v>
      </c>
      <c r="AM65" s="928">
        <f t="shared" si="33"/>
        <v>84.135483845704513</v>
      </c>
      <c r="AN65" s="928">
        <f t="shared" si="33"/>
        <v>89.532096749561902</v>
      </c>
      <c r="AO65" s="928">
        <f t="shared" si="33"/>
        <v>94.793794330822863</v>
      </c>
      <c r="AP65" s="928">
        <f t="shared" si="33"/>
        <v>99.92394947255228</v>
      </c>
      <c r="AQ65" s="928">
        <f t="shared" si="33"/>
        <v>104.92585073573846</v>
      </c>
      <c r="AR65" s="928">
        <f t="shared" si="33"/>
        <v>109.80270446734501</v>
      </c>
      <c r="AS65" s="928">
        <f t="shared" si="33"/>
        <v>112.5</v>
      </c>
      <c r="AT65" s="928">
        <f t="shared" si="33"/>
        <v>112.5</v>
      </c>
    </row>
    <row r="66" spans="1:46" x14ac:dyDescent="0.3">
      <c r="A66" s="927" t="s">
        <v>1056</v>
      </c>
      <c r="AB66" s="928">
        <f>$AB$25*C$29</f>
        <v>7.5</v>
      </c>
      <c r="AC66" s="928">
        <f t="shared" ref="AC66:AT66" si="34">$AB$25*D$29</f>
        <v>14.8125</v>
      </c>
      <c r="AD66" s="928">
        <f t="shared" si="34"/>
        <v>21.942187499999999</v>
      </c>
      <c r="AE66" s="928">
        <f t="shared" si="34"/>
        <v>28.893632812499998</v>
      </c>
      <c r="AF66" s="928">
        <f t="shared" si="34"/>
        <v>35.671291992187491</v>
      </c>
      <c r="AG66" s="928">
        <f t="shared" si="34"/>
        <v>42.279509692382803</v>
      </c>
      <c r="AH66" s="928">
        <f t="shared" si="34"/>
        <v>48.722521950073236</v>
      </c>
      <c r="AI66" s="928">
        <f t="shared" si="34"/>
        <v>55.004458901321399</v>
      </c>
      <c r="AJ66" s="928">
        <f t="shared" si="34"/>
        <v>61.129347428788357</v>
      </c>
      <c r="AK66" s="928">
        <f t="shared" si="34"/>
        <v>67.101113743068652</v>
      </c>
      <c r="AL66" s="928">
        <f t="shared" si="34"/>
        <v>72.92358589949194</v>
      </c>
      <c r="AM66" s="928">
        <f t="shared" si="34"/>
        <v>78.600496252004632</v>
      </c>
      <c r="AN66" s="928">
        <f t="shared" si="34"/>
        <v>84.135483845704513</v>
      </c>
      <c r="AO66" s="928">
        <f t="shared" si="34"/>
        <v>89.532096749561902</v>
      </c>
      <c r="AP66" s="928">
        <f t="shared" si="34"/>
        <v>94.793794330822863</v>
      </c>
      <c r="AQ66" s="928">
        <f t="shared" si="34"/>
        <v>99.92394947255228</v>
      </c>
      <c r="AR66" s="928">
        <f t="shared" si="34"/>
        <v>104.92585073573846</v>
      </c>
      <c r="AS66" s="928">
        <f t="shared" si="34"/>
        <v>109.80270446734501</v>
      </c>
      <c r="AT66" s="928">
        <f t="shared" si="34"/>
        <v>112.5</v>
      </c>
    </row>
    <row r="67" spans="1:46" x14ac:dyDescent="0.3">
      <c r="A67" s="927" t="s">
        <v>1057</v>
      </c>
      <c r="AC67" s="928">
        <f>$AC$25*C$29</f>
        <v>7.5</v>
      </c>
      <c r="AD67" s="928">
        <f t="shared" ref="AD67:AT67" si="35">$AC$25*D$29</f>
        <v>14.8125</v>
      </c>
      <c r="AE67" s="928">
        <f t="shared" si="35"/>
        <v>21.942187499999999</v>
      </c>
      <c r="AF67" s="928">
        <f t="shared" si="35"/>
        <v>28.893632812499998</v>
      </c>
      <c r="AG67" s="928">
        <f t="shared" si="35"/>
        <v>35.671291992187491</v>
      </c>
      <c r="AH67" s="928">
        <f t="shared" si="35"/>
        <v>42.279509692382803</v>
      </c>
      <c r="AI67" s="928">
        <f t="shared" si="35"/>
        <v>48.722521950073236</v>
      </c>
      <c r="AJ67" s="928">
        <f t="shared" si="35"/>
        <v>55.004458901321399</v>
      </c>
      <c r="AK67" s="928">
        <f t="shared" si="35"/>
        <v>61.129347428788357</v>
      </c>
      <c r="AL67" s="928">
        <f t="shared" si="35"/>
        <v>67.101113743068652</v>
      </c>
      <c r="AM67" s="928">
        <f t="shared" si="35"/>
        <v>72.92358589949194</v>
      </c>
      <c r="AN67" s="928">
        <f t="shared" si="35"/>
        <v>78.600496252004632</v>
      </c>
      <c r="AO67" s="928">
        <f t="shared" si="35"/>
        <v>84.135483845704513</v>
      </c>
      <c r="AP67" s="928">
        <f t="shared" si="35"/>
        <v>89.532096749561902</v>
      </c>
      <c r="AQ67" s="928">
        <f t="shared" si="35"/>
        <v>94.793794330822863</v>
      </c>
      <c r="AR67" s="928">
        <f t="shared" si="35"/>
        <v>99.92394947255228</v>
      </c>
      <c r="AS67" s="928">
        <f t="shared" si="35"/>
        <v>104.92585073573846</v>
      </c>
      <c r="AT67" s="928">
        <f t="shared" si="35"/>
        <v>109.80270446734501</v>
      </c>
    </row>
    <row r="68" spans="1:46" x14ac:dyDescent="0.3">
      <c r="A68" s="927" t="s">
        <v>1058</v>
      </c>
      <c r="AD68" s="928">
        <f>$AD$25*C$29</f>
        <v>7.5</v>
      </c>
      <c r="AE68" s="928">
        <f t="shared" ref="AE68:AT68" si="36">$AD$25*D$29</f>
        <v>14.8125</v>
      </c>
      <c r="AF68" s="928">
        <f t="shared" si="36"/>
        <v>21.942187499999999</v>
      </c>
      <c r="AG68" s="928">
        <f t="shared" si="36"/>
        <v>28.893632812499998</v>
      </c>
      <c r="AH68" s="928">
        <f t="shared" si="36"/>
        <v>35.671291992187491</v>
      </c>
      <c r="AI68" s="928">
        <f t="shared" si="36"/>
        <v>42.279509692382803</v>
      </c>
      <c r="AJ68" s="928">
        <f t="shared" si="36"/>
        <v>48.722521950073236</v>
      </c>
      <c r="AK68" s="928">
        <f t="shared" si="36"/>
        <v>55.004458901321399</v>
      </c>
      <c r="AL68" s="928">
        <f t="shared" si="36"/>
        <v>61.129347428788357</v>
      </c>
      <c r="AM68" s="928">
        <f t="shared" si="36"/>
        <v>67.101113743068652</v>
      </c>
      <c r="AN68" s="928">
        <f t="shared" si="36"/>
        <v>72.92358589949194</v>
      </c>
      <c r="AO68" s="928">
        <f t="shared" si="36"/>
        <v>78.600496252004632</v>
      </c>
      <c r="AP68" s="928">
        <f t="shared" si="36"/>
        <v>84.135483845704513</v>
      </c>
      <c r="AQ68" s="928">
        <f t="shared" si="36"/>
        <v>89.532096749561902</v>
      </c>
      <c r="AR68" s="928">
        <f t="shared" si="36"/>
        <v>94.793794330822863</v>
      </c>
      <c r="AS68" s="928">
        <f t="shared" si="36"/>
        <v>99.92394947255228</v>
      </c>
      <c r="AT68" s="928">
        <f t="shared" si="36"/>
        <v>104.92585073573846</v>
      </c>
    </row>
    <row r="69" spans="1:46" x14ac:dyDescent="0.3">
      <c r="A69" s="927" t="s">
        <v>1059</v>
      </c>
      <c r="AE69" s="928">
        <f>$AE$25*C$29</f>
        <v>7.5</v>
      </c>
      <c r="AF69" s="928">
        <f t="shared" ref="AF69:AT69" si="37">$AE$25*D$29</f>
        <v>14.8125</v>
      </c>
      <c r="AG69" s="928">
        <f t="shared" si="37"/>
        <v>21.942187499999999</v>
      </c>
      <c r="AH69" s="928">
        <f t="shared" si="37"/>
        <v>28.893632812499998</v>
      </c>
      <c r="AI69" s="928">
        <f t="shared" si="37"/>
        <v>35.671291992187491</v>
      </c>
      <c r="AJ69" s="928">
        <f t="shared" si="37"/>
        <v>42.279509692382803</v>
      </c>
      <c r="AK69" s="928">
        <f t="shared" si="37"/>
        <v>48.722521950073236</v>
      </c>
      <c r="AL69" s="928">
        <f t="shared" si="37"/>
        <v>55.004458901321399</v>
      </c>
      <c r="AM69" s="928">
        <f t="shared" si="37"/>
        <v>61.129347428788357</v>
      </c>
      <c r="AN69" s="928">
        <f t="shared" si="37"/>
        <v>67.101113743068652</v>
      </c>
      <c r="AO69" s="928">
        <f t="shared" si="37"/>
        <v>72.92358589949194</v>
      </c>
      <c r="AP69" s="928">
        <f t="shared" si="37"/>
        <v>78.600496252004632</v>
      </c>
      <c r="AQ69" s="928">
        <f t="shared" si="37"/>
        <v>84.135483845704513</v>
      </c>
      <c r="AR69" s="928">
        <f t="shared" si="37"/>
        <v>89.532096749561902</v>
      </c>
      <c r="AS69" s="928">
        <f t="shared" si="37"/>
        <v>94.793794330822863</v>
      </c>
      <c r="AT69" s="928">
        <f t="shared" si="37"/>
        <v>99.92394947255228</v>
      </c>
    </row>
    <row r="70" spans="1:46" x14ac:dyDescent="0.3">
      <c r="A70" s="927" t="s">
        <v>1060</v>
      </c>
      <c r="AF70" s="928">
        <f>$AF$25*C$29</f>
        <v>7.5</v>
      </c>
      <c r="AG70" s="928">
        <f t="shared" ref="AG70:AT70" si="38">$AF$25*D$29</f>
        <v>14.8125</v>
      </c>
      <c r="AH70" s="928">
        <f t="shared" si="38"/>
        <v>21.942187499999999</v>
      </c>
      <c r="AI70" s="928">
        <f t="shared" si="38"/>
        <v>28.893632812499998</v>
      </c>
      <c r="AJ70" s="928">
        <f t="shared" si="38"/>
        <v>35.671291992187491</v>
      </c>
      <c r="AK70" s="928">
        <f t="shared" si="38"/>
        <v>42.279509692382803</v>
      </c>
      <c r="AL70" s="928">
        <f t="shared" si="38"/>
        <v>48.722521950073236</v>
      </c>
      <c r="AM70" s="928">
        <f t="shared" si="38"/>
        <v>55.004458901321399</v>
      </c>
      <c r="AN70" s="928">
        <f t="shared" si="38"/>
        <v>61.129347428788357</v>
      </c>
      <c r="AO70" s="928">
        <f t="shared" si="38"/>
        <v>67.101113743068652</v>
      </c>
      <c r="AP70" s="928">
        <f t="shared" si="38"/>
        <v>72.92358589949194</v>
      </c>
      <c r="AQ70" s="928">
        <f t="shared" si="38"/>
        <v>78.600496252004632</v>
      </c>
      <c r="AR70" s="928">
        <f t="shared" si="38"/>
        <v>84.135483845704513</v>
      </c>
      <c r="AS70" s="928">
        <f t="shared" si="38"/>
        <v>89.532096749561902</v>
      </c>
      <c r="AT70" s="928">
        <f t="shared" si="38"/>
        <v>94.793794330822863</v>
      </c>
    </row>
    <row r="71" spans="1:46" x14ac:dyDescent="0.3">
      <c r="A71" s="927" t="s">
        <v>1061</v>
      </c>
      <c r="AG71" s="928">
        <f>$AG$25*C$29</f>
        <v>7.5</v>
      </c>
      <c r="AH71" s="928">
        <f>$AG$25*D$29</f>
        <v>14.8125</v>
      </c>
      <c r="AI71" s="928">
        <f t="shared" ref="AI71:AT71" si="39">$AG$25*E$29</f>
        <v>21.942187499999999</v>
      </c>
      <c r="AJ71" s="928">
        <f t="shared" si="39"/>
        <v>28.893632812499998</v>
      </c>
      <c r="AK71" s="928">
        <f t="shared" si="39"/>
        <v>35.671291992187491</v>
      </c>
      <c r="AL71" s="928">
        <f t="shared" si="39"/>
        <v>42.279509692382803</v>
      </c>
      <c r="AM71" s="928">
        <f t="shared" si="39"/>
        <v>48.722521950073236</v>
      </c>
      <c r="AN71" s="928">
        <f t="shared" si="39"/>
        <v>55.004458901321399</v>
      </c>
      <c r="AO71" s="928">
        <f t="shared" si="39"/>
        <v>61.129347428788357</v>
      </c>
      <c r="AP71" s="928">
        <f t="shared" si="39"/>
        <v>67.101113743068652</v>
      </c>
      <c r="AQ71" s="928">
        <f t="shared" si="39"/>
        <v>72.92358589949194</v>
      </c>
      <c r="AR71" s="928">
        <f t="shared" si="39"/>
        <v>78.600496252004632</v>
      </c>
      <c r="AS71" s="928">
        <f t="shared" si="39"/>
        <v>84.135483845704513</v>
      </c>
      <c r="AT71" s="928">
        <f t="shared" si="39"/>
        <v>89.532096749561902</v>
      </c>
    </row>
    <row r="72" spans="1:46" x14ac:dyDescent="0.3">
      <c r="A72" s="927" t="s">
        <v>1062</v>
      </c>
      <c r="AH72" s="928">
        <f>$AH$25*C$29</f>
        <v>7.5</v>
      </c>
      <c r="AI72" s="928">
        <f t="shared" ref="AI72:AT72" si="40">$AH$25*D$29</f>
        <v>14.8125</v>
      </c>
      <c r="AJ72" s="928">
        <f t="shared" si="40"/>
        <v>21.942187499999999</v>
      </c>
      <c r="AK72" s="928">
        <f t="shared" si="40"/>
        <v>28.893632812499998</v>
      </c>
      <c r="AL72" s="928">
        <f t="shared" si="40"/>
        <v>35.671291992187491</v>
      </c>
      <c r="AM72" s="928">
        <f t="shared" si="40"/>
        <v>42.279509692382803</v>
      </c>
      <c r="AN72" s="928">
        <f t="shared" si="40"/>
        <v>48.722521950073236</v>
      </c>
      <c r="AO72" s="928">
        <f t="shared" si="40"/>
        <v>55.004458901321399</v>
      </c>
      <c r="AP72" s="928">
        <f t="shared" si="40"/>
        <v>61.129347428788357</v>
      </c>
      <c r="AQ72" s="928">
        <f t="shared" si="40"/>
        <v>67.101113743068652</v>
      </c>
      <c r="AR72" s="928">
        <f t="shared" si="40"/>
        <v>72.92358589949194</v>
      </c>
      <c r="AS72" s="928">
        <f t="shared" si="40"/>
        <v>78.600496252004632</v>
      </c>
      <c r="AT72" s="928">
        <f t="shared" si="40"/>
        <v>84.135483845704513</v>
      </c>
    </row>
    <row r="73" spans="1:46" x14ac:dyDescent="0.3">
      <c r="A73" s="927" t="s">
        <v>4087</v>
      </c>
      <c r="AH73" s="928"/>
      <c r="AI73" s="928">
        <f>$AI$25*C$29</f>
        <v>7.5</v>
      </c>
      <c r="AJ73" s="928">
        <f t="shared" ref="AJ73:AT73" si="41">$AI$25*D$29</f>
        <v>14.8125</v>
      </c>
      <c r="AK73" s="928">
        <f t="shared" si="41"/>
        <v>21.942187499999999</v>
      </c>
      <c r="AL73" s="928">
        <f t="shared" si="41"/>
        <v>28.893632812499998</v>
      </c>
      <c r="AM73" s="928">
        <f t="shared" si="41"/>
        <v>35.671291992187491</v>
      </c>
      <c r="AN73" s="928">
        <f t="shared" si="41"/>
        <v>42.279509692382803</v>
      </c>
      <c r="AO73" s="928">
        <f t="shared" si="41"/>
        <v>48.722521950073236</v>
      </c>
      <c r="AP73" s="928">
        <f t="shared" si="41"/>
        <v>55.004458901321399</v>
      </c>
      <c r="AQ73" s="928">
        <f t="shared" si="41"/>
        <v>61.129347428788357</v>
      </c>
      <c r="AR73" s="928">
        <f t="shared" si="41"/>
        <v>67.101113743068652</v>
      </c>
      <c r="AS73" s="928">
        <f t="shared" si="41"/>
        <v>72.92358589949194</v>
      </c>
      <c r="AT73" s="928">
        <f t="shared" si="41"/>
        <v>78.600496252004632</v>
      </c>
    </row>
    <row r="74" spans="1:46" x14ac:dyDescent="0.3">
      <c r="A74" s="927" t="s">
        <v>4088</v>
      </c>
      <c r="AH74" s="928"/>
      <c r="AI74" s="928"/>
      <c r="AJ74" s="928">
        <f>$AJ$25*C$29</f>
        <v>7.5</v>
      </c>
      <c r="AK74" s="928">
        <f t="shared" ref="AK74:AT74" si="42">$AJ$25*D$29</f>
        <v>14.8125</v>
      </c>
      <c r="AL74" s="928">
        <f t="shared" si="42"/>
        <v>21.942187499999999</v>
      </c>
      <c r="AM74" s="928">
        <f t="shared" si="42"/>
        <v>28.893632812499998</v>
      </c>
      <c r="AN74" s="928">
        <f t="shared" si="42"/>
        <v>35.671291992187491</v>
      </c>
      <c r="AO74" s="928">
        <f t="shared" si="42"/>
        <v>42.279509692382803</v>
      </c>
      <c r="AP74" s="928">
        <f t="shared" si="42"/>
        <v>48.722521950073236</v>
      </c>
      <c r="AQ74" s="928">
        <f t="shared" si="42"/>
        <v>55.004458901321399</v>
      </c>
      <c r="AR74" s="928">
        <f t="shared" si="42"/>
        <v>61.129347428788357</v>
      </c>
      <c r="AS74" s="928">
        <f t="shared" si="42"/>
        <v>67.101113743068652</v>
      </c>
      <c r="AT74" s="928">
        <f t="shared" si="42"/>
        <v>72.92358589949194</v>
      </c>
    </row>
    <row r="75" spans="1:46" x14ac:dyDescent="0.3">
      <c r="A75" s="927" t="s">
        <v>4089</v>
      </c>
      <c r="AH75" s="928"/>
      <c r="AI75" s="928"/>
      <c r="AJ75" s="928"/>
      <c r="AK75" s="928">
        <f>$AK$25*C$29</f>
        <v>7.5</v>
      </c>
      <c r="AL75" s="928">
        <f t="shared" ref="AL75:AT75" si="43">$AK$25*D$29</f>
        <v>14.8125</v>
      </c>
      <c r="AM75" s="928">
        <f t="shared" si="43"/>
        <v>21.942187499999999</v>
      </c>
      <c r="AN75" s="928">
        <f t="shared" si="43"/>
        <v>28.893632812499998</v>
      </c>
      <c r="AO75" s="928">
        <f t="shared" si="43"/>
        <v>35.671291992187491</v>
      </c>
      <c r="AP75" s="928">
        <f t="shared" si="43"/>
        <v>42.279509692382803</v>
      </c>
      <c r="AQ75" s="928">
        <f t="shared" si="43"/>
        <v>48.722521950073236</v>
      </c>
      <c r="AR75" s="928">
        <f t="shared" si="43"/>
        <v>55.004458901321399</v>
      </c>
      <c r="AS75" s="928">
        <f t="shared" si="43"/>
        <v>61.129347428788357</v>
      </c>
      <c r="AT75" s="928">
        <f t="shared" si="43"/>
        <v>67.101113743068652</v>
      </c>
    </row>
    <row r="76" spans="1:46" x14ac:dyDescent="0.3">
      <c r="A76" s="927" t="s">
        <v>4090</v>
      </c>
      <c r="AH76" s="928"/>
      <c r="AI76" s="928"/>
      <c r="AJ76" s="928"/>
      <c r="AK76" s="928"/>
      <c r="AL76" s="928">
        <f>$AL$25*C$29</f>
        <v>7.5</v>
      </c>
      <c r="AM76" s="928">
        <f t="shared" ref="AM76:AT76" si="44">$AL$25*D$29</f>
        <v>14.8125</v>
      </c>
      <c r="AN76" s="928">
        <f t="shared" si="44"/>
        <v>21.942187499999999</v>
      </c>
      <c r="AO76" s="928">
        <f t="shared" si="44"/>
        <v>28.893632812499998</v>
      </c>
      <c r="AP76" s="928">
        <f t="shared" si="44"/>
        <v>35.671291992187491</v>
      </c>
      <c r="AQ76" s="928">
        <f t="shared" si="44"/>
        <v>42.279509692382803</v>
      </c>
      <c r="AR76" s="928">
        <f t="shared" si="44"/>
        <v>48.722521950073236</v>
      </c>
      <c r="AS76" s="928">
        <f t="shared" si="44"/>
        <v>55.004458901321399</v>
      </c>
      <c r="AT76" s="928">
        <f t="shared" si="44"/>
        <v>61.129347428788357</v>
      </c>
    </row>
    <row r="77" spans="1:46" x14ac:dyDescent="0.3">
      <c r="A77" s="927" t="s">
        <v>4091</v>
      </c>
      <c r="AH77" s="928"/>
      <c r="AI77" s="928"/>
      <c r="AJ77" s="928"/>
      <c r="AK77" s="928"/>
      <c r="AL77" s="928"/>
      <c r="AM77" s="928">
        <f>$AM$25*C$29</f>
        <v>7.5</v>
      </c>
      <c r="AN77" s="928">
        <f t="shared" ref="AN77:AT77" si="45">$AM$25*D$29</f>
        <v>14.8125</v>
      </c>
      <c r="AO77" s="928">
        <f t="shared" si="45"/>
        <v>21.942187499999999</v>
      </c>
      <c r="AP77" s="928">
        <f t="shared" si="45"/>
        <v>28.893632812499998</v>
      </c>
      <c r="AQ77" s="928">
        <f t="shared" si="45"/>
        <v>35.671291992187491</v>
      </c>
      <c r="AR77" s="928">
        <f t="shared" si="45"/>
        <v>42.279509692382803</v>
      </c>
      <c r="AS77" s="928">
        <f t="shared" si="45"/>
        <v>48.722521950073236</v>
      </c>
      <c r="AT77" s="928">
        <f t="shared" si="45"/>
        <v>55.004458901321399</v>
      </c>
    </row>
    <row r="78" spans="1:46" x14ac:dyDescent="0.3">
      <c r="A78" s="927" t="s">
        <v>4092</v>
      </c>
      <c r="AH78" s="928"/>
      <c r="AI78" s="928"/>
      <c r="AJ78" s="928"/>
      <c r="AK78" s="928"/>
      <c r="AL78" s="928"/>
      <c r="AM78" s="928"/>
      <c r="AN78" s="928">
        <f>$AN$25*C$29</f>
        <v>1.92</v>
      </c>
      <c r="AO78" s="928">
        <f t="shared" ref="AO78:AT78" si="46">$AN$25*D$29</f>
        <v>3.7919999999999998</v>
      </c>
      <c r="AP78" s="928">
        <f t="shared" si="46"/>
        <v>5.6171999999999995</v>
      </c>
      <c r="AQ78" s="928">
        <f t="shared" si="46"/>
        <v>7.3967699999999992</v>
      </c>
      <c r="AR78" s="928">
        <f t="shared" si="46"/>
        <v>9.1318507499999981</v>
      </c>
      <c r="AS78" s="928">
        <f t="shared" si="46"/>
        <v>10.823554481249998</v>
      </c>
      <c r="AT78" s="928">
        <f t="shared" si="46"/>
        <v>12.472965619218748</v>
      </c>
    </row>
    <row r="79" spans="1:46" x14ac:dyDescent="0.3">
      <c r="A79" s="927" t="s">
        <v>4093</v>
      </c>
      <c r="AH79" s="928"/>
      <c r="AI79" s="928"/>
      <c r="AJ79" s="928"/>
      <c r="AK79" s="928"/>
      <c r="AL79" s="928"/>
      <c r="AM79" s="928"/>
      <c r="AN79" s="928"/>
      <c r="AO79" s="928">
        <f t="shared" ref="AO79:AT79" si="47">$AO$25*C$29</f>
        <v>0</v>
      </c>
      <c r="AP79" s="928">
        <f t="shared" si="47"/>
        <v>0</v>
      </c>
      <c r="AQ79" s="928">
        <f t="shared" si="47"/>
        <v>0</v>
      </c>
      <c r="AR79" s="928">
        <f t="shared" si="47"/>
        <v>0</v>
      </c>
      <c r="AS79" s="928">
        <f t="shared" si="47"/>
        <v>0</v>
      </c>
      <c r="AT79" s="928">
        <f t="shared" si="47"/>
        <v>0</v>
      </c>
    </row>
    <row r="80" spans="1:46" x14ac:dyDescent="0.3">
      <c r="A80" s="927" t="s">
        <v>4094</v>
      </c>
      <c r="AH80" s="928"/>
      <c r="AI80" s="928"/>
      <c r="AJ80" s="928"/>
      <c r="AK80" s="928"/>
      <c r="AL80" s="928"/>
      <c r="AM80" s="928"/>
      <c r="AN80" s="928"/>
      <c r="AO80" s="928"/>
      <c r="AP80" s="928">
        <f>$AP$25*C$29</f>
        <v>0</v>
      </c>
      <c r="AQ80" s="928">
        <f>$AP$25*D$29</f>
        <v>0</v>
      </c>
      <c r="AR80" s="928">
        <f>$AP$25*E$29</f>
        <v>0</v>
      </c>
      <c r="AS80" s="928">
        <f>$AP$25*F$29</f>
        <v>0</v>
      </c>
      <c r="AT80" s="928">
        <f>$AP$25*G$29</f>
        <v>0</v>
      </c>
    </row>
    <row r="81" spans="1:46" x14ac:dyDescent="0.3">
      <c r="A81" s="927" t="s">
        <v>4095</v>
      </c>
      <c r="AH81" s="928"/>
      <c r="AI81" s="928"/>
      <c r="AJ81" s="928"/>
      <c r="AK81" s="928"/>
      <c r="AL81" s="928"/>
      <c r="AM81" s="928"/>
      <c r="AN81" s="928"/>
      <c r="AO81" s="928"/>
      <c r="AP81" s="928"/>
      <c r="AQ81" s="928">
        <f>$AQ$25*C$29</f>
        <v>0</v>
      </c>
      <c r="AR81" s="928">
        <f>$AQ$25*D$29</f>
        <v>0</v>
      </c>
      <c r="AS81" s="928">
        <f>$AQ$25*E$29</f>
        <v>0</v>
      </c>
      <c r="AT81" s="928">
        <f>$AQ$25*F$29</f>
        <v>0</v>
      </c>
    </row>
    <row r="82" spans="1:46" x14ac:dyDescent="0.3">
      <c r="A82" s="927" t="s">
        <v>4096</v>
      </c>
      <c r="AH82" s="928"/>
      <c r="AI82" s="928"/>
      <c r="AJ82" s="928"/>
      <c r="AK82" s="928"/>
      <c r="AL82" s="928"/>
      <c r="AM82" s="928"/>
      <c r="AN82" s="928"/>
      <c r="AO82" s="928"/>
      <c r="AP82" s="928"/>
      <c r="AQ82" s="928"/>
      <c r="AR82" s="928">
        <f>$AR$25*C$29</f>
        <v>0</v>
      </c>
      <c r="AS82" s="928">
        <f>$AR$25*D$29</f>
        <v>0</v>
      </c>
      <c r="AT82" s="928">
        <f>$AR$25*E$29</f>
        <v>0</v>
      </c>
    </row>
    <row r="83" spans="1:46" x14ac:dyDescent="0.3">
      <c r="A83" s="927" t="s">
        <v>4097</v>
      </c>
      <c r="AH83" s="928"/>
      <c r="AI83" s="928"/>
      <c r="AJ83" s="928"/>
      <c r="AK83" s="928"/>
      <c r="AL83" s="928"/>
      <c r="AM83" s="928"/>
      <c r="AN83" s="928"/>
      <c r="AO83" s="928"/>
      <c r="AP83" s="928"/>
      <c r="AQ83" s="928"/>
      <c r="AR83" s="928"/>
      <c r="AS83" s="928">
        <f>$AS$25*C$29</f>
        <v>0</v>
      </c>
      <c r="AT83" s="928">
        <f>$AS$25*D$29</f>
        <v>0</v>
      </c>
    </row>
    <row r="84" spans="1:46" x14ac:dyDescent="0.3">
      <c r="A84" s="927" t="s">
        <v>4098</v>
      </c>
      <c r="AH84" s="928"/>
      <c r="AI84" s="928"/>
      <c r="AJ84" s="928"/>
      <c r="AK84" s="928"/>
      <c r="AL84" s="928"/>
      <c r="AM84" s="928"/>
      <c r="AN84" s="928"/>
      <c r="AO84" s="928"/>
      <c r="AP84" s="928"/>
      <c r="AQ84" s="928"/>
      <c r="AR84" s="928"/>
      <c r="AS84" s="928"/>
      <c r="AT84" s="928">
        <f>$AT$25*C$29</f>
        <v>0</v>
      </c>
    </row>
    <row r="85" spans="1:46" x14ac:dyDescent="0.3">
      <c r="A85" s="930" t="s">
        <v>3078</v>
      </c>
      <c r="B85" s="538"/>
      <c r="C85" s="931">
        <f>SUM(C41:C84)</f>
        <v>3.12</v>
      </c>
      <c r="D85" s="931">
        <f t="shared" ref="D85:AT85" si="48">SUM(D41:D84)</f>
        <v>10.872</v>
      </c>
      <c r="E85" s="931">
        <f t="shared" si="48"/>
        <v>23.380199999999999</v>
      </c>
      <c r="F85" s="931">
        <f t="shared" si="48"/>
        <v>40.795694999999995</v>
      </c>
      <c r="G85" s="931">
        <f t="shared" si="48"/>
        <v>65.275802624999997</v>
      </c>
      <c r="H85" s="931">
        <f t="shared" si="48"/>
        <v>96.643907559374981</v>
      </c>
      <c r="I85" s="931">
        <f t="shared" si="48"/>
        <v>134.72780987039062</v>
      </c>
      <c r="J85" s="931">
        <f t="shared" si="48"/>
        <v>179.35961462363082</v>
      </c>
      <c r="K85" s="931">
        <f t="shared" si="48"/>
        <v>230.37562425804001</v>
      </c>
      <c r="L85" s="931">
        <f t="shared" si="48"/>
        <v>287.61623365158903</v>
      </c>
      <c r="M85" s="931">
        <f t="shared" si="48"/>
        <v>350.92582781029932</v>
      </c>
      <c r="N85" s="931">
        <f t="shared" si="48"/>
        <v>420.15268211504184</v>
      </c>
      <c r="O85" s="931">
        <f t="shared" si="48"/>
        <v>495.14886506216573</v>
      </c>
      <c r="P85" s="931">
        <f t="shared" si="48"/>
        <v>575.77014343561166</v>
      </c>
      <c r="Q85" s="931">
        <f t="shared" si="48"/>
        <v>661.87588984972137</v>
      </c>
      <c r="R85" s="931">
        <f t="shared" si="48"/>
        <v>753.32899260347824</v>
      </c>
      <c r="S85" s="931">
        <f t="shared" si="48"/>
        <v>849.99576778839139</v>
      </c>
      <c r="T85" s="931">
        <f t="shared" si="48"/>
        <v>951.74587359368149</v>
      </c>
      <c r="U85" s="931">
        <f t="shared" si="48"/>
        <v>1057.5962498218842</v>
      </c>
      <c r="V85" s="931">
        <f t="shared" si="48"/>
        <v>1165.9141476309817</v>
      </c>
      <c r="W85" s="931">
        <f t="shared" si="48"/>
        <v>1276.0145036154709</v>
      </c>
      <c r="X85" s="931">
        <f t="shared" si="48"/>
        <v>1387.6945257735438</v>
      </c>
      <c r="Y85" s="931">
        <f t="shared" si="48"/>
        <v>1500.1945257735435</v>
      </c>
      <c r="Z85" s="931">
        <f t="shared" si="48"/>
        <v>1612.6945257735438</v>
      </c>
      <c r="AA85" s="931">
        <f t="shared" si="48"/>
        <v>1725.1945257735438</v>
      </c>
      <c r="AB85" s="931">
        <f t="shared" si="48"/>
        <v>1837.694525773544</v>
      </c>
      <c r="AC85" s="931">
        <f t="shared" si="48"/>
        <v>1950.194525773544</v>
      </c>
      <c r="AD85" s="931">
        <f t="shared" si="48"/>
        <v>2062.6945257735442</v>
      </c>
      <c r="AE85" s="931">
        <f t="shared" si="48"/>
        <v>2175.1945257735438</v>
      </c>
      <c r="AF85" s="931">
        <f t="shared" si="48"/>
        <v>2287.6945257735438</v>
      </c>
      <c r="AG85" s="931">
        <f t="shared" si="48"/>
        <v>2400.1945257735433</v>
      </c>
      <c r="AH85" s="931">
        <f t="shared" si="48"/>
        <v>2512.6945257735438</v>
      </c>
      <c r="AI85" s="931">
        <f t="shared" si="48"/>
        <v>2625.1945257735438</v>
      </c>
      <c r="AJ85" s="931">
        <f t="shared" si="48"/>
        <v>2737.6945257735438</v>
      </c>
      <c r="AK85" s="931">
        <f t="shared" si="48"/>
        <v>2850.1945257735433</v>
      </c>
      <c r="AL85" s="931">
        <f t="shared" si="48"/>
        <v>2962.6945257735433</v>
      </c>
      <c r="AM85" s="931">
        <f t="shared" si="48"/>
        <v>3075.1945257735433</v>
      </c>
      <c r="AN85" s="931">
        <f t="shared" si="48"/>
        <v>3182.1145257735434</v>
      </c>
      <c r="AO85" s="931">
        <f t="shared" si="48"/>
        <v>3281.6740257735432</v>
      </c>
      <c r="AP85" s="931">
        <f t="shared" si="48"/>
        <v>3374.0570382735436</v>
      </c>
      <c r="AQ85" s="931">
        <f t="shared" si="48"/>
        <v>3459.4429754610433</v>
      </c>
      <c r="AR85" s="931">
        <f t="shared" si="48"/>
        <v>3538.006764218856</v>
      </c>
      <c r="AS85" s="931">
        <f t="shared" si="48"/>
        <v>3609.9189582577233</v>
      </c>
      <c r="AT85" s="931">
        <f t="shared" si="48"/>
        <v>3675.3458474456188</v>
      </c>
    </row>
    <row r="86" spans="1:46" x14ac:dyDescent="0.3">
      <c r="A86" s="927" t="s">
        <v>1806</v>
      </c>
      <c r="C86" s="932">
        <f>C85/C26</f>
        <v>1.6421052631578947E-2</v>
      </c>
      <c r="D86" s="932">
        <f t="shared" ref="D86:AT86" si="49">D85/D26</f>
        <v>3.1331412103746396E-2</v>
      </c>
      <c r="E86" s="932">
        <f t="shared" si="49"/>
        <v>4.5664453124999997E-2</v>
      </c>
      <c r="F86" s="932">
        <f t="shared" si="49"/>
        <v>5.9468943148688037E-2</v>
      </c>
      <c r="G86" s="932">
        <f t="shared" si="49"/>
        <v>6.9739105368589738E-2</v>
      </c>
      <c r="H86" s="932">
        <f t="shared" si="49"/>
        <v>8.1487274502002507E-2</v>
      </c>
      <c r="I86" s="932">
        <f t="shared" si="49"/>
        <v>9.3821594617263665E-2</v>
      </c>
      <c r="J86" s="932">
        <f t="shared" si="49"/>
        <v>0.10638174058341092</v>
      </c>
      <c r="K86" s="932">
        <f t="shared" si="49"/>
        <v>0.11899567368700413</v>
      </c>
      <c r="L86" s="932">
        <f t="shared" si="49"/>
        <v>0.13157192756248354</v>
      </c>
      <c r="M86" s="932">
        <f t="shared" si="49"/>
        <v>0.14405822159700302</v>
      </c>
      <c r="N86" s="932">
        <f t="shared" si="49"/>
        <v>0.15642318768244298</v>
      </c>
      <c r="O86" s="932">
        <f t="shared" si="49"/>
        <v>0.16864743360427989</v>
      </c>
      <c r="P86" s="932">
        <f t="shared" si="49"/>
        <v>0.18071881463766845</v>
      </c>
      <c r="Q86" s="932">
        <f t="shared" si="49"/>
        <v>0.19262977003775361</v>
      </c>
      <c r="R86" s="932">
        <f t="shared" si="49"/>
        <v>0.20437574405954376</v>
      </c>
      <c r="S86" s="932">
        <f t="shared" si="49"/>
        <v>0.21595420929583115</v>
      </c>
      <c r="T86" s="932">
        <f t="shared" si="49"/>
        <v>0.2273640405144963</v>
      </c>
      <c r="U86" s="932">
        <f t="shared" si="49"/>
        <v>0.23841213927454558</v>
      </c>
      <c r="V86" s="932">
        <f t="shared" si="49"/>
        <v>0.24880797004502384</v>
      </c>
      <c r="W86" s="932">
        <f t="shared" si="49"/>
        <v>0.25851185243425262</v>
      </c>
      <c r="X86" s="932">
        <f t="shared" si="49"/>
        <v>0.26758475236666868</v>
      </c>
      <c r="Y86" s="932">
        <f t="shared" si="49"/>
        <v>0.27597397457202788</v>
      </c>
      <c r="Z86" s="932">
        <f t="shared" si="49"/>
        <v>0.28362548817684552</v>
      </c>
      <c r="AA86" s="932">
        <f t="shared" si="49"/>
        <v>0.29063250097263205</v>
      </c>
      <c r="AB86" s="932">
        <f t="shared" si="49"/>
        <v>0.29707315321266475</v>
      </c>
      <c r="AC86" s="932">
        <f t="shared" si="49"/>
        <v>0.30301344402945057</v>
      </c>
      <c r="AD86" s="932">
        <f t="shared" si="49"/>
        <v>0.30850950131222615</v>
      </c>
      <c r="AE86" s="932">
        <f t="shared" si="49"/>
        <v>0.3136093606939942</v>
      </c>
      <c r="AF86" s="932">
        <f t="shared" si="49"/>
        <v>0.31835437319420312</v>
      </c>
      <c r="AG86" s="932">
        <f t="shared" si="49"/>
        <v>0.32278032890983638</v>
      </c>
      <c r="AH86" s="932">
        <f t="shared" si="49"/>
        <v>0.32691836140691438</v>
      </c>
      <c r="AI86" s="932">
        <f t="shared" si="49"/>
        <v>0.33079568117106145</v>
      </c>
      <c r="AJ86" s="932">
        <f t="shared" si="49"/>
        <v>0.3344361746608287</v>
      </c>
      <c r="AK86" s="932">
        <f t="shared" si="49"/>
        <v>0.33786089684371068</v>
      </c>
      <c r="AL86" s="932">
        <f t="shared" si="49"/>
        <v>0.34108847867528708</v>
      </c>
      <c r="AM86" s="932">
        <f t="shared" si="49"/>
        <v>0.34413546617877611</v>
      </c>
      <c r="AN86" s="932">
        <f t="shared" si="49"/>
        <v>0.35356828064150481</v>
      </c>
      <c r="AO86" s="932">
        <f t="shared" si="49"/>
        <v>0.36463044730817146</v>
      </c>
      <c r="AP86" s="932">
        <f t="shared" si="49"/>
        <v>0.37489522647483819</v>
      </c>
      <c r="AQ86" s="932">
        <f t="shared" si="49"/>
        <v>0.3843825528290048</v>
      </c>
      <c r="AR86" s="932">
        <f t="shared" si="49"/>
        <v>0.39311186269098403</v>
      </c>
      <c r="AS86" s="932">
        <f t="shared" si="49"/>
        <v>0.40110210647308037</v>
      </c>
      <c r="AT86" s="932">
        <f t="shared" si="49"/>
        <v>0.40837176082729099</v>
      </c>
    </row>
    <row r="87" spans="1:46" x14ac:dyDescent="0.3">
      <c r="A87" s="930" t="s">
        <v>4106</v>
      </c>
      <c r="B87" s="538"/>
      <c r="C87" s="933">
        <f>C85</f>
        <v>3.12</v>
      </c>
      <c r="D87" s="933">
        <f>D85-C85</f>
        <v>7.7519999999999998</v>
      </c>
      <c r="E87" s="933">
        <f t="shared" ref="E87:AT87" si="50">E85-D85</f>
        <v>12.508199999999999</v>
      </c>
      <c r="F87" s="933">
        <f t="shared" si="50"/>
        <v>17.415494999999996</v>
      </c>
      <c r="G87" s="933">
        <f t="shared" si="50"/>
        <v>24.480107625000002</v>
      </c>
      <c r="H87" s="933">
        <f t="shared" si="50"/>
        <v>31.368104934374983</v>
      </c>
      <c r="I87" s="933">
        <f t="shared" si="50"/>
        <v>38.083902311015635</v>
      </c>
      <c r="J87" s="933">
        <f t="shared" si="50"/>
        <v>44.631804753240203</v>
      </c>
      <c r="K87" s="933">
        <f t="shared" si="50"/>
        <v>51.016009634409187</v>
      </c>
      <c r="L87" s="933">
        <f t="shared" si="50"/>
        <v>57.240609393549022</v>
      </c>
      <c r="M87" s="933">
        <f t="shared" si="50"/>
        <v>63.309594158710297</v>
      </c>
      <c r="N87" s="933">
        <f t="shared" si="50"/>
        <v>69.226854304742517</v>
      </c>
      <c r="O87" s="933">
        <f t="shared" si="50"/>
        <v>74.996182947123884</v>
      </c>
      <c r="P87" s="933">
        <f t="shared" si="50"/>
        <v>80.621278373445932</v>
      </c>
      <c r="Q87" s="933">
        <f t="shared" si="50"/>
        <v>86.105746414109717</v>
      </c>
      <c r="R87" s="933">
        <f t="shared" si="50"/>
        <v>91.453102753756866</v>
      </c>
      <c r="S87" s="933">
        <f t="shared" si="50"/>
        <v>96.666775184913149</v>
      </c>
      <c r="T87" s="933">
        <f t="shared" si="50"/>
        <v>101.7501058052901</v>
      </c>
      <c r="U87" s="933">
        <f t="shared" si="50"/>
        <v>105.85037622820266</v>
      </c>
      <c r="V87" s="933">
        <f t="shared" si="50"/>
        <v>108.31789780909753</v>
      </c>
      <c r="W87" s="933">
        <f t="shared" si="50"/>
        <v>110.10035598448917</v>
      </c>
      <c r="X87" s="933">
        <f t="shared" si="50"/>
        <v>111.68002215807292</v>
      </c>
      <c r="Y87" s="933">
        <f t="shared" si="50"/>
        <v>112.49999999999977</v>
      </c>
      <c r="Z87" s="933">
        <f t="shared" si="50"/>
        <v>112.50000000000023</v>
      </c>
      <c r="AA87" s="933">
        <f t="shared" si="50"/>
        <v>112.5</v>
      </c>
      <c r="AB87" s="933">
        <f t="shared" si="50"/>
        <v>112.50000000000023</v>
      </c>
      <c r="AC87" s="933">
        <f t="shared" si="50"/>
        <v>112.5</v>
      </c>
      <c r="AD87" s="933">
        <f t="shared" si="50"/>
        <v>112.50000000000023</v>
      </c>
      <c r="AE87" s="933">
        <f t="shared" si="50"/>
        <v>112.49999999999955</v>
      </c>
      <c r="AF87" s="933">
        <f t="shared" si="50"/>
        <v>112.5</v>
      </c>
      <c r="AG87" s="933">
        <f t="shared" si="50"/>
        <v>112.49999999999955</v>
      </c>
      <c r="AH87" s="933">
        <f t="shared" si="50"/>
        <v>112.50000000000045</v>
      </c>
      <c r="AI87" s="933">
        <f t="shared" si="50"/>
        <v>112.5</v>
      </c>
      <c r="AJ87" s="933">
        <f t="shared" si="50"/>
        <v>112.5</v>
      </c>
      <c r="AK87" s="933">
        <f t="shared" si="50"/>
        <v>112.49999999999955</v>
      </c>
      <c r="AL87" s="933">
        <f t="shared" si="50"/>
        <v>112.5</v>
      </c>
      <c r="AM87" s="933">
        <f t="shared" si="50"/>
        <v>112.5</v>
      </c>
      <c r="AN87" s="933">
        <f t="shared" si="50"/>
        <v>106.92000000000007</v>
      </c>
      <c r="AO87" s="933">
        <f t="shared" si="50"/>
        <v>99.559499999999844</v>
      </c>
      <c r="AP87" s="933">
        <f t="shared" si="50"/>
        <v>92.383012500000405</v>
      </c>
      <c r="AQ87" s="933">
        <f t="shared" si="50"/>
        <v>85.385937187499621</v>
      </c>
      <c r="AR87" s="933">
        <f t="shared" si="50"/>
        <v>78.563788757812745</v>
      </c>
      <c r="AS87" s="933">
        <f t="shared" si="50"/>
        <v>71.912194038867256</v>
      </c>
      <c r="AT87" s="933">
        <f t="shared" si="50"/>
        <v>65.42688918789554</v>
      </c>
    </row>
    <row r="88" spans="1:46" x14ac:dyDescent="0.3">
      <c r="A88" s="927"/>
    </row>
    <row r="89" spans="1:46" x14ac:dyDescent="0.3">
      <c r="A89" s="927"/>
    </row>
    <row r="90" spans="1:46" x14ac:dyDescent="0.3">
      <c r="A90" s="927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820C2-E8AC-4F0E-99B7-C054994915DC}">
  <dimension ref="A1:AT90"/>
  <sheetViews>
    <sheetView topLeftCell="A9" workbookViewId="0">
      <selection activeCell="ES196" sqref="ES196"/>
    </sheetView>
  </sheetViews>
  <sheetFormatPr defaultColWidth="9.109375" defaultRowHeight="12" x14ac:dyDescent="0.3"/>
  <cols>
    <col min="1" max="1" width="31.44140625" style="108" customWidth="1"/>
    <col min="2" max="2" width="10.109375" style="108" bestFit="1" customWidth="1"/>
    <col min="3" max="8" width="9.33203125" style="108" bestFit="1" customWidth="1"/>
    <col min="9" max="42" width="10.109375" style="108" bestFit="1" customWidth="1"/>
    <col min="43" max="16384" width="9.109375" style="108"/>
  </cols>
  <sheetData>
    <row r="1" spans="1:19" ht="21.5" thickBot="1" x14ac:dyDescent="0.55000000000000004">
      <c r="A1" s="922" t="s">
        <v>13</v>
      </c>
      <c r="B1" s="922"/>
      <c r="C1" s="922"/>
      <c r="D1" s="922"/>
      <c r="E1" s="922"/>
      <c r="F1" s="922"/>
      <c r="G1" s="922"/>
      <c r="H1" s="922"/>
      <c r="I1" s="922"/>
      <c r="J1" s="922"/>
      <c r="K1" s="922"/>
      <c r="L1" s="922"/>
      <c r="M1" s="922"/>
      <c r="N1" s="922"/>
      <c r="O1" s="922"/>
      <c r="P1" s="922"/>
      <c r="Q1" s="922"/>
      <c r="R1" s="922"/>
      <c r="S1" s="922"/>
    </row>
    <row r="2" spans="1:19" x14ac:dyDescent="0.3">
      <c r="A2" s="923" t="s">
        <v>548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923"/>
      <c r="N2" s="923"/>
      <c r="O2" s="923"/>
      <c r="P2" s="923"/>
      <c r="Q2" s="923"/>
      <c r="R2" s="923"/>
      <c r="S2" s="923"/>
    </row>
    <row r="3" spans="1:19" x14ac:dyDescent="0.3">
      <c r="A3" s="924" t="s">
        <v>15</v>
      </c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924"/>
      <c r="S3" s="924"/>
    </row>
    <row r="5" spans="1:19" x14ac:dyDescent="0.3">
      <c r="A5" s="533" t="s">
        <v>4109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  <c r="L5" s="534"/>
      <c r="M5" s="534"/>
      <c r="N5" s="534"/>
      <c r="O5" s="534"/>
      <c r="P5" s="534"/>
      <c r="Q5" s="534"/>
      <c r="R5" s="534"/>
      <c r="S5" s="534"/>
    </row>
    <row r="6" spans="1:19" x14ac:dyDescent="0.3">
      <c r="B6" s="682">
        <v>2020</v>
      </c>
      <c r="C6" s="682" t="s">
        <v>1125</v>
      </c>
      <c r="D6" s="682" t="s">
        <v>1126</v>
      </c>
      <c r="E6" s="682" t="s">
        <v>1127</v>
      </c>
      <c r="F6" s="682" t="s">
        <v>1128</v>
      </c>
      <c r="G6" s="682">
        <v>2021</v>
      </c>
      <c r="H6" s="682">
        <f>G6+1</f>
        <v>2022</v>
      </c>
      <c r="I6" s="682">
        <f t="shared" ref="I6:Q6" si="0">H6+1</f>
        <v>2023</v>
      </c>
      <c r="J6" s="682">
        <f t="shared" si="0"/>
        <v>2024</v>
      </c>
      <c r="K6" s="682">
        <f t="shared" si="0"/>
        <v>2025</v>
      </c>
      <c r="L6" s="682">
        <f t="shared" si="0"/>
        <v>2026</v>
      </c>
      <c r="M6" s="682">
        <f t="shared" si="0"/>
        <v>2027</v>
      </c>
      <c r="N6" s="682">
        <f t="shared" si="0"/>
        <v>2028</v>
      </c>
      <c r="O6" s="682">
        <f t="shared" si="0"/>
        <v>2029</v>
      </c>
      <c r="P6" s="682">
        <f t="shared" si="0"/>
        <v>2030</v>
      </c>
      <c r="Q6" s="682">
        <f t="shared" si="0"/>
        <v>2031</v>
      </c>
    </row>
    <row r="7" spans="1:19" x14ac:dyDescent="0.3">
      <c r="A7" t="s">
        <v>327</v>
      </c>
      <c r="C7" s="929">
        <f t="shared" ref="C7:F8" si="1">C25</f>
        <v>104</v>
      </c>
      <c r="D7" s="929">
        <f t="shared" si="1"/>
        <v>157</v>
      </c>
      <c r="E7" s="929">
        <f t="shared" si="1"/>
        <v>165</v>
      </c>
      <c r="F7" s="929">
        <f t="shared" si="1"/>
        <v>174</v>
      </c>
      <c r="G7" s="929">
        <f>SUM(C7:F7)</f>
        <v>600</v>
      </c>
      <c r="H7" s="929">
        <f>SUM(G25:J25)</f>
        <v>1000</v>
      </c>
      <c r="I7" s="929">
        <f>SUM(K25:N25)</f>
        <v>1000</v>
      </c>
      <c r="J7" s="929">
        <f>SUM(O25:R25)</f>
        <v>1000</v>
      </c>
      <c r="K7" s="929">
        <f>SUM(S25:V25)</f>
        <v>1000</v>
      </c>
      <c r="L7" s="929">
        <f>SUM(W25:Z25)</f>
        <v>1000</v>
      </c>
      <c r="M7" s="929">
        <f>SUM(AA25:AD25)</f>
        <v>314</v>
      </c>
      <c r="N7" s="929">
        <f>SUM(AE25:AH25)</f>
        <v>0</v>
      </c>
      <c r="O7" s="929">
        <f>SUM(AI25:AL25)</f>
        <v>0</v>
      </c>
      <c r="P7" s="929">
        <f>SUM(AM25:AP25)</f>
        <v>0</v>
      </c>
      <c r="Q7" s="929">
        <f>SUM(AQ25:AT25)</f>
        <v>0</v>
      </c>
    </row>
    <row r="8" spans="1:19" x14ac:dyDescent="0.3">
      <c r="A8" s="61" t="s">
        <v>4077</v>
      </c>
      <c r="B8" s="929">
        <f>B26</f>
        <v>86</v>
      </c>
      <c r="C8" s="929">
        <f t="shared" si="1"/>
        <v>190</v>
      </c>
      <c r="D8" s="929">
        <f t="shared" si="1"/>
        <v>347</v>
      </c>
      <c r="E8" s="929">
        <f t="shared" si="1"/>
        <v>512</v>
      </c>
      <c r="F8" s="929">
        <f t="shared" si="1"/>
        <v>686</v>
      </c>
      <c r="G8" s="929">
        <f>F8</f>
        <v>686</v>
      </c>
      <c r="H8" s="929">
        <f>J26</f>
        <v>1686</v>
      </c>
      <c r="I8" s="929">
        <f>N26</f>
        <v>2686</v>
      </c>
      <c r="J8" s="929">
        <f>R26</f>
        <v>3686</v>
      </c>
      <c r="K8" s="929">
        <f>V26</f>
        <v>4686</v>
      </c>
      <c r="L8" s="929">
        <f>Z26</f>
        <v>5686</v>
      </c>
      <c r="M8" s="929">
        <f>AD26</f>
        <v>6000</v>
      </c>
      <c r="N8" s="929">
        <f>AH26</f>
        <v>6000</v>
      </c>
      <c r="O8" s="929">
        <f>AL26</f>
        <v>6000</v>
      </c>
      <c r="P8" s="929">
        <f>AP26</f>
        <v>6000</v>
      </c>
      <c r="Q8" s="929">
        <f>AT26</f>
        <v>6000</v>
      </c>
    </row>
    <row r="10" spans="1:19" x14ac:dyDescent="0.3">
      <c r="A10" s="108" t="s">
        <v>4078</v>
      </c>
      <c r="B10" s="120">
        <f>'Segment Model'!ED208-'Segment Model'!DY208</f>
        <v>5.0999999999999996</v>
      </c>
      <c r="C10" s="929">
        <f>C87</f>
        <v>2.08</v>
      </c>
      <c r="D10" s="929">
        <f>D87</f>
        <v>5.1888000000000005</v>
      </c>
      <c r="E10" s="929">
        <f>E87</f>
        <v>8.4109679999999987</v>
      </c>
      <c r="F10" s="929">
        <f>F87</f>
        <v>11.764803480000001</v>
      </c>
      <c r="G10" s="929">
        <f>SUM(C10:F10)</f>
        <v>27.44457148</v>
      </c>
      <c r="H10" s="929">
        <f>SUM(G87:J87)</f>
        <v>94.576374395364439</v>
      </c>
      <c r="I10" s="929">
        <f>SUM(K87:N87)</f>
        <v>167.24613054395095</v>
      </c>
      <c r="J10" s="929">
        <f>SUM(O87:R87)</f>
        <v>235.65282813162111</v>
      </c>
      <c r="K10" s="929">
        <f>SUM(S87:V87)</f>
        <v>300.04655287844628</v>
      </c>
      <c r="L10" s="929">
        <f>SUM(W87:Z87)</f>
        <v>360.66271961351811</v>
      </c>
      <c r="M10" s="929">
        <f>SUM(AA87:AD87)</f>
        <v>390.75888161276953</v>
      </c>
      <c r="N10" s="929">
        <f>SUM(AE87:AH87)</f>
        <v>344.56779738165619</v>
      </c>
      <c r="O10" s="929">
        <f>SUM(AI87:AL87)</f>
        <v>276.33746488810311</v>
      </c>
      <c r="P10" s="929">
        <f>SUM(AM87:AP87)</f>
        <v>208.3071757249736</v>
      </c>
      <c r="Q10" s="929">
        <f>SUM(AQ87:AT87)</f>
        <v>144.26777798613375</v>
      </c>
    </row>
    <row r="11" spans="1:19" x14ac:dyDescent="0.3">
      <c r="A11" s="108" t="s">
        <v>4079</v>
      </c>
      <c r="B11" s="120">
        <f>B10</f>
        <v>5.0999999999999996</v>
      </c>
      <c r="C11" s="929">
        <f>B11+C10</f>
        <v>7.18</v>
      </c>
      <c r="D11" s="929">
        <f>C11+D10</f>
        <v>12.3688</v>
      </c>
      <c r="E11" s="929">
        <f>D11+E10</f>
        <v>20.779767999999997</v>
      </c>
      <c r="F11" s="929">
        <f>E11+F10</f>
        <v>32.544571480000002</v>
      </c>
      <c r="G11" s="929">
        <f>F11</f>
        <v>32.544571480000002</v>
      </c>
      <c r="H11" s="929">
        <f t="shared" ref="H11:Q11" si="2">G11+H10</f>
        <v>127.12094587536444</v>
      </c>
      <c r="I11" s="929">
        <f t="shared" si="2"/>
        <v>294.36707641931537</v>
      </c>
      <c r="J11" s="929">
        <f t="shared" si="2"/>
        <v>530.01990455093642</v>
      </c>
      <c r="K11" s="929">
        <f t="shared" si="2"/>
        <v>830.06645742938269</v>
      </c>
      <c r="L11" s="929">
        <f t="shared" si="2"/>
        <v>1190.7291770429008</v>
      </c>
      <c r="M11" s="929">
        <f t="shared" si="2"/>
        <v>1581.4880586556703</v>
      </c>
      <c r="N11" s="929">
        <f t="shared" si="2"/>
        <v>1926.0558560373265</v>
      </c>
      <c r="O11" s="929">
        <f t="shared" si="2"/>
        <v>2202.3933209254296</v>
      </c>
      <c r="P11" s="929">
        <f t="shared" si="2"/>
        <v>2410.7004966504032</v>
      </c>
      <c r="Q11" s="929">
        <f t="shared" si="2"/>
        <v>2554.968274636537</v>
      </c>
    </row>
    <row r="15" spans="1:19" x14ac:dyDescent="0.3">
      <c r="A15" s="108" t="s">
        <v>4076</v>
      </c>
    </row>
    <row r="16" spans="1:19" x14ac:dyDescent="0.3">
      <c r="A16" s="108" t="s">
        <v>4069</v>
      </c>
      <c r="D16" s="929">
        <v>157</v>
      </c>
      <c r="E16" s="929">
        <v>165</v>
      </c>
      <c r="F16" s="929">
        <v>174</v>
      </c>
      <c r="G16" s="108">
        <v>250</v>
      </c>
      <c r="H16" s="108">
        <f>G16</f>
        <v>250</v>
      </c>
      <c r="I16" s="108">
        <f>H16</f>
        <v>250</v>
      </c>
      <c r="J16" s="108">
        <f>I16</f>
        <v>250</v>
      </c>
    </row>
    <row r="17" spans="1:46" x14ac:dyDescent="0.3">
      <c r="A17" s="108" t="s">
        <v>4071</v>
      </c>
      <c r="D17" s="929">
        <v>157</v>
      </c>
      <c r="E17" s="929">
        <v>165</v>
      </c>
      <c r="F17" s="929">
        <v>174</v>
      </c>
      <c r="G17" s="108">
        <v>250</v>
      </c>
      <c r="H17" s="108">
        <f t="shared" ref="H17:J18" si="3">G17</f>
        <v>250</v>
      </c>
      <c r="I17" s="108">
        <f t="shared" si="3"/>
        <v>250</v>
      </c>
      <c r="J17" s="108">
        <f t="shared" si="3"/>
        <v>250</v>
      </c>
    </row>
    <row r="18" spans="1:46" x14ac:dyDescent="0.3">
      <c r="A18" s="108" t="s">
        <v>4072</v>
      </c>
      <c r="D18" s="929">
        <v>157</v>
      </c>
      <c r="E18" s="929">
        <v>165</v>
      </c>
      <c r="F18" s="929">
        <v>174</v>
      </c>
      <c r="G18" s="108">
        <v>250</v>
      </c>
      <c r="H18" s="108">
        <f t="shared" si="3"/>
        <v>250</v>
      </c>
      <c r="I18" s="108">
        <f t="shared" si="3"/>
        <v>250</v>
      </c>
      <c r="J18" s="108">
        <f t="shared" si="3"/>
        <v>250</v>
      </c>
    </row>
    <row r="22" spans="1:46" x14ac:dyDescent="0.3">
      <c r="A22" s="533" t="s">
        <v>4110</v>
      </c>
      <c r="B22" s="534"/>
      <c r="C22" s="534"/>
      <c r="D22" s="534"/>
      <c r="E22" s="534"/>
      <c r="F22" s="534"/>
      <c r="G22" s="534"/>
      <c r="H22" s="534"/>
      <c r="I22" s="534"/>
      <c r="J22" s="534"/>
      <c r="K22" s="534"/>
      <c r="L22" s="534"/>
      <c r="M22" s="534"/>
      <c r="N22" s="534"/>
      <c r="O22" s="534"/>
      <c r="P22" s="534"/>
      <c r="Q22" s="534"/>
      <c r="R22" s="534"/>
      <c r="S22" s="534"/>
    </row>
    <row r="24" spans="1:46" x14ac:dyDescent="0.3">
      <c r="B24" s="682">
        <v>2020</v>
      </c>
      <c r="C24" s="682" t="s">
        <v>1125</v>
      </c>
      <c r="D24" s="682" t="s">
        <v>1126</v>
      </c>
      <c r="E24" s="682" t="s">
        <v>1127</v>
      </c>
      <c r="F24" s="682" t="s">
        <v>1128</v>
      </c>
      <c r="G24" s="682" t="s">
        <v>922</v>
      </c>
      <c r="H24" s="682" t="s">
        <v>923</v>
      </c>
      <c r="I24" s="682" t="s">
        <v>924</v>
      </c>
      <c r="J24" s="682" t="s">
        <v>925</v>
      </c>
      <c r="K24" s="682" t="s">
        <v>883</v>
      </c>
      <c r="L24" s="682" t="s">
        <v>884</v>
      </c>
      <c r="M24" s="682" t="s">
        <v>885</v>
      </c>
      <c r="N24" s="682" t="s">
        <v>886</v>
      </c>
      <c r="O24" s="682" t="s">
        <v>887</v>
      </c>
      <c r="P24" s="682" t="s">
        <v>888</v>
      </c>
      <c r="Q24" s="682" t="s">
        <v>1027</v>
      </c>
      <c r="R24" s="682" t="s">
        <v>1028</v>
      </c>
      <c r="S24" s="682" t="s">
        <v>1047</v>
      </c>
      <c r="T24" s="682" t="s">
        <v>1048</v>
      </c>
      <c r="U24" s="682" t="s">
        <v>1049</v>
      </c>
      <c r="V24" s="682" t="s">
        <v>1050</v>
      </c>
      <c r="W24" s="682" t="s">
        <v>1051</v>
      </c>
      <c r="X24" s="682" t="s">
        <v>1052</v>
      </c>
      <c r="Y24" s="682" t="s">
        <v>1053</v>
      </c>
      <c r="Z24" s="682" t="s">
        <v>1054</v>
      </c>
      <c r="AA24" s="682" t="s">
        <v>1055</v>
      </c>
      <c r="AB24" s="682" t="s">
        <v>1056</v>
      </c>
      <c r="AC24" s="682" t="s">
        <v>1057</v>
      </c>
      <c r="AD24" s="682" t="s">
        <v>1058</v>
      </c>
      <c r="AE24" s="682" t="s">
        <v>1059</v>
      </c>
      <c r="AF24" s="682" t="s">
        <v>1060</v>
      </c>
      <c r="AG24" s="682" t="s">
        <v>1061</v>
      </c>
      <c r="AH24" s="682" t="s">
        <v>1062</v>
      </c>
      <c r="AI24" s="682" t="s">
        <v>4087</v>
      </c>
      <c r="AJ24" s="682" t="s">
        <v>4088</v>
      </c>
      <c r="AK24" s="682" t="s">
        <v>4089</v>
      </c>
      <c r="AL24" s="682" t="s">
        <v>4090</v>
      </c>
      <c r="AM24" s="682" t="s">
        <v>4091</v>
      </c>
      <c r="AN24" s="682" t="s">
        <v>4092</v>
      </c>
      <c r="AO24" s="682" t="s">
        <v>4093</v>
      </c>
      <c r="AP24" s="682" t="s">
        <v>4094</v>
      </c>
      <c r="AQ24" s="682" t="s">
        <v>4095</v>
      </c>
      <c r="AR24" s="682" t="s">
        <v>4096</v>
      </c>
      <c r="AS24" s="682" t="s">
        <v>4097</v>
      </c>
      <c r="AT24" s="682" t="s">
        <v>4098</v>
      </c>
    </row>
    <row r="25" spans="1:46" x14ac:dyDescent="0.3">
      <c r="A25" t="s">
        <v>327</v>
      </c>
      <c r="B25" s="925"/>
      <c r="C25" s="925">
        <f>'Segment Model'!EE196</f>
        <v>104</v>
      </c>
      <c r="D25" s="929">
        <v>157</v>
      </c>
      <c r="E25" s="929">
        <v>165</v>
      </c>
      <c r="F25" s="929">
        <f>600-SUM(C25:E25)</f>
        <v>174</v>
      </c>
      <c r="G25">
        <f>IF(New_Build_Summary!$F$9=New_Build_Conservative_Case!$A$16,New_Build_Conservative_Case!G16,IF(New_Build_Summary!$F$9=New_Build_Conservative_Case!$A$17,New_Build_Conservative_Case!G17,New_Build_Conservative_Case!G18))</f>
        <v>250</v>
      </c>
      <c r="H25">
        <f>IF(New_Build_Summary!$F$9=New_Build_Conservative_Case!$A$16,New_Build_Conservative_Case!H16,IF(New_Build_Summary!$F$9=New_Build_Conservative_Case!$A$17,New_Build_Conservative_Case!H17,New_Build_Conservative_Case!H18))</f>
        <v>250</v>
      </c>
      <c r="I25">
        <f>IF(New_Build_Summary!$F$9=New_Build_Conservative_Case!$A$16,New_Build_Conservative_Case!I16,IF(New_Build_Summary!$F$9=New_Build_Conservative_Case!$A$17,New_Build_Conservative_Case!I17,New_Build_Conservative_Case!I18))</f>
        <v>250</v>
      </c>
      <c r="J25">
        <f>IF(New_Build_Summary!$F$9=New_Build_Conservative_Case!$A$16,New_Build_Conservative_Case!J16,IF(New_Build_Summary!$F$9=New_Build_Conservative_Case!$A$17,New_Build_Conservative_Case!J17,New_Build_Conservative_Case!J18))</f>
        <v>250</v>
      </c>
      <c r="K25" s="925">
        <f>IF(New_Build_Summary!$F$9=New_Build_Conservative_Case!$A$16,MIN($J$16,$B$32-J26),IF(New_Build_Summary!$F$9=New_Build_Conservative_Case!$A$17,MIN($J$17,$B$32-J26),MIN($J$18,$B$32-J26)))</f>
        <v>250</v>
      </c>
      <c r="L25" s="925">
        <f>IF(New_Build_Summary!$F$9=New_Build_Conservative_Case!$A$16,MIN($J$16,$B$32-K26),IF(New_Build_Summary!$F$9=New_Build_Conservative_Case!$A$17,MIN($J$17,$B$32-K26),MIN($J$18,$B$32-K26)))</f>
        <v>250</v>
      </c>
      <c r="M25" s="925">
        <f>IF(New_Build_Summary!$F$9=New_Build_Conservative_Case!$A$16,MIN($J$16,$B$32-L26),IF(New_Build_Summary!$F$9=New_Build_Conservative_Case!$A$17,MIN($J$17,$B$32-L26),MIN($J$18,$B$32-L26)))</f>
        <v>250</v>
      </c>
      <c r="N25" s="925">
        <f>IF(New_Build_Summary!$F$9=New_Build_Conservative_Case!$A$16,MIN($J$16,$B$32-M26),IF(New_Build_Summary!$F$9=New_Build_Conservative_Case!$A$17,MIN($J$17,$B$32-M26),MIN($J$18,$B$32-M26)))</f>
        <v>250</v>
      </c>
      <c r="O25" s="925">
        <f>IF(New_Build_Summary!$F$9=New_Build_Conservative_Case!$A$16,MIN($J$16,$B$32-N26),IF(New_Build_Summary!$F$9=New_Build_Conservative_Case!$A$17,MIN($J$17,$B$32-N26),MIN($J$18,$B$32-N26)))</f>
        <v>250</v>
      </c>
      <c r="P25" s="925">
        <f>IF(New_Build_Summary!$F$9=New_Build_Conservative_Case!$A$16,MIN($J$16,$B$32-O26),IF(New_Build_Summary!$F$9=New_Build_Conservative_Case!$A$17,MIN($J$17,$B$32-O26),MIN($J$18,$B$32-O26)))</f>
        <v>250</v>
      </c>
      <c r="Q25" s="925">
        <f>IF(New_Build_Summary!$F$9=New_Build_Conservative_Case!$A$16,MIN($J$16,$B$32-P26),IF(New_Build_Summary!$F$9=New_Build_Conservative_Case!$A$17,MIN($J$17,$B$32-P26),MIN($J$18,$B$32-P26)))</f>
        <v>250</v>
      </c>
      <c r="R25" s="925">
        <f>IF(New_Build_Summary!$F$9=New_Build_Conservative_Case!$A$16,MIN($J$16,$B$32-Q26),IF(New_Build_Summary!$F$9=New_Build_Conservative_Case!$A$17,MIN($J$17,$B$32-Q26),MIN($J$18,$B$32-Q26)))</f>
        <v>250</v>
      </c>
      <c r="S25" s="925">
        <f>IF(New_Build_Summary!$F$9=New_Build_Conservative_Case!$A$16,MIN($J$16,$B$32-R26),IF(New_Build_Summary!$F$9=New_Build_Conservative_Case!$A$17,MIN($J$17,$B$32-R26),MIN($J$18,$B$32-R26)))</f>
        <v>250</v>
      </c>
      <c r="T25" s="925">
        <f>IF(New_Build_Summary!$F$9=New_Build_Conservative_Case!$A$16,MIN($J$16,$B$32-S26),IF(New_Build_Summary!$F$9=New_Build_Conservative_Case!$A$17,MIN($J$17,$B$32-S26),MIN($J$18,$B$32-S26)))</f>
        <v>250</v>
      </c>
      <c r="U25" s="925">
        <f>IF(New_Build_Summary!$F$9=New_Build_Conservative_Case!$A$16,MIN($J$16,$B$32-T26),IF(New_Build_Summary!$F$9=New_Build_Conservative_Case!$A$17,MIN($J$17,$B$32-T26),MIN($J$18,$B$32-T26)))</f>
        <v>250</v>
      </c>
      <c r="V25" s="925">
        <f>IF(New_Build_Summary!$F$9=New_Build_Conservative_Case!$A$16,MIN($J$16,$B$32-U26),IF(New_Build_Summary!$F$9=New_Build_Conservative_Case!$A$17,MIN($J$17,$B$32-U26),MIN($J$18,$B$32-U26)))</f>
        <v>250</v>
      </c>
      <c r="W25" s="925">
        <f>IF(New_Build_Summary!$F$9=New_Build_Conservative_Case!$A$16,MIN($J$16,$B$32-V26),IF(New_Build_Summary!$F$9=New_Build_Conservative_Case!$A$17,MIN($J$17,$B$32-V26),MIN($J$18,$B$32-V26)))</f>
        <v>250</v>
      </c>
      <c r="X25" s="925">
        <f>IF(New_Build_Summary!$F$9=New_Build_Conservative_Case!$A$16,MIN($J$16,$B$32-W26),IF(New_Build_Summary!$F$9=New_Build_Conservative_Case!$A$17,MIN($J$17,$B$32-W26),MIN($J$18,$B$32-W26)))</f>
        <v>250</v>
      </c>
      <c r="Y25" s="925">
        <f>IF(New_Build_Summary!$F$9=New_Build_Conservative_Case!$A$16,MIN($J$16,$B$32-X26),IF(New_Build_Summary!$F$9=New_Build_Conservative_Case!$A$17,MIN($J$17,$B$32-X26),MIN($J$18,$B$32-X26)))</f>
        <v>250</v>
      </c>
      <c r="Z25" s="925">
        <f>IF(New_Build_Summary!$F$9=New_Build_Conservative_Case!$A$16,MIN($J$16,$B$32-Y26),IF(New_Build_Summary!$F$9=New_Build_Conservative_Case!$A$17,MIN($J$17,$B$32-Y26),MIN($J$18,$B$32-Y26)))</f>
        <v>250</v>
      </c>
      <c r="AA25" s="925">
        <f>IF(New_Build_Summary!$F$9=New_Build_Conservative_Case!$A$16,MIN($J$16,$B$32-Z26),IF(New_Build_Summary!$F$9=New_Build_Conservative_Case!$A$17,MIN($J$17,$B$32-Z26),MIN($J$18,$B$32-Z26)))</f>
        <v>250</v>
      </c>
      <c r="AB25" s="925">
        <f>IF(New_Build_Summary!$F$9=New_Build_Conservative_Case!$A$16,MIN($J$16,$B$32-AA26),IF(New_Build_Summary!$F$9=New_Build_Conservative_Case!$A$17,MIN($J$17,$B$32-AA26),MIN($J$18,$B$32-AA26)))</f>
        <v>64</v>
      </c>
      <c r="AC25" s="925">
        <f>IF(New_Build_Summary!$F$9=New_Build_Conservative_Case!$A$16,MIN($J$16,$B$32-AB26),IF(New_Build_Summary!$F$9=New_Build_Conservative_Case!$A$17,MIN($J$17,$B$32-AB26),MIN($J$18,$B$32-AB26)))</f>
        <v>0</v>
      </c>
      <c r="AD25" s="925">
        <f>IF(New_Build_Summary!$F$9=New_Build_Conservative_Case!$A$16,MIN($J$16,$B$32-AC26),IF(New_Build_Summary!$F$9=New_Build_Conservative_Case!$A$17,MIN($J$17,$B$32-AC26),MIN($J$18,$B$32-AC26)))</f>
        <v>0</v>
      </c>
      <c r="AE25" s="925">
        <f>IF(New_Build_Summary!$F$9=New_Build_Conservative_Case!$A$16,MIN($J$16,$B$32-AD26),IF(New_Build_Summary!$F$9=New_Build_Conservative_Case!$A$17,MIN($J$17,$B$32-AD26),MIN($J$18,$B$32-AD26)))</f>
        <v>0</v>
      </c>
      <c r="AF25" s="925">
        <f>IF(New_Build_Summary!$F$9=New_Build_Conservative_Case!$A$16,MIN($J$16,$B$32-AE26),IF(New_Build_Summary!$F$9=New_Build_Conservative_Case!$A$17,MIN($J$17,$B$32-AE26),MIN($J$18,$B$32-AE26)))</f>
        <v>0</v>
      </c>
      <c r="AG25" s="925">
        <f>IF(New_Build_Summary!$F$9=New_Build_Conservative_Case!$A$16,MIN($J$16,$B$32-AF26),IF(New_Build_Summary!$F$9=New_Build_Conservative_Case!$A$17,MIN($J$17,$B$32-AF26),MIN($J$18,$B$32-AF26)))</f>
        <v>0</v>
      </c>
      <c r="AH25" s="925">
        <f>IF(New_Build_Summary!$F$9=New_Build_Conservative_Case!$A$16,MIN($J$16,$B$32-AG26),IF(New_Build_Summary!$F$9=New_Build_Conservative_Case!$A$17,MIN($J$17,$B$32-AG26),MIN($J$18,$B$32-AG26)))</f>
        <v>0</v>
      </c>
      <c r="AI25" s="925">
        <f>IF(New_Build_Summary!$F$9=New_Build_Conservative_Case!$A$16,MIN($J$16,$B$32-AH26),IF(New_Build_Summary!$F$9=New_Build_Conservative_Case!$A$17,MIN($J$17,$B$32-AH26),MIN($J$18,$B$32-AH26)))</f>
        <v>0</v>
      </c>
      <c r="AJ25" s="925">
        <f>IF(New_Build_Summary!$F$9=New_Build_Conservative_Case!$A$16,MIN($J$16,$B$32-AI26),IF(New_Build_Summary!$F$9=New_Build_Conservative_Case!$A$17,MIN($J$17,$B$32-AI26),MIN($J$18,$B$32-AI26)))</f>
        <v>0</v>
      </c>
      <c r="AK25" s="925">
        <f>IF(New_Build_Summary!$F$9=New_Build_Conservative_Case!$A$16,MIN($J$16,$B$32-AJ26),IF(New_Build_Summary!$F$9=New_Build_Conservative_Case!$A$17,MIN($J$17,$B$32-AJ26),MIN($J$18,$B$32-AJ26)))</f>
        <v>0</v>
      </c>
      <c r="AL25" s="925">
        <f>IF(New_Build_Summary!$F$9=New_Build_Conservative_Case!$A$16,MIN($J$16,$B$32-AK26),IF(New_Build_Summary!$F$9=New_Build_Conservative_Case!$A$17,MIN($J$17,$B$32-AK26),MIN($J$18,$B$32-AK26)))</f>
        <v>0</v>
      </c>
      <c r="AM25" s="925">
        <f>IF(New_Build_Summary!$F$9=New_Build_Conservative_Case!$A$16,MIN($J$16,$B$32-AL26),IF(New_Build_Summary!$F$9=New_Build_Conservative_Case!$A$17,MIN($J$17,$B$32-AL26),MIN($J$18,$B$32-AL26)))</f>
        <v>0</v>
      </c>
      <c r="AN25" s="925">
        <f>IF(New_Build_Summary!$F$9=New_Build_Conservative_Case!$A$16,MIN($J$16,$B$32-AM26),IF(New_Build_Summary!$F$9=New_Build_Conservative_Case!$A$17,MIN($J$17,$B$32-AM26),MIN($J$18,$B$32-AM26)))</f>
        <v>0</v>
      </c>
      <c r="AO25" s="925">
        <f>IF(New_Build_Summary!$F$9=New_Build_Conservative_Case!$A$16,MIN($J$16,$B$32-AN26),IF(New_Build_Summary!$F$9=New_Build_Conservative_Case!$A$17,MIN($J$17,$B$32-AN26),MIN($J$18,$B$32-AN26)))</f>
        <v>0</v>
      </c>
      <c r="AP25" s="925">
        <f>IF(New_Build_Summary!$F$9=New_Build_Conservative_Case!$A$16,MIN($J$16,$B$32-AO26),IF(New_Build_Summary!$F$9=New_Build_Conservative_Case!$A$17,MIN($J$17,$B$32-AO26),MIN($J$18,$B$32-AO26)))</f>
        <v>0</v>
      </c>
      <c r="AQ25" s="925">
        <f>IF(New_Build_Summary!$F$9=New_Build_Conservative_Case!$A$16,MIN($J$16,$B$32-AP26),IF(New_Build_Summary!$F$9=New_Build_Conservative_Case!$A$17,MIN($J$17,$B$32-AP26),MIN($J$18,$B$32-AP26)))</f>
        <v>0</v>
      </c>
      <c r="AR25" s="925">
        <f>IF(New_Build_Summary!$F$9=New_Build_Conservative_Case!$A$16,MIN($J$16,$B$32-AQ26),IF(New_Build_Summary!$F$9=New_Build_Conservative_Case!$A$17,MIN($J$17,$B$32-AQ26),MIN($J$18,$B$32-AQ26)))</f>
        <v>0</v>
      </c>
      <c r="AS25" s="925">
        <f>IF(New_Build_Summary!$F$9=New_Build_Conservative_Case!$A$16,MIN($J$16,$B$32-AR26),IF(New_Build_Summary!$F$9=New_Build_Conservative_Case!$A$17,MIN($J$17,$B$32-AR26),MIN($J$18,$B$32-AR26)))</f>
        <v>0</v>
      </c>
      <c r="AT25" s="925">
        <f>IF(New_Build_Summary!$F$9=New_Build_Conservative_Case!$A$16,MIN($J$16,$B$32-AS26),IF(New_Build_Summary!$F$9=New_Build_Conservative_Case!$A$17,MIN($J$17,$B$32-AS26),MIN($J$18,$B$32-AS26)))</f>
        <v>0</v>
      </c>
    </row>
    <row r="26" spans="1:46" x14ac:dyDescent="0.3">
      <c r="A26" s="61" t="s">
        <v>4077</v>
      </c>
      <c r="B26" s="925">
        <f>'Segment Model'!ED195</f>
        <v>86</v>
      </c>
      <c r="C26" s="925">
        <f>B26+C25</f>
        <v>190</v>
      </c>
      <c r="D26" s="925">
        <f t="shared" ref="D26:AT26" si="4">C26+D25</f>
        <v>347</v>
      </c>
      <c r="E26" s="925">
        <f t="shared" si="4"/>
        <v>512</v>
      </c>
      <c r="F26" s="925">
        <f t="shared" si="4"/>
        <v>686</v>
      </c>
      <c r="G26" s="925">
        <f t="shared" si="4"/>
        <v>936</v>
      </c>
      <c r="H26" s="925">
        <f t="shared" si="4"/>
        <v>1186</v>
      </c>
      <c r="I26" s="925">
        <f t="shared" si="4"/>
        <v>1436</v>
      </c>
      <c r="J26" s="925">
        <f t="shared" si="4"/>
        <v>1686</v>
      </c>
      <c r="K26" s="925">
        <f t="shared" si="4"/>
        <v>1936</v>
      </c>
      <c r="L26" s="925">
        <f t="shared" si="4"/>
        <v>2186</v>
      </c>
      <c r="M26" s="925">
        <f t="shared" si="4"/>
        <v>2436</v>
      </c>
      <c r="N26" s="925">
        <f t="shared" si="4"/>
        <v>2686</v>
      </c>
      <c r="O26" s="925">
        <f t="shared" si="4"/>
        <v>2936</v>
      </c>
      <c r="P26" s="925">
        <f t="shared" si="4"/>
        <v>3186</v>
      </c>
      <c r="Q26" s="925">
        <f t="shared" si="4"/>
        <v>3436</v>
      </c>
      <c r="R26" s="925">
        <f t="shared" si="4"/>
        <v>3686</v>
      </c>
      <c r="S26" s="925">
        <f t="shared" si="4"/>
        <v>3936</v>
      </c>
      <c r="T26" s="925">
        <f t="shared" si="4"/>
        <v>4186</v>
      </c>
      <c r="U26" s="925">
        <f t="shared" si="4"/>
        <v>4436</v>
      </c>
      <c r="V26" s="925">
        <f t="shared" si="4"/>
        <v>4686</v>
      </c>
      <c r="W26" s="925">
        <f t="shared" si="4"/>
        <v>4936</v>
      </c>
      <c r="X26" s="925">
        <f t="shared" si="4"/>
        <v>5186</v>
      </c>
      <c r="Y26" s="925">
        <f t="shared" si="4"/>
        <v>5436</v>
      </c>
      <c r="Z26" s="925">
        <f t="shared" si="4"/>
        <v>5686</v>
      </c>
      <c r="AA26" s="925">
        <f t="shared" si="4"/>
        <v>5936</v>
      </c>
      <c r="AB26" s="925">
        <f t="shared" si="4"/>
        <v>6000</v>
      </c>
      <c r="AC26" s="925">
        <f t="shared" si="4"/>
        <v>6000</v>
      </c>
      <c r="AD26" s="925">
        <f t="shared" si="4"/>
        <v>6000</v>
      </c>
      <c r="AE26" s="925">
        <f t="shared" si="4"/>
        <v>6000</v>
      </c>
      <c r="AF26" s="925">
        <f t="shared" si="4"/>
        <v>6000</v>
      </c>
      <c r="AG26" s="925">
        <f t="shared" si="4"/>
        <v>6000</v>
      </c>
      <c r="AH26" s="925">
        <f t="shared" si="4"/>
        <v>6000</v>
      </c>
      <c r="AI26" s="925">
        <f t="shared" si="4"/>
        <v>6000</v>
      </c>
      <c r="AJ26" s="925">
        <f t="shared" si="4"/>
        <v>6000</v>
      </c>
      <c r="AK26" s="925">
        <f t="shared" si="4"/>
        <v>6000</v>
      </c>
      <c r="AL26" s="925">
        <f t="shared" si="4"/>
        <v>6000</v>
      </c>
      <c r="AM26" s="925">
        <f t="shared" si="4"/>
        <v>6000</v>
      </c>
      <c r="AN26" s="925">
        <f t="shared" si="4"/>
        <v>6000</v>
      </c>
      <c r="AO26" s="925">
        <f t="shared" si="4"/>
        <v>6000</v>
      </c>
      <c r="AP26" s="925">
        <f t="shared" si="4"/>
        <v>6000</v>
      </c>
      <c r="AQ26" s="925">
        <f t="shared" si="4"/>
        <v>6000</v>
      </c>
      <c r="AR26" s="925">
        <f t="shared" si="4"/>
        <v>6000</v>
      </c>
      <c r="AS26" s="925">
        <f t="shared" si="4"/>
        <v>6000</v>
      </c>
      <c r="AT26" s="925">
        <f t="shared" si="4"/>
        <v>6000</v>
      </c>
    </row>
    <row r="28" spans="1:46" x14ac:dyDescent="0.3">
      <c r="A28" s="108" t="s">
        <v>4099</v>
      </c>
      <c r="C28" s="693">
        <v>0.02</v>
      </c>
      <c r="D28" s="693">
        <f t="shared" ref="D28:AE28" si="5">MIN(C28*$B$33,$B$31-C29)</f>
        <v>1.9699999999999999E-2</v>
      </c>
      <c r="E28" s="693">
        <f t="shared" si="5"/>
        <v>1.9404499999999998E-2</v>
      </c>
      <c r="F28" s="693">
        <f t="shared" si="5"/>
        <v>1.9113432499999999E-2</v>
      </c>
      <c r="G28" s="693">
        <f t="shared" si="5"/>
        <v>1.88267310125E-2</v>
      </c>
      <c r="H28" s="693">
        <f t="shared" si="5"/>
        <v>1.8544330047312499E-2</v>
      </c>
      <c r="I28" s="693">
        <f t="shared" si="5"/>
        <v>1.826616509660281E-2</v>
      </c>
      <c r="J28" s="693">
        <f t="shared" si="5"/>
        <v>1.7992172620153766E-2</v>
      </c>
      <c r="K28" s="693">
        <f t="shared" si="5"/>
        <v>1.7722290030851458E-2</v>
      </c>
      <c r="L28" s="693">
        <f t="shared" si="5"/>
        <v>1.7456455680388686E-2</v>
      </c>
      <c r="M28" s="693">
        <f t="shared" si="5"/>
        <v>1.7194608845182854E-2</v>
      </c>
      <c r="N28" s="693">
        <f t="shared" si="5"/>
        <v>1.6936689712505112E-2</v>
      </c>
      <c r="O28" s="693">
        <f t="shared" si="5"/>
        <v>1.6682639366817534E-2</v>
      </c>
      <c r="P28" s="693">
        <f t="shared" si="5"/>
        <v>1.6432399776315269E-2</v>
      </c>
      <c r="Q28" s="693">
        <f t="shared" si="5"/>
        <v>1.618591377967054E-2</v>
      </c>
      <c r="R28" s="693">
        <f t="shared" si="5"/>
        <v>1.5943125072975482E-2</v>
      </c>
      <c r="S28" s="693">
        <f t="shared" si="5"/>
        <v>1.5703978196880849E-2</v>
      </c>
      <c r="T28" s="693">
        <f t="shared" si="5"/>
        <v>1.5468418523927635E-2</v>
      </c>
      <c r="U28" s="693">
        <f t="shared" si="5"/>
        <v>1.5236392246068721E-2</v>
      </c>
      <c r="V28" s="693">
        <f t="shared" si="5"/>
        <v>1.500784636237769E-2</v>
      </c>
      <c r="W28" s="693">
        <f t="shared" si="5"/>
        <v>1.4782728666942024E-2</v>
      </c>
      <c r="X28" s="693">
        <f t="shared" si="5"/>
        <v>1.4560987736937894E-2</v>
      </c>
      <c r="Y28" s="693">
        <f t="shared" si="5"/>
        <v>1.4342572920883825E-2</v>
      </c>
      <c r="Z28" s="693">
        <f t="shared" si="5"/>
        <v>1.4127434327070568E-2</v>
      </c>
      <c r="AA28" s="693">
        <f t="shared" si="5"/>
        <v>1.3915522812164509E-2</v>
      </c>
      <c r="AB28" s="693">
        <f t="shared" si="5"/>
        <v>1.3706789969982041E-2</v>
      </c>
      <c r="AC28" s="693">
        <f t="shared" si="5"/>
        <v>1.3501188120432311E-2</v>
      </c>
      <c r="AD28" s="693">
        <f t="shared" si="5"/>
        <v>3.2446865750559439E-3</v>
      </c>
      <c r="AE28" s="693">
        <f t="shared" si="5"/>
        <v>0</v>
      </c>
      <c r="AF28" s="693">
        <f t="shared" ref="AF28:AT28" si="6">MIN(AE28*$B$33,$B$31-AE29)</f>
        <v>0</v>
      </c>
      <c r="AG28" s="693">
        <f t="shared" si="6"/>
        <v>0</v>
      </c>
      <c r="AH28" s="693">
        <f t="shared" si="6"/>
        <v>0</v>
      </c>
      <c r="AI28" s="693">
        <f t="shared" si="6"/>
        <v>0</v>
      </c>
      <c r="AJ28" s="693">
        <f t="shared" si="6"/>
        <v>0</v>
      </c>
      <c r="AK28" s="693">
        <f t="shared" si="6"/>
        <v>0</v>
      </c>
      <c r="AL28" s="693">
        <f t="shared" si="6"/>
        <v>0</v>
      </c>
      <c r="AM28" s="693">
        <f t="shared" si="6"/>
        <v>0</v>
      </c>
      <c r="AN28" s="693">
        <f t="shared" si="6"/>
        <v>0</v>
      </c>
      <c r="AO28" s="693">
        <f t="shared" si="6"/>
        <v>0</v>
      </c>
      <c r="AP28" s="693">
        <f t="shared" si="6"/>
        <v>0</v>
      </c>
      <c r="AQ28" s="693">
        <f t="shared" si="6"/>
        <v>0</v>
      </c>
      <c r="AR28" s="693">
        <f t="shared" si="6"/>
        <v>0</v>
      </c>
      <c r="AS28" s="693">
        <f t="shared" si="6"/>
        <v>0</v>
      </c>
      <c r="AT28" s="693">
        <f t="shared" si="6"/>
        <v>0</v>
      </c>
    </row>
    <row r="29" spans="1:46" x14ac:dyDescent="0.3">
      <c r="A29" s="108" t="s">
        <v>2281</v>
      </c>
      <c r="C29" s="926">
        <f>$B$30+C28</f>
        <v>0.02</v>
      </c>
      <c r="D29" s="926">
        <f t="shared" ref="D29:AF29" si="7">C29+D28</f>
        <v>3.9699999999999999E-2</v>
      </c>
      <c r="E29" s="926">
        <f t="shared" si="7"/>
        <v>5.9104499999999997E-2</v>
      </c>
      <c r="F29" s="926">
        <f t="shared" si="7"/>
        <v>7.8217932500000004E-2</v>
      </c>
      <c r="G29" s="926">
        <f t="shared" si="7"/>
        <v>9.7044663512500004E-2</v>
      </c>
      <c r="H29" s="926">
        <f t="shared" si="7"/>
        <v>0.1155889935598125</v>
      </c>
      <c r="I29" s="926">
        <f t="shared" si="7"/>
        <v>0.13385515865641531</v>
      </c>
      <c r="J29" s="926">
        <f t="shared" si="7"/>
        <v>0.15184733127656908</v>
      </c>
      <c r="K29" s="926">
        <f t="shared" si="7"/>
        <v>0.16956962130742054</v>
      </c>
      <c r="L29" s="926">
        <f t="shared" si="7"/>
        <v>0.18702607698780921</v>
      </c>
      <c r="M29" s="926">
        <f t="shared" si="7"/>
        <v>0.20422068583299208</v>
      </c>
      <c r="N29" s="926">
        <f t="shared" si="7"/>
        <v>0.22115737554549719</v>
      </c>
      <c r="O29" s="926">
        <f t="shared" si="7"/>
        <v>0.23784001491231471</v>
      </c>
      <c r="P29" s="926">
        <f t="shared" si="7"/>
        <v>0.25427241468862999</v>
      </c>
      <c r="Q29" s="926">
        <f t="shared" si="7"/>
        <v>0.27045832846830054</v>
      </c>
      <c r="R29" s="926">
        <f t="shared" si="7"/>
        <v>0.286401453541276</v>
      </c>
      <c r="S29" s="926">
        <f t="shared" si="7"/>
        <v>0.30210543173815685</v>
      </c>
      <c r="T29" s="926">
        <f t="shared" si="7"/>
        <v>0.31757385026208451</v>
      </c>
      <c r="U29" s="926">
        <f t="shared" si="7"/>
        <v>0.33281024250815322</v>
      </c>
      <c r="V29" s="926">
        <f t="shared" si="7"/>
        <v>0.34781808887053089</v>
      </c>
      <c r="W29" s="926">
        <f t="shared" si="7"/>
        <v>0.36260081753747292</v>
      </c>
      <c r="X29" s="926">
        <f t="shared" si="7"/>
        <v>0.37716180527441079</v>
      </c>
      <c r="Y29" s="926">
        <f t="shared" si="7"/>
        <v>0.3915043781952946</v>
      </c>
      <c r="Z29" s="926">
        <f t="shared" si="7"/>
        <v>0.40563181252236519</v>
      </c>
      <c r="AA29" s="926">
        <f t="shared" si="7"/>
        <v>0.4195473353345297</v>
      </c>
      <c r="AB29" s="926">
        <f t="shared" si="7"/>
        <v>0.43325412530451174</v>
      </c>
      <c r="AC29" s="926">
        <f t="shared" si="7"/>
        <v>0.44675531342494407</v>
      </c>
      <c r="AD29" s="926">
        <f t="shared" si="7"/>
        <v>0.45</v>
      </c>
      <c r="AE29" s="926">
        <f t="shared" si="7"/>
        <v>0.45</v>
      </c>
      <c r="AF29" s="926">
        <f t="shared" si="7"/>
        <v>0.45</v>
      </c>
      <c r="AG29" s="926">
        <f t="shared" ref="AG29:AT29" si="8">AF29+AG28</f>
        <v>0.45</v>
      </c>
      <c r="AH29" s="926">
        <f t="shared" si="8"/>
        <v>0.45</v>
      </c>
      <c r="AI29" s="926">
        <f t="shared" si="8"/>
        <v>0.45</v>
      </c>
      <c r="AJ29" s="926">
        <f t="shared" si="8"/>
        <v>0.45</v>
      </c>
      <c r="AK29" s="926">
        <f t="shared" si="8"/>
        <v>0.45</v>
      </c>
      <c r="AL29" s="926">
        <f t="shared" si="8"/>
        <v>0.45</v>
      </c>
      <c r="AM29" s="926">
        <f t="shared" si="8"/>
        <v>0.45</v>
      </c>
      <c r="AN29" s="926">
        <f t="shared" si="8"/>
        <v>0.45</v>
      </c>
      <c r="AO29" s="926">
        <f t="shared" si="8"/>
        <v>0.45</v>
      </c>
      <c r="AP29" s="926">
        <f t="shared" si="8"/>
        <v>0.45</v>
      </c>
      <c r="AQ29" s="926">
        <f t="shared" si="8"/>
        <v>0.45</v>
      </c>
      <c r="AR29" s="926">
        <f t="shared" si="8"/>
        <v>0.45</v>
      </c>
      <c r="AS29" s="926">
        <f t="shared" si="8"/>
        <v>0.45</v>
      </c>
      <c r="AT29" s="926">
        <f t="shared" si="8"/>
        <v>0.45</v>
      </c>
    </row>
    <row r="30" spans="1:46" x14ac:dyDescent="0.3">
      <c r="A30" s="108" t="s">
        <v>4100</v>
      </c>
      <c r="B30" s="926">
        <v>0</v>
      </c>
      <c r="C30" s="926"/>
      <c r="D30" s="926"/>
      <c r="E30" s="926"/>
      <c r="F30" s="926"/>
      <c r="H30" s="926"/>
      <c r="I30" s="926"/>
      <c r="J30" s="926"/>
      <c r="K30" s="926"/>
      <c r="M30" s="926"/>
      <c r="N30" s="926"/>
      <c r="O30" s="926"/>
      <c r="P30" s="926"/>
      <c r="R30" s="926"/>
      <c r="S30" s="926"/>
      <c r="T30" s="926"/>
      <c r="U30" s="926"/>
      <c r="W30" s="926"/>
      <c r="X30" s="926"/>
      <c r="Y30" s="926"/>
      <c r="Z30" s="926"/>
      <c r="AB30" s="926"/>
      <c r="AC30" s="926"/>
      <c r="AD30" s="926"/>
      <c r="AE30" s="926"/>
      <c r="AG30" s="926"/>
      <c r="AH30" s="926"/>
      <c r="AI30" s="926"/>
      <c r="AJ30" s="926"/>
      <c r="AL30" s="926"/>
      <c r="AM30" s="926"/>
      <c r="AN30" s="926"/>
      <c r="AO30" s="926"/>
    </row>
    <row r="31" spans="1:46" x14ac:dyDescent="0.3">
      <c r="A31" s="108" t="s">
        <v>4101</v>
      </c>
      <c r="B31" s="926">
        <v>0.45</v>
      </c>
      <c r="C31" s="926"/>
      <c r="D31" s="926"/>
      <c r="E31" s="926"/>
      <c r="F31" s="926"/>
      <c r="H31" s="926"/>
      <c r="I31" s="926"/>
      <c r="J31" s="926"/>
      <c r="K31" s="926"/>
      <c r="M31" s="926"/>
      <c r="N31" s="926"/>
      <c r="O31" s="926"/>
      <c r="P31" s="926"/>
      <c r="R31" s="926"/>
      <c r="S31" s="926"/>
      <c r="T31" s="926"/>
      <c r="U31" s="926"/>
      <c r="W31" s="926"/>
      <c r="X31" s="926"/>
      <c r="Y31" s="926"/>
      <c r="Z31" s="926"/>
      <c r="AB31" s="926"/>
      <c r="AC31" s="926"/>
      <c r="AD31" s="926"/>
      <c r="AE31" s="926"/>
      <c r="AG31" s="926"/>
      <c r="AH31" s="926"/>
      <c r="AI31" s="926"/>
      <c r="AJ31" s="926"/>
      <c r="AL31" s="926"/>
      <c r="AM31" s="926"/>
      <c r="AN31" s="926"/>
      <c r="AO31" s="926"/>
    </row>
    <row r="32" spans="1:46" x14ac:dyDescent="0.3">
      <c r="A32" s="108" t="s">
        <v>4102</v>
      </c>
      <c r="B32" s="925">
        <v>6000</v>
      </c>
      <c r="C32" s="926"/>
      <c r="D32" s="926"/>
      <c r="E32" s="926"/>
      <c r="F32" s="926"/>
      <c r="H32" s="926"/>
      <c r="I32" s="926"/>
      <c r="J32" s="926"/>
      <c r="K32" s="926"/>
      <c r="M32" s="926"/>
      <c r="N32" s="926"/>
      <c r="O32" s="926"/>
      <c r="P32" s="926"/>
      <c r="R32" s="926"/>
      <c r="S32" s="926"/>
      <c r="T32" s="926"/>
      <c r="U32" s="926"/>
      <c r="W32" s="926"/>
      <c r="X32" s="926"/>
      <c r="Y32" s="926"/>
      <c r="Z32" s="926"/>
      <c r="AB32" s="926"/>
      <c r="AC32" s="926"/>
      <c r="AD32" s="926"/>
      <c r="AE32" s="926"/>
      <c r="AG32" s="926"/>
      <c r="AH32" s="926"/>
      <c r="AI32" s="926"/>
      <c r="AJ32" s="926"/>
      <c r="AL32" s="926"/>
      <c r="AM32" s="926"/>
      <c r="AN32" s="926"/>
      <c r="AO32" s="926"/>
    </row>
    <row r="33" spans="1:46" x14ac:dyDescent="0.3">
      <c r="A33" s="108" t="s">
        <v>4103</v>
      </c>
      <c r="B33" s="926">
        <v>0.98499999999999999</v>
      </c>
    </row>
    <row r="34" spans="1:46" x14ac:dyDescent="0.3">
      <c r="A34" s="108" t="s">
        <v>4104</v>
      </c>
      <c r="B34" s="926">
        <f>R29</f>
        <v>0.286401453541276</v>
      </c>
    </row>
    <row r="35" spans="1:46" x14ac:dyDescent="0.3">
      <c r="A35" s="108" t="s">
        <v>4105</v>
      </c>
      <c r="B35" s="926">
        <f>AD29</f>
        <v>0.45</v>
      </c>
    </row>
    <row r="38" spans="1:46" x14ac:dyDescent="0.3">
      <c r="A38" s="90" t="s">
        <v>3078</v>
      </c>
    </row>
    <row r="39" spans="1:46" x14ac:dyDescent="0.3">
      <c r="A39" s="610"/>
      <c r="B39" s="682">
        <v>2020</v>
      </c>
      <c r="C39" s="682" t="s">
        <v>1125</v>
      </c>
      <c r="D39" s="682" t="s">
        <v>1126</v>
      </c>
      <c r="E39" s="682" t="s">
        <v>1127</v>
      </c>
      <c r="F39" s="682" t="s">
        <v>1128</v>
      </c>
      <c r="G39" s="682" t="s">
        <v>922</v>
      </c>
      <c r="H39" s="682" t="s">
        <v>923</v>
      </c>
      <c r="I39" s="682" t="s">
        <v>924</v>
      </c>
      <c r="J39" s="682" t="s">
        <v>925</v>
      </c>
      <c r="K39" s="682" t="s">
        <v>883</v>
      </c>
      <c r="L39" s="682" t="s">
        <v>884</v>
      </c>
      <c r="M39" s="682" t="s">
        <v>885</v>
      </c>
      <c r="N39" s="682" t="s">
        <v>886</v>
      </c>
      <c r="O39" s="682" t="s">
        <v>887</v>
      </c>
      <c r="P39" s="682" t="s">
        <v>888</v>
      </c>
      <c r="Q39" s="682" t="s">
        <v>1027</v>
      </c>
      <c r="R39" s="682" t="s">
        <v>1028</v>
      </c>
      <c r="S39" s="682" t="s">
        <v>1047</v>
      </c>
      <c r="T39" s="682" t="s">
        <v>1048</v>
      </c>
      <c r="U39" s="682" t="s">
        <v>1049</v>
      </c>
      <c r="V39" s="682" t="s">
        <v>1050</v>
      </c>
      <c r="W39" s="682" t="s">
        <v>1051</v>
      </c>
      <c r="X39" s="682" t="s">
        <v>1052</v>
      </c>
      <c r="Y39" s="682" t="s">
        <v>1053</v>
      </c>
      <c r="Z39" s="682" t="s">
        <v>1054</v>
      </c>
      <c r="AA39" s="682" t="s">
        <v>1055</v>
      </c>
      <c r="AB39" s="682" t="s">
        <v>1056</v>
      </c>
      <c r="AC39" s="682" t="s">
        <v>1057</v>
      </c>
      <c r="AD39" s="682" t="s">
        <v>1058</v>
      </c>
      <c r="AE39" s="682" t="s">
        <v>1059</v>
      </c>
      <c r="AF39" s="682" t="s">
        <v>1060</v>
      </c>
      <c r="AG39" s="682" t="s">
        <v>1061</v>
      </c>
      <c r="AH39" s="682" t="s">
        <v>1062</v>
      </c>
      <c r="AI39" s="682" t="s">
        <v>4087</v>
      </c>
      <c r="AJ39" s="682" t="s">
        <v>4088</v>
      </c>
      <c r="AK39" s="682" t="s">
        <v>4089</v>
      </c>
      <c r="AL39" s="682" t="s">
        <v>4090</v>
      </c>
      <c r="AM39" s="682" t="s">
        <v>4091</v>
      </c>
      <c r="AN39" s="682" t="s">
        <v>4092</v>
      </c>
      <c r="AO39" s="682" t="s">
        <v>4093</v>
      </c>
      <c r="AP39" s="682" t="s">
        <v>4094</v>
      </c>
      <c r="AQ39" s="682" t="s">
        <v>4095</v>
      </c>
      <c r="AR39" s="682" t="s">
        <v>4096</v>
      </c>
      <c r="AS39" s="682" t="s">
        <v>4097</v>
      </c>
      <c r="AT39" s="682" t="s">
        <v>4098</v>
      </c>
    </row>
    <row r="40" spans="1:46" x14ac:dyDescent="0.3">
      <c r="A40" s="927">
        <v>2020</v>
      </c>
    </row>
    <row r="41" spans="1:46" x14ac:dyDescent="0.3">
      <c r="A41" s="927" t="s">
        <v>1125</v>
      </c>
      <c r="C41" s="928">
        <f>$C$25*C$29</f>
        <v>2.08</v>
      </c>
      <c r="D41" s="928">
        <f t="shared" ref="D41:AT41" si="9">$C$25*D$29</f>
        <v>4.1288</v>
      </c>
      <c r="E41" s="928">
        <f t="shared" si="9"/>
        <v>6.1468679999999996</v>
      </c>
      <c r="F41" s="928">
        <f t="shared" si="9"/>
        <v>8.1346649800000002</v>
      </c>
      <c r="G41" s="928">
        <f t="shared" si="9"/>
        <v>10.0926450053</v>
      </c>
      <c r="H41" s="928">
        <f t="shared" si="9"/>
        <v>12.0212553302205</v>
      </c>
      <c r="I41" s="928">
        <f t="shared" si="9"/>
        <v>13.920936500267192</v>
      </c>
      <c r="J41" s="928">
        <f t="shared" si="9"/>
        <v>15.792122452763184</v>
      </c>
      <c r="K41" s="928">
        <f t="shared" si="9"/>
        <v>17.635240615971735</v>
      </c>
      <c r="L41" s="928">
        <f t="shared" si="9"/>
        <v>19.450712006732157</v>
      </c>
      <c r="M41" s="928">
        <f t="shared" si="9"/>
        <v>21.238951326631177</v>
      </c>
      <c r="N41" s="928">
        <f t="shared" si="9"/>
        <v>23.000367056731708</v>
      </c>
      <c r="O41" s="928">
        <f t="shared" si="9"/>
        <v>24.735361550880729</v>
      </c>
      <c r="P41" s="928">
        <f t="shared" si="9"/>
        <v>26.44433112761752</v>
      </c>
      <c r="Q41" s="928">
        <f t="shared" si="9"/>
        <v>28.127666160703257</v>
      </c>
      <c r="R41" s="928">
        <f t="shared" si="9"/>
        <v>29.785751168292705</v>
      </c>
      <c r="S41" s="928">
        <f t="shared" si="9"/>
        <v>31.418964900768312</v>
      </c>
      <c r="T41" s="928">
        <f t="shared" si="9"/>
        <v>33.02768042725679</v>
      </c>
      <c r="U41" s="928">
        <f t="shared" si="9"/>
        <v>34.612265220847938</v>
      </c>
      <c r="V41" s="928">
        <f t="shared" si="9"/>
        <v>36.173081242535211</v>
      </c>
      <c r="W41" s="928">
        <f t="shared" si="9"/>
        <v>37.710485023897185</v>
      </c>
      <c r="X41" s="928">
        <f t="shared" si="9"/>
        <v>39.224827748538722</v>
      </c>
      <c r="Y41" s="928">
        <f t="shared" si="9"/>
        <v>40.716455332310638</v>
      </c>
      <c r="Z41" s="928">
        <f t="shared" si="9"/>
        <v>42.18570850232598</v>
      </c>
      <c r="AA41" s="928">
        <f t="shared" si="9"/>
        <v>43.632922874791092</v>
      </c>
      <c r="AB41" s="928">
        <f t="shared" si="9"/>
        <v>45.05842903166922</v>
      </c>
      <c r="AC41" s="928">
        <f t="shared" si="9"/>
        <v>46.462552596194186</v>
      </c>
      <c r="AD41" s="928">
        <f t="shared" si="9"/>
        <v>46.800000000000004</v>
      </c>
      <c r="AE41" s="928">
        <f t="shared" si="9"/>
        <v>46.800000000000004</v>
      </c>
      <c r="AF41" s="928">
        <f t="shared" si="9"/>
        <v>46.800000000000004</v>
      </c>
      <c r="AG41" s="928">
        <f t="shared" si="9"/>
        <v>46.800000000000004</v>
      </c>
      <c r="AH41" s="928">
        <f t="shared" si="9"/>
        <v>46.800000000000004</v>
      </c>
      <c r="AI41" s="928">
        <f t="shared" si="9"/>
        <v>46.800000000000004</v>
      </c>
      <c r="AJ41" s="928">
        <f t="shared" si="9"/>
        <v>46.800000000000004</v>
      </c>
      <c r="AK41" s="928">
        <f t="shared" si="9"/>
        <v>46.800000000000004</v>
      </c>
      <c r="AL41" s="928">
        <f t="shared" si="9"/>
        <v>46.800000000000004</v>
      </c>
      <c r="AM41" s="928">
        <f t="shared" si="9"/>
        <v>46.800000000000004</v>
      </c>
      <c r="AN41" s="928">
        <f t="shared" si="9"/>
        <v>46.800000000000004</v>
      </c>
      <c r="AO41" s="928">
        <f t="shared" si="9"/>
        <v>46.800000000000004</v>
      </c>
      <c r="AP41" s="928">
        <f t="shared" si="9"/>
        <v>46.800000000000004</v>
      </c>
      <c r="AQ41" s="928">
        <f t="shared" si="9"/>
        <v>46.800000000000004</v>
      </c>
      <c r="AR41" s="928">
        <f t="shared" si="9"/>
        <v>46.800000000000004</v>
      </c>
      <c r="AS41" s="928">
        <f t="shared" si="9"/>
        <v>46.800000000000004</v>
      </c>
      <c r="AT41" s="928">
        <f t="shared" si="9"/>
        <v>46.800000000000004</v>
      </c>
    </row>
    <row r="42" spans="1:46" x14ac:dyDescent="0.3">
      <c r="A42" s="927" t="s">
        <v>1126</v>
      </c>
      <c r="C42" s="928"/>
      <c r="D42" s="928">
        <f>$D$25*C$29</f>
        <v>3.14</v>
      </c>
      <c r="E42" s="928">
        <f t="shared" ref="E42:AT42" si="10">$D$25*D$29</f>
        <v>6.2328999999999999</v>
      </c>
      <c r="F42" s="928">
        <f t="shared" si="10"/>
        <v>9.2794065000000003</v>
      </c>
      <c r="G42" s="928">
        <f t="shared" si="10"/>
        <v>12.280215402500001</v>
      </c>
      <c r="H42" s="928">
        <f t="shared" si="10"/>
        <v>15.2360121714625</v>
      </c>
      <c r="I42" s="928">
        <f t="shared" si="10"/>
        <v>18.147471988890562</v>
      </c>
      <c r="J42" s="928">
        <f t="shared" si="10"/>
        <v>21.015259909057203</v>
      </c>
      <c r="K42" s="928">
        <f t="shared" si="10"/>
        <v>23.840031010421345</v>
      </c>
      <c r="L42" s="928">
        <f t="shared" si="10"/>
        <v>26.622430545265026</v>
      </c>
      <c r="M42" s="928">
        <f t="shared" si="10"/>
        <v>29.363094087086047</v>
      </c>
      <c r="N42" s="928">
        <f t="shared" si="10"/>
        <v>32.062647675779758</v>
      </c>
      <c r="O42" s="928">
        <f t="shared" si="10"/>
        <v>34.721707960643059</v>
      </c>
      <c r="P42" s="928">
        <f t="shared" si="10"/>
        <v>37.34088234123341</v>
      </c>
      <c r="Q42" s="928">
        <f t="shared" si="10"/>
        <v>39.920769106114911</v>
      </c>
      <c r="R42" s="928">
        <f t="shared" si="10"/>
        <v>42.461957569523186</v>
      </c>
      <c r="S42" s="928">
        <f t="shared" si="10"/>
        <v>44.965028205980332</v>
      </c>
      <c r="T42" s="928">
        <f t="shared" si="10"/>
        <v>47.430552782890622</v>
      </c>
      <c r="U42" s="928">
        <f t="shared" si="10"/>
        <v>49.859094491147268</v>
      </c>
      <c r="V42" s="928">
        <f t="shared" si="10"/>
        <v>52.251208073780056</v>
      </c>
      <c r="W42" s="928">
        <f t="shared" si="10"/>
        <v>54.607439952673353</v>
      </c>
      <c r="X42" s="928">
        <f t="shared" si="10"/>
        <v>56.92832835338325</v>
      </c>
      <c r="Y42" s="928">
        <f t="shared" si="10"/>
        <v>59.214403428082491</v>
      </c>
      <c r="Z42" s="928">
        <f t="shared" si="10"/>
        <v>61.466187376661253</v>
      </c>
      <c r="AA42" s="928">
        <f t="shared" si="10"/>
        <v>63.684194566011335</v>
      </c>
      <c r="AB42" s="928">
        <f t="shared" si="10"/>
        <v>65.868931647521165</v>
      </c>
      <c r="AC42" s="928">
        <f t="shared" si="10"/>
        <v>68.020897672808346</v>
      </c>
      <c r="AD42" s="928">
        <f t="shared" si="10"/>
        <v>70.140584207716216</v>
      </c>
      <c r="AE42" s="928">
        <f t="shared" si="10"/>
        <v>70.650000000000006</v>
      </c>
      <c r="AF42" s="928">
        <f t="shared" si="10"/>
        <v>70.650000000000006</v>
      </c>
      <c r="AG42" s="928">
        <f t="shared" si="10"/>
        <v>70.650000000000006</v>
      </c>
      <c r="AH42" s="928">
        <f t="shared" si="10"/>
        <v>70.650000000000006</v>
      </c>
      <c r="AI42" s="928">
        <f t="shared" si="10"/>
        <v>70.650000000000006</v>
      </c>
      <c r="AJ42" s="928">
        <f t="shared" si="10"/>
        <v>70.650000000000006</v>
      </c>
      <c r="AK42" s="928">
        <f t="shared" si="10"/>
        <v>70.650000000000006</v>
      </c>
      <c r="AL42" s="928">
        <f t="shared" si="10"/>
        <v>70.650000000000006</v>
      </c>
      <c r="AM42" s="928">
        <f t="shared" si="10"/>
        <v>70.650000000000006</v>
      </c>
      <c r="AN42" s="928">
        <f t="shared" si="10"/>
        <v>70.650000000000006</v>
      </c>
      <c r="AO42" s="928">
        <f t="shared" si="10"/>
        <v>70.650000000000006</v>
      </c>
      <c r="AP42" s="928">
        <f t="shared" si="10"/>
        <v>70.650000000000006</v>
      </c>
      <c r="AQ42" s="928">
        <f t="shared" si="10"/>
        <v>70.650000000000006</v>
      </c>
      <c r="AR42" s="928">
        <f t="shared" si="10"/>
        <v>70.650000000000006</v>
      </c>
      <c r="AS42" s="928">
        <f t="shared" si="10"/>
        <v>70.650000000000006</v>
      </c>
      <c r="AT42" s="928">
        <f t="shared" si="10"/>
        <v>70.650000000000006</v>
      </c>
    </row>
    <row r="43" spans="1:46" x14ac:dyDescent="0.3">
      <c r="A43" s="927" t="s">
        <v>1127</v>
      </c>
      <c r="E43" s="928">
        <f>$E$25*C$29</f>
        <v>3.3000000000000003</v>
      </c>
      <c r="F43" s="928">
        <f t="shared" ref="F43:AT43" si="11">$E$25*D$29</f>
        <v>6.5504999999999995</v>
      </c>
      <c r="G43" s="928">
        <f t="shared" si="11"/>
        <v>9.7522424999999995</v>
      </c>
      <c r="H43" s="928">
        <f t="shared" si="11"/>
        <v>12.9059588625</v>
      </c>
      <c r="I43" s="928">
        <f t="shared" si="11"/>
        <v>16.012369479562501</v>
      </c>
      <c r="J43" s="928">
        <f t="shared" si="11"/>
        <v>19.072183937369061</v>
      </c>
      <c r="K43" s="928">
        <f t="shared" si="11"/>
        <v>22.086101178308528</v>
      </c>
      <c r="L43" s="928">
        <f t="shared" si="11"/>
        <v>25.054809660633897</v>
      </c>
      <c r="M43" s="928">
        <f t="shared" si="11"/>
        <v>27.978987515724388</v>
      </c>
      <c r="N43" s="928">
        <f t="shared" si="11"/>
        <v>30.859302702988519</v>
      </c>
      <c r="O43" s="928">
        <f t="shared" si="11"/>
        <v>33.69641316244369</v>
      </c>
      <c r="P43" s="928">
        <f t="shared" si="11"/>
        <v>36.49096696500704</v>
      </c>
      <c r="Q43" s="928">
        <f t="shared" si="11"/>
        <v>39.243602460531925</v>
      </c>
      <c r="R43" s="928">
        <f t="shared" si="11"/>
        <v>41.954948423623946</v>
      </c>
      <c r="S43" s="928">
        <f t="shared" si="11"/>
        <v>44.625624197269588</v>
      </c>
      <c r="T43" s="928">
        <f t="shared" si="11"/>
        <v>47.256239834310541</v>
      </c>
      <c r="U43" s="928">
        <f t="shared" si="11"/>
        <v>49.84739623679588</v>
      </c>
      <c r="V43" s="928">
        <f t="shared" si="11"/>
        <v>52.399685293243941</v>
      </c>
      <c r="W43" s="928">
        <f t="shared" si="11"/>
        <v>54.913690013845283</v>
      </c>
      <c r="X43" s="928">
        <f t="shared" si="11"/>
        <v>57.389984663637598</v>
      </c>
      <c r="Y43" s="928">
        <f t="shared" si="11"/>
        <v>59.829134893683033</v>
      </c>
      <c r="Z43" s="928">
        <f t="shared" si="11"/>
        <v>62.231697870277777</v>
      </c>
      <c r="AA43" s="928">
        <f t="shared" si="11"/>
        <v>64.598222402223612</v>
      </c>
      <c r="AB43" s="928">
        <f t="shared" si="11"/>
        <v>66.929249066190252</v>
      </c>
      <c r="AC43" s="928">
        <f t="shared" si="11"/>
        <v>69.225310330197402</v>
      </c>
      <c r="AD43" s="928">
        <f t="shared" si="11"/>
        <v>71.486930675244437</v>
      </c>
      <c r="AE43" s="928">
        <f t="shared" si="11"/>
        <v>73.71462671511577</v>
      </c>
      <c r="AF43" s="928">
        <f t="shared" si="11"/>
        <v>74.25</v>
      </c>
      <c r="AG43" s="928">
        <f t="shared" si="11"/>
        <v>74.25</v>
      </c>
      <c r="AH43" s="928">
        <f t="shared" si="11"/>
        <v>74.25</v>
      </c>
      <c r="AI43" s="928">
        <f t="shared" si="11"/>
        <v>74.25</v>
      </c>
      <c r="AJ43" s="928">
        <f t="shared" si="11"/>
        <v>74.25</v>
      </c>
      <c r="AK43" s="928">
        <f t="shared" si="11"/>
        <v>74.25</v>
      </c>
      <c r="AL43" s="928">
        <f t="shared" si="11"/>
        <v>74.25</v>
      </c>
      <c r="AM43" s="928">
        <f t="shared" si="11"/>
        <v>74.25</v>
      </c>
      <c r="AN43" s="928">
        <f t="shared" si="11"/>
        <v>74.25</v>
      </c>
      <c r="AO43" s="928">
        <f t="shared" si="11"/>
        <v>74.25</v>
      </c>
      <c r="AP43" s="928">
        <f t="shared" si="11"/>
        <v>74.25</v>
      </c>
      <c r="AQ43" s="928">
        <f t="shared" si="11"/>
        <v>74.25</v>
      </c>
      <c r="AR43" s="928">
        <f t="shared" si="11"/>
        <v>74.25</v>
      </c>
      <c r="AS43" s="928">
        <f t="shared" si="11"/>
        <v>74.25</v>
      </c>
      <c r="AT43" s="928">
        <f t="shared" si="11"/>
        <v>74.25</v>
      </c>
    </row>
    <row r="44" spans="1:46" x14ac:dyDescent="0.3">
      <c r="A44" s="927" t="s">
        <v>1128</v>
      </c>
      <c r="F44" s="928">
        <f>$F$25*C$29</f>
        <v>3.48</v>
      </c>
      <c r="G44" s="928">
        <f t="shared" ref="G44:AT44" si="12">$F$25*D$29</f>
        <v>6.9077999999999999</v>
      </c>
      <c r="H44" s="928">
        <f t="shared" si="12"/>
        <v>10.284182999999999</v>
      </c>
      <c r="I44" s="928">
        <f t="shared" si="12"/>
        <v>13.609920255</v>
      </c>
      <c r="J44" s="928">
        <f t="shared" si="12"/>
        <v>16.885771451175</v>
      </c>
      <c r="K44" s="928">
        <f t="shared" si="12"/>
        <v>20.112484879407376</v>
      </c>
      <c r="L44" s="928">
        <f t="shared" si="12"/>
        <v>23.290797606216266</v>
      </c>
      <c r="M44" s="928">
        <f t="shared" si="12"/>
        <v>26.421435642123019</v>
      </c>
      <c r="N44" s="928">
        <f t="shared" si="12"/>
        <v>29.505114107491174</v>
      </c>
      <c r="O44" s="928">
        <f t="shared" si="12"/>
        <v>32.542537395878803</v>
      </c>
      <c r="P44" s="928">
        <f t="shared" si="12"/>
        <v>35.534399334940623</v>
      </c>
      <c r="Q44" s="928">
        <f t="shared" si="12"/>
        <v>38.481383344916509</v>
      </c>
      <c r="R44" s="928">
        <f t="shared" si="12"/>
        <v>41.384162594742762</v>
      </c>
      <c r="S44" s="928">
        <f t="shared" si="12"/>
        <v>44.243400155821618</v>
      </c>
      <c r="T44" s="928">
        <f t="shared" si="12"/>
        <v>47.05974915348429</v>
      </c>
      <c r="U44" s="928">
        <f t="shared" si="12"/>
        <v>49.833852916182025</v>
      </c>
      <c r="V44" s="928">
        <f t="shared" si="12"/>
        <v>52.566345122439294</v>
      </c>
      <c r="W44" s="928">
        <f t="shared" si="12"/>
        <v>55.257849945602707</v>
      </c>
      <c r="X44" s="928">
        <f t="shared" si="12"/>
        <v>57.908982196418663</v>
      </c>
      <c r="Y44" s="928">
        <f t="shared" si="12"/>
        <v>60.520347463472376</v>
      </c>
      <c r="Z44" s="928">
        <f t="shared" si="12"/>
        <v>63.092542251520285</v>
      </c>
      <c r="AA44" s="928">
        <f t="shared" si="12"/>
        <v>65.626154117747475</v>
      </c>
      <c r="AB44" s="928">
        <f t="shared" si="12"/>
        <v>68.121761805981265</v>
      </c>
      <c r="AC44" s="928">
        <f t="shared" si="12"/>
        <v>70.579935378891548</v>
      </c>
      <c r="AD44" s="928">
        <f t="shared" si="12"/>
        <v>73.001236348208167</v>
      </c>
      <c r="AE44" s="928">
        <f t="shared" si="12"/>
        <v>75.386217802985044</v>
      </c>
      <c r="AF44" s="928">
        <f t="shared" si="12"/>
        <v>77.735424535940268</v>
      </c>
      <c r="AG44" s="928">
        <f t="shared" si="12"/>
        <v>78.3</v>
      </c>
      <c r="AH44" s="928">
        <f t="shared" si="12"/>
        <v>78.3</v>
      </c>
      <c r="AI44" s="928">
        <f t="shared" si="12"/>
        <v>78.3</v>
      </c>
      <c r="AJ44" s="928">
        <f t="shared" si="12"/>
        <v>78.3</v>
      </c>
      <c r="AK44" s="928">
        <f t="shared" si="12"/>
        <v>78.3</v>
      </c>
      <c r="AL44" s="928">
        <f t="shared" si="12"/>
        <v>78.3</v>
      </c>
      <c r="AM44" s="928">
        <f t="shared" si="12"/>
        <v>78.3</v>
      </c>
      <c r="AN44" s="928">
        <f t="shared" si="12"/>
        <v>78.3</v>
      </c>
      <c r="AO44" s="928">
        <f t="shared" si="12"/>
        <v>78.3</v>
      </c>
      <c r="AP44" s="928">
        <f t="shared" si="12"/>
        <v>78.3</v>
      </c>
      <c r="AQ44" s="928">
        <f t="shared" si="12"/>
        <v>78.3</v>
      </c>
      <c r="AR44" s="928">
        <f t="shared" si="12"/>
        <v>78.3</v>
      </c>
      <c r="AS44" s="928">
        <f t="shared" si="12"/>
        <v>78.3</v>
      </c>
      <c r="AT44" s="928">
        <f t="shared" si="12"/>
        <v>78.3</v>
      </c>
    </row>
    <row r="45" spans="1:46" x14ac:dyDescent="0.3">
      <c r="A45" s="927" t="s">
        <v>922</v>
      </c>
      <c r="G45" s="928">
        <f>$G$25*C$29</f>
        <v>5</v>
      </c>
      <c r="H45" s="928">
        <f t="shared" ref="H45:AT45" si="13">$G$25*D$29</f>
        <v>9.9249999999999989</v>
      </c>
      <c r="I45" s="928">
        <f t="shared" si="13"/>
        <v>14.776124999999999</v>
      </c>
      <c r="J45" s="928">
        <f t="shared" si="13"/>
        <v>19.554483125000001</v>
      </c>
      <c r="K45" s="928">
        <f t="shared" si="13"/>
        <v>24.261165878125002</v>
      </c>
      <c r="L45" s="928">
        <f t="shared" si="13"/>
        <v>28.897248389953127</v>
      </c>
      <c r="M45" s="928">
        <f t="shared" si="13"/>
        <v>33.463789664103828</v>
      </c>
      <c r="N45" s="928">
        <f t="shared" si="13"/>
        <v>37.961832819142266</v>
      </c>
      <c r="O45" s="928">
        <f t="shared" si="13"/>
        <v>42.392405326855133</v>
      </c>
      <c r="P45" s="928">
        <f t="shared" si="13"/>
        <v>46.756519246952301</v>
      </c>
      <c r="Q45" s="928">
        <f t="shared" si="13"/>
        <v>51.055171458248019</v>
      </c>
      <c r="R45" s="928">
        <f t="shared" si="13"/>
        <v>55.289343886374297</v>
      </c>
      <c r="S45" s="928">
        <f t="shared" si="13"/>
        <v>59.460003728078675</v>
      </c>
      <c r="T45" s="928">
        <f t="shared" si="13"/>
        <v>63.568103672157498</v>
      </c>
      <c r="U45" s="928">
        <f t="shared" si="13"/>
        <v>67.61458211707513</v>
      </c>
      <c r="V45" s="928">
        <f t="shared" si="13"/>
        <v>71.600363385319</v>
      </c>
      <c r="W45" s="928">
        <f t="shared" si="13"/>
        <v>75.526357934539206</v>
      </c>
      <c r="X45" s="928">
        <f t="shared" si="13"/>
        <v>79.393462565521133</v>
      </c>
      <c r="Y45" s="928">
        <f t="shared" si="13"/>
        <v>83.202560627038309</v>
      </c>
      <c r="Z45" s="928">
        <f t="shared" si="13"/>
        <v>86.954522217632729</v>
      </c>
      <c r="AA45" s="928">
        <f t="shared" si="13"/>
        <v>90.650204384368223</v>
      </c>
      <c r="AB45" s="928">
        <f t="shared" si="13"/>
        <v>94.290451318602692</v>
      </c>
      <c r="AC45" s="928">
        <f t="shared" si="13"/>
        <v>97.876094548823644</v>
      </c>
      <c r="AD45" s="928">
        <f t="shared" si="13"/>
        <v>101.4079531305913</v>
      </c>
      <c r="AE45" s="928">
        <f t="shared" si="13"/>
        <v>104.88683383363242</v>
      </c>
      <c r="AF45" s="928">
        <f t="shared" si="13"/>
        <v>108.31353132612793</v>
      </c>
      <c r="AG45" s="928">
        <f t="shared" si="13"/>
        <v>111.68882835623602</v>
      </c>
      <c r="AH45" s="928">
        <f t="shared" si="13"/>
        <v>112.5</v>
      </c>
      <c r="AI45" s="928">
        <f t="shared" si="13"/>
        <v>112.5</v>
      </c>
      <c r="AJ45" s="928">
        <f t="shared" si="13"/>
        <v>112.5</v>
      </c>
      <c r="AK45" s="928">
        <f t="shared" si="13"/>
        <v>112.5</v>
      </c>
      <c r="AL45" s="928">
        <f t="shared" si="13"/>
        <v>112.5</v>
      </c>
      <c r="AM45" s="928">
        <f t="shared" si="13"/>
        <v>112.5</v>
      </c>
      <c r="AN45" s="928">
        <f t="shared" si="13"/>
        <v>112.5</v>
      </c>
      <c r="AO45" s="928">
        <f t="shared" si="13"/>
        <v>112.5</v>
      </c>
      <c r="AP45" s="928">
        <f t="shared" si="13"/>
        <v>112.5</v>
      </c>
      <c r="AQ45" s="928">
        <f t="shared" si="13"/>
        <v>112.5</v>
      </c>
      <c r="AR45" s="928">
        <f t="shared" si="13"/>
        <v>112.5</v>
      </c>
      <c r="AS45" s="928">
        <f t="shared" si="13"/>
        <v>112.5</v>
      </c>
      <c r="AT45" s="928">
        <f t="shared" si="13"/>
        <v>112.5</v>
      </c>
    </row>
    <row r="46" spans="1:46" x14ac:dyDescent="0.3">
      <c r="A46" s="927" t="s">
        <v>923</v>
      </c>
      <c r="H46" s="928">
        <f>$H$25*C$29</f>
        <v>5</v>
      </c>
      <c r="I46" s="928">
        <f t="shared" ref="I46:AT46" si="14">$H$25*D$29</f>
        <v>9.9249999999999989</v>
      </c>
      <c r="J46" s="928">
        <f t="shared" si="14"/>
        <v>14.776124999999999</v>
      </c>
      <c r="K46" s="928">
        <f t="shared" si="14"/>
        <v>19.554483125000001</v>
      </c>
      <c r="L46" s="928">
        <f t="shared" si="14"/>
        <v>24.261165878125002</v>
      </c>
      <c r="M46" s="928">
        <f t="shared" si="14"/>
        <v>28.897248389953127</v>
      </c>
      <c r="N46" s="928">
        <f t="shared" si="14"/>
        <v>33.463789664103828</v>
      </c>
      <c r="O46" s="928">
        <f t="shared" si="14"/>
        <v>37.961832819142266</v>
      </c>
      <c r="P46" s="928">
        <f t="shared" si="14"/>
        <v>42.392405326855133</v>
      </c>
      <c r="Q46" s="928">
        <f t="shared" si="14"/>
        <v>46.756519246952301</v>
      </c>
      <c r="R46" s="928">
        <f t="shared" si="14"/>
        <v>51.055171458248019</v>
      </c>
      <c r="S46" s="928">
        <f t="shared" si="14"/>
        <v>55.289343886374297</v>
      </c>
      <c r="T46" s="928">
        <f t="shared" si="14"/>
        <v>59.460003728078675</v>
      </c>
      <c r="U46" s="928">
        <f t="shared" si="14"/>
        <v>63.568103672157498</v>
      </c>
      <c r="V46" s="928">
        <f t="shared" si="14"/>
        <v>67.61458211707513</v>
      </c>
      <c r="W46" s="928">
        <f t="shared" si="14"/>
        <v>71.600363385319</v>
      </c>
      <c r="X46" s="928">
        <f t="shared" si="14"/>
        <v>75.526357934539206</v>
      </c>
      <c r="Y46" s="928">
        <f t="shared" si="14"/>
        <v>79.393462565521133</v>
      </c>
      <c r="Z46" s="928">
        <f t="shared" si="14"/>
        <v>83.202560627038309</v>
      </c>
      <c r="AA46" s="928">
        <f t="shared" si="14"/>
        <v>86.954522217632729</v>
      </c>
      <c r="AB46" s="928">
        <f t="shared" si="14"/>
        <v>90.650204384368223</v>
      </c>
      <c r="AC46" s="928">
        <f t="shared" si="14"/>
        <v>94.290451318602692</v>
      </c>
      <c r="AD46" s="928">
        <f t="shared" si="14"/>
        <v>97.876094548823644</v>
      </c>
      <c r="AE46" s="928">
        <f t="shared" si="14"/>
        <v>101.4079531305913</v>
      </c>
      <c r="AF46" s="928">
        <f t="shared" si="14"/>
        <v>104.88683383363242</v>
      </c>
      <c r="AG46" s="928">
        <f t="shared" si="14"/>
        <v>108.31353132612793</v>
      </c>
      <c r="AH46" s="928">
        <f t="shared" si="14"/>
        <v>111.68882835623602</v>
      </c>
      <c r="AI46" s="928">
        <f t="shared" si="14"/>
        <v>112.5</v>
      </c>
      <c r="AJ46" s="928">
        <f t="shared" si="14"/>
        <v>112.5</v>
      </c>
      <c r="AK46" s="928">
        <f t="shared" si="14"/>
        <v>112.5</v>
      </c>
      <c r="AL46" s="928">
        <f t="shared" si="14"/>
        <v>112.5</v>
      </c>
      <c r="AM46" s="928">
        <f t="shared" si="14"/>
        <v>112.5</v>
      </c>
      <c r="AN46" s="928">
        <f t="shared" si="14"/>
        <v>112.5</v>
      </c>
      <c r="AO46" s="928">
        <f t="shared" si="14"/>
        <v>112.5</v>
      </c>
      <c r="AP46" s="928">
        <f t="shared" si="14"/>
        <v>112.5</v>
      </c>
      <c r="AQ46" s="928">
        <f t="shared" si="14"/>
        <v>112.5</v>
      </c>
      <c r="AR46" s="928">
        <f t="shared" si="14"/>
        <v>112.5</v>
      </c>
      <c r="AS46" s="928">
        <f t="shared" si="14"/>
        <v>112.5</v>
      </c>
      <c r="AT46" s="928">
        <f t="shared" si="14"/>
        <v>112.5</v>
      </c>
    </row>
    <row r="47" spans="1:46" x14ac:dyDescent="0.3">
      <c r="A47" s="927" t="s">
        <v>924</v>
      </c>
      <c r="I47" s="928">
        <f>$I$25*C$29</f>
        <v>5</v>
      </c>
      <c r="J47" s="928">
        <f t="shared" ref="J47:AT47" si="15">$I$25*D$29</f>
        <v>9.9249999999999989</v>
      </c>
      <c r="K47" s="928">
        <f t="shared" si="15"/>
        <v>14.776124999999999</v>
      </c>
      <c r="L47" s="928">
        <f t="shared" si="15"/>
        <v>19.554483125000001</v>
      </c>
      <c r="M47" s="928">
        <f t="shared" si="15"/>
        <v>24.261165878125002</v>
      </c>
      <c r="N47" s="928">
        <f t="shared" si="15"/>
        <v>28.897248389953127</v>
      </c>
      <c r="O47" s="928">
        <f t="shared" si="15"/>
        <v>33.463789664103828</v>
      </c>
      <c r="P47" s="928">
        <f t="shared" si="15"/>
        <v>37.961832819142266</v>
      </c>
      <c r="Q47" s="928">
        <f t="shared" si="15"/>
        <v>42.392405326855133</v>
      </c>
      <c r="R47" s="928">
        <f t="shared" si="15"/>
        <v>46.756519246952301</v>
      </c>
      <c r="S47" s="928">
        <f t="shared" si="15"/>
        <v>51.055171458248019</v>
      </c>
      <c r="T47" s="928">
        <f t="shared" si="15"/>
        <v>55.289343886374297</v>
      </c>
      <c r="U47" s="928">
        <f t="shared" si="15"/>
        <v>59.460003728078675</v>
      </c>
      <c r="V47" s="928">
        <f t="shared" si="15"/>
        <v>63.568103672157498</v>
      </c>
      <c r="W47" s="928">
        <f t="shared" si="15"/>
        <v>67.61458211707513</v>
      </c>
      <c r="X47" s="928">
        <f t="shared" si="15"/>
        <v>71.600363385319</v>
      </c>
      <c r="Y47" s="928">
        <f t="shared" si="15"/>
        <v>75.526357934539206</v>
      </c>
      <c r="Z47" s="928">
        <f t="shared" si="15"/>
        <v>79.393462565521133</v>
      </c>
      <c r="AA47" s="928">
        <f t="shared" si="15"/>
        <v>83.202560627038309</v>
      </c>
      <c r="AB47" s="928">
        <f t="shared" si="15"/>
        <v>86.954522217632729</v>
      </c>
      <c r="AC47" s="928">
        <f t="shared" si="15"/>
        <v>90.650204384368223</v>
      </c>
      <c r="AD47" s="928">
        <f t="shared" si="15"/>
        <v>94.290451318602692</v>
      </c>
      <c r="AE47" s="928">
        <f t="shared" si="15"/>
        <v>97.876094548823644</v>
      </c>
      <c r="AF47" s="928">
        <f t="shared" si="15"/>
        <v>101.4079531305913</v>
      </c>
      <c r="AG47" s="928">
        <f t="shared" si="15"/>
        <v>104.88683383363242</v>
      </c>
      <c r="AH47" s="928">
        <f t="shared" si="15"/>
        <v>108.31353132612793</v>
      </c>
      <c r="AI47" s="928">
        <f t="shared" si="15"/>
        <v>111.68882835623602</v>
      </c>
      <c r="AJ47" s="928">
        <f t="shared" si="15"/>
        <v>112.5</v>
      </c>
      <c r="AK47" s="928">
        <f t="shared" si="15"/>
        <v>112.5</v>
      </c>
      <c r="AL47" s="928">
        <f t="shared" si="15"/>
        <v>112.5</v>
      </c>
      <c r="AM47" s="928">
        <f t="shared" si="15"/>
        <v>112.5</v>
      </c>
      <c r="AN47" s="928">
        <f t="shared" si="15"/>
        <v>112.5</v>
      </c>
      <c r="AO47" s="928">
        <f t="shared" si="15"/>
        <v>112.5</v>
      </c>
      <c r="AP47" s="928">
        <f t="shared" si="15"/>
        <v>112.5</v>
      </c>
      <c r="AQ47" s="928">
        <f t="shared" si="15"/>
        <v>112.5</v>
      </c>
      <c r="AR47" s="928">
        <f t="shared" si="15"/>
        <v>112.5</v>
      </c>
      <c r="AS47" s="928">
        <f t="shared" si="15"/>
        <v>112.5</v>
      </c>
      <c r="AT47" s="928">
        <f t="shared" si="15"/>
        <v>112.5</v>
      </c>
    </row>
    <row r="48" spans="1:46" x14ac:dyDescent="0.3">
      <c r="A48" s="927" t="s">
        <v>925</v>
      </c>
      <c r="J48" s="928">
        <f>$J$25*C$29</f>
        <v>5</v>
      </c>
      <c r="K48" s="928">
        <f t="shared" ref="K48:AT48" si="16">$J$25*D$29</f>
        <v>9.9249999999999989</v>
      </c>
      <c r="L48" s="928">
        <f t="shared" si="16"/>
        <v>14.776124999999999</v>
      </c>
      <c r="M48" s="928">
        <f t="shared" si="16"/>
        <v>19.554483125000001</v>
      </c>
      <c r="N48" s="928">
        <f t="shared" si="16"/>
        <v>24.261165878125002</v>
      </c>
      <c r="O48" s="928">
        <f t="shared" si="16"/>
        <v>28.897248389953127</v>
      </c>
      <c r="P48" s="928">
        <f t="shared" si="16"/>
        <v>33.463789664103828</v>
      </c>
      <c r="Q48" s="928">
        <f t="shared" si="16"/>
        <v>37.961832819142266</v>
      </c>
      <c r="R48" s="928">
        <f t="shared" si="16"/>
        <v>42.392405326855133</v>
      </c>
      <c r="S48" s="928">
        <f t="shared" si="16"/>
        <v>46.756519246952301</v>
      </c>
      <c r="T48" s="928">
        <f t="shared" si="16"/>
        <v>51.055171458248019</v>
      </c>
      <c r="U48" s="928">
        <f t="shared" si="16"/>
        <v>55.289343886374297</v>
      </c>
      <c r="V48" s="928">
        <f t="shared" si="16"/>
        <v>59.460003728078675</v>
      </c>
      <c r="W48" s="928">
        <f t="shared" si="16"/>
        <v>63.568103672157498</v>
      </c>
      <c r="X48" s="928">
        <f t="shared" si="16"/>
        <v>67.61458211707513</v>
      </c>
      <c r="Y48" s="928">
        <f t="shared" si="16"/>
        <v>71.600363385319</v>
      </c>
      <c r="Z48" s="928">
        <f t="shared" si="16"/>
        <v>75.526357934539206</v>
      </c>
      <c r="AA48" s="928">
        <f t="shared" si="16"/>
        <v>79.393462565521133</v>
      </c>
      <c r="AB48" s="928">
        <f t="shared" si="16"/>
        <v>83.202560627038309</v>
      </c>
      <c r="AC48" s="928">
        <f t="shared" si="16"/>
        <v>86.954522217632729</v>
      </c>
      <c r="AD48" s="928">
        <f t="shared" si="16"/>
        <v>90.650204384368223</v>
      </c>
      <c r="AE48" s="928">
        <f t="shared" si="16"/>
        <v>94.290451318602692</v>
      </c>
      <c r="AF48" s="928">
        <f t="shared" si="16"/>
        <v>97.876094548823644</v>
      </c>
      <c r="AG48" s="928">
        <f t="shared" si="16"/>
        <v>101.4079531305913</v>
      </c>
      <c r="AH48" s="928">
        <f t="shared" si="16"/>
        <v>104.88683383363242</v>
      </c>
      <c r="AI48" s="928">
        <f t="shared" si="16"/>
        <v>108.31353132612793</v>
      </c>
      <c r="AJ48" s="928">
        <f t="shared" si="16"/>
        <v>111.68882835623602</v>
      </c>
      <c r="AK48" s="928">
        <f t="shared" si="16"/>
        <v>112.5</v>
      </c>
      <c r="AL48" s="928">
        <f t="shared" si="16"/>
        <v>112.5</v>
      </c>
      <c r="AM48" s="928">
        <f t="shared" si="16"/>
        <v>112.5</v>
      </c>
      <c r="AN48" s="928">
        <f t="shared" si="16"/>
        <v>112.5</v>
      </c>
      <c r="AO48" s="928">
        <f t="shared" si="16"/>
        <v>112.5</v>
      </c>
      <c r="AP48" s="928">
        <f t="shared" si="16"/>
        <v>112.5</v>
      </c>
      <c r="AQ48" s="928">
        <f t="shared" si="16"/>
        <v>112.5</v>
      </c>
      <c r="AR48" s="928">
        <f t="shared" si="16"/>
        <v>112.5</v>
      </c>
      <c r="AS48" s="928">
        <f t="shared" si="16"/>
        <v>112.5</v>
      </c>
      <c r="AT48" s="928">
        <f t="shared" si="16"/>
        <v>112.5</v>
      </c>
    </row>
    <row r="49" spans="1:46" x14ac:dyDescent="0.3">
      <c r="A49" s="927" t="s">
        <v>883</v>
      </c>
      <c r="K49" s="928">
        <f>$K$25*C$29</f>
        <v>5</v>
      </c>
      <c r="L49" s="928">
        <f t="shared" ref="L49:AT49" si="17">$K$25*D$29</f>
        <v>9.9249999999999989</v>
      </c>
      <c r="M49" s="928">
        <f t="shared" si="17"/>
        <v>14.776124999999999</v>
      </c>
      <c r="N49" s="928">
        <f t="shared" si="17"/>
        <v>19.554483125000001</v>
      </c>
      <c r="O49" s="928">
        <f t="shared" si="17"/>
        <v>24.261165878125002</v>
      </c>
      <c r="P49" s="928">
        <f t="shared" si="17"/>
        <v>28.897248389953127</v>
      </c>
      <c r="Q49" s="928">
        <f t="shared" si="17"/>
        <v>33.463789664103828</v>
      </c>
      <c r="R49" s="928">
        <f t="shared" si="17"/>
        <v>37.961832819142266</v>
      </c>
      <c r="S49" s="928">
        <f t="shared" si="17"/>
        <v>42.392405326855133</v>
      </c>
      <c r="T49" s="928">
        <f t="shared" si="17"/>
        <v>46.756519246952301</v>
      </c>
      <c r="U49" s="928">
        <f t="shared" si="17"/>
        <v>51.055171458248019</v>
      </c>
      <c r="V49" s="928">
        <f t="shared" si="17"/>
        <v>55.289343886374297</v>
      </c>
      <c r="W49" s="928">
        <f t="shared" si="17"/>
        <v>59.460003728078675</v>
      </c>
      <c r="X49" s="928">
        <f t="shared" si="17"/>
        <v>63.568103672157498</v>
      </c>
      <c r="Y49" s="928">
        <f t="shared" si="17"/>
        <v>67.61458211707513</v>
      </c>
      <c r="Z49" s="928">
        <f t="shared" si="17"/>
        <v>71.600363385319</v>
      </c>
      <c r="AA49" s="928">
        <f t="shared" si="17"/>
        <v>75.526357934539206</v>
      </c>
      <c r="AB49" s="928">
        <f t="shared" si="17"/>
        <v>79.393462565521133</v>
      </c>
      <c r="AC49" s="928">
        <f t="shared" si="17"/>
        <v>83.202560627038309</v>
      </c>
      <c r="AD49" s="928">
        <f t="shared" si="17"/>
        <v>86.954522217632729</v>
      </c>
      <c r="AE49" s="928">
        <f t="shared" si="17"/>
        <v>90.650204384368223</v>
      </c>
      <c r="AF49" s="928">
        <f t="shared" si="17"/>
        <v>94.290451318602692</v>
      </c>
      <c r="AG49" s="928">
        <f t="shared" si="17"/>
        <v>97.876094548823644</v>
      </c>
      <c r="AH49" s="928">
        <f t="shared" si="17"/>
        <v>101.4079531305913</v>
      </c>
      <c r="AI49" s="928">
        <f t="shared" si="17"/>
        <v>104.88683383363242</v>
      </c>
      <c r="AJ49" s="928">
        <f t="shared" si="17"/>
        <v>108.31353132612793</v>
      </c>
      <c r="AK49" s="928">
        <f t="shared" si="17"/>
        <v>111.68882835623602</v>
      </c>
      <c r="AL49" s="928">
        <f t="shared" si="17"/>
        <v>112.5</v>
      </c>
      <c r="AM49" s="928">
        <f t="shared" si="17"/>
        <v>112.5</v>
      </c>
      <c r="AN49" s="928">
        <f t="shared" si="17"/>
        <v>112.5</v>
      </c>
      <c r="AO49" s="928">
        <f t="shared" si="17"/>
        <v>112.5</v>
      </c>
      <c r="AP49" s="928">
        <f t="shared" si="17"/>
        <v>112.5</v>
      </c>
      <c r="AQ49" s="928">
        <f t="shared" si="17"/>
        <v>112.5</v>
      </c>
      <c r="AR49" s="928">
        <f t="shared" si="17"/>
        <v>112.5</v>
      </c>
      <c r="AS49" s="928">
        <f t="shared" si="17"/>
        <v>112.5</v>
      </c>
      <c r="AT49" s="928">
        <f t="shared" si="17"/>
        <v>112.5</v>
      </c>
    </row>
    <row r="50" spans="1:46" x14ac:dyDescent="0.3">
      <c r="A50" s="927" t="s">
        <v>884</v>
      </c>
      <c r="L50" s="928">
        <f>$L$25*C$29</f>
        <v>5</v>
      </c>
      <c r="M50" s="928">
        <f t="shared" ref="M50:AT50" si="18">$L$25*D$29</f>
        <v>9.9249999999999989</v>
      </c>
      <c r="N50" s="928">
        <f t="shared" si="18"/>
        <v>14.776124999999999</v>
      </c>
      <c r="O50" s="928">
        <f t="shared" si="18"/>
        <v>19.554483125000001</v>
      </c>
      <c r="P50" s="928">
        <f t="shared" si="18"/>
        <v>24.261165878125002</v>
      </c>
      <c r="Q50" s="928">
        <f t="shared" si="18"/>
        <v>28.897248389953127</v>
      </c>
      <c r="R50" s="928">
        <f t="shared" si="18"/>
        <v>33.463789664103828</v>
      </c>
      <c r="S50" s="928">
        <f t="shared" si="18"/>
        <v>37.961832819142266</v>
      </c>
      <c r="T50" s="928">
        <f t="shared" si="18"/>
        <v>42.392405326855133</v>
      </c>
      <c r="U50" s="928">
        <f t="shared" si="18"/>
        <v>46.756519246952301</v>
      </c>
      <c r="V50" s="928">
        <f t="shared" si="18"/>
        <v>51.055171458248019</v>
      </c>
      <c r="W50" s="928">
        <f t="shared" si="18"/>
        <v>55.289343886374297</v>
      </c>
      <c r="X50" s="928">
        <f t="shared" si="18"/>
        <v>59.460003728078675</v>
      </c>
      <c r="Y50" s="928">
        <f t="shared" si="18"/>
        <v>63.568103672157498</v>
      </c>
      <c r="Z50" s="928">
        <f t="shared" si="18"/>
        <v>67.61458211707513</v>
      </c>
      <c r="AA50" s="928">
        <f t="shared" si="18"/>
        <v>71.600363385319</v>
      </c>
      <c r="AB50" s="928">
        <f t="shared" si="18"/>
        <v>75.526357934539206</v>
      </c>
      <c r="AC50" s="928">
        <f t="shared" si="18"/>
        <v>79.393462565521133</v>
      </c>
      <c r="AD50" s="928">
        <f t="shared" si="18"/>
        <v>83.202560627038309</v>
      </c>
      <c r="AE50" s="928">
        <f t="shared" si="18"/>
        <v>86.954522217632729</v>
      </c>
      <c r="AF50" s="928">
        <f t="shared" si="18"/>
        <v>90.650204384368223</v>
      </c>
      <c r="AG50" s="928">
        <f t="shared" si="18"/>
        <v>94.290451318602692</v>
      </c>
      <c r="AH50" s="928">
        <f t="shared" si="18"/>
        <v>97.876094548823644</v>
      </c>
      <c r="AI50" s="928">
        <f t="shared" si="18"/>
        <v>101.4079531305913</v>
      </c>
      <c r="AJ50" s="928">
        <f t="shared" si="18"/>
        <v>104.88683383363242</v>
      </c>
      <c r="AK50" s="928">
        <f t="shared" si="18"/>
        <v>108.31353132612793</v>
      </c>
      <c r="AL50" s="928">
        <f t="shared" si="18"/>
        <v>111.68882835623602</v>
      </c>
      <c r="AM50" s="928">
        <f t="shared" si="18"/>
        <v>112.5</v>
      </c>
      <c r="AN50" s="928">
        <f t="shared" si="18"/>
        <v>112.5</v>
      </c>
      <c r="AO50" s="928">
        <f t="shared" si="18"/>
        <v>112.5</v>
      </c>
      <c r="AP50" s="928">
        <f t="shared" si="18"/>
        <v>112.5</v>
      </c>
      <c r="AQ50" s="928">
        <f t="shared" si="18"/>
        <v>112.5</v>
      </c>
      <c r="AR50" s="928">
        <f t="shared" si="18"/>
        <v>112.5</v>
      </c>
      <c r="AS50" s="928">
        <f t="shared" si="18"/>
        <v>112.5</v>
      </c>
      <c r="AT50" s="928">
        <f t="shared" si="18"/>
        <v>112.5</v>
      </c>
    </row>
    <row r="51" spans="1:46" x14ac:dyDescent="0.3">
      <c r="A51" s="927" t="s">
        <v>885</v>
      </c>
      <c r="M51" s="928">
        <f>$M$25*C$29</f>
        <v>5</v>
      </c>
      <c r="N51" s="928">
        <f t="shared" ref="N51:AT51" si="19">$M$25*D$29</f>
        <v>9.9249999999999989</v>
      </c>
      <c r="O51" s="928">
        <f t="shared" si="19"/>
        <v>14.776124999999999</v>
      </c>
      <c r="P51" s="928">
        <f t="shared" si="19"/>
        <v>19.554483125000001</v>
      </c>
      <c r="Q51" s="928">
        <f t="shared" si="19"/>
        <v>24.261165878125002</v>
      </c>
      <c r="R51" s="928">
        <f t="shared" si="19"/>
        <v>28.897248389953127</v>
      </c>
      <c r="S51" s="928">
        <f t="shared" si="19"/>
        <v>33.463789664103828</v>
      </c>
      <c r="T51" s="928">
        <f t="shared" si="19"/>
        <v>37.961832819142266</v>
      </c>
      <c r="U51" s="928">
        <f t="shared" si="19"/>
        <v>42.392405326855133</v>
      </c>
      <c r="V51" s="928">
        <f t="shared" si="19"/>
        <v>46.756519246952301</v>
      </c>
      <c r="W51" s="928">
        <f t="shared" si="19"/>
        <v>51.055171458248019</v>
      </c>
      <c r="X51" s="928">
        <f t="shared" si="19"/>
        <v>55.289343886374297</v>
      </c>
      <c r="Y51" s="928">
        <f t="shared" si="19"/>
        <v>59.460003728078675</v>
      </c>
      <c r="Z51" s="928">
        <f t="shared" si="19"/>
        <v>63.568103672157498</v>
      </c>
      <c r="AA51" s="928">
        <f t="shared" si="19"/>
        <v>67.61458211707513</v>
      </c>
      <c r="AB51" s="928">
        <f t="shared" si="19"/>
        <v>71.600363385319</v>
      </c>
      <c r="AC51" s="928">
        <f t="shared" si="19"/>
        <v>75.526357934539206</v>
      </c>
      <c r="AD51" s="928">
        <f t="shared" si="19"/>
        <v>79.393462565521133</v>
      </c>
      <c r="AE51" s="928">
        <f t="shared" si="19"/>
        <v>83.202560627038309</v>
      </c>
      <c r="AF51" s="928">
        <f t="shared" si="19"/>
        <v>86.954522217632729</v>
      </c>
      <c r="AG51" s="928">
        <f t="shared" si="19"/>
        <v>90.650204384368223</v>
      </c>
      <c r="AH51" s="928">
        <f t="shared" si="19"/>
        <v>94.290451318602692</v>
      </c>
      <c r="AI51" s="928">
        <f t="shared" si="19"/>
        <v>97.876094548823644</v>
      </c>
      <c r="AJ51" s="928">
        <f t="shared" si="19"/>
        <v>101.4079531305913</v>
      </c>
      <c r="AK51" s="928">
        <f t="shared" si="19"/>
        <v>104.88683383363242</v>
      </c>
      <c r="AL51" s="928">
        <f t="shared" si="19"/>
        <v>108.31353132612793</v>
      </c>
      <c r="AM51" s="928">
        <f t="shared" si="19"/>
        <v>111.68882835623602</v>
      </c>
      <c r="AN51" s="928">
        <f t="shared" si="19"/>
        <v>112.5</v>
      </c>
      <c r="AO51" s="928">
        <f t="shared" si="19"/>
        <v>112.5</v>
      </c>
      <c r="AP51" s="928">
        <f t="shared" si="19"/>
        <v>112.5</v>
      </c>
      <c r="AQ51" s="928">
        <f t="shared" si="19"/>
        <v>112.5</v>
      </c>
      <c r="AR51" s="928">
        <f t="shared" si="19"/>
        <v>112.5</v>
      </c>
      <c r="AS51" s="928">
        <f t="shared" si="19"/>
        <v>112.5</v>
      </c>
      <c r="AT51" s="928">
        <f t="shared" si="19"/>
        <v>112.5</v>
      </c>
    </row>
    <row r="52" spans="1:46" x14ac:dyDescent="0.3">
      <c r="A52" s="927" t="s">
        <v>886</v>
      </c>
      <c r="N52" s="928">
        <f>$N$25*C$29</f>
        <v>5</v>
      </c>
      <c r="O52" s="928">
        <f t="shared" ref="O52:AT52" si="20">$N$25*D$29</f>
        <v>9.9249999999999989</v>
      </c>
      <c r="P52" s="928">
        <f t="shared" si="20"/>
        <v>14.776124999999999</v>
      </c>
      <c r="Q52" s="928">
        <f t="shared" si="20"/>
        <v>19.554483125000001</v>
      </c>
      <c r="R52" s="928">
        <f t="shared" si="20"/>
        <v>24.261165878125002</v>
      </c>
      <c r="S52" s="928">
        <f t="shared" si="20"/>
        <v>28.897248389953127</v>
      </c>
      <c r="T52" s="928">
        <f t="shared" si="20"/>
        <v>33.463789664103828</v>
      </c>
      <c r="U52" s="928">
        <f t="shared" si="20"/>
        <v>37.961832819142266</v>
      </c>
      <c r="V52" s="928">
        <f t="shared" si="20"/>
        <v>42.392405326855133</v>
      </c>
      <c r="W52" s="928">
        <f t="shared" si="20"/>
        <v>46.756519246952301</v>
      </c>
      <c r="X52" s="928">
        <f t="shared" si="20"/>
        <v>51.055171458248019</v>
      </c>
      <c r="Y52" s="928">
        <f t="shared" si="20"/>
        <v>55.289343886374297</v>
      </c>
      <c r="Z52" s="928">
        <f t="shared" si="20"/>
        <v>59.460003728078675</v>
      </c>
      <c r="AA52" s="928">
        <f t="shared" si="20"/>
        <v>63.568103672157498</v>
      </c>
      <c r="AB52" s="928">
        <f t="shared" si="20"/>
        <v>67.61458211707513</v>
      </c>
      <c r="AC52" s="928">
        <f t="shared" si="20"/>
        <v>71.600363385319</v>
      </c>
      <c r="AD52" s="928">
        <f t="shared" si="20"/>
        <v>75.526357934539206</v>
      </c>
      <c r="AE52" s="928">
        <f t="shared" si="20"/>
        <v>79.393462565521133</v>
      </c>
      <c r="AF52" s="928">
        <f t="shared" si="20"/>
        <v>83.202560627038309</v>
      </c>
      <c r="AG52" s="928">
        <f t="shared" si="20"/>
        <v>86.954522217632729</v>
      </c>
      <c r="AH52" s="928">
        <f t="shared" si="20"/>
        <v>90.650204384368223</v>
      </c>
      <c r="AI52" s="928">
        <f t="shared" si="20"/>
        <v>94.290451318602692</v>
      </c>
      <c r="AJ52" s="928">
        <f t="shared" si="20"/>
        <v>97.876094548823644</v>
      </c>
      <c r="AK52" s="928">
        <f t="shared" si="20"/>
        <v>101.4079531305913</v>
      </c>
      <c r="AL52" s="928">
        <f t="shared" si="20"/>
        <v>104.88683383363242</v>
      </c>
      <c r="AM52" s="928">
        <f t="shared" si="20"/>
        <v>108.31353132612793</v>
      </c>
      <c r="AN52" s="928">
        <f t="shared" si="20"/>
        <v>111.68882835623602</v>
      </c>
      <c r="AO52" s="928">
        <f t="shared" si="20"/>
        <v>112.5</v>
      </c>
      <c r="AP52" s="928">
        <f t="shared" si="20"/>
        <v>112.5</v>
      </c>
      <c r="AQ52" s="928">
        <f t="shared" si="20"/>
        <v>112.5</v>
      </c>
      <c r="AR52" s="928">
        <f t="shared" si="20"/>
        <v>112.5</v>
      </c>
      <c r="AS52" s="928">
        <f t="shared" si="20"/>
        <v>112.5</v>
      </c>
      <c r="AT52" s="928">
        <f t="shared" si="20"/>
        <v>112.5</v>
      </c>
    </row>
    <row r="53" spans="1:46" x14ac:dyDescent="0.3">
      <c r="A53" s="927" t="s">
        <v>887</v>
      </c>
      <c r="O53" s="928">
        <f>$O$25*C$29</f>
        <v>5</v>
      </c>
      <c r="P53" s="928">
        <f t="shared" ref="P53:AT53" si="21">$O$25*D$29</f>
        <v>9.9249999999999989</v>
      </c>
      <c r="Q53" s="928">
        <f t="shared" si="21"/>
        <v>14.776124999999999</v>
      </c>
      <c r="R53" s="928">
        <f t="shared" si="21"/>
        <v>19.554483125000001</v>
      </c>
      <c r="S53" s="928">
        <f t="shared" si="21"/>
        <v>24.261165878125002</v>
      </c>
      <c r="T53" s="928">
        <f t="shared" si="21"/>
        <v>28.897248389953127</v>
      </c>
      <c r="U53" s="928">
        <f t="shared" si="21"/>
        <v>33.463789664103828</v>
      </c>
      <c r="V53" s="928">
        <f t="shared" si="21"/>
        <v>37.961832819142266</v>
      </c>
      <c r="W53" s="928">
        <f t="shared" si="21"/>
        <v>42.392405326855133</v>
      </c>
      <c r="X53" s="928">
        <f t="shared" si="21"/>
        <v>46.756519246952301</v>
      </c>
      <c r="Y53" s="928">
        <f t="shared" si="21"/>
        <v>51.055171458248019</v>
      </c>
      <c r="Z53" s="928">
        <f t="shared" si="21"/>
        <v>55.289343886374297</v>
      </c>
      <c r="AA53" s="928">
        <f t="shared" si="21"/>
        <v>59.460003728078675</v>
      </c>
      <c r="AB53" s="928">
        <f t="shared" si="21"/>
        <v>63.568103672157498</v>
      </c>
      <c r="AC53" s="928">
        <f t="shared" si="21"/>
        <v>67.61458211707513</v>
      </c>
      <c r="AD53" s="928">
        <f t="shared" si="21"/>
        <v>71.600363385319</v>
      </c>
      <c r="AE53" s="928">
        <f t="shared" si="21"/>
        <v>75.526357934539206</v>
      </c>
      <c r="AF53" s="928">
        <f t="shared" si="21"/>
        <v>79.393462565521133</v>
      </c>
      <c r="AG53" s="928">
        <f t="shared" si="21"/>
        <v>83.202560627038309</v>
      </c>
      <c r="AH53" s="928">
        <f t="shared" si="21"/>
        <v>86.954522217632729</v>
      </c>
      <c r="AI53" s="928">
        <f t="shared" si="21"/>
        <v>90.650204384368223</v>
      </c>
      <c r="AJ53" s="928">
        <f t="shared" si="21"/>
        <v>94.290451318602692</v>
      </c>
      <c r="AK53" s="928">
        <f t="shared" si="21"/>
        <v>97.876094548823644</v>
      </c>
      <c r="AL53" s="928">
        <f t="shared" si="21"/>
        <v>101.4079531305913</v>
      </c>
      <c r="AM53" s="928">
        <f t="shared" si="21"/>
        <v>104.88683383363242</v>
      </c>
      <c r="AN53" s="928">
        <f t="shared" si="21"/>
        <v>108.31353132612793</v>
      </c>
      <c r="AO53" s="928">
        <f t="shared" si="21"/>
        <v>111.68882835623602</v>
      </c>
      <c r="AP53" s="928">
        <f t="shared" si="21"/>
        <v>112.5</v>
      </c>
      <c r="AQ53" s="928">
        <f t="shared" si="21"/>
        <v>112.5</v>
      </c>
      <c r="AR53" s="928">
        <f t="shared" si="21"/>
        <v>112.5</v>
      </c>
      <c r="AS53" s="928">
        <f t="shared" si="21"/>
        <v>112.5</v>
      </c>
      <c r="AT53" s="928">
        <f t="shared" si="21"/>
        <v>112.5</v>
      </c>
    </row>
    <row r="54" spans="1:46" x14ac:dyDescent="0.3">
      <c r="A54" s="927" t="s">
        <v>888</v>
      </c>
      <c r="P54" s="928">
        <f>$P$25*C$29</f>
        <v>5</v>
      </c>
      <c r="Q54" s="928">
        <f t="shared" ref="Q54:AT54" si="22">$P$25*D$29</f>
        <v>9.9249999999999989</v>
      </c>
      <c r="R54" s="928">
        <f t="shared" si="22"/>
        <v>14.776124999999999</v>
      </c>
      <c r="S54" s="928">
        <f t="shared" si="22"/>
        <v>19.554483125000001</v>
      </c>
      <c r="T54" s="928">
        <f t="shared" si="22"/>
        <v>24.261165878125002</v>
      </c>
      <c r="U54" s="928">
        <f t="shared" si="22"/>
        <v>28.897248389953127</v>
      </c>
      <c r="V54" s="928">
        <f t="shared" si="22"/>
        <v>33.463789664103828</v>
      </c>
      <c r="W54" s="928">
        <f t="shared" si="22"/>
        <v>37.961832819142266</v>
      </c>
      <c r="X54" s="928">
        <f t="shared" si="22"/>
        <v>42.392405326855133</v>
      </c>
      <c r="Y54" s="928">
        <f t="shared" si="22"/>
        <v>46.756519246952301</v>
      </c>
      <c r="Z54" s="928">
        <f t="shared" si="22"/>
        <v>51.055171458248019</v>
      </c>
      <c r="AA54" s="928">
        <f t="shared" si="22"/>
        <v>55.289343886374297</v>
      </c>
      <c r="AB54" s="928">
        <f t="shared" si="22"/>
        <v>59.460003728078675</v>
      </c>
      <c r="AC54" s="928">
        <f t="shared" si="22"/>
        <v>63.568103672157498</v>
      </c>
      <c r="AD54" s="928">
        <f t="shared" si="22"/>
        <v>67.61458211707513</v>
      </c>
      <c r="AE54" s="928">
        <f t="shared" si="22"/>
        <v>71.600363385319</v>
      </c>
      <c r="AF54" s="928">
        <f t="shared" si="22"/>
        <v>75.526357934539206</v>
      </c>
      <c r="AG54" s="928">
        <f t="shared" si="22"/>
        <v>79.393462565521133</v>
      </c>
      <c r="AH54" s="928">
        <f t="shared" si="22"/>
        <v>83.202560627038309</v>
      </c>
      <c r="AI54" s="928">
        <f t="shared" si="22"/>
        <v>86.954522217632729</v>
      </c>
      <c r="AJ54" s="928">
        <f t="shared" si="22"/>
        <v>90.650204384368223</v>
      </c>
      <c r="AK54" s="928">
        <f t="shared" si="22"/>
        <v>94.290451318602692</v>
      </c>
      <c r="AL54" s="928">
        <f t="shared" si="22"/>
        <v>97.876094548823644</v>
      </c>
      <c r="AM54" s="928">
        <f t="shared" si="22"/>
        <v>101.4079531305913</v>
      </c>
      <c r="AN54" s="928">
        <f t="shared" si="22"/>
        <v>104.88683383363242</v>
      </c>
      <c r="AO54" s="928">
        <f t="shared" si="22"/>
        <v>108.31353132612793</v>
      </c>
      <c r="AP54" s="928">
        <f t="shared" si="22"/>
        <v>111.68882835623602</v>
      </c>
      <c r="AQ54" s="928">
        <f t="shared" si="22"/>
        <v>112.5</v>
      </c>
      <c r="AR54" s="928">
        <f t="shared" si="22"/>
        <v>112.5</v>
      </c>
      <c r="AS54" s="928">
        <f t="shared" si="22"/>
        <v>112.5</v>
      </c>
      <c r="AT54" s="928">
        <f t="shared" si="22"/>
        <v>112.5</v>
      </c>
    </row>
    <row r="55" spans="1:46" x14ac:dyDescent="0.3">
      <c r="A55" s="927" t="s">
        <v>1027</v>
      </c>
      <c r="Q55" s="928">
        <f>$Q$25*C$29</f>
        <v>5</v>
      </c>
      <c r="R55" s="928">
        <f t="shared" ref="R55:AT55" si="23">$Q$25*D$29</f>
        <v>9.9249999999999989</v>
      </c>
      <c r="S55" s="928">
        <f t="shared" si="23"/>
        <v>14.776124999999999</v>
      </c>
      <c r="T55" s="928">
        <f t="shared" si="23"/>
        <v>19.554483125000001</v>
      </c>
      <c r="U55" s="928">
        <f t="shared" si="23"/>
        <v>24.261165878125002</v>
      </c>
      <c r="V55" s="928">
        <f t="shared" si="23"/>
        <v>28.897248389953127</v>
      </c>
      <c r="W55" s="928">
        <f t="shared" si="23"/>
        <v>33.463789664103828</v>
      </c>
      <c r="X55" s="928">
        <f t="shared" si="23"/>
        <v>37.961832819142266</v>
      </c>
      <c r="Y55" s="928">
        <f t="shared" si="23"/>
        <v>42.392405326855133</v>
      </c>
      <c r="Z55" s="928">
        <f t="shared" si="23"/>
        <v>46.756519246952301</v>
      </c>
      <c r="AA55" s="928">
        <f t="shared" si="23"/>
        <v>51.055171458248019</v>
      </c>
      <c r="AB55" s="928">
        <f t="shared" si="23"/>
        <v>55.289343886374297</v>
      </c>
      <c r="AC55" s="928">
        <f t="shared" si="23"/>
        <v>59.460003728078675</v>
      </c>
      <c r="AD55" s="928">
        <f t="shared" si="23"/>
        <v>63.568103672157498</v>
      </c>
      <c r="AE55" s="928">
        <f t="shared" si="23"/>
        <v>67.61458211707513</v>
      </c>
      <c r="AF55" s="928">
        <f t="shared" si="23"/>
        <v>71.600363385319</v>
      </c>
      <c r="AG55" s="928">
        <f t="shared" si="23"/>
        <v>75.526357934539206</v>
      </c>
      <c r="AH55" s="928">
        <f t="shared" si="23"/>
        <v>79.393462565521133</v>
      </c>
      <c r="AI55" s="928">
        <f t="shared" si="23"/>
        <v>83.202560627038309</v>
      </c>
      <c r="AJ55" s="928">
        <f t="shared" si="23"/>
        <v>86.954522217632729</v>
      </c>
      <c r="AK55" s="928">
        <f t="shared" si="23"/>
        <v>90.650204384368223</v>
      </c>
      <c r="AL55" s="928">
        <f t="shared" si="23"/>
        <v>94.290451318602692</v>
      </c>
      <c r="AM55" s="928">
        <f t="shared" si="23"/>
        <v>97.876094548823644</v>
      </c>
      <c r="AN55" s="928">
        <f t="shared" si="23"/>
        <v>101.4079531305913</v>
      </c>
      <c r="AO55" s="928">
        <f t="shared" si="23"/>
        <v>104.88683383363242</v>
      </c>
      <c r="AP55" s="928">
        <f t="shared" si="23"/>
        <v>108.31353132612793</v>
      </c>
      <c r="AQ55" s="928">
        <f t="shared" si="23"/>
        <v>111.68882835623602</v>
      </c>
      <c r="AR55" s="928">
        <f t="shared" si="23"/>
        <v>112.5</v>
      </c>
      <c r="AS55" s="928">
        <f t="shared" si="23"/>
        <v>112.5</v>
      </c>
      <c r="AT55" s="928">
        <f t="shared" si="23"/>
        <v>112.5</v>
      </c>
    </row>
    <row r="56" spans="1:46" x14ac:dyDescent="0.3">
      <c r="A56" s="927" t="s">
        <v>1028</v>
      </c>
      <c r="R56" s="928">
        <f>$R$25*C$29</f>
        <v>5</v>
      </c>
      <c r="S56" s="928">
        <f t="shared" ref="S56:AT56" si="24">$R$25*D$29</f>
        <v>9.9249999999999989</v>
      </c>
      <c r="T56" s="928">
        <f t="shared" si="24"/>
        <v>14.776124999999999</v>
      </c>
      <c r="U56" s="928">
        <f t="shared" si="24"/>
        <v>19.554483125000001</v>
      </c>
      <c r="V56" s="928">
        <f t="shared" si="24"/>
        <v>24.261165878125002</v>
      </c>
      <c r="W56" s="928">
        <f t="shared" si="24"/>
        <v>28.897248389953127</v>
      </c>
      <c r="X56" s="928">
        <f t="shared" si="24"/>
        <v>33.463789664103828</v>
      </c>
      <c r="Y56" s="928">
        <f t="shared" si="24"/>
        <v>37.961832819142266</v>
      </c>
      <c r="Z56" s="928">
        <f t="shared" si="24"/>
        <v>42.392405326855133</v>
      </c>
      <c r="AA56" s="928">
        <f t="shared" si="24"/>
        <v>46.756519246952301</v>
      </c>
      <c r="AB56" s="928">
        <f t="shared" si="24"/>
        <v>51.055171458248019</v>
      </c>
      <c r="AC56" s="928">
        <f t="shared" si="24"/>
        <v>55.289343886374297</v>
      </c>
      <c r="AD56" s="928">
        <f t="shared" si="24"/>
        <v>59.460003728078675</v>
      </c>
      <c r="AE56" s="928">
        <f t="shared" si="24"/>
        <v>63.568103672157498</v>
      </c>
      <c r="AF56" s="928">
        <f t="shared" si="24"/>
        <v>67.61458211707513</v>
      </c>
      <c r="AG56" s="928">
        <f t="shared" si="24"/>
        <v>71.600363385319</v>
      </c>
      <c r="AH56" s="928">
        <f t="shared" si="24"/>
        <v>75.526357934539206</v>
      </c>
      <c r="AI56" s="928">
        <f t="shared" si="24"/>
        <v>79.393462565521133</v>
      </c>
      <c r="AJ56" s="928">
        <f t="shared" si="24"/>
        <v>83.202560627038309</v>
      </c>
      <c r="AK56" s="928">
        <f t="shared" si="24"/>
        <v>86.954522217632729</v>
      </c>
      <c r="AL56" s="928">
        <f t="shared" si="24"/>
        <v>90.650204384368223</v>
      </c>
      <c r="AM56" s="928">
        <f t="shared" si="24"/>
        <v>94.290451318602692</v>
      </c>
      <c r="AN56" s="928">
        <f t="shared" si="24"/>
        <v>97.876094548823644</v>
      </c>
      <c r="AO56" s="928">
        <f t="shared" si="24"/>
        <v>101.4079531305913</v>
      </c>
      <c r="AP56" s="928">
        <f t="shared" si="24"/>
        <v>104.88683383363242</v>
      </c>
      <c r="AQ56" s="928">
        <f t="shared" si="24"/>
        <v>108.31353132612793</v>
      </c>
      <c r="AR56" s="928">
        <f t="shared" si="24"/>
        <v>111.68882835623602</v>
      </c>
      <c r="AS56" s="928">
        <f t="shared" si="24"/>
        <v>112.5</v>
      </c>
      <c r="AT56" s="928">
        <f t="shared" si="24"/>
        <v>112.5</v>
      </c>
    </row>
    <row r="57" spans="1:46" x14ac:dyDescent="0.3">
      <c r="A57" s="927" t="s">
        <v>1047</v>
      </c>
      <c r="S57" s="928">
        <f>$S$25*C$29</f>
        <v>5</v>
      </c>
      <c r="T57" s="928">
        <f t="shared" ref="T57:AT57" si="25">$S$25*D$29</f>
        <v>9.9249999999999989</v>
      </c>
      <c r="U57" s="928">
        <f t="shared" si="25"/>
        <v>14.776124999999999</v>
      </c>
      <c r="V57" s="928">
        <f t="shared" si="25"/>
        <v>19.554483125000001</v>
      </c>
      <c r="W57" s="928">
        <f t="shared" si="25"/>
        <v>24.261165878125002</v>
      </c>
      <c r="X57" s="928">
        <f t="shared" si="25"/>
        <v>28.897248389953127</v>
      </c>
      <c r="Y57" s="928">
        <f t="shared" si="25"/>
        <v>33.463789664103828</v>
      </c>
      <c r="Z57" s="928">
        <f t="shared" si="25"/>
        <v>37.961832819142266</v>
      </c>
      <c r="AA57" s="928">
        <f t="shared" si="25"/>
        <v>42.392405326855133</v>
      </c>
      <c r="AB57" s="928">
        <f t="shared" si="25"/>
        <v>46.756519246952301</v>
      </c>
      <c r="AC57" s="928">
        <f t="shared" si="25"/>
        <v>51.055171458248019</v>
      </c>
      <c r="AD57" s="928">
        <f t="shared" si="25"/>
        <v>55.289343886374297</v>
      </c>
      <c r="AE57" s="928">
        <f t="shared" si="25"/>
        <v>59.460003728078675</v>
      </c>
      <c r="AF57" s="928">
        <f t="shared" si="25"/>
        <v>63.568103672157498</v>
      </c>
      <c r="AG57" s="928">
        <f t="shared" si="25"/>
        <v>67.61458211707513</v>
      </c>
      <c r="AH57" s="928">
        <f t="shared" si="25"/>
        <v>71.600363385319</v>
      </c>
      <c r="AI57" s="928">
        <f t="shared" si="25"/>
        <v>75.526357934539206</v>
      </c>
      <c r="AJ57" s="928">
        <f t="shared" si="25"/>
        <v>79.393462565521133</v>
      </c>
      <c r="AK57" s="928">
        <f t="shared" si="25"/>
        <v>83.202560627038309</v>
      </c>
      <c r="AL57" s="928">
        <f t="shared" si="25"/>
        <v>86.954522217632729</v>
      </c>
      <c r="AM57" s="928">
        <f t="shared" si="25"/>
        <v>90.650204384368223</v>
      </c>
      <c r="AN57" s="928">
        <f t="shared" si="25"/>
        <v>94.290451318602692</v>
      </c>
      <c r="AO57" s="928">
        <f t="shared" si="25"/>
        <v>97.876094548823644</v>
      </c>
      <c r="AP57" s="928">
        <f t="shared" si="25"/>
        <v>101.4079531305913</v>
      </c>
      <c r="AQ57" s="928">
        <f t="shared" si="25"/>
        <v>104.88683383363242</v>
      </c>
      <c r="AR57" s="928">
        <f t="shared" si="25"/>
        <v>108.31353132612793</v>
      </c>
      <c r="AS57" s="928">
        <f t="shared" si="25"/>
        <v>111.68882835623602</v>
      </c>
      <c r="AT57" s="928">
        <f t="shared" si="25"/>
        <v>112.5</v>
      </c>
    </row>
    <row r="58" spans="1:46" x14ac:dyDescent="0.3">
      <c r="A58" s="927" t="s">
        <v>1048</v>
      </c>
      <c r="T58" s="928">
        <f>$T$25*C$29</f>
        <v>5</v>
      </c>
      <c r="U58" s="928">
        <f t="shared" ref="U58:AT58" si="26">$T$25*D$29</f>
        <v>9.9249999999999989</v>
      </c>
      <c r="V58" s="928">
        <f t="shared" si="26"/>
        <v>14.776124999999999</v>
      </c>
      <c r="W58" s="928">
        <f t="shared" si="26"/>
        <v>19.554483125000001</v>
      </c>
      <c r="X58" s="928">
        <f t="shared" si="26"/>
        <v>24.261165878125002</v>
      </c>
      <c r="Y58" s="928">
        <f t="shared" si="26"/>
        <v>28.897248389953127</v>
      </c>
      <c r="Z58" s="928">
        <f t="shared" si="26"/>
        <v>33.463789664103828</v>
      </c>
      <c r="AA58" s="928">
        <f t="shared" si="26"/>
        <v>37.961832819142266</v>
      </c>
      <c r="AB58" s="928">
        <f t="shared" si="26"/>
        <v>42.392405326855133</v>
      </c>
      <c r="AC58" s="928">
        <f t="shared" si="26"/>
        <v>46.756519246952301</v>
      </c>
      <c r="AD58" s="928">
        <f t="shared" si="26"/>
        <v>51.055171458248019</v>
      </c>
      <c r="AE58" s="928">
        <f t="shared" si="26"/>
        <v>55.289343886374297</v>
      </c>
      <c r="AF58" s="928">
        <f t="shared" si="26"/>
        <v>59.460003728078675</v>
      </c>
      <c r="AG58" s="928">
        <f t="shared" si="26"/>
        <v>63.568103672157498</v>
      </c>
      <c r="AH58" s="928">
        <f t="shared" si="26"/>
        <v>67.61458211707513</v>
      </c>
      <c r="AI58" s="928">
        <f t="shared" si="26"/>
        <v>71.600363385319</v>
      </c>
      <c r="AJ58" s="928">
        <f t="shared" si="26"/>
        <v>75.526357934539206</v>
      </c>
      <c r="AK58" s="928">
        <f t="shared" si="26"/>
        <v>79.393462565521133</v>
      </c>
      <c r="AL58" s="928">
        <f t="shared" si="26"/>
        <v>83.202560627038309</v>
      </c>
      <c r="AM58" s="928">
        <f t="shared" si="26"/>
        <v>86.954522217632729</v>
      </c>
      <c r="AN58" s="928">
        <f t="shared" si="26"/>
        <v>90.650204384368223</v>
      </c>
      <c r="AO58" s="928">
        <f t="shared" si="26"/>
        <v>94.290451318602692</v>
      </c>
      <c r="AP58" s="928">
        <f t="shared" si="26"/>
        <v>97.876094548823644</v>
      </c>
      <c r="AQ58" s="928">
        <f t="shared" si="26"/>
        <v>101.4079531305913</v>
      </c>
      <c r="AR58" s="928">
        <f t="shared" si="26"/>
        <v>104.88683383363242</v>
      </c>
      <c r="AS58" s="928">
        <f t="shared" si="26"/>
        <v>108.31353132612793</v>
      </c>
      <c r="AT58" s="928">
        <f t="shared" si="26"/>
        <v>111.68882835623602</v>
      </c>
    </row>
    <row r="59" spans="1:46" x14ac:dyDescent="0.3">
      <c r="A59" s="927" t="s">
        <v>1049</v>
      </c>
      <c r="U59" s="928">
        <f>$U$25*C$29</f>
        <v>5</v>
      </c>
      <c r="V59" s="928">
        <f t="shared" ref="V59:AT59" si="27">$U$25*D$29</f>
        <v>9.9249999999999989</v>
      </c>
      <c r="W59" s="928">
        <f t="shared" si="27"/>
        <v>14.776124999999999</v>
      </c>
      <c r="X59" s="928">
        <f t="shared" si="27"/>
        <v>19.554483125000001</v>
      </c>
      <c r="Y59" s="928">
        <f t="shared" si="27"/>
        <v>24.261165878125002</v>
      </c>
      <c r="Z59" s="928">
        <f t="shared" si="27"/>
        <v>28.897248389953127</v>
      </c>
      <c r="AA59" s="928">
        <f t="shared" si="27"/>
        <v>33.463789664103828</v>
      </c>
      <c r="AB59" s="928">
        <f t="shared" si="27"/>
        <v>37.961832819142266</v>
      </c>
      <c r="AC59" s="928">
        <f t="shared" si="27"/>
        <v>42.392405326855133</v>
      </c>
      <c r="AD59" s="928">
        <f t="shared" si="27"/>
        <v>46.756519246952301</v>
      </c>
      <c r="AE59" s="928">
        <f t="shared" si="27"/>
        <v>51.055171458248019</v>
      </c>
      <c r="AF59" s="928">
        <f t="shared" si="27"/>
        <v>55.289343886374297</v>
      </c>
      <c r="AG59" s="928">
        <f t="shared" si="27"/>
        <v>59.460003728078675</v>
      </c>
      <c r="AH59" s="928">
        <f t="shared" si="27"/>
        <v>63.568103672157498</v>
      </c>
      <c r="AI59" s="928">
        <f t="shared" si="27"/>
        <v>67.61458211707513</v>
      </c>
      <c r="AJ59" s="928">
        <f t="shared" si="27"/>
        <v>71.600363385319</v>
      </c>
      <c r="AK59" s="928">
        <f t="shared" si="27"/>
        <v>75.526357934539206</v>
      </c>
      <c r="AL59" s="928">
        <f t="shared" si="27"/>
        <v>79.393462565521133</v>
      </c>
      <c r="AM59" s="928">
        <f t="shared" si="27"/>
        <v>83.202560627038309</v>
      </c>
      <c r="AN59" s="928">
        <f t="shared" si="27"/>
        <v>86.954522217632729</v>
      </c>
      <c r="AO59" s="928">
        <f t="shared" si="27"/>
        <v>90.650204384368223</v>
      </c>
      <c r="AP59" s="928">
        <f t="shared" si="27"/>
        <v>94.290451318602692</v>
      </c>
      <c r="AQ59" s="928">
        <f t="shared" si="27"/>
        <v>97.876094548823644</v>
      </c>
      <c r="AR59" s="928">
        <f t="shared" si="27"/>
        <v>101.4079531305913</v>
      </c>
      <c r="AS59" s="928">
        <f t="shared" si="27"/>
        <v>104.88683383363242</v>
      </c>
      <c r="AT59" s="928">
        <f t="shared" si="27"/>
        <v>108.31353132612793</v>
      </c>
    </row>
    <row r="60" spans="1:46" x14ac:dyDescent="0.3">
      <c r="A60" s="927" t="s">
        <v>1050</v>
      </c>
      <c r="V60" s="928">
        <f>$V$25*C$29</f>
        <v>5</v>
      </c>
      <c r="W60" s="928">
        <f t="shared" ref="W60:AT60" si="28">$V$25*D$29</f>
        <v>9.9249999999999989</v>
      </c>
      <c r="X60" s="928">
        <f t="shared" si="28"/>
        <v>14.776124999999999</v>
      </c>
      <c r="Y60" s="928">
        <f t="shared" si="28"/>
        <v>19.554483125000001</v>
      </c>
      <c r="Z60" s="928">
        <f t="shared" si="28"/>
        <v>24.261165878125002</v>
      </c>
      <c r="AA60" s="928">
        <f t="shared" si="28"/>
        <v>28.897248389953127</v>
      </c>
      <c r="AB60" s="928">
        <f t="shared" si="28"/>
        <v>33.463789664103828</v>
      </c>
      <c r="AC60" s="928">
        <f t="shared" si="28"/>
        <v>37.961832819142266</v>
      </c>
      <c r="AD60" s="928">
        <f t="shared" si="28"/>
        <v>42.392405326855133</v>
      </c>
      <c r="AE60" s="928">
        <f t="shared" si="28"/>
        <v>46.756519246952301</v>
      </c>
      <c r="AF60" s="928">
        <f t="shared" si="28"/>
        <v>51.055171458248019</v>
      </c>
      <c r="AG60" s="928">
        <f t="shared" si="28"/>
        <v>55.289343886374297</v>
      </c>
      <c r="AH60" s="928">
        <f t="shared" si="28"/>
        <v>59.460003728078675</v>
      </c>
      <c r="AI60" s="928">
        <f t="shared" si="28"/>
        <v>63.568103672157498</v>
      </c>
      <c r="AJ60" s="928">
        <f t="shared" si="28"/>
        <v>67.61458211707513</v>
      </c>
      <c r="AK60" s="928">
        <f t="shared" si="28"/>
        <v>71.600363385319</v>
      </c>
      <c r="AL60" s="928">
        <f t="shared" si="28"/>
        <v>75.526357934539206</v>
      </c>
      <c r="AM60" s="928">
        <f t="shared" si="28"/>
        <v>79.393462565521133</v>
      </c>
      <c r="AN60" s="928">
        <f t="shared" si="28"/>
        <v>83.202560627038309</v>
      </c>
      <c r="AO60" s="928">
        <f t="shared" si="28"/>
        <v>86.954522217632729</v>
      </c>
      <c r="AP60" s="928">
        <f t="shared" si="28"/>
        <v>90.650204384368223</v>
      </c>
      <c r="AQ60" s="928">
        <f t="shared" si="28"/>
        <v>94.290451318602692</v>
      </c>
      <c r="AR60" s="928">
        <f t="shared" si="28"/>
        <v>97.876094548823644</v>
      </c>
      <c r="AS60" s="928">
        <f t="shared" si="28"/>
        <v>101.4079531305913</v>
      </c>
      <c r="AT60" s="928">
        <f t="shared" si="28"/>
        <v>104.88683383363242</v>
      </c>
    </row>
    <row r="61" spans="1:46" x14ac:dyDescent="0.3">
      <c r="A61" s="927" t="s">
        <v>1051</v>
      </c>
      <c r="W61" s="928">
        <f>$W$25*C$29</f>
        <v>5</v>
      </c>
      <c r="X61" s="928">
        <f t="shared" ref="X61:AT61" si="29">$W$25*D$29</f>
        <v>9.9249999999999989</v>
      </c>
      <c r="Y61" s="928">
        <f t="shared" si="29"/>
        <v>14.776124999999999</v>
      </c>
      <c r="Z61" s="928">
        <f t="shared" si="29"/>
        <v>19.554483125000001</v>
      </c>
      <c r="AA61" s="928">
        <f t="shared" si="29"/>
        <v>24.261165878125002</v>
      </c>
      <c r="AB61" s="928">
        <f t="shared" si="29"/>
        <v>28.897248389953127</v>
      </c>
      <c r="AC61" s="928">
        <f t="shared" si="29"/>
        <v>33.463789664103828</v>
      </c>
      <c r="AD61" s="928">
        <f t="shared" si="29"/>
        <v>37.961832819142266</v>
      </c>
      <c r="AE61" s="928">
        <f t="shared" si="29"/>
        <v>42.392405326855133</v>
      </c>
      <c r="AF61" s="928">
        <f t="shared" si="29"/>
        <v>46.756519246952301</v>
      </c>
      <c r="AG61" s="928">
        <f t="shared" si="29"/>
        <v>51.055171458248019</v>
      </c>
      <c r="AH61" s="928">
        <f t="shared" si="29"/>
        <v>55.289343886374297</v>
      </c>
      <c r="AI61" s="928">
        <f t="shared" si="29"/>
        <v>59.460003728078675</v>
      </c>
      <c r="AJ61" s="928">
        <f t="shared" si="29"/>
        <v>63.568103672157498</v>
      </c>
      <c r="AK61" s="928">
        <f t="shared" si="29"/>
        <v>67.61458211707513</v>
      </c>
      <c r="AL61" s="928">
        <f t="shared" si="29"/>
        <v>71.600363385319</v>
      </c>
      <c r="AM61" s="928">
        <f t="shared" si="29"/>
        <v>75.526357934539206</v>
      </c>
      <c r="AN61" s="928">
        <f t="shared" si="29"/>
        <v>79.393462565521133</v>
      </c>
      <c r="AO61" s="928">
        <f t="shared" si="29"/>
        <v>83.202560627038309</v>
      </c>
      <c r="AP61" s="928">
        <f t="shared" si="29"/>
        <v>86.954522217632729</v>
      </c>
      <c r="AQ61" s="928">
        <f t="shared" si="29"/>
        <v>90.650204384368223</v>
      </c>
      <c r="AR61" s="928">
        <f t="shared" si="29"/>
        <v>94.290451318602692</v>
      </c>
      <c r="AS61" s="928">
        <f t="shared" si="29"/>
        <v>97.876094548823644</v>
      </c>
      <c r="AT61" s="928">
        <f t="shared" si="29"/>
        <v>101.4079531305913</v>
      </c>
    </row>
    <row r="62" spans="1:46" x14ac:dyDescent="0.3">
      <c r="A62" s="927" t="s">
        <v>1052</v>
      </c>
      <c r="X62" s="928">
        <f>$X$25*C$29</f>
        <v>5</v>
      </c>
      <c r="Y62" s="928">
        <f t="shared" ref="Y62:AT62" si="30">$X$25*D$29</f>
        <v>9.9249999999999989</v>
      </c>
      <c r="Z62" s="928">
        <f t="shared" si="30"/>
        <v>14.776124999999999</v>
      </c>
      <c r="AA62" s="928">
        <f t="shared" si="30"/>
        <v>19.554483125000001</v>
      </c>
      <c r="AB62" s="928">
        <f t="shared" si="30"/>
        <v>24.261165878125002</v>
      </c>
      <c r="AC62" s="928">
        <f t="shared" si="30"/>
        <v>28.897248389953127</v>
      </c>
      <c r="AD62" s="928">
        <f t="shared" si="30"/>
        <v>33.463789664103828</v>
      </c>
      <c r="AE62" s="928">
        <f t="shared" si="30"/>
        <v>37.961832819142266</v>
      </c>
      <c r="AF62" s="928">
        <f t="shared" si="30"/>
        <v>42.392405326855133</v>
      </c>
      <c r="AG62" s="928">
        <f t="shared" si="30"/>
        <v>46.756519246952301</v>
      </c>
      <c r="AH62" s="928">
        <f t="shared" si="30"/>
        <v>51.055171458248019</v>
      </c>
      <c r="AI62" s="928">
        <f t="shared" si="30"/>
        <v>55.289343886374297</v>
      </c>
      <c r="AJ62" s="928">
        <f t="shared" si="30"/>
        <v>59.460003728078675</v>
      </c>
      <c r="AK62" s="928">
        <f t="shared" si="30"/>
        <v>63.568103672157498</v>
      </c>
      <c r="AL62" s="928">
        <f t="shared" si="30"/>
        <v>67.61458211707513</v>
      </c>
      <c r="AM62" s="928">
        <f t="shared" si="30"/>
        <v>71.600363385319</v>
      </c>
      <c r="AN62" s="928">
        <f t="shared" si="30"/>
        <v>75.526357934539206</v>
      </c>
      <c r="AO62" s="928">
        <f t="shared" si="30"/>
        <v>79.393462565521133</v>
      </c>
      <c r="AP62" s="928">
        <f t="shared" si="30"/>
        <v>83.202560627038309</v>
      </c>
      <c r="AQ62" s="928">
        <f t="shared" si="30"/>
        <v>86.954522217632729</v>
      </c>
      <c r="AR62" s="928">
        <f t="shared" si="30"/>
        <v>90.650204384368223</v>
      </c>
      <c r="AS62" s="928">
        <f t="shared" si="30"/>
        <v>94.290451318602692</v>
      </c>
      <c r="AT62" s="928">
        <f t="shared" si="30"/>
        <v>97.876094548823644</v>
      </c>
    </row>
    <row r="63" spans="1:46" x14ac:dyDescent="0.3">
      <c r="A63" s="927" t="s">
        <v>1053</v>
      </c>
      <c r="Y63" s="928">
        <f>$Y$25*C$29</f>
        <v>5</v>
      </c>
      <c r="Z63" s="928">
        <f t="shared" ref="Z63:AT63" si="31">$Y$25*D$29</f>
        <v>9.9249999999999989</v>
      </c>
      <c r="AA63" s="928">
        <f t="shared" si="31"/>
        <v>14.776124999999999</v>
      </c>
      <c r="AB63" s="928">
        <f t="shared" si="31"/>
        <v>19.554483125000001</v>
      </c>
      <c r="AC63" s="928">
        <f t="shared" si="31"/>
        <v>24.261165878125002</v>
      </c>
      <c r="AD63" s="928">
        <f t="shared" si="31"/>
        <v>28.897248389953127</v>
      </c>
      <c r="AE63" s="928">
        <f t="shared" si="31"/>
        <v>33.463789664103828</v>
      </c>
      <c r="AF63" s="928">
        <f t="shared" si="31"/>
        <v>37.961832819142266</v>
      </c>
      <c r="AG63" s="928">
        <f t="shared" si="31"/>
        <v>42.392405326855133</v>
      </c>
      <c r="AH63" s="928">
        <f t="shared" si="31"/>
        <v>46.756519246952301</v>
      </c>
      <c r="AI63" s="928">
        <f t="shared" si="31"/>
        <v>51.055171458248019</v>
      </c>
      <c r="AJ63" s="928">
        <f t="shared" si="31"/>
        <v>55.289343886374297</v>
      </c>
      <c r="AK63" s="928">
        <f t="shared" si="31"/>
        <v>59.460003728078675</v>
      </c>
      <c r="AL63" s="928">
        <f t="shared" si="31"/>
        <v>63.568103672157498</v>
      </c>
      <c r="AM63" s="928">
        <f t="shared" si="31"/>
        <v>67.61458211707513</v>
      </c>
      <c r="AN63" s="928">
        <f t="shared" si="31"/>
        <v>71.600363385319</v>
      </c>
      <c r="AO63" s="928">
        <f t="shared" si="31"/>
        <v>75.526357934539206</v>
      </c>
      <c r="AP63" s="928">
        <f t="shared" si="31"/>
        <v>79.393462565521133</v>
      </c>
      <c r="AQ63" s="928">
        <f t="shared" si="31"/>
        <v>83.202560627038309</v>
      </c>
      <c r="AR63" s="928">
        <f t="shared" si="31"/>
        <v>86.954522217632729</v>
      </c>
      <c r="AS63" s="928">
        <f t="shared" si="31"/>
        <v>90.650204384368223</v>
      </c>
      <c r="AT63" s="928">
        <f t="shared" si="31"/>
        <v>94.290451318602692</v>
      </c>
    </row>
    <row r="64" spans="1:46" x14ac:dyDescent="0.3">
      <c r="A64" s="927" t="s">
        <v>1054</v>
      </c>
      <c r="Z64" s="928">
        <f>$Z$25*C$29</f>
        <v>5</v>
      </c>
      <c r="AA64" s="928">
        <f t="shared" ref="AA64:AT64" si="32">$Z$25*D$29</f>
        <v>9.9249999999999989</v>
      </c>
      <c r="AB64" s="928">
        <f t="shared" si="32"/>
        <v>14.776124999999999</v>
      </c>
      <c r="AC64" s="928">
        <f t="shared" si="32"/>
        <v>19.554483125000001</v>
      </c>
      <c r="AD64" s="928">
        <f t="shared" si="32"/>
        <v>24.261165878125002</v>
      </c>
      <c r="AE64" s="928">
        <f t="shared" si="32"/>
        <v>28.897248389953127</v>
      </c>
      <c r="AF64" s="928">
        <f t="shared" si="32"/>
        <v>33.463789664103828</v>
      </c>
      <c r="AG64" s="928">
        <f t="shared" si="32"/>
        <v>37.961832819142266</v>
      </c>
      <c r="AH64" s="928">
        <f t="shared" si="32"/>
        <v>42.392405326855133</v>
      </c>
      <c r="AI64" s="928">
        <f t="shared" si="32"/>
        <v>46.756519246952301</v>
      </c>
      <c r="AJ64" s="928">
        <f t="shared" si="32"/>
        <v>51.055171458248019</v>
      </c>
      <c r="AK64" s="928">
        <f t="shared" si="32"/>
        <v>55.289343886374297</v>
      </c>
      <c r="AL64" s="928">
        <f t="shared" si="32"/>
        <v>59.460003728078675</v>
      </c>
      <c r="AM64" s="928">
        <f t="shared" si="32"/>
        <v>63.568103672157498</v>
      </c>
      <c r="AN64" s="928">
        <f t="shared" si="32"/>
        <v>67.61458211707513</v>
      </c>
      <c r="AO64" s="928">
        <f t="shared" si="32"/>
        <v>71.600363385319</v>
      </c>
      <c r="AP64" s="928">
        <f t="shared" si="32"/>
        <v>75.526357934539206</v>
      </c>
      <c r="AQ64" s="928">
        <f t="shared" si="32"/>
        <v>79.393462565521133</v>
      </c>
      <c r="AR64" s="928">
        <f t="shared" si="32"/>
        <v>83.202560627038309</v>
      </c>
      <c r="AS64" s="928">
        <f t="shared" si="32"/>
        <v>86.954522217632729</v>
      </c>
      <c r="AT64" s="928">
        <f t="shared" si="32"/>
        <v>90.650204384368223</v>
      </c>
    </row>
    <row r="65" spans="1:46" x14ac:dyDescent="0.3">
      <c r="A65" s="927" t="s">
        <v>1055</v>
      </c>
      <c r="AA65" s="928">
        <f>$AA$25*C$29</f>
        <v>5</v>
      </c>
      <c r="AB65" s="928">
        <f t="shared" ref="AB65:AT65" si="33">$AA$25*D$29</f>
        <v>9.9249999999999989</v>
      </c>
      <c r="AC65" s="928">
        <f t="shared" si="33"/>
        <v>14.776124999999999</v>
      </c>
      <c r="AD65" s="928">
        <f t="shared" si="33"/>
        <v>19.554483125000001</v>
      </c>
      <c r="AE65" s="928">
        <f t="shared" si="33"/>
        <v>24.261165878125002</v>
      </c>
      <c r="AF65" s="928">
        <f t="shared" si="33"/>
        <v>28.897248389953127</v>
      </c>
      <c r="AG65" s="928">
        <f t="shared" si="33"/>
        <v>33.463789664103828</v>
      </c>
      <c r="AH65" s="928">
        <f t="shared" si="33"/>
        <v>37.961832819142266</v>
      </c>
      <c r="AI65" s="928">
        <f t="shared" si="33"/>
        <v>42.392405326855133</v>
      </c>
      <c r="AJ65" s="928">
        <f t="shared" si="33"/>
        <v>46.756519246952301</v>
      </c>
      <c r="AK65" s="928">
        <f t="shared" si="33"/>
        <v>51.055171458248019</v>
      </c>
      <c r="AL65" s="928">
        <f t="shared" si="33"/>
        <v>55.289343886374297</v>
      </c>
      <c r="AM65" s="928">
        <f t="shared" si="33"/>
        <v>59.460003728078675</v>
      </c>
      <c r="AN65" s="928">
        <f t="shared" si="33"/>
        <v>63.568103672157498</v>
      </c>
      <c r="AO65" s="928">
        <f t="shared" si="33"/>
        <v>67.61458211707513</v>
      </c>
      <c r="AP65" s="928">
        <f t="shared" si="33"/>
        <v>71.600363385319</v>
      </c>
      <c r="AQ65" s="928">
        <f t="shared" si="33"/>
        <v>75.526357934539206</v>
      </c>
      <c r="AR65" s="928">
        <f t="shared" si="33"/>
        <v>79.393462565521133</v>
      </c>
      <c r="AS65" s="928">
        <f t="shared" si="33"/>
        <v>83.202560627038309</v>
      </c>
      <c r="AT65" s="928">
        <f t="shared" si="33"/>
        <v>86.954522217632729</v>
      </c>
    </row>
    <row r="66" spans="1:46" x14ac:dyDescent="0.3">
      <c r="A66" s="927" t="s">
        <v>1056</v>
      </c>
      <c r="AB66" s="928">
        <f>$AB$25*C$29</f>
        <v>1.28</v>
      </c>
      <c r="AC66" s="928">
        <f t="shared" ref="AC66:AT66" si="34">$AB$25*D$29</f>
        <v>2.5407999999999999</v>
      </c>
      <c r="AD66" s="928">
        <f t="shared" si="34"/>
        <v>3.7826879999999998</v>
      </c>
      <c r="AE66" s="928">
        <f t="shared" si="34"/>
        <v>5.0059476800000002</v>
      </c>
      <c r="AF66" s="928">
        <f t="shared" si="34"/>
        <v>6.2108584648000003</v>
      </c>
      <c r="AG66" s="928">
        <f t="shared" si="34"/>
        <v>7.3976955878280002</v>
      </c>
      <c r="AH66" s="928">
        <f t="shared" si="34"/>
        <v>8.56673015401058</v>
      </c>
      <c r="AI66" s="928">
        <f t="shared" si="34"/>
        <v>9.7182292017004208</v>
      </c>
      <c r="AJ66" s="928">
        <f t="shared" si="34"/>
        <v>10.852455763674914</v>
      </c>
      <c r="AK66" s="928">
        <f t="shared" si="34"/>
        <v>11.969668927219789</v>
      </c>
      <c r="AL66" s="928">
        <f t="shared" si="34"/>
        <v>13.070123893311493</v>
      </c>
      <c r="AM66" s="928">
        <f t="shared" si="34"/>
        <v>14.15407203491182</v>
      </c>
      <c r="AN66" s="928">
        <f t="shared" si="34"/>
        <v>15.221760954388142</v>
      </c>
      <c r="AO66" s="928">
        <f t="shared" si="34"/>
        <v>16.273434540072319</v>
      </c>
      <c r="AP66" s="928">
        <f t="shared" si="34"/>
        <v>17.309333021971234</v>
      </c>
      <c r="AQ66" s="928">
        <f t="shared" si="34"/>
        <v>18.329693026641664</v>
      </c>
      <c r="AR66" s="928">
        <f t="shared" si="34"/>
        <v>19.334747631242038</v>
      </c>
      <c r="AS66" s="928">
        <f t="shared" si="34"/>
        <v>20.324726416773409</v>
      </c>
      <c r="AT66" s="928">
        <f t="shared" si="34"/>
        <v>21.299855520521806</v>
      </c>
    </row>
    <row r="67" spans="1:46" x14ac:dyDescent="0.3">
      <c r="A67" s="927" t="s">
        <v>1057</v>
      </c>
      <c r="AC67" s="928">
        <f>$AC$25*C$29</f>
        <v>0</v>
      </c>
      <c r="AD67" s="928">
        <f t="shared" ref="AD67:AT67" si="35">$AC$25*D$29</f>
        <v>0</v>
      </c>
      <c r="AE67" s="928">
        <f t="shared" si="35"/>
        <v>0</v>
      </c>
      <c r="AF67" s="928">
        <f t="shared" si="35"/>
        <v>0</v>
      </c>
      <c r="AG67" s="928">
        <f t="shared" si="35"/>
        <v>0</v>
      </c>
      <c r="AH67" s="928">
        <f t="shared" si="35"/>
        <v>0</v>
      </c>
      <c r="AI67" s="928">
        <f t="shared" si="35"/>
        <v>0</v>
      </c>
      <c r="AJ67" s="928">
        <f t="shared" si="35"/>
        <v>0</v>
      </c>
      <c r="AK67" s="928">
        <f t="shared" si="35"/>
        <v>0</v>
      </c>
      <c r="AL67" s="928">
        <f t="shared" si="35"/>
        <v>0</v>
      </c>
      <c r="AM67" s="928">
        <f t="shared" si="35"/>
        <v>0</v>
      </c>
      <c r="AN67" s="928">
        <f t="shared" si="35"/>
        <v>0</v>
      </c>
      <c r="AO67" s="928">
        <f t="shared" si="35"/>
        <v>0</v>
      </c>
      <c r="AP67" s="928">
        <f t="shared" si="35"/>
        <v>0</v>
      </c>
      <c r="AQ67" s="928">
        <f t="shared" si="35"/>
        <v>0</v>
      </c>
      <c r="AR67" s="928">
        <f t="shared" si="35"/>
        <v>0</v>
      </c>
      <c r="AS67" s="928">
        <f t="shared" si="35"/>
        <v>0</v>
      </c>
      <c r="AT67" s="928">
        <f t="shared" si="35"/>
        <v>0</v>
      </c>
    </row>
    <row r="68" spans="1:46" x14ac:dyDescent="0.3">
      <c r="A68" s="927" t="s">
        <v>1058</v>
      </c>
      <c r="AD68" s="928">
        <f>$AD$25*C$29</f>
        <v>0</v>
      </c>
      <c r="AE68" s="928">
        <f t="shared" ref="AE68:AT68" si="36">$AD$25*D$29</f>
        <v>0</v>
      </c>
      <c r="AF68" s="928">
        <f t="shared" si="36"/>
        <v>0</v>
      </c>
      <c r="AG68" s="928">
        <f t="shared" si="36"/>
        <v>0</v>
      </c>
      <c r="AH68" s="928">
        <f t="shared" si="36"/>
        <v>0</v>
      </c>
      <c r="AI68" s="928">
        <f t="shared" si="36"/>
        <v>0</v>
      </c>
      <c r="AJ68" s="928">
        <f t="shared" si="36"/>
        <v>0</v>
      </c>
      <c r="AK68" s="928">
        <f t="shared" si="36"/>
        <v>0</v>
      </c>
      <c r="AL68" s="928">
        <f t="shared" si="36"/>
        <v>0</v>
      </c>
      <c r="AM68" s="928">
        <f t="shared" si="36"/>
        <v>0</v>
      </c>
      <c r="AN68" s="928">
        <f t="shared" si="36"/>
        <v>0</v>
      </c>
      <c r="AO68" s="928">
        <f t="shared" si="36"/>
        <v>0</v>
      </c>
      <c r="AP68" s="928">
        <f t="shared" si="36"/>
        <v>0</v>
      </c>
      <c r="AQ68" s="928">
        <f t="shared" si="36"/>
        <v>0</v>
      </c>
      <c r="AR68" s="928">
        <f t="shared" si="36"/>
        <v>0</v>
      </c>
      <c r="AS68" s="928">
        <f t="shared" si="36"/>
        <v>0</v>
      </c>
      <c r="AT68" s="928">
        <f t="shared" si="36"/>
        <v>0</v>
      </c>
    </row>
    <row r="69" spans="1:46" x14ac:dyDescent="0.3">
      <c r="A69" s="927" t="s">
        <v>1059</v>
      </c>
      <c r="AE69" s="928">
        <f>$AE$25*C$29</f>
        <v>0</v>
      </c>
      <c r="AF69" s="928">
        <f t="shared" ref="AF69:AT69" si="37">$AE$25*D$29</f>
        <v>0</v>
      </c>
      <c r="AG69" s="928">
        <f t="shared" si="37"/>
        <v>0</v>
      </c>
      <c r="AH69" s="928">
        <f t="shared" si="37"/>
        <v>0</v>
      </c>
      <c r="AI69" s="928">
        <f t="shared" si="37"/>
        <v>0</v>
      </c>
      <c r="AJ69" s="928">
        <f t="shared" si="37"/>
        <v>0</v>
      </c>
      <c r="AK69" s="928">
        <f t="shared" si="37"/>
        <v>0</v>
      </c>
      <c r="AL69" s="928">
        <f t="shared" si="37"/>
        <v>0</v>
      </c>
      <c r="AM69" s="928">
        <f t="shared" si="37"/>
        <v>0</v>
      </c>
      <c r="AN69" s="928">
        <f t="shared" si="37"/>
        <v>0</v>
      </c>
      <c r="AO69" s="928">
        <f t="shared" si="37"/>
        <v>0</v>
      </c>
      <c r="AP69" s="928">
        <f t="shared" si="37"/>
        <v>0</v>
      </c>
      <c r="AQ69" s="928">
        <f t="shared" si="37"/>
        <v>0</v>
      </c>
      <c r="AR69" s="928">
        <f t="shared" si="37"/>
        <v>0</v>
      </c>
      <c r="AS69" s="928">
        <f t="shared" si="37"/>
        <v>0</v>
      </c>
      <c r="AT69" s="928">
        <f t="shared" si="37"/>
        <v>0</v>
      </c>
    </row>
    <row r="70" spans="1:46" x14ac:dyDescent="0.3">
      <c r="A70" s="927" t="s">
        <v>1060</v>
      </c>
      <c r="AF70" s="928">
        <f>$AF$25*C$29</f>
        <v>0</v>
      </c>
      <c r="AG70" s="928">
        <f t="shared" ref="AG70:AT70" si="38">$AF$25*D$29</f>
        <v>0</v>
      </c>
      <c r="AH70" s="928">
        <f t="shared" si="38"/>
        <v>0</v>
      </c>
      <c r="AI70" s="928">
        <f t="shared" si="38"/>
        <v>0</v>
      </c>
      <c r="AJ70" s="928">
        <f t="shared" si="38"/>
        <v>0</v>
      </c>
      <c r="AK70" s="928">
        <f t="shared" si="38"/>
        <v>0</v>
      </c>
      <c r="AL70" s="928">
        <f t="shared" si="38"/>
        <v>0</v>
      </c>
      <c r="AM70" s="928">
        <f t="shared" si="38"/>
        <v>0</v>
      </c>
      <c r="AN70" s="928">
        <f t="shared" si="38"/>
        <v>0</v>
      </c>
      <c r="AO70" s="928">
        <f t="shared" si="38"/>
        <v>0</v>
      </c>
      <c r="AP70" s="928">
        <f t="shared" si="38"/>
        <v>0</v>
      </c>
      <c r="AQ70" s="928">
        <f t="shared" si="38"/>
        <v>0</v>
      </c>
      <c r="AR70" s="928">
        <f t="shared" si="38"/>
        <v>0</v>
      </c>
      <c r="AS70" s="928">
        <f t="shared" si="38"/>
        <v>0</v>
      </c>
      <c r="AT70" s="928">
        <f t="shared" si="38"/>
        <v>0</v>
      </c>
    </row>
    <row r="71" spans="1:46" x14ac:dyDescent="0.3">
      <c r="A71" s="927" t="s">
        <v>1061</v>
      </c>
      <c r="AG71" s="928">
        <f>$AG$25*C$29</f>
        <v>0</v>
      </c>
      <c r="AH71" s="928">
        <f>$AG$25*D$29</f>
        <v>0</v>
      </c>
      <c r="AI71" s="928">
        <f t="shared" ref="AI71:AT71" si="39">$AG$25*E$29</f>
        <v>0</v>
      </c>
      <c r="AJ71" s="928">
        <f t="shared" si="39"/>
        <v>0</v>
      </c>
      <c r="AK71" s="928">
        <f t="shared" si="39"/>
        <v>0</v>
      </c>
      <c r="AL71" s="928">
        <f t="shared" si="39"/>
        <v>0</v>
      </c>
      <c r="AM71" s="928">
        <f t="shared" si="39"/>
        <v>0</v>
      </c>
      <c r="AN71" s="928">
        <f t="shared" si="39"/>
        <v>0</v>
      </c>
      <c r="AO71" s="928">
        <f t="shared" si="39"/>
        <v>0</v>
      </c>
      <c r="AP71" s="928">
        <f t="shared" si="39"/>
        <v>0</v>
      </c>
      <c r="AQ71" s="928">
        <f t="shared" si="39"/>
        <v>0</v>
      </c>
      <c r="AR71" s="928">
        <f t="shared" si="39"/>
        <v>0</v>
      </c>
      <c r="AS71" s="928">
        <f t="shared" si="39"/>
        <v>0</v>
      </c>
      <c r="AT71" s="928">
        <f t="shared" si="39"/>
        <v>0</v>
      </c>
    </row>
    <row r="72" spans="1:46" x14ac:dyDescent="0.3">
      <c r="A72" s="927" t="s">
        <v>1062</v>
      </c>
      <c r="AH72" s="928">
        <f>$AH$25*C$29</f>
        <v>0</v>
      </c>
      <c r="AI72" s="928">
        <f t="shared" ref="AI72:AT72" si="40">$AH$25*D$29</f>
        <v>0</v>
      </c>
      <c r="AJ72" s="928">
        <f t="shared" si="40"/>
        <v>0</v>
      </c>
      <c r="AK72" s="928">
        <f t="shared" si="40"/>
        <v>0</v>
      </c>
      <c r="AL72" s="928">
        <f t="shared" si="40"/>
        <v>0</v>
      </c>
      <c r="AM72" s="928">
        <f t="shared" si="40"/>
        <v>0</v>
      </c>
      <c r="AN72" s="928">
        <f t="shared" si="40"/>
        <v>0</v>
      </c>
      <c r="AO72" s="928">
        <f t="shared" si="40"/>
        <v>0</v>
      </c>
      <c r="AP72" s="928">
        <f t="shared" si="40"/>
        <v>0</v>
      </c>
      <c r="AQ72" s="928">
        <f t="shared" si="40"/>
        <v>0</v>
      </c>
      <c r="AR72" s="928">
        <f t="shared" si="40"/>
        <v>0</v>
      </c>
      <c r="AS72" s="928">
        <f t="shared" si="40"/>
        <v>0</v>
      </c>
      <c r="AT72" s="928">
        <f t="shared" si="40"/>
        <v>0</v>
      </c>
    </row>
    <row r="73" spans="1:46" x14ac:dyDescent="0.3">
      <c r="A73" s="927" t="s">
        <v>4087</v>
      </c>
      <c r="AH73" s="928"/>
      <c r="AI73" s="928">
        <f>$AI$25*C$29</f>
        <v>0</v>
      </c>
      <c r="AJ73" s="928">
        <f t="shared" ref="AJ73:AT73" si="41">$AI$25*D$29</f>
        <v>0</v>
      </c>
      <c r="AK73" s="928">
        <f t="shared" si="41"/>
        <v>0</v>
      </c>
      <c r="AL73" s="928">
        <f t="shared" si="41"/>
        <v>0</v>
      </c>
      <c r="AM73" s="928">
        <f t="shared" si="41"/>
        <v>0</v>
      </c>
      <c r="AN73" s="928">
        <f t="shared" si="41"/>
        <v>0</v>
      </c>
      <c r="AO73" s="928">
        <f t="shared" si="41"/>
        <v>0</v>
      </c>
      <c r="AP73" s="928">
        <f t="shared" si="41"/>
        <v>0</v>
      </c>
      <c r="AQ73" s="928">
        <f t="shared" si="41"/>
        <v>0</v>
      </c>
      <c r="AR73" s="928">
        <f t="shared" si="41"/>
        <v>0</v>
      </c>
      <c r="AS73" s="928">
        <f t="shared" si="41"/>
        <v>0</v>
      </c>
      <c r="AT73" s="928">
        <f t="shared" si="41"/>
        <v>0</v>
      </c>
    </row>
    <row r="74" spans="1:46" x14ac:dyDescent="0.3">
      <c r="A74" s="927" t="s">
        <v>4088</v>
      </c>
      <c r="AH74" s="928"/>
      <c r="AI74" s="928"/>
      <c r="AJ74" s="928">
        <f>$AJ$25*C$29</f>
        <v>0</v>
      </c>
      <c r="AK74" s="928">
        <f t="shared" ref="AK74:AT74" si="42">$AJ$25*D$29</f>
        <v>0</v>
      </c>
      <c r="AL74" s="928">
        <f t="shared" si="42"/>
        <v>0</v>
      </c>
      <c r="AM74" s="928">
        <f t="shared" si="42"/>
        <v>0</v>
      </c>
      <c r="AN74" s="928">
        <f t="shared" si="42"/>
        <v>0</v>
      </c>
      <c r="AO74" s="928">
        <f t="shared" si="42"/>
        <v>0</v>
      </c>
      <c r="AP74" s="928">
        <f t="shared" si="42"/>
        <v>0</v>
      </c>
      <c r="AQ74" s="928">
        <f t="shared" si="42"/>
        <v>0</v>
      </c>
      <c r="AR74" s="928">
        <f t="shared" si="42"/>
        <v>0</v>
      </c>
      <c r="AS74" s="928">
        <f t="shared" si="42"/>
        <v>0</v>
      </c>
      <c r="AT74" s="928">
        <f t="shared" si="42"/>
        <v>0</v>
      </c>
    </row>
    <row r="75" spans="1:46" x14ac:dyDescent="0.3">
      <c r="A75" s="927" t="s">
        <v>4089</v>
      </c>
      <c r="AH75" s="928"/>
      <c r="AI75" s="928"/>
      <c r="AJ75" s="928"/>
      <c r="AK75" s="928">
        <f>$AK$25*C$29</f>
        <v>0</v>
      </c>
      <c r="AL75" s="928">
        <f t="shared" ref="AL75:AT75" si="43">$AK$25*D$29</f>
        <v>0</v>
      </c>
      <c r="AM75" s="928">
        <f t="shared" si="43"/>
        <v>0</v>
      </c>
      <c r="AN75" s="928">
        <f t="shared" si="43"/>
        <v>0</v>
      </c>
      <c r="AO75" s="928">
        <f t="shared" si="43"/>
        <v>0</v>
      </c>
      <c r="AP75" s="928">
        <f t="shared" si="43"/>
        <v>0</v>
      </c>
      <c r="AQ75" s="928">
        <f t="shared" si="43"/>
        <v>0</v>
      </c>
      <c r="AR75" s="928">
        <f t="shared" si="43"/>
        <v>0</v>
      </c>
      <c r="AS75" s="928">
        <f t="shared" si="43"/>
        <v>0</v>
      </c>
      <c r="AT75" s="928">
        <f t="shared" si="43"/>
        <v>0</v>
      </c>
    </row>
    <row r="76" spans="1:46" x14ac:dyDescent="0.3">
      <c r="A76" s="927" t="s">
        <v>4090</v>
      </c>
      <c r="AH76" s="928"/>
      <c r="AI76" s="928"/>
      <c r="AJ76" s="928"/>
      <c r="AK76" s="928"/>
      <c r="AL76" s="928">
        <f>$AL$25*C$29</f>
        <v>0</v>
      </c>
      <c r="AM76" s="928">
        <f t="shared" ref="AM76:AT76" si="44">$AL$25*D$29</f>
        <v>0</v>
      </c>
      <c r="AN76" s="928">
        <f t="shared" si="44"/>
        <v>0</v>
      </c>
      <c r="AO76" s="928">
        <f t="shared" si="44"/>
        <v>0</v>
      </c>
      <c r="AP76" s="928">
        <f t="shared" si="44"/>
        <v>0</v>
      </c>
      <c r="AQ76" s="928">
        <f t="shared" si="44"/>
        <v>0</v>
      </c>
      <c r="AR76" s="928">
        <f t="shared" si="44"/>
        <v>0</v>
      </c>
      <c r="AS76" s="928">
        <f t="shared" si="44"/>
        <v>0</v>
      </c>
      <c r="AT76" s="928">
        <f t="shared" si="44"/>
        <v>0</v>
      </c>
    </row>
    <row r="77" spans="1:46" x14ac:dyDescent="0.3">
      <c r="A77" s="927" t="s">
        <v>4091</v>
      </c>
      <c r="AH77" s="928"/>
      <c r="AI77" s="928"/>
      <c r="AJ77" s="928"/>
      <c r="AK77" s="928"/>
      <c r="AL77" s="928"/>
      <c r="AM77" s="928">
        <f>$AM$25*C$29</f>
        <v>0</v>
      </c>
      <c r="AN77" s="928">
        <f t="shared" ref="AN77:AT77" si="45">$AM$25*D$29</f>
        <v>0</v>
      </c>
      <c r="AO77" s="928">
        <f t="shared" si="45"/>
        <v>0</v>
      </c>
      <c r="AP77" s="928">
        <f t="shared" si="45"/>
        <v>0</v>
      </c>
      <c r="AQ77" s="928">
        <f t="shared" si="45"/>
        <v>0</v>
      </c>
      <c r="AR77" s="928">
        <f t="shared" si="45"/>
        <v>0</v>
      </c>
      <c r="AS77" s="928">
        <f t="shared" si="45"/>
        <v>0</v>
      </c>
      <c r="AT77" s="928">
        <f t="shared" si="45"/>
        <v>0</v>
      </c>
    </row>
    <row r="78" spans="1:46" x14ac:dyDescent="0.3">
      <c r="A78" s="927" t="s">
        <v>4092</v>
      </c>
      <c r="AH78" s="928"/>
      <c r="AI78" s="928"/>
      <c r="AJ78" s="928"/>
      <c r="AK78" s="928"/>
      <c r="AL78" s="928"/>
      <c r="AM78" s="928"/>
      <c r="AN78" s="928">
        <f>$AN$25*C$29</f>
        <v>0</v>
      </c>
      <c r="AO78" s="928">
        <f t="shared" ref="AO78:AT78" si="46">$AN$25*D$29</f>
        <v>0</v>
      </c>
      <c r="AP78" s="928">
        <f t="shared" si="46"/>
        <v>0</v>
      </c>
      <c r="AQ78" s="928">
        <f t="shared" si="46"/>
        <v>0</v>
      </c>
      <c r="AR78" s="928">
        <f t="shared" si="46"/>
        <v>0</v>
      </c>
      <c r="AS78" s="928">
        <f t="shared" si="46"/>
        <v>0</v>
      </c>
      <c r="AT78" s="928">
        <f t="shared" si="46"/>
        <v>0</v>
      </c>
    </row>
    <row r="79" spans="1:46" x14ac:dyDescent="0.3">
      <c r="A79" s="927" t="s">
        <v>4093</v>
      </c>
      <c r="AH79" s="928"/>
      <c r="AI79" s="928"/>
      <c r="AJ79" s="928"/>
      <c r="AK79" s="928"/>
      <c r="AL79" s="928"/>
      <c r="AM79" s="928"/>
      <c r="AN79" s="928"/>
      <c r="AO79" s="928">
        <f t="shared" ref="AO79:AT79" si="47">$AO$25*C$29</f>
        <v>0</v>
      </c>
      <c r="AP79" s="928">
        <f t="shared" si="47"/>
        <v>0</v>
      </c>
      <c r="AQ79" s="928">
        <f t="shared" si="47"/>
        <v>0</v>
      </c>
      <c r="AR79" s="928">
        <f t="shared" si="47"/>
        <v>0</v>
      </c>
      <c r="AS79" s="928">
        <f t="shared" si="47"/>
        <v>0</v>
      </c>
      <c r="AT79" s="928">
        <f t="shared" si="47"/>
        <v>0</v>
      </c>
    </row>
    <row r="80" spans="1:46" x14ac:dyDescent="0.3">
      <c r="A80" s="927" t="s">
        <v>4094</v>
      </c>
      <c r="AH80" s="928"/>
      <c r="AI80" s="928"/>
      <c r="AJ80" s="928"/>
      <c r="AK80" s="928"/>
      <c r="AL80" s="928"/>
      <c r="AM80" s="928"/>
      <c r="AN80" s="928"/>
      <c r="AO80" s="928"/>
      <c r="AP80" s="928">
        <f>$AP$25*C$29</f>
        <v>0</v>
      </c>
      <c r="AQ80" s="928">
        <f>$AP$25*D$29</f>
        <v>0</v>
      </c>
      <c r="AR80" s="928">
        <f>$AP$25*E$29</f>
        <v>0</v>
      </c>
      <c r="AS80" s="928">
        <f>$AP$25*F$29</f>
        <v>0</v>
      </c>
      <c r="AT80" s="928">
        <f>$AP$25*G$29</f>
        <v>0</v>
      </c>
    </row>
    <row r="81" spans="1:46" x14ac:dyDescent="0.3">
      <c r="A81" s="927" t="s">
        <v>4095</v>
      </c>
      <c r="AH81" s="928"/>
      <c r="AI81" s="928"/>
      <c r="AJ81" s="928"/>
      <c r="AK81" s="928"/>
      <c r="AL81" s="928"/>
      <c r="AM81" s="928"/>
      <c r="AN81" s="928"/>
      <c r="AO81" s="928"/>
      <c r="AP81" s="928"/>
      <c r="AQ81" s="928">
        <f>$AQ$25*C$29</f>
        <v>0</v>
      </c>
      <c r="AR81" s="928">
        <f>$AQ$25*D$29</f>
        <v>0</v>
      </c>
      <c r="AS81" s="928">
        <f>$AQ$25*E$29</f>
        <v>0</v>
      </c>
      <c r="AT81" s="928">
        <f>$AQ$25*F$29</f>
        <v>0</v>
      </c>
    </row>
    <row r="82" spans="1:46" x14ac:dyDescent="0.3">
      <c r="A82" s="927" t="s">
        <v>4096</v>
      </c>
      <c r="AH82" s="928"/>
      <c r="AI82" s="928"/>
      <c r="AJ82" s="928"/>
      <c r="AK82" s="928"/>
      <c r="AL82" s="928"/>
      <c r="AM82" s="928"/>
      <c r="AN82" s="928"/>
      <c r="AO82" s="928"/>
      <c r="AP82" s="928"/>
      <c r="AQ82" s="928"/>
      <c r="AR82" s="928">
        <f>$AR$25*C$29</f>
        <v>0</v>
      </c>
      <c r="AS82" s="928">
        <f>$AR$25*D$29</f>
        <v>0</v>
      </c>
      <c r="AT82" s="928">
        <f>$AR$25*E$29</f>
        <v>0</v>
      </c>
    </row>
    <row r="83" spans="1:46" x14ac:dyDescent="0.3">
      <c r="A83" s="927" t="s">
        <v>4097</v>
      </c>
      <c r="AH83" s="928"/>
      <c r="AI83" s="928"/>
      <c r="AJ83" s="928"/>
      <c r="AK83" s="928"/>
      <c r="AL83" s="928"/>
      <c r="AM83" s="928"/>
      <c r="AN83" s="928"/>
      <c r="AO83" s="928"/>
      <c r="AP83" s="928"/>
      <c r="AQ83" s="928"/>
      <c r="AR83" s="928"/>
      <c r="AS83" s="928">
        <f>$AS$25*C$29</f>
        <v>0</v>
      </c>
      <c r="AT83" s="928">
        <f>$AS$25*D$29</f>
        <v>0</v>
      </c>
    </row>
    <row r="84" spans="1:46" x14ac:dyDescent="0.3">
      <c r="A84" s="927" t="s">
        <v>4098</v>
      </c>
      <c r="AH84" s="928"/>
      <c r="AI84" s="928"/>
      <c r="AJ84" s="928"/>
      <c r="AK84" s="928"/>
      <c r="AL84" s="928"/>
      <c r="AM84" s="928"/>
      <c r="AN84" s="928"/>
      <c r="AO84" s="928"/>
      <c r="AP84" s="928"/>
      <c r="AQ84" s="928"/>
      <c r="AR84" s="928"/>
      <c r="AS84" s="928"/>
      <c r="AT84" s="928">
        <f>$AT$25*C$29</f>
        <v>0</v>
      </c>
    </row>
    <row r="85" spans="1:46" x14ac:dyDescent="0.3">
      <c r="A85" s="930" t="s">
        <v>3078</v>
      </c>
      <c r="B85" s="538"/>
      <c r="C85" s="931">
        <f>SUM(C41:C84)</f>
        <v>2.08</v>
      </c>
      <c r="D85" s="931">
        <f t="shared" ref="D85:AT85" si="48">SUM(D41:D84)</f>
        <v>7.2688000000000006</v>
      </c>
      <c r="E85" s="931">
        <f t="shared" si="48"/>
        <v>15.679767999999999</v>
      </c>
      <c r="F85" s="931">
        <f t="shared" si="48"/>
        <v>27.44457148</v>
      </c>
      <c r="G85" s="931">
        <f t="shared" si="48"/>
        <v>44.0329029078</v>
      </c>
      <c r="H85" s="931">
        <f t="shared" si="48"/>
        <v>65.372409364183</v>
      </c>
      <c r="I85" s="931">
        <f t="shared" si="48"/>
        <v>91.391823223720252</v>
      </c>
      <c r="J85" s="931">
        <f t="shared" si="48"/>
        <v>122.02094587536445</v>
      </c>
      <c r="K85" s="931">
        <f t="shared" si="48"/>
        <v>157.190631687234</v>
      </c>
      <c r="L85" s="931">
        <f t="shared" si="48"/>
        <v>196.83277221192549</v>
      </c>
      <c r="M85" s="931">
        <f t="shared" si="48"/>
        <v>240.88028062874659</v>
      </c>
      <c r="N85" s="931">
        <f t="shared" si="48"/>
        <v>289.2670764193154</v>
      </c>
      <c r="O85" s="931">
        <f t="shared" si="48"/>
        <v>341.92807027302558</v>
      </c>
      <c r="P85" s="931">
        <f t="shared" si="48"/>
        <v>398.79914921893021</v>
      </c>
      <c r="Q85" s="931">
        <f t="shared" si="48"/>
        <v>459.81716198064623</v>
      </c>
      <c r="R85" s="931">
        <f t="shared" si="48"/>
        <v>524.91990455093651</v>
      </c>
      <c r="S85" s="931">
        <f t="shared" si="48"/>
        <v>594.04610598267243</v>
      </c>
      <c r="T85" s="931">
        <f t="shared" si="48"/>
        <v>667.13541439293226</v>
      </c>
      <c r="U85" s="931">
        <f t="shared" si="48"/>
        <v>744.12838317703847</v>
      </c>
      <c r="V85" s="931">
        <f t="shared" si="48"/>
        <v>824.96645742938279</v>
      </c>
      <c r="W85" s="931">
        <f t="shared" si="48"/>
        <v>909.59196056794201</v>
      </c>
      <c r="X85" s="931">
        <f t="shared" si="48"/>
        <v>997.94808115942271</v>
      </c>
      <c r="Y85" s="931">
        <f t="shared" si="48"/>
        <v>1089.9788599420315</v>
      </c>
      <c r="Z85" s="931">
        <f t="shared" si="48"/>
        <v>1185.6291770429009</v>
      </c>
      <c r="AA85" s="931">
        <f t="shared" si="48"/>
        <v>1284.8447393872575</v>
      </c>
      <c r="AB85" s="931">
        <f t="shared" si="48"/>
        <v>1383.8520682964486</v>
      </c>
      <c r="AC85" s="931">
        <f t="shared" si="48"/>
        <v>1481.3742872720018</v>
      </c>
      <c r="AD85" s="931">
        <f t="shared" si="48"/>
        <v>1576.3880586556704</v>
      </c>
      <c r="AE85" s="931">
        <f t="shared" si="48"/>
        <v>1668.0657623312347</v>
      </c>
      <c r="AF85" s="931">
        <f t="shared" si="48"/>
        <v>1756.2076185818771</v>
      </c>
      <c r="AG85" s="931">
        <f t="shared" si="48"/>
        <v>1840.7506111352477</v>
      </c>
      <c r="AH85" s="931">
        <f t="shared" si="48"/>
        <v>1920.9558560373266</v>
      </c>
      <c r="AI85" s="931">
        <f t="shared" si="48"/>
        <v>1996.6455222658742</v>
      </c>
      <c r="AJ85" s="931">
        <f t="shared" si="48"/>
        <v>2067.8873435009932</v>
      </c>
      <c r="AK85" s="931">
        <f t="shared" si="48"/>
        <v>2134.7480374175857</v>
      </c>
      <c r="AL85" s="931">
        <f t="shared" si="48"/>
        <v>2197.2933209254297</v>
      </c>
      <c r="AM85" s="931">
        <f t="shared" si="48"/>
        <v>2255.5879251806559</v>
      </c>
      <c r="AN85" s="931">
        <f t="shared" si="48"/>
        <v>2309.6956103720536</v>
      </c>
      <c r="AO85" s="931">
        <f t="shared" si="48"/>
        <v>2359.6791802855796</v>
      </c>
      <c r="AP85" s="931">
        <f t="shared" si="48"/>
        <v>2405.6004966504033</v>
      </c>
      <c r="AQ85" s="931">
        <f t="shared" si="48"/>
        <v>2447.5204932697548</v>
      </c>
      <c r="AR85" s="931">
        <f t="shared" si="48"/>
        <v>2485.499189939816</v>
      </c>
      <c r="AS85" s="931">
        <f t="shared" si="48"/>
        <v>2519.5957061598265</v>
      </c>
      <c r="AT85" s="931">
        <f t="shared" si="48"/>
        <v>2549.8682746365371</v>
      </c>
    </row>
    <row r="86" spans="1:46" x14ac:dyDescent="0.3">
      <c r="A86" s="927" t="s">
        <v>1806</v>
      </c>
      <c r="C86" s="932">
        <f>C85/C26</f>
        <v>1.0947368421052633E-2</v>
      </c>
      <c r="D86" s="932">
        <f t="shared" ref="D86:AT86" si="49">D85/D26</f>
        <v>2.0947550432276658E-2</v>
      </c>
      <c r="E86" s="932">
        <f t="shared" si="49"/>
        <v>3.0624546874999999E-2</v>
      </c>
      <c r="F86" s="932">
        <f t="shared" si="49"/>
        <v>4.000666396501458E-2</v>
      </c>
      <c r="G86" s="932">
        <f t="shared" si="49"/>
        <v>4.704369968782051E-2</v>
      </c>
      <c r="H86" s="932">
        <f t="shared" si="49"/>
        <v>5.5120075349226812E-2</v>
      </c>
      <c r="I86" s="932">
        <f t="shared" si="49"/>
        <v>6.3643330935738332E-2</v>
      </c>
      <c r="J86" s="932">
        <f t="shared" si="49"/>
        <v>7.2373040258223276E-2</v>
      </c>
      <c r="K86" s="932">
        <f t="shared" si="49"/>
        <v>8.1193508102910122E-2</v>
      </c>
      <c r="L86" s="932">
        <f t="shared" si="49"/>
        <v>9.0042439255226661E-2</v>
      </c>
      <c r="M86" s="932">
        <f t="shared" si="49"/>
        <v>9.8883530635774458E-2</v>
      </c>
      <c r="N86" s="932">
        <f t="shared" si="49"/>
        <v>0.10769436947852398</v>
      </c>
      <c r="O86" s="932">
        <f t="shared" si="49"/>
        <v>0.11646051439816947</v>
      </c>
      <c r="P86" s="932">
        <f t="shared" si="49"/>
        <v>0.12517236322000319</v>
      </c>
      <c r="Q86" s="932">
        <f t="shared" si="49"/>
        <v>0.13382338823650938</v>
      </c>
      <c r="R86" s="932">
        <f t="shared" si="49"/>
        <v>0.14240908967741089</v>
      </c>
      <c r="S86" s="932">
        <f t="shared" si="49"/>
        <v>0.15092634806470337</v>
      </c>
      <c r="T86" s="932">
        <f t="shared" si="49"/>
        <v>0.15937300869396376</v>
      </c>
      <c r="U86" s="932">
        <f t="shared" si="49"/>
        <v>0.16774760666750191</v>
      </c>
      <c r="V86" s="932">
        <f t="shared" si="49"/>
        <v>0.1760491799891982</v>
      </c>
      <c r="W86" s="932">
        <f t="shared" si="49"/>
        <v>0.18427713949917787</v>
      </c>
      <c r="X86" s="932">
        <f t="shared" si="49"/>
        <v>0.19243117646730096</v>
      </c>
      <c r="Y86" s="932">
        <f t="shared" si="49"/>
        <v>0.20051119572149217</v>
      </c>
      <c r="Z86" s="932">
        <f t="shared" si="49"/>
        <v>0.20851726645144231</v>
      </c>
      <c r="AA86" s="932">
        <f t="shared" si="49"/>
        <v>0.21644958547629001</v>
      </c>
      <c r="AB86" s="932">
        <f t="shared" si="49"/>
        <v>0.23064201138274143</v>
      </c>
      <c r="AC86" s="932">
        <f t="shared" si="49"/>
        <v>0.24689571454533363</v>
      </c>
      <c r="AD86" s="932">
        <f t="shared" si="49"/>
        <v>0.26273134310927843</v>
      </c>
      <c r="AE86" s="932">
        <f t="shared" si="49"/>
        <v>0.27801096038853912</v>
      </c>
      <c r="AF86" s="932">
        <f t="shared" si="49"/>
        <v>0.29270126976364619</v>
      </c>
      <c r="AG86" s="932">
        <f t="shared" si="49"/>
        <v>0.30679176852254131</v>
      </c>
      <c r="AH86" s="932">
        <f t="shared" si="49"/>
        <v>0.32015930933955444</v>
      </c>
      <c r="AI86" s="932">
        <f t="shared" si="49"/>
        <v>0.33277425371097902</v>
      </c>
      <c r="AJ86" s="932">
        <f t="shared" si="49"/>
        <v>0.34464789058349887</v>
      </c>
      <c r="AK86" s="932">
        <f t="shared" si="49"/>
        <v>0.35579133956959763</v>
      </c>
      <c r="AL86" s="932">
        <f t="shared" si="49"/>
        <v>0.36621555348757162</v>
      </c>
      <c r="AM86" s="932">
        <f t="shared" si="49"/>
        <v>0.37593132086344266</v>
      </c>
      <c r="AN86" s="932">
        <f t="shared" si="49"/>
        <v>0.38494926839534227</v>
      </c>
      <c r="AO86" s="932">
        <f t="shared" si="49"/>
        <v>0.39327986338092996</v>
      </c>
      <c r="AP86" s="932">
        <f t="shared" si="49"/>
        <v>0.40093341610840055</v>
      </c>
      <c r="AQ86" s="932">
        <f t="shared" si="49"/>
        <v>0.40792008221162579</v>
      </c>
      <c r="AR86" s="932">
        <f t="shared" si="49"/>
        <v>0.41424986498996935</v>
      </c>
      <c r="AS86" s="932">
        <f t="shared" si="49"/>
        <v>0.41993261769330442</v>
      </c>
      <c r="AT86" s="932">
        <f t="shared" si="49"/>
        <v>0.42497804577275616</v>
      </c>
    </row>
    <row r="87" spans="1:46" x14ac:dyDescent="0.3">
      <c r="A87" s="930" t="s">
        <v>4106</v>
      </c>
      <c r="B87" s="538"/>
      <c r="C87" s="933">
        <f>C85</f>
        <v>2.08</v>
      </c>
      <c r="D87" s="933">
        <f>D85-C85</f>
        <v>5.1888000000000005</v>
      </c>
      <c r="E87" s="933">
        <f t="shared" ref="E87:AT87" si="50">E85-D85</f>
        <v>8.4109679999999987</v>
      </c>
      <c r="F87" s="933">
        <f t="shared" si="50"/>
        <v>11.764803480000001</v>
      </c>
      <c r="G87" s="933">
        <f t="shared" si="50"/>
        <v>16.5883314278</v>
      </c>
      <c r="H87" s="933">
        <f t="shared" si="50"/>
        <v>21.339506456382999</v>
      </c>
      <c r="I87" s="933">
        <f t="shared" si="50"/>
        <v>26.019413859537252</v>
      </c>
      <c r="J87" s="933">
        <f t="shared" si="50"/>
        <v>30.629122651644195</v>
      </c>
      <c r="K87" s="933">
        <f t="shared" si="50"/>
        <v>35.169685811869556</v>
      </c>
      <c r="L87" s="933">
        <f t="shared" si="50"/>
        <v>39.642140524691484</v>
      </c>
      <c r="M87" s="933">
        <f t="shared" si="50"/>
        <v>44.047508416821103</v>
      </c>
      <c r="N87" s="933">
        <f t="shared" si="50"/>
        <v>48.386795790568812</v>
      </c>
      <c r="O87" s="933">
        <f t="shared" si="50"/>
        <v>52.660993853710181</v>
      </c>
      <c r="P87" s="933">
        <f t="shared" si="50"/>
        <v>56.871078945904628</v>
      </c>
      <c r="Q87" s="933">
        <f t="shared" si="50"/>
        <v>61.018012761716022</v>
      </c>
      <c r="R87" s="933">
        <f t="shared" si="50"/>
        <v>65.102742570290275</v>
      </c>
      <c r="S87" s="933">
        <f t="shared" si="50"/>
        <v>69.126201431735922</v>
      </c>
      <c r="T87" s="933">
        <f t="shared" si="50"/>
        <v>73.089308410259832</v>
      </c>
      <c r="U87" s="933">
        <f t="shared" si="50"/>
        <v>76.99296878410621</v>
      </c>
      <c r="V87" s="933">
        <f t="shared" si="50"/>
        <v>80.838074252344313</v>
      </c>
      <c r="W87" s="933">
        <f t="shared" si="50"/>
        <v>84.625503138559225</v>
      </c>
      <c r="X87" s="933">
        <f t="shared" si="50"/>
        <v>88.356120591480703</v>
      </c>
      <c r="Y87" s="933">
        <f t="shared" si="50"/>
        <v>92.030778782608763</v>
      </c>
      <c r="Z87" s="933">
        <f t="shared" si="50"/>
        <v>95.650317100869415</v>
      </c>
      <c r="AA87" s="933">
        <f t="shared" si="50"/>
        <v>99.215562344356613</v>
      </c>
      <c r="AB87" s="933">
        <f t="shared" si="50"/>
        <v>99.007328909191074</v>
      </c>
      <c r="AC87" s="933">
        <f t="shared" si="50"/>
        <v>97.522218975553187</v>
      </c>
      <c r="AD87" s="933">
        <f t="shared" si="50"/>
        <v>95.013771383668654</v>
      </c>
      <c r="AE87" s="933">
        <f t="shared" si="50"/>
        <v>91.677703675564317</v>
      </c>
      <c r="AF87" s="933">
        <f t="shared" si="50"/>
        <v>88.141856250642377</v>
      </c>
      <c r="AG87" s="933">
        <f t="shared" si="50"/>
        <v>84.542992553370595</v>
      </c>
      <c r="AH87" s="933">
        <f t="shared" si="50"/>
        <v>80.205244902078903</v>
      </c>
      <c r="AI87" s="933">
        <f t="shared" si="50"/>
        <v>75.689666228547594</v>
      </c>
      <c r="AJ87" s="933">
        <f t="shared" si="50"/>
        <v>71.241821235119005</v>
      </c>
      <c r="AK87" s="933">
        <f t="shared" si="50"/>
        <v>66.860693916592481</v>
      </c>
      <c r="AL87" s="933">
        <f t="shared" si="50"/>
        <v>62.545283507844033</v>
      </c>
      <c r="AM87" s="933">
        <f t="shared" si="50"/>
        <v>58.294604255226204</v>
      </c>
      <c r="AN87" s="933">
        <f t="shared" si="50"/>
        <v>54.10768519139765</v>
      </c>
      <c r="AO87" s="933">
        <f t="shared" si="50"/>
        <v>49.983569913526026</v>
      </c>
      <c r="AP87" s="933">
        <f t="shared" si="50"/>
        <v>45.921316364823724</v>
      </c>
      <c r="AQ87" s="933">
        <f t="shared" si="50"/>
        <v>41.919996619351423</v>
      </c>
      <c r="AR87" s="933">
        <f t="shared" si="50"/>
        <v>37.978696670061254</v>
      </c>
      <c r="AS87" s="933">
        <f t="shared" si="50"/>
        <v>34.096516220010471</v>
      </c>
      <c r="AT87" s="933">
        <f t="shared" si="50"/>
        <v>30.272568476710603</v>
      </c>
    </row>
    <row r="88" spans="1:46" x14ac:dyDescent="0.3">
      <c r="A88" s="927"/>
    </row>
    <row r="89" spans="1:46" x14ac:dyDescent="0.3">
      <c r="A89" s="927"/>
    </row>
    <row r="90" spans="1:46" x14ac:dyDescent="0.3">
      <c r="A90" s="92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3162B-53A0-4F55-ACC7-8A3643B5AD39}">
  <sheetPr codeName="Sheet3"/>
  <dimension ref="A1:FK235"/>
  <sheetViews>
    <sheetView showGridLines="0" zoomScaleNormal="100" workbookViewId="0">
      <pane xSplit="3" ySplit="5" topLeftCell="EP6" activePane="bottomRight" state="frozen"/>
      <selection pane="topRight" activeCell="D1" sqref="D1"/>
      <selection pane="bottomLeft" activeCell="A6" sqref="A6"/>
      <selection pane="bottomRight" activeCell="FC43" sqref="FC43"/>
    </sheetView>
  </sheetViews>
  <sheetFormatPr defaultRowHeight="12" outlineLevelRow="1" x14ac:dyDescent="0.3"/>
  <cols>
    <col min="1" max="1" width="45.6640625" bestFit="1" customWidth="1"/>
    <col min="2" max="4" width="2.44140625" customWidth="1"/>
    <col min="5" max="123" width="0" hidden="1" customWidth="1"/>
    <col min="129" max="129" width="9.33203125" style="90"/>
    <col min="130" max="133" width="9.44140625" bestFit="1" customWidth="1"/>
    <col min="134" max="134" width="10.109375" style="90" bestFit="1" customWidth="1"/>
    <col min="138" max="138" width="9.44140625" bestFit="1" customWidth="1"/>
    <col min="139" max="139" width="10.109375" style="90" bestFit="1" customWidth="1"/>
    <col min="140" max="143" width="9.44140625" bestFit="1" customWidth="1"/>
    <col min="144" max="144" width="10.109375" style="90" bestFit="1" customWidth="1"/>
    <col min="145" max="148" width="10.109375" style="90" customWidth="1"/>
    <col min="149" max="149" width="10.109375" bestFit="1" customWidth="1"/>
    <col min="150" max="153" width="10.109375" customWidth="1"/>
    <col min="154" max="154" width="10.109375" bestFit="1" customWidth="1"/>
    <col min="155" max="158" width="10.109375" customWidth="1"/>
    <col min="159" max="165" width="10.109375" bestFit="1" customWidth="1"/>
  </cols>
  <sheetData>
    <row r="1" spans="1:166" ht="21.5" thickBot="1" x14ac:dyDescent="0.55000000000000004">
      <c r="A1" s="38" t="s">
        <v>13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1199"/>
      <c r="DZ1" s="38"/>
      <c r="EA1" s="38"/>
      <c r="EB1" s="38"/>
      <c r="EC1" s="38"/>
      <c r="ED1" s="1199"/>
      <c r="EE1" s="38"/>
      <c r="EF1" s="38"/>
      <c r="EG1" s="38"/>
      <c r="EH1" s="38"/>
      <c r="EI1" s="1199"/>
      <c r="EJ1" s="38"/>
      <c r="EK1" s="38"/>
      <c r="EL1" s="38"/>
      <c r="EM1" s="38"/>
      <c r="EN1" s="1199"/>
      <c r="EO1" s="1199"/>
      <c r="EP1" s="1199"/>
      <c r="EQ1" s="1199"/>
      <c r="ER1" s="1199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</row>
    <row r="2" spans="1:166" x14ac:dyDescent="0.3">
      <c r="A2" s="39" t="s">
        <v>14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</row>
    <row r="3" spans="1:166" x14ac:dyDescent="0.3">
      <c r="A3" s="40" t="s">
        <v>15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39"/>
      <c r="DZ3" s="40"/>
      <c r="EA3" s="40"/>
      <c r="EB3" s="40"/>
      <c r="EC3" s="40"/>
      <c r="ED3" s="39"/>
      <c r="EE3" s="40"/>
      <c r="EF3" s="40"/>
      <c r="EG3" s="40"/>
      <c r="EH3" s="40"/>
      <c r="EI3" s="39"/>
      <c r="EJ3" s="40"/>
      <c r="EK3" s="40"/>
      <c r="EL3" s="40"/>
      <c r="EM3" s="40"/>
      <c r="EN3" s="39"/>
      <c r="EO3" s="39"/>
      <c r="EP3" s="39"/>
      <c r="EQ3" s="39"/>
      <c r="ER3" s="39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</row>
    <row r="4" spans="1:166" x14ac:dyDescent="0.3">
      <c r="A4" s="1124"/>
      <c r="B4" s="1124"/>
      <c r="C4" s="1124"/>
      <c r="D4" s="1124"/>
      <c r="E4" s="1124"/>
      <c r="F4" s="1124"/>
      <c r="G4" s="1124"/>
      <c r="H4" s="1124"/>
      <c r="I4" s="1124"/>
      <c r="J4" s="1124"/>
      <c r="K4" s="1124"/>
      <c r="L4" s="1124"/>
      <c r="M4" s="1124"/>
      <c r="N4" s="1124"/>
      <c r="O4" s="1124"/>
      <c r="P4" s="1124"/>
      <c r="Q4" s="1124"/>
      <c r="R4" s="1124"/>
      <c r="S4" s="1124"/>
      <c r="T4" s="1124"/>
      <c r="U4" s="1124"/>
      <c r="V4" s="1124"/>
      <c r="W4" s="1124"/>
      <c r="X4" s="1124"/>
      <c r="Y4" s="1124"/>
      <c r="Z4" s="1124"/>
      <c r="AA4" s="1124"/>
      <c r="AB4" s="1124"/>
      <c r="AC4" s="1124"/>
      <c r="AD4" s="1124"/>
      <c r="AE4" s="1124"/>
      <c r="AF4" s="1124"/>
      <c r="AG4" s="1124"/>
      <c r="AH4" s="1124"/>
      <c r="AI4" s="1124"/>
      <c r="AJ4" s="1124"/>
      <c r="AK4" s="1124"/>
      <c r="AL4" s="1124"/>
      <c r="AM4" s="1124"/>
      <c r="AN4" s="1124"/>
      <c r="AO4" s="1124"/>
      <c r="AP4" s="1124"/>
      <c r="AQ4" s="1124"/>
      <c r="AR4" s="1124"/>
      <c r="AS4" s="1124"/>
      <c r="AT4" s="1124"/>
      <c r="AU4" s="1124"/>
      <c r="AV4" s="1124"/>
      <c r="AW4" s="1124"/>
      <c r="AX4" s="1124"/>
      <c r="AY4" s="1124"/>
      <c r="AZ4" s="1124"/>
      <c r="BA4" s="1124"/>
      <c r="BB4" s="1124"/>
      <c r="BC4" s="1124"/>
      <c r="BD4" s="1124"/>
      <c r="BE4" s="1124"/>
      <c r="BF4" s="1124"/>
      <c r="BG4" s="1124"/>
      <c r="BH4" s="1124"/>
      <c r="BI4" s="1124"/>
      <c r="BJ4" s="1124"/>
      <c r="BK4" s="1124"/>
      <c r="BL4" s="1124"/>
      <c r="BM4" s="1124"/>
      <c r="BN4" s="1124"/>
      <c r="BO4" s="1124"/>
      <c r="BP4" s="1124"/>
      <c r="BQ4" s="1124"/>
      <c r="BR4" s="1124"/>
      <c r="BS4" s="1124"/>
      <c r="BT4" s="1124"/>
      <c r="BU4" s="1124"/>
      <c r="BV4" s="1124"/>
      <c r="BW4" s="1124"/>
      <c r="BX4" s="1124"/>
      <c r="BY4" s="1124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4"/>
      <c r="CK4" s="1124"/>
      <c r="CL4" s="1124"/>
      <c r="CM4" s="1124"/>
      <c r="CN4" s="1124"/>
      <c r="CO4" s="1124"/>
      <c r="CP4" s="1124"/>
      <c r="CQ4" s="1124"/>
      <c r="CR4" s="1124"/>
      <c r="CS4" s="1124"/>
      <c r="CT4" s="1124"/>
      <c r="CU4" s="1124"/>
      <c r="CV4" s="1124"/>
      <c r="CW4" s="1124"/>
      <c r="CX4" s="1124"/>
      <c r="CY4" s="1124"/>
      <c r="CZ4" s="1124"/>
      <c r="DA4" s="1124"/>
      <c r="DB4" s="1124"/>
      <c r="DC4" s="1124"/>
      <c r="DD4" s="1124"/>
      <c r="DE4" s="1124"/>
      <c r="DF4" s="1124"/>
      <c r="DG4" s="1124"/>
      <c r="DH4" s="1124"/>
      <c r="DI4" s="1124"/>
      <c r="DJ4" s="1124"/>
      <c r="DK4" s="1124"/>
      <c r="DL4" s="1124"/>
      <c r="DM4" s="1124"/>
      <c r="DN4" s="1124"/>
      <c r="DO4" s="1124"/>
      <c r="DP4" s="1124"/>
      <c r="DQ4" s="1124"/>
      <c r="DR4" s="1124"/>
      <c r="DS4" s="1124"/>
      <c r="DT4" s="1124"/>
      <c r="DU4" s="1124"/>
      <c r="DV4" s="1124"/>
      <c r="DW4" s="1124"/>
      <c r="DX4" s="1124"/>
      <c r="DY4" s="1253"/>
      <c r="DZ4" s="1124"/>
      <c r="EA4" s="1124"/>
      <c r="EB4" s="1124"/>
      <c r="EC4" s="1124"/>
      <c r="ED4" s="1253"/>
      <c r="EE4" s="1124"/>
      <c r="EF4" s="1124"/>
      <c r="EG4" s="1124"/>
      <c r="EH4" s="1124"/>
      <c r="EI4" s="1253"/>
      <c r="EJ4" s="1124"/>
      <c r="EK4" s="1124"/>
      <c r="EL4" s="1124"/>
      <c r="EM4" s="1124"/>
      <c r="EN4" s="1253"/>
      <c r="EO4" s="1253"/>
      <c r="EP4" s="1253"/>
      <c r="EQ4" s="1253"/>
      <c r="ER4" s="1253"/>
      <c r="ES4" s="1124"/>
      <c r="ET4" s="1124"/>
      <c r="EU4" s="1124"/>
      <c r="EV4" s="1124"/>
      <c r="EW4" s="1124"/>
      <c r="EX4" s="1124"/>
      <c r="EY4" s="1124"/>
      <c r="EZ4" s="1124"/>
      <c r="FA4" s="1124"/>
      <c r="FB4" s="1124"/>
      <c r="FC4" s="1124"/>
      <c r="FD4" s="1124"/>
      <c r="FE4" s="1124"/>
      <c r="FF4" s="1124"/>
      <c r="FG4" s="1124"/>
      <c r="FH4" s="1124"/>
      <c r="FI4" s="1124"/>
      <c r="FJ4" s="1782" t="s">
        <v>16</v>
      </c>
    </row>
    <row r="5" spans="1:166" x14ac:dyDescent="0.3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2" t="str">
        <f>+Inputs!BC5</f>
        <v>1Q05</v>
      </c>
      <c r="BD5" s="42" t="str">
        <f>+Inputs!BD5</f>
        <v>2Q05</v>
      </c>
      <c r="BE5" s="42" t="str">
        <f>+Inputs!BE5</f>
        <v>3Q05</v>
      </c>
      <c r="BF5" s="42" t="str">
        <f>+Inputs!BF5</f>
        <v>4Q05</v>
      </c>
      <c r="BG5" s="42">
        <f>+Inputs!BG5</f>
        <v>2005</v>
      </c>
      <c r="BH5" s="42" t="str">
        <f>+Inputs!BH5</f>
        <v>1Q06</v>
      </c>
      <c r="BI5" s="42" t="str">
        <f>+Inputs!BI5</f>
        <v>2Q06</v>
      </c>
      <c r="BJ5" s="42" t="str">
        <f>+Inputs!BJ5</f>
        <v>3Q06</v>
      </c>
      <c r="BK5" s="42" t="str">
        <f>+Inputs!BK5</f>
        <v>4Q06</v>
      </c>
      <c r="BL5" s="42">
        <f>+Inputs!BL5</f>
        <v>2006</v>
      </c>
      <c r="BM5" s="42" t="str">
        <f>+Inputs!BM5</f>
        <v>1Q07</v>
      </c>
      <c r="BN5" s="42" t="str">
        <f>+Inputs!BN5</f>
        <v>2Q07</v>
      </c>
      <c r="BO5" s="42" t="str">
        <f>+Inputs!BO5</f>
        <v>3Q07</v>
      </c>
      <c r="BP5" s="42" t="str">
        <f>+Inputs!BP5</f>
        <v>4Q07</v>
      </c>
      <c r="BQ5" s="42">
        <f>+Inputs!BQ5</f>
        <v>2007</v>
      </c>
      <c r="BR5" s="42" t="str">
        <f>+Inputs!BR5</f>
        <v>1Q08</v>
      </c>
      <c r="BS5" s="42" t="str">
        <f>+Inputs!BS5</f>
        <v>2Q08</v>
      </c>
      <c r="BT5" s="42" t="str">
        <f>+Inputs!BT5</f>
        <v>3Q08</v>
      </c>
      <c r="BU5" s="42" t="str">
        <f>+Inputs!BU5</f>
        <v>4Q08</v>
      </c>
      <c r="BV5" s="42">
        <f>+Inputs!BV5</f>
        <v>2008</v>
      </c>
      <c r="BW5" s="42" t="str">
        <f>+Inputs!BW5</f>
        <v>1Q09</v>
      </c>
      <c r="BX5" s="42" t="str">
        <f>+Inputs!BX5</f>
        <v>2Q09</v>
      </c>
      <c r="BY5" s="42" t="str">
        <f>+Inputs!BY5</f>
        <v>3Q09</v>
      </c>
      <c r="BZ5" s="42" t="str">
        <f>+Inputs!BZ5</f>
        <v>4Q09</v>
      </c>
      <c r="CA5" s="42">
        <f>+Inputs!CA5</f>
        <v>2009</v>
      </c>
      <c r="CB5" s="42" t="str">
        <f>+Inputs!CB5</f>
        <v>1Q10</v>
      </c>
      <c r="CC5" s="42" t="str">
        <f>+Inputs!CC5</f>
        <v>2Q10</v>
      </c>
      <c r="CD5" s="42" t="str">
        <f>+Inputs!CD5</f>
        <v>3Q10</v>
      </c>
      <c r="CE5" s="42" t="str">
        <f>+Inputs!CE5</f>
        <v>4Q10</v>
      </c>
      <c r="CF5" s="42">
        <f>+Inputs!CF5</f>
        <v>2010</v>
      </c>
      <c r="CG5" s="42" t="str">
        <f>+Inputs!CG5</f>
        <v>1Q11</v>
      </c>
      <c r="CH5" s="42" t="str">
        <f>+Inputs!CH5</f>
        <v>2Q11</v>
      </c>
      <c r="CI5" s="42" t="str">
        <f>+Inputs!CI5</f>
        <v>3Q11</v>
      </c>
      <c r="CJ5" s="42" t="str">
        <f>+Inputs!CJ5</f>
        <v>4Q11</v>
      </c>
      <c r="CK5" s="42">
        <f>+Inputs!CK5</f>
        <v>2011</v>
      </c>
      <c r="CL5" s="42" t="str">
        <f>+Inputs!CL5</f>
        <v>1Q12</v>
      </c>
      <c r="CM5" s="42" t="str">
        <f>+Inputs!CM5</f>
        <v>2Q12</v>
      </c>
      <c r="CN5" s="42" t="str">
        <f>+Inputs!CN5</f>
        <v>3Q12</v>
      </c>
      <c r="CO5" s="42" t="str">
        <f>+Inputs!CO5</f>
        <v>4Q12</v>
      </c>
      <c r="CP5" s="42">
        <f>+Inputs!CP5</f>
        <v>2012</v>
      </c>
      <c r="CQ5" s="42" t="str">
        <f>+Inputs!CQ5</f>
        <v>1Q13</v>
      </c>
      <c r="CR5" s="42" t="str">
        <f>+Inputs!CR5</f>
        <v>2Q13</v>
      </c>
      <c r="CS5" s="42" t="str">
        <f>+Inputs!CS5</f>
        <v>3Q13</v>
      </c>
      <c r="CT5" s="42" t="str">
        <f>+Inputs!CT5</f>
        <v>4Q13</v>
      </c>
      <c r="CU5" s="42">
        <f>+Inputs!CU5</f>
        <v>2013</v>
      </c>
      <c r="CV5" s="42" t="str">
        <f>+Inputs!CV5</f>
        <v>1Q14</v>
      </c>
      <c r="CW5" s="42" t="str">
        <f>+Inputs!CW5</f>
        <v>2Q14</v>
      </c>
      <c r="CX5" s="42" t="str">
        <f>+Inputs!CX5</f>
        <v>3Q14</v>
      </c>
      <c r="CY5" s="42" t="str">
        <f>+Inputs!CY5</f>
        <v>4Q14</v>
      </c>
      <c r="CZ5" s="42">
        <f>+Inputs!CZ5</f>
        <v>2014</v>
      </c>
      <c r="DA5" s="42" t="str">
        <f>+Inputs!DA5</f>
        <v>1Q15</v>
      </c>
      <c r="DB5" s="42" t="str">
        <f>+Inputs!DB5</f>
        <v>2Q15</v>
      </c>
      <c r="DC5" s="42" t="str">
        <f>+Inputs!DC5</f>
        <v>3Q15</v>
      </c>
      <c r="DD5" s="42" t="str">
        <f>+Inputs!DD5</f>
        <v>4Q15</v>
      </c>
      <c r="DE5" s="42">
        <f>+Inputs!DE5</f>
        <v>2015</v>
      </c>
      <c r="DF5" s="42" t="str">
        <f>+Inputs!DF5</f>
        <v>1Q16</v>
      </c>
      <c r="DG5" s="42" t="str">
        <f>+Inputs!DG5</f>
        <v>2Q16</v>
      </c>
      <c r="DH5" s="42" t="str">
        <f>+Inputs!DH5</f>
        <v>3Q16</v>
      </c>
      <c r="DI5" s="42" t="str">
        <f>+Inputs!DI5</f>
        <v>4Q16</v>
      </c>
      <c r="DJ5" s="42">
        <f>+Inputs!DJ5</f>
        <v>2016</v>
      </c>
      <c r="DK5" s="42" t="str">
        <f>+Inputs!DK5</f>
        <v>1Q17</v>
      </c>
      <c r="DL5" s="42" t="str">
        <f>+Inputs!DL5</f>
        <v>2Q17</v>
      </c>
      <c r="DM5" s="42" t="str">
        <f>+Inputs!DM5</f>
        <v>3Q17</v>
      </c>
      <c r="DN5" s="42" t="str">
        <f>+Inputs!DN5</f>
        <v>4Q17</v>
      </c>
      <c r="DO5" s="42">
        <f>+Inputs!DO5</f>
        <v>2017</v>
      </c>
      <c r="DP5" s="42" t="str">
        <f>+Inputs!DP5</f>
        <v>1Q18</v>
      </c>
      <c r="DQ5" s="42" t="str">
        <f>+Inputs!DQ5</f>
        <v>2Q18</v>
      </c>
      <c r="DR5" s="42" t="str">
        <f>+Inputs!DR5</f>
        <v>3Q18</v>
      </c>
      <c r="DS5" s="42" t="str">
        <f>+Inputs!DS5</f>
        <v>4Q18</v>
      </c>
      <c r="DT5" s="42">
        <f>+Inputs!DT5</f>
        <v>2018</v>
      </c>
      <c r="DU5" s="42" t="str">
        <f>+Inputs!DU5</f>
        <v>1Q19</v>
      </c>
      <c r="DV5" s="42" t="str">
        <f>+Inputs!DV5</f>
        <v>2Q19</v>
      </c>
      <c r="DW5" s="42" t="str">
        <f>+Inputs!DW5</f>
        <v>3Q19</v>
      </c>
      <c r="DX5" s="42" t="str">
        <f>+Inputs!DX5</f>
        <v>4Q19</v>
      </c>
      <c r="DY5" s="42">
        <f>+Inputs!DY5</f>
        <v>2019</v>
      </c>
      <c r="DZ5" s="42" t="str">
        <f>+Inputs!DZ5</f>
        <v>1Q20</v>
      </c>
      <c r="EA5" s="42" t="str">
        <f>+Inputs!EA5</f>
        <v>2Q20</v>
      </c>
      <c r="EB5" s="42" t="str">
        <f>+Inputs!EB5</f>
        <v>3Q20</v>
      </c>
      <c r="EC5" s="42" t="str">
        <f>+Inputs!EC5</f>
        <v>4Q20</v>
      </c>
      <c r="ED5" s="42">
        <f>+Inputs!ED5</f>
        <v>2020</v>
      </c>
      <c r="EE5" s="42" t="str">
        <f>+Inputs!EE5</f>
        <v>1Q21</v>
      </c>
      <c r="EF5" s="42" t="str">
        <f>+Inputs!EF5</f>
        <v>2Q21</v>
      </c>
      <c r="EG5" s="42" t="str">
        <f>+Inputs!EG5</f>
        <v>3Q21</v>
      </c>
      <c r="EH5" s="42" t="str">
        <f>+Inputs!EH5</f>
        <v>4Q21</v>
      </c>
      <c r="EI5" s="42">
        <f>+Inputs!EI5</f>
        <v>2021</v>
      </c>
      <c r="EJ5" s="42" t="str">
        <f>+Inputs!EJ5</f>
        <v>1Q22</v>
      </c>
      <c r="EK5" s="42" t="str">
        <f>+Inputs!EK5</f>
        <v>2Q22</v>
      </c>
      <c r="EL5" s="42" t="str">
        <f>+Inputs!EL5</f>
        <v>3Q22</v>
      </c>
      <c r="EM5" s="42" t="str">
        <f>+Inputs!EM5</f>
        <v>4Q22</v>
      </c>
      <c r="EN5" s="42">
        <f>+Inputs!EN5</f>
        <v>2022</v>
      </c>
      <c r="EO5" s="42" t="str">
        <f>+Inputs!EO5</f>
        <v>1Q23</v>
      </c>
      <c r="EP5" s="42" t="str">
        <f>+Inputs!EP5</f>
        <v>2Q23</v>
      </c>
      <c r="EQ5" s="42" t="str">
        <f>+Inputs!EQ5</f>
        <v>3Q23</v>
      </c>
      <c r="ER5" s="42" t="str">
        <f>+Inputs!ER5</f>
        <v>4Q23</v>
      </c>
      <c r="ES5" s="42">
        <f>+Inputs!ES5</f>
        <v>2023</v>
      </c>
      <c r="ET5" s="42" t="str">
        <f>+Inputs!ET5</f>
        <v>1Q24</v>
      </c>
      <c r="EU5" s="42" t="str">
        <f>+Inputs!EU5</f>
        <v>2Q24</v>
      </c>
      <c r="EV5" s="42" t="str">
        <f>+Inputs!EV5</f>
        <v>3Q24</v>
      </c>
      <c r="EW5" s="42" t="str">
        <f>+Inputs!EW5</f>
        <v>4Q24</v>
      </c>
      <c r="EX5" s="42">
        <f>+Inputs!EX5</f>
        <v>2024</v>
      </c>
      <c r="EY5" s="42" t="str">
        <f>+Inputs!EY5</f>
        <v>1Q25E</v>
      </c>
      <c r="EZ5" s="42" t="str">
        <f>+Inputs!EZ5</f>
        <v>2Q25E</v>
      </c>
      <c r="FA5" s="42" t="str">
        <f>+Inputs!FA5</f>
        <v>3Q25E</v>
      </c>
      <c r="FB5" s="42" t="str">
        <f>+Inputs!FB5</f>
        <v>4Q25E</v>
      </c>
      <c r="FC5" s="42" t="str">
        <f>+Inputs!FC5</f>
        <v>2025E</v>
      </c>
      <c r="FD5" s="42" t="str">
        <f>+Inputs!FD5</f>
        <v>2026E</v>
      </c>
      <c r="FE5" s="42" t="str">
        <f>+Inputs!FE5</f>
        <v>2027E</v>
      </c>
      <c r="FF5" s="42" t="str">
        <f>+Inputs!FF5</f>
        <v>2028E</v>
      </c>
      <c r="FG5" s="42" t="str">
        <f>+Inputs!FG5</f>
        <v>2029E</v>
      </c>
      <c r="FH5" s="42" t="str">
        <f>+Inputs!FH5</f>
        <v>2030E</v>
      </c>
      <c r="FI5" s="42" t="str">
        <f>+Inputs!FI5</f>
        <v>2031E</v>
      </c>
      <c r="FJ5" s="190" t="s">
        <v>17</v>
      </c>
    </row>
    <row r="6" spans="1:166" x14ac:dyDescent="0.3">
      <c r="A6" s="4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4"/>
      <c r="DZ6" s="1"/>
      <c r="EA6" s="1"/>
      <c r="EB6" s="1"/>
      <c r="EC6" s="1"/>
      <c r="ED6" s="4"/>
      <c r="EE6" s="1"/>
      <c r="EF6" s="1"/>
      <c r="EG6" s="1"/>
      <c r="EH6" s="1"/>
      <c r="EI6" s="4"/>
      <c r="EJ6" s="1"/>
      <c r="EK6" s="1"/>
      <c r="EL6" s="1"/>
      <c r="EM6" s="1"/>
      <c r="EN6" s="4"/>
      <c r="EO6" s="4"/>
      <c r="EP6" s="4"/>
      <c r="EQ6" s="4"/>
      <c r="ER6" s="4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</row>
    <row r="7" spans="1:166" x14ac:dyDescent="0.3">
      <c r="A7" s="43" t="s">
        <v>18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</row>
    <row r="8" spans="1:166" x14ac:dyDescent="0.3">
      <c r="A8" s="90" t="s">
        <v>19</v>
      </c>
    </row>
    <row r="9" spans="1:166" x14ac:dyDescent="0.3">
      <c r="A9" t="s">
        <v>20</v>
      </c>
      <c r="DZ9" s="1161">
        <f>Drivers!DZ40</f>
        <v>382.779225</v>
      </c>
      <c r="EA9" s="1161">
        <f>Drivers!EA40</f>
        <v>385.52034000000003</v>
      </c>
      <c r="EB9" s="1161">
        <f>Drivers!EB40</f>
        <v>387.71291999999994</v>
      </c>
      <c r="EC9" s="1161">
        <f>Drivers!EC40</f>
        <v>395.48181</v>
      </c>
      <c r="ED9" s="1079">
        <f>+SUM(DZ9:EC9)</f>
        <v>1551.494295</v>
      </c>
      <c r="EE9" s="1161">
        <f>Drivers!EE40</f>
        <v>400.26067499999999</v>
      </c>
      <c r="EF9" s="1161">
        <f>Drivers!EF40</f>
        <v>414.28289999999993</v>
      </c>
      <c r="EG9" s="1161">
        <f>Drivers!EG40</f>
        <v>417.34663499999999</v>
      </c>
      <c r="EH9" s="1161">
        <f>Drivers!EH40</f>
        <v>415.08333000000005</v>
      </c>
      <c r="EI9" s="1079">
        <f>+SUM(EE9:EH9)</f>
        <v>1646.97354</v>
      </c>
      <c r="EJ9" s="1161">
        <f>Drivers!EJ40</f>
        <v>420.93863999999996</v>
      </c>
      <c r="EK9" s="1161">
        <f>Drivers!EK40</f>
        <v>440.63338499999998</v>
      </c>
      <c r="EL9" s="1161">
        <f>Drivers!EL40</f>
        <v>446.60699999999997</v>
      </c>
      <c r="EM9" s="1161">
        <f>Drivers!EM40</f>
        <v>439.38000000000005</v>
      </c>
      <c r="EN9" s="1079">
        <f>+SUM(EJ9:EM9)</f>
        <v>1747.559025</v>
      </c>
      <c r="EO9" s="1161">
        <f>Drivers!EO40</f>
        <v>446.88504</v>
      </c>
      <c r="EP9" s="1161">
        <f>Drivers!EP40</f>
        <v>469.19583</v>
      </c>
      <c r="EQ9" s="1161">
        <f>Drivers!EQ40</f>
        <v>487.72060499999998</v>
      </c>
      <c r="ER9" s="1161">
        <f>Drivers!ER40</f>
        <v>491.29236000000003</v>
      </c>
      <c r="ES9" s="1079">
        <f>+SUM(EO9:ER9)</f>
        <v>1895.0938350000001</v>
      </c>
      <c r="ET9" s="1161">
        <f>Drivers!ET40</f>
        <v>509.72889000000009</v>
      </c>
      <c r="EU9" s="1161">
        <f>Drivers!EU40</f>
        <v>523.87356</v>
      </c>
      <c r="EV9" s="1161">
        <f>Drivers!EV40</f>
        <v>536.08338000000003</v>
      </c>
      <c r="EW9" s="1161">
        <f>Drivers!EW40</f>
        <v>555.14585999999997</v>
      </c>
      <c r="EX9" s="1079">
        <f>+SUM(ET9:EW9)</f>
        <v>2124.83169</v>
      </c>
      <c r="EY9" s="1161">
        <f>Drivers!EY40</f>
        <v>573.0048442503263</v>
      </c>
      <c r="EZ9" s="1161">
        <f>Drivers!EZ40</f>
        <v>591.88795296323497</v>
      </c>
      <c r="FA9" s="1161">
        <f>Drivers!FA40</f>
        <v>608.55430303556091</v>
      </c>
      <c r="FB9" s="1161">
        <f>Drivers!FB40</f>
        <v>633.429159832099</v>
      </c>
      <c r="FC9" s="1079">
        <f>+SUM(EY9:FB9)</f>
        <v>2406.8762600812211</v>
      </c>
      <c r="FD9" s="1161">
        <f>Drivers!FD40</f>
        <v>2772.8653361679717</v>
      </c>
      <c r="FE9" s="1161">
        <f>Drivers!FE40</f>
        <v>3167.3861277490228</v>
      </c>
      <c r="FF9" s="1161">
        <f>Drivers!FF40</f>
        <v>3539.0646301641827</v>
      </c>
      <c r="FG9" s="1161">
        <f>Drivers!FG40</f>
        <v>3867.5333713379277</v>
      </c>
      <c r="FH9" s="1161">
        <f>Drivers!FH40</f>
        <v>4159.4434727267053</v>
      </c>
      <c r="FI9" s="1161">
        <f>Drivers!FI40</f>
        <v>4412.7686398271444</v>
      </c>
    </row>
    <row r="10" spans="1:166" x14ac:dyDescent="0.3">
      <c r="A10" t="s">
        <v>21</v>
      </c>
      <c r="DZ10" s="1161">
        <f>Drivers!DZ41</f>
        <v>189.15551999999997</v>
      </c>
      <c r="EA10" s="1161">
        <f>Drivers!EA41</f>
        <v>176.92068</v>
      </c>
      <c r="EB10" s="1161">
        <f>Drivers!EB41</f>
        <v>166.32964499999997</v>
      </c>
      <c r="EC10" s="1161">
        <f>Drivers!EC41</f>
        <v>157.26242999999999</v>
      </c>
      <c r="ED10" s="1079">
        <f>+SUM(DZ10:EC10)</f>
        <v>689.66827499999999</v>
      </c>
      <c r="EE10" s="1161">
        <f>Drivers!EE41</f>
        <v>150.88261499999999</v>
      </c>
      <c r="EF10" s="1161">
        <f>Drivers!EF41</f>
        <v>145.75359</v>
      </c>
      <c r="EG10" s="1161">
        <f>Drivers!EG41</f>
        <v>138.31398000000002</v>
      </c>
      <c r="EH10" s="1161">
        <f>Drivers!EH41</f>
        <v>132.15633</v>
      </c>
      <c r="EI10" s="1079">
        <f>+SUM(EE10:EH10)</f>
        <v>567.10651500000006</v>
      </c>
      <c r="EJ10" s="1161">
        <f>Drivers!EJ41</f>
        <v>127.35054</v>
      </c>
      <c r="EK10" s="1161">
        <f>Drivers!EK41</f>
        <v>124.74431999999999</v>
      </c>
      <c r="EL10" s="1161">
        <f>Drivers!EL41</f>
        <v>117.460725</v>
      </c>
      <c r="EM10" s="1161">
        <f>Drivers!EM41</f>
        <v>111.01582500000001</v>
      </c>
      <c r="EN10" s="1079">
        <f>+SUM(EJ10:EM10)</f>
        <v>480.57140999999996</v>
      </c>
      <c r="EO10" s="1161">
        <f>Drivers!EO41</f>
        <v>109.645965</v>
      </c>
      <c r="EP10" s="1161">
        <f>Drivers!EP41</f>
        <v>104.77818000000001</v>
      </c>
      <c r="EQ10" s="1161">
        <f>Drivers!EQ41</f>
        <v>97.200809999999976</v>
      </c>
      <c r="ER10" s="1161">
        <f>Drivers!ER41</f>
        <v>90.525750000000002</v>
      </c>
      <c r="ES10" s="1079">
        <f>+SUM(EO10:ER10)</f>
        <v>402.15070500000002</v>
      </c>
      <c r="ET10" s="1161">
        <f>Drivers!ET41</f>
        <v>87.156630000000007</v>
      </c>
      <c r="EU10" s="1161">
        <f>Drivers!EU41</f>
        <v>81.821685000000016</v>
      </c>
      <c r="EV10" s="1161">
        <f>Drivers!EV41</f>
        <v>75.824954999999989</v>
      </c>
      <c r="EW10" s="1161">
        <f>Drivers!EW41</f>
        <v>70.973970000000008</v>
      </c>
      <c r="EX10" s="1079">
        <f>+SUM(ET10:EW10)</f>
        <v>315.77724000000001</v>
      </c>
      <c r="EY10" s="1161">
        <f>Drivers!EY41</f>
        <v>69.286284693252256</v>
      </c>
      <c r="EZ10" s="1161">
        <f>Drivers!EZ41</f>
        <v>65.438057461979</v>
      </c>
      <c r="FA10" s="1161">
        <f>Drivers!FA41</f>
        <v>60.559804514637456</v>
      </c>
      <c r="FB10" s="1161">
        <f>Drivers!FB41</f>
        <v>56.629027759771041</v>
      </c>
      <c r="FC10" s="1079">
        <f>+SUM(EY10:FB10)</f>
        <v>251.91317442963975</v>
      </c>
      <c r="FD10" s="1161">
        <f>Drivers!FD41</f>
        <v>197.83887563582894</v>
      </c>
      <c r="FE10" s="1161">
        <f>Drivers!FE41</f>
        <v>153.52288510876116</v>
      </c>
      <c r="FF10" s="1161">
        <f>Drivers!FF41</f>
        <v>119.81610263529966</v>
      </c>
      <c r="FG10" s="1161">
        <f>Drivers!FG41</f>
        <v>93.821133882064245</v>
      </c>
      <c r="FH10" s="1161">
        <f>Drivers!FH41</f>
        <v>73.607167119789324</v>
      </c>
      <c r="FI10" s="1161">
        <f>Drivers!FI41</f>
        <v>57.812180423491618</v>
      </c>
    </row>
    <row r="11" spans="1:166" x14ac:dyDescent="0.3">
      <c r="A11" t="s">
        <v>22</v>
      </c>
      <c r="DU11" s="114"/>
      <c r="DV11" s="114"/>
      <c r="DW11" s="114"/>
      <c r="DX11" s="114"/>
      <c r="DY11" s="522"/>
      <c r="DZ11" s="1110">
        <f>Drivers!DZ42</f>
        <v>308.06525500000009</v>
      </c>
      <c r="EA11" s="1110">
        <f>Drivers!EA42</f>
        <v>296.55897999999991</v>
      </c>
      <c r="EB11" s="1110">
        <f>Drivers!EB42</f>
        <v>284.95743500000003</v>
      </c>
      <c r="EC11" s="1110">
        <f>Drivers!EC42</f>
        <v>285.25576000000001</v>
      </c>
      <c r="ED11" s="1111">
        <f>+SUM(DZ11:EC11)</f>
        <v>1174.83743</v>
      </c>
      <c r="EE11" s="1110">
        <f>Drivers!EE42</f>
        <v>268.85670999999996</v>
      </c>
      <c r="EF11" s="1110">
        <f>Drivers!EF42</f>
        <v>255.96351000000004</v>
      </c>
      <c r="EG11" s="1110">
        <f>Drivers!EG42</f>
        <v>244.33938499999999</v>
      </c>
      <c r="EH11" s="1110">
        <f>Drivers!EH42</f>
        <v>234.76033999999999</v>
      </c>
      <c r="EI11" s="1111">
        <f>+SUM(EE11:EH11)</f>
        <v>1003.9199450000001</v>
      </c>
      <c r="EJ11" s="1110">
        <f>Drivers!EJ42</f>
        <v>227.71082000000001</v>
      </c>
      <c r="EK11" s="1110">
        <f>Drivers!EK42</f>
        <v>225.62229500000001</v>
      </c>
      <c r="EL11" s="1110">
        <f>Drivers!EL42</f>
        <v>220.93227500000006</v>
      </c>
      <c r="EM11" s="1110">
        <f>Drivers!EM42</f>
        <v>213.60417499999994</v>
      </c>
      <c r="EN11" s="1111">
        <f>+SUM(EJ11:EM11)</f>
        <v>887.86956499999997</v>
      </c>
      <c r="EO11" s="1110">
        <f>Drivers!EO42</f>
        <v>204.46899500000001</v>
      </c>
      <c r="EP11" s="1110">
        <f>Drivers!EP42</f>
        <v>201.02598999999998</v>
      </c>
      <c r="EQ11" s="1110">
        <f>Drivers!EQ42</f>
        <v>202.07858500000003</v>
      </c>
      <c r="ER11" s="1110">
        <f>Drivers!ER42</f>
        <v>192.18188999999995</v>
      </c>
      <c r="ES11" s="1111">
        <f>+SUM(EO11:ER11)</f>
        <v>799.75545999999997</v>
      </c>
      <c r="ET11" s="1110">
        <f>Drivers!ET42</f>
        <v>190.11447999999993</v>
      </c>
      <c r="EU11" s="1110">
        <f>Drivers!EU42</f>
        <v>183.30475499999997</v>
      </c>
      <c r="EV11" s="1110">
        <f>Drivers!EV42</f>
        <v>177.09166500000003</v>
      </c>
      <c r="EW11" s="1110">
        <f>Drivers!EW42</f>
        <v>171.88016999999996</v>
      </c>
      <c r="EX11" s="1111">
        <f>+SUM(ET11:EW11)</f>
        <v>722.3910699999999</v>
      </c>
      <c r="EY11" s="1110">
        <f>Drivers!EY42</f>
        <v>156.53652380998432</v>
      </c>
      <c r="EZ11" s="1110">
        <f>Drivers!EZ42</f>
        <v>151.63959991793706</v>
      </c>
      <c r="FA11" s="1110">
        <f>Drivers!FA42</f>
        <v>145.98626044039904</v>
      </c>
      <c r="FB11" s="1110">
        <f>Drivers!FB42</f>
        <v>141.58336044436004</v>
      </c>
      <c r="FC11" s="1111">
        <f>+SUM(EY11:FB11)</f>
        <v>595.74574461268048</v>
      </c>
      <c r="FD11" s="1110">
        <f>Drivers!FD42</f>
        <v>493.85802786410704</v>
      </c>
      <c r="FE11" s="1110">
        <f>Drivers!FE42</f>
        <v>426.81580998570007</v>
      </c>
      <c r="FF11" s="1110">
        <f>Drivers!FF42</f>
        <v>390.39520210774793</v>
      </c>
      <c r="FG11" s="1110">
        <f>Drivers!FG42</f>
        <v>367.63014655101699</v>
      </c>
      <c r="FH11" s="1110">
        <f>Drivers!FH42</f>
        <v>352.47554230184409</v>
      </c>
      <c r="FI11" s="1110">
        <f>Drivers!FI42</f>
        <v>342.55501206700882</v>
      </c>
    </row>
    <row r="12" spans="1:166" x14ac:dyDescent="0.3">
      <c r="A12" s="90" t="s">
        <v>23</v>
      </c>
      <c r="DU12" s="85">
        <f>Inputs!DU519</f>
        <v>996</v>
      </c>
      <c r="DV12" s="85">
        <f>Inputs!DV519</f>
        <v>969</v>
      </c>
      <c r="DW12" s="85">
        <f>Inputs!DW519</f>
        <v>943</v>
      </c>
      <c r="DX12" s="85">
        <f>Inputs!DX519</f>
        <v>923</v>
      </c>
      <c r="DY12" s="85">
        <f>SUM(DU12:DX12)</f>
        <v>3831</v>
      </c>
      <c r="DZ12" s="1151">
        <f>SUM(DZ9:DZ11)</f>
        <v>880.00000000000011</v>
      </c>
      <c r="EA12" s="1151">
        <f>SUM(EA9:EA11)</f>
        <v>858.99999999999989</v>
      </c>
      <c r="EB12" s="1151">
        <f>SUM(EB9:EB11)</f>
        <v>839</v>
      </c>
      <c r="EC12" s="1151">
        <f>SUM(EC9:EC11)</f>
        <v>838</v>
      </c>
      <c r="ED12" s="1079">
        <f t="shared" ref="ED12:ED18" si="0">SUM(DZ12:EC12)</f>
        <v>3416</v>
      </c>
      <c r="EE12" s="1151">
        <f>SUM(EE9:EE11)</f>
        <v>820</v>
      </c>
      <c r="EF12" s="1151">
        <f>SUM(EF9:EF11)</f>
        <v>816</v>
      </c>
      <c r="EG12" s="1151">
        <f>SUM(EG9:EG11)</f>
        <v>800</v>
      </c>
      <c r="EH12" s="1151">
        <f>SUM(EH9:EH11)</f>
        <v>782</v>
      </c>
      <c r="EI12" s="1079">
        <f t="shared" ref="EI12:EI18" si="1">SUM(EE12:EH12)</f>
        <v>3218</v>
      </c>
      <c r="EJ12" s="1151">
        <f>SUM(EJ9:EJ11)</f>
        <v>776</v>
      </c>
      <c r="EK12" s="1151">
        <f>SUM(EK9:EK11)</f>
        <v>791</v>
      </c>
      <c r="EL12" s="1151">
        <f>SUM(EL9:EL11)</f>
        <v>785</v>
      </c>
      <c r="EM12" s="1151">
        <f>SUM(EM9:EM11)</f>
        <v>764</v>
      </c>
      <c r="EN12" s="1079">
        <f t="shared" ref="EN12:EN18" si="2">SUM(EJ12:EM12)</f>
        <v>3116</v>
      </c>
      <c r="EO12" s="1151">
        <f>SUM(EO9:EO11)</f>
        <v>761</v>
      </c>
      <c r="EP12" s="1151">
        <f>SUM(EP9:EP11)</f>
        <v>775</v>
      </c>
      <c r="EQ12" s="1151">
        <f>SUM(EQ9:EQ11)</f>
        <v>787</v>
      </c>
      <c r="ER12" s="1151">
        <f>SUM(ER9:ER11)</f>
        <v>774</v>
      </c>
      <c r="ES12" s="1079">
        <f t="shared" ref="ES12:ES18" si="3">SUM(EO12:ER12)</f>
        <v>3097</v>
      </c>
      <c r="ET12" s="1151">
        <f>SUM(ET9:ET11)</f>
        <v>787</v>
      </c>
      <c r="EU12" s="1151">
        <f>SUM(EU9:EU11)</f>
        <v>789</v>
      </c>
      <c r="EV12" s="1151">
        <f>SUM(EV9:EV11)</f>
        <v>789.00000000000011</v>
      </c>
      <c r="EW12" s="1151">
        <f>SUM(EW9:EW11)</f>
        <v>798</v>
      </c>
      <c r="EX12" s="1079">
        <f t="shared" ref="EX12:EX18" si="4">SUM(ET12:EW12)</f>
        <v>3163</v>
      </c>
      <c r="EY12" s="1151">
        <f t="shared" ref="EY12:FB12" si="5">SUM(EY9:EY11)</f>
        <v>798.82765275356292</v>
      </c>
      <c r="EZ12" s="1151">
        <f t="shared" si="5"/>
        <v>808.96561034315107</v>
      </c>
      <c r="FA12" s="1151">
        <f t="shared" si="5"/>
        <v>815.10036799059742</v>
      </c>
      <c r="FB12" s="1151">
        <f t="shared" si="5"/>
        <v>831.64154803623001</v>
      </c>
      <c r="FC12" s="1079">
        <f t="shared" ref="FC12:FC18" si="6">SUM(EY12:FB12)</f>
        <v>3254.5351791235416</v>
      </c>
      <c r="FD12" s="1151">
        <f t="shared" ref="FD12" si="7">SUM(FD9:FD11)</f>
        <v>3464.5622396679078</v>
      </c>
      <c r="FE12" s="1151">
        <f t="shared" ref="FE12" si="8">SUM(FE9:FE11)</f>
        <v>3747.7248228434842</v>
      </c>
      <c r="FF12" s="1151">
        <f t="shared" ref="FF12" si="9">SUM(FF9:FF11)</f>
        <v>4049.2759349072303</v>
      </c>
      <c r="FG12" s="1151">
        <f t="shared" ref="FG12" si="10">SUM(FG9:FG11)</f>
        <v>4328.9846517710093</v>
      </c>
      <c r="FH12" s="1151">
        <f t="shared" ref="FH12" si="11">SUM(FH9:FH11)</f>
        <v>4585.5261821483391</v>
      </c>
      <c r="FI12" s="1151">
        <f t="shared" ref="FI12" si="12">SUM(FI9:FI11)</f>
        <v>4813.1358323176446</v>
      </c>
    </row>
    <row r="13" spans="1:166" x14ac:dyDescent="0.3">
      <c r="A13" t="s">
        <v>24</v>
      </c>
      <c r="DZ13" s="1161">
        <f>Drivers!DZ44</f>
        <v>67.46624570499273</v>
      </c>
      <c r="EA13" s="1161">
        <f>Drivers!EA44</f>
        <v>65.75035108013671</v>
      </c>
      <c r="EB13" s="1161">
        <f>Drivers!EB44</f>
        <v>64.888547649374999</v>
      </c>
      <c r="EC13" s="1161">
        <f>Drivers!EC44</f>
        <v>65.004899062500002</v>
      </c>
      <c r="ED13" s="1079">
        <f t="shared" si="0"/>
        <v>263.11004349700443</v>
      </c>
      <c r="EE13" s="1161">
        <f>Drivers!EE44</f>
        <v>61.672804499999998</v>
      </c>
      <c r="EF13" s="1161">
        <f>Drivers!EF44</f>
        <v>61.207440000000005</v>
      </c>
      <c r="EG13" s="1161">
        <f>Drivers!EG44</f>
        <v>60.125250000000001</v>
      </c>
      <c r="EH13" s="1161">
        <f>Drivers!EH44</f>
        <v>59.386109999999988</v>
      </c>
      <c r="EI13" s="1079">
        <f t="shared" si="1"/>
        <v>242.39160449999997</v>
      </c>
      <c r="EJ13" s="1161">
        <f>Drivers!EJ44</f>
        <v>59.439525000000003</v>
      </c>
      <c r="EK13" s="1161">
        <f>Drivers!EK44</f>
        <v>59.293064999999999</v>
      </c>
      <c r="EL13" s="1161">
        <f>Drivers!EL44</f>
        <v>60.266295</v>
      </c>
      <c r="EM13" s="1161">
        <f>Drivers!EM44</f>
        <v>60.579569999999997</v>
      </c>
      <c r="EN13" s="1079">
        <f t="shared" si="2"/>
        <v>239.57845499999999</v>
      </c>
      <c r="EO13" s="1161">
        <f>Drivers!EO44</f>
        <v>59.643569999999997</v>
      </c>
      <c r="EP13" s="1161">
        <f>Drivers!EP44</f>
        <v>59.631839999999997</v>
      </c>
      <c r="EQ13" s="1161">
        <f>Drivers!EQ44</f>
        <v>58.748910000000009</v>
      </c>
      <c r="ER13" s="1161">
        <f>Drivers!ER44</f>
        <v>58.828319999999998</v>
      </c>
      <c r="ES13" s="1079">
        <f t="shared" si="3"/>
        <v>236.85263999999998</v>
      </c>
      <c r="ET13" s="1161">
        <f>Drivers!ET44</f>
        <v>58.773330000000009</v>
      </c>
      <c r="EU13" s="1161">
        <f>Drivers!EU44</f>
        <v>59.140619999999998</v>
      </c>
      <c r="EV13" s="1161">
        <f>Drivers!EV44</f>
        <v>59.572739999999996</v>
      </c>
      <c r="EW13" s="1161">
        <f>Drivers!EW44</f>
        <v>60.30198</v>
      </c>
      <c r="EX13" s="1079">
        <f t="shared" si="4"/>
        <v>237.78867000000002</v>
      </c>
      <c r="EY13" s="1161">
        <f>Drivers!EY44</f>
        <v>60.427871019831137</v>
      </c>
      <c r="EZ13" s="1161">
        <f>Drivers!EZ44</f>
        <v>61.11669029222233</v>
      </c>
      <c r="FA13" s="1161">
        <f>Drivers!FA44</f>
        <v>62.087843579854393</v>
      </c>
      <c r="FB13" s="1161">
        <f>Drivers!FB44</f>
        <v>63.553413959481851</v>
      </c>
      <c r="FC13" s="1079">
        <f t="shared" si="6"/>
        <v>247.18581885138971</v>
      </c>
      <c r="FD13" s="1161">
        <f>Drivers!FD44</f>
        <v>266.57718348215235</v>
      </c>
      <c r="FE13" s="1161">
        <f>Drivers!FE44</f>
        <v>291.57736368985638</v>
      </c>
      <c r="FF13" s="1161">
        <f>Drivers!FF44</f>
        <v>321.77680488488249</v>
      </c>
      <c r="FG13" s="1161">
        <f>Drivers!FG44</f>
        <v>356.48197490952299</v>
      </c>
      <c r="FH13" s="1161">
        <f>Drivers!FH44</f>
        <v>395.74611455110499</v>
      </c>
      <c r="FI13" s="1161">
        <f>Drivers!FI44</f>
        <v>439.73777693891213</v>
      </c>
    </row>
    <row r="14" spans="1:166" x14ac:dyDescent="0.3">
      <c r="A14" t="s">
        <v>25</v>
      </c>
      <c r="DZ14" s="1161">
        <f>Drivers!DZ45</f>
        <v>713.53375429500727</v>
      </c>
      <c r="EA14" s="1161">
        <f>Drivers!EA45</f>
        <v>696.24964891986338</v>
      </c>
      <c r="EB14" s="1161">
        <f>Drivers!EB45</f>
        <v>674.11145235062497</v>
      </c>
      <c r="EC14" s="1161">
        <f>Drivers!EC45</f>
        <v>653.99510093749996</v>
      </c>
      <c r="ED14" s="1151">
        <f t="shared" si="0"/>
        <v>2737.8899565029956</v>
      </c>
      <c r="EE14" s="1161">
        <f>Drivers!EE45</f>
        <v>653.32719550000002</v>
      </c>
      <c r="EF14" s="1161">
        <f>Drivers!EF45</f>
        <v>636.79255999999998</v>
      </c>
      <c r="EG14" s="1161">
        <f>Drivers!EG45</f>
        <v>632.87474999999995</v>
      </c>
      <c r="EH14" s="1161">
        <f>Drivers!EH45</f>
        <v>617.61389000000008</v>
      </c>
      <c r="EI14" s="1151">
        <f t="shared" si="1"/>
        <v>2540.6083954999999</v>
      </c>
      <c r="EJ14" s="1161">
        <f>Drivers!EJ45</f>
        <v>606.560475</v>
      </c>
      <c r="EK14" s="1161">
        <f>Drivers!EK45</f>
        <v>591.70693499999993</v>
      </c>
      <c r="EL14" s="1161">
        <f>Drivers!EL45</f>
        <v>580.73370499999999</v>
      </c>
      <c r="EM14" s="1161">
        <f>Drivers!EM45</f>
        <v>598.42043000000001</v>
      </c>
      <c r="EN14" s="1151">
        <f t="shared" si="2"/>
        <v>2377.4215450000002</v>
      </c>
      <c r="EO14" s="1161">
        <f>Drivers!EO45</f>
        <v>597.35643000000005</v>
      </c>
      <c r="EP14" s="1161">
        <f>Drivers!EP45</f>
        <v>593.36815999999999</v>
      </c>
      <c r="EQ14" s="1161">
        <f>Drivers!EQ45</f>
        <v>575.25108999999998</v>
      </c>
      <c r="ER14" s="1161">
        <f>Drivers!ER45</f>
        <v>576.17168000000004</v>
      </c>
      <c r="ES14" s="1151">
        <f t="shared" si="3"/>
        <v>2342.1473599999999</v>
      </c>
      <c r="ET14" s="1161">
        <f>Drivers!ET45</f>
        <v>600.22667000000001</v>
      </c>
      <c r="EU14" s="1161">
        <f>Drivers!EU45</f>
        <v>617.85937999999999</v>
      </c>
      <c r="EV14" s="1161">
        <f>Drivers!EV45</f>
        <v>622.42725999999993</v>
      </c>
      <c r="EW14" s="1161">
        <f>Drivers!EW45</f>
        <v>631.69802000000004</v>
      </c>
      <c r="EX14" s="1151">
        <f t="shared" si="4"/>
        <v>2472.2113300000001</v>
      </c>
      <c r="EY14" s="1161">
        <f>Drivers!EY45</f>
        <v>595.36782687499999</v>
      </c>
      <c r="EZ14" s="1161">
        <f>Drivers!EZ45</f>
        <v>613.45234677500002</v>
      </c>
      <c r="FA14" s="1161">
        <f>Drivers!FA45</f>
        <v>618.64276434999999</v>
      </c>
      <c r="FB14" s="1161">
        <f>Drivers!FB45</f>
        <v>627.63944315000003</v>
      </c>
      <c r="FC14" s="1151">
        <f t="shared" si="6"/>
        <v>2455.1023811499999</v>
      </c>
      <c r="FD14" s="1161">
        <f>Drivers!FD45</f>
        <v>2431.0580295852496</v>
      </c>
      <c r="FE14" s="1161">
        <f>Drivers!FE45</f>
        <v>2400.9627674790318</v>
      </c>
      <c r="FF14" s="1161">
        <f>Drivers!FF45</f>
        <v>2366.1432402383371</v>
      </c>
      <c r="FG14" s="1161">
        <f>Drivers!FG45</f>
        <v>2327.6726907015855</v>
      </c>
      <c r="FH14" s="1161">
        <f>Drivers!FH45</f>
        <v>2286.4018583281991</v>
      </c>
      <c r="FI14" s="1161">
        <f>Drivers!FI45</f>
        <v>2242.9953421770638</v>
      </c>
    </row>
    <row r="15" spans="1:166" x14ac:dyDescent="0.3">
      <c r="A15" t="s">
        <v>26</v>
      </c>
      <c r="DU15" s="100">
        <f>Inputs!DU520</f>
        <v>864</v>
      </c>
      <c r="DV15" s="100">
        <f>Inputs!DV520</f>
        <v>857</v>
      </c>
      <c r="DW15" s="100">
        <f>Inputs!DW520</f>
        <v>821</v>
      </c>
      <c r="DX15" s="100">
        <f>Inputs!DX520</f>
        <v>784</v>
      </c>
      <c r="DY15" s="100">
        <f>SUM(DU15:DX15)</f>
        <v>3326</v>
      </c>
      <c r="DZ15" s="945">
        <f>SUM(DZ13:DZ14)</f>
        <v>781</v>
      </c>
      <c r="EA15" s="945">
        <f>SUM(EA13:EA14)</f>
        <v>762.00000000000011</v>
      </c>
      <c r="EB15" s="945">
        <f>SUM(EB13:EB14)</f>
        <v>739</v>
      </c>
      <c r="EC15" s="945">
        <f>SUM(EC13:EC14)</f>
        <v>719</v>
      </c>
      <c r="ED15" s="1111">
        <f t="shared" si="0"/>
        <v>3001</v>
      </c>
      <c r="EE15" s="945">
        <f>SUM(EE13:EE14)</f>
        <v>715</v>
      </c>
      <c r="EF15" s="945">
        <f>SUM(EF13:EF14)</f>
        <v>698</v>
      </c>
      <c r="EG15" s="945">
        <f>SUM(EG13:EG14)</f>
        <v>693</v>
      </c>
      <c r="EH15" s="945">
        <f>SUM(EH13:EH14)</f>
        <v>677.00000000000011</v>
      </c>
      <c r="EI15" s="1111">
        <f t="shared" si="1"/>
        <v>2783</v>
      </c>
      <c r="EJ15" s="945">
        <f>SUM(EJ13:EJ14)</f>
        <v>666</v>
      </c>
      <c r="EK15" s="945">
        <f>SUM(EK13:EK14)</f>
        <v>650.99999999999989</v>
      </c>
      <c r="EL15" s="945">
        <f>SUM(EL13:EL14)</f>
        <v>641</v>
      </c>
      <c r="EM15" s="945">
        <f>SUM(EM13:EM14)</f>
        <v>659</v>
      </c>
      <c r="EN15" s="1111">
        <f t="shared" si="2"/>
        <v>2617</v>
      </c>
      <c r="EO15" s="945">
        <f>SUM(EO13:EO14)</f>
        <v>657</v>
      </c>
      <c r="EP15" s="945">
        <f>SUM(EP13:EP14)</f>
        <v>653</v>
      </c>
      <c r="EQ15" s="945">
        <f>SUM(EQ13:EQ14)</f>
        <v>634</v>
      </c>
      <c r="ER15" s="945">
        <f>SUM(ER13:ER14)</f>
        <v>635</v>
      </c>
      <c r="ES15" s="1111">
        <f t="shared" si="3"/>
        <v>2579</v>
      </c>
      <c r="ET15" s="945">
        <f>SUM(ET13:ET14)</f>
        <v>659</v>
      </c>
      <c r="EU15" s="945">
        <f>SUM(EU13:EU14)</f>
        <v>677</v>
      </c>
      <c r="EV15" s="945">
        <f>SUM(EV13:EV14)</f>
        <v>681.99999999999989</v>
      </c>
      <c r="EW15" s="945">
        <f>SUM(EW13:EW14)</f>
        <v>692</v>
      </c>
      <c r="EX15" s="1111">
        <f t="shared" si="4"/>
        <v>2710</v>
      </c>
      <c r="EY15" s="945">
        <f t="shared" ref="EY15:FB15" si="13">SUM(EY13:EY14)</f>
        <v>655.79569789483116</v>
      </c>
      <c r="EZ15" s="945">
        <f t="shared" si="13"/>
        <v>674.56903706722233</v>
      </c>
      <c r="FA15" s="945">
        <f t="shared" si="13"/>
        <v>680.73060792985439</v>
      </c>
      <c r="FB15" s="945">
        <f t="shared" si="13"/>
        <v>691.19285710948191</v>
      </c>
      <c r="FC15" s="1111">
        <f t="shared" si="6"/>
        <v>2702.2882000013897</v>
      </c>
      <c r="FD15" s="945">
        <f t="shared" ref="FD15" si="14">SUM(FD13:FD14)</f>
        <v>2697.6352130674022</v>
      </c>
      <c r="FE15" s="945">
        <f t="shared" ref="FE15" si="15">SUM(FE13:FE14)</f>
        <v>2692.5401311688884</v>
      </c>
      <c r="FF15" s="945">
        <f t="shared" ref="FF15" si="16">SUM(FF13:FF14)</f>
        <v>2687.9200451232196</v>
      </c>
      <c r="FG15" s="945">
        <f t="shared" ref="FG15" si="17">SUM(FG13:FG14)</f>
        <v>2684.1546656111086</v>
      </c>
      <c r="FH15" s="945">
        <f t="shared" ref="FH15" si="18">SUM(FH13:FH14)</f>
        <v>2682.1479728793042</v>
      </c>
      <c r="FI15" s="945">
        <f t="shared" ref="FI15" si="19">SUM(FI13:FI14)</f>
        <v>2682.733119115976</v>
      </c>
    </row>
    <row r="16" spans="1:166" x14ac:dyDescent="0.3">
      <c r="A16" s="90" t="s">
        <v>27</v>
      </c>
      <c r="DU16" s="1151">
        <f>DU12+DU15</f>
        <v>1860</v>
      </c>
      <c r="DV16" s="1151">
        <f>DV12+DV15</f>
        <v>1826</v>
      </c>
      <c r="DW16" s="1151">
        <f>DW12+DW15</f>
        <v>1764</v>
      </c>
      <c r="DX16" s="1151">
        <f>DX12+DX15</f>
        <v>1707</v>
      </c>
      <c r="DY16" s="900">
        <f>SUM(DU16:DX16)</f>
        <v>7157</v>
      </c>
      <c r="DZ16" s="1151">
        <f>DZ12+DZ15</f>
        <v>1661</v>
      </c>
      <c r="EA16" s="1151">
        <f>EA12+EA15</f>
        <v>1621</v>
      </c>
      <c r="EB16" s="1151">
        <f>EB12+EB15</f>
        <v>1578</v>
      </c>
      <c r="EC16" s="1151">
        <f>EC12+EC15</f>
        <v>1557</v>
      </c>
      <c r="ED16" s="900">
        <f t="shared" si="0"/>
        <v>6417</v>
      </c>
      <c r="EE16" s="1151">
        <f>EE12+EE15</f>
        <v>1535</v>
      </c>
      <c r="EF16" s="1151">
        <f>EF12+EF15</f>
        <v>1514</v>
      </c>
      <c r="EG16" s="1151">
        <f>EG12+EG15</f>
        <v>1493</v>
      </c>
      <c r="EH16" s="1151">
        <f>EH12+EH15</f>
        <v>1459</v>
      </c>
      <c r="EI16" s="900">
        <f t="shared" si="1"/>
        <v>6001</v>
      </c>
      <c r="EJ16" s="1151">
        <f>EJ12+EJ15</f>
        <v>1442</v>
      </c>
      <c r="EK16" s="1151">
        <f>EK12+EK15</f>
        <v>1442</v>
      </c>
      <c r="EL16" s="1151">
        <f>EL12+EL15</f>
        <v>1426</v>
      </c>
      <c r="EM16" s="1151">
        <f>EM12+EM15</f>
        <v>1423</v>
      </c>
      <c r="EN16" s="900">
        <f t="shared" si="2"/>
        <v>5733</v>
      </c>
      <c r="EO16" s="1151">
        <f>EO12+EO15</f>
        <v>1418</v>
      </c>
      <c r="EP16" s="1151">
        <f>EP12+EP15</f>
        <v>1428</v>
      </c>
      <c r="EQ16" s="1151">
        <f>EQ12+EQ15</f>
        <v>1421</v>
      </c>
      <c r="ER16" s="1151">
        <f>ER12+ER15</f>
        <v>1409</v>
      </c>
      <c r="ES16" s="900">
        <f t="shared" si="3"/>
        <v>5676</v>
      </c>
      <c r="ET16" s="1151">
        <f>ET12+ET15</f>
        <v>1446</v>
      </c>
      <c r="EU16" s="1151">
        <f>EU12+EU15</f>
        <v>1466</v>
      </c>
      <c r="EV16" s="1151">
        <f>EV12+EV15</f>
        <v>1471</v>
      </c>
      <c r="EW16" s="1151">
        <f>EW12+EW15</f>
        <v>1490</v>
      </c>
      <c r="EX16" s="900">
        <f t="shared" si="4"/>
        <v>5873</v>
      </c>
      <c r="EY16" s="1151">
        <f t="shared" ref="EY16:FB16" si="20">EY12+EY15</f>
        <v>1454.6233506483941</v>
      </c>
      <c r="EZ16" s="1151">
        <f t="shared" si="20"/>
        <v>1483.5346474103735</v>
      </c>
      <c r="FA16" s="1151">
        <f t="shared" si="20"/>
        <v>1495.8309759204517</v>
      </c>
      <c r="FB16" s="1151">
        <f t="shared" si="20"/>
        <v>1522.834405145712</v>
      </c>
      <c r="FC16" s="900">
        <f t="shared" si="6"/>
        <v>5956.8233791249313</v>
      </c>
      <c r="FD16" s="1151">
        <f t="shared" ref="FD16" si="21">FD12+FD15</f>
        <v>6162.1974527353104</v>
      </c>
      <c r="FE16" s="1151">
        <f t="shared" ref="FE16" si="22">FE12+FE15</f>
        <v>6440.264954012373</v>
      </c>
      <c r="FF16" s="1151">
        <f t="shared" ref="FF16" si="23">FF12+FF15</f>
        <v>6737.1959800304503</v>
      </c>
      <c r="FG16" s="1151">
        <f t="shared" ref="FG16" si="24">FG12+FG15</f>
        <v>7013.139317382118</v>
      </c>
      <c r="FH16" s="1151">
        <f t="shared" ref="FH16" si="25">FH12+FH15</f>
        <v>7267.6741550276438</v>
      </c>
      <c r="FI16" s="1151">
        <f t="shared" ref="FI16" si="26">FI12+FI15</f>
        <v>7495.8689514336202</v>
      </c>
    </row>
    <row r="17" spans="1:166" x14ac:dyDescent="0.3">
      <c r="A17" t="s">
        <v>28</v>
      </c>
      <c r="DU17" s="104">
        <f>Inputs!DU522</f>
        <v>86</v>
      </c>
      <c r="DV17" s="104">
        <f>Inputs!DV522</f>
        <v>89</v>
      </c>
      <c r="DW17" s="104">
        <f>Inputs!DW522</f>
        <v>85</v>
      </c>
      <c r="DX17" s="104">
        <f>Inputs!DX522</f>
        <v>85</v>
      </c>
      <c r="DY17" s="100">
        <f>SUM(DU17:DX17)</f>
        <v>345</v>
      </c>
      <c r="DZ17" s="1110">
        <f>Drivers!DZ48</f>
        <v>128</v>
      </c>
      <c r="EA17" s="1110">
        <f>Drivers!EA48</f>
        <v>133</v>
      </c>
      <c r="EB17" s="1110">
        <f>Drivers!EB48</f>
        <v>149</v>
      </c>
      <c r="EC17" s="1110">
        <f>Drivers!EC48</f>
        <v>139</v>
      </c>
      <c r="ED17" s="1111">
        <f t="shared" si="0"/>
        <v>549</v>
      </c>
      <c r="EE17" s="1110">
        <f>Drivers!EE48</f>
        <v>140</v>
      </c>
      <c r="EF17" s="1110">
        <f>Drivers!EF48</f>
        <v>103</v>
      </c>
      <c r="EG17" s="1110">
        <f>Drivers!EG48</f>
        <v>83</v>
      </c>
      <c r="EH17" s="1110">
        <f>Drivers!EH48</f>
        <v>84</v>
      </c>
      <c r="EI17" s="1111">
        <f t="shared" si="1"/>
        <v>410</v>
      </c>
      <c r="EJ17" s="1110">
        <f>Drivers!EJ48</f>
        <v>5</v>
      </c>
      <c r="EK17" s="1110">
        <f>Drivers!EK48</f>
        <v>17</v>
      </c>
      <c r="EL17" s="1110">
        <f>Drivers!EL48</f>
        <v>18</v>
      </c>
      <c r="EM17" s="1110">
        <f>Drivers!EM48</f>
        <v>14</v>
      </c>
      <c r="EN17" s="1111">
        <f t="shared" si="2"/>
        <v>54</v>
      </c>
      <c r="EO17" s="1110">
        <f>Drivers!EO48</f>
        <v>22</v>
      </c>
      <c r="EP17" s="1110">
        <f>Drivers!EP48</f>
        <v>21</v>
      </c>
      <c r="EQ17" s="1110">
        <f>Drivers!EQ48</f>
        <v>15</v>
      </c>
      <c r="ER17" s="1110">
        <f>Drivers!ER48</f>
        <v>17</v>
      </c>
      <c r="ES17" s="1111">
        <f t="shared" si="3"/>
        <v>75</v>
      </c>
      <c r="ET17" s="1110">
        <f>Drivers!ET48</f>
        <v>16</v>
      </c>
      <c r="EU17" s="1110">
        <f>Drivers!EU48</f>
        <v>14</v>
      </c>
      <c r="EV17" s="1110">
        <f>Drivers!EV48</f>
        <v>18</v>
      </c>
      <c r="EW17" s="1110">
        <f>Drivers!EW48</f>
        <v>16</v>
      </c>
      <c r="EX17" s="1111">
        <f t="shared" si="4"/>
        <v>64</v>
      </c>
      <c r="EY17" s="1110">
        <f>Drivers!EY48</f>
        <v>16</v>
      </c>
      <c r="EZ17" s="1110">
        <f>Drivers!EZ48</f>
        <v>14</v>
      </c>
      <c r="FA17" s="1110">
        <f>Drivers!FA48</f>
        <v>18</v>
      </c>
      <c r="FB17" s="1110">
        <f>Drivers!FB48</f>
        <v>16</v>
      </c>
      <c r="FC17" s="1111">
        <f t="shared" si="6"/>
        <v>64</v>
      </c>
      <c r="FD17" s="1110">
        <f>Drivers!FD48</f>
        <v>64</v>
      </c>
      <c r="FE17" s="1110">
        <f>Drivers!FE48</f>
        <v>64</v>
      </c>
      <c r="FF17" s="1110">
        <f>Drivers!FF48</f>
        <v>64</v>
      </c>
      <c r="FG17" s="1110">
        <f>Drivers!FG48</f>
        <v>64</v>
      </c>
      <c r="FH17" s="1110">
        <f>Drivers!FH48</f>
        <v>64</v>
      </c>
      <c r="FI17" s="1110">
        <f>Drivers!FI48</f>
        <v>64</v>
      </c>
    </row>
    <row r="18" spans="1:166" x14ac:dyDescent="0.3">
      <c r="A18" s="90" t="s">
        <v>19</v>
      </c>
      <c r="DU18" s="85">
        <f>SUM(DU16:DU17)</f>
        <v>1946</v>
      </c>
      <c r="DV18" s="85">
        <f>SUM(DV16:DV17)</f>
        <v>1915</v>
      </c>
      <c r="DW18" s="85">
        <f>SUM(DW16:DW17)</f>
        <v>1849</v>
      </c>
      <c r="DX18" s="85">
        <f>SUM(DX16:DX17)</f>
        <v>1792</v>
      </c>
      <c r="DY18" s="85">
        <f>SUM(DU18:DX18)</f>
        <v>7502</v>
      </c>
      <c r="DZ18" s="1151">
        <f>SUM(DZ16:DZ17)</f>
        <v>1789</v>
      </c>
      <c r="EA18" s="1151">
        <f>SUM(EA16:EA17)</f>
        <v>1754</v>
      </c>
      <c r="EB18" s="1151">
        <f>SUM(EB16:EB17)</f>
        <v>1727</v>
      </c>
      <c r="EC18" s="1151">
        <f>SUM(EC16:EC17)</f>
        <v>1696</v>
      </c>
      <c r="ED18" s="900">
        <f t="shared" si="0"/>
        <v>6966</v>
      </c>
      <c r="EE18" s="1151">
        <f>SUM(EE16:EE17)</f>
        <v>1675</v>
      </c>
      <c r="EF18" s="1151">
        <f>SUM(EF16:EF17)</f>
        <v>1617</v>
      </c>
      <c r="EG18" s="1151">
        <f>SUM(EG16:EG17)</f>
        <v>1576</v>
      </c>
      <c r="EH18" s="1151">
        <f>SUM(EH16:EH17)</f>
        <v>1543</v>
      </c>
      <c r="EI18" s="900">
        <f t="shared" si="1"/>
        <v>6411</v>
      </c>
      <c r="EJ18" s="1151">
        <f>SUM(EJ16:EJ17)</f>
        <v>1447</v>
      </c>
      <c r="EK18" s="1151">
        <f>SUM(EK16:EK17)</f>
        <v>1459</v>
      </c>
      <c r="EL18" s="1151">
        <f>SUM(EL16:EL17)</f>
        <v>1444</v>
      </c>
      <c r="EM18" s="1151">
        <f>SUM(EM16:EM17)</f>
        <v>1437</v>
      </c>
      <c r="EN18" s="900">
        <f t="shared" si="2"/>
        <v>5787</v>
      </c>
      <c r="EO18" s="1151">
        <f>SUM(EO16:EO17)</f>
        <v>1440</v>
      </c>
      <c r="EP18" s="1151">
        <f>SUM(EP16:EP17)</f>
        <v>1449</v>
      </c>
      <c r="EQ18" s="1151">
        <f>SUM(EQ16:EQ17)</f>
        <v>1436</v>
      </c>
      <c r="ER18" s="1151">
        <f>SUM(ER16:ER17)</f>
        <v>1426</v>
      </c>
      <c r="ES18" s="900">
        <f t="shared" si="3"/>
        <v>5751</v>
      </c>
      <c r="ET18" s="1151">
        <f>SUM(ET16:ET17)</f>
        <v>1462</v>
      </c>
      <c r="EU18" s="1151">
        <f>SUM(EU16:EU17)</f>
        <v>1480</v>
      </c>
      <c r="EV18" s="1151">
        <f>SUM(EV16:EV17)</f>
        <v>1489</v>
      </c>
      <c r="EW18" s="1151">
        <f>SUM(EW16:EW17)</f>
        <v>1506</v>
      </c>
      <c r="EX18" s="900">
        <f t="shared" si="4"/>
        <v>5937</v>
      </c>
      <c r="EY18" s="1151">
        <f t="shared" ref="EY18:FB18" si="27">SUM(EY16:EY17)</f>
        <v>1470.6233506483941</v>
      </c>
      <c r="EZ18" s="1151">
        <f t="shared" si="27"/>
        <v>1497.5346474103735</v>
      </c>
      <c r="FA18" s="1151">
        <f t="shared" si="27"/>
        <v>1513.8309759204517</v>
      </c>
      <c r="FB18" s="1151">
        <f t="shared" si="27"/>
        <v>1538.834405145712</v>
      </c>
      <c r="FC18" s="900">
        <f t="shared" si="6"/>
        <v>6020.8233791249313</v>
      </c>
      <c r="FD18" s="1151">
        <f t="shared" ref="FD18" si="28">SUM(FD16:FD17)</f>
        <v>6226.1974527353104</v>
      </c>
      <c r="FE18" s="1151">
        <f t="shared" ref="FE18" si="29">SUM(FE16:FE17)</f>
        <v>6504.264954012373</v>
      </c>
      <c r="FF18" s="1151">
        <f t="shared" ref="FF18" si="30">SUM(FF16:FF17)</f>
        <v>6801.1959800304503</v>
      </c>
      <c r="FG18" s="1151">
        <f t="shared" ref="FG18" si="31">SUM(FG16:FG17)</f>
        <v>7077.139317382118</v>
      </c>
      <c r="FH18" s="1151">
        <f t="shared" ref="FH18" si="32">SUM(FH16:FH17)</f>
        <v>7331.6741550276438</v>
      </c>
      <c r="FI18" s="1151">
        <f t="shared" ref="FI18" si="33">SUM(FI16:FI17)</f>
        <v>7559.8689514336202</v>
      </c>
    </row>
    <row r="19" spans="1:166" x14ac:dyDescent="0.3">
      <c r="A19" s="46" t="s">
        <v>29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4"/>
      <c r="DZ19" s="47">
        <f t="shared" ref="DZ19:EN19" si="34">+IFERROR(DZ18/DU18-1,"")</f>
        <v>-8.0678314491264169E-2</v>
      </c>
      <c r="EA19" s="47">
        <f t="shared" si="34"/>
        <v>-8.4073107049608353E-2</v>
      </c>
      <c r="EB19" s="47">
        <f t="shared" si="34"/>
        <v>-6.5981611681990238E-2</v>
      </c>
      <c r="EC19" s="47">
        <f t="shared" si="34"/>
        <v>-5.3571428571428603E-2</v>
      </c>
      <c r="ED19" s="52">
        <f t="shared" si="34"/>
        <v>-7.1447613969608081E-2</v>
      </c>
      <c r="EE19" s="47">
        <f t="shared" ref="EE19" si="35">+IFERROR(EE18/DZ18-1,"")</f>
        <v>-6.3722750139742823E-2</v>
      </c>
      <c r="EF19" s="47">
        <f t="shared" ref="EF19" si="36">+IFERROR(EF18/EA18-1,"")</f>
        <v>-7.8107183580387707E-2</v>
      </c>
      <c r="EG19" s="47">
        <f t="shared" ref="EG19:EW19" si="37">+IFERROR(EG18/EB18-1,"")</f>
        <v>-8.7434858135495119E-2</v>
      </c>
      <c r="EH19" s="47">
        <f t="shared" si="37"/>
        <v>-9.0212264150943411E-2</v>
      </c>
      <c r="EI19" s="52">
        <f t="shared" ref="EI19" si="38">+IFERROR(EI18/ED18-1,"")</f>
        <v>-7.9672695951765737E-2</v>
      </c>
      <c r="EJ19" s="47">
        <f t="shared" si="37"/>
        <v>-0.13611940298507463</v>
      </c>
      <c r="EK19" s="47">
        <f t="shared" si="37"/>
        <v>-9.7711811997526321E-2</v>
      </c>
      <c r="EL19" s="47">
        <f t="shared" si="37"/>
        <v>-8.3756345177664948E-2</v>
      </c>
      <c r="EM19" s="47">
        <f t="shared" si="37"/>
        <v>-6.8697342838626052E-2</v>
      </c>
      <c r="EN19" s="52">
        <f t="shared" si="34"/>
        <v>-9.7332709405708928E-2</v>
      </c>
      <c r="EO19" s="47">
        <f t="shared" si="37"/>
        <v>-4.8375950241880128E-3</v>
      </c>
      <c r="EP19" s="47">
        <f t="shared" si="37"/>
        <v>-6.8540095956134417E-3</v>
      </c>
      <c r="EQ19" s="47">
        <f t="shared" si="37"/>
        <v>-5.5401662049860967E-3</v>
      </c>
      <c r="ER19" s="47">
        <f t="shared" si="37"/>
        <v>-7.6548364648573175E-3</v>
      </c>
      <c r="ES19" s="52">
        <f t="shared" ref="ES19" si="39">+IFERROR(ES18/EN18-1,"")</f>
        <v>-6.2208398133748455E-3</v>
      </c>
      <c r="ET19" s="47">
        <f t="shared" si="37"/>
        <v>1.5277777777777724E-2</v>
      </c>
      <c r="EU19" s="47">
        <f t="shared" si="37"/>
        <v>2.1394064872325647E-2</v>
      </c>
      <c r="EV19" s="47">
        <f t="shared" si="37"/>
        <v>3.6908077994429078E-2</v>
      </c>
      <c r="EW19" s="47">
        <f t="shared" si="37"/>
        <v>5.6100981767180924E-2</v>
      </c>
      <c r="EX19" s="52">
        <f t="shared" ref="EX19" si="40">+IFERROR(EX18/ES18-1,"")</f>
        <v>3.234220135628596E-2</v>
      </c>
      <c r="EY19" s="47">
        <f t="shared" ref="EY19" si="41">+IFERROR(EY18/ET18-1,"")</f>
        <v>5.898324656904208E-3</v>
      </c>
      <c r="EZ19" s="47">
        <f t="shared" ref="EZ19" si="42">+IFERROR(EZ18/EU18-1,"")</f>
        <v>1.1847734736738946E-2</v>
      </c>
      <c r="FA19" s="47">
        <f t="shared" ref="FA19" si="43">+IFERROR(FA18/EV18-1,"")</f>
        <v>1.6676276642344945E-2</v>
      </c>
      <c r="FB19" s="47">
        <f t="shared" ref="FB19:FC19" si="44">+IFERROR(FB18/EW18-1,"")</f>
        <v>2.1802393855054447E-2</v>
      </c>
      <c r="FC19" s="52">
        <f t="shared" si="44"/>
        <v>1.4118810699836892E-2</v>
      </c>
      <c r="FD19" s="47">
        <f t="shared" ref="FD19:FI19" si="45">+IFERROR(FD18/FC18-1,"")</f>
        <v>3.4110629174481488E-2</v>
      </c>
      <c r="FE19" s="47">
        <f t="shared" si="45"/>
        <v>4.4660887064367216E-2</v>
      </c>
      <c r="FF19" s="47">
        <f t="shared" si="45"/>
        <v>4.5651742067319256E-2</v>
      </c>
      <c r="FG19" s="47">
        <f t="shared" si="45"/>
        <v>4.0572766637204438E-2</v>
      </c>
      <c r="FH19" s="47">
        <f t="shared" si="45"/>
        <v>3.5965780272314785E-2</v>
      </c>
      <c r="FI19" s="47">
        <f t="shared" si="45"/>
        <v>3.1124514207917064E-2</v>
      </c>
    </row>
    <row r="20" spans="1:166" x14ac:dyDescent="0.3">
      <c r="EO20"/>
      <c r="EP20"/>
      <c r="EQ20"/>
      <c r="ER20"/>
      <c r="ES20" s="90"/>
      <c r="EX20" s="90"/>
      <c r="FC20" s="90"/>
    </row>
    <row r="21" spans="1:166" hidden="1" x14ac:dyDescent="0.3">
      <c r="A21" s="1076" t="s">
        <v>30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44"/>
      <c r="DV21" s="44"/>
      <c r="DW21" s="44"/>
      <c r="DX21" s="44"/>
      <c r="DY21" s="45"/>
      <c r="DZ21" s="44"/>
      <c r="EA21" s="44"/>
      <c r="EB21" s="44"/>
      <c r="EC21" s="44"/>
      <c r="ED21" s="45"/>
      <c r="EE21" s="44"/>
      <c r="EF21" s="44"/>
      <c r="EG21" s="44"/>
      <c r="EH21" s="44"/>
      <c r="EI21" s="45"/>
      <c r="EJ21" s="44"/>
      <c r="EK21" s="44"/>
      <c r="EL21" s="44"/>
      <c r="EM21" s="44"/>
      <c r="EN21" s="53"/>
      <c r="EO21" s="44"/>
      <c r="EP21" s="44"/>
      <c r="EQ21" s="44"/>
      <c r="ER21" s="44"/>
      <c r="ES21" s="53"/>
      <c r="ET21" s="44"/>
      <c r="EU21" s="44"/>
      <c r="EV21" s="44"/>
      <c r="EW21" s="44"/>
      <c r="EX21" s="53"/>
      <c r="EY21" s="45"/>
      <c r="EZ21" s="45"/>
      <c r="FA21" s="45"/>
      <c r="FB21" s="45"/>
      <c r="FC21" s="53"/>
      <c r="FD21" s="44"/>
      <c r="FE21" s="44"/>
      <c r="FF21" s="44"/>
      <c r="FG21" s="44"/>
      <c r="FH21" s="44"/>
      <c r="FI21" s="44"/>
      <c r="FJ21" s="189"/>
    </row>
    <row r="22" spans="1:166" hidden="1" x14ac:dyDescent="0.3">
      <c r="A22" s="27" t="s">
        <v>31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44">
        <f>Inputs!DU510</f>
        <v>888</v>
      </c>
      <c r="DV22" s="44">
        <f>Inputs!DV510</f>
        <v>885</v>
      </c>
      <c r="DW22" s="44">
        <f>Inputs!DW510</f>
        <v>851</v>
      </c>
      <c r="DX22" s="44">
        <f>Inputs!DX510</f>
        <v>822</v>
      </c>
      <c r="DY22" s="45">
        <f t="shared" ref="DY22:DY27" si="46">SUM(DU22:DX22)</f>
        <v>3446</v>
      </c>
      <c r="DZ22" s="44">
        <f>Inputs!DZ510</f>
        <v>855</v>
      </c>
      <c r="EA22" s="44">
        <f>Inputs!EA510</f>
        <v>849</v>
      </c>
      <c r="EB22" s="44">
        <f>Inputs!EB510</f>
        <v>838</v>
      </c>
      <c r="EC22" s="44">
        <f>Inputs!EC510</f>
        <v>834</v>
      </c>
      <c r="ED22" s="45">
        <f t="shared" ref="ED22:ED27" si="47">SUM(DZ22:EC22)</f>
        <v>3376</v>
      </c>
      <c r="EE22" s="44">
        <f>Inputs!EE510</f>
        <v>842</v>
      </c>
      <c r="EF22" s="44">
        <f>Inputs!EF510</f>
        <v>839</v>
      </c>
      <c r="EG22" s="44">
        <f>Drivers!EG658</f>
        <v>834</v>
      </c>
      <c r="EH22" s="44" t="e">
        <f>Drivers!EH658</f>
        <v>#REF!</v>
      </c>
      <c r="EI22" s="45" t="e">
        <f t="shared" ref="EI22:EI27" si="48">SUM(EE22:EH22)</f>
        <v>#REF!</v>
      </c>
      <c r="EJ22" s="44" t="e">
        <f>Drivers!EJ658</f>
        <v>#REF!</v>
      </c>
      <c r="EK22" s="44" t="e">
        <f>Drivers!EK658</f>
        <v>#REF!</v>
      </c>
      <c r="EL22" s="44" t="e">
        <f>Drivers!EL658</f>
        <v>#REF!</v>
      </c>
      <c r="EM22" s="44" t="e">
        <f>Drivers!EM658</f>
        <v>#REF!</v>
      </c>
      <c r="EN22" s="45" t="e">
        <f t="shared" ref="EN22:EN27" si="49">SUM(EJ22:EM22)</f>
        <v>#REF!</v>
      </c>
      <c r="EO22" s="44">
        <f>Drivers!EO658</f>
        <v>0</v>
      </c>
      <c r="EP22" s="44">
        <f>Drivers!EP658</f>
        <v>0</v>
      </c>
      <c r="EQ22" s="44">
        <f>Drivers!EQ658</f>
        <v>0</v>
      </c>
      <c r="ER22" s="44">
        <f>Drivers!ER658</f>
        <v>0</v>
      </c>
      <c r="ES22" s="45">
        <f t="shared" ref="ES22:ES27" si="50">SUM(EO22:ER22)</f>
        <v>0</v>
      </c>
      <c r="ET22" s="44">
        <f>Drivers!ET658</f>
        <v>0</v>
      </c>
      <c r="EU22" s="44">
        <f>Drivers!EU658</f>
        <v>0</v>
      </c>
      <c r="EV22" s="44">
        <f>Drivers!EV658</f>
        <v>0</v>
      </c>
      <c r="EW22" s="44">
        <f>Drivers!EW658</f>
        <v>0</v>
      </c>
      <c r="EX22" s="45">
        <f t="shared" ref="EX22:EX27" si="51">SUM(ET22:EW22)</f>
        <v>0</v>
      </c>
      <c r="EY22" s="44">
        <f>Drivers!EY658</f>
        <v>0</v>
      </c>
      <c r="EZ22" s="44">
        <f>Drivers!EZ658</f>
        <v>0</v>
      </c>
      <c r="FA22" s="44">
        <f>Drivers!FA658</f>
        <v>0</v>
      </c>
      <c r="FB22" s="44">
        <f>Drivers!FB658</f>
        <v>0</v>
      </c>
      <c r="FC22" s="45">
        <f t="shared" ref="FC22:FC27" si="52">SUM(EY22:FB22)</f>
        <v>0</v>
      </c>
      <c r="FD22" s="44" t="e">
        <f>Drivers!FD658</f>
        <v>#REF!</v>
      </c>
      <c r="FE22" s="44" t="e">
        <f>Drivers!FE658</f>
        <v>#REF!</v>
      </c>
      <c r="FF22" s="44" t="e">
        <f>Drivers!FF658</f>
        <v>#REF!</v>
      </c>
      <c r="FG22" s="44" t="e">
        <f>Drivers!FG658</f>
        <v>#REF!</v>
      </c>
      <c r="FH22" s="44" t="e">
        <f>Drivers!FH658</f>
        <v>#REF!</v>
      </c>
      <c r="FI22" s="44" t="e">
        <f>Drivers!FI658</f>
        <v>#REF!</v>
      </c>
      <c r="FJ22" s="189" t="e">
        <f t="shared" ref="FJ22:FJ28" si="53">+(FF22/ES22)^0.2-1</f>
        <v>#REF!</v>
      </c>
    </row>
    <row r="23" spans="1:166" hidden="1" x14ac:dyDescent="0.3">
      <c r="A23" s="27" t="s">
        <v>32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44">
        <f>Inputs!DU511</f>
        <v>604</v>
      </c>
      <c r="DV23" s="44">
        <f>Inputs!DV511</f>
        <v>582</v>
      </c>
      <c r="DW23" s="44">
        <f>Inputs!DW511</f>
        <v>574</v>
      </c>
      <c r="DX23" s="44">
        <f>Inputs!DX511</f>
        <v>555</v>
      </c>
      <c r="DY23" s="45">
        <f t="shared" si="46"/>
        <v>2315</v>
      </c>
      <c r="DZ23" s="44">
        <f>Inputs!DZ511</f>
        <v>529</v>
      </c>
      <c r="EA23" s="44">
        <f>Inputs!EA511</f>
        <v>509</v>
      </c>
      <c r="EB23" s="44">
        <f>Inputs!EB511</f>
        <v>500</v>
      </c>
      <c r="EC23" s="44">
        <f>Inputs!EC511</f>
        <v>490</v>
      </c>
      <c r="ED23" s="45">
        <f t="shared" si="47"/>
        <v>2028</v>
      </c>
      <c r="EE23" s="44">
        <f>Inputs!EE511</f>
        <v>487</v>
      </c>
      <c r="EF23" s="44">
        <f>Inputs!EF511</f>
        <v>443</v>
      </c>
      <c r="EG23" s="44">
        <f>Drivers!EG659</f>
        <v>411</v>
      </c>
      <c r="EH23" s="44" t="e">
        <f>Drivers!EH659</f>
        <v>#REF!</v>
      </c>
      <c r="EI23" s="45" t="e">
        <f t="shared" si="48"/>
        <v>#REF!</v>
      </c>
      <c r="EJ23" s="44" t="e">
        <f>Drivers!EJ659</f>
        <v>#REF!</v>
      </c>
      <c r="EK23" s="44" t="e">
        <f>Drivers!EK659</f>
        <v>#REF!</v>
      </c>
      <c r="EL23" s="44" t="e">
        <f>Drivers!EL659</f>
        <v>#REF!</v>
      </c>
      <c r="EM23" s="44" t="e">
        <f>Drivers!EM659</f>
        <v>#REF!</v>
      </c>
      <c r="EN23" s="45" t="e">
        <f t="shared" si="49"/>
        <v>#REF!</v>
      </c>
      <c r="EO23" s="44">
        <f>Drivers!EO659</f>
        <v>0</v>
      </c>
      <c r="EP23" s="44">
        <f>Drivers!EP659</f>
        <v>0</v>
      </c>
      <c r="EQ23" s="44">
        <f>Drivers!EQ659</f>
        <v>0</v>
      </c>
      <c r="ER23" s="44">
        <f>Drivers!ER659</f>
        <v>0</v>
      </c>
      <c r="ES23" s="45">
        <f t="shared" si="50"/>
        <v>0</v>
      </c>
      <c r="ET23" s="44">
        <f>Drivers!ET659</f>
        <v>0</v>
      </c>
      <c r="EU23" s="44">
        <f>Drivers!EU659</f>
        <v>0</v>
      </c>
      <c r="EV23" s="44">
        <f>Drivers!EV659</f>
        <v>0</v>
      </c>
      <c r="EW23" s="44">
        <f>Drivers!EW659</f>
        <v>0</v>
      </c>
      <c r="EX23" s="45">
        <f t="shared" si="51"/>
        <v>0</v>
      </c>
      <c r="EY23" s="44">
        <f>Drivers!EY659</f>
        <v>0</v>
      </c>
      <c r="EZ23" s="44">
        <f>Drivers!EZ659</f>
        <v>0</v>
      </c>
      <c r="FA23" s="44">
        <f>Drivers!FA659</f>
        <v>0</v>
      </c>
      <c r="FB23" s="44">
        <f>Drivers!FB659</f>
        <v>0</v>
      </c>
      <c r="FC23" s="45">
        <f t="shared" si="52"/>
        <v>0</v>
      </c>
      <c r="FD23" s="44" t="e">
        <f>Drivers!FD659</f>
        <v>#REF!</v>
      </c>
      <c r="FE23" s="44" t="e">
        <f>Drivers!FE659</f>
        <v>#REF!</v>
      </c>
      <c r="FF23" s="44" t="e">
        <f>Drivers!FF659</f>
        <v>#REF!</v>
      </c>
      <c r="FG23" s="44" t="e">
        <f>Drivers!FG659</f>
        <v>#REF!</v>
      </c>
      <c r="FH23" s="44" t="e">
        <f>Drivers!FH659</f>
        <v>#REF!</v>
      </c>
      <c r="FI23" s="44" t="e">
        <f>Drivers!FI659</f>
        <v>#REF!</v>
      </c>
      <c r="FJ23" s="189" t="e">
        <f t="shared" si="53"/>
        <v>#REF!</v>
      </c>
    </row>
    <row r="24" spans="1:166" hidden="1" x14ac:dyDescent="0.3">
      <c r="A24" s="27" t="s">
        <v>33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44">
        <f>Inputs!DU512</f>
        <v>255</v>
      </c>
      <c r="DV24" s="44">
        <f>Inputs!DV512</f>
        <v>248</v>
      </c>
      <c r="DW24" s="44">
        <f>Inputs!DW512</f>
        <v>233</v>
      </c>
      <c r="DX24" s="44">
        <f>Inputs!DX512</f>
        <v>222</v>
      </c>
      <c r="DY24" s="45">
        <f t="shared" si="46"/>
        <v>958</v>
      </c>
      <c r="DZ24" s="44">
        <f>Inputs!DZ512</f>
        <v>212</v>
      </c>
      <c r="EA24" s="44">
        <f>Inputs!EA512</f>
        <v>197</v>
      </c>
      <c r="EB24" s="44">
        <f>Inputs!EB512</f>
        <v>186</v>
      </c>
      <c r="EC24" s="44">
        <f>Inputs!EC512</f>
        <v>181</v>
      </c>
      <c r="ED24" s="45">
        <f t="shared" si="47"/>
        <v>776</v>
      </c>
      <c r="EE24" s="44">
        <f>Inputs!EE512</f>
        <v>169</v>
      </c>
      <c r="EF24" s="44">
        <f>Inputs!EF512</f>
        <v>159</v>
      </c>
      <c r="EG24" s="44">
        <f>Drivers!EG660</f>
        <v>149</v>
      </c>
      <c r="EH24" s="44" t="e">
        <f>Drivers!EH660</f>
        <v>#REF!</v>
      </c>
      <c r="EI24" s="45" t="e">
        <f t="shared" si="48"/>
        <v>#REF!</v>
      </c>
      <c r="EJ24" s="44" t="e">
        <f>Drivers!EJ660</f>
        <v>#REF!</v>
      </c>
      <c r="EK24" s="44" t="e">
        <f>Drivers!EK660</f>
        <v>#REF!</v>
      </c>
      <c r="EL24" s="44" t="e">
        <f>Drivers!EL660</f>
        <v>#REF!</v>
      </c>
      <c r="EM24" s="44" t="e">
        <f>Drivers!EM660</f>
        <v>#REF!</v>
      </c>
      <c r="EN24" s="45" t="e">
        <f t="shared" si="49"/>
        <v>#REF!</v>
      </c>
      <c r="EO24" s="44">
        <f>Drivers!EO660</f>
        <v>0</v>
      </c>
      <c r="EP24" s="44">
        <f>Drivers!EP660</f>
        <v>0</v>
      </c>
      <c r="EQ24" s="44">
        <f>Drivers!EQ660</f>
        <v>0</v>
      </c>
      <c r="ER24" s="44">
        <f>Drivers!ER660</f>
        <v>0</v>
      </c>
      <c r="ES24" s="45">
        <f t="shared" si="50"/>
        <v>0</v>
      </c>
      <c r="ET24" s="44">
        <f>Drivers!ET660</f>
        <v>0</v>
      </c>
      <c r="EU24" s="44">
        <f>Drivers!EU660</f>
        <v>0</v>
      </c>
      <c r="EV24" s="44">
        <f>Drivers!EV660</f>
        <v>0</v>
      </c>
      <c r="EW24" s="44">
        <f>Drivers!EW660</f>
        <v>0</v>
      </c>
      <c r="EX24" s="45">
        <f t="shared" si="51"/>
        <v>0</v>
      </c>
      <c r="EY24" s="44">
        <f>Drivers!EY660</f>
        <v>0</v>
      </c>
      <c r="EZ24" s="44">
        <f>Drivers!EZ660</f>
        <v>0</v>
      </c>
      <c r="FA24" s="44">
        <f>Drivers!FA660</f>
        <v>0</v>
      </c>
      <c r="FB24" s="44">
        <f>Drivers!FB660</f>
        <v>0</v>
      </c>
      <c r="FC24" s="45">
        <f t="shared" si="52"/>
        <v>0</v>
      </c>
      <c r="FD24" s="44" t="e">
        <f>Drivers!FD660</f>
        <v>#REF!</v>
      </c>
      <c r="FE24" s="44" t="e">
        <f>Drivers!FE660</f>
        <v>#REF!</v>
      </c>
      <c r="FF24" s="44" t="e">
        <f>Drivers!FF660</f>
        <v>#REF!</v>
      </c>
      <c r="FG24" s="44" t="e">
        <f>Drivers!FG660</f>
        <v>#REF!</v>
      </c>
      <c r="FH24" s="44" t="e">
        <f>Drivers!FH660</f>
        <v>#REF!</v>
      </c>
      <c r="FI24" s="44" t="e">
        <f>Drivers!FI660</f>
        <v>#REF!</v>
      </c>
      <c r="FJ24" s="189" t="e">
        <f t="shared" si="53"/>
        <v>#REF!</v>
      </c>
    </row>
    <row r="25" spans="1:166" hidden="1" x14ac:dyDescent="0.3">
      <c r="A25" s="27" t="s">
        <v>34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44">
        <f>Inputs!DU513</f>
        <v>113</v>
      </c>
      <c r="DV25" s="44">
        <f>Inputs!DV513</f>
        <v>111</v>
      </c>
      <c r="DW25" s="44">
        <f>Inputs!DW513</f>
        <v>106</v>
      </c>
      <c r="DX25" s="44">
        <f>Inputs!DX513</f>
        <v>108</v>
      </c>
      <c r="DY25" s="45">
        <f t="shared" si="46"/>
        <v>438</v>
      </c>
      <c r="DZ25" s="44">
        <f>Inputs!DZ513</f>
        <v>108</v>
      </c>
      <c r="EA25" s="44">
        <f>Inputs!EA513</f>
        <v>105</v>
      </c>
      <c r="EB25" s="44">
        <f>Inputs!EB513</f>
        <v>103</v>
      </c>
      <c r="EC25" s="44">
        <f>Inputs!EC513</f>
        <v>101</v>
      </c>
      <c r="ED25" s="45">
        <f t="shared" si="47"/>
        <v>417</v>
      </c>
      <c r="EE25" s="44">
        <f>Inputs!EE513</f>
        <v>95</v>
      </c>
      <c r="EF25" s="44">
        <f>Inputs!EF513</f>
        <v>92</v>
      </c>
      <c r="EG25" s="44">
        <f>Drivers!EG661</f>
        <v>99</v>
      </c>
      <c r="EH25" s="44" t="e">
        <f>Drivers!EH661</f>
        <v>#REF!</v>
      </c>
      <c r="EI25" s="45"/>
      <c r="EJ25" s="44" t="e">
        <f>Drivers!EJ661</f>
        <v>#REF!</v>
      </c>
      <c r="EK25" s="44" t="e">
        <f>Drivers!EK661</f>
        <v>#REF!</v>
      </c>
      <c r="EL25" s="44" t="e">
        <f>Drivers!EL661</f>
        <v>#REF!</v>
      </c>
      <c r="EM25" s="44" t="e">
        <f>Drivers!EM661</f>
        <v>#REF!</v>
      </c>
      <c r="EN25" s="45"/>
      <c r="EO25" s="44">
        <f>Drivers!EO661</f>
        <v>0</v>
      </c>
      <c r="EP25" s="44">
        <f>Drivers!EP661</f>
        <v>0</v>
      </c>
      <c r="EQ25" s="44">
        <f>Drivers!EQ661</f>
        <v>0</v>
      </c>
      <c r="ER25" s="44">
        <f>Drivers!ER661</f>
        <v>0</v>
      </c>
      <c r="ES25" s="45"/>
      <c r="ET25" s="44">
        <f>Drivers!ET661</f>
        <v>0</v>
      </c>
      <c r="EU25" s="44">
        <f>Drivers!EU661</f>
        <v>0</v>
      </c>
      <c r="EV25" s="44">
        <f>Drivers!EV661</f>
        <v>0</v>
      </c>
      <c r="EW25" s="44">
        <f>Drivers!EW661</f>
        <v>0</v>
      </c>
      <c r="EX25" s="45"/>
      <c r="EY25" s="44"/>
      <c r="EZ25" s="44"/>
      <c r="FA25" s="44"/>
      <c r="FB25" s="44"/>
      <c r="FC25" s="45"/>
      <c r="FD25" s="44"/>
      <c r="FE25" s="44"/>
      <c r="FF25" s="44"/>
      <c r="FG25" s="44"/>
      <c r="FH25" s="44"/>
      <c r="FI25" s="44"/>
      <c r="FJ25" s="189" t="e">
        <f t="shared" si="53"/>
        <v>#DIV/0!</v>
      </c>
    </row>
    <row r="26" spans="1:166" hidden="1" x14ac:dyDescent="0.3">
      <c r="A26" s="29" t="s">
        <v>35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858">
        <f>SUM(DU22:DU25)</f>
        <v>1860</v>
      </c>
      <c r="DV26" s="858">
        <f>SUM(DV22:DV25)</f>
        <v>1826</v>
      </c>
      <c r="DW26" s="858">
        <f>SUM(DW22:DW25)</f>
        <v>1764</v>
      </c>
      <c r="DX26" s="858">
        <f>SUM(DX22:DX25)</f>
        <v>1707</v>
      </c>
      <c r="DY26" s="858">
        <f t="shared" si="46"/>
        <v>7157</v>
      </c>
      <c r="DZ26" s="858">
        <f>SUM(DZ22:DZ25)</f>
        <v>1704</v>
      </c>
      <c r="EA26" s="858">
        <f>SUM(EA22:EA25)</f>
        <v>1660</v>
      </c>
      <c r="EB26" s="858">
        <f>SUM(EB22:EB25)</f>
        <v>1627</v>
      </c>
      <c r="EC26" s="858">
        <f>SUM(EC22:EC25)</f>
        <v>1606</v>
      </c>
      <c r="ED26" s="858">
        <f t="shared" si="47"/>
        <v>6597</v>
      </c>
      <c r="EE26" s="858">
        <f>SUM(EE22:EE25)</f>
        <v>1593</v>
      </c>
      <c r="EF26" s="858">
        <f>SUM(EF22:EF25)</f>
        <v>1533</v>
      </c>
      <c r="EG26" s="858">
        <f>SUM(EG22:EG25)</f>
        <v>1493</v>
      </c>
      <c r="EH26" s="858" t="e">
        <f>SUM(EH22:EH25)</f>
        <v>#REF!</v>
      </c>
      <c r="EI26" s="858" t="e">
        <f t="shared" si="48"/>
        <v>#REF!</v>
      </c>
      <c r="EJ26" s="858" t="e">
        <f>SUM(EJ22:EJ25)</f>
        <v>#REF!</v>
      </c>
      <c r="EK26" s="858" t="e">
        <f>SUM(EK22:EK25)</f>
        <v>#REF!</v>
      </c>
      <c r="EL26" s="858" t="e">
        <f>SUM(EL22:EL25)</f>
        <v>#REF!</v>
      </c>
      <c r="EM26" s="858" t="e">
        <f>SUM(EM22:EM25)</f>
        <v>#REF!</v>
      </c>
      <c r="EN26" s="858" t="e">
        <f t="shared" si="49"/>
        <v>#REF!</v>
      </c>
      <c r="EO26" s="858">
        <f>SUM(EO22:EO25)</f>
        <v>0</v>
      </c>
      <c r="EP26" s="858">
        <f>SUM(EP22:EP25)</f>
        <v>0</v>
      </c>
      <c r="EQ26" s="858">
        <f>SUM(EQ22:EQ25)</f>
        <v>0</v>
      </c>
      <c r="ER26" s="858">
        <f>SUM(ER22:ER25)</f>
        <v>0</v>
      </c>
      <c r="ES26" s="858">
        <f t="shared" si="50"/>
        <v>0</v>
      </c>
      <c r="ET26" s="858">
        <f>SUM(ET22:ET25)</f>
        <v>0</v>
      </c>
      <c r="EU26" s="858">
        <f>SUM(EU22:EU25)</f>
        <v>0</v>
      </c>
      <c r="EV26" s="858">
        <f>SUM(EV22:EV25)</f>
        <v>0</v>
      </c>
      <c r="EW26" s="858">
        <f>SUM(EW22:EW25)</f>
        <v>0</v>
      </c>
      <c r="EX26" s="858">
        <f t="shared" si="51"/>
        <v>0</v>
      </c>
      <c r="EY26" s="858">
        <f t="shared" ref="EY26:FB26" si="54">SUM(EY22:EY25)</f>
        <v>0</v>
      </c>
      <c r="EZ26" s="858">
        <f t="shared" si="54"/>
        <v>0</v>
      </c>
      <c r="FA26" s="858">
        <f t="shared" si="54"/>
        <v>0</v>
      </c>
      <c r="FB26" s="858">
        <f t="shared" si="54"/>
        <v>0</v>
      </c>
      <c r="FC26" s="858">
        <f t="shared" si="52"/>
        <v>0</v>
      </c>
      <c r="FD26" s="858" t="e">
        <f t="shared" ref="FD26:FI26" si="55">SUM(FD22:FD25)</f>
        <v>#REF!</v>
      </c>
      <c r="FE26" s="858" t="e">
        <f t="shared" si="55"/>
        <v>#REF!</v>
      </c>
      <c r="FF26" s="858" t="e">
        <f t="shared" si="55"/>
        <v>#REF!</v>
      </c>
      <c r="FG26" s="858" t="e">
        <f t="shared" si="55"/>
        <v>#REF!</v>
      </c>
      <c r="FH26" s="858" t="e">
        <f t="shared" si="55"/>
        <v>#REF!</v>
      </c>
      <c r="FI26" s="858" t="e">
        <f t="shared" si="55"/>
        <v>#REF!</v>
      </c>
      <c r="FJ26" s="717" t="e">
        <f t="shared" si="53"/>
        <v>#REF!</v>
      </c>
    </row>
    <row r="27" spans="1:166" hidden="1" x14ac:dyDescent="0.3">
      <c r="A27" s="30" t="s">
        <v>36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44" t="e">
        <f>+Drivers!#REF!</f>
        <v>#REF!</v>
      </c>
      <c r="DV27" s="44" t="e">
        <f>+Drivers!#REF!</f>
        <v>#REF!</v>
      </c>
      <c r="DW27" s="44" t="e">
        <f>+Drivers!#REF!</f>
        <v>#REF!</v>
      </c>
      <c r="DX27" s="44" t="e">
        <f>+Drivers!#REF!</f>
        <v>#REF!</v>
      </c>
      <c r="DY27" s="45" t="e">
        <f t="shared" si="46"/>
        <v>#REF!</v>
      </c>
      <c r="DZ27" s="44" t="e">
        <f>+Drivers!#REF!</f>
        <v>#REF!</v>
      </c>
      <c r="EA27" s="44" t="e">
        <f>+Drivers!#REF!</f>
        <v>#REF!</v>
      </c>
      <c r="EB27" s="44" t="e">
        <f>+Drivers!#REF!</f>
        <v>#REF!</v>
      </c>
      <c r="EC27" s="44" t="e">
        <f>+Drivers!#REF!</f>
        <v>#REF!</v>
      </c>
      <c r="ED27" s="45" t="e">
        <f t="shared" si="47"/>
        <v>#REF!</v>
      </c>
      <c r="EE27" s="44" t="e">
        <f>+Drivers!#REF!</f>
        <v>#REF!</v>
      </c>
      <c r="EF27" s="44" t="e">
        <f>+Drivers!#REF!</f>
        <v>#REF!</v>
      </c>
      <c r="EG27" s="44" t="e">
        <f>+Drivers!#REF!</f>
        <v>#REF!</v>
      </c>
      <c r="EH27" s="44" t="e">
        <f>+Drivers!#REF!</f>
        <v>#REF!</v>
      </c>
      <c r="EI27" s="45" t="e">
        <f t="shared" si="48"/>
        <v>#REF!</v>
      </c>
      <c r="EJ27" s="44" t="e">
        <f>+Drivers!#REF!</f>
        <v>#REF!</v>
      </c>
      <c r="EK27" s="44" t="e">
        <f>+Drivers!#REF!</f>
        <v>#REF!</v>
      </c>
      <c r="EL27" s="44" t="e">
        <f>+Drivers!#REF!</f>
        <v>#REF!</v>
      </c>
      <c r="EM27" s="44" t="e">
        <f>+Drivers!#REF!</f>
        <v>#REF!</v>
      </c>
      <c r="EN27" s="45" t="e">
        <f t="shared" si="49"/>
        <v>#REF!</v>
      </c>
      <c r="EO27" s="44" t="e">
        <f>+Drivers!#REF!</f>
        <v>#REF!</v>
      </c>
      <c r="EP27" s="44" t="e">
        <f>+Drivers!#REF!</f>
        <v>#REF!</v>
      </c>
      <c r="EQ27" s="44" t="e">
        <f>+Drivers!#REF!</f>
        <v>#REF!</v>
      </c>
      <c r="ER27" s="44" t="e">
        <f>+Drivers!#REF!</f>
        <v>#REF!</v>
      </c>
      <c r="ES27" s="45" t="e">
        <f t="shared" si="50"/>
        <v>#REF!</v>
      </c>
      <c r="ET27" s="44" t="e">
        <f>+Drivers!#REF!</f>
        <v>#REF!</v>
      </c>
      <c r="EU27" s="44" t="e">
        <f>+Drivers!#REF!</f>
        <v>#REF!</v>
      </c>
      <c r="EV27" s="44" t="e">
        <f>+Drivers!#REF!</f>
        <v>#REF!</v>
      </c>
      <c r="EW27" s="44" t="e">
        <f>+Drivers!#REF!</f>
        <v>#REF!</v>
      </c>
      <c r="EX27" s="45" t="e">
        <f t="shared" si="51"/>
        <v>#REF!</v>
      </c>
      <c r="EY27" s="44" t="e">
        <f>+Drivers!#REF!</f>
        <v>#REF!</v>
      </c>
      <c r="EZ27" s="44" t="e">
        <f>+Drivers!#REF!</f>
        <v>#REF!</v>
      </c>
      <c r="FA27" s="44" t="e">
        <f>+Drivers!#REF!</f>
        <v>#REF!</v>
      </c>
      <c r="FB27" s="44" t="e">
        <f>+Drivers!#REF!</f>
        <v>#REF!</v>
      </c>
      <c r="FC27" s="45" t="e">
        <f t="shared" si="52"/>
        <v>#REF!</v>
      </c>
      <c r="FD27" s="44" t="e">
        <f>+Drivers!#REF!</f>
        <v>#REF!</v>
      </c>
      <c r="FE27" s="44" t="e">
        <f>+Drivers!#REF!</f>
        <v>#REF!</v>
      </c>
      <c r="FF27" s="44" t="e">
        <f>+Drivers!#REF!</f>
        <v>#REF!</v>
      </c>
      <c r="FG27" s="44" t="e">
        <f>+Drivers!#REF!</f>
        <v>#REF!</v>
      </c>
      <c r="FH27" s="44" t="e">
        <f>+Drivers!#REF!</f>
        <v>#REF!</v>
      </c>
      <c r="FI27" s="44" t="e">
        <f>+Drivers!#REF!</f>
        <v>#REF!</v>
      </c>
      <c r="FJ27" s="189" t="e">
        <f t="shared" si="53"/>
        <v>#REF!</v>
      </c>
    </row>
    <row r="28" spans="1:166" hidden="1" x14ac:dyDescent="0.3">
      <c r="A28" s="4" t="s">
        <v>19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858" t="e">
        <f t="shared" ref="DU28:FI28" si="56">SUM(DU26:DU27)</f>
        <v>#REF!</v>
      </c>
      <c r="DV28" s="858" t="e">
        <f t="shared" si="56"/>
        <v>#REF!</v>
      </c>
      <c r="DW28" s="858" t="e">
        <f t="shared" si="56"/>
        <v>#REF!</v>
      </c>
      <c r="DX28" s="858" t="e">
        <f t="shared" si="56"/>
        <v>#REF!</v>
      </c>
      <c r="DY28" s="858" t="e">
        <f t="shared" si="56"/>
        <v>#REF!</v>
      </c>
      <c r="DZ28" s="858" t="e">
        <f t="shared" si="56"/>
        <v>#REF!</v>
      </c>
      <c r="EA28" s="858" t="e">
        <f t="shared" si="56"/>
        <v>#REF!</v>
      </c>
      <c r="EB28" s="858" t="e">
        <f t="shared" si="56"/>
        <v>#REF!</v>
      </c>
      <c r="EC28" s="858" t="e">
        <f t="shared" si="56"/>
        <v>#REF!</v>
      </c>
      <c r="ED28" s="858" t="e">
        <f t="shared" si="56"/>
        <v>#REF!</v>
      </c>
      <c r="EE28" s="858" t="e">
        <f t="shared" si="56"/>
        <v>#REF!</v>
      </c>
      <c r="EF28" s="858" t="e">
        <f t="shared" si="56"/>
        <v>#REF!</v>
      </c>
      <c r="EG28" s="858" t="e">
        <f t="shared" si="56"/>
        <v>#REF!</v>
      </c>
      <c r="EH28" s="858" t="e">
        <f t="shared" ref="EH28:EJ28" si="57">SUM(EH26:EH27)</f>
        <v>#REF!</v>
      </c>
      <c r="EI28" s="858" t="e">
        <f t="shared" si="56"/>
        <v>#REF!</v>
      </c>
      <c r="EJ28" s="858" t="e">
        <f t="shared" si="57"/>
        <v>#REF!</v>
      </c>
      <c r="EK28" s="858" t="e">
        <f t="shared" ref="EK28:EL28" si="58">SUM(EK26:EK27)</f>
        <v>#REF!</v>
      </c>
      <c r="EL28" s="858" t="e">
        <f t="shared" si="58"/>
        <v>#REF!</v>
      </c>
      <c r="EM28" s="858" t="e">
        <f t="shared" ref="EM28" si="59">SUM(EM26:EM27)</f>
        <v>#REF!</v>
      </c>
      <c r="EN28" s="858" t="e">
        <f>SUM(EN26:EN27)</f>
        <v>#REF!</v>
      </c>
      <c r="EO28" s="858" t="e">
        <f t="shared" ref="EO28:EP28" si="60">SUM(EO26:EO27)</f>
        <v>#REF!</v>
      </c>
      <c r="EP28" s="858" t="e">
        <f t="shared" si="60"/>
        <v>#REF!</v>
      </c>
      <c r="EQ28" s="858" t="e">
        <f t="shared" ref="EQ28:ER28" si="61">SUM(EQ26:EQ27)</f>
        <v>#REF!</v>
      </c>
      <c r="ER28" s="858" t="e">
        <f t="shared" si="61"/>
        <v>#REF!</v>
      </c>
      <c r="ES28" s="858" t="e">
        <f>SUM(ES26:ES27)</f>
        <v>#REF!</v>
      </c>
      <c r="ET28" s="858" t="e">
        <f t="shared" ref="ET28:EU28" si="62">SUM(ET26:ET27)</f>
        <v>#REF!</v>
      </c>
      <c r="EU28" s="858" t="e">
        <f t="shared" si="62"/>
        <v>#REF!</v>
      </c>
      <c r="EV28" s="858" t="e">
        <f t="shared" ref="EV28:EW28" si="63">SUM(EV26:EV27)</f>
        <v>#REF!</v>
      </c>
      <c r="EW28" s="858" t="e">
        <f t="shared" si="63"/>
        <v>#REF!</v>
      </c>
      <c r="EX28" s="858" t="e">
        <f>SUM(EX26:EX27)</f>
        <v>#REF!</v>
      </c>
      <c r="EY28" s="858" t="e">
        <f t="shared" ref="EY28:FB28" si="64">SUM(EY26:EY27)</f>
        <v>#REF!</v>
      </c>
      <c r="EZ28" s="858" t="e">
        <f t="shared" si="64"/>
        <v>#REF!</v>
      </c>
      <c r="FA28" s="858" t="e">
        <f t="shared" si="64"/>
        <v>#REF!</v>
      </c>
      <c r="FB28" s="858" t="e">
        <f t="shared" si="64"/>
        <v>#REF!</v>
      </c>
      <c r="FC28" s="858" t="e">
        <f>SUM(FC26:FC27)</f>
        <v>#REF!</v>
      </c>
      <c r="FD28" s="858" t="e">
        <f t="shared" si="56"/>
        <v>#REF!</v>
      </c>
      <c r="FE28" s="858" t="e">
        <f t="shared" si="56"/>
        <v>#REF!</v>
      </c>
      <c r="FF28" s="858" t="e">
        <f t="shared" si="56"/>
        <v>#REF!</v>
      </c>
      <c r="FG28" s="858" t="e">
        <f t="shared" si="56"/>
        <v>#REF!</v>
      </c>
      <c r="FH28" s="858" t="e">
        <f t="shared" si="56"/>
        <v>#REF!</v>
      </c>
      <c r="FI28" s="858" t="e">
        <f t="shared" si="56"/>
        <v>#REF!</v>
      </c>
      <c r="FJ28" s="189" t="e">
        <f t="shared" si="53"/>
        <v>#REF!</v>
      </c>
    </row>
    <row r="29" spans="1:166" hidden="1" x14ac:dyDescent="0.3">
      <c r="A29" s="46" t="s">
        <v>29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4"/>
      <c r="DZ29" s="47" t="str">
        <f t="shared" ref="DZ29:EW29" si="65">+IFERROR(DZ28/DU28-1,"")</f>
        <v/>
      </c>
      <c r="EA29" s="47" t="str">
        <f t="shared" si="65"/>
        <v/>
      </c>
      <c r="EB29" s="47" t="str">
        <f t="shared" si="65"/>
        <v/>
      </c>
      <c r="EC29" s="47" t="str">
        <f t="shared" si="65"/>
        <v/>
      </c>
      <c r="ED29" s="52" t="str">
        <f t="shared" si="65"/>
        <v/>
      </c>
      <c r="EE29" s="47" t="str">
        <f t="shared" si="65"/>
        <v/>
      </c>
      <c r="EF29" s="47" t="str">
        <f t="shared" si="65"/>
        <v/>
      </c>
      <c r="EG29" s="47" t="str">
        <f t="shared" si="65"/>
        <v/>
      </c>
      <c r="EH29" s="47" t="str">
        <f t="shared" si="65"/>
        <v/>
      </c>
      <c r="EI29" s="52" t="str">
        <f t="shared" si="65"/>
        <v/>
      </c>
      <c r="EJ29" s="47" t="str">
        <f t="shared" si="65"/>
        <v/>
      </c>
      <c r="EK29" s="47" t="str">
        <f t="shared" si="65"/>
        <v/>
      </c>
      <c r="EL29" s="47" t="str">
        <f t="shared" si="65"/>
        <v/>
      </c>
      <c r="EM29" s="47" t="str">
        <f t="shared" si="65"/>
        <v/>
      </c>
      <c r="EN29" s="52" t="str">
        <f t="shared" si="65"/>
        <v/>
      </c>
      <c r="EO29" s="47" t="str">
        <f t="shared" si="65"/>
        <v/>
      </c>
      <c r="EP29" s="47" t="str">
        <f t="shared" si="65"/>
        <v/>
      </c>
      <c r="EQ29" s="47" t="str">
        <f t="shared" si="65"/>
        <v/>
      </c>
      <c r="ER29" s="47" t="str">
        <f t="shared" si="65"/>
        <v/>
      </c>
      <c r="ES29" s="52" t="str">
        <f t="shared" ref="ES29" si="66">+IFERROR(ES28/EN28-1,"")</f>
        <v/>
      </c>
      <c r="ET29" s="47" t="str">
        <f t="shared" si="65"/>
        <v/>
      </c>
      <c r="EU29" s="47" t="str">
        <f t="shared" si="65"/>
        <v/>
      </c>
      <c r="EV29" s="47" t="str">
        <f t="shared" si="65"/>
        <v/>
      </c>
      <c r="EW29" s="47" t="str">
        <f t="shared" si="65"/>
        <v/>
      </c>
      <c r="EX29" s="52" t="str">
        <f t="shared" ref="EX29" si="67">+IFERROR(EX28/ES28-1,"")</f>
        <v/>
      </c>
      <c r="EY29" s="47" t="str">
        <f t="shared" ref="EY29" si="68">+IFERROR(EY28/ET28-1,"")</f>
        <v/>
      </c>
      <c r="EZ29" s="47" t="str">
        <f t="shared" ref="EZ29" si="69">+IFERROR(EZ28/EU28-1,"")</f>
        <v/>
      </c>
      <c r="FA29" s="47" t="str">
        <f t="shared" ref="FA29" si="70">+IFERROR(FA28/EV28-1,"")</f>
        <v/>
      </c>
      <c r="FB29" s="47" t="str">
        <f t="shared" ref="FB29:FC29" si="71">+IFERROR(FB28/EW28-1,"")</f>
        <v/>
      </c>
      <c r="FC29" s="52" t="str">
        <f t="shared" si="71"/>
        <v/>
      </c>
      <c r="FD29" s="47" t="str">
        <f t="shared" ref="FD29:FI29" si="72">+IFERROR(FD28/FC28-1,"")</f>
        <v/>
      </c>
      <c r="FE29" s="47" t="str">
        <f t="shared" si="72"/>
        <v/>
      </c>
      <c r="FF29" s="47" t="str">
        <f t="shared" si="72"/>
        <v/>
      </c>
      <c r="FG29" s="47" t="str">
        <f t="shared" si="72"/>
        <v/>
      </c>
      <c r="FH29" s="47" t="str">
        <f t="shared" si="72"/>
        <v/>
      </c>
      <c r="FI29" s="47" t="str">
        <f t="shared" si="72"/>
        <v/>
      </c>
    </row>
    <row r="30" spans="1:166" hidden="1" x14ac:dyDescent="0.3">
      <c r="A30" s="4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4"/>
      <c r="DZ30" s="1"/>
      <c r="EA30" s="1"/>
      <c r="EB30" s="1"/>
      <c r="EC30" s="1"/>
      <c r="ED30" s="4"/>
      <c r="EE30" s="59"/>
      <c r="EF30" s="59"/>
      <c r="EG30" s="59"/>
      <c r="EH30" s="59"/>
      <c r="EI30" s="4"/>
      <c r="EJ30" s="59"/>
      <c r="EK30" s="59"/>
      <c r="EL30" s="59"/>
      <c r="EM30" s="59"/>
      <c r="EN30" s="58"/>
      <c r="EO30" s="59"/>
      <c r="EP30" s="59"/>
      <c r="EQ30" s="59"/>
      <c r="ER30" s="59"/>
      <c r="ES30" s="58"/>
      <c r="ET30" s="59"/>
      <c r="EU30" s="59"/>
      <c r="EV30" s="59"/>
      <c r="EW30" s="59"/>
      <c r="EX30" s="58"/>
      <c r="EY30" s="59"/>
      <c r="EZ30" s="59"/>
      <c r="FA30" s="59"/>
      <c r="FB30" s="59"/>
      <c r="FC30" s="58"/>
      <c r="FD30" s="59"/>
      <c r="FE30" s="59"/>
      <c r="FF30" s="59"/>
      <c r="FG30" s="59"/>
      <c r="FH30" s="59"/>
      <c r="FI30" s="59"/>
    </row>
    <row r="31" spans="1:166" hidden="1" x14ac:dyDescent="0.3">
      <c r="A31" s="1077" t="s">
        <v>37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4"/>
      <c r="DZ31" s="1"/>
      <c r="EA31" s="1"/>
      <c r="EB31" s="1"/>
      <c r="EC31" s="1"/>
      <c r="ED31" s="4"/>
      <c r="EE31" s="1"/>
      <c r="EF31" s="1"/>
      <c r="EG31" s="1"/>
      <c r="EH31" s="1"/>
      <c r="EI31" s="4"/>
      <c r="EJ31" s="1"/>
      <c r="EK31" s="1"/>
      <c r="EL31" s="1"/>
      <c r="EM31" s="1"/>
      <c r="EN31" s="4"/>
      <c r="EO31" s="1"/>
      <c r="EP31" s="1"/>
      <c r="EQ31" s="1"/>
      <c r="ER31" s="1"/>
      <c r="ES31" s="4"/>
      <c r="ET31" s="1"/>
      <c r="EU31" s="1"/>
      <c r="EV31" s="1"/>
      <c r="EW31" s="1"/>
      <c r="EX31" s="4"/>
      <c r="EY31" s="1"/>
      <c r="EZ31" s="1"/>
      <c r="FA31" s="1"/>
      <c r="FB31" s="1"/>
      <c r="FC31" s="4"/>
      <c r="FD31" s="1"/>
      <c r="FE31" s="1"/>
      <c r="FF31" s="1"/>
      <c r="FG31" s="1"/>
      <c r="FH31" s="1"/>
      <c r="FI31" s="1"/>
    </row>
    <row r="32" spans="1:166" hidden="1" x14ac:dyDescent="0.3">
      <c r="A32" s="27" t="s">
        <v>31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44" t="e">
        <f>+Drivers!#REF!</f>
        <v>#REF!</v>
      </c>
      <c r="DV32" s="44" t="e">
        <f>+Drivers!#REF!</f>
        <v>#REF!</v>
      </c>
      <c r="DW32" s="44" t="e">
        <f>+Drivers!#REF!</f>
        <v>#REF!</v>
      </c>
      <c r="DX32" s="44" t="e">
        <f>+Drivers!#REF!</f>
        <v>#REF!</v>
      </c>
      <c r="DY32" s="45" t="e">
        <f>+SUM(DU32:DX32)</f>
        <v>#REF!</v>
      </c>
      <c r="DZ32" s="44" t="e">
        <f>+Drivers!#REF!</f>
        <v>#REF!</v>
      </c>
      <c r="EA32" s="44" t="e">
        <f>+Drivers!#REF!</f>
        <v>#REF!</v>
      </c>
      <c r="EB32" s="44" t="e">
        <f>+Drivers!#REF!</f>
        <v>#REF!</v>
      </c>
      <c r="EC32" s="44" t="e">
        <f>+Drivers!#REF!</f>
        <v>#REF!</v>
      </c>
      <c r="ED32" s="45" t="e">
        <f t="shared" ref="ED32:ED40" si="73">+SUM(DZ32:EC32)</f>
        <v>#REF!</v>
      </c>
      <c r="EE32" s="44" t="e">
        <f>+Drivers!#REF!</f>
        <v>#REF!</v>
      </c>
      <c r="EF32" s="44" t="e">
        <f>+Drivers!#REF!</f>
        <v>#REF!</v>
      </c>
      <c r="EG32" s="44" t="e">
        <f>+Drivers!#REF!</f>
        <v>#REF!</v>
      </c>
      <c r="EH32" s="44" t="e">
        <f>+Drivers!#REF!</f>
        <v>#REF!</v>
      </c>
      <c r="EI32" s="45" t="e">
        <f t="shared" ref="EI32:EI40" si="74">+SUM(EE32:EH32)</f>
        <v>#REF!</v>
      </c>
      <c r="EJ32" s="44" t="e">
        <f>+Drivers!#REF!</f>
        <v>#REF!</v>
      </c>
      <c r="EK32" s="44" t="e">
        <f>+Drivers!#REF!</f>
        <v>#REF!</v>
      </c>
      <c r="EL32" s="44" t="e">
        <f>+Drivers!#REF!</f>
        <v>#REF!</v>
      </c>
      <c r="EM32" s="44" t="e">
        <f>+Drivers!#REF!</f>
        <v>#REF!</v>
      </c>
      <c r="EN32" s="45" t="e">
        <f t="shared" ref="EN32:EN40" si="75">+SUM(EJ32:EM32)</f>
        <v>#REF!</v>
      </c>
      <c r="EO32" s="44" t="e">
        <f>+Drivers!#REF!</f>
        <v>#REF!</v>
      </c>
      <c r="EP32" s="44" t="e">
        <f>+Drivers!#REF!</f>
        <v>#REF!</v>
      </c>
      <c r="EQ32" s="44" t="e">
        <f>+Drivers!#REF!</f>
        <v>#REF!</v>
      </c>
      <c r="ER32" s="44" t="e">
        <f>+Drivers!#REF!</f>
        <v>#REF!</v>
      </c>
      <c r="ES32" s="45" t="e">
        <f t="shared" ref="ES32:ES40" si="76">+SUM(EO32:ER32)</f>
        <v>#REF!</v>
      </c>
      <c r="ET32" s="44" t="e">
        <f>+Drivers!#REF!</f>
        <v>#REF!</v>
      </c>
      <c r="EU32" s="44" t="e">
        <f>+Drivers!#REF!</f>
        <v>#REF!</v>
      </c>
      <c r="EV32" s="44" t="e">
        <f>+Drivers!#REF!</f>
        <v>#REF!</v>
      </c>
      <c r="EW32" s="44" t="e">
        <f>+Drivers!#REF!</f>
        <v>#REF!</v>
      </c>
      <c r="EX32" s="45" t="e">
        <f t="shared" ref="EX32:EX40" si="77">+SUM(ET32:EW32)</f>
        <v>#REF!</v>
      </c>
      <c r="EY32" s="44" t="e">
        <f>+Drivers!#REF!</f>
        <v>#REF!</v>
      </c>
      <c r="EZ32" s="44" t="e">
        <f>+Drivers!#REF!</f>
        <v>#REF!</v>
      </c>
      <c r="FA32" s="44" t="e">
        <f>+Drivers!#REF!</f>
        <v>#REF!</v>
      </c>
      <c r="FB32" s="44" t="e">
        <f>+Drivers!#REF!</f>
        <v>#REF!</v>
      </c>
      <c r="FC32" s="45" t="e">
        <f t="shared" ref="FC32:FC40" si="78">+SUM(EY32:FB32)</f>
        <v>#REF!</v>
      </c>
      <c r="FD32" s="44" t="e">
        <f>+Drivers!#REF!</f>
        <v>#REF!</v>
      </c>
      <c r="FE32" s="44" t="e">
        <f>+Drivers!#REF!</f>
        <v>#REF!</v>
      </c>
      <c r="FF32" s="44" t="e">
        <f>+Drivers!#REF!</f>
        <v>#REF!</v>
      </c>
      <c r="FG32" s="44" t="e">
        <f>+Drivers!#REF!</f>
        <v>#REF!</v>
      </c>
      <c r="FH32" s="44" t="e">
        <f>+Drivers!#REF!</f>
        <v>#REF!</v>
      </c>
      <c r="FI32" s="44" t="e">
        <f>+Drivers!#REF!</f>
        <v>#REF!</v>
      </c>
      <c r="FJ32" s="189" t="e">
        <f t="shared" ref="FJ32:FJ37" si="79">+(FF32/ES32)^0.2-1</f>
        <v>#REF!</v>
      </c>
    </row>
    <row r="33" spans="1:166" hidden="1" x14ac:dyDescent="0.3">
      <c r="A33" s="27" t="s">
        <v>32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44" t="e">
        <f>+Drivers!#REF!</f>
        <v>#REF!</v>
      </c>
      <c r="DV33" s="44" t="e">
        <f>+Drivers!#REF!</f>
        <v>#REF!</v>
      </c>
      <c r="DW33" s="44" t="e">
        <f>+Drivers!#REF!</f>
        <v>#REF!</v>
      </c>
      <c r="DX33" s="44" t="e">
        <f>+Drivers!#REF!</f>
        <v>#REF!</v>
      </c>
      <c r="DY33" s="45" t="e">
        <f t="shared" ref="DY33:DY38" si="80">+SUM(DU33:DX33)</f>
        <v>#REF!</v>
      </c>
      <c r="DZ33" s="44" t="e">
        <f>+Drivers!#REF!</f>
        <v>#REF!</v>
      </c>
      <c r="EA33" s="44" t="e">
        <f>+Drivers!#REF!</f>
        <v>#REF!</v>
      </c>
      <c r="EB33" s="44" t="e">
        <f>+Drivers!#REF!</f>
        <v>#REF!</v>
      </c>
      <c r="EC33" s="44" t="e">
        <f>+Drivers!#REF!</f>
        <v>#REF!</v>
      </c>
      <c r="ED33" s="45" t="e">
        <f t="shared" si="73"/>
        <v>#REF!</v>
      </c>
      <c r="EE33" s="44" t="e">
        <f>+Drivers!#REF!</f>
        <v>#REF!</v>
      </c>
      <c r="EF33" s="44" t="e">
        <f>+Drivers!#REF!</f>
        <v>#REF!</v>
      </c>
      <c r="EG33" s="44" t="e">
        <f>+Drivers!#REF!</f>
        <v>#REF!</v>
      </c>
      <c r="EH33" s="44" t="e">
        <f>+Drivers!#REF!</f>
        <v>#REF!</v>
      </c>
      <c r="EI33" s="45" t="e">
        <f t="shared" si="74"/>
        <v>#REF!</v>
      </c>
      <c r="EJ33" s="44" t="e">
        <f>+Drivers!#REF!</f>
        <v>#REF!</v>
      </c>
      <c r="EK33" s="44" t="e">
        <f>+Drivers!#REF!</f>
        <v>#REF!</v>
      </c>
      <c r="EL33" s="44" t="e">
        <f>+Drivers!#REF!</f>
        <v>#REF!</v>
      </c>
      <c r="EM33" s="44" t="e">
        <f>+Drivers!#REF!</f>
        <v>#REF!</v>
      </c>
      <c r="EN33" s="45" t="e">
        <f t="shared" si="75"/>
        <v>#REF!</v>
      </c>
      <c r="EO33" s="44" t="e">
        <f>+Drivers!#REF!</f>
        <v>#REF!</v>
      </c>
      <c r="EP33" s="44" t="e">
        <f>+Drivers!#REF!</f>
        <v>#REF!</v>
      </c>
      <c r="EQ33" s="44" t="e">
        <f>+Drivers!#REF!</f>
        <v>#REF!</v>
      </c>
      <c r="ER33" s="44" t="e">
        <f>+Drivers!#REF!</f>
        <v>#REF!</v>
      </c>
      <c r="ES33" s="45" t="e">
        <f t="shared" si="76"/>
        <v>#REF!</v>
      </c>
      <c r="ET33" s="44" t="e">
        <f>+Drivers!#REF!</f>
        <v>#REF!</v>
      </c>
      <c r="EU33" s="44" t="e">
        <f>+Drivers!#REF!</f>
        <v>#REF!</v>
      </c>
      <c r="EV33" s="44" t="e">
        <f>+Drivers!#REF!</f>
        <v>#REF!</v>
      </c>
      <c r="EW33" s="44" t="e">
        <f>+Drivers!#REF!</f>
        <v>#REF!</v>
      </c>
      <c r="EX33" s="45" t="e">
        <f t="shared" si="77"/>
        <v>#REF!</v>
      </c>
      <c r="EY33" s="44" t="e">
        <f>+Drivers!#REF!</f>
        <v>#REF!</v>
      </c>
      <c r="EZ33" s="44" t="e">
        <f>+Drivers!#REF!</f>
        <v>#REF!</v>
      </c>
      <c r="FA33" s="44" t="e">
        <f>+Drivers!#REF!</f>
        <v>#REF!</v>
      </c>
      <c r="FB33" s="44" t="e">
        <f>+Drivers!#REF!</f>
        <v>#REF!</v>
      </c>
      <c r="FC33" s="45" t="e">
        <f t="shared" si="78"/>
        <v>#REF!</v>
      </c>
      <c r="FD33" s="44" t="e">
        <f>+Drivers!#REF!</f>
        <v>#REF!</v>
      </c>
      <c r="FE33" s="44" t="e">
        <f>+Drivers!#REF!</f>
        <v>#REF!</v>
      </c>
      <c r="FF33" s="44" t="e">
        <f>+Drivers!#REF!</f>
        <v>#REF!</v>
      </c>
      <c r="FG33" s="44" t="e">
        <f>+Drivers!#REF!</f>
        <v>#REF!</v>
      </c>
      <c r="FH33" s="44" t="e">
        <f>+Drivers!#REF!</f>
        <v>#REF!</v>
      </c>
      <c r="FI33" s="44" t="e">
        <f>+Drivers!#REF!</f>
        <v>#REF!</v>
      </c>
      <c r="FJ33" s="189" t="e">
        <f t="shared" si="79"/>
        <v>#REF!</v>
      </c>
    </row>
    <row r="34" spans="1:166" hidden="1" x14ac:dyDescent="0.3">
      <c r="A34" s="27" t="s">
        <v>33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44" t="e">
        <f>+Drivers!#REF!</f>
        <v>#REF!</v>
      </c>
      <c r="DV34" s="44" t="e">
        <f>+Drivers!#REF!</f>
        <v>#REF!</v>
      </c>
      <c r="DW34" s="44" t="e">
        <f>+Drivers!#REF!</f>
        <v>#REF!</v>
      </c>
      <c r="DX34" s="44" t="e">
        <f>+Drivers!#REF!</f>
        <v>#REF!</v>
      </c>
      <c r="DY34" s="45" t="e">
        <f t="shared" si="80"/>
        <v>#REF!</v>
      </c>
      <c r="DZ34" s="44" t="e">
        <f>+Drivers!#REF!</f>
        <v>#REF!</v>
      </c>
      <c r="EA34" s="44" t="e">
        <f>+Drivers!#REF!</f>
        <v>#REF!</v>
      </c>
      <c r="EB34" s="44" t="e">
        <f>+Drivers!#REF!</f>
        <v>#REF!</v>
      </c>
      <c r="EC34" s="44" t="e">
        <f>+Drivers!#REF!</f>
        <v>#REF!</v>
      </c>
      <c r="ED34" s="45" t="e">
        <f t="shared" si="73"/>
        <v>#REF!</v>
      </c>
      <c r="EE34" s="44" t="e">
        <f>+Drivers!#REF!</f>
        <v>#REF!</v>
      </c>
      <c r="EF34" s="44" t="e">
        <f>+Drivers!#REF!</f>
        <v>#REF!</v>
      </c>
      <c r="EG34" s="44" t="e">
        <f>+Drivers!#REF!</f>
        <v>#REF!</v>
      </c>
      <c r="EH34" s="44" t="e">
        <f>+Drivers!#REF!</f>
        <v>#REF!</v>
      </c>
      <c r="EI34" s="45" t="e">
        <f t="shared" si="74"/>
        <v>#REF!</v>
      </c>
      <c r="EJ34" s="44" t="e">
        <f>+Drivers!#REF!</f>
        <v>#REF!</v>
      </c>
      <c r="EK34" s="44" t="e">
        <f>+Drivers!#REF!</f>
        <v>#REF!</v>
      </c>
      <c r="EL34" s="44" t="e">
        <f>+Drivers!#REF!</f>
        <v>#REF!</v>
      </c>
      <c r="EM34" s="44" t="e">
        <f>+Drivers!#REF!</f>
        <v>#REF!</v>
      </c>
      <c r="EN34" s="45" t="e">
        <f t="shared" si="75"/>
        <v>#REF!</v>
      </c>
      <c r="EO34" s="44" t="e">
        <f>+Drivers!#REF!</f>
        <v>#REF!</v>
      </c>
      <c r="EP34" s="44" t="e">
        <f>+Drivers!#REF!</f>
        <v>#REF!</v>
      </c>
      <c r="EQ34" s="44" t="e">
        <f>+Drivers!#REF!</f>
        <v>#REF!</v>
      </c>
      <c r="ER34" s="44" t="e">
        <f>+Drivers!#REF!</f>
        <v>#REF!</v>
      </c>
      <c r="ES34" s="45" t="e">
        <f t="shared" si="76"/>
        <v>#REF!</v>
      </c>
      <c r="ET34" s="44" t="e">
        <f>+Drivers!#REF!</f>
        <v>#REF!</v>
      </c>
      <c r="EU34" s="44" t="e">
        <f>+Drivers!#REF!</f>
        <v>#REF!</v>
      </c>
      <c r="EV34" s="44" t="e">
        <f>+Drivers!#REF!</f>
        <v>#REF!</v>
      </c>
      <c r="EW34" s="44" t="e">
        <f>+Drivers!#REF!</f>
        <v>#REF!</v>
      </c>
      <c r="EX34" s="45" t="e">
        <f t="shared" si="77"/>
        <v>#REF!</v>
      </c>
      <c r="EY34" s="44" t="e">
        <f>+Drivers!#REF!</f>
        <v>#REF!</v>
      </c>
      <c r="EZ34" s="44" t="e">
        <f>+Drivers!#REF!</f>
        <v>#REF!</v>
      </c>
      <c r="FA34" s="44" t="e">
        <f>+Drivers!#REF!</f>
        <v>#REF!</v>
      </c>
      <c r="FB34" s="44" t="e">
        <f>+Drivers!#REF!</f>
        <v>#REF!</v>
      </c>
      <c r="FC34" s="45" t="e">
        <f t="shared" si="78"/>
        <v>#REF!</v>
      </c>
      <c r="FD34" s="44" t="e">
        <f>+Drivers!#REF!</f>
        <v>#REF!</v>
      </c>
      <c r="FE34" s="44" t="e">
        <f>+Drivers!#REF!</f>
        <v>#REF!</v>
      </c>
      <c r="FF34" s="44" t="e">
        <f>+Drivers!#REF!</f>
        <v>#REF!</v>
      </c>
      <c r="FG34" s="44" t="e">
        <f>+Drivers!#REF!</f>
        <v>#REF!</v>
      </c>
      <c r="FH34" s="44" t="e">
        <f>+Drivers!#REF!</f>
        <v>#REF!</v>
      </c>
      <c r="FI34" s="44" t="e">
        <f>+Drivers!#REF!</f>
        <v>#REF!</v>
      </c>
      <c r="FJ34" s="189" t="e">
        <f t="shared" si="79"/>
        <v>#REF!</v>
      </c>
    </row>
    <row r="35" spans="1:166" hidden="1" x14ac:dyDescent="0.3">
      <c r="A35" s="27" t="s">
        <v>34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44" t="e">
        <f>+Drivers!#REF!</f>
        <v>#REF!</v>
      </c>
      <c r="DV35" s="44" t="e">
        <f>+Drivers!#REF!</f>
        <v>#REF!</v>
      </c>
      <c r="DW35" s="44" t="e">
        <f>+Drivers!#REF!</f>
        <v>#REF!</v>
      </c>
      <c r="DX35" s="44" t="e">
        <f>+Drivers!#REF!</f>
        <v>#REF!</v>
      </c>
      <c r="DY35" s="45" t="e">
        <f t="shared" si="80"/>
        <v>#REF!</v>
      </c>
      <c r="DZ35" s="44" t="e">
        <f>+Drivers!#REF!</f>
        <v>#REF!</v>
      </c>
      <c r="EA35" s="44" t="e">
        <f>+Drivers!#REF!</f>
        <v>#REF!</v>
      </c>
      <c r="EB35" s="44" t="e">
        <f>+Drivers!#REF!</f>
        <v>#REF!</v>
      </c>
      <c r="EC35" s="44" t="e">
        <f>+Drivers!#REF!</f>
        <v>#REF!</v>
      </c>
      <c r="ED35" s="45" t="e">
        <f t="shared" si="73"/>
        <v>#REF!</v>
      </c>
      <c r="EE35" s="44" t="e">
        <f>+Drivers!#REF!</f>
        <v>#REF!</v>
      </c>
      <c r="EF35" s="44" t="e">
        <f>+Drivers!#REF!</f>
        <v>#REF!</v>
      </c>
      <c r="EG35" s="44" t="e">
        <f>+Drivers!#REF!</f>
        <v>#REF!</v>
      </c>
      <c r="EH35" s="44" t="e">
        <f>+Drivers!#REF!</f>
        <v>#REF!</v>
      </c>
      <c r="EI35" s="45" t="e">
        <f t="shared" si="74"/>
        <v>#REF!</v>
      </c>
      <c r="EJ35" s="44" t="e">
        <f>+Drivers!#REF!</f>
        <v>#REF!</v>
      </c>
      <c r="EK35" s="44" t="e">
        <f>+Drivers!#REF!</f>
        <v>#REF!</v>
      </c>
      <c r="EL35" s="44" t="e">
        <f>+Drivers!#REF!</f>
        <v>#REF!</v>
      </c>
      <c r="EM35" s="44" t="e">
        <f>+Drivers!#REF!</f>
        <v>#REF!</v>
      </c>
      <c r="EN35" s="45" t="e">
        <f t="shared" si="75"/>
        <v>#REF!</v>
      </c>
      <c r="EO35" s="44" t="e">
        <f>+Drivers!#REF!</f>
        <v>#REF!</v>
      </c>
      <c r="EP35" s="44" t="e">
        <f>+Drivers!#REF!</f>
        <v>#REF!</v>
      </c>
      <c r="EQ35" s="44" t="e">
        <f>+Drivers!#REF!</f>
        <v>#REF!</v>
      </c>
      <c r="ER35" s="44" t="e">
        <f>+Drivers!#REF!</f>
        <v>#REF!</v>
      </c>
      <c r="ES35" s="45" t="e">
        <f t="shared" si="76"/>
        <v>#REF!</v>
      </c>
      <c r="ET35" s="44" t="e">
        <f>+Drivers!#REF!</f>
        <v>#REF!</v>
      </c>
      <c r="EU35" s="44" t="e">
        <f>+Drivers!#REF!</f>
        <v>#REF!</v>
      </c>
      <c r="EV35" s="44" t="e">
        <f>+Drivers!#REF!</f>
        <v>#REF!</v>
      </c>
      <c r="EW35" s="44" t="e">
        <f>+Drivers!#REF!</f>
        <v>#REF!</v>
      </c>
      <c r="EX35" s="45" t="e">
        <f t="shared" si="77"/>
        <v>#REF!</v>
      </c>
      <c r="EY35" s="44" t="e">
        <f>+Drivers!#REF!</f>
        <v>#REF!</v>
      </c>
      <c r="EZ35" s="44" t="e">
        <f>+Drivers!#REF!</f>
        <v>#REF!</v>
      </c>
      <c r="FA35" s="44" t="e">
        <f>+Drivers!#REF!</f>
        <v>#REF!</v>
      </c>
      <c r="FB35" s="44" t="e">
        <f>+Drivers!#REF!</f>
        <v>#REF!</v>
      </c>
      <c r="FC35" s="45" t="e">
        <f t="shared" si="78"/>
        <v>#REF!</v>
      </c>
      <c r="FD35" s="44" t="e">
        <f>+Drivers!#REF!</f>
        <v>#REF!</v>
      </c>
      <c r="FE35" s="44" t="e">
        <f>+Drivers!#REF!</f>
        <v>#REF!</v>
      </c>
      <c r="FF35" s="44" t="e">
        <f>+Drivers!#REF!</f>
        <v>#REF!</v>
      </c>
      <c r="FG35" s="44" t="e">
        <f>+Drivers!#REF!</f>
        <v>#REF!</v>
      </c>
      <c r="FH35" s="44" t="e">
        <f>+Drivers!#REF!</f>
        <v>#REF!</v>
      </c>
      <c r="FI35" s="44" t="e">
        <f>+Drivers!#REF!</f>
        <v>#REF!</v>
      </c>
      <c r="FJ35" s="189" t="e">
        <f t="shared" si="79"/>
        <v>#REF!</v>
      </c>
    </row>
    <row r="36" spans="1:166" hidden="1" x14ac:dyDescent="0.3">
      <c r="A36" s="29" t="s">
        <v>38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858" t="e">
        <f>+SUM(DU32:DU35)</f>
        <v>#REF!</v>
      </c>
      <c r="DV36" s="858" t="e">
        <f>+SUM(DV32:DV35)</f>
        <v>#REF!</v>
      </c>
      <c r="DW36" s="858" t="e">
        <f>+SUM(DW32:DW35)</f>
        <v>#REF!</v>
      </c>
      <c r="DX36" s="858" t="e">
        <f>+SUM(DX32:DX35)</f>
        <v>#REF!</v>
      </c>
      <c r="DY36" s="858" t="e">
        <f t="shared" si="80"/>
        <v>#REF!</v>
      </c>
      <c r="DZ36" s="858" t="e">
        <f>+SUM(DZ32:DZ35)</f>
        <v>#REF!</v>
      </c>
      <c r="EA36" s="858" t="e">
        <f>+SUM(EA32:EA35)</f>
        <v>#REF!</v>
      </c>
      <c r="EB36" s="858" t="e">
        <f>+SUM(EB32:EB35)</f>
        <v>#REF!</v>
      </c>
      <c r="EC36" s="858" t="e">
        <f>+SUM(EC32:EC35)</f>
        <v>#REF!</v>
      </c>
      <c r="ED36" s="858" t="e">
        <f t="shared" si="73"/>
        <v>#REF!</v>
      </c>
      <c r="EE36" s="858" t="e">
        <f>+SUM(EE32:EE35)</f>
        <v>#REF!</v>
      </c>
      <c r="EF36" s="858" t="e">
        <f>+SUM(EF32:EF35)</f>
        <v>#REF!</v>
      </c>
      <c r="EG36" s="858" t="e">
        <f>+SUM(EG32:EG35)</f>
        <v>#REF!</v>
      </c>
      <c r="EH36" s="858" t="e">
        <f>+SUM(EH32:EH35)</f>
        <v>#REF!</v>
      </c>
      <c r="EI36" s="858" t="e">
        <f t="shared" si="74"/>
        <v>#REF!</v>
      </c>
      <c r="EJ36" s="858" t="e">
        <f>+SUM(EJ32:EJ35)</f>
        <v>#REF!</v>
      </c>
      <c r="EK36" s="858" t="e">
        <f>+SUM(EK32:EK35)</f>
        <v>#REF!</v>
      </c>
      <c r="EL36" s="858" t="e">
        <f>+SUM(EL32:EL35)</f>
        <v>#REF!</v>
      </c>
      <c r="EM36" s="858" t="e">
        <f>+SUM(EM32:EM35)</f>
        <v>#REF!</v>
      </c>
      <c r="EN36" s="858" t="e">
        <f t="shared" si="75"/>
        <v>#REF!</v>
      </c>
      <c r="EO36" s="858" t="e">
        <f>+SUM(EO32:EO35)</f>
        <v>#REF!</v>
      </c>
      <c r="EP36" s="858" t="e">
        <f>+SUM(EP32:EP35)</f>
        <v>#REF!</v>
      </c>
      <c r="EQ36" s="858" t="e">
        <f>+SUM(EQ32:EQ35)</f>
        <v>#REF!</v>
      </c>
      <c r="ER36" s="858" t="e">
        <f>+SUM(ER32:ER35)</f>
        <v>#REF!</v>
      </c>
      <c r="ES36" s="858" t="e">
        <f t="shared" si="76"/>
        <v>#REF!</v>
      </c>
      <c r="ET36" s="858" t="e">
        <f>+SUM(ET32:ET35)</f>
        <v>#REF!</v>
      </c>
      <c r="EU36" s="858" t="e">
        <f>+SUM(EU32:EU35)</f>
        <v>#REF!</v>
      </c>
      <c r="EV36" s="858" t="e">
        <f>+SUM(EV32:EV35)</f>
        <v>#REF!</v>
      </c>
      <c r="EW36" s="858" t="e">
        <f>+SUM(EW32:EW35)</f>
        <v>#REF!</v>
      </c>
      <c r="EX36" s="858" t="e">
        <f t="shared" si="77"/>
        <v>#REF!</v>
      </c>
      <c r="EY36" s="858" t="e">
        <f t="shared" ref="EY36:FB36" si="81">+SUM(EY32:EY35)</f>
        <v>#REF!</v>
      </c>
      <c r="EZ36" s="858" t="e">
        <f t="shared" si="81"/>
        <v>#REF!</v>
      </c>
      <c r="FA36" s="858" t="e">
        <f t="shared" si="81"/>
        <v>#REF!</v>
      </c>
      <c r="FB36" s="858" t="e">
        <f t="shared" si="81"/>
        <v>#REF!</v>
      </c>
      <c r="FC36" s="858" t="e">
        <f t="shared" si="78"/>
        <v>#REF!</v>
      </c>
      <c r="FD36" s="858" t="e">
        <f t="shared" ref="FD36:FI36" si="82">+SUM(FD32:FD35)</f>
        <v>#REF!</v>
      </c>
      <c r="FE36" s="858" t="e">
        <f t="shared" si="82"/>
        <v>#REF!</v>
      </c>
      <c r="FF36" s="858" t="e">
        <f t="shared" si="82"/>
        <v>#REF!</v>
      </c>
      <c r="FG36" s="858" t="e">
        <f t="shared" si="82"/>
        <v>#REF!</v>
      </c>
      <c r="FH36" s="858" t="e">
        <f t="shared" si="82"/>
        <v>#REF!</v>
      </c>
      <c r="FI36" s="858" t="e">
        <f t="shared" si="82"/>
        <v>#REF!</v>
      </c>
      <c r="FJ36" s="189" t="e">
        <f t="shared" si="79"/>
        <v>#REF!</v>
      </c>
    </row>
    <row r="37" spans="1:166" hidden="1" x14ac:dyDescent="0.3">
      <c r="A37" s="30" t="s">
        <v>39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44" t="e">
        <f>+Drivers!#REF!</f>
        <v>#REF!</v>
      </c>
      <c r="DV37" s="44" t="e">
        <f>+Drivers!#REF!</f>
        <v>#REF!</v>
      </c>
      <c r="DW37" s="44" t="e">
        <f>+Drivers!#REF!</f>
        <v>#REF!</v>
      </c>
      <c r="DX37" s="44" t="e">
        <f>+Drivers!#REF!</f>
        <v>#REF!</v>
      </c>
      <c r="DY37" s="45" t="e">
        <f t="shared" si="80"/>
        <v>#REF!</v>
      </c>
      <c r="DZ37" s="44" t="e">
        <f>+Drivers!#REF!</f>
        <v>#REF!</v>
      </c>
      <c r="EA37" s="44" t="e">
        <f>+Drivers!#REF!</f>
        <v>#REF!</v>
      </c>
      <c r="EB37" s="44" t="e">
        <f>+Drivers!#REF!</f>
        <v>#REF!</v>
      </c>
      <c r="EC37" s="44" t="e">
        <f>+Drivers!#REF!</f>
        <v>#REF!</v>
      </c>
      <c r="ED37" s="45" t="e">
        <f t="shared" si="73"/>
        <v>#REF!</v>
      </c>
      <c r="EE37" s="44" t="e">
        <f>+Drivers!#REF!</f>
        <v>#REF!</v>
      </c>
      <c r="EF37" s="44" t="e">
        <f>+Drivers!#REF!</f>
        <v>#REF!</v>
      </c>
      <c r="EG37" s="44" t="e">
        <f>+Drivers!#REF!</f>
        <v>#REF!</v>
      </c>
      <c r="EH37" s="44" t="e">
        <f>+Drivers!#REF!</f>
        <v>#REF!</v>
      </c>
      <c r="EI37" s="45" t="e">
        <f t="shared" si="74"/>
        <v>#REF!</v>
      </c>
      <c r="EJ37" s="44" t="e">
        <f>+Drivers!#REF!</f>
        <v>#REF!</v>
      </c>
      <c r="EK37" s="44" t="e">
        <f>+Drivers!#REF!</f>
        <v>#REF!</v>
      </c>
      <c r="EL37" s="44" t="e">
        <f>+Drivers!#REF!</f>
        <v>#REF!</v>
      </c>
      <c r="EM37" s="44" t="e">
        <f>+Drivers!#REF!</f>
        <v>#REF!</v>
      </c>
      <c r="EN37" s="45" t="e">
        <f t="shared" si="75"/>
        <v>#REF!</v>
      </c>
      <c r="EO37" s="44" t="e">
        <f>+Drivers!#REF!</f>
        <v>#REF!</v>
      </c>
      <c r="EP37" s="44" t="e">
        <f>+Drivers!#REF!</f>
        <v>#REF!</v>
      </c>
      <c r="EQ37" s="44" t="e">
        <f>+Drivers!#REF!</f>
        <v>#REF!</v>
      </c>
      <c r="ER37" s="44" t="e">
        <f>+Drivers!#REF!</f>
        <v>#REF!</v>
      </c>
      <c r="ES37" s="45" t="e">
        <f t="shared" si="76"/>
        <v>#REF!</v>
      </c>
      <c r="ET37" s="44" t="e">
        <f>+Drivers!#REF!</f>
        <v>#REF!</v>
      </c>
      <c r="EU37" s="44" t="e">
        <f>+Drivers!#REF!</f>
        <v>#REF!</v>
      </c>
      <c r="EV37" s="44" t="e">
        <f>+Drivers!#REF!</f>
        <v>#REF!</v>
      </c>
      <c r="EW37" s="44" t="e">
        <f>+Drivers!#REF!</f>
        <v>#REF!</v>
      </c>
      <c r="EX37" s="45" t="e">
        <f t="shared" si="77"/>
        <v>#REF!</v>
      </c>
      <c r="EY37" s="44" t="e">
        <f>+Drivers!#REF!</f>
        <v>#REF!</v>
      </c>
      <c r="EZ37" s="44" t="e">
        <f>+Drivers!#REF!</f>
        <v>#REF!</v>
      </c>
      <c r="FA37" s="44" t="e">
        <f>+Drivers!#REF!</f>
        <v>#REF!</v>
      </c>
      <c r="FB37" s="44" t="e">
        <f>+Drivers!#REF!</f>
        <v>#REF!</v>
      </c>
      <c r="FC37" s="45" t="e">
        <f t="shared" si="78"/>
        <v>#REF!</v>
      </c>
      <c r="FD37" s="44" t="e">
        <f>+Drivers!#REF!</f>
        <v>#REF!</v>
      </c>
      <c r="FE37" s="44" t="e">
        <f>+Drivers!#REF!</f>
        <v>#REF!</v>
      </c>
      <c r="FF37" s="44" t="e">
        <f>+Drivers!#REF!</f>
        <v>#REF!</v>
      </c>
      <c r="FG37" s="44" t="e">
        <f>+Drivers!#REF!</f>
        <v>#REF!</v>
      </c>
      <c r="FH37" s="44" t="e">
        <f>+Drivers!#REF!</f>
        <v>#REF!</v>
      </c>
      <c r="FI37" s="44" t="e">
        <f>+Drivers!#REF!</f>
        <v>#REF!</v>
      </c>
      <c r="FJ37" s="189" t="e">
        <f t="shared" si="79"/>
        <v>#REF!</v>
      </c>
    </row>
    <row r="38" spans="1:166" hidden="1" x14ac:dyDescent="0.3">
      <c r="A38" s="29" t="s">
        <v>35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858" t="e">
        <f>+DU36+DU37</f>
        <v>#REF!</v>
      </c>
      <c r="DV38" s="858" t="e">
        <f t="shared" ref="DV38:DX40" si="83">+DV36+DV37</f>
        <v>#REF!</v>
      </c>
      <c r="DW38" s="858" t="e">
        <f t="shared" si="83"/>
        <v>#REF!</v>
      </c>
      <c r="DX38" s="858" t="e">
        <f t="shared" si="83"/>
        <v>#REF!</v>
      </c>
      <c r="DY38" s="858" t="e">
        <f t="shared" si="80"/>
        <v>#REF!</v>
      </c>
      <c r="DZ38" s="858" t="e">
        <f>+DZ36+DZ37</f>
        <v>#REF!</v>
      </c>
      <c r="EA38" s="858" t="e">
        <f t="shared" ref="EA38:EB40" si="84">+EA36+EA37</f>
        <v>#REF!</v>
      </c>
      <c r="EB38" s="858" t="e">
        <f t="shared" si="84"/>
        <v>#REF!</v>
      </c>
      <c r="EC38" s="858" t="e">
        <f>+EC36+EC37</f>
        <v>#REF!</v>
      </c>
      <c r="ED38" s="858" t="e">
        <f t="shared" si="73"/>
        <v>#REF!</v>
      </c>
      <c r="EE38" s="858" t="e">
        <f>+EE36+EE37</f>
        <v>#REF!</v>
      </c>
      <c r="EF38" s="858" t="e">
        <f>+EF36+EF37</f>
        <v>#REF!</v>
      </c>
      <c r="EG38" s="858" t="e">
        <f>+EG36+EG37</f>
        <v>#REF!</v>
      </c>
      <c r="EH38" s="858" t="e">
        <f>+EH36+EH37</f>
        <v>#REF!</v>
      </c>
      <c r="EI38" s="858" t="e">
        <f t="shared" si="74"/>
        <v>#REF!</v>
      </c>
      <c r="EJ38" s="858" t="e">
        <f>+EJ36+EJ37</f>
        <v>#REF!</v>
      </c>
      <c r="EK38" s="858" t="e">
        <f>+EK36+EK37</f>
        <v>#REF!</v>
      </c>
      <c r="EL38" s="858" t="e">
        <f>+EL36+EL37</f>
        <v>#REF!</v>
      </c>
      <c r="EM38" s="858" t="e">
        <f>+EM36+EM37</f>
        <v>#REF!</v>
      </c>
      <c r="EN38" s="858" t="e">
        <f t="shared" si="75"/>
        <v>#REF!</v>
      </c>
      <c r="EO38" s="858" t="e">
        <f>+EO36+EO37</f>
        <v>#REF!</v>
      </c>
      <c r="EP38" s="858" t="e">
        <f>+EP36+EP37</f>
        <v>#REF!</v>
      </c>
      <c r="EQ38" s="858" t="e">
        <f>+EQ36+EQ37</f>
        <v>#REF!</v>
      </c>
      <c r="ER38" s="858" t="e">
        <f>+ER36+ER37</f>
        <v>#REF!</v>
      </c>
      <c r="ES38" s="858" t="e">
        <f t="shared" si="76"/>
        <v>#REF!</v>
      </c>
      <c r="ET38" s="858" t="e">
        <f>+ET36+ET37</f>
        <v>#REF!</v>
      </c>
      <c r="EU38" s="858" t="e">
        <f>+EU36+EU37</f>
        <v>#REF!</v>
      </c>
      <c r="EV38" s="858" t="e">
        <f>+EV36+EV37</f>
        <v>#REF!</v>
      </c>
      <c r="EW38" s="858" t="e">
        <f>+EW36+EW37</f>
        <v>#REF!</v>
      </c>
      <c r="EX38" s="858" t="e">
        <f t="shared" si="77"/>
        <v>#REF!</v>
      </c>
      <c r="EY38" s="858" t="e">
        <f t="shared" ref="EY38:FB38" si="85">+EY36+EY37</f>
        <v>#REF!</v>
      </c>
      <c r="EZ38" s="858" t="e">
        <f t="shared" si="85"/>
        <v>#REF!</v>
      </c>
      <c r="FA38" s="858" t="e">
        <f t="shared" si="85"/>
        <v>#REF!</v>
      </c>
      <c r="FB38" s="858" t="e">
        <f t="shared" si="85"/>
        <v>#REF!</v>
      </c>
      <c r="FC38" s="858" t="e">
        <f t="shared" si="78"/>
        <v>#REF!</v>
      </c>
      <c r="FD38" s="858" t="e">
        <f t="shared" ref="FD38:FG38" si="86">+FD36+FD37</f>
        <v>#REF!</v>
      </c>
      <c r="FE38" s="858" t="e">
        <f t="shared" si="86"/>
        <v>#REF!</v>
      </c>
      <c r="FF38" s="858" t="e">
        <f t="shared" si="86"/>
        <v>#REF!</v>
      </c>
      <c r="FG38" s="858" t="e">
        <f t="shared" si="86"/>
        <v>#REF!</v>
      </c>
      <c r="FH38" s="858" t="e">
        <f t="shared" ref="FH38:FI40" si="87">+FH36+FH37</f>
        <v>#REF!</v>
      </c>
      <c r="FI38" s="858" t="e">
        <f t="shared" si="87"/>
        <v>#REF!</v>
      </c>
    </row>
    <row r="39" spans="1:166" hidden="1" x14ac:dyDescent="0.3">
      <c r="A39" s="30" t="s">
        <v>36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44">
        <f>+Inputs!DU515</f>
        <v>86</v>
      </c>
      <c r="DV39" s="44">
        <f>+Inputs!DV515</f>
        <v>89</v>
      </c>
      <c r="DW39" s="44">
        <f>+Inputs!DW515</f>
        <v>85</v>
      </c>
      <c r="DX39" s="44">
        <f>+Inputs!DX515</f>
        <v>85</v>
      </c>
      <c r="DY39" s="45">
        <f>+SUM(DU39:DX39)</f>
        <v>345</v>
      </c>
      <c r="DZ39" s="44">
        <f>+Inputs!DZ515</f>
        <v>84</v>
      </c>
      <c r="EA39" s="44">
        <f>+Inputs!EA515</f>
        <v>94</v>
      </c>
      <c r="EB39" s="44">
        <f>+Inputs!EB515</f>
        <v>99</v>
      </c>
      <c r="EC39" s="44" t="e">
        <f>+Drivers!#REF!</f>
        <v>#REF!</v>
      </c>
      <c r="ED39" s="45" t="e">
        <f t="shared" si="73"/>
        <v>#REF!</v>
      </c>
      <c r="EE39" s="44" t="e">
        <f>+Drivers!#REF!</f>
        <v>#REF!</v>
      </c>
      <c r="EF39" s="44" t="e">
        <f>+Drivers!#REF!</f>
        <v>#REF!</v>
      </c>
      <c r="EG39" s="44" t="e">
        <f>+Drivers!#REF!</f>
        <v>#REF!</v>
      </c>
      <c r="EH39" s="44" t="e">
        <f>+Drivers!#REF!</f>
        <v>#REF!</v>
      </c>
      <c r="EI39" s="45" t="e">
        <f t="shared" si="74"/>
        <v>#REF!</v>
      </c>
      <c r="EJ39" s="44" t="e">
        <f>+Drivers!#REF!</f>
        <v>#REF!</v>
      </c>
      <c r="EK39" s="44" t="e">
        <f>+Drivers!#REF!</f>
        <v>#REF!</v>
      </c>
      <c r="EL39" s="44" t="e">
        <f>+Drivers!#REF!</f>
        <v>#REF!</v>
      </c>
      <c r="EM39" s="44" t="e">
        <f>+Drivers!#REF!</f>
        <v>#REF!</v>
      </c>
      <c r="EN39" s="45" t="e">
        <f t="shared" si="75"/>
        <v>#REF!</v>
      </c>
      <c r="EO39" s="44" t="e">
        <f>+Drivers!#REF!</f>
        <v>#REF!</v>
      </c>
      <c r="EP39" s="44" t="e">
        <f>+Drivers!#REF!</f>
        <v>#REF!</v>
      </c>
      <c r="EQ39" s="44" t="e">
        <f>+Drivers!#REF!</f>
        <v>#REF!</v>
      </c>
      <c r="ER39" s="44" t="e">
        <f>+Drivers!#REF!</f>
        <v>#REF!</v>
      </c>
      <c r="ES39" s="45" t="e">
        <f t="shared" si="76"/>
        <v>#REF!</v>
      </c>
      <c r="ET39" s="44" t="e">
        <f>+Drivers!#REF!</f>
        <v>#REF!</v>
      </c>
      <c r="EU39" s="44" t="e">
        <f>+Drivers!#REF!</f>
        <v>#REF!</v>
      </c>
      <c r="EV39" s="44" t="e">
        <f>+Drivers!#REF!</f>
        <v>#REF!</v>
      </c>
      <c r="EW39" s="44" t="e">
        <f>+Drivers!#REF!</f>
        <v>#REF!</v>
      </c>
      <c r="EX39" s="45" t="e">
        <f t="shared" si="77"/>
        <v>#REF!</v>
      </c>
      <c r="EY39" s="44" t="e">
        <f>+Drivers!#REF!</f>
        <v>#REF!</v>
      </c>
      <c r="EZ39" s="44" t="e">
        <f>+Drivers!#REF!</f>
        <v>#REF!</v>
      </c>
      <c r="FA39" s="44" t="e">
        <f>+Drivers!#REF!</f>
        <v>#REF!</v>
      </c>
      <c r="FB39" s="44" t="e">
        <f>+Drivers!#REF!</f>
        <v>#REF!</v>
      </c>
      <c r="FC39" s="45" t="e">
        <f t="shared" si="78"/>
        <v>#REF!</v>
      </c>
      <c r="FD39" s="44" t="e">
        <f>+Drivers!#REF!</f>
        <v>#REF!</v>
      </c>
      <c r="FE39" s="44" t="e">
        <f>+Drivers!#REF!</f>
        <v>#REF!</v>
      </c>
      <c r="FF39" s="44" t="e">
        <f>+Drivers!#REF!</f>
        <v>#REF!</v>
      </c>
      <c r="FG39" s="44" t="e">
        <f>+Drivers!#REF!</f>
        <v>#REF!</v>
      </c>
      <c r="FH39" s="44" t="e">
        <f>+Drivers!#REF!</f>
        <v>#REF!</v>
      </c>
      <c r="FI39" s="44" t="e">
        <f>+Drivers!#REF!</f>
        <v>#REF!</v>
      </c>
      <c r="FJ39" s="189" t="e">
        <f>+(FF39/ES39)^0.2-1</f>
        <v>#REF!</v>
      </c>
    </row>
    <row r="40" spans="1:166" hidden="1" x14ac:dyDescent="0.3">
      <c r="A40" s="4" t="s">
        <v>19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858" t="e">
        <f>+DU38+DU39</f>
        <v>#REF!</v>
      </c>
      <c r="DV40" s="858" t="e">
        <f t="shared" si="83"/>
        <v>#REF!</v>
      </c>
      <c r="DW40" s="858" t="e">
        <f t="shared" si="83"/>
        <v>#REF!</v>
      </c>
      <c r="DX40" s="858" t="e">
        <f t="shared" si="83"/>
        <v>#REF!</v>
      </c>
      <c r="DY40" s="858" t="e">
        <f>+SUM(DU40:DX40)</f>
        <v>#REF!</v>
      </c>
      <c r="DZ40" s="858" t="e">
        <f>+DZ38+DZ39</f>
        <v>#REF!</v>
      </c>
      <c r="EA40" s="858" t="e">
        <f t="shared" si="84"/>
        <v>#REF!</v>
      </c>
      <c r="EB40" s="858" t="e">
        <f t="shared" si="84"/>
        <v>#REF!</v>
      </c>
      <c r="EC40" s="858" t="e">
        <f>+EC38+EC39</f>
        <v>#REF!</v>
      </c>
      <c r="ED40" s="858" t="e">
        <f t="shared" si="73"/>
        <v>#REF!</v>
      </c>
      <c r="EE40" s="858" t="e">
        <f>+EE38+EE39</f>
        <v>#REF!</v>
      </c>
      <c r="EF40" s="858" t="e">
        <f>+EF38+EF39</f>
        <v>#REF!</v>
      </c>
      <c r="EG40" s="858" t="e">
        <f>+EG38+EG39</f>
        <v>#REF!</v>
      </c>
      <c r="EH40" s="858" t="e">
        <f>+EH38+EH39</f>
        <v>#REF!</v>
      </c>
      <c r="EI40" s="858" t="e">
        <f t="shared" si="74"/>
        <v>#REF!</v>
      </c>
      <c r="EJ40" s="858" t="e">
        <f>+EJ38+EJ39</f>
        <v>#REF!</v>
      </c>
      <c r="EK40" s="858" t="e">
        <f>+EK38+EK39</f>
        <v>#REF!</v>
      </c>
      <c r="EL40" s="858" t="e">
        <f>+EL38+EL39</f>
        <v>#REF!</v>
      </c>
      <c r="EM40" s="858" t="e">
        <f>+EM38+EM39</f>
        <v>#REF!</v>
      </c>
      <c r="EN40" s="858" t="e">
        <f t="shared" si="75"/>
        <v>#REF!</v>
      </c>
      <c r="EO40" s="858" t="e">
        <f>+EO38+EO39</f>
        <v>#REF!</v>
      </c>
      <c r="EP40" s="858" t="e">
        <f>+EP38+EP39</f>
        <v>#REF!</v>
      </c>
      <c r="EQ40" s="858" t="e">
        <f>+EQ38+EQ39</f>
        <v>#REF!</v>
      </c>
      <c r="ER40" s="858" t="e">
        <f>+ER38+ER39</f>
        <v>#REF!</v>
      </c>
      <c r="ES40" s="858" t="e">
        <f t="shared" si="76"/>
        <v>#REF!</v>
      </c>
      <c r="ET40" s="858" t="e">
        <f>+ET38+ET39</f>
        <v>#REF!</v>
      </c>
      <c r="EU40" s="858" t="e">
        <f>+EU38+EU39</f>
        <v>#REF!</v>
      </c>
      <c r="EV40" s="858" t="e">
        <f>+EV38+EV39</f>
        <v>#REF!</v>
      </c>
      <c r="EW40" s="858" t="e">
        <f>+EW38+EW39</f>
        <v>#REF!</v>
      </c>
      <c r="EX40" s="858" t="e">
        <f t="shared" si="77"/>
        <v>#REF!</v>
      </c>
      <c r="EY40" s="858" t="e">
        <f t="shared" ref="EY40:FB40" si="88">+EY38+EY39</f>
        <v>#REF!</v>
      </c>
      <c r="EZ40" s="858" t="e">
        <f t="shared" si="88"/>
        <v>#REF!</v>
      </c>
      <c r="FA40" s="858" t="e">
        <f t="shared" si="88"/>
        <v>#REF!</v>
      </c>
      <c r="FB40" s="858" t="e">
        <f t="shared" si="88"/>
        <v>#REF!</v>
      </c>
      <c r="FC40" s="858" t="e">
        <f t="shared" si="78"/>
        <v>#REF!</v>
      </c>
      <c r="FD40" s="858" t="e">
        <f t="shared" ref="FD40:FG40" si="89">+FD38+FD39</f>
        <v>#REF!</v>
      </c>
      <c r="FE40" s="858" t="e">
        <f t="shared" si="89"/>
        <v>#REF!</v>
      </c>
      <c r="FF40" s="858" t="e">
        <f t="shared" si="89"/>
        <v>#REF!</v>
      </c>
      <c r="FG40" s="858" t="e">
        <f t="shared" si="89"/>
        <v>#REF!</v>
      </c>
      <c r="FH40" s="858" t="e">
        <f t="shared" si="87"/>
        <v>#REF!</v>
      </c>
      <c r="FI40" s="858" t="e">
        <f t="shared" si="87"/>
        <v>#REF!</v>
      </c>
      <c r="FJ40" s="189" t="e">
        <f>+(FF40/ES40)^0.2-1</f>
        <v>#REF!</v>
      </c>
    </row>
    <row r="41" spans="1:166" hidden="1" x14ac:dyDescent="0.3">
      <c r="A41" s="46" t="s">
        <v>29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4"/>
      <c r="DZ41" s="47" t="str">
        <f t="shared" ref="DZ41:EE41" si="90">+IFERROR(DZ40/DU40-1,"")</f>
        <v/>
      </c>
      <c r="EA41" s="47" t="str">
        <f t="shared" si="90"/>
        <v/>
      </c>
      <c r="EB41" s="47" t="str">
        <f t="shared" si="90"/>
        <v/>
      </c>
      <c r="EC41" s="47" t="str">
        <f t="shared" si="90"/>
        <v/>
      </c>
      <c r="ED41" s="52" t="str">
        <f t="shared" si="90"/>
        <v/>
      </c>
      <c r="EE41" s="47" t="str">
        <f t="shared" si="90"/>
        <v/>
      </c>
      <c r="EF41" s="47" t="str">
        <f t="shared" ref="EF41:EW41" si="91">+IFERROR(EF40/EA40-1,"")</f>
        <v/>
      </c>
      <c r="EG41" s="47" t="str">
        <f t="shared" si="91"/>
        <v/>
      </c>
      <c r="EH41" s="47" t="str">
        <f t="shared" si="91"/>
        <v/>
      </c>
      <c r="EI41" s="52" t="str">
        <f t="shared" si="91"/>
        <v/>
      </c>
      <c r="EJ41" s="47" t="str">
        <f t="shared" si="91"/>
        <v/>
      </c>
      <c r="EK41" s="47" t="str">
        <f t="shared" si="91"/>
        <v/>
      </c>
      <c r="EL41" s="47" t="str">
        <f t="shared" si="91"/>
        <v/>
      </c>
      <c r="EM41" s="47" t="str">
        <f t="shared" si="91"/>
        <v/>
      </c>
      <c r="EN41" s="52" t="str">
        <f t="shared" si="91"/>
        <v/>
      </c>
      <c r="EO41" s="47" t="str">
        <f t="shared" si="91"/>
        <v/>
      </c>
      <c r="EP41" s="47" t="str">
        <f t="shared" si="91"/>
        <v/>
      </c>
      <c r="EQ41" s="47" t="str">
        <f t="shared" si="91"/>
        <v/>
      </c>
      <c r="ER41" s="47" t="str">
        <f t="shared" si="91"/>
        <v/>
      </c>
      <c r="ES41" s="52" t="str">
        <f t="shared" ref="ES41" si="92">+IFERROR(ES40/EN40-1,"")</f>
        <v/>
      </c>
      <c r="ET41" s="47" t="str">
        <f t="shared" si="91"/>
        <v/>
      </c>
      <c r="EU41" s="47" t="str">
        <f t="shared" si="91"/>
        <v/>
      </c>
      <c r="EV41" s="47" t="str">
        <f t="shared" si="91"/>
        <v/>
      </c>
      <c r="EW41" s="47" t="str">
        <f t="shared" si="91"/>
        <v/>
      </c>
      <c r="EX41" s="52" t="str">
        <f t="shared" ref="EX41" si="93">+IFERROR(EX40/ES40-1,"")</f>
        <v/>
      </c>
      <c r="EY41" s="47" t="str">
        <f t="shared" ref="EY41" si="94">+IFERROR(EY40/ET40-1,"")</f>
        <v/>
      </c>
      <c r="EZ41" s="47" t="str">
        <f t="shared" ref="EZ41" si="95">+IFERROR(EZ40/EU40-1,"")</f>
        <v/>
      </c>
      <c r="FA41" s="47" t="str">
        <f t="shared" ref="FA41" si="96">+IFERROR(FA40/EV40-1,"")</f>
        <v/>
      </c>
      <c r="FB41" s="47" t="str">
        <f t="shared" ref="FB41:FC41" si="97">+IFERROR(FB40/EW40-1,"")</f>
        <v/>
      </c>
      <c r="FC41" s="52" t="str">
        <f t="shared" si="97"/>
        <v/>
      </c>
      <c r="FD41" s="47" t="str">
        <f t="shared" ref="FD41:FI41" si="98">+IFERROR(FD40/FC40-1,"")</f>
        <v/>
      </c>
      <c r="FE41" s="47" t="str">
        <f t="shared" si="98"/>
        <v/>
      </c>
      <c r="FF41" s="47" t="str">
        <f t="shared" si="98"/>
        <v/>
      </c>
      <c r="FG41" s="47" t="str">
        <f t="shared" si="98"/>
        <v/>
      </c>
      <c r="FH41" s="47" t="str">
        <f t="shared" si="98"/>
        <v/>
      </c>
      <c r="FI41" s="47" t="str">
        <f t="shared" si="98"/>
        <v/>
      </c>
    </row>
    <row r="42" spans="1:166" hidden="1" x14ac:dyDescent="0.3">
      <c r="A42" s="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4"/>
      <c r="DZ42" s="1"/>
      <c r="EA42" s="1"/>
      <c r="EB42" s="1"/>
      <c r="EC42" s="1"/>
      <c r="ED42" s="4"/>
      <c r="EE42" s="1"/>
      <c r="EF42" s="1"/>
      <c r="EG42" s="1"/>
      <c r="EH42" s="1"/>
      <c r="EI42" s="4"/>
      <c r="EJ42" s="1"/>
      <c r="EK42" s="1"/>
      <c r="EL42" s="1"/>
      <c r="EM42" s="1"/>
      <c r="EN42" s="4"/>
      <c r="EO42" s="1"/>
      <c r="EP42" s="1"/>
      <c r="EQ42" s="1"/>
      <c r="ER42" s="1"/>
      <c r="ES42" s="4"/>
      <c r="ET42" s="1"/>
      <c r="EU42" s="1"/>
      <c r="EV42" s="1"/>
      <c r="EW42" s="1"/>
      <c r="EX42" s="4"/>
      <c r="EY42" s="1"/>
      <c r="EZ42" s="1"/>
      <c r="FA42" s="1"/>
      <c r="FB42" s="1"/>
      <c r="FC42" s="4"/>
      <c r="FD42" s="1"/>
      <c r="FE42" s="1"/>
      <c r="FF42" s="1"/>
      <c r="FG42" s="1"/>
      <c r="FH42" s="1"/>
      <c r="FI42" s="1"/>
    </row>
    <row r="43" spans="1:166" x14ac:dyDescent="0.3">
      <c r="A43" s="30" t="s">
        <v>40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4"/>
      <c r="DZ43" s="44">
        <f>+Drivers!DZ67</f>
        <v>170</v>
      </c>
      <c r="EA43" s="44">
        <f>+Drivers!EA67</f>
        <v>155</v>
      </c>
      <c r="EB43" s="44">
        <f>+Drivers!EB67</f>
        <v>136</v>
      </c>
      <c r="EC43" s="44">
        <f>+Drivers!EC67</f>
        <v>116</v>
      </c>
      <c r="ED43" s="45">
        <f>+SUM(DZ43:EC43)</f>
        <v>577</v>
      </c>
      <c r="EE43" s="44">
        <f>+Drivers!EE67</f>
        <v>111</v>
      </c>
      <c r="EF43" s="44">
        <f>+Drivers!EF67</f>
        <v>108</v>
      </c>
      <c r="EG43" s="44">
        <f>+Drivers!EG67</f>
        <v>95</v>
      </c>
      <c r="EH43" s="44">
        <f>+Drivers!EH67</f>
        <v>93</v>
      </c>
      <c r="EI43" s="45">
        <f>+SUM(EE43:EH43)</f>
        <v>407</v>
      </c>
      <c r="EJ43" s="44">
        <f>+Drivers!EJ67</f>
        <v>92</v>
      </c>
      <c r="EK43" s="44">
        <f>+Drivers!EK67</f>
        <v>87</v>
      </c>
      <c r="EL43" s="44">
        <f>+Drivers!EL67</f>
        <v>81</v>
      </c>
      <c r="EM43" s="44">
        <f>+Drivers!EM67</f>
        <v>76</v>
      </c>
      <c r="EN43" s="45">
        <f>+SUM(EJ43:EM43)</f>
        <v>336</v>
      </c>
      <c r="EO43" s="44">
        <f>+Drivers!EO67</f>
        <v>76</v>
      </c>
      <c r="EP43" s="44">
        <f>+Drivers!EP67</f>
        <v>71</v>
      </c>
      <c r="EQ43" s="44">
        <f>+Drivers!EQ67</f>
        <v>65</v>
      </c>
      <c r="ER43" s="44">
        <f>+Drivers!ER67</f>
        <v>61</v>
      </c>
      <c r="ES43" s="45">
        <f>+SUM(EO43:ER43)</f>
        <v>273</v>
      </c>
      <c r="ET43" s="44">
        <f>+Drivers!ET67</f>
        <v>61</v>
      </c>
      <c r="EU43" s="44">
        <f>+Drivers!EU67</f>
        <v>57</v>
      </c>
      <c r="EV43" s="44">
        <f>+Drivers!EV67</f>
        <v>53</v>
      </c>
      <c r="EW43" s="44">
        <f>+Drivers!EW67</f>
        <v>47</v>
      </c>
      <c r="EX43" s="45">
        <f>+SUM(ET43:EW43)</f>
        <v>218</v>
      </c>
      <c r="EY43" s="44">
        <f>+Drivers!EY67</f>
        <v>49.687399261702026</v>
      </c>
      <c r="EZ43" s="44">
        <f>+Drivers!EZ67</f>
        <v>46.686441301633643</v>
      </c>
      <c r="FA43" s="44">
        <f>+Drivers!FA67</f>
        <v>43.254997888725207</v>
      </c>
      <c r="FB43" s="44">
        <f>+Drivers!FB67</f>
        <v>38.400289902459981</v>
      </c>
      <c r="FC43" s="45">
        <f>+SUM(EY43:FB43)</f>
        <v>178.02912835452085</v>
      </c>
      <c r="FD43" s="44">
        <f>+Drivers!FD67</f>
        <v>142.61633023532823</v>
      </c>
      <c r="FE43" s="44">
        <f>+Drivers!FE67</f>
        <v>112.59424568469657</v>
      </c>
      <c r="FF43" s="44">
        <f>+Drivers!FF67</f>
        <v>89.338150118245863</v>
      </c>
      <c r="FG43" s="44">
        <f>+Drivers!FG67</f>
        <v>71.07400611300136</v>
      </c>
      <c r="FH43" s="44">
        <f>+Drivers!FH67</f>
        <v>56.613182578264407</v>
      </c>
      <c r="FI43" s="44">
        <f>+Drivers!FI67</f>
        <v>45.111788397872537</v>
      </c>
      <c r="FJ43" s="189">
        <f>+(FF43/ES43)^0.2-1</f>
        <v>-0.20021204053279673</v>
      </c>
    </row>
    <row r="44" spans="1:166" x14ac:dyDescent="0.3">
      <c r="A44" s="30" t="s">
        <v>41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44">
        <f>+Inputs!DU544+Inputs!DU543</f>
        <v>759.73127035830612</v>
      </c>
      <c r="DV44" s="44">
        <f>+Inputs!DV544+Inputs!DV543</f>
        <v>730.16202531645581</v>
      </c>
      <c r="DW44" s="44">
        <f>+Inputs!DW544+Inputs!DW543</f>
        <v>739.33277451802178</v>
      </c>
      <c r="DX44" s="44">
        <f>+Inputs!DX544+Inputs!DX543</f>
        <v>698.41695205479459</v>
      </c>
      <c r="DY44" s="45">
        <f t="shared" ref="DY44:DY48" si="99">+SUM(DU44:DX44)</f>
        <v>2927.6430222475783</v>
      </c>
      <c r="DZ44" s="44">
        <f>+Inputs!DZ544+Inputs!DZ543-DZ43</f>
        <v>529.53043478260861</v>
      </c>
      <c r="EA44" s="44">
        <f>+Inputs!EA544+Inputs!EA543-EA43</f>
        <v>518.46585594013095</v>
      </c>
      <c r="EB44" s="44">
        <f>+Inputs!EB544+Inputs!EB543-EB43</f>
        <v>521</v>
      </c>
      <c r="EC44" s="44">
        <f>+Drivers!EC68</f>
        <v>570</v>
      </c>
      <c r="ED44" s="45">
        <f>+SUM(DZ44:EC44)</f>
        <v>2138.9962907227396</v>
      </c>
      <c r="EE44" s="44">
        <f>+Drivers!EE68</f>
        <v>567</v>
      </c>
      <c r="EF44" s="44">
        <f>+Drivers!EF68</f>
        <v>537</v>
      </c>
      <c r="EG44" s="44">
        <f>+Drivers!EG68</f>
        <v>540</v>
      </c>
      <c r="EH44" s="44">
        <f>+Drivers!EH68</f>
        <v>505</v>
      </c>
      <c r="EI44" s="45">
        <f>+SUM(EE44:EH44)</f>
        <v>2149</v>
      </c>
      <c r="EJ44" s="44">
        <f>+Drivers!EJ68</f>
        <v>460</v>
      </c>
      <c r="EK44" s="44">
        <f>+Drivers!EK68</f>
        <v>451</v>
      </c>
      <c r="EL44" s="44">
        <f>+Drivers!EL68</f>
        <v>459</v>
      </c>
      <c r="EM44" s="44">
        <f>+Drivers!EM68</f>
        <v>442</v>
      </c>
      <c r="EN44" s="45">
        <f>+SUM(EJ44:EM44)</f>
        <v>1812</v>
      </c>
      <c r="EO44" s="44">
        <f>+Drivers!EO68</f>
        <v>467</v>
      </c>
      <c r="EP44" s="44">
        <f>+Drivers!EP68</f>
        <v>460</v>
      </c>
      <c r="EQ44" s="44">
        <f>+Drivers!EQ68</f>
        <v>482</v>
      </c>
      <c r="ER44" s="44">
        <f>+Drivers!ER68</f>
        <v>453</v>
      </c>
      <c r="ES44" s="45">
        <f>+SUM(EO44:ER44)</f>
        <v>1862</v>
      </c>
      <c r="ET44" s="44">
        <f>+Drivers!ET68</f>
        <v>453</v>
      </c>
      <c r="EU44" s="44">
        <f>+Drivers!EU68</f>
        <v>453</v>
      </c>
      <c r="EV44" s="44">
        <f>+Drivers!EV68</f>
        <v>477</v>
      </c>
      <c r="EW44" s="44">
        <f>+Drivers!EW68</f>
        <v>461</v>
      </c>
      <c r="EX44" s="45">
        <f>+SUM(ET44:EW44)</f>
        <v>1844</v>
      </c>
      <c r="EY44" s="44">
        <f>+Drivers!EY68</f>
        <v>451.88812767857144</v>
      </c>
      <c r="EZ44" s="44">
        <f>+Drivers!EZ68</f>
        <v>452.78652375000001</v>
      </c>
      <c r="FA44" s="44">
        <f>+Drivers!FA68</f>
        <v>477.60161625000001</v>
      </c>
      <c r="FB44" s="44">
        <f>+Drivers!FB68</f>
        <v>460.77887665048536</v>
      </c>
      <c r="FC44" s="45">
        <f>+SUM(EY44:FB44)</f>
        <v>1843.0551443290569</v>
      </c>
      <c r="FD44" s="44">
        <f>+Drivers!FD68</f>
        <v>1836.7371602313126</v>
      </c>
      <c r="FE44" s="44">
        <f>+Drivers!FE68</f>
        <v>1831.0983771494023</v>
      </c>
      <c r="FF44" s="44">
        <f>+Drivers!FF68</f>
        <v>1825.4769051315534</v>
      </c>
      <c r="FG44" s="44">
        <f>+Drivers!FG68</f>
        <v>1819.8726910327989</v>
      </c>
      <c r="FH44" s="44">
        <f>+Drivers!FH68</f>
        <v>1814.2856818713281</v>
      </c>
      <c r="FI44" s="44">
        <f>+Drivers!FI68</f>
        <v>1808.7158248279827</v>
      </c>
      <c r="FJ44" s="189">
        <f>+(FF44/ES44)^0.2-1</f>
        <v>-3.9541433215189992E-3</v>
      </c>
    </row>
    <row r="45" spans="1:166" x14ac:dyDescent="0.3">
      <c r="A45" s="30" t="s">
        <v>42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44">
        <f>+Inputs!DU545</f>
        <v>415.26872964169382</v>
      </c>
      <c r="DV45" s="44">
        <f>+Inputs!DV545</f>
        <v>403.8379746835443</v>
      </c>
      <c r="DW45" s="44">
        <f>+Inputs!DW545</f>
        <v>404.66722548197816</v>
      </c>
      <c r="DX45" s="44">
        <f>+Inputs!DX545</f>
        <v>420.58304794520546</v>
      </c>
      <c r="DY45" s="45">
        <f t="shared" si="99"/>
        <v>1644.3569777524217</v>
      </c>
      <c r="DZ45" s="44">
        <f>+Inputs!DZ545</f>
        <v>402.46956521739128</v>
      </c>
      <c r="EA45" s="44">
        <f>+Inputs!EA545</f>
        <v>377.53414405986899</v>
      </c>
      <c r="EB45" s="44">
        <f>+Inputs!EB545</f>
        <v>379</v>
      </c>
      <c r="EC45" s="44">
        <f>+Drivers!EC69</f>
        <v>316</v>
      </c>
      <c r="ED45" s="45">
        <f>+SUM(DZ45:EC45)</f>
        <v>1475.0037092772602</v>
      </c>
      <c r="EE45" s="44">
        <f>+Drivers!EE69</f>
        <v>328</v>
      </c>
      <c r="EF45" s="44">
        <f>+Drivers!EF69</f>
        <v>338</v>
      </c>
      <c r="EG45" s="44">
        <f>+Drivers!EG69</f>
        <v>354</v>
      </c>
      <c r="EH45" s="44">
        <f>+Drivers!EH69</f>
        <v>360</v>
      </c>
      <c r="EI45" s="45">
        <f>+SUM(EE45:EH45)</f>
        <v>1380</v>
      </c>
      <c r="EJ45" s="44">
        <f>+Drivers!EJ69</f>
        <v>386</v>
      </c>
      <c r="EK45" s="44">
        <f>+Drivers!EK69</f>
        <v>386</v>
      </c>
      <c r="EL45" s="44">
        <f>+Drivers!EL69</f>
        <v>396</v>
      </c>
      <c r="EM45" s="44">
        <f>+Drivers!EM69</f>
        <v>391</v>
      </c>
      <c r="EN45" s="45">
        <f>+SUM(EJ45:EM45)</f>
        <v>1559</v>
      </c>
      <c r="EO45" s="44">
        <f>+Drivers!EO69</f>
        <v>378</v>
      </c>
      <c r="EP45" s="44">
        <f>+Drivers!EP69</f>
        <v>385</v>
      </c>
      <c r="EQ45" s="44">
        <f>+Drivers!EQ69</f>
        <v>363</v>
      </c>
      <c r="ER45" s="44">
        <f>+Drivers!ER69</f>
        <v>363</v>
      </c>
      <c r="ES45" s="45">
        <f>+SUM(EO45:ER45)</f>
        <v>1489</v>
      </c>
      <c r="ET45" s="44">
        <f>+Drivers!ET69</f>
        <v>401</v>
      </c>
      <c r="EU45" s="44">
        <f>+Drivers!EU69</f>
        <v>410</v>
      </c>
      <c r="EV45" s="44">
        <f>+Drivers!EV69</f>
        <v>410</v>
      </c>
      <c r="EW45" s="44">
        <f>+Drivers!EW69</f>
        <v>403</v>
      </c>
      <c r="EX45" s="45">
        <f>+SUM(ET45:EW45)</f>
        <v>1624</v>
      </c>
      <c r="EY45" s="44">
        <f>+Drivers!EY69</f>
        <v>412.04109292513681</v>
      </c>
      <c r="EZ45" s="44">
        <f>+Drivers!EZ69</f>
        <v>404.39248296266101</v>
      </c>
      <c r="FA45" s="44">
        <f>+Drivers!FA69</f>
        <v>392.2179708564546</v>
      </c>
      <c r="FB45" s="44">
        <f>+Drivers!FB69</f>
        <v>374.63296278540656</v>
      </c>
      <c r="FC45" s="45">
        <f>+SUM(EY45:FB45)</f>
        <v>1583.2845095296589</v>
      </c>
      <c r="FD45" s="44">
        <f>+Drivers!FD69</f>
        <v>1569.8309232924096</v>
      </c>
      <c r="FE45" s="44">
        <f>+Drivers!FE69</f>
        <v>1566.6960066917784</v>
      </c>
      <c r="FF45" s="44">
        <f>+Drivers!FF69</f>
        <v>1614.3770961334185</v>
      </c>
      <c r="FG45" s="44">
        <f>+Drivers!FG69</f>
        <v>1652.5131731418599</v>
      </c>
      <c r="FH45" s="44">
        <f>+Drivers!FH69</f>
        <v>1682.2720997018541</v>
      </c>
      <c r="FI45" s="44">
        <f>+Drivers!FI69</f>
        <v>1704.0766494812508</v>
      </c>
      <c r="FJ45" s="189">
        <f>+(FF45/ES45)^0.2-1</f>
        <v>1.6300309722603989E-2</v>
      </c>
    </row>
    <row r="46" spans="1:166" x14ac:dyDescent="0.3">
      <c r="A46" s="48" t="s">
        <v>43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783">
        <f>+SUM(DU44:DU45)</f>
        <v>1175</v>
      </c>
      <c r="DV46" s="1783">
        <f>+SUM(DV44:DV45)</f>
        <v>1134</v>
      </c>
      <c r="DW46" s="1783">
        <f>+SUM(DW44:DW45)</f>
        <v>1144</v>
      </c>
      <c r="DX46" s="1783">
        <f>+SUM(DX44:DX45)</f>
        <v>1119</v>
      </c>
      <c r="DY46" s="858">
        <f t="shared" si="99"/>
        <v>4572</v>
      </c>
      <c r="DZ46" s="1783">
        <f>SUM(DZ43:DZ45)</f>
        <v>1102</v>
      </c>
      <c r="EA46" s="1783">
        <f>SUM(EA43:EA45)</f>
        <v>1051</v>
      </c>
      <c r="EB46" s="1783">
        <f>SUM(EB43:EB45)</f>
        <v>1036</v>
      </c>
      <c r="EC46" s="1783">
        <f>SUM(EC43:EC45)</f>
        <v>1002</v>
      </c>
      <c r="ED46" s="858">
        <f>+SUM(DZ46:EC46)</f>
        <v>4191</v>
      </c>
      <c r="EE46" s="1783">
        <f>SUM(EE43:EE45)</f>
        <v>1006</v>
      </c>
      <c r="EF46" s="1783">
        <f>SUM(EF43:EF45)</f>
        <v>983</v>
      </c>
      <c r="EG46" s="1783">
        <f>SUM(EG43:EG45)</f>
        <v>989</v>
      </c>
      <c r="EH46" s="1783">
        <f>SUM(EH43:EH45)</f>
        <v>958</v>
      </c>
      <c r="EI46" s="858">
        <f>+SUM(EE46:EH46)</f>
        <v>3936</v>
      </c>
      <c r="EJ46" s="1783">
        <f>SUM(EJ43:EJ45)</f>
        <v>938</v>
      </c>
      <c r="EK46" s="1783">
        <f>SUM(EK43:EK45)</f>
        <v>924</v>
      </c>
      <c r="EL46" s="1783">
        <f>SUM(EL43:EL45)</f>
        <v>936</v>
      </c>
      <c r="EM46" s="1783">
        <f>SUM(EM43:EM45)</f>
        <v>909</v>
      </c>
      <c r="EN46" s="858">
        <f>+SUM(EJ46:EM46)</f>
        <v>3707</v>
      </c>
      <c r="EO46" s="1783">
        <f>SUM(EO43:EO45)</f>
        <v>921</v>
      </c>
      <c r="EP46" s="1783">
        <f>SUM(EP43:EP45)</f>
        <v>916</v>
      </c>
      <c r="EQ46" s="1783">
        <f>SUM(EQ43:EQ45)</f>
        <v>910</v>
      </c>
      <c r="ER46" s="1783">
        <f>SUM(ER43:ER45)</f>
        <v>877</v>
      </c>
      <c r="ES46" s="858">
        <f>+SUM(EO46:ER46)</f>
        <v>3624</v>
      </c>
      <c r="ET46" s="1783">
        <f>SUM(ET43:ET45)</f>
        <v>915</v>
      </c>
      <c r="EU46" s="1783">
        <f>SUM(EU43:EU45)</f>
        <v>920</v>
      </c>
      <c r="EV46" s="1783">
        <f>SUM(EV43:EV45)</f>
        <v>940</v>
      </c>
      <c r="EW46" s="1783">
        <f>SUM(EW43:EW45)</f>
        <v>911</v>
      </c>
      <c r="EX46" s="858">
        <f>+SUM(ET46:EW46)</f>
        <v>3686</v>
      </c>
      <c r="EY46" s="1783">
        <f t="shared" ref="EY46:FB46" si="100">SUM(EY43:EY45)</f>
        <v>913.61661986541026</v>
      </c>
      <c r="EZ46" s="1783">
        <f t="shared" si="100"/>
        <v>903.86544801429466</v>
      </c>
      <c r="FA46" s="1783">
        <f t="shared" si="100"/>
        <v>913.07458499517986</v>
      </c>
      <c r="FB46" s="1783">
        <f t="shared" si="100"/>
        <v>873.81212933835195</v>
      </c>
      <c r="FC46" s="858">
        <f>+SUM(EY46:FB46)</f>
        <v>3604.368782213237</v>
      </c>
      <c r="FD46" s="1783">
        <f t="shared" ref="FD46:FI46" si="101">SUM(FD43:FD45)</f>
        <v>3549.1844137590506</v>
      </c>
      <c r="FE46" s="1783">
        <f t="shared" si="101"/>
        <v>3510.3886295258771</v>
      </c>
      <c r="FF46" s="1783">
        <f t="shared" si="101"/>
        <v>3529.1921513832176</v>
      </c>
      <c r="FG46" s="1783">
        <f t="shared" si="101"/>
        <v>3543.4598702876601</v>
      </c>
      <c r="FH46" s="1783">
        <f t="shared" si="101"/>
        <v>3553.1709641514467</v>
      </c>
      <c r="FI46" s="1783">
        <f t="shared" si="101"/>
        <v>3557.9042627071058</v>
      </c>
      <c r="FJ46" s="189">
        <f>+(FF46/ES46)^0.2-1</f>
        <v>-5.2878489902283832E-3</v>
      </c>
    </row>
    <row r="47" spans="1:166" x14ac:dyDescent="0.3">
      <c r="A47" s="49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4"/>
      <c r="DZ47" s="1"/>
      <c r="EA47" s="1"/>
      <c r="EB47" s="1"/>
      <c r="EC47" s="1"/>
      <c r="ED47" s="4"/>
      <c r="EE47" s="1"/>
      <c r="EF47" s="1"/>
      <c r="EG47" s="1"/>
      <c r="EH47" s="1"/>
      <c r="EI47" s="4"/>
      <c r="EJ47" s="1"/>
      <c r="EK47" s="1"/>
      <c r="EL47" s="1"/>
      <c r="EM47" s="1"/>
      <c r="EN47" s="4"/>
      <c r="EO47" s="1"/>
      <c r="EP47" s="1"/>
      <c r="EQ47" s="1"/>
      <c r="ER47" s="1"/>
      <c r="ES47" s="4"/>
      <c r="ET47" s="1"/>
      <c r="EU47" s="1"/>
      <c r="EV47" s="1"/>
      <c r="EW47" s="1"/>
      <c r="EX47" s="4"/>
      <c r="EY47" s="1"/>
      <c r="EZ47" s="1"/>
      <c r="FA47" s="1"/>
      <c r="FB47" s="1"/>
      <c r="FC47" s="4"/>
      <c r="FD47" s="1"/>
      <c r="FE47" s="1"/>
      <c r="FF47" s="1"/>
      <c r="FG47" s="1"/>
      <c r="FH47" s="1"/>
      <c r="FI47" s="1"/>
    </row>
    <row r="48" spans="1:166" x14ac:dyDescent="0.3">
      <c r="A48" s="48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50">
        <f>+DU18-DU46</f>
        <v>771</v>
      </c>
      <c r="DV48" s="50">
        <f>+DV18-DV46</f>
        <v>781</v>
      </c>
      <c r="DW48" s="50">
        <f>+DW18-DW46</f>
        <v>705</v>
      </c>
      <c r="DX48" s="50">
        <f>+DX18-DX46</f>
        <v>673</v>
      </c>
      <c r="DY48" s="51">
        <f t="shared" si="99"/>
        <v>2930</v>
      </c>
      <c r="DZ48" s="50">
        <f t="shared" ref="DZ48:FI48" si="102">+DZ18-DZ46</f>
        <v>687</v>
      </c>
      <c r="EA48" s="50">
        <f t="shared" si="102"/>
        <v>703</v>
      </c>
      <c r="EB48" s="50">
        <f t="shared" si="102"/>
        <v>691</v>
      </c>
      <c r="EC48" s="50">
        <f t="shared" si="102"/>
        <v>694</v>
      </c>
      <c r="ED48" s="50">
        <f t="shared" si="102"/>
        <v>2775</v>
      </c>
      <c r="EE48" s="50">
        <f t="shared" si="102"/>
        <v>669</v>
      </c>
      <c r="EF48" s="50">
        <f t="shared" si="102"/>
        <v>634</v>
      </c>
      <c r="EG48" s="50">
        <f t="shared" si="102"/>
        <v>587</v>
      </c>
      <c r="EH48" s="50">
        <f t="shared" si="102"/>
        <v>585</v>
      </c>
      <c r="EI48" s="50">
        <f t="shared" si="102"/>
        <v>2475</v>
      </c>
      <c r="EJ48" s="50">
        <f t="shared" ref="EJ48:EK48" si="103">+EJ18-EJ46</f>
        <v>509</v>
      </c>
      <c r="EK48" s="50">
        <f t="shared" si="103"/>
        <v>535</v>
      </c>
      <c r="EL48" s="50">
        <f t="shared" ref="EL48:EM48" si="104">+EL18-EL46</f>
        <v>508</v>
      </c>
      <c r="EM48" s="50">
        <f t="shared" si="104"/>
        <v>528</v>
      </c>
      <c r="EN48" s="50">
        <f t="shared" si="102"/>
        <v>2080</v>
      </c>
      <c r="EO48" s="50">
        <f t="shared" si="102"/>
        <v>519</v>
      </c>
      <c r="EP48" s="50">
        <f t="shared" ref="EP48:EQ48" si="105">+EP18-EP46</f>
        <v>533</v>
      </c>
      <c r="EQ48" s="50">
        <f t="shared" si="105"/>
        <v>526</v>
      </c>
      <c r="ER48" s="50">
        <f t="shared" ref="ER48" si="106">+ER18-ER46</f>
        <v>549</v>
      </c>
      <c r="ES48" s="50">
        <f t="shared" ref="ES48:ET48" si="107">+ES18-ES46</f>
        <v>2127</v>
      </c>
      <c r="ET48" s="50">
        <f t="shared" si="107"/>
        <v>547</v>
      </c>
      <c r="EU48" s="50">
        <f t="shared" ref="EU48:EV48" si="108">+EU18-EU46</f>
        <v>560</v>
      </c>
      <c r="EV48" s="50">
        <f t="shared" si="108"/>
        <v>549</v>
      </c>
      <c r="EW48" s="50">
        <f t="shared" ref="EW48" si="109">+EW18-EW46</f>
        <v>595</v>
      </c>
      <c r="EX48" s="50">
        <f t="shared" ref="EX48" si="110">+EX18-EX46</f>
        <v>2251</v>
      </c>
      <c r="EY48" s="50">
        <f t="shared" ref="EY48:FC48" si="111">+EY18-EY46</f>
        <v>557.00673078298382</v>
      </c>
      <c r="EZ48" s="50">
        <f t="shared" si="111"/>
        <v>593.66919939607885</v>
      </c>
      <c r="FA48" s="50">
        <f t="shared" si="111"/>
        <v>600.75639092527183</v>
      </c>
      <c r="FB48" s="50">
        <f t="shared" si="111"/>
        <v>665.02227580736007</v>
      </c>
      <c r="FC48" s="50">
        <f t="shared" si="111"/>
        <v>2416.4545969116944</v>
      </c>
      <c r="FD48" s="50">
        <f t="shared" si="102"/>
        <v>2677.0130389762598</v>
      </c>
      <c r="FE48" s="50">
        <f t="shared" si="102"/>
        <v>2993.8763244864958</v>
      </c>
      <c r="FF48" s="50">
        <f t="shared" si="102"/>
        <v>3272.0038286472327</v>
      </c>
      <c r="FG48" s="50">
        <f t="shared" si="102"/>
        <v>3533.6794470944578</v>
      </c>
      <c r="FH48" s="50">
        <f t="shared" si="102"/>
        <v>3778.5031908761971</v>
      </c>
      <c r="FI48" s="50">
        <f t="shared" si="102"/>
        <v>4001.9646887265144</v>
      </c>
      <c r="FJ48" s="189">
        <f>+(FF48/ES48)^0.2-1</f>
        <v>8.9956743432458852E-2</v>
      </c>
    </row>
    <row r="49" spans="1:166" x14ac:dyDescent="0.3">
      <c r="A49" s="46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47">
        <f t="shared" ref="DU49:FI49" si="112">+DU48/DU18</f>
        <v>0.39619732785200412</v>
      </c>
      <c r="DV49" s="47">
        <f t="shared" si="112"/>
        <v>0.40783289817232377</v>
      </c>
      <c r="DW49" s="47">
        <f t="shared" si="112"/>
        <v>0.38128718226068142</v>
      </c>
      <c r="DX49" s="47">
        <f t="shared" si="112"/>
        <v>0.3755580357142857</v>
      </c>
      <c r="DY49" s="52">
        <f t="shared" si="112"/>
        <v>0.39056251666222341</v>
      </c>
      <c r="DZ49" s="47">
        <f t="shared" si="112"/>
        <v>0.3840134153158189</v>
      </c>
      <c r="EA49" s="47">
        <f t="shared" si="112"/>
        <v>0.40079817559863168</v>
      </c>
      <c r="EB49" s="47">
        <f t="shared" si="112"/>
        <v>0.40011580775911987</v>
      </c>
      <c r="EC49" s="47">
        <f t="shared" si="112"/>
        <v>0.40919811320754718</v>
      </c>
      <c r="ED49" s="52">
        <f t="shared" si="112"/>
        <v>0.39836347975882858</v>
      </c>
      <c r="EE49" s="47">
        <f t="shared" si="112"/>
        <v>0.39940298507462685</v>
      </c>
      <c r="EF49" s="47">
        <f t="shared" si="112"/>
        <v>0.39208410636982066</v>
      </c>
      <c r="EG49" s="47">
        <f t="shared" si="112"/>
        <v>0.37246192893401014</v>
      </c>
      <c r="EH49" s="47">
        <f t="shared" si="112"/>
        <v>0.37913156189241737</v>
      </c>
      <c r="EI49" s="52">
        <f t="shared" si="112"/>
        <v>0.38605521759475903</v>
      </c>
      <c r="EJ49" s="47">
        <f t="shared" ref="EJ49:EK49" si="113">+EJ48/EJ18</f>
        <v>0.35176226675881134</v>
      </c>
      <c r="EK49" s="47">
        <f t="shared" si="113"/>
        <v>0.36668951336531869</v>
      </c>
      <c r="EL49" s="47">
        <f t="shared" ref="EL49:EM49" si="114">+EL48/EL18</f>
        <v>0.35180055401662053</v>
      </c>
      <c r="EM49" s="47">
        <f t="shared" si="114"/>
        <v>0.36743215031315241</v>
      </c>
      <c r="EN49" s="52">
        <f t="shared" si="112"/>
        <v>0.35942630032832212</v>
      </c>
      <c r="EO49" s="47">
        <f t="shared" si="112"/>
        <v>0.36041666666666666</v>
      </c>
      <c r="EP49" s="47">
        <f t="shared" ref="EP49:EQ49" si="115">+EP48/EP18</f>
        <v>0.36783988957902003</v>
      </c>
      <c r="EQ49" s="47">
        <f t="shared" si="115"/>
        <v>0.36629526462395545</v>
      </c>
      <c r="ER49" s="47">
        <f t="shared" ref="ER49" si="116">+ER48/ER18</f>
        <v>0.38499298737727911</v>
      </c>
      <c r="ES49" s="52">
        <f t="shared" ref="ES49:ET49" si="117">+ES48/ES18</f>
        <v>0.36984872196139801</v>
      </c>
      <c r="ET49" s="47">
        <f t="shared" si="117"/>
        <v>0.37414500683994528</v>
      </c>
      <c r="EU49" s="47">
        <f t="shared" ref="EU49:EV49" si="118">+EU48/EU18</f>
        <v>0.3783783783783784</v>
      </c>
      <c r="EV49" s="47">
        <f t="shared" si="118"/>
        <v>0.36870382807253188</v>
      </c>
      <c r="EW49" s="47">
        <f t="shared" ref="EW49" si="119">+EW48/EW18</f>
        <v>0.39508632138114208</v>
      </c>
      <c r="EX49" s="52">
        <f t="shared" ref="EX49" si="120">+EX48/EX18</f>
        <v>0.37914771770254335</v>
      </c>
      <c r="EY49" s="47">
        <f t="shared" ref="EY49:FC49" si="121">+EY48/EY18</f>
        <v>0.37875553284081948</v>
      </c>
      <c r="EZ49" s="47">
        <f t="shared" si="121"/>
        <v>0.39643102777133549</v>
      </c>
      <c r="FA49" s="47">
        <f t="shared" si="121"/>
        <v>0.39684509068787888</v>
      </c>
      <c r="FB49" s="47">
        <f t="shared" si="121"/>
        <v>0.4321597395948456</v>
      </c>
      <c r="FC49" s="52">
        <f t="shared" si="121"/>
        <v>0.40134952393552903</v>
      </c>
      <c r="FD49" s="47">
        <f t="shared" si="112"/>
        <v>0.42995954742813158</v>
      </c>
      <c r="FE49" s="47">
        <f t="shared" si="112"/>
        <v>0.46029433697033256</v>
      </c>
      <c r="FF49" s="47">
        <f t="shared" si="112"/>
        <v>0.48109241937071534</v>
      </c>
      <c r="FG49" s="47">
        <f t="shared" si="112"/>
        <v>0.49930901295321539</v>
      </c>
      <c r="FH49" s="47">
        <f t="shared" si="112"/>
        <v>0.51536703772972714</v>
      </c>
      <c r="FI49" s="47">
        <f t="shared" si="112"/>
        <v>0.5293695849010186</v>
      </c>
    </row>
    <row r="50" spans="1:166" x14ac:dyDescent="0.3">
      <c r="A50" s="46" t="s">
        <v>29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4"/>
      <c r="DZ50" s="47">
        <f>+IFERROR(DZ48/DU48-1,"")</f>
        <v>-0.1089494163424124</v>
      </c>
      <c r="EA50" s="47">
        <f>+IFERROR(EA48/DV48-1,"")</f>
        <v>-9.9871959026888613E-2</v>
      </c>
      <c r="EB50" s="47">
        <f>+IFERROR(EB48/DW48-1,"")</f>
        <v>-1.9858156028368823E-2</v>
      </c>
      <c r="EC50" s="47">
        <f t="shared" ref="EC50:EW50" si="122">+IFERROR(EC48/DX48-1,"")</f>
        <v>3.1203566121842385E-2</v>
      </c>
      <c r="ED50" s="52">
        <f t="shared" si="122"/>
        <v>-5.2901023890784993E-2</v>
      </c>
      <c r="EE50" s="47">
        <f t="shared" si="122"/>
        <v>-2.6200873362445365E-2</v>
      </c>
      <c r="EF50" s="47">
        <f t="shared" si="122"/>
        <v>-9.8150782361308697E-2</v>
      </c>
      <c r="EG50" s="47">
        <f t="shared" si="122"/>
        <v>-0.15050651230101297</v>
      </c>
      <c r="EH50" s="47">
        <f t="shared" si="122"/>
        <v>-0.15706051873198845</v>
      </c>
      <c r="EI50" s="52">
        <f t="shared" si="122"/>
        <v>-0.10810810810810811</v>
      </c>
      <c r="EJ50" s="47">
        <f t="shared" si="122"/>
        <v>-0.23916292974588937</v>
      </c>
      <c r="EK50" s="47">
        <f t="shared" si="122"/>
        <v>-0.15615141955835965</v>
      </c>
      <c r="EL50" s="47">
        <f t="shared" si="122"/>
        <v>-0.13458262350936967</v>
      </c>
      <c r="EM50" s="47">
        <f t="shared" si="122"/>
        <v>-9.7435897435897423E-2</v>
      </c>
      <c r="EN50" s="52">
        <f>+IFERROR(EN48/EI48-1,"")</f>
        <v>-0.15959595959595962</v>
      </c>
      <c r="EO50" s="47">
        <f t="shared" si="122"/>
        <v>1.9646365422396839E-2</v>
      </c>
      <c r="EP50" s="47">
        <f t="shared" si="122"/>
        <v>-3.7383177570093906E-3</v>
      </c>
      <c r="EQ50" s="47">
        <f t="shared" si="122"/>
        <v>3.5433070866141669E-2</v>
      </c>
      <c r="ER50" s="47">
        <f t="shared" si="122"/>
        <v>3.9772727272727293E-2</v>
      </c>
      <c r="ES50" s="52">
        <f>+IFERROR(ES48/EN48-1,"")</f>
        <v>2.2596153846153877E-2</v>
      </c>
      <c r="ET50" s="47">
        <f t="shared" si="122"/>
        <v>5.3949903660886367E-2</v>
      </c>
      <c r="EU50" s="47">
        <f t="shared" si="122"/>
        <v>5.065666041275807E-2</v>
      </c>
      <c r="EV50" s="47">
        <f t="shared" si="122"/>
        <v>4.3726235741444963E-2</v>
      </c>
      <c r="EW50" s="47">
        <f t="shared" si="122"/>
        <v>8.3788706739526431E-2</v>
      </c>
      <c r="EX50" s="52">
        <f>+IFERROR(EX48/ES48-1,"")</f>
        <v>5.8298072402444667E-2</v>
      </c>
      <c r="EY50" s="47">
        <f t="shared" ref="EY50" si="123">+IFERROR(EY48/ET48-1,"")</f>
        <v>1.8293840553901042E-2</v>
      </c>
      <c r="EZ50" s="47">
        <f t="shared" ref="EZ50" si="124">+IFERROR(EZ48/EU48-1,"")</f>
        <v>6.012357035014082E-2</v>
      </c>
      <c r="FA50" s="47">
        <f t="shared" ref="FA50" si="125">+IFERROR(FA48/EV48-1,"")</f>
        <v>9.4273936111606282E-2</v>
      </c>
      <c r="FB50" s="47">
        <f t="shared" ref="FB50" si="126">+IFERROR(FB48/EW48-1,"")</f>
        <v>0.11768449715522711</v>
      </c>
      <c r="FC50" s="52">
        <f>+IFERROR(FC48/EX48-1,"")</f>
        <v>7.3502708534737504E-2</v>
      </c>
      <c r="FD50" s="47">
        <f t="shared" ref="FD50:FI50" si="127">+IFERROR(FD48/FC48-1,"")</f>
        <v>0.10782674849242668</v>
      </c>
      <c r="FE50" s="47">
        <f t="shared" si="127"/>
        <v>0.11836449090715306</v>
      </c>
      <c r="FF50" s="47">
        <f t="shared" si="127"/>
        <v>9.2898795413147495E-2</v>
      </c>
      <c r="FG50" s="47">
        <f t="shared" si="127"/>
        <v>7.997411743720706E-2</v>
      </c>
      <c r="FH50" s="47">
        <f t="shared" si="127"/>
        <v>6.9282952075079729E-2</v>
      </c>
      <c r="FI50" s="47">
        <f t="shared" si="127"/>
        <v>5.914021679005077E-2</v>
      </c>
    </row>
    <row r="51" spans="1:166" x14ac:dyDescent="0.3">
      <c r="A51" s="49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4"/>
      <c r="DZ51" s="1"/>
      <c r="EA51" s="1"/>
      <c r="EB51" s="1"/>
      <c r="EC51" s="1"/>
      <c r="ED51" s="4"/>
      <c r="EE51" s="1"/>
      <c r="EF51" s="1"/>
      <c r="EG51" s="1"/>
      <c r="EH51" s="1"/>
      <c r="EI51" s="4"/>
      <c r="EJ51" s="1"/>
      <c r="EK51" s="1"/>
      <c r="EL51" s="1"/>
      <c r="EM51" s="1"/>
      <c r="EN51" s="4"/>
      <c r="EO51" s="4"/>
      <c r="EP51" s="4"/>
      <c r="EQ51" s="4"/>
      <c r="ER51" s="4"/>
      <c r="ES51" s="1"/>
      <c r="ET51" s="4"/>
      <c r="EU51" s="4"/>
      <c r="EV51" s="4"/>
      <c r="EW51" s="4"/>
      <c r="EX51" s="1"/>
      <c r="EY51" s="4"/>
      <c r="EZ51" s="4"/>
      <c r="FA51" s="4"/>
      <c r="FB51" s="4"/>
      <c r="FC51" s="1"/>
      <c r="FD51" s="1"/>
      <c r="FE51" s="1"/>
      <c r="FF51" s="1"/>
      <c r="FG51" s="1"/>
      <c r="FH51" s="1"/>
      <c r="FI51" s="155"/>
    </row>
    <row r="52" spans="1:166" x14ac:dyDescent="0.3">
      <c r="A52" s="43" t="s">
        <v>46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</row>
    <row r="53" spans="1:166" x14ac:dyDescent="0.3">
      <c r="A53" s="4" t="s">
        <v>19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44">
        <f>+Inputs!DU47</f>
        <v>2101</v>
      </c>
      <c r="DV53" s="44">
        <f>+Inputs!DV47</f>
        <v>2067</v>
      </c>
      <c r="DW53" s="44">
        <f>+Inputs!DW47</f>
        <v>1997</v>
      </c>
      <c r="DX53" s="44">
        <f>+Inputs!DX47</f>
        <v>1942</v>
      </c>
      <c r="DY53" s="45">
        <f>+SUM(DU53:DX53)</f>
        <v>8107</v>
      </c>
      <c r="DZ53" s="44">
        <f>+Inputs!DZ47</f>
        <v>1933</v>
      </c>
      <c r="EA53" s="44">
        <f>+Inputs!EA47</f>
        <v>1801</v>
      </c>
      <c r="EB53" s="44">
        <f>+Inputs!EB47</f>
        <v>1726</v>
      </c>
      <c r="EC53" s="44">
        <f>+Inputs!EC47</f>
        <v>1695</v>
      </c>
      <c r="ED53" s="45">
        <f>+SUM(DZ53:EC53)</f>
        <v>7155</v>
      </c>
      <c r="EE53" s="44">
        <f>+Inputs!EE47</f>
        <v>1676</v>
      </c>
      <c r="EF53" s="44">
        <f>+Inputs!EF47</f>
        <v>1616</v>
      </c>
      <c r="EG53" s="44">
        <f>+Inputs!EG47</f>
        <v>1576</v>
      </c>
      <c r="EH53" s="44">
        <f>+Inputs!EH47</f>
        <v>1543</v>
      </c>
      <c r="EI53" s="45">
        <f>+SUM(EE53:EH53)</f>
        <v>6411</v>
      </c>
      <c r="EJ53" s="44">
        <f>+Inputs!EJ47</f>
        <v>1447</v>
      </c>
      <c r="EK53" s="44">
        <f>+Inputs!EK47</f>
        <v>1459</v>
      </c>
      <c r="EL53" s="44">
        <f>+Inputs!EL47</f>
        <v>1444</v>
      </c>
      <c r="EM53" s="44">
        <f>+Inputs!EM47</f>
        <v>1437</v>
      </c>
      <c r="EN53" s="45">
        <f>+SUM(EJ53:EM53)</f>
        <v>5787</v>
      </c>
      <c r="EO53" s="44">
        <f>+Inputs!EO47</f>
        <v>1440</v>
      </c>
      <c r="EP53" s="44">
        <f>+Inputs!EP47</f>
        <v>1449</v>
      </c>
      <c r="EQ53" s="44">
        <f>+Inputs!EQ47</f>
        <v>1436</v>
      </c>
      <c r="ER53" s="44">
        <f>+Inputs!ER47</f>
        <v>1426</v>
      </c>
      <c r="ES53" s="45">
        <f>+SUM(EO53:ER53)</f>
        <v>5751</v>
      </c>
      <c r="ET53" s="44">
        <f>+Inputs!ET47</f>
        <v>1462</v>
      </c>
      <c r="EU53" s="44">
        <f>+Inputs!EU47</f>
        <v>1480</v>
      </c>
      <c r="EV53" s="44">
        <f>+Inputs!EV47</f>
        <v>1489</v>
      </c>
      <c r="EW53" s="44">
        <f>+Inputs!EW47</f>
        <v>1506</v>
      </c>
      <c r="EX53" s="45">
        <f>+SUM(ET53:EW53)</f>
        <v>5937</v>
      </c>
      <c r="EY53" s="59">
        <f t="shared" ref="EY53:FB53" si="128">EY18</f>
        <v>1470.6233506483941</v>
      </c>
      <c r="EZ53" s="59">
        <f t="shared" si="128"/>
        <v>1497.5346474103735</v>
      </c>
      <c r="FA53" s="59">
        <f t="shared" si="128"/>
        <v>1513.8309759204517</v>
      </c>
      <c r="FB53" s="59">
        <f t="shared" si="128"/>
        <v>1538.834405145712</v>
      </c>
      <c r="FC53" s="45">
        <f>+SUM(EY53:FB53)</f>
        <v>6020.8233791249313</v>
      </c>
      <c r="FD53" s="59">
        <f t="shared" ref="FD53:FI53" si="129">FD18</f>
        <v>6226.1974527353104</v>
      </c>
      <c r="FE53" s="59">
        <f t="shared" si="129"/>
        <v>6504.264954012373</v>
      </c>
      <c r="FF53" s="59">
        <f t="shared" si="129"/>
        <v>6801.1959800304503</v>
      </c>
      <c r="FG53" s="59">
        <f t="shared" si="129"/>
        <v>7077.139317382118</v>
      </c>
      <c r="FH53" s="59">
        <f t="shared" si="129"/>
        <v>7331.6741550276438</v>
      </c>
      <c r="FI53" s="59">
        <f t="shared" si="129"/>
        <v>7559.8689514336202</v>
      </c>
      <c r="FJ53" s="189">
        <f>+(FF53/ES53)^0.2-1</f>
        <v>3.4113920601426262E-2</v>
      </c>
    </row>
    <row r="54" spans="1:166" x14ac:dyDescent="0.3">
      <c r="A54" s="46" t="s">
        <v>29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47" t="str">
        <f t="shared" ref="DU54:EW54" si="130">+IFERROR(DU53/DP53-1,"")</f>
        <v/>
      </c>
      <c r="DV54" s="47" t="str">
        <f t="shared" si="130"/>
        <v/>
      </c>
      <c r="DW54" s="47" t="str">
        <f t="shared" si="130"/>
        <v/>
      </c>
      <c r="DX54" s="47" t="str">
        <f t="shared" si="130"/>
        <v/>
      </c>
      <c r="DY54" s="52" t="str">
        <f t="shared" si="130"/>
        <v/>
      </c>
      <c r="DZ54" s="47">
        <f t="shared" si="130"/>
        <v>-7.996192289386006E-2</v>
      </c>
      <c r="EA54" s="47">
        <f t="shared" si="130"/>
        <v>-0.12868892114175134</v>
      </c>
      <c r="EB54" s="47">
        <f t="shared" si="130"/>
        <v>-0.13570355533299949</v>
      </c>
      <c r="EC54" s="47">
        <f t="shared" si="130"/>
        <v>-0.12718846549948504</v>
      </c>
      <c r="ED54" s="52">
        <f t="shared" si="130"/>
        <v>-0.11742938201554209</v>
      </c>
      <c r="EE54" s="47">
        <f t="shared" si="130"/>
        <v>-0.13295395757889295</v>
      </c>
      <c r="EF54" s="47">
        <f t="shared" si="130"/>
        <v>-0.10272071071626876</v>
      </c>
      <c r="EG54" s="47">
        <f t="shared" si="130"/>
        <v>-8.6906141367323331E-2</v>
      </c>
      <c r="EH54" s="47">
        <f t="shared" si="130"/>
        <v>-8.9675516224188789E-2</v>
      </c>
      <c r="EI54" s="52">
        <f t="shared" si="130"/>
        <v>-0.10398322851153041</v>
      </c>
      <c r="EJ54" s="47">
        <f t="shared" si="130"/>
        <v>-0.13663484486873512</v>
      </c>
      <c r="EK54" s="47">
        <f t="shared" si="130"/>
        <v>-9.7153465346534684E-2</v>
      </c>
      <c r="EL54" s="47">
        <f t="shared" si="130"/>
        <v>-8.3756345177664948E-2</v>
      </c>
      <c r="EM54" s="47">
        <f t="shared" si="130"/>
        <v>-6.8697342838626052E-2</v>
      </c>
      <c r="EN54" s="52">
        <f>+IFERROR(EN53/EI53-1,"")</f>
        <v>-9.7332709405708928E-2</v>
      </c>
      <c r="EO54" s="47">
        <f t="shared" si="130"/>
        <v>-4.8375950241880128E-3</v>
      </c>
      <c r="EP54" s="47">
        <f t="shared" si="130"/>
        <v>-6.8540095956134417E-3</v>
      </c>
      <c r="EQ54" s="47">
        <f t="shared" si="130"/>
        <v>-5.5401662049860967E-3</v>
      </c>
      <c r="ER54" s="47">
        <f t="shared" si="130"/>
        <v>-7.6548364648573175E-3</v>
      </c>
      <c r="ES54" s="52">
        <f>+IFERROR(ES53/EN53-1,"")</f>
        <v>-6.2208398133748455E-3</v>
      </c>
      <c r="ET54" s="47">
        <f t="shared" si="130"/>
        <v>1.5277777777777724E-2</v>
      </c>
      <c r="EU54" s="47">
        <f t="shared" si="130"/>
        <v>2.1394064872325647E-2</v>
      </c>
      <c r="EV54" s="47">
        <f t="shared" si="130"/>
        <v>3.6908077994429078E-2</v>
      </c>
      <c r="EW54" s="47">
        <f t="shared" si="130"/>
        <v>5.6100981767180924E-2</v>
      </c>
      <c r="EX54" s="52">
        <f>+IFERROR(EX53/ES53-1,"")</f>
        <v>3.234220135628596E-2</v>
      </c>
      <c r="EY54" s="47">
        <f t="shared" ref="EY54" si="131">+IFERROR(EY53/ET53-1,"")</f>
        <v>5.898324656904208E-3</v>
      </c>
      <c r="EZ54" s="47">
        <f t="shared" ref="EZ54" si="132">+IFERROR(EZ53/EU53-1,"")</f>
        <v>1.1847734736738946E-2</v>
      </c>
      <c r="FA54" s="47">
        <f t="shared" ref="FA54" si="133">+IFERROR(FA53/EV53-1,"")</f>
        <v>1.6676276642344945E-2</v>
      </c>
      <c r="FB54" s="47">
        <f t="shared" ref="FB54" si="134">+IFERROR(FB53/EW53-1,"")</f>
        <v>2.1802393855054447E-2</v>
      </c>
      <c r="FC54" s="52">
        <f>+IFERROR(FC53/EX53-1,"")</f>
        <v>1.4118810699836892E-2</v>
      </c>
      <c r="FD54" s="47">
        <f t="shared" ref="FD54:FI54" si="135">+IFERROR(FD53/FC53-1,"")</f>
        <v>3.4110629174481488E-2</v>
      </c>
      <c r="FE54" s="47">
        <f t="shared" si="135"/>
        <v>4.4660887064367216E-2</v>
      </c>
      <c r="FF54" s="47">
        <f t="shared" si="135"/>
        <v>4.5651742067319256E-2</v>
      </c>
      <c r="FG54" s="47">
        <f t="shared" si="135"/>
        <v>4.0572766637204438E-2</v>
      </c>
      <c r="FH54" s="47">
        <f t="shared" si="135"/>
        <v>3.5965780272314785E-2</v>
      </c>
      <c r="FI54" s="47">
        <f t="shared" si="135"/>
        <v>3.1124514207917064E-2</v>
      </c>
    </row>
    <row r="55" spans="1:166" x14ac:dyDescent="0.3">
      <c r="A55" s="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4"/>
      <c r="EA55" s="1"/>
      <c r="EB55" s="1"/>
      <c r="EC55" s="1"/>
      <c r="ED55" s="4"/>
      <c r="EE55" s="1"/>
      <c r="EF55" s="1"/>
      <c r="EG55" s="1"/>
      <c r="EH55" s="1"/>
      <c r="EI55" s="4"/>
      <c r="EJ55" s="1"/>
      <c r="EK55" s="1"/>
      <c r="EL55" s="1"/>
      <c r="EM55" s="1"/>
      <c r="EN55" s="4"/>
      <c r="EO55" s="1"/>
      <c r="EP55" s="1"/>
      <c r="EQ55" s="1"/>
      <c r="ER55" s="1"/>
      <c r="ES55" s="4"/>
      <c r="ET55" s="1"/>
      <c r="EU55" s="1"/>
      <c r="EV55" s="1"/>
      <c r="EW55" s="1"/>
      <c r="EX55" s="4"/>
      <c r="EY55" s="1"/>
      <c r="EZ55" s="1"/>
      <c r="FA55" s="1"/>
      <c r="FB55" s="1"/>
      <c r="FC55" s="4"/>
      <c r="FD55" s="1"/>
      <c r="FE55" s="1"/>
      <c r="FF55" s="1"/>
      <c r="FG55" s="1"/>
      <c r="FH55" s="1"/>
      <c r="FI55" s="1"/>
    </row>
    <row r="56" spans="1:166" x14ac:dyDescent="0.3">
      <c r="A56" s="30" t="s">
        <v>47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44"/>
      <c r="DV56" s="44"/>
      <c r="DW56" s="44"/>
      <c r="DX56" s="44"/>
      <c r="DY56" s="45"/>
      <c r="DZ56" s="44"/>
      <c r="EA56" s="44"/>
      <c r="EB56" s="44"/>
      <c r="EC56" s="44"/>
      <c r="ED56" s="45"/>
      <c r="EE56" s="44"/>
      <c r="EF56" s="44"/>
      <c r="EG56" s="44"/>
      <c r="EH56" s="44"/>
      <c r="EI56" s="45"/>
      <c r="EJ56" s="44"/>
      <c r="EK56" s="44"/>
      <c r="EL56" s="44"/>
      <c r="EM56" s="44"/>
      <c r="EN56" s="45"/>
      <c r="EO56" s="44"/>
      <c r="EP56" s="44"/>
      <c r="EQ56" s="44"/>
      <c r="ER56" s="44"/>
      <c r="ES56" s="45"/>
      <c r="ET56" s="44"/>
      <c r="EU56" s="44"/>
      <c r="EV56" s="44"/>
      <c r="EW56" s="44"/>
      <c r="EX56" s="45"/>
      <c r="EY56" s="59"/>
      <c r="EZ56" s="59"/>
      <c r="FA56" s="59"/>
      <c r="FB56" s="59"/>
      <c r="FC56" s="45"/>
      <c r="FD56" s="59"/>
      <c r="FE56" s="59"/>
      <c r="FF56" s="59"/>
      <c r="FG56" s="59"/>
      <c r="FH56" s="59"/>
      <c r="FI56" s="59"/>
      <c r="FJ56" s="189"/>
    </row>
    <row r="57" spans="1:166" x14ac:dyDescent="0.3">
      <c r="A57" s="30" t="s">
        <v>48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44">
        <f>+Inputs!DU537+Inputs!DU536</f>
        <v>794</v>
      </c>
      <c r="DV57" s="44">
        <f>+Inputs!DV537+Inputs!DV536</f>
        <v>763</v>
      </c>
      <c r="DW57" s="44">
        <f>+Inputs!DW537+Inputs!DW536</f>
        <v>771</v>
      </c>
      <c r="DX57" s="44">
        <f>+Inputs!DX537+Inputs!DX536</f>
        <v>729</v>
      </c>
      <c r="DY57" s="45">
        <f>+SUM(DU57:DX57)</f>
        <v>3057</v>
      </c>
      <c r="DZ57" s="44">
        <f>+Inputs!DZ537+Inputs!DZ536</f>
        <v>730</v>
      </c>
      <c r="EA57" s="44">
        <f>+Inputs!EA537+Inputs!EA536</f>
        <v>685</v>
      </c>
      <c r="EB57" s="44">
        <f>+Inputs!EB537+Inputs!EB536</f>
        <v>657</v>
      </c>
      <c r="EC57" s="44">
        <f>+Inputs!EC537+Inputs!EC536</f>
        <v>629</v>
      </c>
      <c r="ED57" s="45">
        <f>+SUM(DZ57:EC57)</f>
        <v>2701</v>
      </c>
      <c r="EE57" s="44">
        <f>+Inputs!EE537+Inputs!EE536</f>
        <v>620</v>
      </c>
      <c r="EF57" s="44">
        <f>+Inputs!EF537+Inputs!EF536</f>
        <v>606</v>
      </c>
      <c r="EG57" s="44">
        <f>+Inputs!EG537+Inputs!EG536</f>
        <v>590</v>
      </c>
      <c r="EH57" s="44">
        <f>+Inputs!EH537+Inputs!EH536</f>
        <v>546</v>
      </c>
      <c r="EI57" s="45">
        <f>+SUM(EE57:EH57)</f>
        <v>2362</v>
      </c>
      <c r="EJ57" s="44">
        <f>+Inputs!EJ537+Inputs!EJ536</f>
        <v>553</v>
      </c>
      <c r="EK57" s="44">
        <f>+Inputs!EK537+Inputs!EK536</f>
        <v>546</v>
      </c>
      <c r="EL57" s="44">
        <f>+Inputs!EL537+Inputs!EL536</f>
        <v>544</v>
      </c>
      <c r="EM57" s="44">
        <f>+Inputs!EM537+Inputs!EM536</f>
        <v>526</v>
      </c>
      <c r="EN57" s="45">
        <f>+SUM(EJ57:EM57)</f>
        <v>2169</v>
      </c>
      <c r="EO57" s="44">
        <f>+Inputs!EO537+Inputs!EO536</f>
        <v>542</v>
      </c>
      <c r="EP57" s="44">
        <f>+Inputs!EP537+Inputs!EP536</f>
        <v>528</v>
      </c>
      <c r="EQ57" s="44">
        <f>+Inputs!EQ537+Inputs!EQ536</f>
        <v>545</v>
      </c>
      <c r="ER57" s="44">
        <f>+Inputs!ER537+Inputs!ER536</f>
        <v>510</v>
      </c>
      <c r="ES57" s="45">
        <f>+SUM(EO57:ER57)</f>
        <v>2125</v>
      </c>
      <c r="ET57" s="44">
        <f>+Inputs!ET537+Inputs!ET536</f>
        <v>522</v>
      </c>
      <c r="EU57" s="44">
        <f>+Inputs!EU537+Inputs!EU536</f>
        <v>516</v>
      </c>
      <c r="EV57" s="44">
        <f>+Inputs!EV537+Inputs!EV536</f>
        <v>538</v>
      </c>
      <c r="EW57" s="44">
        <f>+Inputs!EW537+Inputs!EW536</f>
        <v>534</v>
      </c>
      <c r="EX57" s="45">
        <f>+SUM(ET57:EW57)</f>
        <v>2110</v>
      </c>
      <c r="EY57" s="59">
        <f t="shared" ref="EY57:FB57" si="136">+EY44+EY43</f>
        <v>501.57552694027345</v>
      </c>
      <c r="EZ57" s="59">
        <f t="shared" si="136"/>
        <v>499.47296505163365</v>
      </c>
      <c r="FA57" s="59">
        <f t="shared" si="136"/>
        <v>520.85661413872526</v>
      </c>
      <c r="FB57" s="59">
        <f t="shared" si="136"/>
        <v>499.17916655294533</v>
      </c>
      <c r="FC57" s="45">
        <f>+SUM(EY57:FB57)</f>
        <v>2021.0842726835776</v>
      </c>
      <c r="FD57" s="59">
        <f t="shared" ref="FD57:FI57" si="137">+FD44+FD43</f>
        <v>1979.3534904666408</v>
      </c>
      <c r="FE57" s="59">
        <f t="shared" si="137"/>
        <v>1943.6926228340988</v>
      </c>
      <c r="FF57" s="59">
        <f t="shared" si="137"/>
        <v>1914.8150552497993</v>
      </c>
      <c r="FG57" s="59">
        <f t="shared" si="137"/>
        <v>1890.9466971458003</v>
      </c>
      <c r="FH57" s="59">
        <f t="shared" si="137"/>
        <v>1870.8988644495926</v>
      </c>
      <c r="FI57" s="59">
        <f t="shared" si="137"/>
        <v>1853.8276132258552</v>
      </c>
      <c r="FJ57" s="189">
        <f>+(FF57/ES57)^0.2-1</f>
        <v>-2.0614703177396443E-2</v>
      </c>
    </row>
    <row r="58" spans="1:166" x14ac:dyDescent="0.3">
      <c r="A58" s="30" t="s">
        <v>42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44">
        <f>+Inputs!DU538</f>
        <v>434</v>
      </c>
      <c r="DV58" s="44">
        <f>+Inputs!DV538</f>
        <v>422</v>
      </c>
      <c r="DW58" s="44">
        <f>+Inputs!DW538</f>
        <v>422</v>
      </c>
      <c r="DX58" s="44">
        <f>+Inputs!DX538</f>
        <v>439</v>
      </c>
      <c r="DY58" s="45">
        <f>+SUM(DU58:DX58)</f>
        <v>1717</v>
      </c>
      <c r="DZ58" s="44">
        <f>+Inputs!DZ538</f>
        <v>420</v>
      </c>
      <c r="EA58" s="44">
        <f>+Inputs!EA538</f>
        <v>384</v>
      </c>
      <c r="EB58" s="44">
        <f>+Inputs!EB538</f>
        <v>379</v>
      </c>
      <c r="EC58" s="44">
        <f>+Inputs!EC538</f>
        <v>373</v>
      </c>
      <c r="ED58" s="45">
        <f>+SUM(DZ58:EC58)</f>
        <v>1556</v>
      </c>
      <c r="EE58" s="44">
        <f>+Inputs!EE538</f>
        <v>386</v>
      </c>
      <c r="EF58" s="44">
        <f>+Inputs!EF538</f>
        <v>377</v>
      </c>
      <c r="EG58" s="44">
        <f>+Inputs!EG538</f>
        <v>399</v>
      </c>
      <c r="EH58" s="44">
        <f>+Inputs!EH538</f>
        <v>412</v>
      </c>
      <c r="EI58" s="45">
        <f>+SUM(EE58:EH58)</f>
        <v>1574</v>
      </c>
      <c r="EJ58" s="44">
        <f>+Inputs!EJ538</f>
        <v>385</v>
      </c>
      <c r="EK58" s="44">
        <f>+Inputs!EK538</f>
        <v>378</v>
      </c>
      <c r="EL58" s="44">
        <f>+Inputs!EL538</f>
        <v>392</v>
      </c>
      <c r="EM58" s="44">
        <f>+Inputs!EM538</f>
        <v>383</v>
      </c>
      <c r="EN58" s="45">
        <f>+SUM(EJ58:EM58)</f>
        <v>1538</v>
      </c>
      <c r="EO58" s="44">
        <f>+Inputs!EO538</f>
        <v>379</v>
      </c>
      <c r="EP58" s="44">
        <f>+Inputs!EP538</f>
        <v>388</v>
      </c>
      <c r="EQ58" s="44">
        <f>+Inputs!EQ538</f>
        <v>365</v>
      </c>
      <c r="ER58" s="44">
        <f>+Inputs!ER538</f>
        <v>367</v>
      </c>
      <c r="ES58" s="45">
        <f>+SUM(EO58:ER58)</f>
        <v>1499</v>
      </c>
      <c r="ET58" s="44">
        <f>+Inputs!ET538</f>
        <v>393</v>
      </c>
      <c r="EU58" s="44">
        <f>+Inputs!EU538</f>
        <v>404</v>
      </c>
      <c r="EV58" s="44">
        <f>+Inputs!EV538</f>
        <v>402</v>
      </c>
      <c r="EW58" s="44">
        <f>+Inputs!EW538</f>
        <v>377</v>
      </c>
      <c r="EX58" s="45">
        <f>+SUM(ET58:EW58)</f>
        <v>1576</v>
      </c>
      <c r="EY58" s="59">
        <f t="shared" ref="EY58:FB58" si="138">+EY45</f>
        <v>412.04109292513681</v>
      </c>
      <c r="EZ58" s="59">
        <f t="shared" si="138"/>
        <v>404.39248296266101</v>
      </c>
      <c r="FA58" s="59">
        <f t="shared" si="138"/>
        <v>392.2179708564546</v>
      </c>
      <c r="FB58" s="59">
        <f t="shared" si="138"/>
        <v>374.63296278540656</v>
      </c>
      <c r="FC58" s="45">
        <f>+SUM(EY58:FB58)</f>
        <v>1583.2845095296589</v>
      </c>
      <c r="FD58" s="59">
        <f t="shared" ref="FD58:FI58" si="139">+FD45</f>
        <v>1569.8309232924096</v>
      </c>
      <c r="FE58" s="59">
        <f t="shared" si="139"/>
        <v>1566.6960066917784</v>
      </c>
      <c r="FF58" s="59">
        <f t="shared" si="139"/>
        <v>1614.3770961334185</v>
      </c>
      <c r="FG58" s="59">
        <f t="shared" si="139"/>
        <v>1652.5131731418599</v>
      </c>
      <c r="FH58" s="59">
        <f t="shared" si="139"/>
        <v>1682.2720997018541</v>
      </c>
      <c r="FI58" s="59">
        <f t="shared" si="139"/>
        <v>1704.0766494812508</v>
      </c>
      <c r="FJ58" s="189">
        <f>+(FF58/ES58)^0.2-1</f>
        <v>1.4940705776243401E-2</v>
      </c>
    </row>
    <row r="59" spans="1:166" x14ac:dyDescent="0.3">
      <c r="A59" s="48" t="s">
        <v>43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858">
        <f t="shared" ref="DU59:DZ59" si="140">+SUM(DU56:DU58)</f>
        <v>1228</v>
      </c>
      <c r="DV59" s="858">
        <f t="shared" si="140"/>
        <v>1185</v>
      </c>
      <c r="DW59" s="858">
        <f t="shared" si="140"/>
        <v>1193</v>
      </c>
      <c r="DX59" s="858">
        <f t="shared" si="140"/>
        <v>1168</v>
      </c>
      <c r="DY59" s="858">
        <f>+SUM(DU59:DX59)</f>
        <v>4774</v>
      </c>
      <c r="DZ59" s="858">
        <f t="shared" si="140"/>
        <v>1150</v>
      </c>
      <c r="EA59" s="858">
        <f>+SUM(EA56:EA58)</f>
        <v>1069</v>
      </c>
      <c r="EB59" s="858">
        <f>+SUM(EB56:EB58)</f>
        <v>1036</v>
      </c>
      <c r="EC59" s="858">
        <f>+SUM(EC56:EC58)</f>
        <v>1002</v>
      </c>
      <c r="ED59" s="858">
        <f>+SUM(DZ59:EC59)</f>
        <v>4257</v>
      </c>
      <c r="EE59" s="858">
        <f>+SUM(EE56:EE58)</f>
        <v>1006</v>
      </c>
      <c r="EF59" s="858">
        <f>+SUM(EF56:EF58)</f>
        <v>983</v>
      </c>
      <c r="EG59" s="858">
        <f>+SUM(EG56:EG58)</f>
        <v>989</v>
      </c>
      <c r="EH59" s="858">
        <f>+SUM(EH56:EH58)</f>
        <v>958</v>
      </c>
      <c r="EI59" s="858">
        <f>+SUM(EE59:EH59)</f>
        <v>3936</v>
      </c>
      <c r="EJ59" s="858">
        <f>+SUM(EJ56:EJ58)</f>
        <v>938</v>
      </c>
      <c r="EK59" s="858">
        <f>+SUM(EK56:EK58)</f>
        <v>924</v>
      </c>
      <c r="EL59" s="858">
        <f>+SUM(EL56:EL58)</f>
        <v>936</v>
      </c>
      <c r="EM59" s="858">
        <f>+SUM(EM56:EM58)</f>
        <v>909</v>
      </c>
      <c r="EN59" s="858">
        <f>+SUM(EJ59:EM59)</f>
        <v>3707</v>
      </c>
      <c r="EO59" s="858">
        <f>+SUM(EO56:EO58)</f>
        <v>921</v>
      </c>
      <c r="EP59" s="858">
        <f>+SUM(EP56:EP58)</f>
        <v>916</v>
      </c>
      <c r="EQ59" s="858">
        <f>+SUM(EQ56:EQ58)</f>
        <v>910</v>
      </c>
      <c r="ER59" s="858">
        <f>+SUM(ER56:ER58)</f>
        <v>877</v>
      </c>
      <c r="ES59" s="858">
        <f>+SUM(EO59:ER59)</f>
        <v>3624</v>
      </c>
      <c r="ET59" s="858">
        <f>+SUM(ET56:ET58)</f>
        <v>915</v>
      </c>
      <c r="EU59" s="858">
        <f>+SUM(EU56:EU58)</f>
        <v>920</v>
      </c>
      <c r="EV59" s="858">
        <f>+SUM(EV56:EV58)</f>
        <v>940</v>
      </c>
      <c r="EW59" s="858">
        <f>+SUM(EW56:EW58)</f>
        <v>911</v>
      </c>
      <c r="EX59" s="858">
        <f>+SUM(ET59:EW59)</f>
        <v>3686</v>
      </c>
      <c r="EY59" s="858">
        <f t="shared" ref="EY59:FB59" si="141">+SUM(EY56:EY58)</f>
        <v>913.61661986541026</v>
      </c>
      <c r="EZ59" s="858">
        <f t="shared" si="141"/>
        <v>903.86544801429466</v>
      </c>
      <c r="FA59" s="858">
        <f t="shared" si="141"/>
        <v>913.07458499517986</v>
      </c>
      <c r="FB59" s="858">
        <f t="shared" si="141"/>
        <v>873.81212933835195</v>
      </c>
      <c r="FC59" s="858">
        <f>+SUM(EY59:FB59)</f>
        <v>3604.368782213237</v>
      </c>
      <c r="FD59" s="858">
        <f t="shared" ref="FD59:FH59" si="142">+SUM(FD56:FD58)</f>
        <v>3549.1844137590506</v>
      </c>
      <c r="FE59" s="858">
        <f t="shared" si="142"/>
        <v>3510.3886295258771</v>
      </c>
      <c r="FF59" s="858">
        <f t="shared" si="142"/>
        <v>3529.1921513832176</v>
      </c>
      <c r="FG59" s="858">
        <f t="shared" si="142"/>
        <v>3543.4598702876601</v>
      </c>
      <c r="FH59" s="858">
        <f t="shared" si="142"/>
        <v>3553.1709641514467</v>
      </c>
      <c r="FI59" s="858">
        <f>+SUM(FI56:FI58)</f>
        <v>3557.9042627071058</v>
      </c>
      <c r="FJ59" s="189">
        <f>+(FF59/ES59)^0.2-1</f>
        <v>-5.2878489902283832E-3</v>
      </c>
    </row>
    <row r="60" spans="1:166" x14ac:dyDescent="0.3">
      <c r="A60" s="49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4"/>
      <c r="DZ60" s="1"/>
      <c r="EA60" s="1"/>
      <c r="EB60" s="1"/>
      <c r="EC60" s="1"/>
      <c r="ED60" s="4"/>
      <c r="EE60" s="1"/>
      <c r="EF60" s="1"/>
      <c r="EG60" s="1"/>
      <c r="EH60" s="1"/>
      <c r="EI60" s="4"/>
      <c r="EJ60" s="1"/>
      <c r="EK60" s="1"/>
      <c r="EL60" s="1"/>
      <c r="EM60" s="1"/>
      <c r="EN60" s="4"/>
      <c r="EO60" s="1"/>
      <c r="EP60" s="1"/>
      <c r="EQ60" s="1"/>
      <c r="ER60" s="1"/>
      <c r="ES60" s="4"/>
      <c r="ET60" s="1"/>
      <c r="EU60" s="1"/>
      <c r="EV60" s="1"/>
      <c r="EW60" s="1"/>
      <c r="EX60" s="4"/>
      <c r="EY60" s="1"/>
      <c r="EZ60" s="1"/>
      <c r="FA60" s="1"/>
      <c r="FB60" s="1"/>
      <c r="FC60" s="4"/>
      <c r="FD60" s="1"/>
      <c r="FE60" s="1"/>
      <c r="FF60" s="1"/>
      <c r="FG60" s="1"/>
      <c r="FH60" s="1"/>
      <c r="FI60" s="1"/>
    </row>
    <row r="61" spans="1:166" x14ac:dyDescent="0.3">
      <c r="A61" s="48" t="s">
        <v>44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50">
        <f>+DU53-DU59</f>
        <v>873</v>
      </c>
      <c r="DV61" s="50">
        <f>+DV53-DV59</f>
        <v>882</v>
      </c>
      <c r="DW61" s="50">
        <f>+DW53-DW59</f>
        <v>804</v>
      </c>
      <c r="DX61" s="50">
        <f>+DX53-DX59</f>
        <v>774</v>
      </c>
      <c r="DY61" s="50">
        <f>+SUM(DU61:DX61)</f>
        <v>3333</v>
      </c>
      <c r="DZ61" s="50">
        <f>+DZ53-DZ59</f>
        <v>783</v>
      </c>
      <c r="EA61" s="50">
        <f>+EA53-EA59</f>
        <v>732</v>
      </c>
      <c r="EB61" s="50">
        <f>+EB53-EB59</f>
        <v>690</v>
      </c>
      <c r="EC61" s="50">
        <f>+EC53-EC59</f>
        <v>693</v>
      </c>
      <c r="ED61" s="50">
        <f>+SUM(DZ61:EC61)</f>
        <v>2898</v>
      </c>
      <c r="EE61" s="50">
        <f>+EE53-EE59</f>
        <v>670</v>
      </c>
      <c r="EF61" s="50">
        <f>+EF53-EF59</f>
        <v>633</v>
      </c>
      <c r="EG61" s="50">
        <f>+EG53-EG59</f>
        <v>587</v>
      </c>
      <c r="EH61" s="50">
        <f>+EH53-EH59</f>
        <v>585</v>
      </c>
      <c r="EI61" s="50">
        <f>+SUM(EE61:EH61)</f>
        <v>2475</v>
      </c>
      <c r="EJ61" s="50">
        <f>+EJ53-EJ59</f>
        <v>509</v>
      </c>
      <c r="EK61" s="50">
        <f>+EK53-EK59</f>
        <v>535</v>
      </c>
      <c r="EL61" s="50">
        <f>+EL53-EL59</f>
        <v>508</v>
      </c>
      <c r="EM61" s="50">
        <f>+EM53-EM59</f>
        <v>528</v>
      </c>
      <c r="EN61" s="50">
        <f>+SUM(EJ61:EM61)</f>
        <v>2080</v>
      </c>
      <c r="EO61" s="50">
        <f>+EO53-EO59</f>
        <v>519</v>
      </c>
      <c r="EP61" s="50">
        <f>+EP53-EP59</f>
        <v>533</v>
      </c>
      <c r="EQ61" s="50">
        <f>+EQ53-EQ59</f>
        <v>526</v>
      </c>
      <c r="ER61" s="50">
        <f>+ER53-ER59</f>
        <v>549</v>
      </c>
      <c r="ES61" s="50">
        <f>+SUM(EO61:ER61)</f>
        <v>2127</v>
      </c>
      <c r="ET61" s="50">
        <f>+ET53-ET59</f>
        <v>547</v>
      </c>
      <c r="EU61" s="50">
        <f>+EU53-EU59</f>
        <v>560</v>
      </c>
      <c r="EV61" s="50">
        <f>+EV53-EV59</f>
        <v>549</v>
      </c>
      <c r="EW61" s="50">
        <f>+EW53-EW59</f>
        <v>595</v>
      </c>
      <c r="EX61" s="50">
        <f>+SUM(ET61:EW61)</f>
        <v>2251</v>
      </c>
      <c r="EY61" s="50">
        <f t="shared" ref="EY61:FB61" si="143">+EY53-EY59</f>
        <v>557.00673078298382</v>
      </c>
      <c r="EZ61" s="50">
        <f t="shared" si="143"/>
        <v>593.66919939607885</v>
      </c>
      <c r="FA61" s="50">
        <f t="shared" si="143"/>
        <v>600.75639092527183</v>
      </c>
      <c r="FB61" s="50">
        <f t="shared" si="143"/>
        <v>665.02227580736007</v>
      </c>
      <c r="FC61" s="50">
        <f>+SUM(EY61:FB61)</f>
        <v>2416.4545969116944</v>
      </c>
      <c r="FD61" s="50">
        <f t="shared" ref="FD61:FI61" si="144">+FD53-FD59</f>
        <v>2677.0130389762598</v>
      </c>
      <c r="FE61" s="50">
        <f t="shared" si="144"/>
        <v>2993.8763244864958</v>
      </c>
      <c r="FF61" s="50">
        <f t="shared" si="144"/>
        <v>3272.0038286472327</v>
      </c>
      <c r="FG61" s="50">
        <f t="shared" si="144"/>
        <v>3533.6794470944578</v>
      </c>
      <c r="FH61" s="50">
        <f t="shared" si="144"/>
        <v>3778.5031908761971</v>
      </c>
      <c r="FI61" s="50">
        <f t="shared" si="144"/>
        <v>4001.9646887265144</v>
      </c>
      <c r="FJ61" s="189">
        <f>+(FF61/ES61)^0.2-1</f>
        <v>8.9956743432458852E-2</v>
      </c>
    </row>
    <row r="62" spans="1:166" x14ac:dyDescent="0.3">
      <c r="A62" s="46" t="s">
        <v>45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47">
        <f t="shared" ref="DU62:EI62" si="145">+DU61/DU53</f>
        <v>0.41551642075202283</v>
      </c>
      <c r="DV62" s="47">
        <f t="shared" si="145"/>
        <v>0.42670537010159654</v>
      </c>
      <c r="DW62" s="47">
        <f t="shared" si="145"/>
        <v>0.40260390585878819</v>
      </c>
      <c r="DX62" s="47">
        <f t="shared" si="145"/>
        <v>0.39855818743563337</v>
      </c>
      <c r="DY62" s="52">
        <f t="shared" si="145"/>
        <v>0.41112618724559025</v>
      </c>
      <c r="DZ62" s="47">
        <f t="shared" si="145"/>
        <v>0.40506983962752197</v>
      </c>
      <c r="EA62" s="47">
        <f t="shared" si="145"/>
        <v>0.40644086618545255</v>
      </c>
      <c r="EB62" s="47">
        <f t="shared" si="145"/>
        <v>0.39976825028968715</v>
      </c>
      <c r="EC62" s="47">
        <f t="shared" si="145"/>
        <v>0.40884955752212387</v>
      </c>
      <c r="ED62" s="52">
        <f t="shared" si="145"/>
        <v>0.40503144654088052</v>
      </c>
      <c r="EE62" s="47">
        <f>+EE61/EE53</f>
        <v>0.3997613365155131</v>
      </c>
      <c r="EF62" s="47">
        <f>+EF61/EF53</f>
        <v>0.39170792079207922</v>
      </c>
      <c r="EG62" s="47">
        <f>+EG61/EG53</f>
        <v>0.37246192893401014</v>
      </c>
      <c r="EH62" s="47">
        <f>+EH61/EH53</f>
        <v>0.37913156189241737</v>
      </c>
      <c r="EI62" s="52">
        <f t="shared" si="145"/>
        <v>0.38605521759475903</v>
      </c>
      <c r="EJ62" s="47">
        <f t="shared" ref="EJ62:EO62" si="146">+EJ61/EJ53</f>
        <v>0.35176226675881134</v>
      </c>
      <c r="EK62" s="47">
        <f t="shared" si="146"/>
        <v>0.36668951336531869</v>
      </c>
      <c r="EL62" s="47">
        <f t="shared" si="146"/>
        <v>0.35180055401662053</v>
      </c>
      <c r="EM62" s="47">
        <f t="shared" si="146"/>
        <v>0.36743215031315241</v>
      </c>
      <c r="EN62" s="52">
        <f t="shared" si="146"/>
        <v>0.35942630032832212</v>
      </c>
      <c r="EO62" s="47">
        <f t="shared" si="146"/>
        <v>0.36041666666666666</v>
      </c>
      <c r="EP62" s="47">
        <f t="shared" ref="EP62:EQ62" si="147">+EP61/EP53</f>
        <v>0.36783988957902003</v>
      </c>
      <c r="EQ62" s="47">
        <f t="shared" si="147"/>
        <v>0.36629526462395545</v>
      </c>
      <c r="ER62" s="47">
        <f t="shared" ref="ER62" si="148">+ER61/ER53</f>
        <v>0.38499298737727911</v>
      </c>
      <c r="ES62" s="52">
        <f>+ES61/ES53</f>
        <v>0.36984872196139801</v>
      </c>
      <c r="ET62" s="47">
        <f t="shared" ref="ET62:EU62" si="149">+ET61/ET53</f>
        <v>0.37414500683994528</v>
      </c>
      <c r="EU62" s="47">
        <f t="shared" si="149"/>
        <v>0.3783783783783784</v>
      </c>
      <c r="EV62" s="47">
        <f t="shared" ref="EV62:EW62" si="150">+EV61/EV53</f>
        <v>0.36870382807253188</v>
      </c>
      <c r="EW62" s="47">
        <f t="shared" si="150"/>
        <v>0.39508632138114208</v>
      </c>
      <c r="EX62" s="52">
        <f>+EX61/EX53</f>
        <v>0.37914771770254335</v>
      </c>
      <c r="EY62" s="47">
        <f t="shared" ref="EY62:FB62" si="151">+EY61/EY53</f>
        <v>0.37875553284081948</v>
      </c>
      <c r="EZ62" s="47">
        <f t="shared" si="151"/>
        <v>0.39643102777133549</v>
      </c>
      <c r="FA62" s="47">
        <f t="shared" si="151"/>
        <v>0.39684509068787888</v>
      </c>
      <c r="FB62" s="47">
        <f t="shared" si="151"/>
        <v>0.4321597395948456</v>
      </c>
      <c r="FC62" s="52">
        <f>+FC61/FC53</f>
        <v>0.40134952393552903</v>
      </c>
      <c r="FD62" s="47">
        <f t="shared" ref="FD62:FH62" si="152">+FD61/FD53</f>
        <v>0.42995954742813158</v>
      </c>
      <c r="FE62" s="47">
        <f t="shared" si="152"/>
        <v>0.46029433697033256</v>
      </c>
      <c r="FF62" s="47">
        <f t="shared" si="152"/>
        <v>0.48109241937071534</v>
      </c>
      <c r="FG62" s="47">
        <f t="shared" si="152"/>
        <v>0.49930901295321539</v>
      </c>
      <c r="FH62" s="47">
        <f t="shared" si="152"/>
        <v>0.51536703772972714</v>
      </c>
      <c r="FI62" s="47">
        <f>+FI61/FI53</f>
        <v>0.5293695849010186</v>
      </c>
    </row>
    <row r="63" spans="1:166" x14ac:dyDescent="0.3">
      <c r="A63" s="46" t="s">
        <v>29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4"/>
      <c r="DZ63" s="47">
        <f t="shared" ref="DZ63:EW63" si="153">+IFERROR(DZ61/DU61-1,"")</f>
        <v>-0.10309278350515461</v>
      </c>
      <c r="EA63" s="47">
        <f t="shared" si="153"/>
        <v>-0.17006802721088432</v>
      </c>
      <c r="EB63" s="47">
        <f t="shared" si="153"/>
        <v>-0.14179104477611937</v>
      </c>
      <c r="EC63" s="47">
        <f t="shared" si="153"/>
        <v>-0.10465116279069764</v>
      </c>
      <c r="ED63" s="52">
        <f t="shared" si="153"/>
        <v>-0.13051305130513047</v>
      </c>
      <c r="EE63" s="47">
        <f t="shared" si="153"/>
        <v>-0.14431673052362703</v>
      </c>
      <c r="EF63" s="47">
        <f t="shared" si="153"/>
        <v>-0.13524590163934425</v>
      </c>
      <c r="EG63" s="47">
        <f t="shared" si="153"/>
        <v>-0.14927536231884053</v>
      </c>
      <c r="EH63" s="47">
        <f t="shared" si="153"/>
        <v>-0.1558441558441559</v>
      </c>
      <c r="EI63" s="52">
        <f t="shared" si="153"/>
        <v>-0.14596273291925466</v>
      </c>
      <c r="EJ63" s="47">
        <f t="shared" si="153"/>
        <v>-0.24029850746268655</v>
      </c>
      <c r="EK63" s="47">
        <f t="shared" si="153"/>
        <v>-0.15481832543443919</v>
      </c>
      <c r="EL63" s="47">
        <f t="shared" si="153"/>
        <v>-0.13458262350936967</v>
      </c>
      <c r="EM63" s="47">
        <f t="shared" si="153"/>
        <v>-9.7435897435897423E-2</v>
      </c>
      <c r="EN63" s="52">
        <f>+IFERROR(EN61/EI61-1,"")</f>
        <v>-0.15959595959595962</v>
      </c>
      <c r="EO63" s="47">
        <f t="shared" si="153"/>
        <v>1.9646365422396839E-2</v>
      </c>
      <c r="EP63" s="47">
        <f t="shared" si="153"/>
        <v>-3.7383177570093906E-3</v>
      </c>
      <c r="EQ63" s="47">
        <f t="shared" si="153"/>
        <v>3.5433070866141669E-2</v>
      </c>
      <c r="ER63" s="47">
        <f t="shared" si="153"/>
        <v>3.9772727272727293E-2</v>
      </c>
      <c r="ES63" s="52">
        <f>+IFERROR(ES61/EN61-1,"")</f>
        <v>2.2596153846153877E-2</v>
      </c>
      <c r="ET63" s="47">
        <f t="shared" si="153"/>
        <v>5.3949903660886367E-2</v>
      </c>
      <c r="EU63" s="47">
        <f t="shared" si="153"/>
        <v>5.065666041275807E-2</v>
      </c>
      <c r="EV63" s="47">
        <f t="shared" si="153"/>
        <v>4.3726235741444963E-2</v>
      </c>
      <c r="EW63" s="47">
        <f t="shared" si="153"/>
        <v>8.3788706739526431E-2</v>
      </c>
      <c r="EX63" s="52">
        <f>+IFERROR(EX61/ES61-1,"")</f>
        <v>5.8298072402444667E-2</v>
      </c>
      <c r="EY63" s="47">
        <f t="shared" ref="EY63" si="154">+IFERROR(EY61/ET61-1,"")</f>
        <v>1.8293840553901042E-2</v>
      </c>
      <c r="EZ63" s="47">
        <f t="shared" ref="EZ63" si="155">+IFERROR(EZ61/EU61-1,"")</f>
        <v>6.012357035014082E-2</v>
      </c>
      <c r="FA63" s="47">
        <f t="shared" ref="FA63" si="156">+IFERROR(FA61/EV61-1,"")</f>
        <v>9.4273936111606282E-2</v>
      </c>
      <c r="FB63" s="47">
        <f t="shared" ref="FB63" si="157">+IFERROR(FB61/EW61-1,"")</f>
        <v>0.11768449715522711</v>
      </c>
      <c r="FC63" s="52">
        <f>+IFERROR(FC61/EX61-1,"")</f>
        <v>7.3502708534737504E-2</v>
      </c>
      <c r="FD63" s="47">
        <f t="shared" ref="FD63:FI63" si="158">+IFERROR(FD61/FC61-1,"")</f>
        <v>0.10782674849242668</v>
      </c>
      <c r="FE63" s="47">
        <f t="shared" si="158"/>
        <v>0.11836449090715306</v>
      </c>
      <c r="FF63" s="47">
        <f t="shared" si="158"/>
        <v>9.2898795413147495E-2</v>
      </c>
      <c r="FG63" s="47">
        <f t="shared" si="158"/>
        <v>7.997411743720706E-2</v>
      </c>
      <c r="FH63" s="47">
        <f t="shared" si="158"/>
        <v>6.9282952075079729E-2</v>
      </c>
      <c r="FI63" s="47">
        <f t="shared" si="158"/>
        <v>5.914021679005077E-2</v>
      </c>
    </row>
    <row r="64" spans="1:166" x14ac:dyDescent="0.3">
      <c r="A64" s="49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4"/>
      <c r="DZ64" s="1"/>
      <c r="EA64" s="1"/>
      <c r="EB64" s="1"/>
      <c r="EC64" s="1"/>
      <c r="ED64" s="4"/>
      <c r="EE64" s="1"/>
      <c r="EF64" s="1"/>
      <c r="EG64" s="1"/>
      <c r="EH64" s="1"/>
      <c r="EI64" s="4"/>
      <c r="EJ64" s="1"/>
      <c r="EK64" s="1"/>
      <c r="EL64" s="1"/>
      <c r="EM64" s="1"/>
      <c r="EN64" s="4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</row>
    <row r="65" spans="1:165" x14ac:dyDescent="0.3">
      <c r="A65" s="63" t="s">
        <v>49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44">
        <f>+Inputs!DU53</f>
        <v>484</v>
      </c>
      <c r="DV65" s="44">
        <f>+Inputs!DV53</f>
        <v>454</v>
      </c>
      <c r="DW65" s="44">
        <f>+Inputs!DW53</f>
        <v>422</v>
      </c>
      <c r="DX65" s="44">
        <f>+Inputs!DX53</f>
        <v>420</v>
      </c>
      <c r="DY65" s="58">
        <f>+SUM(DU65:DX65)</f>
        <v>1780</v>
      </c>
      <c r="DZ65" s="44">
        <f>+Inputs!DZ53</f>
        <v>415</v>
      </c>
      <c r="EA65" s="44">
        <f>+Inputs!EA53</f>
        <v>397</v>
      </c>
      <c r="EB65" s="44">
        <f>+Inputs!EB53</f>
        <v>392</v>
      </c>
      <c r="EC65" s="44">
        <f>+Inputs!EC53</f>
        <v>394</v>
      </c>
      <c r="ED65" s="58">
        <f>+SUM(DZ65:EC65)</f>
        <v>1598</v>
      </c>
      <c r="EE65" s="44">
        <f>+Inputs!EE53</f>
        <v>387</v>
      </c>
      <c r="EF65" s="44">
        <f>+Inputs!EF53</f>
        <v>298</v>
      </c>
      <c r="EG65" s="44">
        <f>+Inputs!EG53</f>
        <v>273</v>
      </c>
      <c r="EH65" s="44">
        <f>+Inputs!EH53</f>
        <v>282</v>
      </c>
      <c r="EI65" s="58">
        <f>+SUM(EE65:EH65)</f>
        <v>1240</v>
      </c>
      <c r="EJ65" s="44">
        <f>+Inputs!EJ53</f>
        <v>284</v>
      </c>
      <c r="EK65" s="44">
        <f>+Inputs!EK53</f>
        <v>290</v>
      </c>
      <c r="EL65" s="44">
        <f>+Inputs!EL53</f>
        <v>296</v>
      </c>
      <c r="EM65" s="44">
        <f>+Inputs!EM53</f>
        <v>312</v>
      </c>
      <c r="EN65" s="58">
        <f>+SUM(EJ65:EM65)</f>
        <v>1182</v>
      </c>
      <c r="EO65" s="44">
        <f>+Inputs!EO53</f>
        <v>330</v>
      </c>
      <c r="EP65" s="44">
        <f>+Inputs!EP53</f>
        <v>354</v>
      </c>
      <c r="EQ65" s="44">
        <f>+Inputs!EQ53</f>
        <v>356</v>
      </c>
      <c r="ER65" s="44">
        <f>+Inputs!ER53</f>
        <v>375</v>
      </c>
      <c r="ES65" s="58">
        <f>+SUM(EO65:ER65)</f>
        <v>1415</v>
      </c>
      <c r="ET65" s="44">
        <f>+Inputs!ET53</f>
        <v>388</v>
      </c>
      <c r="EU65" s="44">
        <f>+Inputs!EU53</f>
        <v>398</v>
      </c>
      <c r="EV65" s="44">
        <f>+Inputs!EV53</f>
        <v>410</v>
      </c>
      <c r="EW65" s="44">
        <f>+Inputs!EW53</f>
        <v>429</v>
      </c>
      <c r="EX65" s="58">
        <f>+SUM(ET65:EW65)</f>
        <v>1625</v>
      </c>
      <c r="EY65" s="44">
        <f>+Drivers!EY587</f>
        <v>446.79223416720856</v>
      </c>
      <c r="EZ65" s="44">
        <f>+Drivers!EZ587</f>
        <v>462.66189382808551</v>
      </c>
      <c r="FA65" s="44">
        <f>+Drivers!FA587</f>
        <v>478.19959846764107</v>
      </c>
      <c r="FB65" s="44">
        <f>+Drivers!FB587</f>
        <v>489.27314308713403</v>
      </c>
      <c r="FC65" s="58">
        <f>+SUM(EY65:FB65)</f>
        <v>1876.9268695500691</v>
      </c>
      <c r="FD65" s="44">
        <f>+Drivers!FD587</f>
        <v>1885.7573337711524</v>
      </c>
      <c r="FE65" s="44">
        <f>+Drivers!FE587</f>
        <v>1834.7439701874368</v>
      </c>
      <c r="FF65" s="44">
        <f>+Drivers!FF587</f>
        <v>1780.0313325127736</v>
      </c>
      <c r="FG65" s="44">
        <f>+Drivers!FG587</f>
        <v>1745.8726553093841</v>
      </c>
      <c r="FH65" s="44">
        <f>+Drivers!FH587</f>
        <v>1720.9729247345799</v>
      </c>
      <c r="FI65" s="44">
        <f>+Drivers!FI587</f>
        <v>1696.3052066714506</v>
      </c>
    </row>
    <row r="66" spans="1:165" x14ac:dyDescent="0.3">
      <c r="A66" s="63" t="s">
        <v>50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44">
        <f>+Inputs!DU95</f>
        <v>3</v>
      </c>
      <c r="DV66" s="44">
        <f>+Inputs!DV95</f>
        <v>4</v>
      </c>
      <c r="DW66" s="44">
        <f>+Inputs!DW95</f>
        <v>3</v>
      </c>
      <c r="DX66" s="44">
        <f>+Inputs!DX95</f>
        <v>5</v>
      </c>
      <c r="DY66" s="58">
        <f t="shared" ref="DY66:DY81" si="159">+SUM(DU66:DX66)</f>
        <v>15</v>
      </c>
      <c r="DZ66" s="44">
        <f>+Inputs!DZ95</f>
        <v>1</v>
      </c>
      <c r="EA66" s="44">
        <f>+Inputs!EA95</f>
        <v>1</v>
      </c>
      <c r="EB66" s="44">
        <f>+Inputs!EB95</f>
        <v>1</v>
      </c>
      <c r="EC66" s="44">
        <f>+Inputs!EC95</f>
        <v>0</v>
      </c>
      <c r="ED66" s="58">
        <f>+SUM(DZ66:EC66)</f>
        <v>3</v>
      </c>
      <c r="EE66" s="44">
        <f>+Inputs!EE95</f>
        <v>-1</v>
      </c>
      <c r="EF66" s="44">
        <f>+Inputs!EF95</f>
        <v>0</v>
      </c>
      <c r="EG66" s="44">
        <f>+Inputs!EG95</f>
        <v>8</v>
      </c>
      <c r="EH66" s="44">
        <f>+Inputs!EH95</f>
        <v>10</v>
      </c>
      <c r="EI66" s="58">
        <f>+SUM(EE66:EH66)</f>
        <v>17</v>
      </c>
      <c r="EJ66" s="44">
        <f>+Inputs!EJ95</f>
        <v>15</v>
      </c>
      <c r="EK66" s="44">
        <f>+Inputs!EK95</f>
        <v>20</v>
      </c>
      <c r="EL66" s="44">
        <f>+Inputs!EL95</f>
        <v>19</v>
      </c>
      <c r="EM66" s="44">
        <f>+Inputs!EM95</f>
        <v>28</v>
      </c>
      <c r="EN66" s="58">
        <f>+SUM(EJ66:EM66)</f>
        <v>82</v>
      </c>
      <c r="EO66" s="44">
        <f>+Inputs!EO95</f>
        <v>24</v>
      </c>
      <c r="EP66" s="44">
        <f>+Inputs!EP95</f>
        <v>27</v>
      </c>
      <c r="EQ66" s="44">
        <f>+Inputs!EQ95</f>
        <v>30</v>
      </c>
      <c r="ER66" s="44">
        <f>+Inputs!ER95</f>
        <v>27</v>
      </c>
      <c r="ES66" s="58">
        <f>+SUM(EO66:ER66)</f>
        <v>108</v>
      </c>
      <c r="ET66" s="44">
        <f>+Inputs!ET95</f>
        <v>26</v>
      </c>
      <c r="EU66" s="44">
        <f>+Inputs!EU95</f>
        <v>11</v>
      </c>
      <c r="EV66" s="44">
        <f>+Inputs!EV95</f>
        <v>17</v>
      </c>
      <c r="EW66" s="44">
        <f>+Inputs!EW95</f>
        <v>14</v>
      </c>
      <c r="EX66" s="58">
        <f>+SUM(ET66:EW66)</f>
        <v>68</v>
      </c>
      <c r="EY66" s="57">
        <f>EX66/4</f>
        <v>17</v>
      </c>
      <c r="EZ66" s="57">
        <f t="shared" ref="EZ66" si="160">+EY66</f>
        <v>17</v>
      </c>
      <c r="FA66" s="57">
        <f t="shared" ref="FA66" si="161">+EZ66</f>
        <v>17</v>
      </c>
      <c r="FB66" s="57">
        <f t="shared" ref="FB66" si="162">+FA66</f>
        <v>17</v>
      </c>
      <c r="FC66" s="58">
        <f>+SUM(EY66:FB66)</f>
        <v>68</v>
      </c>
      <c r="FD66" s="57">
        <f t="shared" ref="FD66:FG66" si="163">+FC66</f>
        <v>68</v>
      </c>
      <c r="FE66" s="57">
        <f t="shared" si="163"/>
        <v>68</v>
      </c>
      <c r="FF66" s="57">
        <f t="shared" si="163"/>
        <v>68</v>
      </c>
      <c r="FG66" s="57">
        <f t="shared" si="163"/>
        <v>68</v>
      </c>
      <c r="FH66" s="57">
        <f t="shared" ref="FH66:FI66" si="164">+FG66</f>
        <v>68</v>
      </c>
      <c r="FI66" s="57">
        <f t="shared" si="164"/>
        <v>68</v>
      </c>
    </row>
    <row r="67" spans="1:165" x14ac:dyDescent="0.3">
      <c r="A67" s="63" t="s">
        <v>51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44">
        <f>Inputs!DU93</f>
        <v>20</v>
      </c>
      <c r="DV67" s="44">
        <f>Inputs!DV93</f>
        <v>19</v>
      </c>
      <c r="DW67" s="44">
        <f>Inputs!DW93</f>
        <v>20</v>
      </c>
      <c r="DX67" s="44">
        <f>Inputs!DX93</f>
        <v>19</v>
      </c>
      <c r="DY67" s="58">
        <f t="shared" si="159"/>
        <v>78</v>
      </c>
      <c r="DZ67" s="44">
        <f>Inputs!DZ93</f>
        <v>23</v>
      </c>
      <c r="EA67" s="44">
        <f>Inputs!EA93</f>
        <v>23</v>
      </c>
      <c r="EB67" s="44">
        <f>Inputs!EB93</f>
        <v>24</v>
      </c>
      <c r="EC67" s="44">
        <f>Inputs!EC93</f>
        <v>20</v>
      </c>
      <c r="ED67" s="58">
        <f>+SUM(DZ67:EC67)</f>
        <v>90</v>
      </c>
      <c r="EE67" s="44">
        <f>Inputs!EE93</f>
        <v>23</v>
      </c>
      <c r="EF67" s="44">
        <f>Inputs!EF93</f>
        <v>21</v>
      </c>
      <c r="EG67" s="44">
        <f>Inputs!EG93</f>
        <v>18</v>
      </c>
      <c r="EH67" s="44">
        <f>Inputs!EH93</f>
        <v>19</v>
      </c>
      <c r="EI67" s="58">
        <f>+SUM(EE67:EH67)</f>
        <v>81</v>
      </c>
      <c r="EJ67" s="44">
        <f>Inputs!EJ93</f>
        <v>19</v>
      </c>
      <c r="EK67" s="44">
        <f>Inputs!EK93</f>
        <v>18</v>
      </c>
      <c r="EL67" s="44">
        <f>Inputs!EL93</f>
        <v>13</v>
      </c>
      <c r="EM67" s="44">
        <f>Inputs!EM93</f>
        <v>11</v>
      </c>
      <c r="EN67" s="58">
        <f>+SUM(EJ67:EM67)</f>
        <v>61</v>
      </c>
      <c r="EO67" s="44">
        <f>Inputs!EO93</f>
        <v>11</v>
      </c>
      <c r="EP67" s="44">
        <f>Inputs!EP93</f>
        <v>11</v>
      </c>
      <c r="EQ67" s="44">
        <f>Inputs!EQ93</f>
        <v>9</v>
      </c>
      <c r="ER67" s="44">
        <f>Inputs!ER93</f>
        <v>10</v>
      </c>
      <c r="ES67" s="58">
        <f>+SUM(EO67:ER67)</f>
        <v>41</v>
      </c>
      <c r="ET67" s="44">
        <f>Inputs!ET93</f>
        <v>9</v>
      </c>
      <c r="EU67" s="44">
        <f>Inputs!EU93</f>
        <v>9</v>
      </c>
      <c r="EV67" s="44">
        <f>Inputs!EV93</f>
        <v>8</v>
      </c>
      <c r="EW67" s="44">
        <f>Inputs!EW93</f>
        <v>10</v>
      </c>
      <c r="EX67" s="1342">
        <v>40</v>
      </c>
      <c r="EY67" s="363">
        <f>ET67</f>
        <v>9</v>
      </c>
      <c r="EZ67" s="363">
        <f t="shared" ref="EZ67:FB67" si="165">EU67</f>
        <v>9</v>
      </c>
      <c r="FA67" s="363">
        <f t="shared" si="165"/>
        <v>8</v>
      </c>
      <c r="FB67" s="363">
        <f t="shared" si="165"/>
        <v>10</v>
      </c>
      <c r="FC67" s="363">
        <f>EX67</f>
        <v>40</v>
      </c>
      <c r="FD67" s="363">
        <f t="shared" ref="FD67:FI67" si="166">FC67</f>
        <v>40</v>
      </c>
      <c r="FE67" s="363">
        <f t="shared" si="166"/>
        <v>40</v>
      </c>
      <c r="FF67" s="363">
        <f t="shared" si="166"/>
        <v>40</v>
      </c>
      <c r="FG67" s="363">
        <f t="shared" si="166"/>
        <v>40</v>
      </c>
      <c r="FH67" s="363">
        <f t="shared" si="166"/>
        <v>40</v>
      </c>
      <c r="FI67" s="363">
        <f t="shared" si="166"/>
        <v>40</v>
      </c>
    </row>
    <row r="68" spans="1:165" x14ac:dyDescent="0.3">
      <c r="A68" s="63" t="s">
        <v>52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59">
        <f>+DU61-DU69-SUM(DU65:DU67)</f>
        <v>27</v>
      </c>
      <c r="DV68" s="59">
        <f t="shared" ref="DV68:EA68" si="167">+DV61-DV69-SUM(DV65:DV67)</f>
        <v>5864</v>
      </c>
      <c r="DW68" s="59">
        <f t="shared" si="167"/>
        <v>333</v>
      </c>
      <c r="DX68" s="59">
        <f t="shared" si="167"/>
        <v>109</v>
      </c>
      <c r="DY68" s="58">
        <f t="shared" si="159"/>
        <v>6333</v>
      </c>
      <c r="DZ68" s="59">
        <f t="shared" si="167"/>
        <v>72</v>
      </c>
      <c r="EA68" s="59">
        <f t="shared" si="167"/>
        <v>171</v>
      </c>
      <c r="EB68" s="59">
        <f>+EB61-EB69-SUM(EB65:EB67)</f>
        <v>3</v>
      </c>
      <c r="EC68" s="59">
        <f>+EC61-EC69-SUM(EC65:EC67)</f>
        <v>2</v>
      </c>
      <c r="ED68" s="58">
        <f>+SUM(DZ68:EC68)</f>
        <v>248</v>
      </c>
      <c r="EE68" s="59">
        <f>+EE61-EE69-SUM(EE65:EE67)</f>
        <v>2</v>
      </c>
      <c r="EF68" s="59">
        <f>+EF61-EF69-SUM(EF65:EF67)</f>
        <v>16</v>
      </c>
      <c r="EG68" s="59">
        <f>+EG61-EG69-SUM(EG65:EG67)</f>
        <v>4</v>
      </c>
      <c r="EH68" s="59">
        <f>+EH61-EH69-SUM(EH65:EH67)</f>
        <v>2</v>
      </c>
      <c r="EI68" s="58">
        <f>+SUM(EE68:EH68)</f>
        <v>24</v>
      </c>
      <c r="EJ68" s="59">
        <f>+EJ61-EJ69-SUM(EJ65:EJ67)</f>
        <v>70</v>
      </c>
      <c r="EK68" s="59">
        <f>+EK61-EK69-SUM(EK65:EK67)</f>
        <v>41</v>
      </c>
      <c r="EL68" s="59">
        <f>+EL61-EL69-SUM(EL65:EL67)</f>
        <v>11</v>
      </c>
      <c r="EM68" s="59">
        <f>+EM61-EM69-SUM(EM65:EM67)</f>
        <v>41</v>
      </c>
      <c r="EN68" s="58">
        <f>+SUM(EJ68:EM68)</f>
        <v>163</v>
      </c>
      <c r="EO68" s="59">
        <f>+EO61-EO69-SUM(EO65:EO67)</f>
        <v>11</v>
      </c>
      <c r="EP68" s="59">
        <f>+EP61-EP69-SUM(EP65:EP67)</f>
        <v>26</v>
      </c>
      <c r="EQ68" s="59">
        <f>+EQ61-EQ69-SUM(EQ65:EQ67)</f>
        <v>17</v>
      </c>
      <c r="ER68" s="59">
        <f>+ER61-ER69-SUM(ER65:ER67)</f>
        <v>17</v>
      </c>
      <c r="ES68" s="58">
        <f>+SUM(EO68:ER68)</f>
        <v>71</v>
      </c>
      <c r="ET68" s="59">
        <f>+ET61-ET69-SUM(ET65:ET67)</f>
        <v>34</v>
      </c>
      <c r="EU68" s="59">
        <f>+EU61-EU69-SUM(EU65:EU67)</f>
        <v>51</v>
      </c>
      <c r="EV68" s="59">
        <f>+EV61-EV69-SUM(EV65:EV67)</f>
        <v>28</v>
      </c>
      <c r="EW68" s="59">
        <f>+EW61-EW69-SUM(EW65:EW67)</f>
        <v>56</v>
      </c>
      <c r="EX68" s="58">
        <f>+SUM(ET68:EW68)</f>
        <v>169</v>
      </c>
      <c r="EY68" s="57">
        <v>0</v>
      </c>
      <c r="EZ68" s="57">
        <v>0</v>
      </c>
      <c r="FA68" s="57">
        <v>0</v>
      </c>
      <c r="FB68" s="57">
        <v>0</v>
      </c>
      <c r="FC68" s="58">
        <f>+SUM(EY68:FB68)</f>
        <v>0</v>
      </c>
      <c r="FD68" s="57">
        <v>0</v>
      </c>
      <c r="FE68" s="57">
        <v>0</v>
      </c>
      <c r="FF68" s="57">
        <v>0</v>
      </c>
      <c r="FG68" s="57">
        <v>0</v>
      </c>
      <c r="FH68" s="57">
        <v>0</v>
      </c>
      <c r="FI68" s="57">
        <v>0</v>
      </c>
    </row>
    <row r="69" spans="1:165" x14ac:dyDescent="0.3">
      <c r="A69" s="4" t="s">
        <v>53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784">
        <f>+Inputs!DU59</f>
        <v>339</v>
      </c>
      <c r="DV69" s="1784">
        <f>+Inputs!DV59</f>
        <v>-5459</v>
      </c>
      <c r="DW69" s="1784">
        <f>+Inputs!DW59</f>
        <v>26</v>
      </c>
      <c r="DX69" s="1784">
        <f>+Inputs!DX59</f>
        <v>221</v>
      </c>
      <c r="DY69" s="1783">
        <f t="shared" si="159"/>
        <v>-4873</v>
      </c>
      <c r="DZ69" s="1784">
        <f>+Inputs!DZ59</f>
        <v>272</v>
      </c>
      <c r="EA69" s="1784">
        <f>+Inputs!EA59</f>
        <v>140</v>
      </c>
      <c r="EB69" s="1784">
        <f>+Inputs!EB59</f>
        <v>270</v>
      </c>
      <c r="EC69" s="1784">
        <f>+Inputs!EC59</f>
        <v>277</v>
      </c>
      <c r="ED69" s="1783">
        <f>+SUM(DZ69:EC69)</f>
        <v>959</v>
      </c>
      <c r="EE69" s="1784">
        <f>+Inputs!EE59</f>
        <v>259</v>
      </c>
      <c r="EF69" s="1784">
        <f>+Inputs!EF59</f>
        <v>298</v>
      </c>
      <c r="EG69" s="1784">
        <f>+Inputs!EG59</f>
        <v>284</v>
      </c>
      <c r="EH69" s="1784">
        <f>+Inputs!EH59</f>
        <v>272</v>
      </c>
      <c r="EI69" s="1783">
        <f>+SUM(EE69:EH69)</f>
        <v>1113</v>
      </c>
      <c r="EJ69" s="1784">
        <f>+Inputs!EJ59</f>
        <v>121</v>
      </c>
      <c r="EK69" s="1784">
        <f>+Inputs!EK59</f>
        <v>166</v>
      </c>
      <c r="EL69" s="1784">
        <f>+Inputs!EL59</f>
        <v>169</v>
      </c>
      <c r="EM69" s="1784">
        <f>+Inputs!EM59</f>
        <v>136</v>
      </c>
      <c r="EN69" s="1783">
        <f>+SUM(EJ69:EM69)</f>
        <v>592</v>
      </c>
      <c r="EO69" s="1784">
        <f>+Inputs!EO59</f>
        <v>143</v>
      </c>
      <c r="EP69" s="1784">
        <f>+Inputs!EP59</f>
        <v>115</v>
      </c>
      <c r="EQ69" s="1784">
        <f>+Inputs!EQ59</f>
        <v>114</v>
      </c>
      <c r="ER69" s="1784">
        <f>+Inputs!ER59</f>
        <v>120</v>
      </c>
      <c r="ES69" s="1783">
        <f>+SUM(EO69:ER69)</f>
        <v>492</v>
      </c>
      <c r="ET69" s="1784">
        <f>+Inputs!ET59</f>
        <v>90</v>
      </c>
      <c r="EU69" s="1784">
        <f>+Inputs!EU59</f>
        <v>91</v>
      </c>
      <c r="EV69" s="1784">
        <f>+Inputs!EV59</f>
        <v>86</v>
      </c>
      <c r="EW69" s="1784">
        <f>+Inputs!EW59</f>
        <v>86</v>
      </c>
      <c r="EX69" s="1783">
        <f>+SUM(ET69:EW69)</f>
        <v>353</v>
      </c>
      <c r="EY69" s="858">
        <f t="shared" ref="EY69:FB69" si="168">+EY61-SUM(EY65:EY68)</f>
        <v>84.214496615775261</v>
      </c>
      <c r="EZ69" s="858">
        <f t="shared" si="168"/>
        <v>105.00730556799334</v>
      </c>
      <c r="FA69" s="858">
        <f t="shared" si="168"/>
        <v>97.556792457630763</v>
      </c>
      <c r="FB69" s="858">
        <f t="shared" si="168"/>
        <v>148.74913272022604</v>
      </c>
      <c r="FC69" s="1783">
        <f>+SUM(EY69:FB69)</f>
        <v>435.52772736162541</v>
      </c>
      <c r="FD69" s="858">
        <f t="shared" ref="FD69:FH69" si="169">+FD61-SUM(FD65:FD68)</f>
        <v>683.25570520510746</v>
      </c>
      <c r="FE69" s="858">
        <f t="shared" si="169"/>
        <v>1051.132354299059</v>
      </c>
      <c r="FF69" s="858">
        <f t="shared" si="169"/>
        <v>1383.9724961344591</v>
      </c>
      <c r="FG69" s="858">
        <f t="shared" si="169"/>
        <v>1679.8067917850738</v>
      </c>
      <c r="FH69" s="858">
        <f t="shared" si="169"/>
        <v>1949.5302661416172</v>
      </c>
      <c r="FI69" s="858">
        <f>+FI61-SUM(FI65:FI68)</f>
        <v>2197.6594820550636</v>
      </c>
    </row>
    <row r="70" spans="1:165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59"/>
      <c r="DV70" s="1"/>
      <c r="DW70" s="1"/>
      <c r="DX70" s="1"/>
      <c r="DY70" s="4"/>
      <c r="DZ70" s="1"/>
      <c r="EA70" s="1"/>
      <c r="EB70" s="1"/>
      <c r="EC70" s="1"/>
      <c r="ED70" s="4"/>
      <c r="EE70" s="1"/>
      <c r="EF70" s="1"/>
      <c r="EG70" s="1"/>
      <c r="EH70" s="1"/>
      <c r="EI70" s="4"/>
      <c r="EJ70" s="1"/>
      <c r="EK70" s="1"/>
      <c r="EL70" s="1"/>
      <c r="EM70" s="1"/>
      <c r="EN70" s="58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</row>
    <row r="71" spans="1:165" x14ac:dyDescent="0.3">
      <c r="A71" s="1" t="s">
        <v>54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44">
        <f>+Inputs!DU61*-1</f>
        <v>9</v>
      </c>
      <c r="DV71" s="44">
        <f>+Inputs!DV61*-1</f>
        <v>9</v>
      </c>
      <c r="DW71" s="44">
        <f>+Inputs!DW61*-1</f>
        <v>10</v>
      </c>
      <c r="DX71" s="44">
        <f>+Inputs!DX61*-1</f>
        <v>9</v>
      </c>
      <c r="DY71" s="58">
        <f t="shared" si="159"/>
        <v>37</v>
      </c>
      <c r="DZ71" s="44">
        <f>+Inputs!DZ61*-1</f>
        <v>-5</v>
      </c>
      <c r="EA71" s="44">
        <f>+Inputs!EA61*-1</f>
        <v>20</v>
      </c>
      <c r="EB71" s="44">
        <f>+Inputs!EB61*-1</f>
        <v>14</v>
      </c>
      <c r="EC71" s="44">
        <f>+Inputs!EC61*-1</f>
        <v>14</v>
      </c>
      <c r="ED71" s="58">
        <f t="shared" ref="ED71:ED79" si="170">+SUM(DZ71:EC71)</f>
        <v>43</v>
      </c>
      <c r="EE71" s="44">
        <f>+Inputs!EE61*-1</f>
        <v>-2</v>
      </c>
      <c r="EF71" s="44">
        <f>+Inputs!EF61*-1</f>
        <v>3</v>
      </c>
      <c r="EG71" s="44">
        <f>+Inputs!EG61*-1</f>
        <v>37</v>
      </c>
      <c r="EH71" s="44">
        <f>+Inputs!EH61*-1</f>
        <v>-34</v>
      </c>
      <c r="EI71" s="58">
        <f t="shared" ref="EI71:EI81" si="171">+SUM(EE71:EH71)</f>
        <v>4</v>
      </c>
      <c r="EJ71" s="44">
        <f>+Inputs!EJ61*-1</f>
        <v>-77</v>
      </c>
      <c r="EK71" s="44">
        <f>+Inputs!EK61*-1</f>
        <v>-122</v>
      </c>
      <c r="EL71" s="44">
        <f>+Inputs!EL61*-1</f>
        <v>-211</v>
      </c>
      <c r="EM71" s="44">
        <f>+Inputs!EM61*-1</f>
        <v>-144</v>
      </c>
      <c r="EN71" s="58">
        <f t="shared" ref="EN71:EN81" si="172">+SUM(EJ71:EM71)</f>
        <v>-554</v>
      </c>
      <c r="EO71" s="44">
        <f>+Inputs!EO61*-1</f>
        <v>-2</v>
      </c>
      <c r="EP71" s="44">
        <f>+Inputs!EP61*-1</f>
        <v>-32</v>
      </c>
      <c r="EQ71" s="44">
        <f>+Inputs!EQ61*-1</f>
        <v>-67</v>
      </c>
      <c r="ER71" s="44">
        <f>+Inputs!ER61*-1</f>
        <v>-177</v>
      </c>
      <c r="ES71" s="58">
        <f t="shared" ref="ES71:ES74" si="173">+SUM(EO71:ER71)</f>
        <v>-278</v>
      </c>
      <c r="ET71" s="44">
        <f>+Inputs!ET61*-1</f>
        <v>-112</v>
      </c>
      <c r="EU71" s="44">
        <f>+Inputs!EU61*-1</f>
        <v>24</v>
      </c>
      <c r="EV71" s="44">
        <f>+Inputs!EV61*-1</f>
        <v>-29</v>
      </c>
      <c r="EW71" s="44">
        <f>+Inputs!EW61*-1</f>
        <v>12</v>
      </c>
      <c r="EX71" s="58">
        <f t="shared" ref="EX71:EX74" si="174">+SUM(ET71:EW71)</f>
        <v>-105</v>
      </c>
      <c r="EY71" s="57">
        <v>0</v>
      </c>
      <c r="EZ71" s="57">
        <v>0</v>
      </c>
      <c r="FA71" s="57">
        <v>0</v>
      </c>
      <c r="FB71" s="57">
        <v>0</v>
      </c>
      <c r="FC71" s="58">
        <f t="shared" ref="FC71:FC74" si="175">+SUM(EY71:FB71)</f>
        <v>0</v>
      </c>
      <c r="FD71" s="57">
        <v>0</v>
      </c>
      <c r="FE71" s="57">
        <v>0</v>
      </c>
      <c r="FF71" s="57">
        <v>0</v>
      </c>
      <c r="FG71" s="57">
        <v>0</v>
      </c>
      <c r="FH71" s="57">
        <v>0</v>
      </c>
      <c r="FI71" s="57">
        <v>0</v>
      </c>
    </row>
    <row r="72" spans="1:165" x14ac:dyDescent="0.3">
      <c r="A72" s="1" t="s">
        <v>55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44">
        <f>+SUM(Inputs!DU62:DU64)*-1</f>
        <v>20</v>
      </c>
      <c r="DV72" s="44">
        <f>+SUM(Inputs!DV62:DV64)*-1</f>
        <v>0</v>
      </c>
      <c r="DW72" s="44">
        <f>+SUM(Inputs!DW62:DW64)*-1</f>
        <v>0</v>
      </c>
      <c r="DX72" s="44">
        <f>+SUM(Inputs!DX62:DX64)*-1</f>
        <v>57</v>
      </c>
      <c r="DY72" s="58">
        <f t="shared" si="159"/>
        <v>77</v>
      </c>
      <c r="DZ72" s="44">
        <f>+SUM(Inputs!DZ62:DZ64)*-1</f>
        <v>103</v>
      </c>
      <c r="EA72" s="44">
        <f>+SUM(Inputs!EA62:EA64)*-1</f>
        <v>198</v>
      </c>
      <c r="EB72" s="44">
        <f>+SUM(Inputs!EB62:EB64)*-1</f>
        <v>131</v>
      </c>
      <c r="EC72" s="44">
        <f>+SUM(Inputs!EC62:EC64)*-1</f>
        <v>208</v>
      </c>
      <c r="ED72" s="58">
        <f t="shared" si="170"/>
        <v>640</v>
      </c>
      <c r="EE72" s="44">
        <f>+SUM(Inputs!EE62:EE64)*-1</f>
        <v>25</v>
      </c>
      <c r="EF72" s="44">
        <f>+SUM(Inputs!EF62:EF64)*-1</f>
        <v>-4196</v>
      </c>
      <c r="EG72" s="44">
        <f>+SUM(Inputs!EG62:EG64)*-1</f>
        <v>0</v>
      </c>
      <c r="EH72" s="44">
        <f>+SUM(Inputs!EH62:EH64)*-1</f>
        <v>0</v>
      </c>
      <c r="EI72" s="58">
        <f t="shared" si="171"/>
        <v>-4171</v>
      </c>
      <c r="EJ72" s="44">
        <f>+SUM(Inputs!EJ62:EJ64)*-1</f>
        <v>0</v>
      </c>
      <c r="EK72" s="44">
        <f>+SUM(Inputs!EK62:EK64)*-1</f>
        <v>0</v>
      </c>
      <c r="EL72" s="44">
        <f>+SUM(Inputs!EL62:EL64)*-1</f>
        <v>50</v>
      </c>
      <c r="EM72" s="44">
        <f>+SUM(Inputs!EM62:EM64)*-1</f>
        <v>5</v>
      </c>
      <c r="EN72" s="58">
        <f t="shared" si="172"/>
        <v>55</v>
      </c>
      <c r="EO72" s="44">
        <f>+SUM(Inputs!EO62:EO64)*-1</f>
        <v>0</v>
      </c>
      <c r="EP72" s="44">
        <f>+SUM(Inputs!EP62:EP64)*-1</f>
        <v>0</v>
      </c>
      <c r="EQ72" s="44">
        <f>+SUM(Inputs!EQ62:EQ64)*-1</f>
        <v>0</v>
      </c>
      <c r="ER72" s="44">
        <f>+SUM(Inputs!ER62:ER64)*-1</f>
        <v>0</v>
      </c>
      <c r="ES72" s="58">
        <f t="shared" si="173"/>
        <v>0</v>
      </c>
      <c r="ET72" s="44">
        <f>+SUM(Inputs!ET62:ET64)*-1</f>
        <v>0</v>
      </c>
      <c r="EU72" s="44">
        <f>+SUM(Inputs!EU62:EU64)*-1</f>
        <v>0</v>
      </c>
      <c r="EV72" s="44">
        <f>+SUM(Inputs!EV62:EV64)*-1</f>
        <v>0</v>
      </c>
      <c r="EW72" s="44">
        <f>+SUM(Inputs!EW62:EW64)*-1</f>
        <v>0</v>
      </c>
      <c r="EX72" s="58">
        <f t="shared" si="174"/>
        <v>0</v>
      </c>
      <c r="EY72" s="57">
        <v>0</v>
      </c>
      <c r="EZ72" s="57">
        <v>0</v>
      </c>
      <c r="FA72" s="57">
        <v>0</v>
      </c>
      <c r="FB72" s="57">
        <v>0</v>
      </c>
      <c r="FC72" s="58">
        <f t="shared" si="175"/>
        <v>0</v>
      </c>
      <c r="FD72" s="57">
        <f t="shared" ref="FD72:FI72" si="176">+FC72</f>
        <v>0</v>
      </c>
      <c r="FE72" s="57">
        <f t="shared" si="176"/>
        <v>0</v>
      </c>
      <c r="FF72" s="57">
        <f t="shared" si="176"/>
        <v>0</v>
      </c>
      <c r="FG72" s="57">
        <f t="shared" si="176"/>
        <v>0</v>
      </c>
      <c r="FH72" s="57">
        <f t="shared" si="176"/>
        <v>0</v>
      </c>
      <c r="FI72" s="57">
        <f t="shared" si="176"/>
        <v>0</v>
      </c>
    </row>
    <row r="73" spans="1:165" x14ac:dyDescent="0.3">
      <c r="A73" s="1" t="s">
        <v>56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44">
        <f>+Inputs!DU65*-1</f>
        <v>379</v>
      </c>
      <c r="DV73" s="44">
        <f>+Inputs!DV65*-1</f>
        <v>383</v>
      </c>
      <c r="DW73" s="44">
        <f>+Inputs!DW65*-1</f>
        <v>382</v>
      </c>
      <c r="DX73" s="44">
        <f>+Inputs!DX65*-1</f>
        <v>391</v>
      </c>
      <c r="DY73" s="58">
        <f t="shared" si="159"/>
        <v>1535</v>
      </c>
      <c r="DZ73" s="44">
        <f>+Inputs!DZ65*-1</f>
        <v>383</v>
      </c>
      <c r="EA73" s="44">
        <f>+Inputs!EA65*-1</f>
        <v>160</v>
      </c>
      <c r="EB73" s="44">
        <f>+Inputs!EB65*-1</f>
        <v>121</v>
      </c>
      <c r="EC73" s="44">
        <f>+Inputs!EC65*-1</f>
        <v>98</v>
      </c>
      <c r="ED73" s="60">
        <f t="shared" si="170"/>
        <v>762</v>
      </c>
      <c r="EE73" s="44">
        <f>+Inputs!EE65*-1</f>
        <v>89</v>
      </c>
      <c r="EF73" s="44">
        <f>+Inputs!EF65*-1</f>
        <v>91</v>
      </c>
      <c r="EG73" s="44">
        <f>+Inputs!EG65*-1</f>
        <v>90</v>
      </c>
      <c r="EH73" s="44">
        <f>+Inputs!EH65*-1</f>
        <v>105</v>
      </c>
      <c r="EI73" s="60">
        <f t="shared" si="171"/>
        <v>375</v>
      </c>
      <c r="EJ73" s="44">
        <f>+Inputs!EJ65*-1</f>
        <v>103</v>
      </c>
      <c r="EK73" s="44">
        <f>+Inputs!EK65*-1</f>
        <v>118</v>
      </c>
      <c r="EL73" s="44">
        <f>+Inputs!EL65*-1</f>
        <v>135</v>
      </c>
      <c r="EM73" s="44">
        <f>+Inputs!EM65*-1</f>
        <v>136</v>
      </c>
      <c r="EN73" s="60">
        <f t="shared" si="172"/>
        <v>492</v>
      </c>
      <c r="EO73" s="44">
        <f>+Inputs!EO65*-1</f>
        <v>141</v>
      </c>
      <c r="EP73" s="44">
        <f>+Inputs!EP65*-1</f>
        <v>149</v>
      </c>
      <c r="EQ73" s="44">
        <f>+Inputs!EQ65*-1</f>
        <v>170</v>
      </c>
      <c r="ER73" s="44">
        <f>+Inputs!ER65*-1</f>
        <v>193</v>
      </c>
      <c r="ES73" s="60">
        <f t="shared" si="173"/>
        <v>653</v>
      </c>
      <c r="ET73" s="44">
        <f>+Inputs!ET65*-1</f>
        <v>199</v>
      </c>
      <c r="EU73" s="44">
        <f>+Inputs!EU65*-1</f>
        <v>199</v>
      </c>
      <c r="EV73" s="44">
        <f>+Inputs!EV65*-1</f>
        <v>203</v>
      </c>
      <c r="EW73" s="44">
        <f>+Inputs!EW65*-1</f>
        <v>203</v>
      </c>
      <c r="EX73" s="60">
        <f t="shared" si="174"/>
        <v>804</v>
      </c>
      <c r="EY73" s="183">
        <f t="shared" ref="EY73:FB73" si="177">EY207</f>
        <v>217.58846267772512</v>
      </c>
      <c r="EZ73" s="183">
        <f t="shared" si="177"/>
        <v>219.67064892344496</v>
      </c>
      <c r="FA73" s="183">
        <f t="shared" si="177"/>
        <v>216.82408854166667</v>
      </c>
      <c r="FB73" s="183">
        <f t="shared" si="177"/>
        <v>215.82489919354839</v>
      </c>
      <c r="FC73" s="60">
        <f t="shared" si="175"/>
        <v>869.90809933638513</v>
      </c>
      <c r="FD73" s="183">
        <f t="shared" ref="FD73:FI73" si="178">FD207</f>
        <v>964.07832879033003</v>
      </c>
      <c r="FE73" s="183">
        <f t="shared" si="178"/>
        <v>1020.8021294202155</v>
      </c>
      <c r="FF73" s="183">
        <f t="shared" si="178"/>
        <v>1045.1177970308152</v>
      </c>
      <c r="FG73" s="183">
        <f t="shared" si="178"/>
        <v>1045.3428535101159</v>
      </c>
      <c r="FH73" s="183">
        <f t="shared" si="178"/>
        <v>1011.7913571906414</v>
      </c>
      <c r="FI73" s="183">
        <f t="shared" si="178"/>
        <v>1020.628024696224</v>
      </c>
    </row>
    <row r="74" spans="1:165" x14ac:dyDescent="0.3">
      <c r="A74" s="4" t="s">
        <v>57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783">
        <f>+DU69-SUM(DU71:DU73)</f>
        <v>-69</v>
      </c>
      <c r="DV74" s="1783">
        <f t="shared" ref="DV74:EA74" si="179">+DV69-SUM(DV71:DV73)</f>
        <v>-5851</v>
      </c>
      <c r="DW74" s="1783">
        <f t="shared" si="179"/>
        <v>-366</v>
      </c>
      <c r="DX74" s="1783">
        <f t="shared" si="179"/>
        <v>-236</v>
      </c>
      <c r="DY74" s="1783">
        <f t="shared" si="159"/>
        <v>-6522</v>
      </c>
      <c r="DZ74" s="1783">
        <f t="shared" si="179"/>
        <v>-209</v>
      </c>
      <c r="EA74" s="1783">
        <f t="shared" si="179"/>
        <v>-238</v>
      </c>
      <c r="EB74" s="1783">
        <f>+EB69-SUM(EB71:EB73)</f>
        <v>4</v>
      </c>
      <c r="EC74" s="1783">
        <f>+EC69-SUM(EC71:EC73)</f>
        <v>-43</v>
      </c>
      <c r="ED74" s="1783">
        <f t="shared" si="170"/>
        <v>-486</v>
      </c>
      <c r="EE74" s="1783">
        <f>+EE69-SUM(EE71:EE73)</f>
        <v>147</v>
      </c>
      <c r="EF74" s="1783">
        <f>+EF69-SUM(EF71:EF73)</f>
        <v>4400</v>
      </c>
      <c r="EG74" s="1783">
        <f>+EG69-SUM(EG71:EG73)</f>
        <v>157</v>
      </c>
      <c r="EH74" s="1783">
        <f>+EH69-SUM(EH71:EH73)</f>
        <v>201</v>
      </c>
      <c r="EI74" s="1783">
        <f t="shared" si="171"/>
        <v>4905</v>
      </c>
      <c r="EJ74" s="1783">
        <f>+EJ69-SUM(EJ71:EJ73)</f>
        <v>95</v>
      </c>
      <c r="EK74" s="1783">
        <f>+EK69-SUM(EK71:EK73)</f>
        <v>170</v>
      </c>
      <c r="EL74" s="1783">
        <f>+EL69-SUM(EL71:EL73)</f>
        <v>195</v>
      </c>
      <c r="EM74" s="1783">
        <f>+EM69-SUM(EM71:EM73)</f>
        <v>139</v>
      </c>
      <c r="EN74" s="1783">
        <f t="shared" si="172"/>
        <v>599</v>
      </c>
      <c r="EO74" s="1783">
        <f>+EO69-SUM(EO71:EO73)</f>
        <v>4</v>
      </c>
      <c r="EP74" s="1783">
        <f>+EP69-SUM(EP71:EP73)</f>
        <v>-2</v>
      </c>
      <c r="EQ74" s="1783">
        <f>+EQ69-SUM(EQ71:EQ73)</f>
        <v>11</v>
      </c>
      <c r="ER74" s="1783">
        <f>+ER69-SUM(ER71:ER73)</f>
        <v>104</v>
      </c>
      <c r="ES74" s="1783">
        <f t="shared" si="173"/>
        <v>117</v>
      </c>
      <c r="ET74" s="1783">
        <f>+ET69-SUM(ET71:ET73)</f>
        <v>3</v>
      </c>
      <c r="EU74" s="1783">
        <f>+EU69-SUM(EU71:EU73)</f>
        <v>-132</v>
      </c>
      <c r="EV74" s="1783">
        <f>+EV69-SUM(EV71:EV73)</f>
        <v>-88</v>
      </c>
      <c r="EW74" s="1783">
        <f>+EW69-SUM(EW71:EW73)</f>
        <v>-129</v>
      </c>
      <c r="EX74" s="1783">
        <f t="shared" si="174"/>
        <v>-346</v>
      </c>
      <c r="EY74" s="1783">
        <f t="shared" ref="EY74:FB74" si="180">+EY69-SUM(EY71:EY73)</f>
        <v>-133.37396606194986</v>
      </c>
      <c r="EZ74" s="1783">
        <f t="shared" si="180"/>
        <v>-114.66334335545162</v>
      </c>
      <c r="FA74" s="1783">
        <f t="shared" si="180"/>
        <v>-119.26729608403591</v>
      </c>
      <c r="FB74" s="1783">
        <f t="shared" si="180"/>
        <v>-67.075766473322346</v>
      </c>
      <c r="FC74" s="1783">
        <f t="shared" si="175"/>
        <v>-434.38037197475973</v>
      </c>
      <c r="FD74" s="1783">
        <f t="shared" ref="FD74:FH74" si="181">+FD69-SUM(FD71:FD73)</f>
        <v>-280.82262358522257</v>
      </c>
      <c r="FE74" s="1783">
        <f t="shared" si="181"/>
        <v>30.330224878843524</v>
      </c>
      <c r="FF74" s="1783">
        <f t="shared" si="181"/>
        <v>338.85469910364395</v>
      </c>
      <c r="FG74" s="1783">
        <f t="shared" si="181"/>
        <v>634.46393827495785</v>
      </c>
      <c r="FH74" s="1783">
        <f t="shared" si="181"/>
        <v>937.73890895097577</v>
      </c>
      <c r="FI74" s="1783">
        <f>+FI69-SUM(FI71:FI73)</f>
        <v>1177.0314573588396</v>
      </c>
    </row>
    <row r="75" spans="1:165" x14ac:dyDescent="0.3">
      <c r="A75" s="1" t="s">
        <v>58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44">
        <f>+Inputs!DU67</f>
        <v>18</v>
      </c>
      <c r="DV75" s="44">
        <f>+Inputs!DV67</f>
        <v>-534</v>
      </c>
      <c r="DW75" s="44">
        <f>+Inputs!DW67</f>
        <v>-21</v>
      </c>
      <c r="DX75" s="44">
        <f>+Inputs!DX67</f>
        <v>-74</v>
      </c>
      <c r="DY75" s="152">
        <f t="shared" si="159"/>
        <v>-611</v>
      </c>
      <c r="DZ75" s="44">
        <f>+Inputs!DZ67</f>
        <v>-23</v>
      </c>
      <c r="EA75" s="44">
        <f>+Inputs!EA67</f>
        <v>-57</v>
      </c>
      <c r="EB75" s="44">
        <f>+Inputs!EB67</f>
        <v>-11</v>
      </c>
      <c r="EC75" s="44">
        <f>+Inputs!EC67</f>
        <v>7</v>
      </c>
      <c r="ED75" s="152">
        <f t="shared" si="170"/>
        <v>-84</v>
      </c>
      <c r="EE75" s="44">
        <f>+Inputs!EE67</f>
        <v>87</v>
      </c>
      <c r="EF75" s="44">
        <f>+Inputs!EF67</f>
        <v>-180</v>
      </c>
      <c r="EG75" s="44">
        <f>+Inputs!EG67</f>
        <v>31</v>
      </c>
      <c r="EH75" s="44">
        <f>+Inputs!EH67</f>
        <v>12</v>
      </c>
      <c r="EI75" s="152">
        <f>+SUM(EE75:EH75)</f>
        <v>-50</v>
      </c>
      <c r="EJ75" s="44">
        <f>+Inputs!EJ67</f>
        <v>30</v>
      </c>
      <c r="EK75" s="44">
        <f>+Inputs!EK67</f>
        <v>69</v>
      </c>
      <c r="EL75" s="44">
        <f>+Inputs!EL67</f>
        <v>75</v>
      </c>
      <c r="EM75" s="44">
        <f>+Inputs!EM67</f>
        <v>-16</v>
      </c>
      <c r="EN75" s="152">
        <f>+SUM(EJ75:EM75)</f>
        <v>158</v>
      </c>
      <c r="EO75" s="44">
        <f>+Inputs!EO67</f>
        <v>1</v>
      </c>
      <c r="EP75" s="44">
        <f>+Inputs!EP67</f>
        <v>0</v>
      </c>
      <c r="EQ75" s="44">
        <f>+Inputs!EQ67</f>
        <v>0</v>
      </c>
      <c r="ER75" s="44">
        <f>+Inputs!ER67</f>
        <v>87</v>
      </c>
      <c r="ES75" s="152">
        <f>+SUM(EO75:ER75)</f>
        <v>88</v>
      </c>
      <c r="ET75" s="44">
        <f>+Inputs!ET67</f>
        <v>2</v>
      </c>
      <c r="EU75" s="44">
        <f>+Inputs!EU67</f>
        <v>-9</v>
      </c>
      <c r="EV75" s="44">
        <f>+Inputs!EV67</f>
        <v>-6</v>
      </c>
      <c r="EW75" s="44">
        <f>+Inputs!EW67</f>
        <v>-11</v>
      </c>
      <c r="EX75" s="152">
        <f>+SUM(ET75:EW75)</f>
        <v>-24</v>
      </c>
      <c r="EY75" s="157">
        <f t="shared" ref="EY75:FB75" si="182">+EY77*EY74</f>
        <v>-33.343491515487464</v>
      </c>
      <c r="EZ75" s="157">
        <f t="shared" si="182"/>
        <v>-28.665835838862904</v>
      </c>
      <c r="FA75" s="157">
        <f t="shared" si="182"/>
        <v>-29.816824021008976</v>
      </c>
      <c r="FB75" s="157">
        <f t="shared" si="182"/>
        <v>-16.768941618330587</v>
      </c>
      <c r="FC75" s="152">
        <f>+SUM(EY75:FB75)</f>
        <v>-108.59509299368993</v>
      </c>
      <c r="FD75" s="157">
        <f>+FD77*FD74</f>
        <v>-70.205655896305643</v>
      </c>
      <c r="FE75" s="157">
        <f t="shared" ref="FE75:FH75" si="183">+FE77*FE74</f>
        <v>7.5825562197108809</v>
      </c>
      <c r="FF75" s="157">
        <f t="shared" si="183"/>
        <v>84.713674775910988</v>
      </c>
      <c r="FG75" s="157">
        <f t="shared" si="183"/>
        <v>158.61598456873946</v>
      </c>
      <c r="FH75" s="157">
        <f t="shared" si="183"/>
        <v>234.43472723774394</v>
      </c>
      <c r="FI75" s="157">
        <f>+FI77*FI74</f>
        <v>294.2578643397099</v>
      </c>
    </row>
    <row r="76" spans="1:165" x14ac:dyDescent="0.3">
      <c r="A76" s="4" t="s">
        <v>59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783">
        <f>+DU74-DU75</f>
        <v>-87</v>
      </c>
      <c r="DV76" s="1783">
        <f t="shared" ref="DV76:EA76" si="184">+DV74-DV75</f>
        <v>-5317</v>
      </c>
      <c r="DW76" s="1783">
        <f t="shared" si="184"/>
        <v>-345</v>
      </c>
      <c r="DX76" s="1783">
        <f t="shared" si="184"/>
        <v>-162</v>
      </c>
      <c r="DY76" s="58">
        <f t="shared" si="159"/>
        <v>-5911</v>
      </c>
      <c r="DZ76" s="1783">
        <f t="shared" si="184"/>
        <v>-186</v>
      </c>
      <c r="EA76" s="1783">
        <f t="shared" si="184"/>
        <v>-181</v>
      </c>
      <c r="EB76" s="1783">
        <f>+EB74-EB75</f>
        <v>15</v>
      </c>
      <c r="EC76" s="1783">
        <f>+EC74-EC75</f>
        <v>-50</v>
      </c>
      <c r="ED76" s="58">
        <f t="shared" si="170"/>
        <v>-402</v>
      </c>
      <c r="EE76" s="1783">
        <f>+EE74-EE75</f>
        <v>60</v>
      </c>
      <c r="EF76" s="1783">
        <f>+EF74-EF75</f>
        <v>4580</v>
      </c>
      <c r="EG76" s="1783">
        <f>+EG74-EG75</f>
        <v>126</v>
      </c>
      <c r="EH76" s="1783">
        <f>+EH74-EH75</f>
        <v>189</v>
      </c>
      <c r="EI76" s="58">
        <f t="shared" si="171"/>
        <v>4955</v>
      </c>
      <c r="EJ76" s="1783">
        <f>+EJ74-EJ75</f>
        <v>65</v>
      </c>
      <c r="EK76" s="1783">
        <f>+EK74-EK75</f>
        <v>101</v>
      </c>
      <c r="EL76" s="1783">
        <f>+EL74-EL75</f>
        <v>120</v>
      </c>
      <c r="EM76" s="1783">
        <f>+EM74-EM75</f>
        <v>155</v>
      </c>
      <c r="EN76" s="58">
        <f t="shared" si="172"/>
        <v>441</v>
      </c>
      <c r="EO76" s="1783">
        <f>+EO74-EO75</f>
        <v>3</v>
      </c>
      <c r="EP76" s="1783">
        <f>+EP74-EP75</f>
        <v>-2</v>
      </c>
      <c r="EQ76" s="1783">
        <f>+EQ74-EQ75</f>
        <v>11</v>
      </c>
      <c r="ER76" s="1783">
        <f>+ER74-ER75</f>
        <v>17</v>
      </c>
      <c r="ES76" s="58">
        <f t="shared" ref="ES76:ES81" si="185">+SUM(EO76:ER76)</f>
        <v>29</v>
      </c>
      <c r="ET76" s="1783">
        <f>+ET74-ET75</f>
        <v>1</v>
      </c>
      <c r="EU76" s="1783">
        <f>+EU74-EU75</f>
        <v>-123</v>
      </c>
      <c r="EV76" s="1783">
        <f>+EV74-EV75</f>
        <v>-82</v>
      </c>
      <c r="EW76" s="1783">
        <f>+EW74-EW75</f>
        <v>-118</v>
      </c>
      <c r="EX76" s="58">
        <f t="shared" ref="EX76:EX81" si="186">+SUM(ET76:EW76)</f>
        <v>-322</v>
      </c>
      <c r="EY76" s="1783">
        <f t="shared" ref="EY76:FB76" si="187">+EY74-EY75</f>
        <v>-100.03047454646239</v>
      </c>
      <c r="EZ76" s="1783">
        <f t="shared" si="187"/>
        <v>-85.997507516588712</v>
      </c>
      <c r="FA76" s="1783">
        <f t="shared" si="187"/>
        <v>-89.450472063026922</v>
      </c>
      <c r="FB76" s="1783">
        <f t="shared" si="187"/>
        <v>-50.30682485499176</v>
      </c>
      <c r="FC76" s="58">
        <f t="shared" ref="FC76:FC81" si="188">+SUM(EY76:FB76)</f>
        <v>-325.78527898106978</v>
      </c>
      <c r="FD76" s="1783">
        <f t="shared" ref="FD76:FH76" si="189">+FD74-FD75</f>
        <v>-210.61696768891693</v>
      </c>
      <c r="FE76" s="1783">
        <f t="shared" si="189"/>
        <v>22.747668659132643</v>
      </c>
      <c r="FF76" s="1783">
        <f t="shared" si="189"/>
        <v>254.14102432773296</v>
      </c>
      <c r="FG76" s="1783">
        <f t="shared" si="189"/>
        <v>475.84795370621839</v>
      </c>
      <c r="FH76" s="1783">
        <f t="shared" si="189"/>
        <v>703.30418171323186</v>
      </c>
      <c r="FI76" s="1783">
        <f>+FI74-FI75</f>
        <v>882.77359301912975</v>
      </c>
    </row>
    <row r="77" spans="1:165" x14ac:dyDescent="0.3">
      <c r="A77" s="33" t="s">
        <v>60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55">
        <f>+DU75/DU74</f>
        <v>-0.2608695652173913</v>
      </c>
      <c r="DV77" s="155">
        <f t="shared" ref="DV77:EA77" si="190">+DV75/DV74</f>
        <v>9.1266450179456504E-2</v>
      </c>
      <c r="DW77" s="155">
        <f t="shared" si="190"/>
        <v>5.737704918032787E-2</v>
      </c>
      <c r="DX77" s="155">
        <f t="shared" si="190"/>
        <v>0.3135593220338983</v>
      </c>
      <c r="DY77" s="154">
        <f t="shared" si="190"/>
        <v>9.3682919349892674E-2</v>
      </c>
      <c r="DZ77" s="155">
        <f t="shared" si="190"/>
        <v>0.11004784688995216</v>
      </c>
      <c r="EA77" s="155">
        <f t="shared" si="190"/>
        <v>0.23949579831932774</v>
      </c>
      <c r="EB77" s="155">
        <f t="shared" ref="EB77:EG77" si="191">+EB75/EB74</f>
        <v>-2.75</v>
      </c>
      <c r="EC77" s="155">
        <f t="shared" si="191"/>
        <v>-0.16279069767441862</v>
      </c>
      <c r="ED77" s="154">
        <f t="shared" si="191"/>
        <v>0.1728395061728395</v>
      </c>
      <c r="EE77" s="155">
        <f t="shared" si="191"/>
        <v>0.59183673469387754</v>
      </c>
      <c r="EF77" s="155">
        <f t="shared" si="191"/>
        <v>-4.0909090909090909E-2</v>
      </c>
      <c r="EG77" s="155">
        <f t="shared" si="191"/>
        <v>0.19745222929936307</v>
      </c>
      <c r="EH77" s="155">
        <f t="shared" ref="EH77:EJ77" si="192">+EH75/EH74</f>
        <v>5.9701492537313432E-2</v>
      </c>
      <c r="EI77" s="154">
        <f>+EI75/EI74</f>
        <v>-1.0193679918450561E-2</v>
      </c>
      <c r="EJ77" s="155">
        <f t="shared" si="192"/>
        <v>0.31578947368421051</v>
      </c>
      <c r="EK77" s="155">
        <f t="shared" ref="EK77:EL77" si="193">+EK75/EK74</f>
        <v>0.40588235294117647</v>
      </c>
      <c r="EL77" s="155">
        <f t="shared" si="193"/>
        <v>0.38461538461538464</v>
      </c>
      <c r="EM77" s="155">
        <f t="shared" ref="EM77" si="194">+EM75/EM74</f>
        <v>-0.11510791366906475</v>
      </c>
      <c r="EN77" s="154">
        <f>+EN75/EN74</f>
        <v>0.26377295492487479</v>
      </c>
      <c r="EO77" s="155">
        <f t="shared" ref="EO77:EP77" si="195">+EO75/EO74</f>
        <v>0.25</v>
      </c>
      <c r="EP77" s="155">
        <f t="shared" si="195"/>
        <v>0</v>
      </c>
      <c r="EQ77" s="155">
        <f t="shared" ref="EQ77:ER77" si="196">+EQ75/EQ74</f>
        <v>0</v>
      </c>
      <c r="ER77" s="155">
        <f t="shared" si="196"/>
        <v>0.83653846153846156</v>
      </c>
      <c r="ES77" s="154">
        <f>+ES75/ES74</f>
        <v>0.75213675213675213</v>
      </c>
      <c r="ET77" s="155">
        <f t="shared" ref="ET77:EU77" si="197">+ET75/ET74</f>
        <v>0.66666666666666663</v>
      </c>
      <c r="EU77" s="155">
        <f t="shared" si="197"/>
        <v>6.8181818181818177E-2</v>
      </c>
      <c r="EV77" s="155">
        <f t="shared" ref="EV77:EW77" si="198">+EV75/EV74</f>
        <v>6.8181818181818177E-2</v>
      </c>
      <c r="EW77" s="155">
        <f t="shared" si="198"/>
        <v>8.5271317829457363E-2</v>
      </c>
      <c r="EX77" s="154">
        <f>+EX75/EX74</f>
        <v>6.9364161849710976E-2</v>
      </c>
      <c r="EY77" s="156">
        <v>0.25</v>
      </c>
      <c r="EZ77" s="156">
        <v>0.25</v>
      </c>
      <c r="FA77" s="156">
        <v>0.25</v>
      </c>
      <c r="FB77" s="156">
        <v>0.25</v>
      </c>
      <c r="FC77" s="154">
        <f>+FC75/FC74</f>
        <v>0.25</v>
      </c>
      <c r="FD77" s="156">
        <f>+FC77</f>
        <v>0.25</v>
      </c>
      <c r="FE77" s="156">
        <f t="shared" ref="FE77:FI77" si="199">+FD77</f>
        <v>0.25</v>
      </c>
      <c r="FF77" s="156">
        <f t="shared" si="199"/>
        <v>0.25</v>
      </c>
      <c r="FG77" s="156">
        <f t="shared" si="199"/>
        <v>0.25</v>
      </c>
      <c r="FH77" s="156">
        <f t="shared" si="199"/>
        <v>0.25</v>
      </c>
      <c r="FI77" s="156">
        <f t="shared" si="199"/>
        <v>0.25</v>
      </c>
    </row>
    <row r="78" spans="1:165" x14ac:dyDescent="0.3">
      <c r="A78" s="1" t="s">
        <v>61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44">
        <f>+Inputs!DU69</f>
        <v>0</v>
      </c>
      <c r="DV78" s="44">
        <f>+Inputs!DV69</f>
        <v>0</v>
      </c>
      <c r="DW78" s="44">
        <f>+Inputs!DW69</f>
        <v>0</v>
      </c>
      <c r="DX78" s="44">
        <f>+Inputs!DX69</f>
        <v>0</v>
      </c>
      <c r="DY78" s="58">
        <f t="shared" si="159"/>
        <v>0</v>
      </c>
      <c r="DZ78" s="44">
        <f>+Inputs!DZ69</f>
        <v>0</v>
      </c>
      <c r="EA78" s="44">
        <f>+Inputs!EA69</f>
        <v>0</v>
      </c>
      <c r="EB78" s="44">
        <f>+Inputs!EB69</f>
        <v>0</v>
      </c>
      <c r="EC78" s="44">
        <f>+Inputs!EC69</f>
        <v>0</v>
      </c>
      <c r="ED78" s="58">
        <f t="shared" si="170"/>
        <v>0</v>
      </c>
      <c r="EE78" s="44">
        <f>+Inputs!EE69</f>
        <v>0</v>
      </c>
      <c r="EF78" s="44">
        <f>+Inputs!EF69</f>
        <v>0</v>
      </c>
      <c r="EG78" s="44">
        <f>+Inputs!EG69</f>
        <v>0</v>
      </c>
      <c r="EH78" s="44">
        <f>+Inputs!EH69</f>
        <v>0</v>
      </c>
      <c r="EI78" s="58">
        <f t="shared" si="171"/>
        <v>0</v>
      </c>
      <c r="EJ78" s="44">
        <f>+Inputs!EJ69</f>
        <v>0</v>
      </c>
      <c r="EK78" s="44">
        <f>+Inputs!EK69</f>
        <v>0</v>
      </c>
      <c r="EL78" s="44">
        <f>+Inputs!EL69</f>
        <v>0</v>
      </c>
      <c r="EM78" s="44">
        <f>+Inputs!EM69</f>
        <v>0</v>
      </c>
      <c r="EN78" s="58">
        <f t="shared" si="172"/>
        <v>0</v>
      </c>
      <c r="EO78" s="44">
        <f>+Inputs!EO69</f>
        <v>0</v>
      </c>
      <c r="EP78" s="44">
        <f>+Inputs!EP69</f>
        <v>0</v>
      </c>
      <c r="EQ78" s="44">
        <f>+Inputs!EQ69</f>
        <v>0</v>
      </c>
      <c r="ER78" s="44">
        <f>+Inputs!ER69</f>
        <v>0</v>
      </c>
      <c r="ES78" s="58">
        <f t="shared" si="185"/>
        <v>0</v>
      </c>
      <c r="ET78" s="44">
        <f>+Inputs!ET69</f>
        <v>0</v>
      </c>
      <c r="EU78" s="44">
        <f>+Inputs!EU69</f>
        <v>0</v>
      </c>
      <c r="EV78" s="44">
        <f>+Inputs!EV69</f>
        <v>0</v>
      </c>
      <c r="EW78" s="44">
        <f>+Inputs!EW69</f>
        <v>0</v>
      </c>
      <c r="EX78" s="58">
        <f t="shared" si="186"/>
        <v>0</v>
      </c>
      <c r="EY78" s="57">
        <v>0</v>
      </c>
      <c r="EZ78" s="57">
        <v>0</v>
      </c>
      <c r="FA78" s="57">
        <v>0</v>
      </c>
      <c r="FB78" s="57">
        <v>0</v>
      </c>
      <c r="FC78" s="58">
        <f t="shared" si="188"/>
        <v>0</v>
      </c>
      <c r="FD78" s="57">
        <v>0</v>
      </c>
      <c r="FE78" s="57">
        <v>0</v>
      </c>
      <c r="FF78" s="57">
        <v>0</v>
      </c>
      <c r="FG78" s="57">
        <v>0</v>
      </c>
      <c r="FH78" s="57">
        <v>0</v>
      </c>
      <c r="FI78" s="57">
        <v>0</v>
      </c>
    </row>
    <row r="79" spans="1:165" x14ac:dyDescent="0.3">
      <c r="A79" s="4" t="s">
        <v>62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783">
        <f>+DU76-DU78</f>
        <v>-87</v>
      </c>
      <c r="DV79" s="1783">
        <f t="shared" ref="DV79:EA79" si="200">+DV76-DV78</f>
        <v>-5317</v>
      </c>
      <c r="DW79" s="1783">
        <f t="shared" si="200"/>
        <v>-345</v>
      </c>
      <c r="DX79" s="1783">
        <f t="shared" si="200"/>
        <v>-162</v>
      </c>
      <c r="DY79" s="1783">
        <f t="shared" si="159"/>
        <v>-5911</v>
      </c>
      <c r="DZ79" s="1783">
        <f t="shared" si="200"/>
        <v>-186</v>
      </c>
      <c r="EA79" s="1783">
        <f t="shared" si="200"/>
        <v>-181</v>
      </c>
      <c r="EB79" s="1783">
        <f>+EB76-EB78</f>
        <v>15</v>
      </c>
      <c r="EC79" s="1783">
        <f>+EC76-EC78</f>
        <v>-50</v>
      </c>
      <c r="ED79" s="1783">
        <f t="shared" si="170"/>
        <v>-402</v>
      </c>
      <c r="EE79" s="1783">
        <f>+EE76-EE78</f>
        <v>60</v>
      </c>
      <c r="EF79" s="1783">
        <f>+EF76-EF78</f>
        <v>4580</v>
      </c>
      <c r="EG79" s="1783">
        <f>+EG76-EG78</f>
        <v>126</v>
      </c>
      <c r="EH79" s="1783">
        <f>+EH76-EH78</f>
        <v>189</v>
      </c>
      <c r="EI79" s="1783">
        <f t="shared" si="171"/>
        <v>4955</v>
      </c>
      <c r="EJ79" s="1783">
        <f>+EJ76-EJ78</f>
        <v>65</v>
      </c>
      <c r="EK79" s="1783">
        <f>+EK76-EK78</f>
        <v>101</v>
      </c>
      <c r="EL79" s="1783">
        <f>+EL76-EL78</f>
        <v>120</v>
      </c>
      <c r="EM79" s="1783">
        <f>+EM76-EM78</f>
        <v>155</v>
      </c>
      <c r="EN79" s="1783">
        <f t="shared" si="172"/>
        <v>441</v>
      </c>
      <c r="EO79" s="1783">
        <f>+EO76-EO78</f>
        <v>3</v>
      </c>
      <c r="EP79" s="1783">
        <f>+EP76-EP78</f>
        <v>-2</v>
      </c>
      <c r="EQ79" s="1783">
        <f>+EQ76-EQ78</f>
        <v>11</v>
      </c>
      <c r="ER79" s="1783">
        <f>+ER76-ER78</f>
        <v>17</v>
      </c>
      <c r="ES79" s="1783">
        <f t="shared" si="185"/>
        <v>29</v>
      </c>
      <c r="ET79" s="1783">
        <f>+ET76-ET78</f>
        <v>1</v>
      </c>
      <c r="EU79" s="1783">
        <f>+EU76-EU78</f>
        <v>-123</v>
      </c>
      <c r="EV79" s="1783">
        <f>+EV76-EV78</f>
        <v>-82</v>
      </c>
      <c r="EW79" s="1783">
        <f>+EW76-EW78</f>
        <v>-118</v>
      </c>
      <c r="EX79" s="1783">
        <f t="shared" si="186"/>
        <v>-322</v>
      </c>
      <c r="EY79" s="1783">
        <f t="shared" ref="EY79:FB79" si="201">+EY76-EY78</f>
        <v>-100.03047454646239</v>
      </c>
      <c r="EZ79" s="1783">
        <f t="shared" si="201"/>
        <v>-85.997507516588712</v>
      </c>
      <c r="FA79" s="1783">
        <f t="shared" si="201"/>
        <v>-89.450472063026922</v>
      </c>
      <c r="FB79" s="1783">
        <f t="shared" si="201"/>
        <v>-50.30682485499176</v>
      </c>
      <c r="FC79" s="1783">
        <f t="shared" si="188"/>
        <v>-325.78527898106978</v>
      </c>
      <c r="FD79" s="1783">
        <f t="shared" ref="FD79:FH79" si="202">+FD76-FD78</f>
        <v>-210.61696768891693</v>
      </c>
      <c r="FE79" s="1783">
        <f t="shared" si="202"/>
        <v>22.747668659132643</v>
      </c>
      <c r="FF79" s="1783">
        <f t="shared" si="202"/>
        <v>254.14102432773296</v>
      </c>
      <c r="FG79" s="1783">
        <f t="shared" si="202"/>
        <v>475.84795370621839</v>
      </c>
      <c r="FH79" s="1783">
        <f t="shared" si="202"/>
        <v>703.30418171323186</v>
      </c>
      <c r="FI79" s="1783">
        <f>+FI76-FI78</f>
        <v>882.77359301912975</v>
      </c>
    </row>
    <row r="80" spans="1:165" x14ac:dyDescent="0.3">
      <c r="A80" s="1" t="s">
        <v>63</v>
      </c>
      <c r="DU80" s="57">
        <v>260</v>
      </c>
      <c r="DV80" s="57">
        <v>260</v>
      </c>
      <c r="DW80" s="57">
        <v>260</v>
      </c>
      <c r="DX80" s="57">
        <v>260</v>
      </c>
      <c r="DY80" s="160">
        <f>+DY79/DY81</f>
        <v>260</v>
      </c>
      <c r="DZ80" s="57">
        <v>260</v>
      </c>
      <c r="EA80" s="57">
        <v>260</v>
      </c>
      <c r="EB80" s="57">
        <v>260</v>
      </c>
      <c r="EC80" s="57">
        <v>260</v>
      </c>
      <c r="ED80" s="746">
        <f>+ED79/ED81</f>
        <v>260</v>
      </c>
      <c r="EE80" s="57">
        <v>260</v>
      </c>
      <c r="EF80" s="44">
        <f>Inputs!EF73</f>
        <v>188.51599999999999</v>
      </c>
      <c r="EG80" s="44">
        <f>Inputs!EG73</f>
        <v>244.40299999999999</v>
      </c>
      <c r="EH80" s="44">
        <f>Inputs!EH73</f>
        <v>244.30799999999999</v>
      </c>
      <c r="EI80" s="746">
        <f>EH80</f>
        <v>244.30799999999999</v>
      </c>
      <c r="EJ80" s="44">
        <f>Inputs!EJ73</f>
        <v>244.43299999999999</v>
      </c>
      <c r="EK80" s="44">
        <f>Inputs!EK73</f>
        <v>244.72300000000001</v>
      </c>
      <c r="EL80" s="44">
        <f>Inputs!EL73</f>
        <v>244.98400000000001</v>
      </c>
      <c r="EM80" s="44">
        <f>Inputs!EM73</f>
        <v>245.01</v>
      </c>
      <c r="EN80" s="746">
        <f>+EN79/EN81</f>
        <v>244.85197305884239</v>
      </c>
      <c r="EO80" s="44">
        <f>Inputs!EO73</f>
        <v>245.08099999999999</v>
      </c>
      <c r="EP80" s="44">
        <f>Inputs!EP73</f>
        <v>245.47399999999999</v>
      </c>
      <c r="EQ80" s="44">
        <f>Inputs!EQ73</f>
        <v>245.761</v>
      </c>
      <c r="ER80" s="44">
        <f>Inputs!ER73</f>
        <v>245.79900000000001</v>
      </c>
      <c r="ES80" s="746">
        <f>+ES79/ES81</f>
        <v>245.73255195069063</v>
      </c>
      <c r="ET80" s="44">
        <f>Inputs!ET73</f>
        <v>246.30099999999999</v>
      </c>
      <c r="EU80" s="44">
        <f>Inputs!EU73</f>
        <v>248.75399999999999</v>
      </c>
      <c r="EV80" s="44">
        <f>Inputs!EV73</f>
        <v>248.98599999999999</v>
      </c>
      <c r="EW80" s="44">
        <f>Inputs!EW73</f>
        <v>248.185</v>
      </c>
      <c r="EX80" s="746">
        <f>+EX79/EX81</f>
        <v>248.61180732473289</v>
      </c>
      <c r="EY80" s="745">
        <f t="shared" ref="EY80:FB80" si="203">+EY93</f>
        <v>245.02099999999999</v>
      </c>
      <c r="EZ80" s="745">
        <f t="shared" si="203"/>
        <v>245.02099999999999</v>
      </c>
      <c r="FA80" s="745">
        <f t="shared" si="203"/>
        <v>245.02099999999999</v>
      </c>
      <c r="FB80" s="745">
        <f t="shared" si="203"/>
        <v>245.02099999999999</v>
      </c>
      <c r="FC80" s="746">
        <f>+FC79/FC81</f>
        <v>245.02099999999999</v>
      </c>
      <c r="FD80" s="745">
        <f t="shared" ref="FD80:FI80" si="204">+FD93</f>
        <v>245.02099999999999</v>
      </c>
      <c r="FE80" s="745">
        <f t="shared" si="204"/>
        <v>245.02099999999999</v>
      </c>
      <c r="FF80" s="745">
        <f t="shared" si="204"/>
        <v>245.02099999999999</v>
      </c>
      <c r="FG80" s="745">
        <f t="shared" si="204"/>
        <v>245.02099999999999</v>
      </c>
      <c r="FH80" s="745">
        <f t="shared" si="204"/>
        <v>235.11806317073439</v>
      </c>
      <c r="FI80" s="745">
        <f t="shared" si="204"/>
        <v>202.70755526989461</v>
      </c>
    </row>
    <row r="81" spans="1:165" ht="12.5" thickBot="1" x14ac:dyDescent="0.35">
      <c r="A81" s="4" t="s">
        <v>64</v>
      </c>
      <c r="DU81" s="185">
        <f>+DU79/DU80</f>
        <v>-0.33461538461538459</v>
      </c>
      <c r="DV81" s="185">
        <f t="shared" ref="DV81:EA81" si="205">+DV79/DV80</f>
        <v>-20.45</v>
      </c>
      <c r="DW81" s="185">
        <f t="shared" si="205"/>
        <v>-1.3269230769230769</v>
      </c>
      <c r="DX81" s="185">
        <f t="shared" si="205"/>
        <v>-0.62307692307692308</v>
      </c>
      <c r="DY81" s="185">
        <f t="shared" si="159"/>
        <v>-22.734615384615385</v>
      </c>
      <c r="DZ81" s="185">
        <f t="shared" si="205"/>
        <v>-0.7153846153846154</v>
      </c>
      <c r="EA81" s="185">
        <f t="shared" si="205"/>
        <v>-0.69615384615384612</v>
      </c>
      <c r="EB81" s="185">
        <f>+EB79/EB80</f>
        <v>5.7692307692307696E-2</v>
      </c>
      <c r="EC81" s="185">
        <f>+EC79/EC80</f>
        <v>-0.19230769230769232</v>
      </c>
      <c r="ED81" s="185">
        <f>+SUM(DZ81:EC81)</f>
        <v>-1.546153846153846</v>
      </c>
      <c r="EE81" s="185">
        <f>+EE79/EE80</f>
        <v>0.23076923076923078</v>
      </c>
      <c r="EF81" s="185">
        <f>+EF79/EF80</f>
        <v>24.295020051348427</v>
      </c>
      <c r="EG81" s="185">
        <f>+EG79/EG80</f>
        <v>0.51554195324934637</v>
      </c>
      <c r="EH81" s="185">
        <f>+EH79/EH80</f>
        <v>0.77361363524731075</v>
      </c>
      <c r="EI81" s="185">
        <f t="shared" si="171"/>
        <v>25.814944870614315</v>
      </c>
      <c r="EJ81" s="185">
        <f>+EJ79/EJ80</f>
        <v>0.26592154087214082</v>
      </c>
      <c r="EK81" s="185">
        <f>+EK79/EK80</f>
        <v>0.41271151465125877</v>
      </c>
      <c r="EL81" s="185">
        <f>+EL79/EL80</f>
        <v>0.48982790712862878</v>
      </c>
      <c r="EM81" s="185">
        <f>+EM79/EM80</f>
        <v>0.63262723970450185</v>
      </c>
      <c r="EN81" s="185">
        <f t="shared" si="172"/>
        <v>1.8010882023565302</v>
      </c>
      <c r="EO81" s="185">
        <f>+EO79/EO80</f>
        <v>1.2240850983960406E-2</v>
      </c>
      <c r="EP81" s="185">
        <f>+EP79/EP80</f>
        <v>-8.1475023831444476E-3</v>
      </c>
      <c r="EQ81" s="185">
        <f>+EQ79/EQ80</f>
        <v>4.4758932458770918E-2</v>
      </c>
      <c r="ER81" s="185">
        <f>+ER79/ER80</f>
        <v>6.9162201636296328E-2</v>
      </c>
      <c r="ES81" s="185">
        <f t="shared" si="185"/>
        <v>0.1180144826958832</v>
      </c>
      <c r="ET81" s="185">
        <f>+ET79/ET80</f>
        <v>4.0600728377067083E-3</v>
      </c>
      <c r="EU81" s="185">
        <f>+EU79/EU80</f>
        <v>-0.49446441062254276</v>
      </c>
      <c r="EV81" s="185">
        <f>+EV79/EV80</f>
        <v>-0.32933578594780433</v>
      </c>
      <c r="EW81" s="185">
        <f>+EW79/EW80</f>
        <v>-0.47545177992223542</v>
      </c>
      <c r="EX81" s="185">
        <f t="shared" si="186"/>
        <v>-1.2951919036548758</v>
      </c>
      <c r="EY81" s="185">
        <f t="shared" ref="EY81:FB81" si="206">+EY79/EY80</f>
        <v>-0.40825265812506845</v>
      </c>
      <c r="EZ81" s="185">
        <f t="shared" si="206"/>
        <v>-0.35098015074866529</v>
      </c>
      <c r="FA81" s="185">
        <f t="shared" si="206"/>
        <v>-0.36507267566056351</v>
      </c>
      <c r="FB81" s="185">
        <f t="shared" si="206"/>
        <v>-0.20531638045307041</v>
      </c>
      <c r="FC81" s="185">
        <f t="shared" si="188"/>
        <v>-1.3296218649873677</v>
      </c>
      <c r="FD81" s="185">
        <f t="shared" ref="FD81:FH81" si="207">+FD79/FD80</f>
        <v>-0.85958741368665115</v>
      </c>
      <c r="FE81" s="185">
        <f t="shared" si="207"/>
        <v>9.2839669494176602E-2</v>
      </c>
      <c r="FF81" s="185">
        <f t="shared" si="207"/>
        <v>1.0372213986871859</v>
      </c>
      <c r="FG81" s="185">
        <f t="shared" si="207"/>
        <v>1.9420700825897308</v>
      </c>
      <c r="FH81" s="185">
        <f t="shared" si="207"/>
        <v>2.9912809429810476</v>
      </c>
      <c r="FI81" s="185">
        <f>+FI79/FI80</f>
        <v>4.3549121385424554</v>
      </c>
    </row>
    <row r="82" spans="1:165" ht="12.5" thickTop="1" x14ac:dyDescent="0.3">
      <c r="A82" s="33" t="s">
        <v>65</v>
      </c>
      <c r="DU82" s="184"/>
      <c r="DV82" s="184"/>
      <c r="DW82" s="184"/>
      <c r="DX82" s="184"/>
      <c r="DY82" s="184"/>
      <c r="DZ82" s="184"/>
      <c r="EA82" s="184"/>
      <c r="EB82" s="184"/>
      <c r="EC82" s="184"/>
      <c r="ED82" s="184"/>
      <c r="EE82" s="184"/>
      <c r="EF82" s="184"/>
      <c r="EG82" s="184"/>
      <c r="EH82" s="184"/>
      <c r="EI82" s="184"/>
      <c r="EJ82" s="184"/>
      <c r="EK82" s="184"/>
      <c r="EL82" s="184"/>
      <c r="EM82" s="184"/>
      <c r="EN82" s="184"/>
      <c r="EO82" s="184"/>
      <c r="EP82" s="184"/>
      <c r="EQ82" s="184"/>
      <c r="ER82" s="184"/>
      <c r="ES82" s="184"/>
      <c r="ET82" s="184"/>
      <c r="EU82" s="184"/>
      <c r="EV82" s="184"/>
      <c r="EW82" s="184"/>
      <c r="EX82" s="184"/>
      <c r="EY82" s="184"/>
      <c r="EZ82" s="184"/>
      <c r="FA82" s="184"/>
      <c r="FB82" s="184"/>
      <c r="FC82" s="184"/>
      <c r="FD82" s="184"/>
      <c r="FE82" s="184"/>
      <c r="FF82" s="184"/>
      <c r="FG82" s="184"/>
      <c r="FH82" s="184"/>
      <c r="FI82" s="184"/>
    </row>
    <row r="83" spans="1:165" x14ac:dyDescent="0.3">
      <c r="A83" s="1"/>
      <c r="ET83" s="90"/>
      <c r="EU83" s="90"/>
      <c r="EV83" s="90"/>
      <c r="EW83" s="90"/>
      <c r="EY83" s="90"/>
      <c r="EZ83" s="90"/>
      <c r="FA83" s="90"/>
      <c r="FB83" s="90"/>
    </row>
    <row r="84" spans="1:165" x14ac:dyDescent="0.3">
      <c r="A84" s="1785" t="s">
        <v>66</v>
      </c>
      <c r="B84" s="806"/>
      <c r="C84" s="806"/>
      <c r="D84" s="806"/>
      <c r="E84" s="806"/>
      <c r="F84" s="806"/>
      <c r="G84" s="806"/>
      <c r="H84" s="806"/>
      <c r="I84" s="806"/>
      <c r="J84" s="806"/>
      <c r="K84" s="806"/>
      <c r="L84" s="806"/>
      <c r="M84" s="806"/>
      <c r="N84" s="806"/>
      <c r="O84" s="806"/>
      <c r="P84" s="806"/>
      <c r="Q84" s="806"/>
      <c r="R84" s="806"/>
      <c r="S84" s="806"/>
      <c r="T84" s="806"/>
      <c r="U84" s="806"/>
      <c r="V84" s="806"/>
      <c r="W84" s="806"/>
      <c r="X84" s="806"/>
      <c r="Y84" s="806"/>
      <c r="Z84" s="806"/>
      <c r="AA84" s="806"/>
      <c r="AB84" s="806"/>
      <c r="AC84" s="806"/>
      <c r="AD84" s="806"/>
      <c r="AE84" s="806"/>
      <c r="AF84" s="806"/>
      <c r="AG84" s="806"/>
      <c r="AH84" s="806"/>
      <c r="AI84" s="806"/>
      <c r="AJ84" s="806"/>
      <c r="AK84" s="806"/>
      <c r="AL84" s="806"/>
      <c r="AM84" s="806"/>
      <c r="AN84" s="806"/>
      <c r="AO84" s="806"/>
      <c r="AP84" s="806"/>
      <c r="AQ84" s="806"/>
      <c r="AR84" s="806"/>
      <c r="AS84" s="806"/>
      <c r="AT84" s="806"/>
      <c r="AU84" s="806"/>
      <c r="AV84" s="806"/>
      <c r="AW84" s="806"/>
      <c r="AX84" s="806"/>
      <c r="AY84" s="806"/>
      <c r="AZ84" s="806"/>
      <c r="BA84" s="806"/>
      <c r="BB84" s="806"/>
      <c r="BC84" s="806"/>
      <c r="BD84" s="806"/>
      <c r="BE84" s="806"/>
      <c r="BF84" s="806"/>
      <c r="BG84" s="806"/>
      <c r="BH84" s="806"/>
      <c r="BI84" s="806"/>
      <c r="BJ84" s="806"/>
      <c r="BK84" s="806"/>
      <c r="BL84" s="806"/>
      <c r="BM84" s="806"/>
      <c r="BN84" s="806"/>
      <c r="BO84" s="806"/>
      <c r="BP84" s="806"/>
      <c r="BQ84" s="806"/>
      <c r="BR84" s="806"/>
      <c r="BS84" s="806"/>
      <c r="BT84" s="806"/>
      <c r="BU84" s="806"/>
      <c r="BV84" s="806"/>
      <c r="BW84" s="806"/>
      <c r="BX84" s="806"/>
      <c r="BY84" s="806"/>
      <c r="BZ84" s="806"/>
      <c r="CA84" s="806"/>
      <c r="CB84" s="806"/>
      <c r="CC84" s="806"/>
      <c r="CD84" s="806"/>
      <c r="CE84" s="806"/>
      <c r="CF84" s="806"/>
      <c r="CG84" s="806"/>
      <c r="CH84" s="806"/>
      <c r="CI84" s="806"/>
      <c r="CJ84" s="806"/>
      <c r="CK84" s="806"/>
      <c r="CL84" s="806"/>
      <c r="CM84" s="806"/>
      <c r="CN84" s="806"/>
      <c r="CO84" s="806"/>
      <c r="CP84" s="806"/>
      <c r="CQ84" s="806"/>
      <c r="CR84" s="806"/>
      <c r="CS84" s="806"/>
      <c r="CT84" s="806"/>
      <c r="CU84" s="806"/>
      <c r="CV84" s="806"/>
      <c r="CW84" s="806"/>
      <c r="CX84" s="806"/>
      <c r="CY84" s="806"/>
      <c r="CZ84" s="806"/>
      <c r="DA84" s="806"/>
      <c r="DB84" s="806"/>
      <c r="DC84" s="806"/>
      <c r="DD84" s="806"/>
      <c r="DE84" s="806"/>
      <c r="DF84" s="806"/>
      <c r="DG84" s="806"/>
      <c r="DH84" s="806"/>
      <c r="DI84" s="806"/>
      <c r="DJ84" s="806"/>
      <c r="DK84" s="806"/>
      <c r="DL84" s="806"/>
      <c r="DM84" s="806"/>
      <c r="DN84" s="806"/>
      <c r="DO84" s="806"/>
      <c r="DP84" s="806"/>
      <c r="DQ84" s="806"/>
      <c r="DR84" s="806"/>
      <c r="DS84" s="806"/>
      <c r="DT84" s="806"/>
      <c r="DU84" s="806"/>
      <c r="DV84" s="806"/>
      <c r="DW84" s="806"/>
      <c r="DX84" s="806"/>
      <c r="DY84" s="1209"/>
      <c r="DZ84" s="806"/>
      <c r="EA84" s="806"/>
      <c r="EB84" s="806"/>
      <c r="EC84" s="806"/>
      <c r="ED84" s="1209"/>
      <c r="EE84" s="806"/>
      <c r="EF84" s="806"/>
      <c r="EG84" s="806"/>
      <c r="EH84" s="806"/>
      <c r="EI84" s="1209"/>
      <c r="EJ84" s="806"/>
      <c r="EK84" s="806"/>
      <c r="EL84" s="806"/>
      <c r="EM84" s="806"/>
      <c r="EN84" s="1209"/>
      <c r="EO84" s="1209"/>
      <c r="EP84" s="1209"/>
      <c r="EQ84" s="1209"/>
      <c r="ER84" s="1209"/>
      <c r="ES84" s="806"/>
      <c r="ET84" s="1209"/>
      <c r="EU84" s="1209"/>
      <c r="EV84" s="1209"/>
      <c r="EW84" s="1209"/>
      <c r="EX84" s="806"/>
      <c r="EY84" s="1209"/>
      <c r="EZ84" s="1209"/>
      <c r="FA84" s="1209"/>
      <c r="FB84" s="1209"/>
      <c r="FC84" s="806"/>
      <c r="FD84" s="806"/>
      <c r="FE84" s="806"/>
      <c r="FF84" s="806"/>
      <c r="FG84" s="806"/>
      <c r="FH84" s="806"/>
      <c r="FI84" s="806"/>
    </row>
    <row r="85" spans="1:165" x14ac:dyDescent="0.3">
      <c r="A85" s="747" t="s">
        <v>67</v>
      </c>
      <c r="DU85" s="76"/>
      <c r="DV85" s="76"/>
      <c r="DW85" s="76"/>
      <c r="DX85" s="76"/>
      <c r="DY85" s="85"/>
      <c r="DZ85" s="76"/>
      <c r="EA85" s="76">
        <f>+DZ88</f>
        <v>260</v>
      </c>
      <c r="EB85" s="76">
        <f>+EA88</f>
        <v>260</v>
      </c>
      <c r="EC85" s="76">
        <f>+EB88</f>
        <v>260</v>
      </c>
      <c r="ED85" s="85">
        <f>+DZ88</f>
        <v>260</v>
      </c>
      <c r="EE85" s="76">
        <f>+ED88</f>
        <v>260</v>
      </c>
      <c r="EF85" s="76">
        <f>+EE88</f>
        <v>260</v>
      </c>
      <c r="EG85" s="76">
        <f>+EF88</f>
        <v>244.40100000000001</v>
      </c>
      <c r="EH85" s="76">
        <f>+EG88</f>
        <v>244.40700000000001</v>
      </c>
      <c r="EI85" s="85">
        <f>+EE85</f>
        <v>260</v>
      </c>
      <c r="EJ85" s="76">
        <f>+EI88</f>
        <v>244.416</v>
      </c>
      <c r="EK85" s="76">
        <f>+EJ88</f>
        <v>244.476</v>
      </c>
      <c r="EL85" s="76">
        <f>+EK88</f>
        <v>244.96899999999999</v>
      </c>
      <c r="EM85" s="76">
        <f>+EL88</f>
        <v>244.999</v>
      </c>
      <c r="EN85" s="85">
        <f>+EJ85</f>
        <v>244.416</v>
      </c>
      <c r="EO85" s="76">
        <f t="shared" ref="EO85:ER85" si="208">+EN88</f>
        <v>245.02099999999999</v>
      </c>
      <c r="EP85" s="76">
        <f t="shared" si="208"/>
        <v>245.02099999999999</v>
      </c>
      <c r="EQ85" s="76">
        <f t="shared" si="208"/>
        <v>245.02099999999999</v>
      </c>
      <c r="ER85" s="76">
        <f t="shared" si="208"/>
        <v>245.02099999999999</v>
      </c>
      <c r="ES85" s="85">
        <f>+EO85</f>
        <v>245.02099999999999</v>
      </c>
      <c r="ET85" s="76">
        <f t="shared" ref="ET85:EU85" si="209">+ES88</f>
        <v>245.02099999999999</v>
      </c>
      <c r="EU85" s="76">
        <f t="shared" si="209"/>
        <v>245.02099999999999</v>
      </c>
      <c r="EV85" s="76">
        <f t="shared" ref="EV85" si="210">+EU88</f>
        <v>245.02099999999999</v>
      </c>
      <c r="EW85" s="76">
        <f t="shared" ref="EW85" si="211">+EV88</f>
        <v>245.02099999999999</v>
      </c>
      <c r="EX85" s="85">
        <f>+ET85</f>
        <v>245.02099999999999</v>
      </c>
      <c r="EY85" s="76">
        <f t="shared" ref="EY85" si="212">+EX88</f>
        <v>245.02099999999999</v>
      </c>
      <c r="EZ85" s="76">
        <f t="shared" ref="EZ85" si="213">+EY88</f>
        <v>245.02099999999999</v>
      </c>
      <c r="FA85" s="76">
        <f t="shared" ref="FA85" si="214">+EZ88</f>
        <v>245.02099999999999</v>
      </c>
      <c r="FB85" s="76">
        <f t="shared" ref="FB85" si="215">+FA88</f>
        <v>245.02099999999999</v>
      </c>
      <c r="FC85" s="85">
        <f>+EY85</f>
        <v>245.02099999999999</v>
      </c>
      <c r="FD85" s="76">
        <f t="shared" ref="FD85:FI85" si="216">+FC88</f>
        <v>245.02099999999999</v>
      </c>
      <c r="FE85" s="76">
        <f t="shared" si="216"/>
        <v>245.02099999999999</v>
      </c>
      <c r="FF85" s="76">
        <f t="shared" si="216"/>
        <v>245.02099999999999</v>
      </c>
      <c r="FG85" s="76">
        <f t="shared" si="216"/>
        <v>245.02099999999999</v>
      </c>
      <c r="FH85" s="76">
        <f t="shared" si="216"/>
        <v>245.02099999999999</v>
      </c>
      <c r="FI85" s="76">
        <f t="shared" si="216"/>
        <v>225.21512634146882</v>
      </c>
    </row>
    <row r="86" spans="1:165" x14ac:dyDescent="0.3">
      <c r="A86" s="747" t="s">
        <v>68</v>
      </c>
      <c r="DU86" s="76"/>
      <c r="DV86" s="76"/>
      <c r="DW86" s="76"/>
      <c r="DX86" s="76"/>
      <c r="DY86" s="85"/>
      <c r="DZ86" s="76"/>
      <c r="EA86" s="365">
        <f>+EA88-EA87-EA85</f>
        <v>0</v>
      </c>
      <c r="EB86" s="95">
        <v>0</v>
      </c>
      <c r="EC86" s="95">
        <v>0</v>
      </c>
      <c r="ED86" s="463">
        <v>0</v>
      </c>
      <c r="EE86" s="95">
        <v>0</v>
      </c>
      <c r="EF86" s="95">
        <v>0</v>
      </c>
      <c r="EG86" s="134">
        <f>EG88-EG85-EG87</f>
        <v>6.0000000000002274E-3</v>
      </c>
      <c r="EH86" s="134">
        <f>EH88-EH85-EH87</f>
        <v>8.9999999999861302E-3</v>
      </c>
      <c r="EI86" s="475">
        <f>+SUM(EF86:EH86)</f>
        <v>1.4999999999986358E-2</v>
      </c>
      <c r="EJ86" s="134">
        <f t="shared" ref="EJ86:EM86" si="217">EJ88-EJ85-EJ87</f>
        <v>6.0000000000002274E-2</v>
      </c>
      <c r="EK86" s="134">
        <f t="shared" si="217"/>
        <v>0.492999999999995</v>
      </c>
      <c r="EL86" s="134">
        <f t="shared" si="217"/>
        <v>3.0000000000001137E-2</v>
      </c>
      <c r="EM86" s="134">
        <f t="shared" si="217"/>
        <v>2.199999999999136E-2</v>
      </c>
      <c r="EN86" s="475">
        <f>+SUM(EJ86:EM86)</f>
        <v>0.60499999999998977</v>
      </c>
      <c r="EO86" s="95">
        <v>0</v>
      </c>
      <c r="EP86" s="95">
        <v>0</v>
      </c>
      <c r="EQ86" s="95">
        <v>0</v>
      </c>
      <c r="ER86" s="95">
        <v>0</v>
      </c>
      <c r="ES86" s="475">
        <f>+SUM(EO86:ER86)</f>
        <v>0</v>
      </c>
      <c r="ET86" s="95">
        <v>0</v>
      </c>
      <c r="EU86" s="95">
        <v>0</v>
      </c>
      <c r="EV86" s="95">
        <v>0</v>
      </c>
      <c r="EW86" s="95">
        <v>0</v>
      </c>
      <c r="EX86" s="475">
        <f>+SUM(ET86:EW86)</f>
        <v>0</v>
      </c>
      <c r="EY86" s="95">
        <v>0</v>
      </c>
      <c r="EZ86" s="95">
        <v>0</v>
      </c>
      <c r="FA86" s="95">
        <v>0</v>
      </c>
      <c r="FB86" s="95">
        <v>0</v>
      </c>
      <c r="FC86" s="475">
        <f>+SUM(EY86:FB86)</f>
        <v>0</v>
      </c>
      <c r="FD86" s="95">
        <v>0</v>
      </c>
      <c r="FE86" s="95">
        <v>0</v>
      </c>
      <c r="FF86" s="95">
        <v>0</v>
      </c>
      <c r="FG86" s="95">
        <v>0</v>
      </c>
      <c r="FH86" s="95">
        <v>0</v>
      </c>
      <c r="FI86" s="95">
        <v>0</v>
      </c>
    </row>
    <row r="87" spans="1:165" x14ac:dyDescent="0.3">
      <c r="A87" s="747" t="s">
        <v>69</v>
      </c>
      <c r="DU87" s="76"/>
      <c r="DV87" s="76"/>
      <c r="DW87" s="76"/>
      <c r="DX87" s="76"/>
      <c r="DY87" s="85"/>
      <c r="DZ87" s="76"/>
      <c r="EA87" s="95">
        <v>0</v>
      </c>
      <c r="EB87" s="365">
        <f>+EB88-EB86-EB85</f>
        <v>0</v>
      </c>
      <c r="EC87" s="365">
        <f>+EC88-EC86-EC85</f>
        <v>0</v>
      </c>
      <c r="ED87" s="475">
        <v>0</v>
      </c>
      <c r="EE87" s="365">
        <f>+EE119/EE89</f>
        <v>0</v>
      </c>
      <c r="EF87" s="656">
        <f>+EF119/EF89</f>
        <v>0</v>
      </c>
      <c r="EG87" s="656">
        <f>+EG119/EG89</f>
        <v>0</v>
      </c>
      <c r="EH87" s="656">
        <f>+EH119/EH89</f>
        <v>0</v>
      </c>
      <c r="EI87" s="475">
        <f>+SUM(EF87:EH87)</f>
        <v>0</v>
      </c>
      <c r="EJ87" s="656">
        <f>+EJ119/EJ89</f>
        <v>0</v>
      </c>
      <c r="EK87" s="656">
        <f>+EK119/EK89</f>
        <v>0</v>
      </c>
      <c r="EL87" s="656">
        <f>+EL119/EL89</f>
        <v>0</v>
      </c>
      <c r="EM87" s="656">
        <f>+EM119/EM89</f>
        <v>0</v>
      </c>
      <c r="EN87" s="475">
        <f>+SUM(EJ87:EM87)</f>
        <v>0</v>
      </c>
      <c r="EO87" s="365">
        <f t="shared" ref="EO87:ER87" si="218">+EO119/EO89</f>
        <v>0</v>
      </c>
      <c r="EP87" s="365">
        <f t="shared" ref="EP87:EQ87" si="219">+EP119/EP89</f>
        <v>0</v>
      </c>
      <c r="EQ87" s="365">
        <f t="shared" si="219"/>
        <v>0</v>
      </c>
      <c r="ER87" s="365">
        <f t="shared" si="218"/>
        <v>0</v>
      </c>
      <c r="ES87" s="475">
        <f>+SUM(EO87:ER87)</f>
        <v>0</v>
      </c>
      <c r="ET87" s="365">
        <f t="shared" ref="ET87:EW87" si="220">+ET119/ET89</f>
        <v>0</v>
      </c>
      <c r="EU87" s="365">
        <f t="shared" ref="EU87" si="221">+EU119/EU89</f>
        <v>0</v>
      </c>
      <c r="EV87" s="365">
        <f t="shared" si="220"/>
        <v>0</v>
      </c>
      <c r="EW87" s="365">
        <f t="shared" si="220"/>
        <v>0</v>
      </c>
      <c r="EX87" s="475">
        <f>+SUM(ET87:EW87)</f>
        <v>0</v>
      </c>
      <c r="EY87" s="365">
        <f t="shared" ref="EY87:FI87" si="222">+EY119/EY89</f>
        <v>0</v>
      </c>
      <c r="EZ87" s="365">
        <f t="shared" si="222"/>
        <v>0</v>
      </c>
      <c r="FA87" s="365">
        <f t="shared" si="222"/>
        <v>0</v>
      </c>
      <c r="FB87" s="365">
        <f t="shared" si="222"/>
        <v>0</v>
      </c>
      <c r="FC87" s="475">
        <f>+SUM(EY87:FB87)</f>
        <v>0</v>
      </c>
      <c r="FD87" s="365">
        <f t="shared" si="222"/>
        <v>0</v>
      </c>
      <c r="FE87" s="365">
        <f t="shared" si="222"/>
        <v>0</v>
      </c>
      <c r="FF87" s="365">
        <f t="shared" si="222"/>
        <v>0</v>
      </c>
      <c r="FG87" s="365">
        <f t="shared" si="222"/>
        <v>0</v>
      </c>
      <c r="FH87" s="365">
        <f t="shared" si="222"/>
        <v>-19.805873658531173</v>
      </c>
      <c r="FI87" s="365">
        <f t="shared" si="222"/>
        <v>-45.015142143148381</v>
      </c>
    </row>
    <row r="88" spans="1:165" x14ac:dyDescent="0.3">
      <c r="A88" s="747" t="s">
        <v>70</v>
      </c>
      <c r="DU88" s="76"/>
      <c r="DV88" s="76"/>
      <c r="DW88" s="76"/>
      <c r="DX88" s="76"/>
      <c r="DY88" s="85"/>
      <c r="DZ88" s="854">
        <v>260</v>
      </c>
      <c r="EA88" s="854">
        <v>260</v>
      </c>
      <c r="EB88" s="854">
        <v>260</v>
      </c>
      <c r="EC88" s="854">
        <v>260</v>
      </c>
      <c r="ED88" s="803">
        <f>+EC88</f>
        <v>260</v>
      </c>
      <c r="EE88" s="854">
        <v>260</v>
      </c>
      <c r="EF88" s="44">
        <f>Inputs!EF625</f>
        <v>244.40100000000001</v>
      </c>
      <c r="EG88" s="44">
        <f>Inputs!EG625</f>
        <v>244.40700000000001</v>
      </c>
      <c r="EH88" s="44">
        <f>Inputs!EH625</f>
        <v>244.416</v>
      </c>
      <c r="EI88" s="850">
        <f>+EH88</f>
        <v>244.416</v>
      </c>
      <c r="EJ88" s="44">
        <f>Inputs!EJ625</f>
        <v>244.476</v>
      </c>
      <c r="EK88" s="44">
        <f>Inputs!EK625</f>
        <v>244.96899999999999</v>
      </c>
      <c r="EL88" s="44">
        <f>Inputs!EL625</f>
        <v>244.999</v>
      </c>
      <c r="EM88" s="44">
        <f>Inputs!EM625</f>
        <v>245.02099999999999</v>
      </c>
      <c r="EN88" s="850">
        <f>+EM88</f>
        <v>245.02099999999999</v>
      </c>
      <c r="EO88" s="850">
        <f t="shared" ref="EO88:ER88" si="223">+SUM(EO85:EO87)</f>
        <v>245.02099999999999</v>
      </c>
      <c r="EP88" s="850">
        <f t="shared" ref="EP88:EQ88" si="224">+SUM(EP85:EP87)</f>
        <v>245.02099999999999</v>
      </c>
      <c r="EQ88" s="850">
        <f t="shared" si="224"/>
        <v>245.02099999999999</v>
      </c>
      <c r="ER88" s="850">
        <f t="shared" si="223"/>
        <v>245.02099999999999</v>
      </c>
      <c r="ES88" s="850">
        <f>+ER88</f>
        <v>245.02099999999999</v>
      </c>
      <c r="ET88" s="850">
        <f t="shared" ref="ET88:EW88" si="225">+SUM(ET85:ET87)</f>
        <v>245.02099999999999</v>
      </c>
      <c r="EU88" s="850">
        <f t="shared" ref="EU88" si="226">+SUM(EU85:EU87)</f>
        <v>245.02099999999999</v>
      </c>
      <c r="EV88" s="850">
        <f t="shared" si="225"/>
        <v>245.02099999999999</v>
      </c>
      <c r="EW88" s="850">
        <f t="shared" si="225"/>
        <v>245.02099999999999</v>
      </c>
      <c r="EX88" s="850">
        <f>+EW88</f>
        <v>245.02099999999999</v>
      </c>
      <c r="EY88" s="850">
        <f t="shared" ref="EY88:FI88" si="227">+SUM(EY85:EY87)</f>
        <v>245.02099999999999</v>
      </c>
      <c r="EZ88" s="850">
        <f t="shared" si="227"/>
        <v>245.02099999999999</v>
      </c>
      <c r="FA88" s="850">
        <f t="shared" si="227"/>
        <v>245.02099999999999</v>
      </c>
      <c r="FB88" s="850">
        <f t="shared" si="227"/>
        <v>245.02099999999999</v>
      </c>
      <c r="FC88" s="850">
        <f>+FB88</f>
        <v>245.02099999999999</v>
      </c>
      <c r="FD88" s="850">
        <f t="shared" si="227"/>
        <v>245.02099999999999</v>
      </c>
      <c r="FE88" s="850">
        <f t="shared" si="227"/>
        <v>245.02099999999999</v>
      </c>
      <c r="FF88" s="850">
        <f t="shared" si="227"/>
        <v>245.02099999999999</v>
      </c>
      <c r="FG88" s="850">
        <f t="shared" si="227"/>
        <v>245.02099999999999</v>
      </c>
      <c r="FH88" s="850">
        <f t="shared" si="227"/>
        <v>225.21512634146882</v>
      </c>
      <c r="FI88" s="850">
        <f t="shared" si="227"/>
        <v>180.19998419832044</v>
      </c>
    </row>
    <row r="89" spans="1:165" x14ac:dyDescent="0.3">
      <c r="A89" s="742" t="s">
        <v>71</v>
      </c>
      <c r="DU89" s="76"/>
      <c r="DV89" s="76"/>
      <c r="DW89" s="76"/>
      <c r="DX89" s="76"/>
      <c r="DY89" s="85"/>
      <c r="DZ89" s="76"/>
      <c r="EA89" s="76"/>
      <c r="EB89" s="76"/>
      <c r="EC89" s="500">
        <f>Valuation!B6</f>
        <v>35.78</v>
      </c>
      <c r="EE89" s="748">
        <f>+EC89*(1-EC87/EC88)</f>
        <v>35.78</v>
      </c>
      <c r="EF89" s="748">
        <f>+IFERROR(EE89*(1-EE87/EE88),EE89)</f>
        <v>35.78</v>
      </c>
      <c r="EG89" s="748">
        <f>+IFERROR(EF89*(1-EF87/EF88),EF89)</f>
        <v>35.78</v>
      </c>
      <c r="EH89" s="748">
        <f>+IFERROR(EG89*(1-EG87/EG88),EG89)</f>
        <v>35.78</v>
      </c>
      <c r="EI89" s="749">
        <f>+EH89</f>
        <v>35.78</v>
      </c>
      <c r="EJ89" s="748">
        <f t="shared" ref="EJ89:FI89" si="228">+IFERROR(EI89*(1-EI87/EI88),EI89)</f>
        <v>35.78</v>
      </c>
      <c r="EK89" s="748">
        <f t="shared" si="228"/>
        <v>35.78</v>
      </c>
      <c r="EL89" s="748">
        <f t="shared" si="228"/>
        <v>35.78</v>
      </c>
      <c r="EM89" s="748">
        <f t="shared" si="228"/>
        <v>35.78</v>
      </c>
      <c r="EN89" s="749">
        <f>+EM89</f>
        <v>35.78</v>
      </c>
      <c r="EO89" s="748">
        <f t="shared" ref="EO89:EP89" si="229">+IFERROR(EN89*(1-EN87/EN88),EN89)</f>
        <v>35.78</v>
      </c>
      <c r="EP89" s="748">
        <f t="shared" si="229"/>
        <v>35.78</v>
      </c>
      <c r="EQ89" s="748">
        <f t="shared" ref="EQ89" si="230">+IFERROR(EP89*(1-EP87/EP88),EP89)</f>
        <v>35.78</v>
      </c>
      <c r="ER89" s="748">
        <f t="shared" ref="ER89" si="231">+IFERROR(EQ89*(1-EQ87/EQ88),EQ89)</f>
        <v>35.78</v>
      </c>
      <c r="ES89" s="749">
        <f>+ER89</f>
        <v>35.78</v>
      </c>
      <c r="ET89" s="748">
        <f t="shared" ref="ET89" si="232">+IFERROR(ES89*(1-ES87/ES88),ES89)</f>
        <v>35.78</v>
      </c>
      <c r="EU89" s="748">
        <f t="shared" ref="EU89" si="233">+IFERROR(ET89*(1-ET87/ET88),ET89)</f>
        <v>35.78</v>
      </c>
      <c r="EV89" s="748">
        <f t="shared" ref="EV89" si="234">+IFERROR(EU89*(1-EU87/EU88),EU89)</f>
        <v>35.78</v>
      </c>
      <c r="EW89" s="748">
        <f t="shared" ref="EW89" si="235">+IFERROR(EV89*(1-EV87/EV88),EV89)</f>
        <v>35.78</v>
      </c>
      <c r="EX89" s="749">
        <f>+EW89</f>
        <v>35.78</v>
      </c>
      <c r="EY89" s="748">
        <f>+IFERROR(EW89*(1-EW87/EW88),EW89)</f>
        <v>35.78</v>
      </c>
      <c r="EZ89" s="748">
        <f t="shared" ref="EZ89" si="236">+IFERROR(EY89*(1-EY87/EY88),EY89)</f>
        <v>35.78</v>
      </c>
      <c r="FA89" s="748">
        <f t="shared" ref="FA89" si="237">+IFERROR(EZ89*(1-EZ87/EZ88),EZ89)</f>
        <v>35.78</v>
      </c>
      <c r="FB89" s="748">
        <f t="shared" ref="FB89" si="238">+IFERROR(FA89*(1-FA87/FA88),FA89)</f>
        <v>35.78</v>
      </c>
      <c r="FC89" s="749">
        <f>+FB89</f>
        <v>35.78</v>
      </c>
      <c r="FD89" s="748">
        <f t="shared" si="228"/>
        <v>35.78</v>
      </c>
      <c r="FE89" s="748">
        <f>AMTTargetPrice</f>
        <v>38.5</v>
      </c>
      <c r="FF89" s="748">
        <f t="shared" si="228"/>
        <v>38.5</v>
      </c>
      <c r="FG89" s="748">
        <f t="shared" si="228"/>
        <v>38.5</v>
      </c>
      <c r="FH89" s="748">
        <f t="shared" si="228"/>
        <v>38.5</v>
      </c>
      <c r="FI89" s="748">
        <f t="shared" si="228"/>
        <v>41.885767857782859</v>
      </c>
    </row>
    <row r="90" spans="1:165" x14ac:dyDescent="0.3">
      <c r="A90" s="742"/>
      <c r="DU90" s="76"/>
      <c r="DV90" s="76"/>
      <c r="DW90" s="76"/>
      <c r="DX90" s="76"/>
      <c r="DY90" s="85"/>
      <c r="DZ90" s="76"/>
      <c r="EA90" s="76"/>
      <c r="EB90" s="76"/>
      <c r="EC90" s="76"/>
      <c r="EE90" s="76"/>
      <c r="EO90"/>
      <c r="EP90"/>
      <c r="EQ90"/>
      <c r="ER90"/>
      <c r="ES90" s="90"/>
      <c r="EX90" s="90"/>
      <c r="FC90" s="90"/>
    </row>
    <row r="91" spans="1:165" x14ac:dyDescent="0.3">
      <c r="A91" s="747" t="s">
        <v>72</v>
      </c>
      <c r="DU91" s="76"/>
      <c r="DV91" s="76"/>
      <c r="DW91" s="76"/>
      <c r="DX91" s="76"/>
      <c r="DY91" s="85"/>
      <c r="DZ91" s="76"/>
      <c r="EA91" s="76">
        <f>+AVERAGE(EA88,EA85)</f>
        <v>260</v>
      </c>
      <c r="EB91" s="76">
        <f>+AVERAGE(EB88,EB85)</f>
        <v>260</v>
      </c>
      <c r="EC91" s="76">
        <f>+AVERAGE(EC88,EC85)</f>
        <v>260</v>
      </c>
      <c r="ED91" s="85">
        <f>+EC91</f>
        <v>260</v>
      </c>
      <c r="EE91" s="76">
        <f>+AVERAGE(EE88,EE85)</f>
        <v>260</v>
      </c>
      <c r="EF91" s="76">
        <f>+AVERAGE(EF88,EF85)</f>
        <v>252.20050000000001</v>
      </c>
      <c r="EG91" s="76">
        <f>+AVERAGE(EG88,EG85)</f>
        <v>244.404</v>
      </c>
      <c r="EH91" s="76">
        <f>+AVERAGE(EH88,EH85)</f>
        <v>244.41149999999999</v>
      </c>
      <c r="EI91" s="85">
        <f>+AVERAGE(EE91:EH91)</f>
        <v>250.25400000000002</v>
      </c>
      <c r="EJ91" s="76">
        <f>+AVERAGE(EJ88,EJ85)</f>
        <v>244.446</v>
      </c>
      <c r="EK91" s="76">
        <f>+AVERAGE(EK88,EK85)</f>
        <v>244.7225</v>
      </c>
      <c r="EL91" s="76">
        <f>+AVERAGE(EL88,EL85)</f>
        <v>244.98399999999998</v>
      </c>
      <c r="EM91" s="76">
        <f>+AVERAGE(EM88,EM85)</f>
        <v>245.01</v>
      </c>
      <c r="EN91" s="85">
        <f>+AVERAGE(EJ91:EM91)</f>
        <v>244.79062499999998</v>
      </c>
      <c r="EO91" s="76">
        <f t="shared" ref="EO91:ER91" si="239">+AVERAGE(EO88,EO85)</f>
        <v>245.02099999999999</v>
      </c>
      <c r="EP91" s="76">
        <f t="shared" ref="EP91:EQ91" si="240">+AVERAGE(EP88,EP85)</f>
        <v>245.02099999999999</v>
      </c>
      <c r="EQ91" s="76">
        <f t="shared" si="240"/>
        <v>245.02099999999999</v>
      </c>
      <c r="ER91" s="76">
        <f t="shared" si="239"/>
        <v>245.02099999999999</v>
      </c>
      <c r="ES91" s="85">
        <f>+AVERAGE(EO91:ER91)</f>
        <v>245.02099999999999</v>
      </c>
      <c r="ET91" s="76">
        <f t="shared" ref="ET91:EW91" si="241">+AVERAGE(ET88,ET85)</f>
        <v>245.02099999999999</v>
      </c>
      <c r="EU91" s="76">
        <f t="shared" ref="EU91" si="242">+AVERAGE(EU88,EU85)</f>
        <v>245.02099999999999</v>
      </c>
      <c r="EV91" s="76">
        <f t="shared" si="241"/>
        <v>245.02099999999999</v>
      </c>
      <c r="EW91" s="76">
        <f t="shared" si="241"/>
        <v>245.02099999999999</v>
      </c>
      <c r="EX91" s="85">
        <f>+AVERAGE(ET91:EW91)</f>
        <v>245.02099999999999</v>
      </c>
      <c r="EY91" s="76">
        <f t="shared" ref="EY91:FI91" si="243">+AVERAGE(EY88,EY85)</f>
        <v>245.02099999999999</v>
      </c>
      <c r="EZ91" s="76">
        <f t="shared" si="243"/>
        <v>245.02099999999999</v>
      </c>
      <c r="FA91" s="76">
        <f t="shared" si="243"/>
        <v>245.02099999999999</v>
      </c>
      <c r="FB91" s="76">
        <f t="shared" si="243"/>
        <v>245.02099999999999</v>
      </c>
      <c r="FC91" s="85">
        <f>+AVERAGE(EY91:FB91)</f>
        <v>245.02099999999999</v>
      </c>
      <c r="FD91" s="76">
        <f t="shared" si="243"/>
        <v>245.02099999999999</v>
      </c>
      <c r="FE91" s="76">
        <f t="shared" si="243"/>
        <v>245.02099999999999</v>
      </c>
      <c r="FF91" s="76">
        <f t="shared" si="243"/>
        <v>245.02099999999999</v>
      </c>
      <c r="FG91" s="76">
        <f t="shared" si="243"/>
        <v>245.02099999999999</v>
      </c>
      <c r="FH91" s="76">
        <f t="shared" si="243"/>
        <v>235.11806317073439</v>
      </c>
      <c r="FI91" s="76">
        <f t="shared" si="243"/>
        <v>202.70755526989461</v>
      </c>
    </row>
    <row r="92" spans="1:165" x14ac:dyDescent="0.3">
      <c r="A92" s="743" t="s">
        <v>73</v>
      </c>
      <c r="DU92" s="76"/>
      <c r="DV92" s="76"/>
      <c r="DW92" s="76"/>
      <c r="DX92" s="76"/>
      <c r="DY92" s="85"/>
      <c r="DZ92" s="76"/>
      <c r="EA92" s="76">
        <f>+EA93-EA91</f>
        <v>0</v>
      </c>
      <c r="EB92" s="76">
        <f>+EB93-EB91</f>
        <v>0</v>
      </c>
      <c r="EC92" s="76">
        <f>+EC93-EC91</f>
        <v>0</v>
      </c>
      <c r="ED92" s="85">
        <f>+EC92</f>
        <v>0</v>
      </c>
      <c r="EE92" s="95">
        <f>+ED92</f>
        <v>0</v>
      </c>
      <c r="EF92" s="95">
        <f>+EE92</f>
        <v>0</v>
      </c>
      <c r="EG92" s="95">
        <f>+EF92</f>
        <v>0</v>
      </c>
      <c r="EH92" s="95">
        <f>+EG92</f>
        <v>0</v>
      </c>
      <c r="EI92" s="85">
        <f>+EI93-EI91</f>
        <v>0</v>
      </c>
      <c r="EJ92" s="95">
        <f>+EI92</f>
        <v>0</v>
      </c>
      <c r="EK92" s="95">
        <f>+EJ92</f>
        <v>0</v>
      </c>
      <c r="EL92" s="95">
        <f>+EK92</f>
        <v>0</v>
      </c>
      <c r="EM92" s="95">
        <f>+EL92</f>
        <v>0</v>
      </c>
      <c r="EN92" s="85">
        <f>+EN93-EN91</f>
        <v>0</v>
      </c>
      <c r="EO92" s="95">
        <f t="shared" ref="EO92:ER92" si="244">+EN92</f>
        <v>0</v>
      </c>
      <c r="EP92" s="95">
        <f t="shared" si="244"/>
        <v>0</v>
      </c>
      <c r="EQ92" s="95">
        <f t="shared" si="244"/>
        <v>0</v>
      </c>
      <c r="ER92" s="95">
        <f t="shared" si="244"/>
        <v>0</v>
      </c>
      <c r="ES92" s="85">
        <f>+ES93-ES91</f>
        <v>0</v>
      </c>
      <c r="ET92" s="95">
        <f t="shared" ref="ET92:EU92" si="245">+ES92</f>
        <v>0</v>
      </c>
      <c r="EU92" s="95">
        <f t="shared" si="245"/>
        <v>0</v>
      </c>
      <c r="EV92" s="95">
        <f t="shared" ref="EV92" si="246">+EU92</f>
        <v>0</v>
      </c>
      <c r="EW92" s="95">
        <f t="shared" ref="EW92" si="247">+EV92</f>
        <v>0</v>
      </c>
      <c r="EX92" s="85">
        <f>+EX93-EX91</f>
        <v>0</v>
      </c>
      <c r="EY92" s="95">
        <f>EW92</f>
        <v>0</v>
      </c>
      <c r="EZ92" s="95">
        <f t="shared" ref="EZ92" si="248">+EY92</f>
        <v>0</v>
      </c>
      <c r="FA92" s="95">
        <f t="shared" ref="FA92" si="249">+EZ92</f>
        <v>0</v>
      </c>
      <c r="FB92" s="95">
        <f t="shared" ref="FB92" si="250">+FA92</f>
        <v>0</v>
      </c>
      <c r="FC92" s="85">
        <f>+FC93-FC91</f>
        <v>0</v>
      </c>
      <c r="FD92" s="95">
        <f t="shared" ref="FD92:FI92" si="251">+FC92</f>
        <v>0</v>
      </c>
      <c r="FE92" s="95">
        <f t="shared" si="251"/>
        <v>0</v>
      </c>
      <c r="FF92" s="95">
        <f t="shared" si="251"/>
        <v>0</v>
      </c>
      <c r="FG92" s="95">
        <f t="shared" si="251"/>
        <v>0</v>
      </c>
      <c r="FH92" s="95">
        <f t="shared" si="251"/>
        <v>0</v>
      </c>
      <c r="FI92" s="95">
        <f t="shared" si="251"/>
        <v>0</v>
      </c>
    </row>
    <row r="93" spans="1:165" x14ac:dyDescent="0.3">
      <c r="A93" s="744" t="s">
        <v>74</v>
      </c>
      <c r="DU93" s="381">
        <f>+DU80</f>
        <v>260</v>
      </c>
      <c r="DV93" s="381">
        <f t="shared" ref="DV93:EC93" si="252">+DV80</f>
        <v>260</v>
      </c>
      <c r="DW93" s="381">
        <f t="shared" si="252"/>
        <v>260</v>
      </c>
      <c r="DX93" s="381">
        <f t="shared" si="252"/>
        <v>260</v>
      </c>
      <c r="DY93" s="381">
        <f t="shared" si="252"/>
        <v>260</v>
      </c>
      <c r="DZ93" s="381">
        <f t="shared" si="252"/>
        <v>260</v>
      </c>
      <c r="EA93" s="381">
        <f t="shared" si="252"/>
        <v>260</v>
      </c>
      <c r="EB93" s="381">
        <f t="shared" si="252"/>
        <v>260</v>
      </c>
      <c r="EC93" s="381">
        <f t="shared" si="252"/>
        <v>260</v>
      </c>
      <c r="ED93" s="381">
        <f>+EC93</f>
        <v>260</v>
      </c>
      <c r="EE93" s="381">
        <f>+EE91+EE92</f>
        <v>260</v>
      </c>
      <c r="EF93" s="381">
        <f>+EF91+EF92</f>
        <v>252.20050000000001</v>
      </c>
      <c r="EG93" s="381">
        <f>+EG91+EG92</f>
        <v>244.404</v>
      </c>
      <c r="EH93" s="381">
        <f>+EH91+EH92</f>
        <v>244.41149999999999</v>
      </c>
      <c r="EI93" s="381">
        <f>+AVERAGE(EE93:EH93)</f>
        <v>250.25400000000002</v>
      </c>
      <c r="EJ93" s="381">
        <f>+EJ91+EJ92</f>
        <v>244.446</v>
      </c>
      <c r="EK93" s="381">
        <f>+EK91+EK92</f>
        <v>244.7225</v>
      </c>
      <c r="EL93" s="381">
        <f>+EL91+EL92</f>
        <v>244.98399999999998</v>
      </c>
      <c r="EM93" s="381">
        <f>+EM91+EM92</f>
        <v>245.01</v>
      </c>
      <c r="EN93" s="381">
        <f>+AVERAGE(EJ93:EM93)</f>
        <v>244.79062499999998</v>
      </c>
      <c r="EO93" s="381">
        <f t="shared" ref="EO93:ER93" si="253">+EO91+EO92</f>
        <v>245.02099999999999</v>
      </c>
      <c r="EP93" s="381">
        <f t="shared" ref="EP93:EQ93" si="254">+EP91+EP92</f>
        <v>245.02099999999999</v>
      </c>
      <c r="EQ93" s="381">
        <f t="shared" si="254"/>
        <v>245.02099999999999</v>
      </c>
      <c r="ER93" s="381">
        <f t="shared" si="253"/>
        <v>245.02099999999999</v>
      </c>
      <c r="ES93" s="381">
        <f>+AVERAGE(EO93:ER93)</f>
        <v>245.02099999999999</v>
      </c>
      <c r="ET93" s="381">
        <f t="shared" ref="ET93:EW93" si="255">+ET91+ET92</f>
        <v>245.02099999999999</v>
      </c>
      <c r="EU93" s="381">
        <f t="shared" ref="EU93" si="256">+EU91+EU92</f>
        <v>245.02099999999999</v>
      </c>
      <c r="EV93" s="381">
        <f t="shared" si="255"/>
        <v>245.02099999999999</v>
      </c>
      <c r="EW93" s="381">
        <f t="shared" si="255"/>
        <v>245.02099999999999</v>
      </c>
      <c r="EX93" s="381">
        <f>+AVERAGE(ET93:EW93)</f>
        <v>245.02099999999999</v>
      </c>
      <c r="EY93" s="381">
        <f t="shared" ref="EY93:FI93" si="257">+EY91+EY92</f>
        <v>245.02099999999999</v>
      </c>
      <c r="EZ93" s="381">
        <f t="shared" si="257"/>
        <v>245.02099999999999</v>
      </c>
      <c r="FA93" s="381">
        <f t="shared" si="257"/>
        <v>245.02099999999999</v>
      </c>
      <c r="FB93" s="381">
        <f t="shared" si="257"/>
        <v>245.02099999999999</v>
      </c>
      <c r="FC93" s="381">
        <f>+AVERAGE(EY93:FB93)</f>
        <v>245.02099999999999</v>
      </c>
      <c r="FD93" s="381">
        <f t="shared" si="257"/>
        <v>245.02099999999999</v>
      </c>
      <c r="FE93" s="381">
        <f t="shared" si="257"/>
        <v>245.02099999999999</v>
      </c>
      <c r="FF93" s="381">
        <f t="shared" si="257"/>
        <v>245.02099999999999</v>
      </c>
      <c r="FG93" s="381">
        <f t="shared" si="257"/>
        <v>245.02099999999999</v>
      </c>
      <c r="FH93" s="381">
        <f t="shared" si="257"/>
        <v>235.11806317073439</v>
      </c>
      <c r="FI93" s="381">
        <f t="shared" si="257"/>
        <v>202.70755526989461</v>
      </c>
    </row>
    <row r="94" spans="1:165" x14ac:dyDescent="0.3">
      <c r="A94" s="1"/>
      <c r="ET94" s="90"/>
      <c r="EU94" s="90"/>
      <c r="EV94" s="90"/>
      <c r="EW94" s="90"/>
      <c r="EY94" s="90"/>
      <c r="EZ94" s="90"/>
      <c r="FA94" s="90"/>
      <c r="FB94" s="90"/>
    </row>
    <row r="95" spans="1:165" x14ac:dyDescent="0.3">
      <c r="A95" s="25" t="s">
        <v>75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</row>
    <row r="96" spans="1:165" x14ac:dyDescent="0.3">
      <c r="A96" s="27" t="s">
        <v>59</v>
      </c>
      <c r="DU96" s="151">
        <f>+DU79</f>
        <v>-87</v>
      </c>
      <c r="DV96" s="151">
        <f>+DV79</f>
        <v>-5317</v>
      </c>
      <c r="DW96" s="151">
        <f>+DW79</f>
        <v>-345</v>
      </c>
      <c r="DX96" s="151">
        <f>+DX79</f>
        <v>-162</v>
      </c>
      <c r="DY96" s="45">
        <f>+SUM(DU96:DX96)</f>
        <v>-5911</v>
      </c>
      <c r="DZ96" s="151">
        <f>+DZ79</f>
        <v>-186</v>
      </c>
      <c r="EA96" s="151">
        <f>+EA79</f>
        <v>-181</v>
      </c>
      <c r="EB96" s="151">
        <f>+EB79</f>
        <v>15</v>
      </c>
      <c r="EC96" s="151">
        <f>+EC79</f>
        <v>-50</v>
      </c>
      <c r="ED96" s="45">
        <f>+SUM(DZ96:EC96)</f>
        <v>-402</v>
      </c>
      <c r="EE96" s="151">
        <f>+EE79</f>
        <v>60</v>
      </c>
      <c r="EF96" s="151">
        <f>+EF79</f>
        <v>4580</v>
      </c>
      <c r="EG96" s="151">
        <f>+EG79</f>
        <v>126</v>
      </c>
      <c r="EH96" s="151">
        <f>+EH79</f>
        <v>189</v>
      </c>
      <c r="EI96" s="45">
        <f>+SUM(EE96:EH96)</f>
        <v>4955</v>
      </c>
      <c r="EJ96" s="151">
        <f>+EJ79</f>
        <v>65</v>
      </c>
      <c r="EK96" s="151">
        <f>+EK79</f>
        <v>101</v>
      </c>
      <c r="EL96" s="151">
        <f>+EL79</f>
        <v>120</v>
      </c>
      <c r="EM96" s="151">
        <f>+EM79</f>
        <v>155</v>
      </c>
      <c r="EN96" s="45">
        <f>+SUM(EJ96:EM96)</f>
        <v>441</v>
      </c>
      <c r="EO96" s="151">
        <f>+EO79</f>
        <v>3</v>
      </c>
      <c r="EP96" s="151">
        <f>+EP79</f>
        <v>-2</v>
      </c>
      <c r="EQ96" s="151">
        <f>+EQ79</f>
        <v>11</v>
      </c>
      <c r="ER96" s="151">
        <f>+ER79</f>
        <v>17</v>
      </c>
      <c r="ES96" s="45">
        <f>+SUM(EO96:ER96)</f>
        <v>29</v>
      </c>
      <c r="ET96" s="151">
        <f>+ET79</f>
        <v>1</v>
      </c>
      <c r="EU96" s="151">
        <f>+EU79</f>
        <v>-123</v>
      </c>
      <c r="EV96" s="151">
        <f>+EV79</f>
        <v>-82</v>
      </c>
      <c r="EW96" s="151">
        <f>+EW79</f>
        <v>-118</v>
      </c>
      <c r="EX96" s="45">
        <f>+SUM(ET96:EW96)</f>
        <v>-322</v>
      </c>
      <c r="EY96" s="151">
        <f t="shared" ref="EY96:FB96" si="258">+EY79</f>
        <v>-100.03047454646239</v>
      </c>
      <c r="EZ96" s="151">
        <f t="shared" si="258"/>
        <v>-85.997507516588712</v>
      </c>
      <c r="FA96" s="151">
        <f t="shared" si="258"/>
        <v>-89.450472063026922</v>
      </c>
      <c r="FB96" s="151">
        <f t="shared" si="258"/>
        <v>-50.30682485499176</v>
      </c>
      <c r="FC96" s="45">
        <f>+SUM(EY96:FB96)</f>
        <v>-325.78527898106978</v>
      </c>
      <c r="FD96" s="151">
        <f t="shared" ref="FD96:FI96" si="259">+FD79</f>
        <v>-210.61696768891693</v>
      </c>
      <c r="FE96" s="151">
        <f t="shared" si="259"/>
        <v>22.747668659132643</v>
      </c>
      <c r="FF96" s="151">
        <f t="shared" si="259"/>
        <v>254.14102432773296</v>
      </c>
      <c r="FG96" s="151">
        <f t="shared" si="259"/>
        <v>475.84795370621839</v>
      </c>
      <c r="FH96" s="151">
        <f t="shared" si="259"/>
        <v>703.30418171323186</v>
      </c>
      <c r="FI96" s="151">
        <f t="shared" si="259"/>
        <v>882.77359301912975</v>
      </c>
    </row>
    <row r="97" spans="1:165" x14ac:dyDescent="0.3">
      <c r="A97" s="27" t="s">
        <v>76</v>
      </c>
      <c r="DU97" s="151">
        <f>+DU65</f>
        <v>484</v>
      </c>
      <c r="DV97" s="151">
        <f>+DV65</f>
        <v>454</v>
      </c>
      <c r="DW97" s="151">
        <f>+DW65</f>
        <v>422</v>
      </c>
      <c r="DX97" s="151">
        <f>+DX65</f>
        <v>420</v>
      </c>
      <c r="DY97" s="45">
        <f t="shared" ref="DY97:DY122" si="260">+SUM(DU97:DX97)</f>
        <v>1780</v>
      </c>
      <c r="DZ97" s="151">
        <f>+DZ65</f>
        <v>415</v>
      </c>
      <c r="EA97" s="151">
        <f>+EA65</f>
        <v>397</v>
      </c>
      <c r="EB97" s="151">
        <f>+EB65</f>
        <v>392</v>
      </c>
      <c r="EC97" s="151">
        <f>+EC65</f>
        <v>394</v>
      </c>
      <c r="ED97" s="45">
        <f t="shared" ref="ED97:ED105" si="261">+SUM(DZ97:EC97)</f>
        <v>1598</v>
      </c>
      <c r="EE97" s="151">
        <f>+EE65</f>
        <v>387</v>
      </c>
      <c r="EF97" s="151">
        <f>+EF65</f>
        <v>298</v>
      </c>
      <c r="EG97" s="151">
        <f>+EG65</f>
        <v>273</v>
      </c>
      <c r="EH97" s="151">
        <f>+EH65</f>
        <v>282</v>
      </c>
      <c r="EI97" s="45">
        <f t="shared" ref="EI97:EI105" si="262">+SUM(EE97:EH97)</f>
        <v>1240</v>
      </c>
      <c r="EJ97" s="151">
        <f>+EJ65</f>
        <v>284</v>
      </c>
      <c r="EK97" s="151">
        <f>+EK65</f>
        <v>290</v>
      </c>
      <c r="EL97" s="151">
        <f>+EL65</f>
        <v>296</v>
      </c>
      <c r="EM97" s="151">
        <f>+EM65</f>
        <v>312</v>
      </c>
      <c r="EN97" s="45">
        <f t="shared" ref="EN97:EN105" si="263">+SUM(EJ97:EM97)</f>
        <v>1182</v>
      </c>
      <c r="EO97" s="151">
        <f>+EO65</f>
        <v>330</v>
      </c>
      <c r="EP97" s="151">
        <f>+EP65</f>
        <v>354</v>
      </c>
      <c r="EQ97" s="151">
        <f>+EQ65</f>
        <v>356</v>
      </c>
      <c r="ER97" s="151">
        <f>+ER65</f>
        <v>375</v>
      </c>
      <c r="ES97" s="45">
        <f t="shared" ref="ES97:ES105" si="264">+SUM(EO97:ER97)</f>
        <v>1415</v>
      </c>
      <c r="ET97" s="151">
        <f>+ET65</f>
        <v>388</v>
      </c>
      <c r="EU97" s="151">
        <f>+EU65</f>
        <v>398</v>
      </c>
      <c r="EV97" s="151">
        <f>+EV65</f>
        <v>410</v>
      </c>
      <c r="EW97" s="151">
        <f>+EW65</f>
        <v>429</v>
      </c>
      <c r="EX97" s="45">
        <f t="shared" ref="EX97:EX105" si="265">+SUM(ET97:EW97)</f>
        <v>1625</v>
      </c>
      <c r="EY97" s="151">
        <f t="shared" ref="EY97:FB97" si="266">+EY65</f>
        <v>446.79223416720856</v>
      </c>
      <c r="EZ97" s="151">
        <f t="shared" si="266"/>
        <v>462.66189382808551</v>
      </c>
      <c r="FA97" s="151">
        <f t="shared" si="266"/>
        <v>478.19959846764107</v>
      </c>
      <c r="FB97" s="151">
        <f t="shared" si="266"/>
        <v>489.27314308713403</v>
      </c>
      <c r="FC97" s="45">
        <f t="shared" ref="FC97:FC105" si="267">+SUM(EY97:FB97)</f>
        <v>1876.9268695500691</v>
      </c>
      <c r="FD97" s="151">
        <f t="shared" ref="FD97:FI97" si="268">+FD65</f>
        <v>1885.7573337711524</v>
      </c>
      <c r="FE97" s="151">
        <f t="shared" si="268"/>
        <v>1834.7439701874368</v>
      </c>
      <c r="FF97" s="151">
        <f t="shared" si="268"/>
        <v>1780.0313325127736</v>
      </c>
      <c r="FG97" s="151">
        <f t="shared" si="268"/>
        <v>1745.8726553093841</v>
      </c>
      <c r="FH97" s="151">
        <f t="shared" si="268"/>
        <v>1720.9729247345799</v>
      </c>
      <c r="FI97" s="151">
        <f t="shared" si="268"/>
        <v>1696.3052066714506</v>
      </c>
    </row>
    <row r="98" spans="1:165" x14ac:dyDescent="0.3">
      <c r="A98" s="27" t="s">
        <v>77</v>
      </c>
      <c r="DU98" s="44">
        <f>+Inputs!DU239</f>
        <v>0</v>
      </c>
      <c r="DV98" s="44">
        <f>+Inputs!DV239</f>
        <v>0</v>
      </c>
      <c r="DW98" s="44">
        <f>+Inputs!DW239</f>
        <v>0</v>
      </c>
      <c r="DX98" s="44">
        <f>+Inputs!DX239</f>
        <v>101</v>
      </c>
      <c r="DY98" s="45">
        <f t="shared" si="260"/>
        <v>101</v>
      </c>
      <c r="DZ98" s="44">
        <f>+Inputs!DZ239</f>
        <v>103</v>
      </c>
      <c r="EA98" s="44">
        <f>+Inputs!EA239</f>
        <v>56</v>
      </c>
      <c r="EB98" s="44">
        <f>+Inputs!EB239</f>
        <v>0</v>
      </c>
      <c r="EC98" s="44">
        <f>+Inputs!EC239</f>
        <v>0</v>
      </c>
      <c r="ED98" s="182">
        <f t="shared" si="261"/>
        <v>159</v>
      </c>
      <c r="EE98" s="44">
        <f>+Inputs!EE239</f>
        <v>0</v>
      </c>
      <c r="EF98" s="44">
        <f>+Inputs!EF239</f>
        <v>0</v>
      </c>
      <c r="EG98" s="44">
        <f>+Inputs!EG239</f>
        <v>0</v>
      </c>
      <c r="EH98" s="44">
        <f>+Inputs!EH239</f>
        <v>0</v>
      </c>
      <c r="EI98" s="45">
        <f t="shared" si="262"/>
        <v>0</v>
      </c>
      <c r="EJ98" s="44">
        <f>+Inputs!EJ239</f>
        <v>0</v>
      </c>
      <c r="EK98" s="44">
        <f>+Inputs!EK239</f>
        <v>0</v>
      </c>
      <c r="EL98" s="44">
        <f>+Inputs!EL239</f>
        <v>50</v>
      </c>
      <c r="EM98" s="44">
        <f>+Inputs!EM239</f>
        <v>5</v>
      </c>
      <c r="EN98" s="45">
        <f t="shared" si="263"/>
        <v>55</v>
      </c>
      <c r="EO98" s="44">
        <f>+Inputs!EO239</f>
        <v>0</v>
      </c>
      <c r="EP98" s="44">
        <f>+Inputs!EP239</f>
        <v>0</v>
      </c>
      <c r="EQ98" s="44">
        <f>+Inputs!EQ239</f>
        <v>0</v>
      </c>
      <c r="ER98" s="44">
        <f>+Inputs!ER239</f>
        <v>0</v>
      </c>
      <c r="ES98" s="45">
        <f t="shared" si="264"/>
        <v>0</v>
      </c>
      <c r="ET98" s="44">
        <f>+Inputs!ET239</f>
        <v>7</v>
      </c>
      <c r="EU98" s="44">
        <f>+Inputs!EU239</f>
        <v>3</v>
      </c>
      <c r="EV98" s="44">
        <f>+Inputs!EV239</f>
        <v>1</v>
      </c>
      <c r="EW98" s="44">
        <f>+Inputs!EW239</f>
        <v>1</v>
      </c>
      <c r="EX98" s="45">
        <f t="shared" si="265"/>
        <v>12</v>
      </c>
      <c r="EY98" s="159">
        <f t="shared" ref="EY98:FB98" si="269">EY72</f>
        <v>0</v>
      </c>
      <c r="EZ98" s="159">
        <f t="shared" si="269"/>
        <v>0</v>
      </c>
      <c r="FA98" s="159">
        <f t="shared" si="269"/>
        <v>0</v>
      </c>
      <c r="FB98" s="159">
        <f t="shared" si="269"/>
        <v>0</v>
      </c>
      <c r="FC98" s="45">
        <f t="shared" si="267"/>
        <v>0</v>
      </c>
      <c r="FD98" s="159">
        <f t="shared" ref="FD98:FI98" si="270">FD72</f>
        <v>0</v>
      </c>
      <c r="FE98" s="159">
        <f t="shared" si="270"/>
        <v>0</v>
      </c>
      <c r="FF98" s="159">
        <f t="shared" si="270"/>
        <v>0</v>
      </c>
      <c r="FG98" s="159">
        <f t="shared" si="270"/>
        <v>0</v>
      </c>
      <c r="FH98" s="159">
        <f t="shared" si="270"/>
        <v>0</v>
      </c>
      <c r="FI98" s="159">
        <f t="shared" si="270"/>
        <v>0</v>
      </c>
    </row>
    <row r="99" spans="1:165" x14ac:dyDescent="0.3">
      <c r="A99" s="27" t="s">
        <v>78</v>
      </c>
      <c r="DU99" s="151">
        <f>+DU66</f>
        <v>3</v>
      </c>
      <c r="DV99" s="151">
        <f>+DV66</f>
        <v>4</v>
      </c>
      <c r="DW99" s="151">
        <f>+DW66</f>
        <v>3</v>
      </c>
      <c r="DX99" s="151">
        <f>+DX66</f>
        <v>5</v>
      </c>
      <c r="DY99" s="45">
        <f t="shared" si="260"/>
        <v>15</v>
      </c>
      <c r="DZ99" s="151">
        <f>+DZ66</f>
        <v>1</v>
      </c>
      <c r="EA99" s="151">
        <f>+EA66</f>
        <v>1</v>
      </c>
      <c r="EB99" s="151">
        <f>+EB66</f>
        <v>1</v>
      </c>
      <c r="EC99" s="151">
        <f>+EC66</f>
        <v>0</v>
      </c>
      <c r="ED99" s="45">
        <f t="shared" si="261"/>
        <v>3</v>
      </c>
      <c r="EE99" s="151">
        <f>+EE66</f>
        <v>-1</v>
      </c>
      <c r="EF99" s="151">
        <f>+EF66</f>
        <v>0</v>
      </c>
      <c r="EG99" s="151">
        <f>+EG66</f>
        <v>8</v>
      </c>
      <c r="EH99" s="151">
        <f>+EH66</f>
        <v>10</v>
      </c>
      <c r="EI99" s="45">
        <f t="shared" si="262"/>
        <v>17</v>
      </c>
      <c r="EJ99" s="151">
        <f>+EJ66</f>
        <v>15</v>
      </c>
      <c r="EK99" s="151">
        <f>+EK66</f>
        <v>20</v>
      </c>
      <c r="EL99" s="151">
        <f>+EL66</f>
        <v>19</v>
      </c>
      <c r="EM99" s="151">
        <f>+EM66</f>
        <v>28</v>
      </c>
      <c r="EN99" s="45">
        <f t="shared" si="263"/>
        <v>82</v>
      </c>
      <c r="EO99" s="151">
        <f>+EO66</f>
        <v>24</v>
      </c>
      <c r="EP99" s="151">
        <f>+EP66</f>
        <v>27</v>
      </c>
      <c r="EQ99" s="151">
        <f>+EQ66</f>
        <v>30</v>
      </c>
      <c r="ER99" s="151">
        <f>+ER66</f>
        <v>27</v>
      </c>
      <c r="ES99" s="45">
        <f t="shared" si="264"/>
        <v>108</v>
      </c>
      <c r="ET99" s="151">
        <f>+ET66</f>
        <v>26</v>
      </c>
      <c r="EU99" s="151">
        <f>+EU66</f>
        <v>11</v>
      </c>
      <c r="EV99" s="151">
        <f>+EV66</f>
        <v>17</v>
      </c>
      <c r="EW99" s="151">
        <f>+EW66</f>
        <v>14</v>
      </c>
      <c r="EX99" s="45">
        <f t="shared" si="265"/>
        <v>68</v>
      </c>
      <c r="EY99" s="151">
        <f t="shared" ref="EY99:FB99" si="271">+EY66</f>
        <v>17</v>
      </c>
      <c r="EZ99" s="151">
        <f t="shared" si="271"/>
        <v>17</v>
      </c>
      <c r="FA99" s="151">
        <f t="shared" si="271"/>
        <v>17</v>
      </c>
      <c r="FB99" s="151">
        <f t="shared" si="271"/>
        <v>17</v>
      </c>
      <c r="FC99" s="45">
        <f t="shared" si="267"/>
        <v>68</v>
      </c>
      <c r="FD99" s="151">
        <f t="shared" ref="FD99:FI99" si="272">+FD66</f>
        <v>68</v>
      </c>
      <c r="FE99" s="151">
        <f t="shared" si="272"/>
        <v>68</v>
      </c>
      <c r="FF99" s="151">
        <f t="shared" si="272"/>
        <v>68</v>
      </c>
      <c r="FG99" s="151">
        <f t="shared" si="272"/>
        <v>68</v>
      </c>
      <c r="FH99" s="151">
        <f t="shared" si="272"/>
        <v>68</v>
      </c>
      <c r="FI99" s="151">
        <f t="shared" si="272"/>
        <v>68</v>
      </c>
    </row>
    <row r="100" spans="1:165" x14ac:dyDescent="0.3">
      <c r="A100" s="27" t="s">
        <v>79</v>
      </c>
      <c r="DU100" s="44">
        <f>+Inputs!DU245</f>
        <v>16</v>
      </c>
      <c r="DV100" s="44">
        <f>+Inputs!DV245</f>
        <v>-535</v>
      </c>
      <c r="DW100" s="44">
        <f>+Inputs!DW245</f>
        <v>-22</v>
      </c>
      <c r="DX100" s="44">
        <f>+Inputs!DX245</f>
        <v>-78</v>
      </c>
      <c r="DY100" s="45">
        <f t="shared" si="260"/>
        <v>-619</v>
      </c>
      <c r="DZ100" s="44">
        <f>+Inputs!DZ245</f>
        <v>-30</v>
      </c>
      <c r="EA100" s="44">
        <f>+Inputs!EA245</f>
        <v>-62</v>
      </c>
      <c r="EB100" s="44">
        <f>+Inputs!EB245</f>
        <v>-8</v>
      </c>
      <c r="EC100" s="44">
        <f>+Inputs!EC245</f>
        <v>9</v>
      </c>
      <c r="ED100" s="182">
        <f t="shared" si="261"/>
        <v>-91</v>
      </c>
      <c r="EE100" s="44">
        <f>+Inputs!EE245</f>
        <v>84</v>
      </c>
      <c r="EF100" s="44">
        <f>+Inputs!EF245</f>
        <v>-195</v>
      </c>
      <c r="EG100" s="44">
        <f>+Inputs!EG245</f>
        <v>31</v>
      </c>
      <c r="EH100" s="44">
        <f>+Inputs!EH245</f>
        <v>13</v>
      </c>
      <c r="EI100" s="182">
        <f t="shared" si="262"/>
        <v>-67</v>
      </c>
      <c r="EJ100" s="44">
        <f>+Inputs!EJ245</f>
        <v>25</v>
      </c>
      <c r="EK100" s="44">
        <f>+Inputs!EK245</f>
        <v>68</v>
      </c>
      <c r="EL100" s="44">
        <f>+Inputs!EL245</f>
        <v>74</v>
      </c>
      <c r="EM100" s="44">
        <f>+Inputs!EM245</f>
        <v>-3</v>
      </c>
      <c r="EN100" s="182">
        <f t="shared" si="263"/>
        <v>164</v>
      </c>
      <c r="EO100" s="44">
        <f>+Inputs!EO245</f>
        <v>1</v>
      </c>
      <c r="EP100" s="44">
        <f>+Inputs!EP245</f>
        <v>0</v>
      </c>
      <c r="EQ100" s="44">
        <f>+Inputs!EQ245</f>
        <v>-2</v>
      </c>
      <c r="ER100" s="44">
        <f>+Inputs!ER245</f>
        <v>79</v>
      </c>
      <c r="ES100" s="182">
        <f t="shared" si="264"/>
        <v>78</v>
      </c>
      <c r="ET100" s="44">
        <f>+Inputs!ET245</f>
        <v>4</v>
      </c>
      <c r="EU100" s="44">
        <f>+Inputs!EU245</f>
        <v>-10</v>
      </c>
      <c r="EV100" s="44">
        <f>+Inputs!EV245</f>
        <v>-8</v>
      </c>
      <c r="EW100" s="44">
        <f>+Inputs!EW245</f>
        <v>-9</v>
      </c>
      <c r="EX100" s="182">
        <f t="shared" si="265"/>
        <v>-23</v>
      </c>
      <c r="EY100" s="183">
        <f t="shared" ref="EY100:FB100" si="273">+EY168</f>
        <v>-38.343491515487464</v>
      </c>
      <c r="EZ100" s="183">
        <f t="shared" si="273"/>
        <v>-33.665835838862904</v>
      </c>
      <c r="FA100" s="183">
        <f t="shared" si="273"/>
        <v>-34.816824021008976</v>
      </c>
      <c r="FB100" s="183">
        <f t="shared" si="273"/>
        <v>-21.768941618330587</v>
      </c>
      <c r="FC100" s="182">
        <f t="shared" si="267"/>
        <v>-128.59509299368995</v>
      </c>
      <c r="FD100" s="183">
        <f t="shared" ref="FD100:FI100" si="274">+FD168</f>
        <v>-90.205655896305643</v>
      </c>
      <c r="FE100" s="183">
        <f t="shared" si="274"/>
        <v>-12.417443780289119</v>
      </c>
      <c r="FF100" s="183">
        <f t="shared" si="274"/>
        <v>64.713674775910988</v>
      </c>
      <c r="FG100" s="183">
        <f t="shared" si="274"/>
        <v>138.61598456873946</v>
      </c>
      <c r="FH100" s="183">
        <f t="shared" si="274"/>
        <v>214.43472723774394</v>
      </c>
      <c r="FI100" s="183">
        <f t="shared" si="274"/>
        <v>274.2578643397099</v>
      </c>
    </row>
    <row r="101" spans="1:165" x14ac:dyDescent="0.3">
      <c r="A101" s="27" t="s">
        <v>80</v>
      </c>
      <c r="DU101" s="44">
        <f>+Inputs!DU246</f>
        <v>0</v>
      </c>
      <c r="DV101" s="44">
        <f>+Inputs!DV246</f>
        <v>5449</v>
      </c>
      <c r="DW101" s="44">
        <f>+Inputs!DW246</f>
        <v>276</v>
      </c>
      <c r="DX101" s="44">
        <f>+Inputs!DX246</f>
        <v>0</v>
      </c>
      <c r="DY101" s="45">
        <f t="shared" si="260"/>
        <v>5725</v>
      </c>
      <c r="DZ101" s="44">
        <f>+Inputs!DZ246</f>
        <v>0</v>
      </c>
      <c r="EA101" s="44">
        <f>+Inputs!EA246</f>
        <v>0</v>
      </c>
      <c r="EB101" s="44">
        <f>+Inputs!EB246</f>
        <v>0</v>
      </c>
      <c r="EC101" s="44">
        <f>+Inputs!EC246</f>
        <v>0</v>
      </c>
      <c r="ED101" s="45">
        <f t="shared" si="261"/>
        <v>0</v>
      </c>
      <c r="EE101" s="44">
        <f>+Inputs!EE246</f>
        <v>0</v>
      </c>
      <c r="EF101" s="44">
        <f>+Inputs!EF246</f>
        <v>0</v>
      </c>
      <c r="EG101" s="44">
        <f>+Inputs!EG246</f>
        <v>0</v>
      </c>
      <c r="EH101" s="44">
        <f>+Inputs!EH246</f>
        <v>0</v>
      </c>
      <c r="EI101" s="45">
        <f t="shared" si="262"/>
        <v>0</v>
      </c>
      <c r="EJ101" s="44">
        <f>+Inputs!EJ246</f>
        <v>0</v>
      </c>
      <c r="EK101" s="44">
        <f>+Inputs!EK246</f>
        <v>0</v>
      </c>
      <c r="EL101" s="44">
        <f>+Inputs!EL246</f>
        <v>0</v>
      </c>
      <c r="EM101" s="44">
        <f>+Inputs!EM246</f>
        <v>0</v>
      </c>
      <c r="EN101" s="45">
        <f t="shared" si="263"/>
        <v>0</v>
      </c>
      <c r="EO101" s="44">
        <f>+Inputs!EO246</f>
        <v>0</v>
      </c>
      <c r="EP101" s="44">
        <f>+Inputs!EP246</f>
        <v>0</v>
      </c>
      <c r="EQ101" s="44">
        <f>+Inputs!EQ246</f>
        <v>0</v>
      </c>
      <c r="ER101" s="44">
        <f>+Inputs!ER246</f>
        <v>0</v>
      </c>
      <c r="ES101" s="45">
        <f t="shared" si="264"/>
        <v>0</v>
      </c>
      <c r="ET101" s="44">
        <f>+Inputs!ET246</f>
        <v>0</v>
      </c>
      <c r="EU101" s="44">
        <f>+Inputs!EU246</f>
        <v>0</v>
      </c>
      <c r="EV101" s="44">
        <f>+Inputs!EV246</f>
        <v>0</v>
      </c>
      <c r="EW101" s="44">
        <f>+Inputs!EW246</f>
        <v>0</v>
      </c>
      <c r="EX101" s="45">
        <f t="shared" si="265"/>
        <v>0</v>
      </c>
      <c r="EY101" s="159">
        <v>0</v>
      </c>
      <c r="EZ101" s="159">
        <v>0</v>
      </c>
      <c r="FA101" s="159">
        <v>0</v>
      </c>
      <c r="FB101" s="159">
        <v>0</v>
      </c>
      <c r="FC101" s="45">
        <f t="shared" si="267"/>
        <v>0</v>
      </c>
      <c r="FD101" s="159">
        <v>0</v>
      </c>
      <c r="FE101" s="159">
        <v>0</v>
      </c>
      <c r="FF101" s="159">
        <v>0</v>
      </c>
      <c r="FG101" s="159">
        <v>0</v>
      </c>
      <c r="FH101" s="159">
        <v>0</v>
      </c>
      <c r="FI101" s="159">
        <v>0</v>
      </c>
    </row>
    <row r="102" spans="1:165" x14ac:dyDescent="0.3">
      <c r="A102" s="27" t="s">
        <v>81</v>
      </c>
      <c r="DU102" s="44">
        <f>+Inputs!DU247</f>
        <v>0</v>
      </c>
      <c r="DV102" s="44">
        <f>+Inputs!DV247</f>
        <v>384</v>
      </c>
      <c r="DW102" s="44">
        <f>+Inputs!DW247</f>
        <v>30</v>
      </c>
      <c r="DX102" s="44">
        <f>+Inputs!DX247</f>
        <v>32</v>
      </c>
      <c r="DY102" s="45">
        <f t="shared" si="260"/>
        <v>446</v>
      </c>
      <c r="DZ102" s="44">
        <f>+Inputs!DZ247</f>
        <v>24</v>
      </c>
      <c r="EA102" s="44">
        <f>+Inputs!EA247</f>
        <v>136</v>
      </c>
      <c r="EB102" s="44">
        <f>+Inputs!EB247</f>
        <v>0</v>
      </c>
      <c r="EC102" s="44">
        <f>+Inputs!EC247</f>
        <v>2</v>
      </c>
      <c r="ED102" s="45">
        <f t="shared" si="261"/>
        <v>162</v>
      </c>
      <c r="EE102" s="44">
        <f>+Inputs!EE247</f>
        <v>0</v>
      </c>
      <c r="EF102" s="44">
        <f>+Inputs!EF247</f>
        <v>0</v>
      </c>
      <c r="EG102" s="44">
        <f>+Inputs!EG247</f>
        <v>0</v>
      </c>
      <c r="EH102" s="44">
        <f>+Inputs!EH247</f>
        <v>0</v>
      </c>
      <c r="EI102" s="45">
        <f t="shared" si="262"/>
        <v>0</v>
      </c>
      <c r="EJ102" s="44">
        <f>+Inputs!EJ247</f>
        <v>0</v>
      </c>
      <c r="EK102" s="44">
        <f>+Inputs!EK247</f>
        <v>0</v>
      </c>
      <c r="EL102" s="44">
        <f>+Inputs!EL247</f>
        <v>0</v>
      </c>
      <c r="EM102" s="44">
        <f>+Inputs!EM247</f>
        <v>0</v>
      </c>
      <c r="EN102" s="45">
        <f t="shared" si="263"/>
        <v>0</v>
      </c>
      <c r="EO102" s="44">
        <f>+Inputs!EO247</f>
        <v>0</v>
      </c>
      <c r="EP102" s="44">
        <f>+Inputs!EP247</f>
        <v>0</v>
      </c>
      <c r="EQ102" s="44">
        <f>+Inputs!EQ247</f>
        <v>0</v>
      </c>
      <c r="ER102" s="44">
        <f>+Inputs!ER247</f>
        <v>0</v>
      </c>
      <c r="ES102" s="45">
        <f t="shared" si="264"/>
        <v>0</v>
      </c>
      <c r="ET102" s="44">
        <f>+Inputs!ET247</f>
        <v>0</v>
      </c>
      <c r="EU102" s="44">
        <f>+Inputs!EU247</f>
        <v>0</v>
      </c>
      <c r="EV102" s="44">
        <f>+Inputs!EV247</f>
        <v>0</v>
      </c>
      <c r="EW102" s="44">
        <f>+Inputs!EW247</f>
        <v>0</v>
      </c>
      <c r="EX102" s="45">
        <f t="shared" si="265"/>
        <v>0</v>
      </c>
      <c r="EY102" s="159">
        <v>0</v>
      </c>
      <c r="EZ102" s="159">
        <v>0</v>
      </c>
      <c r="FA102" s="159">
        <v>0</v>
      </c>
      <c r="FB102" s="159">
        <v>0</v>
      </c>
      <c r="FC102" s="45">
        <f t="shared" si="267"/>
        <v>0</v>
      </c>
      <c r="FD102" s="159">
        <v>0</v>
      </c>
      <c r="FE102" s="159">
        <v>0</v>
      </c>
      <c r="FF102" s="159">
        <v>0</v>
      </c>
      <c r="FG102" s="159">
        <v>0</v>
      </c>
      <c r="FH102" s="159">
        <v>0</v>
      </c>
      <c r="FI102" s="159">
        <v>0</v>
      </c>
    </row>
    <row r="103" spans="1:165" x14ac:dyDescent="0.3">
      <c r="A103" s="27" t="s">
        <v>82</v>
      </c>
      <c r="DU103" s="44">
        <f>SUM(Inputs!DU248:DU250)</f>
        <v>-163</v>
      </c>
      <c r="DV103" s="44">
        <f>SUM(Inputs!DV248:DV250)</f>
        <v>129</v>
      </c>
      <c r="DW103" s="44">
        <f>SUM(Inputs!DW248:DW250)</f>
        <v>-127</v>
      </c>
      <c r="DX103" s="44">
        <f>SUM(Inputs!DX248:DX250)</f>
        <v>82</v>
      </c>
      <c r="DY103" s="45">
        <f>SUM(DU103:DX103)</f>
        <v>-79</v>
      </c>
      <c r="DZ103" s="44">
        <f>SUM(Inputs!DZ248:DZ250)</f>
        <v>141</v>
      </c>
      <c r="EA103" s="44">
        <f>SUM(Inputs!EA248:EA250)</f>
        <v>37</v>
      </c>
      <c r="EB103" s="44">
        <f>SUM(Inputs!EB248:EB250)</f>
        <v>139</v>
      </c>
      <c r="EC103" s="44">
        <f>SUM(Inputs!EC248:EC250)</f>
        <v>57</v>
      </c>
      <c r="ED103" s="45">
        <f>SUM(DZ103:EC103)</f>
        <v>374</v>
      </c>
      <c r="EE103" s="44">
        <f>SUM(Inputs!EE248:EE250)</f>
        <v>134</v>
      </c>
      <c r="EF103" s="44">
        <f>SUM(Inputs!EF248:EF250)</f>
        <v>-150</v>
      </c>
      <c r="EG103" s="44">
        <f>SUM(Inputs!EG248:EG250)</f>
        <v>171</v>
      </c>
      <c r="EH103" s="44">
        <f>SUM(Inputs!EH248:EH250)</f>
        <v>-19</v>
      </c>
      <c r="EI103" s="45">
        <f>SUM(EE103:EH103)</f>
        <v>136</v>
      </c>
      <c r="EJ103" s="44">
        <f>SUM(Inputs!EJ248:EJ250)</f>
        <v>102</v>
      </c>
      <c r="EK103" s="44">
        <f>SUM(Inputs!EK248:EK250)</f>
        <v>-258</v>
      </c>
      <c r="EL103" s="44">
        <f>SUM(Inputs!EL248:EL250)</f>
        <v>-268</v>
      </c>
      <c r="EM103" s="44">
        <f>SUM(Inputs!EM248:EM250)</f>
        <v>-137</v>
      </c>
      <c r="EN103" s="45">
        <f t="shared" ref="EN103" si="275">+SUM(EJ103:EM103)</f>
        <v>-561</v>
      </c>
      <c r="EO103" s="44">
        <f>SUM(Inputs!EO248:EO250)</f>
        <v>38</v>
      </c>
      <c r="EP103" s="44">
        <f>SUM(Inputs!EP248:EP250)</f>
        <v>-106</v>
      </c>
      <c r="EQ103" s="44">
        <f>SUM(Inputs!EQ248:EQ250)</f>
        <v>-28</v>
      </c>
      <c r="ER103" s="44">
        <f>SUM(Inputs!ER248:ER250)</f>
        <v>-212</v>
      </c>
      <c r="ES103" s="45">
        <f t="shared" ref="ES103" si="276">+SUM(EO103:ER103)</f>
        <v>-308</v>
      </c>
      <c r="ET103" s="44">
        <f>SUM(Inputs!ET248:ET250)</f>
        <v>-86</v>
      </c>
      <c r="EU103" s="44">
        <f>SUM(Inputs!EU248:EU250)</f>
        <v>86</v>
      </c>
      <c r="EV103" s="44">
        <f>SUM(Inputs!EV248:EV250)</f>
        <v>272</v>
      </c>
      <c r="EW103" s="44">
        <f>SUM(Inputs!EW248:EW250)</f>
        <v>-27</v>
      </c>
      <c r="EX103" s="45">
        <f t="shared" ref="EX103" si="277">+SUM(ET103:EW103)</f>
        <v>245</v>
      </c>
      <c r="EY103" s="57">
        <f>EX103*0.1/4</f>
        <v>6.125</v>
      </c>
      <c r="EZ103" s="57">
        <f>EY103</f>
        <v>6.125</v>
      </c>
      <c r="FA103" s="57">
        <f t="shared" ref="FA103:FB103" si="278">EZ103</f>
        <v>6.125</v>
      </c>
      <c r="FB103" s="57">
        <f t="shared" si="278"/>
        <v>6.125</v>
      </c>
      <c r="FC103" s="45">
        <f t="shared" ref="FC103" si="279">+SUM(EY103:FB103)</f>
        <v>24.5</v>
      </c>
      <c r="FD103" s="57">
        <f t="shared" ref="FD103:FI103" si="280">FC103*0.5</f>
        <v>12.25</v>
      </c>
      <c r="FE103" s="57">
        <v>0</v>
      </c>
      <c r="FF103" s="57">
        <f t="shared" si="280"/>
        <v>0</v>
      </c>
      <c r="FG103" s="57">
        <f t="shared" si="280"/>
        <v>0</v>
      </c>
      <c r="FH103" s="57">
        <f t="shared" si="280"/>
        <v>0</v>
      </c>
      <c r="FI103" s="57">
        <f t="shared" si="280"/>
        <v>0</v>
      </c>
    </row>
    <row r="104" spans="1:165" x14ac:dyDescent="0.3">
      <c r="A104" s="27" t="s">
        <v>34</v>
      </c>
      <c r="DU104" s="76">
        <f>+DU105-SUM(DU96:DU103)</f>
        <v>29</v>
      </c>
      <c r="DV104" s="76">
        <f t="shared" ref="DV104:DX104" si="281">+DV105-SUM(DV96:DV103)</f>
        <v>7</v>
      </c>
      <c r="DW104" s="76">
        <f t="shared" si="281"/>
        <v>9</v>
      </c>
      <c r="DX104" s="76">
        <f t="shared" si="281"/>
        <v>5</v>
      </c>
      <c r="DY104" s="45">
        <f t="shared" si="260"/>
        <v>50</v>
      </c>
      <c r="DZ104" s="76">
        <f t="shared" ref="DZ104" si="282">+DZ105-SUM(DZ96:DZ103)</f>
        <v>9</v>
      </c>
      <c r="EA104" s="76">
        <f t="shared" ref="EA104" si="283">+EA105-SUM(EA96:EA103)</f>
        <v>89</v>
      </c>
      <c r="EB104" s="76">
        <f t="shared" ref="EB104" si="284">+EB105-SUM(EB96:EB103)</f>
        <v>3</v>
      </c>
      <c r="EC104" s="76">
        <f t="shared" ref="EC104" si="285">+EC105-SUM(EC96:EC103)</f>
        <v>85</v>
      </c>
      <c r="ED104" s="45">
        <f t="shared" si="261"/>
        <v>186</v>
      </c>
      <c r="EE104" s="76">
        <f t="shared" ref="EE104" si="286">+EE105-SUM(EE96:EE103)</f>
        <v>1</v>
      </c>
      <c r="EF104" s="76">
        <f t="shared" ref="EF104" si="287">+EF105-SUM(EF96:EF103)</f>
        <v>-5472</v>
      </c>
      <c r="EG104" s="76">
        <f t="shared" ref="EG104:EH104" si="288">+EG105-SUM(EG96:EG103)</f>
        <v>-6</v>
      </c>
      <c r="EH104" s="76">
        <f t="shared" si="288"/>
        <v>-7</v>
      </c>
      <c r="EI104" s="45">
        <f t="shared" si="262"/>
        <v>-5484</v>
      </c>
      <c r="EJ104" s="76">
        <f t="shared" ref="EJ104:EK104" si="289">+EJ105-SUM(EJ96:EJ103)</f>
        <v>37</v>
      </c>
      <c r="EK104" s="76">
        <f t="shared" si="289"/>
        <v>8</v>
      </c>
      <c r="EL104" s="76">
        <f t="shared" ref="EL104:EM104" si="290">+EL105-SUM(EL96:EL103)</f>
        <v>-7</v>
      </c>
      <c r="EM104" s="76">
        <f t="shared" si="290"/>
        <v>0</v>
      </c>
      <c r="EN104" s="45">
        <f t="shared" si="263"/>
        <v>38</v>
      </c>
      <c r="EO104" s="76">
        <f t="shared" ref="EO104:EP104" si="291">+EO105-SUM(EO96:EO103)</f>
        <v>-7</v>
      </c>
      <c r="EP104" s="76">
        <f t="shared" si="291"/>
        <v>3</v>
      </c>
      <c r="EQ104" s="76">
        <f t="shared" ref="EQ104:ER104" si="292">+EQ105-SUM(EQ96:EQ103)</f>
        <v>16</v>
      </c>
      <c r="ER104" s="76">
        <f t="shared" si="292"/>
        <v>10</v>
      </c>
      <c r="ES104" s="45">
        <f t="shared" si="264"/>
        <v>22</v>
      </c>
      <c r="ET104" s="76">
        <f t="shared" ref="ET104:EU104" si="293">+ET105-SUM(ET96:ET103)</f>
        <v>-5</v>
      </c>
      <c r="EU104" s="76">
        <f t="shared" si="293"/>
        <v>9</v>
      </c>
      <c r="EV104" s="76">
        <f t="shared" ref="EV104:EW104" si="294">+EV105-SUM(EV96:EV103)</f>
        <v>8</v>
      </c>
      <c r="EW104" s="76">
        <f t="shared" si="294"/>
        <v>4</v>
      </c>
      <c r="EX104" s="45">
        <f t="shared" si="265"/>
        <v>16</v>
      </c>
      <c r="EY104" s="159">
        <f t="shared" ref="EY104:FB104" si="295">-125/4-(EY213-EY207)</f>
        <v>23.420468009478668</v>
      </c>
      <c r="EZ104" s="159">
        <f t="shared" si="295"/>
        <v>-101.89784688995218</v>
      </c>
      <c r="FA104" s="159">
        <f t="shared" si="295"/>
        <v>22.154947916666686</v>
      </c>
      <c r="FB104" s="159">
        <f t="shared" si="295"/>
        <v>-102.48284850230419</v>
      </c>
      <c r="FC104" s="45">
        <f t="shared" si="267"/>
        <v>-158.80527946611102</v>
      </c>
      <c r="FD104" s="159">
        <f t="shared" ref="FD104:FI104" si="296">-125-(FD213-FD207)</f>
        <v>-162.4648050257731</v>
      </c>
      <c r="FE104" s="159">
        <f t="shared" si="296"/>
        <v>-164.66913434991227</v>
      </c>
      <c r="FF104" s="159">
        <f t="shared" si="296"/>
        <v>-165.61405938234793</v>
      </c>
      <c r="FG104" s="159">
        <f t="shared" si="296"/>
        <v>-165.62280524548464</v>
      </c>
      <c r="FH104" s="159">
        <f t="shared" si="296"/>
        <v>-164.31896900065442</v>
      </c>
      <c r="FI104" s="159">
        <f t="shared" si="296"/>
        <v>-164.66236851010058</v>
      </c>
    </row>
    <row r="105" spans="1:165" x14ac:dyDescent="0.3">
      <c r="A105" s="35" t="s">
        <v>83</v>
      </c>
      <c r="DU105" s="1784">
        <f>+Inputs!DU251</f>
        <v>282</v>
      </c>
      <c r="DV105" s="1784">
        <f>+Inputs!DV251</f>
        <v>575</v>
      </c>
      <c r="DW105" s="1784">
        <f>+Inputs!DW251</f>
        <v>246</v>
      </c>
      <c r="DX105" s="1784">
        <f>+Inputs!DX251</f>
        <v>405</v>
      </c>
      <c r="DY105" s="858">
        <f t="shared" si="260"/>
        <v>1508</v>
      </c>
      <c r="DZ105" s="1784">
        <f>+Inputs!DZ251</f>
        <v>477</v>
      </c>
      <c r="EA105" s="1784">
        <f>+Inputs!EA251</f>
        <v>473</v>
      </c>
      <c r="EB105" s="1784">
        <f>+Inputs!EB251</f>
        <v>542</v>
      </c>
      <c r="EC105" s="1784">
        <f>+Inputs!EC251</f>
        <v>497</v>
      </c>
      <c r="ED105" s="858">
        <f t="shared" si="261"/>
        <v>1989</v>
      </c>
      <c r="EE105" s="1784">
        <f>+Inputs!EE251</f>
        <v>665</v>
      </c>
      <c r="EF105" s="1784">
        <f>+Inputs!EF251</f>
        <v>-939</v>
      </c>
      <c r="EG105" s="1784">
        <f>+Inputs!EG251</f>
        <v>603</v>
      </c>
      <c r="EH105" s="1784">
        <f>+Inputs!EH251</f>
        <v>468</v>
      </c>
      <c r="EI105" s="858">
        <f t="shared" si="262"/>
        <v>797</v>
      </c>
      <c r="EJ105" s="1784">
        <f>+Inputs!EJ251</f>
        <v>528</v>
      </c>
      <c r="EK105" s="1784">
        <f>+Inputs!EK251</f>
        <v>229</v>
      </c>
      <c r="EL105" s="1784">
        <f>+Inputs!EL251</f>
        <v>284</v>
      </c>
      <c r="EM105" s="1784">
        <f>+Inputs!EM251</f>
        <v>360</v>
      </c>
      <c r="EN105" s="858">
        <f t="shared" si="263"/>
        <v>1401</v>
      </c>
      <c r="EO105" s="1784">
        <f>+Inputs!EO251</f>
        <v>389</v>
      </c>
      <c r="EP105" s="1784">
        <f>+Inputs!EP251</f>
        <v>276</v>
      </c>
      <c r="EQ105" s="1784">
        <f>+Inputs!EQ251</f>
        <v>383</v>
      </c>
      <c r="ER105" s="1784">
        <f>+Inputs!ER251</f>
        <v>296</v>
      </c>
      <c r="ES105" s="858">
        <f t="shared" si="264"/>
        <v>1344</v>
      </c>
      <c r="ET105" s="1784">
        <f>+Inputs!ET251</f>
        <v>335</v>
      </c>
      <c r="EU105" s="1784">
        <f>+Inputs!EU251</f>
        <v>374</v>
      </c>
      <c r="EV105" s="1784">
        <f>+Inputs!EV251</f>
        <v>618</v>
      </c>
      <c r="EW105" s="1784">
        <f>+Inputs!EW251</f>
        <v>294</v>
      </c>
      <c r="EX105" s="858">
        <f t="shared" si="265"/>
        <v>1621</v>
      </c>
      <c r="EY105" s="858">
        <f t="shared" ref="EY105:FB105" si="297">+SUM(EY96:EY104)</f>
        <v>354.96373611473734</v>
      </c>
      <c r="EZ105" s="858">
        <f t="shared" si="297"/>
        <v>264.22570358268172</v>
      </c>
      <c r="FA105" s="858">
        <f t="shared" si="297"/>
        <v>399.21225030027182</v>
      </c>
      <c r="FB105" s="858">
        <f t="shared" si="297"/>
        <v>337.83952811150749</v>
      </c>
      <c r="FC105" s="858">
        <f t="shared" si="267"/>
        <v>1356.2412181091984</v>
      </c>
      <c r="FD105" s="858">
        <f t="shared" ref="FD105:FI105" si="298">+SUM(FD96:FD104)</f>
        <v>1502.7199051601567</v>
      </c>
      <c r="FE105" s="858">
        <f t="shared" si="298"/>
        <v>1748.4050607163681</v>
      </c>
      <c r="FF105" s="858">
        <f t="shared" si="298"/>
        <v>2001.2719722340698</v>
      </c>
      <c r="FG105" s="858">
        <f t="shared" si="298"/>
        <v>2262.7137883388568</v>
      </c>
      <c r="FH105" s="858">
        <f t="shared" si="298"/>
        <v>2542.3928646849017</v>
      </c>
      <c r="FI105" s="858">
        <f t="shared" si="298"/>
        <v>2756.6742955201898</v>
      </c>
    </row>
    <row r="106" spans="1:165" x14ac:dyDescent="0.3">
      <c r="A106" s="27"/>
      <c r="EO106"/>
      <c r="EP106"/>
      <c r="EQ106"/>
      <c r="ER106"/>
    </row>
    <row r="107" spans="1:165" x14ac:dyDescent="0.3">
      <c r="A107" s="27" t="s">
        <v>84</v>
      </c>
      <c r="DU107" s="44">
        <f>+Inputs!DU253</f>
        <v>-305</v>
      </c>
      <c r="DV107" s="44">
        <f>+Inputs!DV253</f>
        <v>-275</v>
      </c>
      <c r="DW107" s="44">
        <f>+Inputs!DW253</f>
        <v>-318</v>
      </c>
      <c r="DX107" s="44">
        <f>+Inputs!DX253</f>
        <v>-328</v>
      </c>
      <c r="DY107" s="45">
        <f t="shared" si="260"/>
        <v>-1226</v>
      </c>
      <c r="DZ107" s="44">
        <f>+Inputs!DZ253</f>
        <v>-286</v>
      </c>
      <c r="EA107" s="44">
        <f>+Inputs!EA253</f>
        <v>-225</v>
      </c>
      <c r="EB107" s="44">
        <f>+Inputs!EB253</f>
        <v>-314</v>
      </c>
      <c r="EC107" s="44">
        <f>+Inputs!EC253</f>
        <v>-356</v>
      </c>
      <c r="ED107" s="45">
        <f>+SUM(DZ107:EC107)</f>
        <v>-1181</v>
      </c>
      <c r="EE107" s="44">
        <f>+Inputs!EE253</f>
        <v>-384</v>
      </c>
      <c r="EF107" s="44">
        <f>+Inputs!EF253</f>
        <v>-385</v>
      </c>
      <c r="EG107" s="44">
        <f>+Inputs!EG253</f>
        <v>-377</v>
      </c>
      <c r="EH107" s="44">
        <f>+Inputs!EH253</f>
        <v>-559</v>
      </c>
      <c r="EI107" s="45">
        <f>+SUM(EE107:EH107)</f>
        <v>-1705</v>
      </c>
      <c r="EJ107" s="44">
        <f>+Inputs!EJ253</f>
        <v>-447</v>
      </c>
      <c r="EK107" s="44">
        <f>+Inputs!EK253</f>
        <v>-641</v>
      </c>
      <c r="EL107" s="44">
        <f>+Inputs!EL253</f>
        <v>-772</v>
      </c>
      <c r="EM107" s="44">
        <f>+Inputs!EM253</f>
        <v>-878</v>
      </c>
      <c r="EN107" s="45">
        <f>+SUM(EJ107:EM107)</f>
        <v>-2738</v>
      </c>
      <c r="EO107" s="44">
        <f>+Inputs!EO253</f>
        <v>-1154</v>
      </c>
      <c r="EP107" s="44">
        <f>+Inputs!EP253</f>
        <v>-1057</v>
      </c>
      <c r="EQ107" s="44">
        <f>+Inputs!EQ253</f>
        <v>-671</v>
      </c>
      <c r="ER107" s="44">
        <f>+Inputs!ER253</f>
        <v>-329</v>
      </c>
      <c r="ES107" s="45">
        <f>+SUM(EO107:ER107)</f>
        <v>-3211</v>
      </c>
      <c r="ET107" s="44">
        <f>+Inputs!ET253</f>
        <v>-666</v>
      </c>
      <c r="EU107" s="44">
        <f>+Inputs!EU253</f>
        <v>-626</v>
      </c>
      <c r="EV107" s="44">
        <f>+Inputs!EV253</f>
        <v>-699</v>
      </c>
      <c r="EW107" s="44">
        <f>+Inputs!EW253</f>
        <v>-792</v>
      </c>
      <c r="EX107" s="45">
        <f>+SUM(ET107:EW107)</f>
        <v>-2783</v>
      </c>
      <c r="EY107" s="44">
        <f>-Drivers!EY580</f>
        <v>-789.95223566501863</v>
      </c>
      <c r="EZ107" s="44">
        <f>-Drivers!EZ580</f>
        <v>-796.10965887968393</v>
      </c>
      <c r="FA107" s="44">
        <f>-Drivers!FA580</f>
        <v>-815.43044927241476</v>
      </c>
      <c r="FB107" s="44">
        <f>-Drivers!FB580</f>
        <v>-792.95560833388913</v>
      </c>
      <c r="FC107" s="45">
        <f>+SUM(EY107:FB107)</f>
        <v>-3194.4479521510066</v>
      </c>
      <c r="FD107" s="44">
        <f>-Drivers!FD580</f>
        <v>-3082.4684202674325</v>
      </c>
      <c r="FE107" s="44">
        <f>-Drivers!FE580</f>
        <v>-1951.0215850968652</v>
      </c>
      <c r="FF107" s="44">
        <f>-Drivers!FF580</f>
        <v>-1611.100905365895</v>
      </c>
      <c r="FG107" s="44">
        <f>-Drivers!FG580</f>
        <v>-1671.0656290142479</v>
      </c>
      <c r="FH107" s="44">
        <f>-Drivers!FH580</f>
        <v>-1646.8753495613416</v>
      </c>
      <c r="FI107" s="44">
        <f>-Drivers!FI580</f>
        <v>-1624.2957441032881</v>
      </c>
    </row>
    <row r="108" spans="1:165" x14ac:dyDescent="0.3">
      <c r="A108" s="27" t="s">
        <v>85</v>
      </c>
      <c r="DU108" s="44">
        <f>+Inputs!DU254</f>
        <v>74</v>
      </c>
      <c r="DV108" s="44">
        <f>+Inputs!DV254</f>
        <v>0</v>
      </c>
      <c r="DW108" s="44">
        <f>+Inputs!DW254</f>
        <v>2</v>
      </c>
      <c r="DX108" s="44">
        <f>+Inputs!DX254</f>
        <v>12</v>
      </c>
      <c r="DY108" s="45">
        <f t="shared" si="260"/>
        <v>88</v>
      </c>
      <c r="DZ108" s="44">
        <f>+Inputs!DZ254</f>
        <v>2</v>
      </c>
      <c r="EA108" s="44">
        <f>+Inputs!EA254</f>
        <v>1134</v>
      </c>
      <c r="EB108" s="44">
        <f>+Inputs!EB254</f>
        <v>-5</v>
      </c>
      <c r="EC108" s="44">
        <f>+Inputs!EC254</f>
        <v>27</v>
      </c>
      <c r="ED108" s="45">
        <f>+SUM(DZ108:EC108)</f>
        <v>1158</v>
      </c>
      <c r="EE108" s="44">
        <f>+Inputs!EE254</f>
        <v>2</v>
      </c>
      <c r="EF108" s="44">
        <f>+Inputs!EF254</f>
        <v>0</v>
      </c>
      <c r="EG108" s="44">
        <f>+Inputs!EG254</f>
        <v>0</v>
      </c>
      <c r="EH108" s="44">
        <f>+Inputs!EH254</f>
        <v>7</v>
      </c>
      <c r="EI108" s="45">
        <f>+SUM(EE108:EH108)</f>
        <v>9</v>
      </c>
      <c r="EJ108" s="44">
        <f>+Inputs!EJ254</f>
        <v>0</v>
      </c>
      <c r="EK108" s="44">
        <f>+Inputs!EK254</f>
        <v>0</v>
      </c>
      <c r="EL108" s="44">
        <f>+Inputs!EL254</f>
        <v>3</v>
      </c>
      <c r="EM108" s="44">
        <f>+Inputs!EM254</f>
        <v>9</v>
      </c>
      <c r="EN108" s="45">
        <f>+SUM(EJ108:EM108)</f>
        <v>12</v>
      </c>
      <c r="EO108" s="44">
        <f>+Inputs!EO254</f>
        <v>0</v>
      </c>
      <c r="EP108" s="44">
        <f>+Inputs!EP254</f>
        <v>0</v>
      </c>
      <c r="EQ108" s="44">
        <f>+Inputs!EQ254</f>
        <v>18</v>
      </c>
      <c r="ER108" s="44">
        <f>+Inputs!ER254</f>
        <v>18</v>
      </c>
      <c r="ES108" s="45">
        <f>+SUM(EO108:ER108)</f>
        <v>36</v>
      </c>
      <c r="ET108" s="44">
        <f>+Inputs!ET254</f>
        <v>0</v>
      </c>
      <c r="EU108" s="44">
        <f>+Inputs!EU254</f>
        <v>4</v>
      </c>
      <c r="EV108" s="44">
        <f>+Inputs!EV254</f>
        <v>8</v>
      </c>
      <c r="EW108" s="44">
        <f>+Inputs!EW254</f>
        <v>8</v>
      </c>
      <c r="EX108" s="45">
        <f>+SUM(ET108:EW108)</f>
        <v>20</v>
      </c>
      <c r="EY108" s="159">
        <v>0</v>
      </c>
      <c r="EZ108" s="159">
        <v>0</v>
      </c>
      <c r="FA108" s="159">
        <v>0</v>
      </c>
      <c r="FB108" s="159">
        <v>0</v>
      </c>
      <c r="FC108" s="45">
        <f>+SUM(EY108:FB108)</f>
        <v>0</v>
      </c>
      <c r="FD108" s="159">
        <v>0</v>
      </c>
      <c r="FE108" s="159">
        <v>0</v>
      </c>
      <c r="FF108" s="159">
        <v>0</v>
      </c>
      <c r="FG108" s="159">
        <v>0</v>
      </c>
      <c r="FH108" s="159">
        <v>0</v>
      </c>
      <c r="FI108" s="159">
        <v>0</v>
      </c>
    </row>
    <row r="109" spans="1:165" x14ac:dyDescent="0.3">
      <c r="A109" s="27" t="s">
        <v>34</v>
      </c>
      <c r="DU109" s="44">
        <f>+Inputs!DU255</f>
        <v>0</v>
      </c>
      <c r="DV109" s="44">
        <f>+Inputs!DV255</f>
        <v>1</v>
      </c>
      <c r="DW109" s="44">
        <f>+Inputs!DW255</f>
        <v>1</v>
      </c>
      <c r="DX109" s="44">
        <f>+Inputs!DX255</f>
        <v>2</v>
      </c>
      <c r="DY109" s="160">
        <f t="shared" si="260"/>
        <v>4</v>
      </c>
      <c r="DZ109" s="161">
        <f>+Inputs!DZ255</f>
        <v>2</v>
      </c>
      <c r="EA109" s="161">
        <f>+Inputs!EA255</f>
        <v>1</v>
      </c>
      <c r="EB109" s="161">
        <f>+Inputs!EB255</f>
        <v>6</v>
      </c>
      <c r="EC109" s="161">
        <f>+Inputs!EC255</f>
        <v>-5</v>
      </c>
      <c r="ED109" s="45">
        <f>+SUM(DZ109:EC109)</f>
        <v>4</v>
      </c>
      <c r="EE109" s="161">
        <f>+Inputs!EE255</f>
        <v>2</v>
      </c>
      <c r="EF109" s="161">
        <f>+Inputs!EF255</f>
        <v>6</v>
      </c>
      <c r="EG109" s="161">
        <f>+Inputs!EG255</f>
        <v>1</v>
      </c>
      <c r="EH109" s="161">
        <f>+Inputs!EH255</f>
        <v>4</v>
      </c>
      <c r="EI109" s="45">
        <f>+SUM(EE109:EH109)</f>
        <v>13</v>
      </c>
      <c r="EJ109" s="161">
        <f>+Inputs!EJ255</f>
        <v>-898</v>
      </c>
      <c r="EK109" s="161">
        <f>+Inputs!EK255</f>
        <v>-1399</v>
      </c>
      <c r="EL109" s="161">
        <f>+Inputs!EL255</f>
        <v>-24</v>
      </c>
      <c r="EM109" s="161">
        <f>+Inputs!EM255</f>
        <v>579</v>
      </c>
      <c r="EN109" s="45">
        <f>+SUM(EJ109:EM109)</f>
        <v>-1742</v>
      </c>
      <c r="EO109" s="161">
        <f>+Inputs!EO255</f>
        <v>850</v>
      </c>
      <c r="EP109" s="161">
        <f>+Inputs!EP255</f>
        <v>329</v>
      </c>
      <c r="EQ109" s="161">
        <f>+Inputs!EQ255</f>
        <v>-766</v>
      </c>
      <c r="ER109" s="161">
        <f>+Inputs!ER255</f>
        <v>206</v>
      </c>
      <c r="ES109" s="45">
        <f>+SUM(EO109:ER109)</f>
        <v>619</v>
      </c>
      <c r="ET109" s="161">
        <f>+Inputs!ET255</f>
        <v>852</v>
      </c>
      <c r="EU109" s="161">
        <f>+Inputs!EU255</f>
        <v>229</v>
      </c>
      <c r="EV109" s="161">
        <f>+Inputs!EV255</f>
        <v>0</v>
      </c>
      <c r="EW109" s="161">
        <f>+Inputs!EW255</f>
        <v>1</v>
      </c>
      <c r="EX109" s="45">
        <f>+SUM(ET109:EW109)</f>
        <v>1082</v>
      </c>
      <c r="EY109" s="159">
        <v>0</v>
      </c>
      <c r="EZ109" s="159">
        <v>0</v>
      </c>
      <c r="FA109" s="159">
        <v>0</v>
      </c>
      <c r="FB109" s="159">
        <v>0</v>
      </c>
      <c r="FC109" s="45">
        <f>+SUM(EY109:FB109)</f>
        <v>0</v>
      </c>
      <c r="FD109" s="159">
        <v>0</v>
      </c>
      <c r="FE109" s="159">
        <v>0</v>
      </c>
      <c r="FF109" s="159">
        <v>0</v>
      </c>
      <c r="FG109" s="159">
        <v>0</v>
      </c>
      <c r="FH109" s="159">
        <v>0</v>
      </c>
      <c r="FI109" s="159">
        <v>0</v>
      </c>
    </row>
    <row r="110" spans="1:165" x14ac:dyDescent="0.3">
      <c r="A110" s="35" t="s">
        <v>86</v>
      </c>
      <c r="DU110" s="858">
        <f>+SUM(DU107:DU109)</f>
        <v>-231</v>
      </c>
      <c r="DV110" s="858">
        <f>+SUM(DV107:DV109)</f>
        <v>-274</v>
      </c>
      <c r="DW110" s="858">
        <f>+SUM(DW107:DW109)</f>
        <v>-315</v>
      </c>
      <c r="DX110" s="858">
        <f>+SUM(DX107:DX109)</f>
        <v>-314</v>
      </c>
      <c r="DY110" s="45">
        <f t="shared" si="260"/>
        <v>-1134</v>
      </c>
      <c r="DZ110" s="45">
        <f>+SUM(DZ107:DZ109)</f>
        <v>-282</v>
      </c>
      <c r="EA110" s="45">
        <f>+SUM(EA107:EA109)</f>
        <v>910</v>
      </c>
      <c r="EB110" s="45">
        <f>+SUM(EB107:EB109)</f>
        <v>-313</v>
      </c>
      <c r="EC110" s="45">
        <f>+SUM(EC107:EC109)</f>
        <v>-334</v>
      </c>
      <c r="ED110" s="858">
        <f>+SUM(DZ110:EC110)</f>
        <v>-19</v>
      </c>
      <c r="EE110" s="45">
        <f>+SUM(EE107:EE109)</f>
        <v>-380</v>
      </c>
      <c r="EF110" s="45">
        <f>+SUM(EF107:EF109)</f>
        <v>-379</v>
      </c>
      <c r="EG110" s="45">
        <f>+SUM(EG107:EG109)</f>
        <v>-376</v>
      </c>
      <c r="EH110" s="45">
        <f>+SUM(EH107:EH109)</f>
        <v>-548</v>
      </c>
      <c r="EI110" s="858">
        <f>+SUM(EE110:EH110)</f>
        <v>-1683</v>
      </c>
      <c r="EJ110" s="45">
        <f>+SUM(EJ107:EJ109)</f>
        <v>-1345</v>
      </c>
      <c r="EK110" s="45">
        <f>+SUM(EK107:EK109)</f>
        <v>-2040</v>
      </c>
      <c r="EL110" s="45">
        <f>+SUM(EL107:EL109)</f>
        <v>-793</v>
      </c>
      <c r="EM110" s="45">
        <f>+SUM(EM107:EM109)</f>
        <v>-290</v>
      </c>
      <c r="EN110" s="858">
        <f>+SUM(EJ110:EM110)</f>
        <v>-4468</v>
      </c>
      <c r="EO110" s="45">
        <f>+SUM(EO107:EO109)</f>
        <v>-304</v>
      </c>
      <c r="EP110" s="45">
        <f>+SUM(EP107:EP109)</f>
        <v>-728</v>
      </c>
      <c r="EQ110" s="45">
        <f>+SUM(EQ107:EQ109)</f>
        <v>-1419</v>
      </c>
      <c r="ER110" s="45">
        <f>+SUM(ER107:ER109)</f>
        <v>-105</v>
      </c>
      <c r="ES110" s="858">
        <f>+SUM(EO110:ER110)</f>
        <v>-2556</v>
      </c>
      <c r="ET110" s="45">
        <f>+SUM(ET107:ET109)</f>
        <v>186</v>
      </c>
      <c r="EU110" s="45">
        <f>+SUM(EU107:EU109)</f>
        <v>-393</v>
      </c>
      <c r="EV110" s="45">
        <f>+SUM(EV107:EV109)</f>
        <v>-691</v>
      </c>
      <c r="EW110" s="45">
        <f>+SUM(EW107:EW109)</f>
        <v>-783</v>
      </c>
      <c r="EX110" s="858">
        <f>+SUM(ET110:EW110)</f>
        <v>-1681</v>
      </c>
      <c r="EY110" s="858">
        <f t="shared" ref="EY110:FB110" si="299">+SUM(EY107:EY109)</f>
        <v>-789.95223566501863</v>
      </c>
      <c r="EZ110" s="858">
        <f t="shared" si="299"/>
        <v>-796.10965887968393</v>
      </c>
      <c r="FA110" s="858">
        <f t="shared" si="299"/>
        <v>-815.43044927241476</v>
      </c>
      <c r="FB110" s="858">
        <f t="shared" si="299"/>
        <v>-792.95560833388913</v>
      </c>
      <c r="FC110" s="858">
        <f>+SUM(EY110:FB110)</f>
        <v>-3194.4479521510066</v>
      </c>
      <c r="FD110" s="858">
        <f t="shared" ref="FD110:FI110" si="300">+SUM(FD107:FD109)</f>
        <v>-3082.4684202674325</v>
      </c>
      <c r="FE110" s="858">
        <f t="shared" si="300"/>
        <v>-1951.0215850968652</v>
      </c>
      <c r="FF110" s="858">
        <f t="shared" si="300"/>
        <v>-1611.100905365895</v>
      </c>
      <c r="FG110" s="858">
        <f t="shared" si="300"/>
        <v>-1671.0656290142479</v>
      </c>
      <c r="FH110" s="858">
        <f t="shared" si="300"/>
        <v>-1646.8753495613416</v>
      </c>
      <c r="FI110" s="858">
        <f t="shared" si="300"/>
        <v>-1624.2957441032881</v>
      </c>
    </row>
    <row r="111" spans="1:165" x14ac:dyDescent="0.3">
      <c r="A111" s="27"/>
      <c r="EO111"/>
      <c r="EP111"/>
      <c r="EQ111"/>
      <c r="ER111"/>
      <c r="ES111" s="76"/>
      <c r="EX111" s="76"/>
      <c r="FC111" s="76"/>
      <c r="FD111" s="76"/>
      <c r="FE111" s="76"/>
      <c r="FF111" s="76"/>
      <c r="FG111" s="76"/>
      <c r="FH111" s="76"/>
      <c r="FI111" s="76"/>
    </row>
    <row r="112" spans="1:165" x14ac:dyDescent="0.3">
      <c r="A112" s="27" t="s">
        <v>87</v>
      </c>
      <c r="DU112" s="44">
        <f>+Inputs!DU258</f>
        <v>-1995</v>
      </c>
      <c r="DV112" s="44">
        <f>+Inputs!DV258</f>
        <v>-4</v>
      </c>
      <c r="DW112" s="44">
        <f>+Inputs!DW258</f>
        <v>-4</v>
      </c>
      <c r="DX112" s="44">
        <f>+Inputs!DX258</f>
        <v>-5</v>
      </c>
      <c r="DY112" s="45">
        <f t="shared" si="260"/>
        <v>-2008</v>
      </c>
      <c r="DZ112" s="44">
        <f>+Inputs!DZ258</f>
        <v>-5</v>
      </c>
      <c r="EA112" s="44">
        <f>+Inputs!EA258</f>
        <v>0</v>
      </c>
      <c r="EB112" s="44">
        <f>+Inputs!EB258</f>
        <v>0</v>
      </c>
      <c r="EC112" s="44">
        <f>+Inputs!EC258</f>
        <v>-4943</v>
      </c>
      <c r="ED112" s="45">
        <f t="shared" ref="ED112:ED120" si="301">+SUM(DZ112:EC112)</f>
        <v>-4948</v>
      </c>
      <c r="EE112" s="44">
        <f>+Inputs!EE258</f>
        <v>0</v>
      </c>
      <c r="EF112" s="44">
        <f>+Inputs!EF258</f>
        <v>-5</v>
      </c>
      <c r="EG112" s="44">
        <f>+Inputs!EG258</f>
        <v>-4</v>
      </c>
      <c r="EH112" s="44">
        <f>+Inputs!EH258</f>
        <v>-9</v>
      </c>
      <c r="EI112" s="45">
        <f t="shared" ref="EI112:EI120" si="302">+SUM(EE112:EH112)</f>
        <v>-18</v>
      </c>
      <c r="EJ112" s="44">
        <f>+Inputs!EJ258</f>
        <v>-3</v>
      </c>
      <c r="EK112" s="44">
        <f>+Inputs!EK258</f>
        <v>-3</v>
      </c>
      <c r="EL112" s="44">
        <f>+Inputs!EL258</f>
        <v>-4</v>
      </c>
      <c r="EM112" s="44">
        <f>+Inputs!EM258</f>
        <v>-3</v>
      </c>
      <c r="EN112" s="45">
        <f t="shared" ref="EN112:EN120" si="303">+SUM(EJ112:EM112)</f>
        <v>-13</v>
      </c>
      <c r="EO112" s="44">
        <f>+Inputs!EO258</f>
        <v>-4</v>
      </c>
      <c r="EP112" s="44">
        <f>+Inputs!EP258</f>
        <v>-4</v>
      </c>
      <c r="EQ112" s="44">
        <f>+Inputs!EQ258</f>
        <v>-56</v>
      </c>
      <c r="ER112" s="44">
        <f>+Inputs!ER258</f>
        <v>-4</v>
      </c>
      <c r="ES112" s="45">
        <f t="shared" ref="ES112:ES120" si="304">+SUM(EO112:ER112)</f>
        <v>-68</v>
      </c>
      <c r="ET112" s="44">
        <f>+Inputs!ET258</f>
        <v>-4</v>
      </c>
      <c r="EU112" s="44">
        <f>+Inputs!EU258</f>
        <v>-3</v>
      </c>
      <c r="EV112" s="44">
        <f>+Inputs!EV258</f>
        <v>-403</v>
      </c>
      <c r="EW112" s="44">
        <f>+Inputs!EW258</f>
        <v>-2</v>
      </c>
      <c r="EX112" s="45">
        <f t="shared" ref="EX112:EX120" si="305">+SUM(ET112:EW112)</f>
        <v>-412</v>
      </c>
      <c r="EY112" s="159">
        <v>0</v>
      </c>
      <c r="EZ112" s="159">
        <v>0</v>
      </c>
      <c r="FA112" s="159">
        <v>0</v>
      </c>
      <c r="FB112" s="159">
        <v>0</v>
      </c>
      <c r="FC112" s="45">
        <f t="shared" ref="FC112:FC120" si="306">+SUM(EY112:FB112)</f>
        <v>0</v>
      </c>
      <c r="FD112" s="652">
        <f>-Debt!G45</f>
        <v>0</v>
      </c>
      <c r="FE112" s="652">
        <f>-Debt!H45</f>
        <v>-2781.1</v>
      </c>
      <c r="FF112" s="652">
        <f>-Debt!I45</f>
        <v>-2050</v>
      </c>
      <c r="FG112" s="652">
        <f>-Debt!J45</f>
        <v>-1800</v>
      </c>
      <c r="FH112" s="652">
        <f>-Debt!K45</f>
        <v>-2213</v>
      </c>
      <c r="FI112" s="652">
        <f>-Debt!L45</f>
        <v>-797</v>
      </c>
    </row>
    <row r="113" spans="1:167" x14ac:dyDescent="0.3">
      <c r="A113" s="27" t="s">
        <v>88</v>
      </c>
      <c r="DU113" s="44">
        <f>+Inputs!DU259</f>
        <v>1650</v>
      </c>
      <c r="DV113" s="44">
        <f>+Inputs!DV259</f>
        <v>0</v>
      </c>
      <c r="DW113" s="44">
        <f>+Inputs!DW259</f>
        <v>0</v>
      </c>
      <c r="DX113" s="44">
        <f>+Inputs!DX259</f>
        <v>0</v>
      </c>
      <c r="DY113" s="45">
        <f t="shared" si="260"/>
        <v>1650</v>
      </c>
      <c r="DZ113" s="44">
        <f>+Inputs!DZ259</f>
        <v>0</v>
      </c>
      <c r="EA113" s="44">
        <f>+Inputs!EA259</f>
        <v>0</v>
      </c>
      <c r="EB113" s="44">
        <f>+Inputs!EB259</f>
        <v>0</v>
      </c>
      <c r="EC113" s="44">
        <f>+Inputs!EC259</f>
        <v>4950</v>
      </c>
      <c r="ED113" s="45">
        <f t="shared" si="301"/>
        <v>4950</v>
      </c>
      <c r="EE113" s="44">
        <f>+Inputs!EE259</f>
        <v>0</v>
      </c>
      <c r="EF113" s="44">
        <f>+Inputs!EF259</f>
        <v>225</v>
      </c>
      <c r="EG113" s="44">
        <f>+Inputs!EG259</f>
        <v>0</v>
      </c>
      <c r="EH113" s="44">
        <f>+Inputs!EH259</f>
        <v>1000</v>
      </c>
      <c r="EI113" s="45">
        <f t="shared" si="302"/>
        <v>1225</v>
      </c>
      <c r="EJ113" s="44">
        <f>+Inputs!EJ259</f>
        <v>0</v>
      </c>
      <c r="EK113" s="44">
        <f>+Inputs!EK259</f>
        <v>1200</v>
      </c>
      <c r="EL113" s="44">
        <f>+Inputs!EL259</f>
        <v>0</v>
      </c>
      <c r="EM113" s="44">
        <f>+Inputs!EM259</f>
        <v>0</v>
      </c>
      <c r="EN113" s="45">
        <f t="shared" si="303"/>
        <v>1200</v>
      </c>
      <c r="EO113" s="44">
        <f>+Inputs!EO259</f>
        <v>750</v>
      </c>
      <c r="EP113" s="44">
        <f>+Inputs!EP259</f>
        <v>0</v>
      </c>
      <c r="EQ113" s="44">
        <f>+Inputs!EQ259</f>
        <v>1528</v>
      </c>
      <c r="ER113" s="44">
        <f>+Inputs!ER259</f>
        <v>0</v>
      </c>
      <c r="ES113" s="45">
        <f t="shared" si="304"/>
        <v>2278</v>
      </c>
      <c r="ET113" s="44">
        <f>+Inputs!ET259</f>
        <v>0</v>
      </c>
      <c r="EU113" s="44">
        <f>+Inputs!EU259</f>
        <v>0</v>
      </c>
      <c r="EV113" s="44">
        <f>+Inputs!EV259</f>
        <v>750</v>
      </c>
      <c r="EW113" s="44">
        <f>+Inputs!EW259</f>
        <v>0</v>
      </c>
      <c r="EX113" s="45">
        <f t="shared" si="305"/>
        <v>750</v>
      </c>
      <c r="EY113" s="159">
        <v>0</v>
      </c>
      <c r="EZ113" s="159">
        <v>1200</v>
      </c>
      <c r="FA113" s="159">
        <v>0</v>
      </c>
      <c r="FB113" s="159">
        <v>0</v>
      </c>
      <c r="FC113" s="45">
        <f t="shared" si="306"/>
        <v>1200</v>
      </c>
      <c r="FD113" s="159">
        <v>1500</v>
      </c>
      <c r="FE113" s="159">
        <v>3000</v>
      </c>
      <c r="FF113" s="159">
        <v>1800</v>
      </c>
      <c r="FG113" s="159">
        <v>1000</v>
      </c>
      <c r="FH113" s="198">
        <f>+FH196-FG196-FH112</f>
        <v>1843.00862072989</v>
      </c>
      <c r="FI113" s="198">
        <f>+FI196-FH196-FI112</f>
        <v>1579.1152424761094</v>
      </c>
    </row>
    <row r="114" spans="1:167" x14ac:dyDescent="0.3">
      <c r="A114" s="27" t="s">
        <v>89</v>
      </c>
      <c r="DU114" s="44">
        <f>+Inputs!DU260</f>
        <v>375</v>
      </c>
      <c r="DV114" s="44">
        <f>+Inputs!DV260</f>
        <v>75</v>
      </c>
      <c r="DW114" s="44">
        <f>+Inputs!DW260</f>
        <v>499</v>
      </c>
      <c r="DX114" s="44">
        <f>+Inputs!DX260</f>
        <v>0</v>
      </c>
      <c r="DY114" s="45">
        <f t="shared" si="260"/>
        <v>949</v>
      </c>
      <c r="DZ114" s="44">
        <f>+Inputs!DZ260</f>
        <v>0</v>
      </c>
      <c r="EA114" s="44">
        <f>+Inputs!EA260</f>
        <v>0</v>
      </c>
      <c r="EB114" s="44">
        <f>+Inputs!EB260</f>
        <v>0</v>
      </c>
      <c r="EC114" s="44">
        <f>+Inputs!EC260</f>
        <v>0</v>
      </c>
      <c r="ED114" s="45">
        <f t="shared" si="301"/>
        <v>0</v>
      </c>
      <c r="EE114" s="44">
        <f>+Inputs!EE260</f>
        <v>0</v>
      </c>
      <c r="EF114" s="44">
        <f>+Inputs!EF260</f>
        <v>0</v>
      </c>
      <c r="EG114" s="44">
        <f>+Inputs!EG260</f>
        <v>0</v>
      </c>
      <c r="EH114" s="44">
        <f>+Inputs!EH260</f>
        <v>0</v>
      </c>
      <c r="EI114" s="45">
        <f t="shared" si="302"/>
        <v>0</v>
      </c>
      <c r="EJ114" s="44">
        <f>+Inputs!EJ260</f>
        <v>0</v>
      </c>
      <c r="EK114" s="44">
        <f>+Inputs!EK260</f>
        <v>0</v>
      </c>
      <c r="EL114" s="44">
        <f>+Inputs!EL260</f>
        <v>0</v>
      </c>
      <c r="EM114" s="44">
        <f>+Inputs!EM260</f>
        <v>0</v>
      </c>
      <c r="EN114" s="45">
        <f t="shared" si="303"/>
        <v>0</v>
      </c>
      <c r="EO114" s="44">
        <f>+Inputs!EO260</f>
        <v>0</v>
      </c>
      <c r="EP114" s="44">
        <f>+Inputs!EP260</f>
        <v>0</v>
      </c>
      <c r="EQ114" s="44">
        <f>+Inputs!EQ260</f>
        <v>0</v>
      </c>
      <c r="ER114" s="44">
        <f>+Inputs!ER260</f>
        <v>0</v>
      </c>
      <c r="ES114" s="45">
        <f t="shared" si="304"/>
        <v>0</v>
      </c>
      <c r="ET114" s="44">
        <f>+Inputs!ET260</f>
        <v>0</v>
      </c>
      <c r="EU114" s="44">
        <f>+Inputs!EU260</f>
        <v>0</v>
      </c>
      <c r="EV114" s="44">
        <f>+Inputs!EV260</f>
        <v>0</v>
      </c>
      <c r="EW114" s="44">
        <f>+Inputs!EW260</f>
        <v>0</v>
      </c>
      <c r="EX114" s="45">
        <f t="shared" si="305"/>
        <v>0</v>
      </c>
      <c r="EY114" s="159">
        <v>0</v>
      </c>
      <c r="EZ114" s="159">
        <v>0</v>
      </c>
      <c r="FA114" s="159">
        <v>0</v>
      </c>
      <c r="FB114" s="159">
        <v>0</v>
      </c>
      <c r="FC114" s="45">
        <f t="shared" si="306"/>
        <v>0</v>
      </c>
      <c r="FD114" s="159">
        <v>0</v>
      </c>
      <c r="FE114" s="159">
        <v>0</v>
      </c>
      <c r="FF114" s="159">
        <v>0</v>
      </c>
      <c r="FG114" s="159">
        <v>0</v>
      </c>
      <c r="FH114" s="159">
        <v>0</v>
      </c>
      <c r="FI114" s="159">
        <v>0</v>
      </c>
    </row>
    <row r="115" spans="1:167" x14ac:dyDescent="0.3">
      <c r="A115" s="27" t="s">
        <v>90</v>
      </c>
      <c r="DU115" s="44">
        <f>+Inputs!DU261</f>
        <v>-275</v>
      </c>
      <c r="DV115" s="44">
        <f>+Inputs!DV261</f>
        <v>-200</v>
      </c>
      <c r="DW115" s="44">
        <f>+Inputs!DW261</f>
        <v>0</v>
      </c>
      <c r="DX115" s="44">
        <f>+Inputs!DX261</f>
        <v>0</v>
      </c>
      <c r="DY115" s="45">
        <f t="shared" si="260"/>
        <v>-475</v>
      </c>
      <c r="DZ115" s="44">
        <f>+Inputs!DZ261</f>
        <v>0</v>
      </c>
      <c r="EA115" s="44">
        <f>+Inputs!EA261</f>
        <v>0</v>
      </c>
      <c r="EB115" s="44">
        <f>+Inputs!EB261</f>
        <v>-749</v>
      </c>
      <c r="EC115" s="44">
        <f>+Inputs!EC261</f>
        <v>0</v>
      </c>
      <c r="ED115" s="45">
        <f t="shared" si="301"/>
        <v>-749</v>
      </c>
      <c r="EE115" s="44">
        <f>+Inputs!EE261</f>
        <v>0</v>
      </c>
      <c r="EF115" s="44">
        <f>+Inputs!EF261</f>
        <v>0</v>
      </c>
      <c r="EG115" s="44">
        <f>+Inputs!EG261</f>
        <v>0</v>
      </c>
      <c r="EH115" s="44">
        <f>+Inputs!EH261</f>
        <v>0</v>
      </c>
      <c r="EI115" s="45">
        <f t="shared" si="302"/>
        <v>0</v>
      </c>
      <c r="EJ115" s="44">
        <f>+Inputs!EJ261</f>
        <v>0</v>
      </c>
      <c r="EK115" s="44">
        <f>+Inputs!EK261</f>
        <v>0</v>
      </c>
      <c r="EL115" s="44">
        <f>+Inputs!EL261</f>
        <v>0</v>
      </c>
      <c r="EM115" s="44">
        <f>+Inputs!EM261</f>
        <v>0</v>
      </c>
      <c r="EN115" s="45">
        <f t="shared" si="303"/>
        <v>0</v>
      </c>
      <c r="EO115" s="44">
        <f>+Inputs!EO261</f>
        <v>0</v>
      </c>
      <c r="EP115" s="44">
        <f>+Inputs!EP261</f>
        <v>0</v>
      </c>
      <c r="EQ115" s="44">
        <f>+Inputs!EQ261</f>
        <v>0</v>
      </c>
      <c r="ER115" s="44">
        <f>+Inputs!ER261</f>
        <v>0</v>
      </c>
      <c r="ES115" s="45">
        <f t="shared" si="304"/>
        <v>0</v>
      </c>
      <c r="ET115" s="44">
        <f>+Inputs!ET261</f>
        <v>-363</v>
      </c>
      <c r="EU115" s="44">
        <f>+Inputs!EU261</f>
        <v>0</v>
      </c>
      <c r="EV115" s="44">
        <f>+Inputs!EV261</f>
        <v>0</v>
      </c>
      <c r="EW115" s="44">
        <f>+Inputs!EW261</f>
        <v>0</v>
      </c>
      <c r="EX115" s="45">
        <f t="shared" si="305"/>
        <v>-363</v>
      </c>
      <c r="EY115" s="159">
        <v>0</v>
      </c>
      <c r="EZ115" s="159">
        <v>0</v>
      </c>
      <c r="FA115" s="159">
        <v>0</v>
      </c>
      <c r="FB115" s="159">
        <v>0</v>
      </c>
      <c r="FC115" s="45">
        <f t="shared" si="306"/>
        <v>0</v>
      </c>
      <c r="FD115" s="159">
        <v>0</v>
      </c>
      <c r="FE115" s="159">
        <v>0</v>
      </c>
      <c r="FF115" s="159">
        <v>0</v>
      </c>
      <c r="FG115" s="159">
        <v>0</v>
      </c>
      <c r="FH115" s="159">
        <v>0</v>
      </c>
      <c r="FI115" s="159">
        <v>0</v>
      </c>
    </row>
    <row r="116" spans="1:167" x14ac:dyDescent="0.3">
      <c r="A116" s="27" t="s">
        <v>91</v>
      </c>
      <c r="DU116" s="44">
        <f>+Inputs!DU262</f>
        <v>-30</v>
      </c>
      <c r="DV116" s="44">
        <f>+Inputs!DV262</f>
        <v>-14</v>
      </c>
      <c r="DW116" s="44">
        <f>+Inputs!DW262</f>
        <v>0</v>
      </c>
      <c r="DX116" s="44">
        <f>+Inputs!DX262</f>
        <v>0</v>
      </c>
      <c r="DY116" s="45">
        <f t="shared" si="260"/>
        <v>-44</v>
      </c>
      <c r="DZ116" s="44">
        <f>+Inputs!DZ262</f>
        <v>0</v>
      </c>
      <c r="EA116" s="44">
        <f>+Inputs!EA262</f>
        <v>-19</v>
      </c>
      <c r="EB116" s="44">
        <f>+Inputs!EB262</f>
        <v>0</v>
      </c>
      <c r="EC116" s="44">
        <f>+Inputs!EC262</f>
        <v>-102</v>
      </c>
      <c r="ED116" s="45">
        <f t="shared" si="301"/>
        <v>-121</v>
      </c>
      <c r="EE116" s="44">
        <f>+Inputs!EE262</f>
        <v>0</v>
      </c>
      <c r="EF116" s="44">
        <f>+Inputs!EF262</f>
        <v>-4</v>
      </c>
      <c r="EG116" s="44">
        <f>+Inputs!EG262</f>
        <v>0</v>
      </c>
      <c r="EH116" s="44">
        <f>+Inputs!EH262</f>
        <v>-13</v>
      </c>
      <c r="EI116" s="45">
        <f t="shared" si="302"/>
        <v>-17</v>
      </c>
      <c r="EJ116" s="44">
        <f>+Inputs!EJ262</f>
        <v>0</v>
      </c>
      <c r="EK116" s="44">
        <f>+Inputs!EK262</f>
        <v>-17</v>
      </c>
      <c r="EL116" s="44">
        <f>+Inputs!EL262</f>
        <v>0</v>
      </c>
      <c r="EM116" s="44">
        <f>+Inputs!EM262</f>
        <v>0</v>
      </c>
      <c r="EN116" s="45">
        <f t="shared" si="303"/>
        <v>-17</v>
      </c>
      <c r="EO116" s="44">
        <f>+Inputs!EO262</f>
        <v>-13</v>
      </c>
      <c r="EP116" s="44">
        <f>+Inputs!EP262</f>
        <v>-7</v>
      </c>
      <c r="EQ116" s="44">
        <f>+Inputs!EQ262</f>
        <v>41</v>
      </c>
      <c r="ER116" s="44">
        <f>+Inputs!ER262</f>
        <v>-6</v>
      </c>
      <c r="ES116" s="45">
        <f t="shared" si="304"/>
        <v>15</v>
      </c>
      <c r="ET116" s="44">
        <f>+Inputs!ET262</f>
        <v>0</v>
      </c>
      <c r="EU116" s="44">
        <f>+Inputs!EU262</f>
        <v>-8</v>
      </c>
      <c r="EV116" s="44">
        <f>+Inputs!EV262</f>
        <v>-29</v>
      </c>
      <c r="EW116" s="44">
        <f>+Inputs!EW262</f>
        <v>-2</v>
      </c>
      <c r="EX116" s="45">
        <f t="shared" si="305"/>
        <v>-39</v>
      </c>
      <c r="EY116" s="159">
        <v>0</v>
      </c>
      <c r="EZ116" s="159">
        <v>0</v>
      </c>
      <c r="FA116" s="159">
        <v>0</v>
      </c>
      <c r="FB116" s="159">
        <v>0</v>
      </c>
      <c r="FC116" s="45">
        <f t="shared" si="306"/>
        <v>0</v>
      </c>
      <c r="FD116" s="159">
        <v>0</v>
      </c>
      <c r="FE116" s="159">
        <v>0</v>
      </c>
      <c r="FF116" s="159">
        <v>0</v>
      </c>
      <c r="FG116" s="159">
        <v>0</v>
      </c>
      <c r="FH116" s="159">
        <v>0</v>
      </c>
      <c r="FI116" s="159">
        <v>0</v>
      </c>
      <c r="FK116" s="159"/>
    </row>
    <row r="117" spans="1:167" x14ac:dyDescent="0.3">
      <c r="A117" s="27" t="s">
        <v>92</v>
      </c>
      <c r="DU117" s="44">
        <f>+Inputs!DU263</f>
        <v>-8</v>
      </c>
      <c r="DV117" s="44">
        <f>+Inputs!DV263</f>
        <v>-9</v>
      </c>
      <c r="DW117" s="44">
        <f>+Inputs!DW263</f>
        <v>-9</v>
      </c>
      <c r="DX117" s="44">
        <f>+Inputs!DX263</f>
        <v>-9</v>
      </c>
      <c r="DY117" s="45">
        <f t="shared" si="260"/>
        <v>-35</v>
      </c>
      <c r="DZ117" s="44">
        <f>+Inputs!DZ263</f>
        <v>-8</v>
      </c>
      <c r="EA117" s="44">
        <f>+Inputs!EA263</f>
        <v>-5</v>
      </c>
      <c r="EB117" s="44">
        <f>+Inputs!EB263</f>
        <v>-5</v>
      </c>
      <c r="EC117" s="44">
        <f>+Inputs!EC263</f>
        <v>-5</v>
      </c>
      <c r="ED117" s="45">
        <f t="shared" si="301"/>
        <v>-23</v>
      </c>
      <c r="EE117" s="44">
        <f>+Inputs!EE263</f>
        <v>-5</v>
      </c>
      <c r="EF117" s="44">
        <f>+Inputs!EF263</f>
        <v>-6</v>
      </c>
      <c r="EG117" s="44">
        <f>+Inputs!EG263</f>
        <v>-5</v>
      </c>
      <c r="EH117" s="44">
        <f>+Inputs!EH263</f>
        <v>-4</v>
      </c>
      <c r="EI117" s="45">
        <f t="shared" si="302"/>
        <v>-20</v>
      </c>
      <c r="EJ117" s="44">
        <f>+Inputs!EJ263</f>
        <v>-5</v>
      </c>
      <c r="EK117" s="44">
        <f>+Inputs!EK263</f>
        <v>-5</v>
      </c>
      <c r="EL117" s="44">
        <f>+Inputs!EL263</f>
        <v>-5</v>
      </c>
      <c r="EM117" s="44">
        <f>+Inputs!EM263</f>
        <v>-4</v>
      </c>
      <c r="EN117" s="45">
        <f t="shared" si="303"/>
        <v>-19</v>
      </c>
      <c r="EO117" s="44">
        <f>+Inputs!EO263</f>
        <v>-5</v>
      </c>
      <c r="EP117" s="44">
        <f>+Inputs!EP263</f>
        <v>-4</v>
      </c>
      <c r="EQ117" s="44">
        <f>+Inputs!EQ263</f>
        <v>-9</v>
      </c>
      <c r="ER117" s="44">
        <f>+Inputs!ER263</f>
        <v>-7</v>
      </c>
      <c r="ES117" s="45">
        <f t="shared" si="304"/>
        <v>-25</v>
      </c>
      <c r="ET117" s="44">
        <f>+Inputs!ET263</f>
        <v>-7</v>
      </c>
      <c r="EU117" s="44">
        <f>+Inputs!EU263</f>
        <v>-6</v>
      </c>
      <c r="EV117" s="44">
        <f>+Inputs!EV263</f>
        <v>-8</v>
      </c>
      <c r="EW117" s="44">
        <f>+Inputs!EW263</f>
        <v>-8</v>
      </c>
      <c r="EX117" s="45">
        <f t="shared" si="305"/>
        <v>-29</v>
      </c>
      <c r="EY117" s="159">
        <f t="shared" ref="EY117" si="307">ET117</f>
        <v>-7</v>
      </c>
      <c r="EZ117" s="159">
        <f t="shared" ref="EZ117" si="308">EU117</f>
        <v>-6</v>
      </c>
      <c r="FA117" s="159">
        <f t="shared" ref="FA117" si="309">EV117</f>
        <v>-8</v>
      </c>
      <c r="FB117" s="159">
        <f t="shared" ref="FB117" si="310">EW117</f>
        <v>-8</v>
      </c>
      <c r="FC117" s="45">
        <f t="shared" si="306"/>
        <v>-29</v>
      </c>
      <c r="FD117" s="159">
        <f t="shared" ref="FD117:FI117" si="311">+FC117</f>
        <v>-29</v>
      </c>
      <c r="FE117" s="159">
        <f t="shared" si="311"/>
        <v>-29</v>
      </c>
      <c r="FF117" s="159">
        <f t="shared" si="311"/>
        <v>-29</v>
      </c>
      <c r="FG117" s="159">
        <f t="shared" si="311"/>
        <v>-29</v>
      </c>
      <c r="FH117" s="159">
        <f t="shared" si="311"/>
        <v>-29</v>
      </c>
      <c r="FI117" s="159">
        <f t="shared" si="311"/>
        <v>-29</v>
      </c>
      <c r="FK117" s="159"/>
    </row>
    <row r="118" spans="1:167" x14ac:dyDescent="0.3">
      <c r="A118" s="27" t="s">
        <v>34</v>
      </c>
      <c r="DU118" s="44">
        <f>+Inputs!DU265</f>
        <v>-3</v>
      </c>
      <c r="DV118" s="44">
        <f>+Inputs!DV265</f>
        <v>-1</v>
      </c>
      <c r="DW118" s="44">
        <f>+Inputs!DW265</f>
        <v>-1</v>
      </c>
      <c r="DX118" s="44">
        <f>+Inputs!DX265</f>
        <v>0</v>
      </c>
      <c r="DY118" s="45">
        <f t="shared" si="260"/>
        <v>-5</v>
      </c>
      <c r="DZ118" s="44">
        <f>+Inputs!DZ265</f>
        <v>0</v>
      </c>
      <c r="EA118" s="44">
        <f>+Inputs!EA265</f>
        <v>0</v>
      </c>
      <c r="EB118" s="44">
        <f>+Inputs!EB265</f>
        <v>0</v>
      </c>
      <c r="EC118" s="44">
        <f>+Inputs!EC265</f>
        <v>-2</v>
      </c>
      <c r="ED118" s="45">
        <f t="shared" si="301"/>
        <v>-2</v>
      </c>
      <c r="EE118" s="44">
        <f>+Inputs!EE265</f>
        <v>-2</v>
      </c>
      <c r="EF118" s="44">
        <f>+Inputs!EF265</f>
        <v>-13</v>
      </c>
      <c r="EG118" s="44">
        <f>+Inputs!EG265</f>
        <v>-1</v>
      </c>
      <c r="EH118" s="44">
        <f>+Inputs!EH265</f>
        <v>23</v>
      </c>
      <c r="EI118" s="45">
        <f t="shared" si="302"/>
        <v>7</v>
      </c>
      <c r="EJ118" s="44">
        <f>+Inputs!EJ265</f>
        <v>-4</v>
      </c>
      <c r="EK118" s="44">
        <f>+Inputs!EK265</f>
        <v>-5</v>
      </c>
      <c r="EL118" s="44">
        <f>+Inputs!EL265</f>
        <v>70</v>
      </c>
      <c r="EM118" s="44">
        <f>+Inputs!EM265</f>
        <v>-1</v>
      </c>
      <c r="EN118" s="45">
        <f t="shared" si="303"/>
        <v>60</v>
      </c>
      <c r="EO118" s="44">
        <f>+Inputs!EO265</f>
        <v>-3</v>
      </c>
      <c r="EP118" s="44">
        <f>+Inputs!EP265</f>
        <v>-3</v>
      </c>
      <c r="EQ118" s="44">
        <f>+Inputs!EQ265</f>
        <v>-76</v>
      </c>
      <c r="ER118" s="44">
        <f>+Inputs!ER265</f>
        <v>16</v>
      </c>
      <c r="ES118" s="45">
        <f t="shared" si="304"/>
        <v>-66</v>
      </c>
      <c r="ET118" s="44">
        <f>+Inputs!ET265</f>
        <v>-49</v>
      </c>
      <c r="EU118" s="44">
        <f>+Inputs!EU265</f>
        <v>-3</v>
      </c>
      <c r="EV118" s="44">
        <f>+Inputs!EV265</f>
        <v>-3</v>
      </c>
      <c r="EW118" s="44">
        <f>+Inputs!EW265</f>
        <v>-20</v>
      </c>
      <c r="EX118" s="45">
        <f t="shared" si="305"/>
        <v>-75</v>
      </c>
      <c r="EY118" s="159">
        <v>0</v>
      </c>
      <c r="EZ118" s="159">
        <v>0</v>
      </c>
      <c r="FA118" s="159">
        <v>0</v>
      </c>
      <c r="FB118" s="159">
        <v>0</v>
      </c>
      <c r="FC118" s="45">
        <f t="shared" si="306"/>
        <v>0</v>
      </c>
      <c r="FD118" s="159">
        <v>0</v>
      </c>
      <c r="FE118" s="159">
        <v>0</v>
      </c>
      <c r="FF118" s="159">
        <v>0</v>
      </c>
      <c r="FG118" s="159">
        <v>0</v>
      </c>
      <c r="FH118" s="159">
        <v>0</v>
      </c>
      <c r="FI118" s="159">
        <v>0</v>
      </c>
    </row>
    <row r="119" spans="1:167" x14ac:dyDescent="0.3">
      <c r="A119" s="27" t="s">
        <v>93</v>
      </c>
      <c r="DU119" s="159">
        <v>0</v>
      </c>
      <c r="DV119" s="159">
        <v>0</v>
      </c>
      <c r="DW119" s="159">
        <v>0</v>
      </c>
      <c r="DX119" s="159">
        <v>0</v>
      </c>
      <c r="DY119" s="45">
        <f>+SUM(DU119:DX119)</f>
        <v>0</v>
      </c>
      <c r="DZ119" s="159">
        <v>0</v>
      </c>
      <c r="EA119" s="159">
        <v>0</v>
      </c>
      <c r="EB119" s="159">
        <v>0</v>
      </c>
      <c r="EC119" s="159">
        <v>0</v>
      </c>
      <c r="ED119" s="45">
        <f t="shared" si="301"/>
        <v>0</v>
      </c>
      <c r="EE119" s="159">
        <v>0</v>
      </c>
      <c r="EF119" s="159">
        <v>0</v>
      </c>
      <c r="EG119" s="159">
        <v>0</v>
      </c>
      <c r="EH119" s="159">
        <v>0</v>
      </c>
      <c r="EI119" s="45">
        <f t="shared" si="302"/>
        <v>0</v>
      </c>
      <c r="EJ119" s="159">
        <v>0</v>
      </c>
      <c r="EK119" s="159">
        <v>0</v>
      </c>
      <c r="EL119" s="159">
        <v>0</v>
      </c>
      <c r="EM119" s="159">
        <v>0</v>
      </c>
      <c r="EN119" s="45">
        <f t="shared" si="303"/>
        <v>0</v>
      </c>
      <c r="EO119" s="159">
        <v>0</v>
      </c>
      <c r="EP119" s="159">
        <v>0</v>
      </c>
      <c r="EQ119" s="159">
        <v>0</v>
      </c>
      <c r="ER119" s="159">
        <v>0</v>
      </c>
      <c r="ES119" s="45">
        <f t="shared" si="304"/>
        <v>0</v>
      </c>
      <c r="ET119" s="159">
        <v>0</v>
      </c>
      <c r="EU119" s="159">
        <v>0</v>
      </c>
      <c r="EV119" s="159">
        <v>0</v>
      </c>
      <c r="EW119" s="159">
        <v>0</v>
      </c>
      <c r="EX119" s="45">
        <f t="shared" si="305"/>
        <v>0</v>
      </c>
      <c r="EY119" s="159">
        <v>0</v>
      </c>
      <c r="EZ119" s="159">
        <v>0</v>
      </c>
      <c r="FA119" s="159">
        <v>0</v>
      </c>
      <c r="FB119" s="159">
        <v>0</v>
      </c>
      <c r="FC119" s="45">
        <f t="shared" si="306"/>
        <v>0</v>
      </c>
      <c r="FD119" s="159">
        <v>0</v>
      </c>
      <c r="FE119" s="159">
        <v>0</v>
      </c>
      <c r="FF119" s="159">
        <v>0</v>
      </c>
      <c r="FG119" s="159">
        <v>0</v>
      </c>
      <c r="FH119" s="183">
        <f>+FH120-SUM(FH112:FH118)</f>
        <v>-762.52613585345011</v>
      </c>
      <c r="FI119" s="183">
        <f>+FI120-SUM(FI112:FI118)</f>
        <v>-1885.4937938930111</v>
      </c>
    </row>
    <row r="120" spans="1:167" x14ac:dyDescent="0.3">
      <c r="A120" s="35" t="s">
        <v>94</v>
      </c>
      <c r="DU120" s="858">
        <f>SUM(DU112:DU119)</f>
        <v>-286</v>
      </c>
      <c r="DV120" s="858">
        <f t="shared" ref="DV120:DX120" si="312">SUM(DV112:DV119)</f>
        <v>-153</v>
      </c>
      <c r="DW120" s="858">
        <f t="shared" si="312"/>
        <v>485</v>
      </c>
      <c r="DX120" s="858">
        <f t="shared" si="312"/>
        <v>-14</v>
      </c>
      <c r="DY120" s="858">
        <f t="shared" si="260"/>
        <v>32</v>
      </c>
      <c r="DZ120" s="858">
        <f t="shared" ref="DZ120" si="313">SUM(DZ112:DZ119)</f>
        <v>-13</v>
      </c>
      <c r="EA120" s="858">
        <f t="shared" ref="EA120" si="314">SUM(EA112:EA119)</f>
        <v>-24</v>
      </c>
      <c r="EB120" s="858">
        <f t="shared" ref="EB120" si="315">SUM(EB112:EB119)</f>
        <v>-754</v>
      </c>
      <c r="EC120" s="858">
        <f t="shared" ref="EC120" si="316">SUM(EC112:EC119)</f>
        <v>-102</v>
      </c>
      <c r="ED120" s="858">
        <f t="shared" si="301"/>
        <v>-893</v>
      </c>
      <c r="EE120" s="858">
        <f t="shared" ref="EE120" si="317">SUM(EE112:EE119)</f>
        <v>-7</v>
      </c>
      <c r="EF120" s="858">
        <f t="shared" ref="EF120" si="318">SUM(EF112:EF119)</f>
        <v>197</v>
      </c>
      <c r="EG120" s="858">
        <f t="shared" ref="EG120:EH120" si="319">SUM(EG112:EG119)</f>
        <v>-10</v>
      </c>
      <c r="EH120" s="858">
        <f t="shared" si="319"/>
        <v>997</v>
      </c>
      <c r="EI120" s="858">
        <f t="shared" si="302"/>
        <v>1177</v>
      </c>
      <c r="EJ120" s="858">
        <f t="shared" ref="EJ120:EK120" si="320">SUM(EJ112:EJ119)</f>
        <v>-12</v>
      </c>
      <c r="EK120" s="858">
        <f t="shared" si="320"/>
        <v>1170</v>
      </c>
      <c r="EL120" s="858">
        <f t="shared" ref="EL120:EM120" si="321">SUM(EL112:EL119)</f>
        <v>61</v>
      </c>
      <c r="EM120" s="858">
        <f t="shared" si="321"/>
        <v>-8</v>
      </c>
      <c r="EN120" s="858">
        <f t="shared" si="303"/>
        <v>1211</v>
      </c>
      <c r="EO120" s="858">
        <f t="shared" ref="EO120:EP120" si="322">SUM(EO112:EO119)</f>
        <v>725</v>
      </c>
      <c r="EP120" s="858">
        <f t="shared" si="322"/>
        <v>-18</v>
      </c>
      <c r="EQ120" s="858">
        <f t="shared" ref="EQ120:ER120" si="323">SUM(EQ112:EQ119)</f>
        <v>1428</v>
      </c>
      <c r="ER120" s="858">
        <f t="shared" si="323"/>
        <v>-1</v>
      </c>
      <c r="ES120" s="858">
        <f t="shared" si="304"/>
        <v>2134</v>
      </c>
      <c r="ET120" s="858">
        <f t="shared" ref="ET120:EU120" si="324">SUM(ET112:ET119)</f>
        <v>-423</v>
      </c>
      <c r="EU120" s="858">
        <f t="shared" si="324"/>
        <v>-20</v>
      </c>
      <c r="EV120" s="858">
        <f t="shared" ref="EV120:EW120" si="325">SUM(EV112:EV119)</f>
        <v>307</v>
      </c>
      <c r="EW120" s="858">
        <f t="shared" si="325"/>
        <v>-32</v>
      </c>
      <c r="EX120" s="858">
        <f t="shared" si="305"/>
        <v>-168</v>
      </c>
      <c r="EY120" s="858">
        <f t="shared" ref="EY120:FB120" si="326">SUM(EY112:EY119)</f>
        <v>-7</v>
      </c>
      <c r="EZ120" s="858">
        <f t="shared" si="326"/>
        <v>1194</v>
      </c>
      <c r="FA120" s="858">
        <f t="shared" si="326"/>
        <v>-8</v>
      </c>
      <c r="FB120" s="858">
        <f t="shared" si="326"/>
        <v>-8</v>
      </c>
      <c r="FC120" s="858">
        <f t="shared" si="306"/>
        <v>1171</v>
      </c>
      <c r="FD120" s="858">
        <f t="shared" ref="FD120" si="327">SUM(FD112:FD119)</f>
        <v>1471</v>
      </c>
      <c r="FE120" s="858">
        <f t="shared" ref="FE120:FF120" si="328">SUM(FE112:FE119)</f>
        <v>189.90000000000009</v>
      </c>
      <c r="FF120" s="858">
        <f t="shared" si="328"/>
        <v>-279</v>
      </c>
      <c r="FG120" s="858">
        <f t="shared" ref="FG120" si="329">SUM(FG112:FG119)</f>
        <v>-829</v>
      </c>
      <c r="FH120" s="858">
        <f>+FH122-FH110-FH105</f>
        <v>-1161.5175151235601</v>
      </c>
      <c r="FI120" s="858">
        <f>+FI122-FI110-FI105</f>
        <v>-1132.3785514169017</v>
      </c>
    </row>
    <row r="121" spans="1:167" x14ac:dyDescent="0.3">
      <c r="A121" s="27"/>
      <c r="EO121"/>
      <c r="EP121"/>
      <c r="EQ121"/>
      <c r="ER121"/>
    </row>
    <row r="122" spans="1:167" ht="12.5" thickBot="1" x14ac:dyDescent="0.35">
      <c r="A122" s="27" t="s">
        <v>95</v>
      </c>
      <c r="DU122" s="632">
        <f>+SUM(DU120,DU110,DU105)</f>
        <v>-235</v>
      </c>
      <c r="DV122" s="632">
        <f>+SUM(DV120,DV110,DV105)</f>
        <v>148</v>
      </c>
      <c r="DW122" s="632">
        <f>+SUM(DW120,DW110,DW105)</f>
        <v>416</v>
      </c>
      <c r="DX122" s="632">
        <f>+SUM(DX120,DX110,DX105)</f>
        <v>77</v>
      </c>
      <c r="DY122" s="696">
        <f t="shared" si="260"/>
        <v>406</v>
      </c>
      <c r="DZ122" s="632">
        <f>+SUM(DZ120,DZ110,DZ105)</f>
        <v>182</v>
      </c>
      <c r="EA122" s="632">
        <f>+SUM(EA120,EA110,EA105)</f>
        <v>1359</v>
      </c>
      <c r="EB122" s="632">
        <f>+SUM(EB120,EB110,EB105)</f>
        <v>-525</v>
      </c>
      <c r="EC122" s="632">
        <f>+SUM(EC120,EC110,EC105)</f>
        <v>61</v>
      </c>
      <c r="ED122" s="696">
        <f>+SUM(DZ122:EC122)</f>
        <v>1077</v>
      </c>
      <c r="EE122" s="632">
        <f>+SUM(EE120,EE110,EE105)</f>
        <v>278</v>
      </c>
      <c r="EF122" s="632">
        <f>+SUM(EF120,EF110,EF105)</f>
        <v>-1121</v>
      </c>
      <c r="EG122" s="632">
        <f>+SUM(EG120,EG110,EG105)</f>
        <v>217</v>
      </c>
      <c r="EH122" s="632">
        <f>+SUM(EH120,EH110,EH105)</f>
        <v>917</v>
      </c>
      <c r="EI122" s="696">
        <f>+SUM(EE122:EH122)</f>
        <v>291</v>
      </c>
      <c r="EJ122" s="632">
        <f>+SUM(EJ120,EJ110,EJ105)</f>
        <v>-829</v>
      </c>
      <c r="EK122" s="632">
        <f>+SUM(EK120,EK110,EK105)</f>
        <v>-641</v>
      </c>
      <c r="EL122" s="632">
        <f>+SUM(EL120,EL110,EL105)</f>
        <v>-448</v>
      </c>
      <c r="EM122" s="632">
        <f>+SUM(EM120,EM110,EM105)</f>
        <v>62</v>
      </c>
      <c r="EN122" s="696">
        <f>+SUM(EJ122:EM122)</f>
        <v>-1856</v>
      </c>
      <c r="EO122" s="632">
        <f>+SUM(EO120,EO110,EO105)</f>
        <v>810</v>
      </c>
      <c r="EP122" s="632">
        <f>+SUM(EP120,EP110,EP105)</f>
        <v>-470</v>
      </c>
      <c r="EQ122" s="632">
        <f>+SUM(EQ120,EQ110,EQ105)</f>
        <v>392</v>
      </c>
      <c r="ER122" s="632">
        <f>+SUM(ER120,ER110,ER105)</f>
        <v>190</v>
      </c>
      <c r="ES122" s="696">
        <f>+SUM(EO122:ER122)</f>
        <v>922</v>
      </c>
      <c r="ET122" s="632">
        <f>+SUM(ET120,ET110,ET105)</f>
        <v>98</v>
      </c>
      <c r="EU122" s="632">
        <f>+SUM(EU120,EU110,EU105)</f>
        <v>-39</v>
      </c>
      <c r="EV122" s="632">
        <f>+SUM(EV120,EV110,EV105)</f>
        <v>234</v>
      </c>
      <c r="EW122" s="632">
        <f>+SUM(EW120,EW110,EW105)</f>
        <v>-521</v>
      </c>
      <c r="EX122" s="696">
        <f>+SUM(ET122:EW122)</f>
        <v>-228</v>
      </c>
      <c r="EY122" s="632">
        <f t="shared" ref="EY122:FB122" si="330">+SUM(EY120,EY110,EY105)</f>
        <v>-441.98849955028129</v>
      </c>
      <c r="EZ122" s="632">
        <f t="shared" si="330"/>
        <v>662.11604470299778</v>
      </c>
      <c r="FA122" s="632">
        <f t="shared" si="330"/>
        <v>-424.21819897214294</v>
      </c>
      <c r="FB122" s="632">
        <f t="shared" si="330"/>
        <v>-463.11608022238164</v>
      </c>
      <c r="FC122" s="696">
        <f>+SUM(EY122:FB122)</f>
        <v>-667.20673404180809</v>
      </c>
      <c r="FD122" s="632">
        <f t="shared" ref="FD122" si="331">+SUM(FD120,FD110,FD105)</f>
        <v>-108.74851510727581</v>
      </c>
      <c r="FE122" s="632">
        <f t="shared" ref="FE122:FF122" si="332">+SUM(FE120,FE110,FE105)</f>
        <v>-12.716524380497049</v>
      </c>
      <c r="FF122" s="632">
        <f t="shared" si="332"/>
        <v>111.17106686817488</v>
      </c>
      <c r="FG122" s="632">
        <f t="shared" ref="FG122" si="333">+SUM(FG120,FG110,FG105)</f>
        <v>-237.35184067539103</v>
      </c>
      <c r="FH122" s="695">
        <f>+FH124-FH123</f>
        <v>-266</v>
      </c>
      <c r="FI122" s="695">
        <f>+FI124-FI123</f>
        <v>0</v>
      </c>
    </row>
    <row r="123" spans="1:167" ht="12.5" thickTop="1" x14ac:dyDescent="0.3">
      <c r="A123" s="27" t="s">
        <v>96</v>
      </c>
      <c r="DU123" s="44">
        <f>+Inputs!DU269</f>
        <v>404</v>
      </c>
      <c r="DV123" s="76">
        <f>+DU124</f>
        <v>169</v>
      </c>
      <c r="DW123" s="76">
        <f t="shared" ref="DW123:EU123" si="334">+DV124</f>
        <v>317</v>
      </c>
      <c r="DX123" s="76">
        <f t="shared" si="334"/>
        <v>733</v>
      </c>
      <c r="DY123" s="45">
        <f>+DU123</f>
        <v>404</v>
      </c>
      <c r="DZ123" s="76">
        <f t="shared" si="334"/>
        <v>810</v>
      </c>
      <c r="EA123" s="76">
        <f t="shared" si="334"/>
        <v>992</v>
      </c>
      <c r="EB123" s="76">
        <f t="shared" si="334"/>
        <v>2351</v>
      </c>
      <c r="EC123" s="76">
        <f t="shared" si="334"/>
        <v>1826</v>
      </c>
      <c r="ED123" s="45">
        <f>+DZ123</f>
        <v>810</v>
      </c>
      <c r="EE123" s="76">
        <f t="shared" si="334"/>
        <v>1887</v>
      </c>
      <c r="EF123" s="76">
        <f t="shared" si="334"/>
        <v>2165</v>
      </c>
      <c r="EG123" s="76">
        <f t="shared" si="334"/>
        <v>1044</v>
      </c>
      <c r="EH123" s="76">
        <f t="shared" si="334"/>
        <v>1261</v>
      </c>
      <c r="EI123" s="45">
        <f>+EE123</f>
        <v>1887</v>
      </c>
      <c r="EJ123" s="76">
        <f t="shared" si="334"/>
        <v>2178</v>
      </c>
      <c r="EK123" s="76">
        <f t="shared" si="334"/>
        <v>1349</v>
      </c>
      <c r="EL123" s="76">
        <f>+EK124</f>
        <v>708</v>
      </c>
      <c r="EM123" s="76">
        <f>+EL124</f>
        <v>260</v>
      </c>
      <c r="EN123" s="45">
        <f>+EJ123</f>
        <v>2178</v>
      </c>
      <c r="EO123" s="76">
        <f t="shared" si="334"/>
        <v>322</v>
      </c>
      <c r="EP123" s="76">
        <f t="shared" si="334"/>
        <v>1132</v>
      </c>
      <c r="EQ123" s="76">
        <f t="shared" si="334"/>
        <v>662</v>
      </c>
      <c r="ER123" s="76">
        <f t="shared" si="334"/>
        <v>1054</v>
      </c>
      <c r="ES123" s="45">
        <f>+EO123</f>
        <v>322</v>
      </c>
      <c r="ET123" s="76">
        <f t="shared" si="334"/>
        <v>1244</v>
      </c>
      <c r="EU123" s="76">
        <f t="shared" si="334"/>
        <v>1342</v>
      </c>
      <c r="EV123" s="76">
        <f t="shared" ref="EV123:EW123" si="335">+EU124</f>
        <v>1303</v>
      </c>
      <c r="EW123" s="76">
        <f t="shared" si="335"/>
        <v>1537</v>
      </c>
      <c r="EX123" s="45">
        <f>+ET123</f>
        <v>1244</v>
      </c>
      <c r="EY123" s="76">
        <f t="shared" ref="EY123" si="336">+EX124</f>
        <v>1016</v>
      </c>
      <c r="EZ123" s="76">
        <f t="shared" ref="EZ123" si="337">+EY124</f>
        <v>574.01150044971871</v>
      </c>
      <c r="FA123" s="76">
        <f t="shared" ref="FA123" si="338">+EZ124</f>
        <v>1236.1275451527165</v>
      </c>
      <c r="FB123" s="76">
        <f t="shared" ref="FB123" si="339">+FA124</f>
        <v>811.90934618057349</v>
      </c>
      <c r="FC123" s="45">
        <f>+EY123</f>
        <v>1016</v>
      </c>
      <c r="FD123" s="76">
        <f t="shared" ref="FD123:FE123" si="340">+FC124</f>
        <v>348.79326595819185</v>
      </c>
      <c r="FE123" s="76">
        <f t="shared" si="340"/>
        <v>240.04475085091605</v>
      </c>
      <c r="FF123" s="76">
        <f t="shared" ref="FF123:FG123" si="341">+FE124</f>
        <v>227.328226470419</v>
      </c>
      <c r="FG123" s="76">
        <f t="shared" si="341"/>
        <v>338.49929333859387</v>
      </c>
      <c r="FH123" s="76">
        <f t="shared" ref="FH123" si="342">+FG124</f>
        <v>101.14745266320284</v>
      </c>
      <c r="FI123" s="76">
        <f t="shared" ref="FI123" si="343">+FH124</f>
        <v>-164.85254733679716</v>
      </c>
    </row>
    <row r="124" spans="1:167" x14ac:dyDescent="0.3">
      <c r="A124" s="27" t="s">
        <v>97</v>
      </c>
      <c r="DU124" s="151">
        <f>+DU122+DU123</f>
        <v>169</v>
      </c>
      <c r="DV124" s="76">
        <f>+DV122+DV123</f>
        <v>317</v>
      </c>
      <c r="DW124" s="76">
        <f>+DW122+DW123</f>
        <v>733</v>
      </c>
      <c r="DX124" s="76">
        <f>+DX122+DX123</f>
        <v>810</v>
      </c>
      <c r="DY124" s="45">
        <f>+DX124</f>
        <v>810</v>
      </c>
      <c r="DZ124" s="76">
        <f>+DZ122+DZ123</f>
        <v>992</v>
      </c>
      <c r="EA124" s="76">
        <f>+EA122+EA123</f>
        <v>2351</v>
      </c>
      <c r="EB124" s="76">
        <f>+EB122+EB123</f>
        <v>1826</v>
      </c>
      <c r="EC124" s="76">
        <f>+EC122+EC123</f>
        <v>1887</v>
      </c>
      <c r="ED124" s="45">
        <f>+EC124</f>
        <v>1887</v>
      </c>
      <c r="EE124" s="76">
        <f>+EE122+EE123</f>
        <v>2165</v>
      </c>
      <c r="EF124" s="76">
        <f>+EF122+EF123</f>
        <v>1044</v>
      </c>
      <c r="EG124" s="76">
        <f>+EG122+EG123</f>
        <v>1261</v>
      </c>
      <c r="EH124" s="76">
        <f>+EH122+EH123</f>
        <v>2178</v>
      </c>
      <c r="EI124" s="45">
        <f>+EH124</f>
        <v>2178</v>
      </c>
      <c r="EJ124" s="76">
        <f>+EJ122+EJ123</f>
        <v>1349</v>
      </c>
      <c r="EK124" s="76">
        <f>+EK122+EK123</f>
        <v>708</v>
      </c>
      <c r="EL124" s="76">
        <f>+EL122+EL123</f>
        <v>260</v>
      </c>
      <c r="EM124" s="76">
        <f>+EM122+EM123</f>
        <v>322</v>
      </c>
      <c r="EN124" s="45">
        <f>+EM124</f>
        <v>322</v>
      </c>
      <c r="EO124" s="76">
        <f>+EO122+EO123</f>
        <v>1132</v>
      </c>
      <c r="EP124" s="76">
        <f>+EP122+EP123</f>
        <v>662</v>
      </c>
      <c r="EQ124" s="76">
        <f>+EQ122+EQ123</f>
        <v>1054</v>
      </c>
      <c r="ER124" s="76">
        <f>+ER122+ER123</f>
        <v>1244</v>
      </c>
      <c r="ES124" s="45">
        <f>+ER124</f>
        <v>1244</v>
      </c>
      <c r="ET124" s="76">
        <f>+ET122+ET123</f>
        <v>1342</v>
      </c>
      <c r="EU124" s="76">
        <f>+EU122+EU123</f>
        <v>1303</v>
      </c>
      <c r="EV124" s="76">
        <f t="shared" ref="EV124" si="344">+EV122+EV123</f>
        <v>1537</v>
      </c>
      <c r="EW124" s="76">
        <f t="shared" ref="EW124" si="345">+EW122+EW123</f>
        <v>1016</v>
      </c>
      <c r="EX124" s="45">
        <f>+EW124</f>
        <v>1016</v>
      </c>
      <c r="EY124" s="76">
        <f t="shared" ref="EY124:FB124" si="346">+EY122+EY123</f>
        <v>574.01150044971871</v>
      </c>
      <c r="EZ124" s="76">
        <f t="shared" si="346"/>
        <v>1236.1275451527165</v>
      </c>
      <c r="FA124" s="76">
        <f t="shared" si="346"/>
        <v>811.90934618057349</v>
      </c>
      <c r="FB124" s="76">
        <f t="shared" si="346"/>
        <v>348.79326595819185</v>
      </c>
      <c r="FC124" s="45">
        <f>+FB124</f>
        <v>348.79326595819185</v>
      </c>
      <c r="FD124" s="76">
        <f t="shared" ref="FD124" si="347">+FD122+FD123</f>
        <v>240.04475085091605</v>
      </c>
      <c r="FE124" s="76">
        <f t="shared" ref="FE124:FF124" si="348">+FE122+FE123</f>
        <v>227.328226470419</v>
      </c>
      <c r="FF124" s="76">
        <f t="shared" si="348"/>
        <v>338.49929333859387</v>
      </c>
      <c r="FG124" s="76">
        <f t="shared" ref="FG124" si="349">+FG122+FG123</f>
        <v>101.14745266320284</v>
      </c>
      <c r="FH124" s="76">
        <f t="shared" ref="FH124:FI124" si="350">FH197</f>
        <v>-164.85254733679716</v>
      </c>
      <c r="FI124" s="76">
        <f t="shared" si="350"/>
        <v>-164.85254733679716</v>
      </c>
    </row>
    <row r="125" spans="1:167" x14ac:dyDescent="0.3">
      <c r="A125" s="593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114"/>
      <c r="DG125" s="114"/>
      <c r="DH125" s="114"/>
      <c r="DI125" s="114"/>
      <c r="DJ125" s="114"/>
      <c r="DK125" s="114"/>
      <c r="DL125" s="114"/>
      <c r="DM125" s="114"/>
      <c r="DN125" s="114"/>
      <c r="DO125" s="114"/>
      <c r="DP125" s="114"/>
      <c r="DQ125" s="114"/>
      <c r="DR125" s="114"/>
      <c r="DS125" s="114"/>
      <c r="DT125" s="114"/>
      <c r="DU125" s="100"/>
      <c r="DV125" s="100"/>
      <c r="DW125" s="100"/>
      <c r="DX125" s="100"/>
      <c r="DY125" s="100"/>
      <c r="DZ125" s="100"/>
      <c r="EA125" s="100"/>
      <c r="EB125" s="100"/>
      <c r="EC125" s="100"/>
      <c r="ED125" s="100"/>
      <c r="EE125" s="100"/>
      <c r="EF125" s="100"/>
      <c r="EG125" s="100"/>
      <c r="EH125" s="100"/>
      <c r="EI125" s="100"/>
      <c r="EJ125" s="100"/>
      <c r="EK125" s="100"/>
      <c r="EL125" s="100"/>
      <c r="EM125" s="100"/>
      <c r="EN125" s="100"/>
      <c r="EO125" s="100"/>
      <c r="EP125" s="100"/>
      <c r="EQ125" s="100"/>
      <c r="ER125" s="100"/>
      <c r="ES125" s="100"/>
      <c r="ET125" s="100"/>
      <c r="EU125" s="100"/>
      <c r="EV125" s="100"/>
      <c r="EW125" s="100"/>
      <c r="EX125" s="100"/>
      <c r="EY125" s="100"/>
      <c r="EZ125" s="100"/>
      <c r="FA125" s="100"/>
      <c r="FB125" s="100"/>
      <c r="FC125" s="100"/>
      <c r="FD125" s="100"/>
      <c r="FE125" s="100"/>
      <c r="FF125" s="100"/>
      <c r="FG125" s="100"/>
      <c r="FH125" s="100"/>
      <c r="FI125" s="100"/>
    </row>
    <row r="126" spans="1:167" x14ac:dyDescent="0.3">
      <c r="A126" s="594" t="s">
        <v>98</v>
      </c>
      <c r="DU126" s="523">
        <f t="shared" ref="DU126:FH126" si="351">+DU200</f>
        <v>4.8109965635738829</v>
      </c>
      <c r="DV126" s="523">
        <f t="shared" si="351"/>
        <v>5.3253865979381443</v>
      </c>
      <c r="DW126" s="523">
        <f t="shared" si="351"/>
        <v>5.5214887018165708</v>
      </c>
      <c r="DX126" s="523">
        <f t="shared" si="351"/>
        <v>5.645733788395904</v>
      </c>
      <c r="DY126" s="595">
        <f t="shared" si="351"/>
        <v>5.645733788395904</v>
      </c>
      <c r="DZ126" s="523">
        <f t="shared" si="351"/>
        <v>5.750175685172171</v>
      </c>
      <c r="EA126" s="523">
        <f t="shared" si="351"/>
        <v>5.4989161849710984</v>
      </c>
      <c r="EB126" s="523">
        <f t="shared" si="351"/>
        <v>5.4507121513276751</v>
      </c>
      <c r="EC126" s="523">
        <f>+EC200</f>
        <v>5.4074058118418815</v>
      </c>
      <c r="ED126" s="595">
        <f t="shared" si="351"/>
        <v>5.4074058118418815</v>
      </c>
      <c r="EE126" s="523">
        <f>+EE200</f>
        <v>5.3439877465172012</v>
      </c>
      <c r="EF126" s="523">
        <f t="shared" si="351"/>
        <v>2.2429315476190474</v>
      </c>
      <c r="EG126" s="523">
        <f t="shared" si="351"/>
        <v>2.2445820433436534</v>
      </c>
      <c r="EH126" s="523">
        <f t="shared" si="351"/>
        <v>2.3660606060606062</v>
      </c>
      <c r="EI126" s="595">
        <f t="shared" si="351"/>
        <v>2.3660606060606062</v>
      </c>
      <c r="EJ126" s="523">
        <f t="shared" ref="EJ126:ES126" si="352">+EJ200</f>
        <v>2.4980561555075598</v>
      </c>
      <c r="EK126" s="523">
        <f t="shared" si="352"/>
        <v>2.782942238267148</v>
      </c>
      <c r="EL126" s="523">
        <f t="shared" si="352"/>
        <v>3.0790828263921384</v>
      </c>
      <c r="EM126" s="523">
        <f t="shared" si="352"/>
        <v>3.3908653846153847</v>
      </c>
      <c r="EN126" s="595">
        <f t="shared" si="352"/>
        <v>3.3908653846153847</v>
      </c>
      <c r="EO126" s="523">
        <f t="shared" ref="EO126" si="353">+EO200</f>
        <v>3.7425837320574162</v>
      </c>
      <c r="EP126" s="523">
        <f t="shared" si="352"/>
        <v>4.1221264367816088</v>
      </c>
      <c r="EQ126" s="523">
        <f t="shared" si="352"/>
        <v>4.2972459639126308</v>
      </c>
      <c r="ER126" s="523">
        <f t="shared" ref="ER126" si="354">+ER200</f>
        <v>4.2599905970850962</v>
      </c>
      <c r="ES126" s="595">
        <f t="shared" si="352"/>
        <v>4.2599905970850962</v>
      </c>
      <c r="ET126" s="523">
        <f t="shared" ref="ET126:EX126" si="355">+ET200</f>
        <v>4.5169373549883991</v>
      </c>
      <c r="EU126" s="523">
        <f t="shared" si="355"/>
        <v>4.6067827681026579</v>
      </c>
      <c r="EV126" s="523">
        <f t="shared" si="355"/>
        <v>4.6467120181405894</v>
      </c>
      <c r="EW126" s="523">
        <f t="shared" si="355"/>
        <v>4.8027543314082628</v>
      </c>
      <c r="EX126" s="595">
        <f t="shared" si="355"/>
        <v>4.8027543314082628</v>
      </c>
      <c r="EY126" s="523">
        <f t="shared" ref="EY126:FC126" si="356">+EY200</f>
        <v>4.976981424399999</v>
      </c>
      <c r="EZ126" s="523">
        <f t="shared" si="356"/>
        <v>5.138360628521168</v>
      </c>
      <c r="FA126" s="523">
        <f t="shared" si="356"/>
        <v>5.2058141817917285</v>
      </c>
      <c r="FB126" s="523">
        <f t="shared" si="356"/>
        <v>5.2466149168475829</v>
      </c>
      <c r="FC126" s="595">
        <f t="shared" si="356"/>
        <v>5.2466149168475829</v>
      </c>
      <c r="FD126" s="523">
        <f t="shared" si="351"/>
        <v>5.3369016292175715</v>
      </c>
      <c r="FE126" s="523">
        <f t="shared" si="351"/>
        <v>4.8494226881665794</v>
      </c>
      <c r="FF126" s="523">
        <f t="shared" si="351"/>
        <v>4.3268288938752866</v>
      </c>
      <c r="FG126" s="523">
        <f t="shared" si="351"/>
        <v>3.8471946170768225</v>
      </c>
      <c r="FH126" s="523">
        <f t="shared" si="351"/>
        <v>3.5</v>
      </c>
      <c r="FI126" s="523">
        <f>+FI200</f>
        <v>3.5</v>
      </c>
    </row>
    <row r="127" spans="1:167" x14ac:dyDescent="0.3">
      <c r="A127" s="27"/>
      <c r="DU127" s="85"/>
      <c r="DV127" s="85"/>
      <c r="DW127" s="85"/>
      <c r="DX127" s="85"/>
      <c r="DY127" s="85"/>
      <c r="DZ127" s="85"/>
      <c r="EA127" s="85"/>
      <c r="EB127" s="85"/>
      <c r="EC127" s="85"/>
      <c r="ED127" s="85"/>
      <c r="EE127" s="85"/>
      <c r="EF127" s="85"/>
      <c r="EG127" s="85"/>
      <c r="EH127" s="85"/>
      <c r="EI127" s="85"/>
      <c r="EJ127" s="85"/>
      <c r="EK127" s="85"/>
      <c r="EL127" s="85"/>
      <c r="EM127" s="85"/>
      <c r="EN127" s="85"/>
      <c r="EO127" s="85"/>
      <c r="EP127" s="85"/>
      <c r="EQ127" s="85"/>
      <c r="ER127" s="85"/>
      <c r="ES127" s="85"/>
      <c r="ET127" s="85"/>
      <c r="EU127" s="85"/>
      <c r="EV127" s="85"/>
      <c r="EW127" s="85"/>
      <c r="EX127" s="85"/>
      <c r="EY127" s="85"/>
      <c r="EZ127" s="85"/>
      <c r="FA127" s="85"/>
      <c r="FB127" s="85"/>
      <c r="FC127" s="85"/>
      <c r="FD127" s="85"/>
      <c r="FE127" s="85"/>
      <c r="FF127" s="85"/>
      <c r="FG127" s="85"/>
      <c r="FH127" s="85"/>
      <c r="FI127" s="85"/>
    </row>
    <row r="128" spans="1:167" x14ac:dyDescent="0.3">
      <c r="A128" s="165" t="s">
        <v>99</v>
      </c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  <c r="BB128" s="165"/>
      <c r="BC128" s="165"/>
      <c r="BD128" s="165"/>
      <c r="BE128" s="165"/>
      <c r="BF128" s="165"/>
      <c r="BG128" s="165"/>
      <c r="BH128" s="165"/>
      <c r="BI128" s="165"/>
      <c r="BJ128" s="165"/>
      <c r="BK128" s="165"/>
      <c r="BL128" s="165"/>
      <c r="BM128" s="165"/>
      <c r="BN128" s="165"/>
      <c r="BO128" s="165"/>
      <c r="BP128" s="165"/>
      <c r="BQ128" s="165"/>
      <c r="BR128" s="165"/>
      <c r="BS128" s="165"/>
      <c r="BT128" s="165"/>
      <c r="BU128" s="165"/>
      <c r="BV128" s="165"/>
      <c r="BW128" s="165"/>
      <c r="BX128" s="165"/>
      <c r="BY128" s="165"/>
      <c r="BZ128" s="165"/>
      <c r="CA128" s="165"/>
      <c r="CB128" s="165"/>
      <c r="CC128" s="165"/>
      <c r="CD128" s="165"/>
      <c r="CE128" s="165"/>
      <c r="CF128" s="165"/>
      <c r="CG128" s="165"/>
      <c r="CH128" s="165"/>
      <c r="CI128" s="165"/>
      <c r="CJ128" s="165"/>
      <c r="CK128" s="165"/>
      <c r="CL128" s="165"/>
      <c r="CM128" s="165"/>
      <c r="CN128" s="165"/>
      <c r="CO128" s="165"/>
      <c r="CP128" s="165"/>
      <c r="CQ128" s="165"/>
      <c r="CR128" s="165"/>
      <c r="CS128" s="165"/>
      <c r="CT128" s="165"/>
      <c r="CU128" s="165"/>
      <c r="CV128" s="165"/>
      <c r="CW128" s="165"/>
      <c r="CX128" s="165"/>
      <c r="CY128" s="165"/>
      <c r="CZ128" s="165"/>
      <c r="DA128" s="165"/>
      <c r="DB128" s="165"/>
      <c r="DC128" s="165"/>
      <c r="DD128" s="165"/>
      <c r="DE128" s="165"/>
      <c r="DF128" s="165"/>
      <c r="DG128" s="165"/>
      <c r="DH128" s="165"/>
      <c r="DI128" s="165"/>
      <c r="DJ128" s="165"/>
      <c r="DK128" s="165"/>
      <c r="DL128" s="165"/>
      <c r="DM128" s="165"/>
      <c r="DN128" s="165"/>
      <c r="DO128" s="165"/>
      <c r="DP128" s="165"/>
      <c r="DQ128" s="165"/>
      <c r="DR128" s="165"/>
      <c r="DS128" s="165"/>
      <c r="DT128" s="165"/>
      <c r="DU128" s="165"/>
      <c r="DV128" s="165"/>
      <c r="DW128" s="165"/>
      <c r="DX128" s="165"/>
      <c r="DY128" s="165"/>
      <c r="DZ128" s="165"/>
      <c r="EA128" s="165"/>
      <c r="EB128" s="165"/>
      <c r="EC128" s="165"/>
      <c r="ED128" s="165"/>
      <c r="EE128" s="165"/>
      <c r="EF128" s="165"/>
      <c r="EG128" s="165"/>
      <c r="EH128" s="165"/>
      <c r="EI128" s="165"/>
      <c r="EJ128" s="165"/>
      <c r="EK128" s="165"/>
      <c r="EL128" s="165"/>
      <c r="EM128" s="165"/>
      <c r="EN128" s="165"/>
      <c r="EO128" s="165"/>
      <c r="EP128" s="165"/>
      <c r="EQ128" s="165"/>
      <c r="ER128" s="165"/>
      <c r="ES128" s="165"/>
      <c r="ET128" s="165"/>
      <c r="EU128" s="165"/>
      <c r="EV128" s="165"/>
      <c r="EW128" s="165"/>
      <c r="EX128" s="165"/>
      <c r="EY128" s="165"/>
      <c r="EZ128" s="165"/>
      <c r="FA128" s="165"/>
      <c r="FB128" s="165"/>
      <c r="FC128" s="165"/>
      <c r="FD128" s="165"/>
      <c r="FE128" s="165"/>
      <c r="FF128" s="165"/>
      <c r="FG128" s="165"/>
      <c r="FH128" s="165"/>
      <c r="FI128" s="165"/>
    </row>
    <row r="129" spans="1:165" x14ac:dyDescent="0.3">
      <c r="A129" s="109" t="s">
        <v>100</v>
      </c>
      <c r="DU129" s="76">
        <f>+DU105</f>
        <v>282</v>
      </c>
      <c r="DV129" s="76">
        <f>+DV105</f>
        <v>575</v>
      </c>
      <c r="DW129" s="76">
        <f>+DW105</f>
        <v>246</v>
      </c>
      <c r="DX129" s="76">
        <f>+DX105</f>
        <v>405</v>
      </c>
      <c r="DY129" s="85">
        <f>+SUM(DU129:DX129)</f>
        <v>1508</v>
      </c>
      <c r="DZ129" s="76">
        <f>+DZ105</f>
        <v>477</v>
      </c>
      <c r="EA129" s="76">
        <f>+EA105</f>
        <v>473</v>
      </c>
      <c r="EB129" s="76">
        <f>+EB105</f>
        <v>542</v>
      </c>
      <c r="EC129" s="76">
        <f>+EC105</f>
        <v>497</v>
      </c>
      <c r="ED129" s="85">
        <f>+SUM(DZ129:EC129)</f>
        <v>1989</v>
      </c>
      <c r="EE129" s="76">
        <f>+EE105</f>
        <v>665</v>
      </c>
      <c r="EF129" s="76">
        <f>+EF105</f>
        <v>-939</v>
      </c>
      <c r="EG129" s="76">
        <f>+EG105</f>
        <v>603</v>
      </c>
      <c r="EH129" s="76">
        <f>+EH105</f>
        <v>468</v>
      </c>
      <c r="EI129" s="85">
        <f>+SUM(EE129:EH129)</f>
        <v>797</v>
      </c>
      <c r="EJ129" s="76">
        <f>+EJ105</f>
        <v>528</v>
      </c>
      <c r="EK129" s="76">
        <f>+EK105</f>
        <v>229</v>
      </c>
      <c r="EL129" s="76">
        <f>+EL105</f>
        <v>284</v>
      </c>
      <c r="EM129" s="76">
        <f>+EM105</f>
        <v>360</v>
      </c>
      <c r="EN129" s="85">
        <f>+SUM(EJ129:EM129)</f>
        <v>1401</v>
      </c>
      <c r="EO129" s="76">
        <f>+EO105</f>
        <v>389</v>
      </c>
      <c r="EP129" s="76">
        <f>+EP105</f>
        <v>276</v>
      </c>
      <c r="EQ129" s="76">
        <f>+EQ105</f>
        <v>383</v>
      </c>
      <c r="ER129" s="76">
        <f>+ER105</f>
        <v>296</v>
      </c>
      <c r="ES129" s="85">
        <f>+SUM(EO129:ER129)</f>
        <v>1344</v>
      </c>
      <c r="ET129" s="76">
        <f>+ET105</f>
        <v>335</v>
      </c>
      <c r="EU129" s="76">
        <f>+EU105</f>
        <v>374</v>
      </c>
      <c r="EV129" s="76">
        <f>+EV105</f>
        <v>618</v>
      </c>
      <c r="EW129" s="76">
        <f>+EW105</f>
        <v>294</v>
      </c>
      <c r="EX129" s="85">
        <f>+SUM(ET129:EW129)</f>
        <v>1621</v>
      </c>
      <c r="EY129" s="76">
        <f t="shared" ref="EY129:FB129" si="357">+EY105</f>
        <v>354.96373611473734</v>
      </c>
      <c r="EZ129" s="76">
        <f t="shared" si="357"/>
        <v>264.22570358268172</v>
      </c>
      <c r="FA129" s="76">
        <f t="shared" si="357"/>
        <v>399.21225030027182</v>
      </c>
      <c r="FB129" s="76">
        <f t="shared" si="357"/>
        <v>337.83952811150749</v>
      </c>
      <c r="FC129" s="85">
        <f>+SUM(EY129:FB129)</f>
        <v>1356.2412181091984</v>
      </c>
      <c r="FD129" s="76">
        <f t="shared" ref="FD129:FI129" si="358">+FD105</f>
        <v>1502.7199051601567</v>
      </c>
      <c r="FE129" s="76">
        <f t="shared" si="358"/>
        <v>1748.4050607163681</v>
      </c>
      <c r="FF129" s="76">
        <f t="shared" si="358"/>
        <v>2001.2719722340698</v>
      </c>
      <c r="FG129" s="76">
        <f t="shared" si="358"/>
        <v>2262.7137883388568</v>
      </c>
      <c r="FH129" s="76">
        <f>+FH105</f>
        <v>2542.3928646849017</v>
      </c>
      <c r="FI129" s="76">
        <f t="shared" si="358"/>
        <v>2756.6742955201898</v>
      </c>
    </row>
    <row r="130" spans="1:165" x14ac:dyDescent="0.3">
      <c r="A130" s="187" t="s">
        <v>101</v>
      </c>
      <c r="DU130" s="76">
        <f>+DU107</f>
        <v>-305</v>
      </c>
      <c r="DV130" s="76">
        <f>+DV107</f>
        <v>-275</v>
      </c>
      <c r="DW130" s="76">
        <f>+DW107</f>
        <v>-318</v>
      </c>
      <c r="DX130" s="76">
        <f>+DX107</f>
        <v>-328</v>
      </c>
      <c r="DY130" s="85">
        <f>+SUM(DU130:DX130)</f>
        <v>-1226</v>
      </c>
      <c r="DZ130" s="76">
        <f>+DZ107</f>
        <v>-286</v>
      </c>
      <c r="EA130" s="76">
        <f>+EA107</f>
        <v>-225</v>
      </c>
      <c r="EB130" s="76">
        <f>+EB107</f>
        <v>-314</v>
      </c>
      <c r="EC130" s="76">
        <f>+EC107</f>
        <v>-356</v>
      </c>
      <c r="ED130" s="85">
        <f>+SUM(DZ130:EC130)</f>
        <v>-1181</v>
      </c>
      <c r="EE130" s="76">
        <f>+EE107</f>
        <v>-384</v>
      </c>
      <c r="EF130" s="76">
        <f>+EF107</f>
        <v>-385</v>
      </c>
      <c r="EG130" s="76">
        <f>+EG107</f>
        <v>-377</v>
      </c>
      <c r="EH130" s="76">
        <f>+EH107</f>
        <v>-559</v>
      </c>
      <c r="EI130" s="85">
        <f>+SUM(EE130:EH130)</f>
        <v>-1705</v>
      </c>
      <c r="EJ130" s="76">
        <f>+EJ107</f>
        <v>-447</v>
      </c>
      <c r="EK130" s="76">
        <f>+EK107</f>
        <v>-641</v>
      </c>
      <c r="EL130" s="76">
        <f>+EL107</f>
        <v>-772</v>
      </c>
      <c r="EM130" s="76">
        <f>+EM107</f>
        <v>-878</v>
      </c>
      <c r="EN130" s="85">
        <f>+SUM(EJ130:EM130)</f>
        <v>-2738</v>
      </c>
      <c r="EO130" s="76">
        <f>+EO107</f>
        <v>-1154</v>
      </c>
      <c r="EP130" s="76">
        <f>+EP107</f>
        <v>-1057</v>
      </c>
      <c r="EQ130" s="76">
        <f>+EQ107</f>
        <v>-671</v>
      </c>
      <c r="ER130" s="76">
        <f>+ER107</f>
        <v>-329</v>
      </c>
      <c r="ES130" s="85">
        <f>+SUM(EO130:ER130)</f>
        <v>-3211</v>
      </c>
      <c r="ET130" s="76">
        <f>+ET107</f>
        <v>-666</v>
      </c>
      <c r="EU130" s="76">
        <f>+EU107</f>
        <v>-626</v>
      </c>
      <c r="EV130" s="76">
        <f>+EV107</f>
        <v>-699</v>
      </c>
      <c r="EW130" s="76">
        <f>+EW107</f>
        <v>-792</v>
      </c>
      <c r="EX130" s="85">
        <f>+SUM(ET130:EW130)</f>
        <v>-2783</v>
      </c>
      <c r="EY130" s="76">
        <f t="shared" ref="EY130:FB130" si="359">+EY107</f>
        <v>-789.95223566501863</v>
      </c>
      <c r="EZ130" s="76">
        <f t="shared" si="359"/>
        <v>-796.10965887968393</v>
      </c>
      <c r="FA130" s="76">
        <f t="shared" si="359"/>
        <v>-815.43044927241476</v>
      </c>
      <c r="FB130" s="76">
        <f t="shared" si="359"/>
        <v>-792.95560833388913</v>
      </c>
      <c r="FC130" s="85">
        <f>+SUM(EY130:FB130)</f>
        <v>-3194.4479521510066</v>
      </c>
      <c r="FD130" s="76">
        <f t="shared" ref="FD130:FI130" si="360">+FD107</f>
        <v>-3082.4684202674325</v>
      </c>
      <c r="FE130" s="76">
        <f t="shared" si="360"/>
        <v>-1951.0215850968652</v>
      </c>
      <c r="FF130" s="76">
        <f t="shared" si="360"/>
        <v>-1611.100905365895</v>
      </c>
      <c r="FG130" s="76">
        <f t="shared" si="360"/>
        <v>-1671.0656290142479</v>
      </c>
      <c r="FH130" s="76">
        <f>+FH107</f>
        <v>-1646.8753495613416</v>
      </c>
      <c r="FI130" s="76">
        <f t="shared" si="360"/>
        <v>-1624.2957441032881</v>
      </c>
    </row>
    <row r="131" spans="1:165" x14ac:dyDescent="0.3">
      <c r="A131" s="187" t="s">
        <v>102</v>
      </c>
      <c r="DU131" s="1078">
        <v>0</v>
      </c>
      <c r="DV131" s="1078">
        <v>0</v>
      </c>
      <c r="DW131" s="1078">
        <v>0</v>
      </c>
      <c r="DX131" s="1078">
        <v>0</v>
      </c>
      <c r="DY131" s="1079">
        <f>SUM(DU131:DX131)</f>
        <v>0</v>
      </c>
      <c r="DZ131" s="1078">
        <v>48</v>
      </c>
      <c r="EA131" s="1078">
        <f>57+36</f>
        <v>93</v>
      </c>
      <c r="EB131" s="1078">
        <f>131+3</f>
        <v>134</v>
      </c>
      <c r="EC131" s="1078">
        <v>128</v>
      </c>
      <c r="ED131" s="1079">
        <f>SUM(DZ131:EC131)</f>
        <v>403</v>
      </c>
      <c r="EE131" s="1078">
        <f>25+2</f>
        <v>27</v>
      </c>
      <c r="EF131" s="1078">
        <f>5467-4196+16</f>
        <v>1287</v>
      </c>
      <c r="EG131" s="1078">
        <v>0</v>
      </c>
      <c r="EH131" s="1078">
        <v>0</v>
      </c>
      <c r="EI131" s="1079">
        <f>SUM(EE131:EH131)</f>
        <v>1314</v>
      </c>
      <c r="EJ131" s="1078">
        <v>0</v>
      </c>
      <c r="EK131" s="1078">
        <v>0</v>
      </c>
      <c r="EL131" s="1078">
        <v>0</v>
      </c>
      <c r="EM131" s="1078">
        <v>0</v>
      </c>
      <c r="EN131" s="1079">
        <f>SUM(EJ131:EM131)</f>
        <v>0</v>
      </c>
      <c r="EO131" s="1078">
        <v>0</v>
      </c>
      <c r="EP131" s="1078">
        <v>0</v>
      </c>
      <c r="EQ131" s="1078">
        <v>0</v>
      </c>
      <c r="ER131" s="1078">
        <v>0</v>
      </c>
      <c r="ES131" s="1079">
        <f>SUM(EO131:ER131)</f>
        <v>0</v>
      </c>
      <c r="ET131" s="1150">
        <f>ET132-ET129-ET130</f>
        <v>-389</v>
      </c>
      <c r="EU131" s="1150">
        <f>EU132-EU129-EU130</f>
        <v>-52</v>
      </c>
      <c r="EV131" s="1150">
        <f>EV132-EV129-EV130</f>
        <v>0</v>
      </c>
      <c r="EW131" s="1150">
        <f>EW132-EW129-EW130</f>
        <v>-48</v>
      </c>
      <c r="EX131" s="1079">
        <f>SUM(ET131:EW131)</f>
        <v>-489</v>
      </c>
      <c r="EY131" s="1078">
        <v>0</v>
      </c>
      <c r="EZ131" s="1078">
        <v>0</v>
      </c>
      <c r="FA131" s="1078">
        <v>0</v>
      </c>
      <c r="FB131" s="1078">
        <v>0</v>
      </c>
      <c r="FC131" s="1079">
        <f>SUM(EY131:FB131)</f>
        <v>0</v>
      </c>
      <c r="FD131" s="1078">
        <v>0</v>
      </c>
      <c r="FE131" s="1078">
        <v>0</v>
      </c>
      <c r="FF131" s="1078">
        <v>0</v>
      </c>
      <c r="FG131" s="1078">
        <v>0</v>
      </c>
      <c r="FH131" s="1078">
        <v>0</v>
      </c>
      <c r="FI131" s="1078">
        <v>0</v>
      </c>
    </row>
    <row r="132" spans="1:165" x14ac:dyDescent="0.3">
      <c r="A132" s="186" t="s">
        <v>103</v>
      </c>
      <c r="DU132" s="803">
        <f>SUM(DU129:DU131)</f>
        <v>-23</v>
      </c>
      <c r="DV132" s="803">
        <f>SUM(DV129:DV131)</f>
        <v>300</v>
      </c>
      <c r="DW132" s="803">
        <f>SUM(DW129:DW131)</f>
        <v>-72</v>
      </c>
      <c r="DX132" s="803">
        <f>SUM(DX129:DX131)</f>
        <v>77</v>
      </c>
      <c r="DY132" s="803">
        <f>+SUM(DU132:DX132)</f>
        <v>282</v>
      </c>
      <c r="DZ132" s="803">
        <f>SUM(DZ129:DZ131)</f>
        <v>239</v>
      </c>
      <c r="EA132" s="803">
        <f>SUM(EA129:EA131)</f>
        <v>341</v>
      </c>
      <c r="EB132" s="803">
        <f>SUM(EB129:EB131)</f>
        <v>362</v>
      </c>
      <c r="EC132" s="803">
        <f>SUM(EC129:EC131)</f>
        <v>269</v>
      </c>
      <c r="ED132" s="803">
        <f>+SUM(DZ132:EC132)</f>
        <v>1211</v>
      </c>
      <c r="EE132" s="803">
        <f>SUM(EE129:EE131)</f>
        <v>308</v>
      </c>
      <c r="EF132" s="803">
        <f>SUM(EF129:EF131)</f>
        <v>-37</v>
      </c>
      <c r="EG132" s="803">
        <f>SUM(EG129:EG131)</f>
        <v>226</v>
      </c>
      <c r="EH132" s="803">
        <f>SUM(EH129:EH131)</f>
        <v>-91</v>
      </c>
      <c r="EI132" s="803">
        <f>+SUM(EE132:EH132)</f>
        <v>406</v>
      </c>
      <c r="EJ132" s="803">
        <f>SUM(EJ129:EJ131)</f>
        <v>81</v>
      </c>
      <c r="EK132" s="803">
        <f>SUM(EK129:EK131)</f>
        <v>-412</v>
      </c>
      <c r="EL132" s="803">
        <f>SUM(EL129:EL131)</f>
        <v>-488</v>
      </c>
      <c r="EM132" s="803">
        <f>SUM(EM129:EM131)</f>
        <v>-518</v>
      </c>
      <c r="EN132" s="803">
        <f>+SUM(EJ132:EM132)</f>
        <v>-1337</v>
      </c>
      <c r="EO132" s="803">
        <f>SUM(EO129:EO131)</f>
        <v>-765</v>
      </c>
      <c r="EP132" s="803">
        <f>SUM(EP129:EP131)</f>
        <v>-781</v>
      </c>
      <c r="EQ132" s="803">
        <f>SUM(EQ129:EQ131)</f>
        <v>-288</v>
      </c>
      <c r="ER132" s="803">
        <f>SUM(ER129:ER131)</f>
        <v>-33</v>
      </c>
      <c r="ES132" s="803">
        <f>+SUM(EO132:ER132)</f>
        <v>-1867</v>
      </c>
      <c r="ET132" s="855">
        <f>Inputs!ET293</f>
        <v>-720</v>
      </c>
      <c r="EU132" s="855">
        <f>Inputs!EU293</f>
        <v>-304</v>
      </c>
      <c r="EV132" s="855">
        <f>Inputs!EV293</f>
        <v>-81</v>
      </c>
      <c r="EW132" s="855">
        <f>Inputs!EW293</f>
        <v>-546</v>
      </c>
      <c r="EX132" s="803">
        <f>+SUM(ET132:EW132)</f>
        <v>-1651</v>
      </c>
      <c r="EY132" s="803">
        <f t="shared" ref="EY132:FB132" si="361">SUM(EY129:EY131)</f>
        <v>-434.98849955028129</v>
      </c>
      <c r="EZ132" s="803">
        <f t="shared" si="361"/>
        <v>-531.88395529700222</v>
      </c>
      <c r="FA132" s="803">
        <f t="shared" si="361"/>
        <v>-416.21819897214294</v>
      </c>
      <c r="FB132" s="803">
        <f t="shared" si="361"/>
        <v>-455.11608022238164</v>
      </c>
      <c r="FC132" s="803">
        <f>+SUM(EY132:FB132)</f>
        <v>-1838.2067340418082</v>
      </c>
      <c r="FD132" s="803">
        <f t="shared" ref="FD132:FI132" si="362">SUM(FD129:FD131)</f>
        <v>-1579.7485151072758</v>
      </c>
      <c r="FE132" s="803">
        <f t="shared" si="362"/>
        <v>-202.61652438049714</v>
      </c>
      <c r="FF132" s="803">
        <f t="shared" si="362"/>
        <v>390.17106686817488</v>
      </c>
      <c r="FG132" s="803">
        <f t="shared" si="362"/>
        <v>591.64815932460897</v>
      </c>
      <c r="FH132" s="803">
        <f t="shared" si="362"/>
        <v>895.51751512356009</v>
      </c>
      <c r="FI132" s="803">
        <f t="shared" si="362"/>
        <v>1132.3785514169017</v>
      </c>
    </row>
    <row r="133" spans="1:165" x14ac:dyDescent="0.3">
      <c r="A133" s="187" t="s">
        <v>104</v>
      </c>
      <c r="DU133" s="76">
        <f>+DU80</f>
        <v>260</v>
      </c>
      <c r="DV133" s="76">
        <f>+DV80</f>
        <v>260</v>
      </c>
      <c r="DW133" s="76">
        <f>+DW80</f>
        <v>260</v>
      </c>
      <c r="DX133" s="76">
        <f>+DX80</f>
        <v>260</v>
      </c>
      <c r="DY133" s="85">
        <f>+DY132/DY134</f>
        <v>260</v>
      </c>
      <c r="DZ133" s="76">
        <f>+DZ80</f>
        <v>260</v>
      </c>
      <c r="EA133" s="76">
        <f>+EA80</f>
        <v>260</v>
      </c>
      <c r="EB133" s="76">
        <f>+EB80</f>
        <v>260</v>
      </c>
      <c r="EC133" s="76">
        <f>+EC80</f>
        <v>260</v>
      </c>
      <c r="ED133" s="85">
        <f>+ED132/ED134</f>
        <v>260</v>
      </c>
      <c r="EE133" s="76">
        <f>+EE80</f>
        <v>260</v>
      </c>
      <c r="EF133" s="76">
        <f>+EF80</f>
        <v>188.51599999999999</v>
      </c>
      <c r="EG133" s="76">
        <f>+EG80</f>
        <v>244.40299999999999</v>
      </c>
      <c r="EH133" s="76">
        <f>+EH80</f>
        <v>244.30799999999999</v>
      </c>
      <c r="EI133" s="85">
        <f>+EI132/EI134</f>
        <v>263.53930478237436</v>
      </c>
      <c r="EJ133" s="76">
        <f>+EJ80</f>
        <v>244.43299999999999</v>
      </c>
      <c r="EK133" s="76">
        <f>+EK80</f>
        <v>244.72300000000001</v>
      </c>
      <c r="EL133" s="76">
        <f>+EL80</f>
        <v>244.98400000000001</v>
      </c>
      <c r="EM133" s="76">
        <f>+EM80</f>
        <v>245.01</v>
      </c>
      <c r="EN133" s="85">
        <f>+EN132/EN134</f>
        <v>244.94702091075703</v>
      </c>
      <c r="EO133" s="76">
        <f>+EO80</f>
        <v>245.08099999999999</v>
      </c>
      <c r="EP133" s="76">
        <f>+EP80</f>
        <v>245.47399999999999</v>
      </c>
      <c r="EQ133" s="76">
        <f>+EQ80</f>
        <v>245.761</v>
      </c>
      <c r="ER133" s="76">
        <f>+ER80</f>
        <v>245.79900000000001</v>
      </c>
      <c r="ES133" s="85">
        <f>+ES132/ES134</f>
        <v>245.36271849066938</v>
      </c>
      <c r="ET133" s="76">
        <f>+ET80</f>
        <v>246.30099999999999</v>
      </c>
      <c r="EU133" s="76">
        <f>+EU80</f>
        <v>248.75399999999999</v>
      </c>
      <c r="EV133" s="76">
        <f>+EV80</f>
        <v>248.98599999999999</v>
      </c>
      <c r="EW133" s="76">
        <f>+EW80</f>
        <v>248.185</v>
      </c>
      <c r="EX133" s="85">
        <f>+EX132/EX134</f>
        <v>247.50268756455239</v>
      </c>
      <c r="EY133" s="76">
        <f t="shared" ref="EY133:FB133" si="363">+EY80</f>
        <v>245.02099999999999</v>
      </c>
      <c r="EZ133" s="76">
        <f t="shared" si="363"/>
        <v>245.02099999999999</v>
      </c>
      <c r="FA133" s="76">
        <f t="shared" si="363"/>
        <v>245.02099999999999</v>
      </c>
      <c r="FB133" s="76">
        <f t="shared" si="363"/>
        <v>245.02099999999999</v>
      </c>
      <c r="FC133" s="85">
        <f>+FC132/FC134</f>
        <v>245.02099999999999</v>
      </c>
      <c r="FD133" s="76">
        <f t="shared" ref="FD133:FI133" si="364">+FD80</f>
        <v>245.02099999999999</v>
      </c>
      <c r="FE133" s="76">
        <f t="shared" si="364"/>
        <v>245.02099999999999</v>
      </c>
      <c r="FF133" s="76">
        <f t="shared" si="364"/>
        <v>245.02099999999999</v>
      </c>
      <c r="FG133" s="76">
        <f t="shared" si="364"/>
        <v>245.02099999999999</v>
      </c>
      <c r="FH133" s="76">
        <f t="shared" si="364"/>
        <v>235.11806317073439</v>
      </c>
      <c r="FI133" s="76">
        <f t="shared" si="364"/>
        <v>202.70755526989461</v>
      </c>
    </row>
    <row r="134" spans="1:165" ht="12.5" thickBot="1" x14ac:dyDescent="0.35">
      <c r="A134" s="186" t="s">
        <v>105</v>
      </c>
      <c r="DU134" s="188">
        <f>+DU132/DU133</f>
        <v>-8.8461538461538466E-2</v>
      </c>
      <c r="DV134" s="188">
        <f>+DV132/DV133</f>
        <v>1.1538461538461537</v>
      </c>
      <c r="DW134" s="188">
        <f>+DW132/DW133</f>
        <v>-0.27692307692307694</v>
      </c>
      <c r="DX134" s="188">
        <f>+DX132/DX133</f>
        <v>0.29615384615384616</v>
      </c>
      <c r="DY134" s="188">
        <f>+SUM(DU134:DX134)</f>
        <v>1.0846153846153845</v>
      </c>
      <c r="DZ134" s="188">
        <f>+DZ132/DZ133</f>
        <v>0.91923076923076918</v>
      </c>
      <c r="EA134" s="188">
        <f>+EA132/EA133</f>
        <v>1.3115384615384615</v>
      </c>
      <c r="EB134" s="188">
        <f>+EB132/EB133</f>
        <v>1.3923076923076922</v>
      </c>
      <c r="EC134" s="188">
        <f>+EC132/EC133</f>
        <v>1.0346153846153847</v>
      </c>
      <c r="ED134" s="188">
        <f>+SUM(DZ134:EC134)</f>
        <v>4.657692307692308</v>
      </c>
      <c r="EE134" s="188">
        <f>+EE132/EE133</f>
        <v>1.1846153846153846</v>
      </c>
      <c r="EF134" s="188">
        <f>+EF132/EF133</f>
        <v>-0.19626981264189777</v>
      </c>
      <c r="EG134" s="188">
        <f>+EG132/EG133</f>
        <v>0.92470223360597048</v>
      </c>
      <c r="EH134" s="188">
        <f>+EH132/EH133</f>
        <v>-0.37248063919314967</v>
      </c>
      <c r="EI134" s="188">
        <f>+SUM(EE134:EH134)</f>
        <v>1.5405671663863076</v>
      </c>
      <c r="EJ134" s="188">
        <f>+EJ132/EJ133</f>
        <v>0.33137915093297549</v>
      </c>
      <c r="EK134" s="188">
        <f>+EK132/EK133</f>
        <v>-1.6835360795675109</v>
      </c>
      <c r="EL134" s="188">
        <f>+EL132/EL133</f>
        <v>-1.9919668223230904</v>
      </c>
      <c r="EM134" s="188">
        <f>+EM132/EM133</f>
        <v>-2.1141994204318193</v>
      </c>
      <c r="EN134" s="188">
        <f>+SUM(EJ134:EM134)</f>
        <v>-5.4583231713894449</v>
      </c>
      <c r="EO134" s="188">
        <f>+EO132/EO133</f>
        <v>-3.1214170009099034</v>
      </c>
      <c r="EP134" s="188">
        <f>+EP132/EP133</f>
        <v>-3.1815996806179068</v>
      </c>
      <c r="EQ134" s="188">
        <f>+EQ132/EQ133</f>
        <v>-1.1718702316478204</v>
      </c>
      <c r="ER134" s="188">
        <f>+ER132/ER133</f>
        <v>-0.13425603847045756</v>
      </c>
      <c r="ES134" s="188">
        <f>+SUM(EO134:ER134)</f>
        <v>-7.6091429516460876</v>
      </c>
      <c r="ET134" s="188">
        <f>+ET132/ET133</f>
        <v>-2.9232524431488303</v>
      </c>
      <c r="EU134" s="188">
        <f>+EU132/EU133</f>
        <v>-1.2220909010508374</v>
      </c>
      <c r="EV134" s="188">
        <f>+EV132/EV133</f>
        <v>-0.32531949587527009</v>
      </c>
      <c r="EW134" s="188">
        <f>+EW132/EW133</f>
        <v>-2.1999717952333944</v>
      </c>
      <c r="EX134" s="188">
        <f>+SUM(ET134:EW134)</f>
        <v>-6.6706346353083319</v>
      </c>
      <c r="EY134" s="188">
        <f t="shared" ref="EY134:FB134" si="365">+EY132/EY133</f>
        <v>-1.7753110939481975</v>
      </c>
      <c r="EZ134" s="188">
        <f t="shared" si="365"/>
        <v>-2.1707688536778571</v>
      </c>
      <c r="FA134" s="188">
        <f t="shared" si="365"/>
        <v>-1.6987041885068748</v>
      </c>
      <c r="FB134" s="188">
        <f t="shared" si="365"/>
        <v>-1.857457443330905</v>
      </c>
      <c r="FC134" s="188">
        <f>+SUM(EY134:FB134)</f>
        <v>-7.5022415794638349</v>
      </c>
      <c r="FD134" s="188">
        <f t="shared" ref="FD134:FH134" si="366">+FD132/FD133</f>
        <v>-6.44740048855925</v>
      </c>
      <c r="FE134" s="188">
        <f t="shared" si="366"/>
        <v>-0.82693534178905947</v>
      </c>
      <c r="FF134" s="188">
        <f t="shared" si="366"/>
        <v>1.5923984755109761</v>
      </c>
      <c r="FG134" s="188">
        <f t="shared" si="366"/>
        <v>2.4146834733537492</v>
      </c>
      <c r="FH134" s="188">
        <f t="shared" si="366"/>
        <v>3.8087993029836551</v>
      </c>
      <c r="FI134" s="188">
        <f>+FI132/FI133</f>
        <v>5.5862671221563414</v>
      </c>
    </row>
    <row r="135" spans="1:165" ht="12.5" thickTop="1" x14ac:dyDescent="0.3">
      <c r="A135" s="164"/>
      <c r="EO135"/>
      <c r="EP135"/>
      <c r="EQ135"/>
      <c r="ER135"/>
      <c r="ES135" s="90"/>
      <c r="EX135" s="90"/>
      <c r="FC135" s="90"/>
    </row>
    <row r="136" spans="1:165" x14ac:dyDescent="0.3">
      <c r="A136" s="164" t="s">
        <v>106</v>
      </c>
      <c r="DZ136" s="1161">
        <f>Inputs!DZ284</f>
        <v>783</v>
      </c>
      <c r="EA136" s="1161">
        <f>Inputs!EA284</f>
        <v>732</v>
      </c>
      <c r="EB136" s="1161">
        <f>Inputs!EB284</f>
        <v>690</v>
      </c>
      <c r="EC136" s="1161">
        <f>Inputs!EC284</f>
        <v>693</v>
      </c>
      <c r="ED136" s="900">
        <f>SUM(DZ136:EC136)</f>
        <v>2898</v>
      </c>
      <c r="EE136" s="1161">
        <f>Inputs!EE284</f>
        <v>670</v>
      </c>
      <c r="EF136" s="1161">
        <f>Inputs!EF284</f>
        <v>633</v>
      </c>
      <c r="EG136" s="1161">
        <f>Inputs!EG284</f>
        <v>587</v>
      </c>
      <c r="EH136" s="1161">
        <f>Inputs!EH284</f>
        <v>585</v>
      </c>
      <c r="EI136" s="900">
        <f>SUM(EE136:EH136)</f>
        <v>2475</v>
      </c>
      <c r="EJ136" s="1161">
        <f>Inputs!EJ284</f>
        <v>509</v>
      </c>
      <c r="EK136" s="1161">
        <f>Inputs!EK284</f>
        <v>535</v>
      </c>
      <c r="EL136" s="1161">
        <f>Inputs!EL284</f>
        <v>508</v>
      </c>
      <c r="EM136" s="1161">
        <f>Inputs!EM284</f>
        <v>528</v>
      </c>
      <c r="EN136" s="900">
        <f>SUM(EJ136:EM136)</f>
        <v>2080</v>
      </c>
      <c r="EO136" s="1161">
        <f>Inputs!EO284</f>
        <v>519</v>
      </c>
      <c r="EP136" s="1161">
        <f>Inputs!EP284</f>
        <v>533</v>
      </c>
      <c r="EQ136" s="1161">
        <f>Inputs!EQ284</f>
        <v>526</v>
      </c>
      <c r="ER136" s="1161">
        <f>Inputs!ER284</f>
        <v>549</v>
      </c>
      <c r="ES136" s="900">
        <f>SUM(EO136:ER136)</f>
        <v>2127</v>
      </c>
      <c r="ET136" s="1161">
        <f>Inputs!ET284</f>
        <v>547</v>
      </c>
      <c r="EU136" s="1161">
        <f>Inputs!EU284</f>
        <v>560</v>
      </c>
      <c r="EV136" s="1161">
        <f>Inputs!EV284</f>
        <v>549</v>
      </c>
      <c r="EW136" s="1161">
        <f>Inputs!EW284</f>
        <v>595</v>
      </c>
      <c r="EX136" s="900">
        <f>SUM(ET136:EW136)</f>
        <v>2251</v>
      </c>
      <c r="EY136" s="885">
        <f t="shared" ref="EY136:FB136" si="367">EY48</f>
        <v>557.00673078298382</v>
      </c>
      <c r="EZ136" s="885">
        <f t="shared" si="367"/>
        <v>593.66919939607885</v>
      </c>
      <c r="FA136" s="885">
        <f t="shared" si="367"/>
        <v>600.75639092527183</v>
      </c>
      <c r="FB136" s="885">
        <f t="shared" si="367"/>
        <v>665.02227580736007</v>
      </c>
      <c r="FC136" s="900">
        <f>SUM(EY136:FB136)</f>
        <v>2416.4545969116944</v>
      </c>
      <c r="FD136" s="885">
        <f t="shared" ref="FD136:FI136" si="368">FD48</f>
        <v>2677.0130389762598</v>
      </c>
      <c r="FE136" s="885">
        <f t="shared" si="368"/>
        <v>2993.8763244864958</v>
      </c>
      <c r="FF136" s="885">
        <f t="shared" si="368"/>
        <v>3272.0038286472327</v>
      </c>
      <c r="FG136" s="885">
        <f t="shared" si="368"/>
        <v>3533.6794470944578</v>
      </c>
      <c r="FH136" s="885">
        <f t="shared" si="368"/>
        <v>3778.5031908761971</v>
      </c>
      <c r="FI136" s="885">
        <f t="shared" si="368"/>
        <v>4001.9646887265144</v>
      </c>
    </row>
    <row r="137" spans="1:165" x14ac:dyDescent="0.3">
      <c r="A137" s="164" t="s">
        <v>51</v>
      </c>
      <c r="DZ137" s="1161">
        <f>Inputs!DZ285</f>
        <v>-23</v>
      </c>
      <c r="EA137" s="1161">
        <f>Inputs!EA285</f>
        <v>-23</v>
      </c>
      <c r="EB137" s="1161">
        <f>Inputs!EB285</f>
        <v>-24</v>
      </c>
      <c r="EC137" s="1161">
        <f>Inputs!EC285</f>
        <v>-20</v>
      </c>
      <c r="ED137" s="900">
        <f t="shared" ref="ED137:ED142" si="369">SUM(DZ137:EC137)</f>
        <v>-90</v>
      </c>
      <c r="EE137" s="1161">
        <f>Inputs!EE285</f>
        <v>-23</v>
      </c>
      <c r="EF137" s="1161">
        <f>Inputs!EF285</f>
        <v>-21</v>
      </c>
      <c r="EG137" s="1161">
        <f>Inputs!EG285</f>
        <v>-18</v>
      </c>
      <c r="EH137" s="1161">
        <f>Inputs!EH285</f>
        <v>-19</v>
      </c>
      <c r="EI137" s="900">
        <f t="shared" ref="EI137:EI142" si="370">SUM(EE137:EH137)</f>
        <v>-81</v>
      </c>
      <c r="EJ137" s="1161">
        <f>Inputs!EJ285</f>
        <v>-37</v>
      </c>
      <c r="EK137" s="1161">
        <f>Inputs!EK285</f>
        <v>-50</v>
      </c>
      <c r="EL137" s="1161">
        <f>Inputs!EL285</f>
        <v>-104</v>
      </c>
      <c r="EM137" s="1161">
        <f>Inputs!EM285</f>
        <v>-10</v>
      </c>
      <c r="EN137" s="900">
        <f t="shared" ref="EN137:EN142" si="371">SUM(EJ137:EM137)</f>
        <v>-201</v>
      </c>
      <c r="EO137" s="1161">
        <f>Inputs!EO285</f>
        <v>-11</v>
      </c>
      <c r="EP137" s="1161">
        <f>Inputs!EP285</f>
        <v>-11</v>
      </c>
      <c r="EQ137" s="1161">
        <f>Inputs!EQ285</f>
        <v>-9</v>
      </c>
      <c r="ER137" s="1161">
        <f>Inputs!ER285</f>
        <v>-10</v>
      </c>
      <c r="ES137" s="900">
        <f t="shared" ref="ES137:ES142" si="372">SUM(EO137:ER137)</f>
        <v>-41</v>
      </c>
      <c r="ET137" s="1161">
        <f>Inputs!ET285</f>
        <v>-9</v>
      </c>
      <c r="EU137" s="1161">
        <f>Inputs!EU285</f>
        <v>-9</v>
      </c>
      <c r="EV137" s="1161">
        <f>Inputs!EV285</f>
        <v>-8</v>
      </c>
      <c r="EW137" s="1161">
        <f>Inputs!EW285</f>
        <v>-10</v>
      </c>
      <c r="EX137" s="900">
        <f t="shared" ref="EX137:EX142" si="373">SUM(ET137:EW137)</f>
        <v>-36</v>
      </c>
      <c r="EY137" s="885">
        <f t="shared" ref="EY137:FB137" si="374">-EY67+EY104</f>
        <v>14.420468009478668</v>
      </c>
      <c r="EZ137" s="885">
        <f t="shared" si="374"/>
        <v>-110.89784688995218</v>
      </c>
      <c r="FA137" s="885">
        <f t="shared" si="374"/>
        <v>14.154947916666686</v>
      </c>
      <c r="FB137" s="885">
        <f t="shared" si="374"/>
        <v>-112.48284850230419</v>
      </c>
      <c r="FC137" s="900">
        <f t="shared" ref="FC137:FC142" si="375">SUM(EY137:FB137)</f>
        <v>-194.80527946611102</v>
      </c>
      <c r="FD137" s="885">
        <f t="shared" ref="FD137:FI137" si="376">-FD67+FD104</f>
        <v>-202.4648050257731</v>
      </c>
      <c r="FE137" s="885">
        <f t="shared" si="376"/>
        <v>-204.66913434991227</v>
      </c>
      <c r="FF137" s="885">
        <f t="shared" si="376"/>
        <v>-205.61405938234793</v>
      </c>
      <c r="FG137" s="885">
        <f t="shared" si="376"/>
        <v>-205.62280524548464</v>
      </c>
      <c r="FH137" s="885">
        <f t="shared" si="376"/>
        <v>-204.31896900065442</v>
      </c>
      <c r="FI137" s="885">
        <f t="shared" si="376"/>
        <v>-204.66236851010058</v>
      </c>
    </row>
    <row r="138" spans="1:165" x14ac:dyDescent="0.3">
      <c r="A138" s="164" t="s">
        <v>107</v>
      </c>
      <c r="DZ138" s="1161">
        <f>Inputs!DZ286</f>
        <v>-163</v>
      </c>
      <c r="EA138" s="1161">
        <f>Inputs!EA286</f>
        <v>-264</v>
      </c>
      <c r="EB138" s="1161">
        <f>Inputs!EB286</f>
        <v>-121</v>
      </c>
      <c r="EC138" s="1161">
        <f>Inputs!EC286</f>
        <v>-64</v>
      </c>
      <c r="ED138" s="900">
        <f t="shared" si="369"/>
        <v>-612</v>
      </c>
      <c r="EE138" s="1161">
        <f>Inputs!EE286</f>
        <v>-40</v>
      </c>
      <c r="EF138" s="1161">
        <f>Inputs!EF286</f>
        <v>-128</v>
      </c>
      <c r="EG138" s="1161">
        <f>Inputs!EG286</f>
        <v>-37</v>
      </c>
      <c r="EH138" s="1161">
        <f>Inputs!EH286</f>
        <v>-160</v>
      </c>
      <c r="EI138" s="900">
        <f t="shared" si="370"/>
        <v>-365</v>
      </c>
      <c r="EJ138" s="1161">
        <f>Inputs!EJ286</f>
        <v>-36</v>
      </c>
      <c r="EK138" s="1161">
        <f>Inputs!EK286</f>
        <v>-162</v>
      </c>
      <c r="EL138" s="1161">
        <f>Inputs!EL286</f>
        <v>-88</v>
      </c>
      <c r="EM138" s="1161">
        <f>Inputs!EM286</f>
        <v>-226</v>
      </c>
      <c r="EN138" s="900">
        <f t="shared" si="371"/>
        <v>-512</v>
      </c>
      <c r="EO138" s="1161">
        <f>Inputs!EO286</f>
        <v>-83</v>
      </c>
      <c r="EP138" s="1161">
        <f>Inputs!EP286</f>
        <v>-231</v>
      </c>
      <c r="EQ138" s="1161">
        <f>Inputs!EQ286</f>
        <v>-135</v>
      </c>
      <c r="ER138" s="1161">
        <f>Inputs!ER286</f>
        <v>-262</v>
      </c>
      <c r="ES138" s="900">
        <f t="shared" si="372"/>
        <v>-711</v>
      </c>
      <c r="ET138" s="1161">
        <f>Inputs!ET286</f>
        <v>-149</v>
      </c>
      <c r="EU138" s="1161">
        <f>Inputs!EU286</f>
        <v>-263</v>
      </c>
      <c r="EV138" s="1161">
        <f>Inputs!EV286</f>
        <v>-153</v>
      </c>
      <c r="EW138" s="1161">
        <f>Inputs!EW286</f>
        <v>-270</v>
      </c>
      <c r="EX138" s="900">
        <f t="shared" si="373"/>
        <v>-835</v>
      </c>
      <c r="EY138" s="885">
        <f t="shared" ref="EY138:FB138" si="377">-EY209</f>
        <v>-230.70937499999999</v>
      </c>
      <c r="EZ138" s="885">
        <f t="shared" si="377"/>
        <v>-230.70937499999999</v>
      </c>
      <c r="FA138" s="885">
        <f t="shared" si="377"/>
        <v>-230.70937499999999</v>
      </c>
      <c r="FB138" s="885">
        <f t="shared" si="377"/>
        <v>-230.70937499999999</v>
      </c>
      <c r="FC138" s="900">
        <f t="shared" si="375"/>
        <v>-922.83749999999998</v>
      </c>
      <c r="FD138" s="885">
        <f t="shared" ref="FD138:FI138" si="378">-FD209</f>
        <v>-1022.7375</v>
      </c>
      <c r="FE138" s="885">
        <f t="shared" si="378"/>
        <v>-1082.91265</v>
      </c>
      <c r="FF138" s="885">
        <f t="shared" si="378"/>
        <v>-1108.7077999999999</v>
      </c>
      <c r="FG138" s="885">
        <f t="shared" si="378"/>
        <v>-1108.9465499999999</v>
      </c>
      <c r="FH138" s="885">
        <f t="shared" si="378"/>
        <v>-1073.3536189670058</v>
      </c>
      <c r="FI138" s="885">
        <f t="shared" si="378"/>
        <v>-1082.7279519056276</v>
      </c>
    </row>
    <row r="139" spans="1:165" x14ac:dyDescent="0.3">
      <c r="A139" s="164" t="s">
        <v>108</v>
      </c>
      <c r="DZ139" s="1161">
        <f>Inputs!DZ287</f>
        <v>-1</v>
      </c>
      <c r="EA139" s="1161">
        <f>Inputs!EA287</f>
        <v>0</v>
      </c>
      <c r="EB139" s="1161">
        <f>Inputs!EB287</f>
        <v>-5</v>
      </c>
      <c r="EC139" s="1161">
        <f>Inputs!EC287</f>
        <v>-2</v>
      </c>
      <c r="ED139" s="900">
        <f t="shared" si="369"/>
        <v>-8</v>
      </c>
      <c r="EE139" s="1161">
        <f>Inputs!EE287</f>
        <v>0</v>
      </c>
      <c r="EF139" s="1161">
        <f>Inputs!EF287</f>
        <v>-33</v>
      </c>
      <c r="EG139" s="1161">
        <f>Inputs!EG287</f>
        <v>-3</v>
      </c>
      <c r="EH139" s="1161">
        <f>Inputs!EH287</f>
        <v>-1</v>
      </c>
      <c r="EI139" s="900">
        <f t="shared" si="370"/>
        <v>-37</v>
      </c>
      <c r="EJ139" s="1161">
        <f>Inputs!EJ287</f>
        <v>-2</v>
      </c>
      <c r="EK139" s="1161">
        <f>Inputs!EK287</f>
        <v>-7</v>
      </c>
      <c r="EL139" s="1161">
        <f>Inputs!EL287</f>
        <v>2</v>
      </c>
      <c r="EM139" s="1161">
        <f>Inputs!EM287</f>
        <v>-1</v>
      </c>
      <c r="EN139" s="900">
        <f t="shared" si="371"/>
        <v>-8</v>
      </c>
      <c r="EO139" s="1161">
        <f>Inputs!EO287</f>
        <v>-5</v>
      </c>
      <c r="EP139" s="1161">
        <f>Inputs!EP287</f>
        <v>4</v>
      </c>
      <c r="EQ139" s="1161">
        <f>Inputs!EQ287</f>
        <v>0</v>
      </c>
      <c r="ER139" s="1161">
        <f>Inputs!ER287</f>
        <v>1</v>
      </c>
      <c r="ES139" s="900">
        <f t="shared" si="372"/>
        <v>0</v>
      </c>
      <c r="ET139" s="1161">
        <f>Inputs!ET287</f>
        <v>-13</v>
      </c>
      <c r="EU139" s="1161">
        <f>Inputs!EU287</f>
        <v>-4</v>
      </c>
      <c r="EV139" s="1161">
        <f>Inputs!EV287</f>
        <v>-1</v>
      </c>
      <c r="EW139" s="1161">
        <f>Inputs!EW287</f>
        <v>2</v>
      </c>
      <c r="EX139" s="900">
        <f t="shared" si="373"/>
        <v>-16</v>
      </c>
      <c r="EY139" s="885">
        <f t="shared" ref="EY139:FB139" si="379">-EY166</f>
        <v>-5</v>
      </c>
      <c r="EZ139" s="885">
        <f t="shared" si="379"/>
        <v>-5</v>
      </c>
      <c r="FA139" s="885">
        <f t="shared" si="379"/>
        <v>-5</v>
      </c>
      <c r="FB139" s="885">
        <f t="shared" si="379"/>
        <v>-5</v>
      </c>
      <c r="FC139" s="900">
        <f t="shared" si="375"/>
        <v>-20</v>
      </c>
      <c r="FD139" s="885">
        <f t="shared" ref="FD139:FI139" si="380">-FD166</f>
        <v>-20</v>
      </c>
      <c r="FE139" s="885">
        <f t="shared" si="380"/>
        <v>-20</v>
      </c>
      <c r="FF139" s="885">
        <f t="shared" si="380"/>
        <v>-20</v>
      </c>
      <c r="FG139" s="885">
        <f t="shared" si="380"/>
        <v>-20</v>
      </c>
      <c r="FH139" s="885">
        <f t="shared" si="380"/>
        <v>-20</v>
      </c>
      <c r="FI139" s="885">
        <f t="shared" si="380"/>
        <v>-20</v>
      </c>
    </row>
    <row r="140" spans="1:165" x14ac:dyDescent="0.3">
      <c r="A140" s="164" t="s">
        <v>34</v>
      </c>
      <c r="DZ140" s="1161">
        <f>Inputs!DZ288</f>
        <v>-71</v>
      </c>
      <c r="EA140" s="1161">
        <f>Inputs!EA288</f>
        <v>121</v>
      </c>
      <c r="EB140" s="1161">
        <f>Inputs!EB288</f>
        <v>136</v>
      </c>
      <c r="EC140" s="1161">
        <f>Inputs!EC288</f>
        <v>18</v>
      </c>
      <c r="ED140" s="900">
        <f t="shared" si="369"/>
        <v>204</v>
      </c>
      <c r="EE140" s="1161">
        <f>Inputs!EE288</f>
        <v>85</v>
      </c>
      <c r="EF140" s="1161">
        <f>Inputs!EF288</f>
        <v>-103</v>
      </c>
      <c r="EG140" s="1161">
        <f>Inputs!EG288</f>
        <v>82</v>
      </c>
      <c r="EH140" s="1161">
        <f>Inputs!EH288</f>
        <v>65</v>
      </c>
      <c r="EI140" s="900">
        <f t="shared" si="370"/>
        <v>129</v>
      </c>
      <c r="EJ140" s="1161">
        <f>Inputs!EJ288</f>
        <v>148</v>
      </c>
      <c r="EK140" s="1161">
        <f>Inputs!EK288</f>
        <v>-57</v>
      </c>
      <c r="EL140" s="1161">
        <f>Inputs!EL288</f>
        <v>-30</v>
      </c>
      <c r="EM140" s="1161">
        <f>Inputs!EM288</f>
        <v>80</v>
      </c>
      <c r="EN140" s="900">
        <f t="shared" si="371"/>
        <v>141</v>
      </c>
      <c r="EO140" s="1161">
        <f>Inputs!EO288</f>
        <v>-23</v>
      </c>
      <c r="EP140" s="1161">
        <f>Inputs!EP288</f>
        <v>5</v>
      </c>
      <c r="EQ140" s="1161">
        <f>Inputs!EQ288</f>
        <v>17</v>
      </c>
      <c r="ER140" s="1161">
        <f>Inputs!ER288</f>
        <v>43</v>
      </c>
      <c r="ES140" s="900">
        <f t="shared" si="372"/>
        <v>42</v>
      </c>
      <c r="ET140" s="1161">
        <f>Inputs!ET288</f>
        <v>-33</v>
      </c>
      <c r="EU140" s="1161">
        <f>Inputs!EU288</f>
        <v>116</v>
      </c>
      <c r="EV140" s="1161">
        <f>Inputs!EV288</f>
        <v>259</v>
      </c>
      <c r="EW140" s="1161">
        <f>Inputs!EW288</f>
        <v>13</v>
      </c>
      <c r="EX140" s="900">
        <f t="shared" si="373"/>
        <v>355</v>
      </c>
      <c r="EY140" s="885">
        <f t="shared" ref="EY140:FB140" si="381">EY143-SUM(EY136:EY139,EY141:EY142)</f>
        <v>19.245912322274876</v>
      </c>
      <c r="EZ140" s="885">
        <f t="shared" si="381"/>
        <v>17.163726076555037</v>
      </c>
      <c r="FA140" s="885">
        <f t="shared" si="381"/>
        <v>20.010286458333383</v>
      </c>
      <c r="FB140" s="885">
        <f t="shared" si="381"/>
        <v>21.00947580645169</v>
      </c>
      <c r="FC140" s="900">
        <f t="shared" si="375"/>
        <v>77.429400663614985</v>
      </c>
      <c r="FD140" s="885">
        <f t="shared" ref="FD140:FI140" si="382">FD143-SUM(FD136:FD139,FD141:FD142)</f>
        <v>70.909171209669694</v>
      </c>
      <c r="FE140" s="885">
        <f t="shared" si="382"/>
        <v>62.110520579784634</v>
      </c>
      <c r="FF140" s="885">
        <f t="shared" si="382"/>
        <v>63.59000296918498</v>
      </c>
      <c r="FG140" s="885">
        <f t="shared" si="382"/>
        <v>63.603696489883077</v>
      </c>
      <c r="FH140" s="885">
        <f t="shared" si="382"/>
        <v>61.562261776364721</v>
      </c>
      <c r="FI140" s="885">
        <f t="shared" si="382"/>
        <v>62.099927209403177</v>
      </c>
    </row>
    <row r="141" spans="1:165" x14ac:dyDescent="0.3">
      <c r="A141" s="164" t="s">
        <v>109</v>
      </c>
      <c r="DZ141" s="1161">
        <f>Inputs!DZ289</f>
        <v>0</v>
      </c>
      <c r="EA141" s="1161">
        <f>Inputs!EA289</f>
        <v>-57</v>
      </c>
      <c r="EB141" s="1161">
        <f>Inputs!EB289</f>
        <v>-131</v>
      </c>
      <c r="EC141" s="1161">
        <f>Inputs!EC289</f>
        <v>-128</v>
      </c>
      <c r="ED141" s="900">
        <f t="shared" si="369"/>
        <v>-316</v>
      </c>
      <c r="EE141" s="1161">
        <f>Inputs!EE289</f>
        <v>-25</v>
      </c>
      <c r="EF141" s="1161">
        <f>Inputs!EF289</f>
        <v>-1271</v>
      </c>
      <c r="EG141" s="1161">
        <f>Inputs!EG289</f>
        <v>0</v>
      </c>
      <c r="EH141" s="1161">
        <f>Inputs!EH289</f>
        <v>0</v>
      </c>
      <c r="EI141" s="900">
        <f t="shared" si="370"/>
        <v>-1296</v>
      </c>
      <c r="EJ141" s="1161">
        <f>Inputs!EJ289</f>
        <v>0</v>
      </c>
      <c r="EK141" s="1161">
        <f>Inputs!EK289</f>
        <v>0</v>
      </c>
      <c r="EL141" s="1161">
        <f>Inputs!EL289</f>
        <v>0</v>
      </c>
      <c r="EM141" s="1161">
        <f>Inputs!EM289</f>
        <v>0</v>
      </c>
      <c r="EN141" s="900">
        <f t="shared" si="371"/>
        <v>0</v>
      </c>
      <c r="EO141" s="1161">
        <f>Inputs!EO289</f>
        <v>0</v>
      </c>
      <c r="EP141" s="1161">
        <f>Inputs!EP289</f>
        <v>0</v>
      </c>
      <c r="EQ141" s="1161">
        <f>Inputs!EQ289</f>
        <v>0</v>
      </c>
      <c r="ER141" s="1161">
        <f>Inputs!ER289</f>
        <v>0</v>
      </c>
      <c r="ES141" s="900">
        <f t="shared" si="372"/>
        <v>0</v>
      </c>
      <c r="ET141" s="1161">
        <f>Inputs!ET289</f>
        <v>0</v>
      </c>
      <c r="EU141" s="1161">
        <f>Inputs!EU289</f>
        <v>0</v>
      </c>
      <c r="EV141" s="1161">
        <f>Inputs!EV289</f>
        <v>0</v>
      </c>
      <c r="EW141" s="1161">
        <f>Inputs!EW289</f>
        <v>0</v>
      </c>
      <c r="EX141" s="900">
        <f t="shared" si="373"/>
        <v>0</v>
      </c>
      <c r="EY141" s="885">
        <v>0</v>
      </c>
      <c r="EZ141" s="885">
        <v>0</v>
      </c>
      <c r="FA141" s="885">
        <v>0</v>
      </c>
      <c r="FB141" s="885">
        <v>0</v>
      </c>
      <c r="FC141" s="900">
        <f t="shared" si="375"/>
        <v>0</v>
      </c>
      <c r="FD141" s="885">
        <v>0</v>
      </c>
      <c r="FE141" s="885">
        <v>0</v>
      </c>
      <c r="FF141" s="885">
        <v>0</v>
      </c>
      <c r="FG141" s="885">
        <v>0</v>
      </c>
      <c r="FH141" s="885">
        <v>0</v>
      </c>
      <c r="FI141" s="885">
        <v>0</v>
      </c>
    </row>
    <row r="142" spans="1:165" x14ac:dyDescent="0.3">
      <c r="A142" s="164" t="s">
        <v>110</v>
      </c>
      <c r="DZ142" s="1110">
        <f>Inputs!DZ290</f>
        <v>-48</v>
      </c>
      <c r="EA142" s="1110">
        <f>Inputs!EA290</f>
        <v>-36</v>
      </c>
      <c r="EB142" s="1110">
        <f>Inputs!EB290</f>
        <v>-3</v>
      </c>
      <c r="EC142" s="1110">
        <f>Inputs!EC290</f>
        <v>0</v>
      </c>
      <c r="ED142" s="1111">
        <f t="shared" si="369"/>
        <v>-87</v>
      </c>
      <c r="EE142" s="1110">
        <f>Inputs!EE290</f>
        <v>-2</v>
      </c>
      <c r="EF142" s="1110">
        <f>Inputs!EF290</f>
        <v>-16</v>
      </c>
      <c r="EG142" s="1110">
        <f>Inputs!EG290</f>
        <v>-8</v>
      </c>
      <c r="EH142" s="1110">
        <f>Inputs!EH290</f>
        <v>-2</v>
      </c>
      <c r="EI142" s="1111">
        <f t="shared" si="370"/>
        <v>-28</v>
      </c>
      <c r="EJ142" s="1110">
        <f>Inputs!EJ290</f>
        <v>-54</v>
      </c>
      <c r="EK142" s="1110">
        <f>Inputs!EK290</f>
        <v>-30</v>
      </c>
      <c r="EL142" s="1110">
        <f>Inputs!EL290</f>
        <v>-4</v>
      </c>
      <c r="EM142" s="1110">
        <f>Inputs!EM290</f>
        <v>-11</v>
      </c>
      <c r="EN142" s="1111">
        <f t="shared" si="371"/>
        <v>-99</v>
      </c>
      <c r="EO142" s="1110">
        <f>Inputs!EO290</f>
        <v>-8</v>
      </c>
      <c r="EP142" s="1110">
        <f>Inputs!EP290</f>
        <v>-24</v>
      </c>
      <c r="EQ142" s="1110">
        <f>Inputs!EQ290</f>
        <v>-16</v>
      </c>
      <c r="ER142" s="1110">
        <f>Inputs!ER290</f>
        <v>-25</v>
      </c>
      <c r="ES142" s="1111">
        <f t="shared" si="372"/>
        <v>-73</v>
      </c>
      <c r="ET142" s="1110">
        <f>Inputs!ET290</f>
        <v>-34</v>
      </c>
      <c r="EU142" s="1110">
        <f>Inputs!EU290</f>
        <v>-26</v>
      </c>
      <c r="EV142" s="1110">
        <f>Inputs!EV290</f>
        <v>-28</v>
      </c>
      <c r="EW142" s="1110">
        <f>Inputs!EW290</f>
        <v>-36</v>
      </c>
      <c r="EX142" s="1111">
        <f t="shared" si="373"/>
        <v>-124</v>
      </c>
      <c r="EY142" s="901">
        <v>0</v>
      </c>
      <c r="EZ142" s="901">
        <v>0</v>
      </c>
      <c r="FA142" s="901">
        <v>0</v>
      </c>
      <c r="FB142" s="901">
        <v>0</v>
      </c>
      <c r="FC142" s="1111">
        <f t="shared" si="375"/>
        <v>0</v>
      </c>
      <c r="FD142" s="901">
        <v>0</v>
      </c>
      <c r="FE142" s="901">
        <v>0</v>
      </c>
      <c r="FF142" s="901">
        <v>0</v>
      </c>
      <c r="FG142" s="901">
        <v>0</v>
      </c>
      <c r="FH142" s="901">
        <v>0</v>
      </c>
      <c r="FI142" s="901">
        <v>0</v>
      </c>
    </row>
    <row r="143" spans="1:165" x14ac:dyDescent="0.3">
      <c r="A143" s="1171" t="s">
        <v>111</v>
      </c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90"/>
      <c r="DH143" s="90"/>
      <c r="DI143" s="90"/>
      <c r="DJ143" s="90"/>
      <c r="DK143" s="90"/>
      <c r="DL143" s="90"/>
      <c r="DM143" s="90"/>
      <c r="DN143" s="90"/>
      <c r="DO143" s="90"/>
      <c r="DP143" s="90"/>
      <c r="DQ143" s="90"/>
      <c r="DR143" s="90"/>
      <c r="DS143" s="90"/>
      <c r="DT143" s="90"/>
      <c r="DU143" s="90"/>
      <c r="DV143" s="90"/>
      <c r="DW143" s="90"/>
      <c r="DX143" s="90"/>
      <c r="DZ143" s="900">
        <f>SUM(DZ136:DZ142)</f>
        <v>477</v>
      </c>
      <c r="EA143" s="900">
        <f>SUM(EA136:EA142)</f>
        <v>473</v>
      </c>
      <c r="EB143" s="900">
        <f>SUM(EB136:EB142)</f>
        <v>542</v>
      </c>
      <c r="EC143" s="900">
        <f>SUM(EC136:EC142)</f>
        <v>497</v>
      </c>
      <c r="ED143" s="900">
        <f>SUM(DZ143:EC143)</f>
        <v>1989</v>
      </c>
      <c r="EE143" s="900">
        <f>SUM(EE136:EE142)</f>
        <v>665</v>
      </c>
      <c r="EF143" s="900">
        <f>SUM(EF136:EF142)</f>
        <v>-939</v>
      </c>
      <c r="EG143" s="900">
        <f>SUM(EG136:EG142)</f>
        <v>603</v>
      </c>
      <c r="EH143" s="900">
        <f>SUM(EH136:EH142)</f>
        <v>468</v>
      </c>
      <c r="EI143" s="900">
        <f>SUM(EE143:EH143)</f>
        <v>797</v>
      </c>
      <c r="EJ143" s="900">
        <f>SUM(EJ136:EJ142)</f>
        <v>528</v>
      </c>
      <c r="EK143" s="900">
        <f>SUM(EK136:EK142)</f>
        <v>229</v>
      </c>
      <c r="EL143" s="900">
        <f>SUM(EL136:EL142)</f>
        <v>284</v>
      </c>
      <c r="EM143" s="900">
        <f>SUM(EM136:EM142)</f>
        <v>360</v>
      </c>
      <c r="EN143" s="900">
        <f>SUM(EJ143:EM143)</f>
        <v>1401</v>
      </c>
      <c r="EO143" s="900">
        <f>SUM(EO136:EO142)</f>
        <v>389</v>
      </c>
      <c r="EP143" s="900">
        <f>SUM(EP136:EP142)</f>
        <v>276</v>
      </c>
      <c r="EQ143" s="900">
        <f>SUM(EQ136:EQ142)</f>
        <v>383</v>
      </c>
      <c r="ER143" s="900">
        <f>SUM(ER136:ER142)</f>
        <v>296</v>
      </c>
      <c r="ES143" s="900">
        <f>SUM(EO143:ER143)</f>
        <v>1344</v>
      </c>
      <c r="ET143" s="900">
        <f>SUM(ET136:ET142)</f>
        <v>309</v>
      </c>
      <c r="EU143" s="900">
        <f>SUM(EU136:EU142)</f>
        <v>374</v>
      </c>
      <c r="EV143" s="900">
        <f>SUM(EV136:EV142)</f>
        <v>618</v>
      </c>
      <c r="EW143" s="900">
        <f>SUM(EW136:EW142)</f>
        <v>294</v>
      </c>
      <c r="EX143" s="900">
        <f>SUM(ET143:EW143)</f>
        <v>1595</v>
      </c>
      <c r="EY143" s="900">
        <f t="shared" ref="EY143:FB143" si="383">EY105</f>
        <v>354.96373611473734</v>
      </c>
      <c r="EZ143" s="900">
        <f t="shared" si="383"/>
        <v>264.22570358268172</v>
      </c>
      <c r="FA143" s="900">
        <f t="shared" si="383"/>
        <v>399.21225030027182</v>
      </c>
      <c r="FB143" s="900">
        <f t="shared" si="383"/>
        <v>337.83952811150749</v>
      </c>
      <c r="FC143" s="900">
        <f>SUM(EY143:FB143)</f>
        <v>1356.2412181091984</v>
      </c>
      <c r="FD143" s="900">
        <f t="shared" ref="FD143:FI143" si="384">FD105</f>
        <v>1502.7199051601567</v>
      </c>
      <c r="FE143" s="900">
        <f t="shared" si="384"/>
        <v>1748.4050607163681</v>
      </c>
      <c r="FF143" s="900">
        <f t="shared" si="384"/>
        <v>2001.2719722340698</v>
      </c>
      <c r="FG143" s="900">
        <f t="shared" si="384"/>
        <v>2262.7137883388568</v>
      </c>
      <c r="FH143" s="900">
        <f t="shared" si="384"/>
        <v>2542.3928646849017</v>
      </c>
      <c r="FI143" s="900">
        <f t="shared" si="384"/>
        <v>2756.6742955201898</v>
      </c>
    </row>
    <row r="144" spans="1:165" x14ac:dyDescent="0.3">
      <c r="A144" s="187" t="s">
        <v>101</v>
      </c>
      <c r="DZ144" s="1110">
        <f>Inputs!DZ292</f>
        <v>-286</v>
      </c>
      <c r="EA144" s="1110">
        <f>Inputs!EA292</f>
        <v>-225</v>
      </c>
      <c r="EB144" s="1110">
        <f>Inputs!EB292</f>
        <v>-314</v>
      </c>
      <c r="EC144" s="1110">
        <f>Inputs!EC292</f>
        <v>-356</v>
      </c>
      <c r="ED144" s="1111">
        <f>SUM(DZ144:EC144)</f>
        <v>-1181</v>
      </c>
      <c r="EE144" s="1110">
        <f>Inputs!EE292</f>
        <v>-384</v>
      </c>
      <c r="EF144" s="1110">
        <f>Inputs!EF292</f>
        <v>-385</v>
      </c>
      <c r="EG144" s="1110">
        <f>Inputs!EG292</f>
        <v>-377</v>
      </c>
      <c r="EH144" s="1110">
        <f>Inputs!EH292</f>
        <v>-559</v>
      </c>
      <c r="EI144" s="1111">
        <f>SUM(EE144:EH144)</f>
        <v>-1705</v>
      </c>
      <c r="EJ144" s="1110">
        <f>Inputs!EJ292</f>
        <v>-447</v>
      </c>
      <c r="EK144" s="1110">
        <f>Inputs!EK292</f>
        <v>-641</v>
      </c>
      <c r="EL144" s="1110">
        <f>Inputs!EL292</f>
        <v>-772</v>
      </c>
      <c r="EM144" s="1110">
        <f>Inputs!EM292</f>
        <v>-878</v>
      </c>
      <c r="EN144" s="1111">
        <f>SUM(EJ144:EM144)</f>
        <v>-2738</v>
      </c>
      <c r="EO144" s="1110">
        <f>Inputs!EO292</f>
        <v>-1154</v>
      </c>
      <c r="EP144" s="1110">
        <f>Inputs!EP292</f>
        <v>-1057</v>
      </c>
      <c r="EQ144" s="1110">
        <f>Inputs!EQ292</f>
        <v>-671</v>
      </c>
      <c r="ER144" s="1110">
        <f>Inputs!ER292</f>
        <v>-333</v>
      </c>
      <c r="ES144" s="1111">
        <f>SUM(EO144:ER144)</f>
        <v>-3215</v>
      </c>
      <c r="ET144" s="1110">
        <f>Inputs!ET292</f>
        <v>-1029</v>
      </c>
      <c r="EU144" s="1110">
        <f>Inputs!EU292</f>
        <v>-678</v>
      </c>
      <c r="EV144" s="1110">
        <f>Inputs!EV292</f>
        <v>-699</v>
      </c>
      <c r="EW144" s="1110">
        <f>Inputs!EW292</f>
        <v>-840</v>
      </c>
      <c r="EX144" s="1111">
        <f>SUM(ET144:EW144)</f>
        <v>-3246</v>
      </c>
      <c r="EY144" s="901">
        <f t="shared" ref="EY144:FB144" si="385">EY107</f>
        <v>-789.95223566501863</v>
      </c>
      <c r="EZ144" s="901">
        <f t="shared" si="385"/>
        <v>-796.10965887968393</v>
      </c>
      <c r="FA144" s="901">
        <f t="shared" si="385"/>
        <v>-815.43044927241476</v>
      </c>
      <c r="FB144" s="901">
        <f t="shared" si="385"/>
        <v>-792.95560833388913</v>
      </c>
      <c r="FC144" s="1111">
        <f>SUM(EY144:FB144)</f>
        <v>-3194.4479521510066</v>
      </c>
      <c r="FD144" s="901">
        <f t="shared" ref="FD144:FI144" si="386">FD107</f>
        <v>-3082.4684202674325</v>
      </c>
      <c r="FE144" s="901">
        <f t="shared" si="386"/>
        <v>-1951.0215850968652</v>
      </c>
      <c r="FF144" s="901">
        <f t="shared" si="386"/>
        <v>-1611.100905365895</v>
      </c>
      <c r="FG144" s="901">
        <f t="shared" si="386"/>
        <v>-1671.0656290142479</v>
      </c>
      <c r="FH144" s="901">
        <f t="shared" si="386"/>
        <v>-1646.8753495613416</v>
      </c>
      <c r="FI144" s="901">
        <f t="shared" si="386"/>
        <v>-1624.2957441032881</v>
      </c>
    </row>
    <row r="145" spans="1:165" x14ac:dyDescent="0.3">
      <c r="A145" s="186" t="s">
        <v>103</v>
      </c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90"/>
      <c r="DH145" s="90"/>
      <c r="DI145" s="90"/>
      <c r="DJ145" s="90"/>
      <c r="DK145" s="90"/>
      <c r="DL145" s="90"/>
      <c r="DM145" s="90"/>
      <c r="DN145" s="90"/>
      <c r="DO145" s="90"/>
      <c r="DP145" s="90"/>
      <c r="DQ145" s="90"/>
      <c r="DR145" s="90"/>
      <c r="DS145" s="90"/>
      <c r="DT145" s="90"/>
      <c r="DU145" s="90"/>
      <c r="DV145" s="90"/>
      <c r="DW145" s="90"/>
      <c r="DX145" s="90"/>
      <c r="DZ145" s="886">
        <f>SUM(DZ143:DZ144)</f>
        <v>191</v>
      </c>
      <c r="EA145" s="886">
        <f>SUM(EA143:EA144)</f>
        <v>248</v>
      </c>
      <c r="EB145" s="886">
        <f>SUM(EB143:EB144)</f>
        <v>228</v>
      </c>
      <c r="EC145" s="886">
        <f>SUM(EC143:EC144)</f>
        <v>141</v>
      </c>
      <c r="ED145" s="886">
        <f>SUM(DZ145:EC145)</f>
        <v>808</v>
      </c>
      <c r="EE145" s="886">
        <f>SUM(EE143:EE144)</f>
        <v>281</v>
      </c>
      <c r="EF145" s="886">
        <f>SUM(EF143:EF144)</f>
        <v>-1324</v>
      </c>
      <c r="EG145" s="886">
        <f>SUM(EG143:EG144)</f>
        <v>226</v>
      </c>
      <c r="EH145" s="886">
        <f>SUM(EH143:EH144)</f>
        <v>-91</v>
      </c>
      <c r="EI145" s="886">
        <f>SUM(EE145:EH145)</f>
        <v>-908</v>
      </c>
      <c r="EJ145" s="886">
        <f>SUM(EJ143:EJ144)</f>
        <v>81</v>
      </c>
      <c r="EK145" s="886">
        <f>SUM(EK143:EK144)</f>
        <v>-412</v>
      </c>
      <c r="EL145" s="886">
        <f>SUM(EL143:EL144)</f>
        <v>-488</v>
      </c>
      <c r="EM145" s="886">
        <f>SUM(EM143:EM144)</f>
        <v>-518</v>
      </c>
      <c r="EN145" s="886">
        <f>SUM(EJ145:EM145)</f>
        <v>-1337</v>
      </c>
      <c r="EO145" s="886">
        <f>SUM(EO143:EO144)</f>
        <v>-765</v>
      </c>
      <c r="EP145" s="886">
        <f>SUM(EP143:EP144)</f>
        <v>-781</v>
      </c>
      <c r="EQ145" s="886">
        <f>SUM(EQ143:EQ144)</f>
        <v>-288</v>
      </c>
      <c r="ER145" s="886">
        <f>SUM(ER143:ER144)</f>
        <v>-37</v>
      </c>
      <c r="ES145" s="886">
        <f>SUM(EO145:ER145)</f>
        <v>-1871</v>
      </c>
      <c r="ET145" s="886">
        <f>SUM(ET143:ET144)</f>
        <v>-720</v>
      </c>
      <c r="EU145" s="886">
        <f>SUM(EU143:EU144)</f>
        <v>-304</v>
      </c>
      <c r="EV145" s="886">
        <f>SUM(EV143:EV144)</f>
        <v>-81</v>
      </c>
      <c r="EW145" s="886">
        <f>SUM(EW143:EW144)</f>
        <v>-546</v>
      </c>
      <c r="EX145" s="886">
        <f>SUM(ET145:EW145)</f>
        <v>-1651</v>
      </c>
      <c r="EY145" s="886">
        <f t="shared" ref="EY145:FB145" si="387">SUM(EY143:EY144)</f>
        <v>-434.98849955028129</v>
      </c>
      <c r="EZ145" s="886">
        <f t="shared" si="387"/>
        <v>-531.88395529700222</v>
      </c>
      <c r="FA145" s="886">
        <f t="shared" si="387"/>
        <v>-416.21819897214294</v>
      </c>
      <c r="FB145" s="886">
        <f t="shared" si="387"/>
        <v>-455.11608022238164</v>
      </c>
      <c r="FC145" s="886">
        <f>SUM(EY145:FB145)</f>
        <v>-1838.2067340418082</v>
      </c>
      <c r="FD145" s="886">
        <f t="shared" ref="FD145:FI145" si="388">SUM(FD143:FD144)</f>
        <v>-1579.7485151072758</v>
      </c>
      <c r="FE145" s="886">
        <f t="shared" si="388"/>
        <v>-202.61652438049714</v>
      </c>
      <c r="FF145" s="886">
        <f t="shared" si="388"/>
        <v>390.17106686817488</v>
      </c>
      <c r="FG145" s="886">
        <f t="shared" si="388"/>
        <v>591.64815932460897</v>
      </c>
      <c r="FH145" s="886">
        <f t="shared" si="388"/>
        <v>895.51751512356009</v>
      </c>
      <c r="FI145" s="886">
        <f t="shared" si="388"/>
        <v>1132.3785514169017</v>
      </c>
    </row>
    <row r="146" spans="1:165" x14ac:dyDescent="0.3">
      <c r="A146" s="1170" t="s">
        <v>102</v>
      </c>
      <c r="DZ146" s="888">
        <f>DZ147-DZ145</f>
        <v>54</v>
      </c>
      <c r="EA146" s="888">
        <f>EA147-EA145</f>
        <v>99</v>
      </c>
      <c r="EB146" s="888">
        <f>EB147-EB145</f>
        <v>148</v>
      </c>
      <c r="EC146" s="888">
        <f>EC147-EC145</f>
        <v>170</v>
      </c>
      <c r="ED146" s="886">
        <f>SUM(DZ146:EC146)</f>
        <v>471</v>
      </c>
      <c r="EE146" s="888">
        <f>EE147-EE145</f>
        <v>98</v>
      </c>
      <c r="EF146" s="888">
        <f>EF147-EF145</f>
        <v>1386</v>
      </c>
      <c r="EG146" s="888">
        <f>EG147-EG145</f>
        <v>136</v>
      </c>
      <c r="EH146" s="888">
        <f>EH147-EH145</f>
        <v>163</v>
      </c>
      <c r="EI146" s="886">
        <f>SUM(EE146:EH146)</f>
        <v>1783</v>
      </c>
      <c r="EJ146" s="888">
        <f>EJ147-EJ145</f>
        <v>287</v>
      </c>
      <c r="EK146" s="888">
        <f>EK147-EK145</f>
        <v>355</v>
      </c>
      <c r="EL146" s="888">
        <f>EL147-EL145</f>
        <v>446</v>
      </c>
      <c r="EM146" s="888">
        <f>EM147-EM145</f>
        <v>528</v>
      </c>
      <c r="EN146" s="886">
        <f>SUM(EJ146:EM146)</f>
        <v>1616</v>
      </c>
      <c r="EO146" s="888">
        <f>EO147-EO145</f>
        <v>531</v>
      </c>
      <c r="EP146" s="888">
        <f>EP147-EP145</f>
        <v>443</v>
      </c>
      <c r="EQ146" s="888">
        <f>EQ147-EQ145</f>
        <v>159</v>
      </c>
      <c r="ER146" s="888">
        <f>ER147-ER145</f>
        <v>184</v>
      </c>
      <c r="ES146" s="886">
        <f>SUM(EO146:ER146)</f>
        <v>1317</v>
      </c>
      <c r="ET146" s="888">
        <f>ET147-ET145</f>
        <v>266</v>
      </c>
      <c r="EU146" s="888">
        <f>EU147-EU145</f>
        <v>278</v>
      </c>
      <c r="EV146" s="888">
        <f>EV147-EV145</f>
        <v>324</v>
      </c>
      <c r="EW146" s="888">
        <f>EW147-EW145</f>
        <v>273</v>
      </c>
      <c r="EX146" s="886">
        <f>SUM(ET146:EW146)</f>
        <v>1141</v>
      </c>
      <c r="EY146" s="1178">
        <v>0</v>
      </c>
      <c r="EZ146" s="1178">
        <v>0</v>
      </c>
      <c r="FA146" s="1178">
        <v>0</v>
      </c>
      <c r="FB146" s="1178">
        <v>0</v>
      </c>
      <c r="FC146" s="886">
        <f>SUM(EY146:FB146)</f>
        <v>0</v>
      </c>
      <c r="FD146" s="1178">
        <v>0</v>
      </c>
      <c r="FE146" s="1178">
        <v>0</v>
      </c>
      <c r="FF146" s="1178">
        <v>0</v>
      </c>
      <c r="FG146" s="1178">
        <v>0</v>
      </c>
      <c r="FH146" s="1178">
        <v>0</v>
      </c>
      <c r="FI146" s="1178">
        <v>0</v>
      </c>
    </row>
    <row r="147" spans="1:165" x14ac:dyDescent="0.3">
      <c r="A147" s="1171" t="s">
        <v>112</v>
      </c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90"/>
      <c r="DH147" s="90"/>
      <c r="DI147" s="90"/>
      <c r="DJ147" s="90"/>
      <c r="DK147" s="90"/>
      <c r="DL147" s="90"/>
      <c r="DM147" s="90"/>
      <c r="DN147" s="90"/>
      <c r="DO147" s="90"/>
      <c r="DP147" s="90"/>
      <c r="DQ147" s="90"/>
      <c r="DR147" s="90"/>
      <c r="DS147" s="90"/>
      <c r="DT147" s="90"/>
      <c r="DU147" s="90"/>
      <c r="DV147" s="90"/>
      <c r="DW147" s="90"/>
      <c r="DX147" s="90"/>
      <c r="DZ147" s="917">
        <f>Inputs!DZ294</f>
        <v>245</v>
      </c>
      <c r="EA147" s="917">
        <f>Inputs!EA294</f>
        <v>347</v>
      </c>
      <c r="EB147" s="917">
        <f>Inputs!EB294</f>
        <v>376</v>
      </c>
      <c r="EC147" s="917">
        <f>Inputs!EC294</f>
        <v>311</v>
      </c>
      <c r="ED147" s="900">
        <f>SUM(DZ147:EC147)</f>
        <v>1279</v>
      </c>
      <c r="EE147" s="917">
        <f>Inputs!EE294</f>
        <v>379</v>
      </c>
      <c r="EF147" s="917">
        <f>Inputs!EF294</f>
        <v>62</v>
      </c>
      <c r="EG147" s="917">
        <f>Inputs!EG294</f>
        <v>362</v>
      </c>
      <c r="EH147" s="917">
        <f>Inputs!EH294</f>
        <v>72</v>
      </c>
      <c r="EI147" s="900">
        <f>SUM(EE147:EH147)</f>
        <v>875</v>
      </c>
      <c r="EJ147" s="917">
        <f>Inputs!EJ294</f>
        <v>368</v>
      </c>
      <c r="EK147" s="917">
        <f>Inputs!EK294</f>
        <v>-57</v>
      </c>
      <c r="EL147" s="917">
        <f>Inputs!EL294</f>
        <v>-42</v>
      </c>
      <c r="EM147" s="917">
        <f>Inputs!EM294</f>
        <v>10</v>
      </c>
      <c r="EN147" s="900">
        <f>SUM(EJ147:EM147)</f>
        <v>279</v>
      </c>
      <c r="EO147" s="917">
        <f>Inputs!EO294</f>
        <v>-234</v>
      </c>
      <c r="EP147" s="917">
        <f>Inputs!EP294</f>
        <v>-338</v>
      </c>
      <c r="EQ147" s="917">
        <f>Inputs!EQ294</f>
        <v>-129</v>
      </c>
      <c r="ER147" s="917">
        <f>Inputs!ER294</f>
        <v>147</v>
      </c>
      <c r="ES147" s="900">
        <f>SUM(EO147:ER147)</f>
        <v>-554</v>
      </c>
      <c r="ET147" s="917">
        <f>Inputs!ET294</f>
        <v>-454</v>
      </c>
      <c r="EU147" s="917">
        <f>Inputs!EU294</f>
        <v>-26</v>
      </c>
      <c r="EV147" s="917">
        <f>Inputs!EV294</f>
        <v>243</v>
      </c>
      <c r="EW147" s="917">
        <f>Inputs!EW294</f>
        <v>-273</v>
      </c>
      <c r="EX147" s="900">
        <f>SUM(ET147:EW147)</f>
        <v>-510</v>
      </c>
      <c r="EY147" s="900">
        <f t="shared" ref="EY147:FB147" si="389">SUM(EY145:EY146)</f>
        <v>-434.98849955028129</v>
      </c>
      <c r="EZ147" s="900">
        <f t="shared" si="389"/>
        <v>-531.88395529700222</v>
      </c>
      <c r="FA147" s="900">
        <f t="shared" si="389"/>
        <v>-416.21819897214294</v>
      </c>
      <c r="FB147" s="900">
        <f t="shared" si="389"/>
        <v>-455.11608022238164</v>
      </c>
      <c r="FC147" s="900">
        <f>SUM(EY147:FB147)</f>
        <v>-1838.2067340418082</v>
      </c>
      <c r="FD147" s="900">
        <f t="shared" ref="FD147:FI147" si="390">SUM(FD145:FD146)</f>
        <v>-1579.7485151072758</v>
      </c>
      <c r="FE147" s="900">
        <f t="shared" si="390"/>
        <v>-202.61652438049714</v>
      </c>
      <c r="FF147" s="900">
        <f t="shared" si="390"/>
        <v>390.17106686817488</v>
      </c>
      <c r="FG147" s="900">
        <f t="shared" si="390"/>
        <v>591.64815932460897</v>
      </c>
      <c r="FH147" s="900">
        <f t="shared" si="390"/>
        <v>895.51751512356009</v>
      </c>
      <c r="FI147" s="900">
        <f t="shared" si="390"/>
        <v>1132.3785514169017</v>
      </c>
    </row>
    <row r="148" spans="1:165" x14ac:dyDescent="0.3">
      <c r="A148" s="187" t="s">
        <v>104</v>
      </c>
      <c r="DZ148" s="76">
        <f>+DZ80</f>
        <v>260</v>
      </c>
      <c r="EA148" s="76">
        <f>+EA80</f>
        <v>260</v>
      </c>
      <c r="EB148" s="76">
        <f>+EB80</f>
        <v>260</v>
      </c>
      <c r="EC148" s="76">
        <f>+EC80</f>
        <v>260</v>
      </c>
      <c r="ED148" s="85">
        <f>AVERAGE(DZ148:EC148)</f>
        <v>260</v>
      </c>
      <c r="EE148" s="76">
        <f>+EE80</f>
        <v>260</v>
      </c>
      <c r="EF148" s="76">
        <f>+EF80</f>
        <v>188.51599999999999</v>
      </c>
      <c r="EG148" s="76">
        <f>+EG80</f>
        <v>244.40299999999999</v>
      </c>
      <c r="EH148" s="76">
        <f>+EH80</f>
        <v>244.30799999999999</v>
      </c>
      <c r="EI148" s="85">
        <f>AVERAGE(EE148:EH148)</f>
        <v>234.30674999999999</v>
      </c>
      <c r="EJ148" s="76">
        <f>+EJ80</f>
        <v>244.43299999999999</v>
      </c>
      <c r="EK148" s="76">
        <f>+EK80</f>
        <v>244.72300000000001</v>
      </c>
      <c r="EL148" s="76">
        <f>+EL80</f>
        <v>244.98400000000001</v>
      </c>
      <c r="EM148" s="76">
        <f>+EM80</f>
        <v>245.01</v>
      </c>
      <c r="EN148" s="85">
        <f>AVERAGE(EJ148:EM148)</f>
        <v>244.78749999999999</v>
      </c>
      <c r="EO148" s="76">
        <f>+EO80</f>
        <v>245.08099999999999</v>
      </c>
      <c r="EP148" s="76">
        <f>+EP80</f>
        <v>245.47399999999999</v>
      </c>
      <c r="EQ148" s="76">
        <f>+EQ80</f>
        <v>245.761</v>
      </c>
      <c r="ER148" s="76">
        <f>+ER80</f>
        <v>245.79900000000001</v>
      </c>
      <c r="ES148" s="85">
        <f>AVERAGE(EO148:ER148)</f>
        <v>245.52874999999997</v>
      </c>
      <c r="ET148" s="76">
        <f>+ET80</f>
        <v>246.30099999999999</v>
      </c>
      <c r="EU148" s="76">
        <f>+EU80</f>
        <v>248.75399999999999</v>
      </c>
      <c r="EV148" s="76">
        <f>+EV80</f>
        <v>248.98599999999999</v>
      </c>
      <c r="EW148" s="76">
        <f>+EW80</f>
        <v>248.185</v>
      </c>
      <c r="EX148" s="85">
        <f>AVERAGE(ET148:EW148)</f>
        <v>248.05649999999997</v>
      </c>
      <c r="EY148" s="76">
        <f t="shared" ref="EY148:FB148" si="391">+EY80</f>
        <v>245.02099999999999</v>
      </c>
      <c r="EZ148" s="76">
        <f t="shared" si="391"/>
        <v>245.02099999999999</v>
      </c>
      <c r="FA148" s="76">
        <f t="shared" si="391"/>
        <v>245.02099999999999</v>
      </c>
      <c r="FB148" s="76">
        <f t="shared" si="391"/>
        <v>245.02099999999999</v>
      </c>
      <c r="FC148" s="85">
        <f>AVERAGE(EY148:FB148)</f>
        <v>245.02099999999999</v>
      </c>
      <c r="FD148" s="76">
        <f t="shared" ref="FD148:FI148" si="392">+FD80</f>
        <v>245.02099999999999</v>
      </c>
      <c r="FE148" s="76">
        <f t="shared" si="392"/>
        <v>245.02099999999999</v>
      </c>
      <c r="FF148" s="76">
        <f t="shared" si="392"/>
        <v>245.02099999999999</v>
      </c>
      <c r="FG148" s="76">
        <f t="shared" si="392"/>
        <v>245.02099999999999</v>
      </c>
      <c r="FH148" s="76">
        <f t="shared" si="392"/>
        <v>235.11806317073439</v>
      </c>
      <c r="FI148" s="76">
        <f t="shared" si="392"/>
        <v>202.70755526989461</v>
      </c>
    </row>
    <row r="149" spans="1:165" ht="12.5" thickBot="1" x14ac:dyDescent="0.35">
      <c r="A149" s="186" t="s">
        <v>105</v>
      </c>
      <c r="DZ149" s="188">
        <f t="shared" ref="DZ149:EI149" si="393">DZ147/DZ148</f>
        <v>0.94230769230769229</v>
      </c>
      <c r="EA149" s="188">
        <f t="shared" si="393"/>
        <v>1.3346153846153845</v>
      </c>
      <c r="EB149" s="188">
        <f t="shared" si="393"/>
        <v>1.4461538461538461</v>
      </c>
      <c r="EC149" s="188">
        <f t="shared" si="393"/>
        <v>1.1961538461538461</v>
      </c>
      <c r="ED149" s="188">
        <f t="shared" si="393"/>
        <v>4.9192307692307695</v>
      </c>
      <c r="EE149" s="188">
        <f t="shared" si="393"/>
        <v>1.4576923076923076</v>
      </c>
      <c r="EF149" s="188">
        <f t="shared" si="393"/>
        <v>0.32888455091345031</v>
      </c>
      <c r="EG149" s="188">
        <f t="shared" si="393"/>
        <v>1.4811602148909793</v>
      </c>
      <c r="EH149" s="188">
        <f t="shared" ref="EH149:EJ149" si="394">EH147/EH148</f>
        <v>0.29470995628468982</v>
      </c>
      <c r="EI149" s="188">
        <f t="shared" si="393"/>
        <v>3.7344207966693235</v>
      </c>
      <c r="EJ149" s="188">
        <f t="shared" si="394"/>
        <v>1.5055250313991975</v>
      </c>
      <c r="EK149" s="188">
        <f t="shared" ref="EK149:EL149" si="395">EK147/EK148</f>
        <v>-0.23291639935764108</v>
      </c>
      <c r="EL149" s="188">
        <f t="shared" si="395"/>
        <v>-0.17143976749502007</v>
      </c>
      <c r="EM149" s="188">
        <f t="shared" ref="EM149" si="396">EM147/EM148</f>
        <v>4.0814660626096892E-2</v>
      </c>
      <c r="EN149" s="188">
        <f t="shared" ref="EN149:FI149" si="397">EN147/EN148</f>
        <v>1.1397640810907419</v>
      </c>
      <c r="EO149" s="188">
        <f t="shared" si="397"/>
        <v>-0.95478637674891165</v>
      </c>
      <c r="EP149" s="188">
        <f t="shared" ref="EP149:EQ149" si="398">EP147/EP148</f>
        <v>-1.3769279027514116</v>
      </c>
      <c r="EQ149" s="188">
        <f t="shared" si="398"/>
        <v>-0.52490020792558623</v>
      </c>
      <c r="ER149" s="188">
        <f t="shared" ref="ER149" si="399">ER147/ER148</f>
        <v>0.59804962591385646</v>
      </c>
      <c r="ES149" s="188">
        <f t="shared" ref="ES149:ET149" si="400">ES147/ES148</f>
        <v>-2.2563549075210134</v>
      </c>
      <c r="ET149" s="188">
        <f t="shared" si="400"/>
        <v>-1.8432730683188456</v>
      </c>
      <c r="EU149" s="188">
        <f t="shared" ref="EU149:EV149" si="401">EU147/EU148</f>
        <v>-0.10452093232671636</v>
      </c>
      <c r="EV149" s="188">
        <f t="shared" si="401"/>
        <v>0.97595848762581028</v>
      </c>
      <c r="EW149" s="188">
        <f t="shared" ref="EW149" si="402">EW147/EW148</f>
        <v>-1.0999858976166972</v>
      </c>
      <c r="EX149" s="188">
        <f t="shared" ref="EX149:FB149" si="403">EX147/EX148</f>
        <v>-2.0559832135017628</v>
      </c>
      <c r="EY149" s="188">
        <f t="shared" si="403"/>
        <v>-1.7753110939481975</v>
      </c>
      <c r="EZ149" s="188">
        <f t="shared" si="403"/>
        <v>-2.1707688536778571</v>
      </c>
      <c r="FA149" s="188">
        <f t="shared" si="403"/>
        <v>-1.6987041885068748</v>
      </c>
      <c r="FB149" s="188">
        <f t="shared" si="403"/>
        <v>-1.857457443330905</v>
      </c>
      <c r="FC149" s="188">
        <f t="shared" ref="FC149" si="404">FC147/FC148</f>
        <v>-7.5022415794638349</v>
      </c>
      <c r="FD149" s="188">
        <f t="shared" si="397"/>
        <v>-6.44740048855925</v>
      </c>
      <c r="FE149" s="188">
        <f t="shared" si="397"/>
        <v>-0.82693534178905947</v>
      </c>
      <c r="FF149" s="188">
        <f t="shared" si="397"/>
        <v>1.5923984755109761</v>
      </c>
      <c r="FG149" s="188">
        <f t="shared" si="397"/>
        <v>2.4146834733537492</v>
      </c>
      <c r="FH149" s="188">
        <f t="shared" si="397"/>
        <v>3.8087993029836551</v>
      </c>
      <c r="FI149" s="188">
        <f t="shared" si="397"/>
        <v>5.5862671221563414</v>
      </c>
    </row>
    <row r="150" spans="1:165" ht="12.5" thickTop="1" x14ac:dyDescent="0.3">
      <c r="A150" s="164"/>
      <c r="ET150" s="90"/>
      <c r="EU150" s="90"/>
      <c r="EV150" s="90"/>
      <c r="EW150" s="90"/>
      <c r="EY150" s="90"/>
      <c r="EZ150" s="90"/>
      <c r="FA150" s="90"/>
      <c r="FB150" s="90"/>
    </row>
    <row r="151" spans="1:165" x14ac:dyDescent="0.3">
      <c r="A151" s="165" t="s">
        <v>113</v>
      </c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  <c r="AF151" s="165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  <c r="AZ151" s="165"/>
      <c r="BA151" s="165"/>
      <c r="BB151" s="165"/>
      <c r="BC151" s="165"/>
      <c r="BD151" s="165"/>
      <c r="BE151" s="165"/>
      <c r="BF151" s="165"/>
      <c r="BG151" s="165"/>
      <c r="BH151" s="165"/>
      <c r="BI151" s="165"/>
      <c r="BJ151" s="165"/>
      <c r="BK151" s="165"/>
      <c r="BL151" s="165"/>
      <c r="BM151" s="165"/>
      <c r="BN151" s="165"/>
      <c r="BO151" s="165"/>
      <c r="BP151" s="165"/>
      <c r="BQ151" s="165"/>
      <c r="BR151" s="165"/>
      <c r="BS151" s="165"/>
      <c r="BT151" s="165"/>
      <c r="BU151" s="165"/>
      <c r="BV151" s="165"/>
      <c r="BW151" s="165"/>
      <c r="BX151" s="165"/>
      <c r="BY151" s="165"/>
      <c r="BZ151" s="165"/>
      <c r="CA151" s="165"/>
      <c r="CB151" s="165"/>
      <c r="CC151" s="165"/>
      <c r="CD151" s="165"/>
      <c r="CE151" s="165"/>
      <c r="CF151" s="165"/>
      <c r="CG151" s="165"/>
      <c r="CH151" s="165"/>
      <c r="CI151" s="165"/>
      <c r="CJ151" s="165"/>
      <c r="CK151" s="165"/>
      <c r="CL151" s="165"/>
      <c r="CM151" s="165"/>
      <c r="CN151" s="165"/>
      <c r="CO151" s="165"/>
      <c r="CP151" s="165"/>
      <c r="CQ151" s="165"/>
      <c r="CR151" s="165"/>
      <c r="CS151" s="165"/>
      <c r="CT151" s="165"/>
      <c r="CU151" s="165"/>
      <c r="CV151" s="165"/>
      <c r="CW151" s="165"/>
      <c r="CX151" s="165"/>
      <c r="CY151" s="165"/>
      <c r="CZ151" s="165"/>
      <c r="DA151" s="165"/>
      <c r="DB151" s="165"/>
      <c r="DC151" s="165"/>
      <c r="DD151" s="165"/>
      <c r="DE151" s="165"/>
      <c r="DF151" s="165"/>
      <c r="DG151" s="165"/>
      <c r="DH151" s="165"/>
      <c r="DI151" s="165"/>
      <c r="DJ151" s="165"/>
      <c r="DK151" s="165"/>
      <c r="DL151" s="165"/>
      <c r="DM151" s="165"/>
      <c r="DN151" s="165"/>
      <c r="DO151" s="165"/>
      <c r="DP151" s="165"/>
      <c r="DQ151" s="165"/>
      <c r="DR151" s="165"/>
      <c r="DS151" s="165"/>
      <c r="DT151" s="165"/>
      <c r="DU151" s="165"/>
      <c r="DV151" s="165"/>
      <c r="DW151" s="165"/>
      <c r="DX151" s="165"/>
      <c r="DY151" s="165"/>
      <c r="DZ151" s="165"/>
      <c r="EA151" s="165"/>
      <c r="EB151" s="165"/>
      <c r="EC151" s="165"/>
      <c r="ED151" s="165"/>
      <c r="EE151" s="165"/>
      <c r="EF151" s="165"/>
      <c r="EG151" s="165"/>
      <c r="EH151" s="165"/>
      <c r="EI151" s="165"/>
      <c r="EJ151" s="165"/>
      <c r="EK151" s="165"/>
      <c r="EL151" s="165"/>
      <c r="EM151" s="165"/>
      <c r="EN151" s="165"/>
      <c r="EO151" s="165"/>
      <c r="EP151" s="165"/>
      <c r="EQ151" s="165"/>
      <c r="ER151" s="165"/>
      <c r="ES151" s="165"/>
      <c r="ET151" s="165"/>
      <c r="EU151" s="165"/>
      <c r="EV151" s="165"/>
      <c r="EW151" s="165"/>
      <c r="EX151" s="165"/>
      <c r="EY151" s="165"/>
      <c r="EZ151" s="165"/>
      <c r="FA151" s="165"/>
      <c r="FB151" s="165"/>
      <c r="FC151" s="165"/>
      <c r="FD151" s="165"/>
      <c r="FE151" s="165"/>
      <c r="FF151" s="165"/>
      <c r="FG151" s="165"/>
      <c r="FH151" s="165"/>
      <c r="FI151" s="165"/>
    </row>
    <row r="152" spans="1:165" x14ac:dyDescent="0.3">
      <c r="A152" s="167" t="s">
        <v>114</v>
      </c>
      <c r="EE152" s="76">
        <f>EE74</f>
        <v>147</v>
      </c>
      <c r="EF152" s="76">
        <f t="shared" ref="EF152:EG152" si="405">EF74</f>
        <v>4400</v>
      </c>
      <c r="EG152" s="76">
        <f t="shared" si="405"/>
        <v>157</v>
      </c>
      <c r="EH152" s="76">
        <f t="shared" ref="EH152" si="406">EH74</f>
        <v>201</v>
      </c>
      <c r="EI152" s="85">
        <f>SUM(EE152:EH152)</f>
        <v>4905</v>
      </c>
      <c r="EJ152" s="76">
        <f>EJ74</f>
        <v>95</v>
      </c>
      <c r="EK152" s="76">
        <f t="shared" ref="EK152" si="407">EK74</f>
        <v>170</v>
      </c>
      <c r="EL152" s="76">
        <f t="shared" ref="EL152:EM152" si="408">EL74</f>
        <v>195</v>
      </c>
      <c r="EM152" s="76">
        <f t="shared" si="408"/>
        <v>139</v>
      </c>
      <c r="EN152" s="85">
        <f>SUM(EJ152:EM152)</f>
        <v>599</v>
      </c>
      <c r="EO152" s="76">
        <f>EO74</f>
        <v>4</v>
      </c>
      <c r="EP152" s="76">
        <f>EP74</f>
        <v>-2</v>
      </c>
      <c r="EQ152" s="76">
        <f>EQ74</f>
        <v>11</v>
      </c>
      <c r="ER152" s="76">
        <f>ER74</f>
        <v>104</v>
      </c>
      <c r="ES152" s="85">
        <f>SUM(EO152:ER152)</f>
        <v>117</v>
      </c>
      <c r="ET152" s="76">
        <f>ET74</f>
        <v>3</v>
      </c>
      <c r="EU152" s="76">
        <f>EU74</f>
        <v>-132</v>
      </c>
      <c r="EV152" s="76">
        <f>EV74</f>
        <v>-88</v>
      </c>
      <c r="EW152" s="76">
        <f>EW74</f>
        <v>-129</v>
      </c>
      <c r="EX152" s="85">
        <f>SUM(ET152:EW152)</f>
        <v>-346</v>
      </c>
      <c r="EY152" s="76">
        <f t="shared" ref="EY152:FB152" si="409">EY74</f>
        <v>-133.37396606194986</v>
      </c>
      <c r="EZ152" s="76">
        <f t="shared" si="409"/>
        <v>-114.66334335545162</v>
      </c>
      <c r="FA152" s="76">
        <f t="shared" si="409"/>
        <v>-119.26729608403591</v>
      </c>
      <c r="FB152" s="76">
        <f t="shared" si="409"/>
        <v>-67.075766473322346</v>
      </c>
      <c r="FC152" s="85">
        <f>SUM(EY152:FB152)</f>
        <v>-434.38037197475973</v>
      </c>
      <c r="FD152" s="76">
        <f t="shared" ref="FD152:FI152" si="410">FD74</f>
        <v>-280.82262358522257</v>
      </c>
      <c r="FE152" s="76">
        <f t="shared" si="410"/>
        <v>30.330224878843524</v>
      </c>
      <c r="FF152" s="76">
        <f t="shared" si="410"/>
        <v>338.85469910364395</v>
      </c>
      <c r="FG152" s="76">
        <f t="shared" si="410"/>
        <v>634.46393827495785</v>
      </c>
      <c r="FH152" s="76">
        <f t="shared" si="410"/>
        <v>937.73890895097577</v>
      </c>
      <c r="FI152" s="76">
        <f t="shared" si="410"/>
        <v>1177.0314573588396</v>
      </c>
    </row>
    <row r="153" spans="1:165" x14ac:dyDescent="0.3">
      <c r="A153" s="167" t="s">
        <v>115</v>
      </c>
      <c r="EE153" s="104">
        <f>EE65+EE107</f>
        <v>3</v>
      </c>
      <c r="EF153" s="104">
        <f t="shared" ref="EF153:EG153" si="411">EF65+EF107</f>
        <v>-87</v>
      </c>
      <c r="EG153" s="104">
        <f t="shared" si="411"/>
        <v>-104</v>
      </c>
      <c r="EH153" s="104">
        <f t="shared" ref="EH153" si="412">EH65+EH107</f>
        <v>-277</v>
      </c>
      <c r="EI153" s="100">
        <f>SUM(EE153:EH153)</f>
        <v>-465</v>
      </c>
      <c r="EJ153" s="104">
        <f>EJ65+EJ107</f>
        <v>-163</v>
      </c>
      <c r="EK153" s="104">
        <f t="shared" ref="EK153" si="413">EK65+EK107</f>
        <v>-351</v>
      </c>
      <c r="EL153" s="104">
        <f t="shared" ref="EL153:EM153" si="414">EL65+EL107</f>
        <v>-476</v>
      </c>
      <c r="EM153" s="104">
        <f t="shared" si="414"/>
        <v>-566</v>
      </c>
      <c r="EN153" s="100">
        <f>SUM(EJ153:EM153)</f>
        <v>-1556</v>
      </c>
      <c r="EO153" s="104">
        <f>EO65+EO107</f>
        <v>-824</v>
      </c>
      <c r="EP153" s="104">
        <f>EP65+EP107</f>
        <v>-703</v>
      </c>
      <c r="EQ153" s="104">
        <f>EQ65+EQ107</f>
        <v>-315</v>
      </c>
      <c r="ER153" s="104">
        <f>ER65+ER107</f>
        <v>46</v>
      </c>
      <c r="ES153" s="100">
        <f>SUM(EO153:ER153)</f>
        <v>-1796</v>
      </c>
      <c r="ET153" s="104">
        <f>ET65+ET107</f>
        <v>-278</v>
      </c>
      <c r="EU153" s="104">
        <f>EU65+EU107</f>
        <v>-228</v>
      </c>
      <c r="EV153" s="104">
        <f>EV65+EV107</f>
        <v>-289</v>
      </c>
      <c r="EW153" s="104">
        <f>EW65+EW107</f>
        <v>-363</v>
      </c>
      <c r="EX153" s="100">
        <f>SUM(ET153:EW153)</f>
        <v>-1158</v>
      </c>
      <c r="EY153" s="104">
        <f t="shared" ref="EY153:FB153" si="415">EY65+EY107</f>
        <v>-343.16000149781007</v>
      </c>
      <c r="EZ153" s="104">
        <f t="shared" si="415"/>
        <v>-333.44776505159842</v>
      </c>
      <c r="FA153" s="104">
        <f t="shared" si="415"/>
        <v>-337.2308508047737</v>
      </c>
      <c r="FB153" s="104">
        <f t="shared" si="415"/>
        <v>-303.6824652467551</v>
      </c>
      <c r="FC153" s="100">
        <f>SUM(EY153:FB153)</f>
        <v>-1317.5210826009375</v>
      </c>
      <c r="FD153" s="104">
        <f t="shared" ref="FD153:FI153" si="416">FD65+FD107</f>
        <v>-1196.7110864962801</v>
      </c>
      <c r="FE153" s="104">
        <f t="shared" si="416"/>
        <v>-116.27761490942839</v>
      </c>
      <c r="FF153" s="104">
        <f t="shared" si="416"/>
        <v>168.93042714687863</v>
      </c>
      <c r="FG153" s="104">
        <f t="shared" si="416"/>
        <v>74.807026295136211</v>
      </c>
      <c r="FH153" s="104">
        <f t="shared" si="416"/>
        <v>74.097575173238283</v>
      </c>
      <c r="FI153" s="104">
        <f t="shared" si="416"/>
        <v>72.009462568162462</v>
      </c>
    </row>
    <row r="154" spans="1:165" s="90" customFormat="1" x14ac:dyDescent="0.3">
      <c r="A154" s="1216" t="s">
        <v>116</v>
      </c>
      <c r="EE154" s="85">
        <f t="shared" ref="EE154:EN154" si="417">SUM(EE152:EE153)</f>
        <v>150</v>
      </c>
      <c r="EF154" s="85">
        <f t="shared" si="417"/>
        <v>4313</v>
      </c>
      <c r="EG154" s="85">
        <f t="shared" si="417"/>
        <v>53</v>
      </c>
      <c r="EH154" s="85">
        <f t="shared" ref="EH154" si="418">SUM(EH152:EH153)</f>
        <v>-76</v>
      </c>
      <c r="EI154" s="85">
        <f t="shared" si="417"/>
        <v>4440</v>
      </c>
      <c r="EJ154" s="85">
        <f t="shared" si="417"/>
        <v>-68</v>
      </c>
      <c r="EK154" s="85">
        <f t="shared" si="417"/>
        <v>-181</v>
      </c>
      <c r="EL154" s="85">
        <f t="shared" ref="EL154:EM154" si="419">SUM(EL152:EL153)</f>
        <v>-281</v>
      </c>
      <c r="EM154" s="85">
        <f t="shared" si="419"/>
        <v>-427</v>
      </c>
      <c r="EN154" s="85">
        <f t="shared" si="417"/>
        <v>-957</v>
      </c>
      <c r="EO154" s="85">
        <f t="shared" ref="EO154:EP154" si="420">SUM(EO152:EO153)</f>
        <v>-820</v>
      </c>
      <c r="EP154" s="85">
        <f t="shared" si="420"/>
        <v>-705</v>
      </c>
      <c r="EQ154" s="85">
        <f t="shared" ref="EQ154:ER154" si="421">SUM(EQ152:EQ153)</f>
        <v>-304</v>
      </c>
      <c r="ER154" s="85">
        <f t="shared" si="421"/>
        <v>150</v>
      </c>
      <c r="ES154" s="85">
        <f t="shared" ref="ES154:ET154" si="422">SUM(ES152:ES153)</f>
        <v>-1679</v>
      </c>
      <c r="ET154" s="85">
        <f t="shared" si="422"/>
        <v>-275</v>
      </c>
      <c r="EU154" s="85">
        <f t="shared" ref="EU154:EV154" si="423">SUM(EU152:EU153)</f>
        <v>-360</v>
      </c>
      <c r="EV154" s="85">
        <f t="shared" si="423"/>
        <v>-377</v>
      </c>
      <c r="EW154" s="85">
        <f t="shared" ref="EW154" si="424">SUM(EW152:EW153)</f>
        <v>-492</v>
      </c>
      <c r="EX154" s="85">
        <f t="shared" ref="EX154" si="425">SUM(EX152:EX153)</f>
        <v>-1504</v>
      </c>
      <c r="EY154" s="85">
        <f t="shared" ref="EY154:FC154" si="426">SUM(EY152:EY153)</f>
        <v>-476.53396755975996</v>
      </c>
      <c r="EZ154" s="85">
        <f t="shared" si="426"/>
        <v>-448.11110840705004</v>
      </c>
      <c r="FA154" s="85">
        <f t="shared" si="426"/>
        <v>-456.49814688880963</v>
      </c>
      <c r="FB154" s="85">
        <f t="shared" si="426"/>
        <v>-370.75823172007745</v>
      </c>
      <c r="FC154" s="85">
        <f t="shared" si="426"/>
        <v>-1751.9014545756972</v>
      </c>
      <c r="FD154" s="85">
        <f t="shared" ref="FD154:FI154" si="427">SUM(FD152:FD153)</f>
        <v>-1477.5337100815027</v>
      </c>
      <c r="FE154" s="85">
        <f t="shared" si="427"/>
        <v>-85.94739003058487</v>
      </c>
      <c r="FF154" s="85">
        <f t="shared" si="427"/>
        <v>507.78512625052258</v>
      </c>
      <c r="FG154" s="85">
        <f t="shared" si="427"/>
        <v>709.27096457009407</v>
      </c>
      <c r="FH154" s="85">
        <f t="shared" si="427"/>
        <v>1011.8364841242141</v>
      </c>
      <c r="FI154" s="85">
        <f t="shared" si="427"/>
        <v>1249.0409199270021</v>
      </c>
    </row>
    <row r="155" spans="1:165" x14ac:dyDescent="0.3">
      <c r="A155" s="166"/>
      <c r="EO155"/>
      <c r="EP155"/>
      <c r="EQ155"/>
      <c r="ER155"/>
    </row>
    <row r="156" spans="1:165" x14ac:dyDescent="0.3">
      <c r="A156" s="166" t="s">
        <v>117</v>
      </c>
      <c r="EO156"/>
      <c r="EP156"/>
      <c r="EQ156"/>
      <c r="ER156"/>
    </row>
    <row r="157" spans="1:165" x14ac:dyDescent="0.3">
      <c r="A157" s="168" t="s">
        <v>118</v>
      </c>
      <c r="DU157" s="76">
        <f>+DU160-SUM(DU158:DU159)</f>
        <v>4878</v>
      </c>
      <c r="DV157" s="76">
        <f>+DV160-SUM(DV158:DV159)</f>
        <v>4947</v>
      </c>
      <c r="DW157" s="76">
        <f>+DW160-SUM(DW158:DW159)</f>
        <v>10798</v>
      </c>
      <c r="DX157" s="76">
        <f>+DX160-SUM(DX158:DX159)</f>
        <v>11164</v>
      </c>
      <c r="DY157" s="85">
        <f>+DU157</f>
        <v>4878</v>
      </c>
      <c r="DZ157" s="76">
        <f>+DY160</f>
        <v>11400</v>
      </c>
      <c r="EA157" s="76">
        <f>+EA160-SUM(EA158:EA159)</f>
        <v>-281</v>
      </c>
      <c r="EB157" s="76">
        <f>+EB160-SUM(EB158:EB159)</f>
        <v>-43</v>
      </c>
      <c r="EC157" s="76">
        <f>+EC160-SUM(EC158:EC159)</f>
        <v>-43</v>
      </c>
      <c r="ED157" s="85">
        <f>+DZ157</f>
        <v>11400</v>
      </c>
      <c r="EE157" s="76">
        <f>+EE160-SUM(EE158:EE159)</f>
        <v>0</v>
      </c>
      <c r="EF157" s="76">
        <f>+EE160</f>
        <v>0</v>
      </c>
      <c r="EG157" s="76">
        <f>+EF160</f>
        <v>0</v>
      </c>
      <c r="EH157" s="76">
        <f>+EG160</f>
        <v>0</v>
      </c>
      <c r="EI157" s="85">
        <f>+EE157</f>
        <v>0</v>
      </c>
      <c r="EJ157" s="76">
        <f>+EI160</f>
        <v>2112</v>
      </c>
      <c r="EK157" s="76">
        <f>+EJ160</f>
        <v>2180</v>
      </c>
      <c r="EL157" s="76">
        <f>+EK160</f>
        <v>2361</v>
      </c>
      <c r="EM157" s="76">
        <f>+EL160</f>
        <v>2642</v>
      </c>
      <c r="EN157" s="85">
        <f>+EJ157</f>
        <v>2112</v>
      </c>
      <c r="EO157" s="76">
        <f>+EN160</f>
        <v>2556</v>
      </c>
      <c r="EP157" s="76">
        <f>+EO160</f>
        <v>3376</v>
      </c>
      <c r="EQ157" s="76">
        <f>+EP160</f>
        <v>4081</v>
      </c>
      <c r="ER157" s="76">
        <f>+EQ160</f>
        <v>4385</v>
      </c>
      <c r="ES157" s="85">
        <f>+EO157</f>
        <v>2556</v>
      </c>
      <c r="ET157" s="76">
        <f>+ES160</f>
        <v>4235</v>
      </c>
      <c r="EU157" s="76">
        <f>+ET160</f>
        <v>4510</v>
      </c>
      <c r="EV157" s="76">
        <f>+EU160</f>
        <v>4870</v>
      </c>
      <c r="EW157" s="76">
        <f>+EV160</f>
        <v>5247</v>
      </c>
      <c r="EX157" s="85">
        <f>+ET157</f>
        <v>4235</v>
      </c>
      <c r="EY157" s="76">
        <f t="shared" ref="EY157" si="428">+EX160</f>
        <v>5739</v>
      </c>
      <c r="EZ157" s="76">
        <f t="shared" ref="EZ157" si="429">+EY160</f>
        <v>6215.5339675597597</v>
      </c>
      <c r="FA157" s="76">
        <f t="shared" ref="FA157" si="430">+EZ160</f>
        <v>6663.6450759668096</v>
      </c>
      <c r="FB157" s="76">
        <f t="shared" ref="FB157" si="431">+FA160</f>
        <v>7120.1432228556196</v>
      </c>
      <c r="FC157" s="85">
        <f>+EY157</f>
        <v>5739</v>
      </c>
      <c r="FD157" s="76">
        <f t="shared" ref="FD157:FI157" si="432">+FC160</f>
        <v>7490.9014545756972</v>
      </c>
      <c r="FE157" s="76">
        <f t="shared" si="432"/>
        <v>8968.4351646571995</v>
      </c>
      <c r="FF157" s="76">
        <f t="shared" si="432"/>
        <v>9054.3825546877852</v>
      </c>
      <c r="FG157" s="76">
        <f t="shared" si="432"/>
        <v>8546.5974284372624</v>
      </c>
      <c r="FH157" s="76">
        <f t="shared" si="432"/>
        <v>7837.3264638671681</v>
      </c>
      <c r="FI157" s="76">
        <f t="shared" si="432"/>
        <v>6825.4899797429543</v>
      </c>
    </row>
    <row r="158" spans="1:165" x14ac:dyDescent="0.3">
      <c r="A158" s="168" t="s">
        <v>119</v>
      </c>
      <c r="DU158" s="249">
        <f>IF(DU74&lt;0,-DU74,0)</f>
        <v>69</v>
      </c>
      <c r="DV158" s="249">
        <f>IF(DV74&lt;0,-DV74,0)</f>
        <v>5851</v>
      </c>
      <c r="DW158" s="249">
        <f>IF(DW74&lt;0,-DW74,0)</f>
        <v>366</v>
      </c>
      <c r="DX158" s="249">
        <f>IF(DX74&lt;0,-DX74,0)</f>
        <v>236</v>
      </c>
      <c r="DY158" s="85">
        <f>+SUM(DU158:DX158)</f>
        <v>6522</v>
      </c>
      <c r="DZ158" s="249">
        <f>+DZ160-DZ159-DZ157</f>
        <v>-11681</v>
      </c>
      <c r="EA158" s="249">
        <f>IF(EA74&lt;0,-EA74,0)</f>
        <v>238</v>
      </c>
      <c r="EB158" s="249">
        <f>IF(EB74&lt;0,-EB74,0)</f>
        <v>0</v>
      </c>
      <c r="EC158" s="249">
        <f>IF(EC74&lt;0,-EC74,0)</f>
        <v>43</v>
      </c>
      <c r="ED158" s="85">
        <f>+SUM(DZ158:EC158)</f>
        <v>-11400</v>
      </c>
      <c r="EE158" s="249">
        <f>IF(EE74&lt;0,-EE74,0)</f>
        <v>0</v>
      </c>
      <c r="EF158" s="249">
        <f>IF(EF74&lt;0,-EF74,0)</f>
        <v>0</v>
      </c>
      <c r="EG158" s="249">
        <f>IF(EG154&lt;0,-EG154,0)</f>
        <v>0</v>
      </c>
      <c r="EH158" s="249">
        <f>IF(EH154&lt;0,-EH154,0)</f>
        <v>76</v>
      </c>
      <c r="EI158" s="85">
        <f>+SUM(EE158:EH158)</f>
        <v>76</v>
      </c>
      <c r="EJ158" s="249">
        <f>IF(EJ154&lt;0,-EJ154,0)</f>
        <v>68</v>
      </c>
      <c r="EK158" s="249">
        <f>IF(EK154&lt;0,-EK154,0)</f>
        <v>181</v>
      </c>
      <c r="EL158" s="249">
        <f>IF(EL154&lt;0,-EL154,0)</f>
        <v>281</v>
      </c>
      <c r="EM158" s="249">
        <f>IF(EM154&lt;0,-EM154,0)</f>
        <v>427</v>
      </c>
      <c r="EN158" s="85">
        <f>+SUM(EJ158:EM158)</f>
        <v>957</v>
      </c>
      <c r="EO158" s="249">
        <f>IF(EO154&lt;0,-EO154,0)</f>
        <v>820</v>
      </c>
      <c r="EP158" s="249">
        <f>IF(EP154&lt;0,-EP154,0)</f>
        <v>705</v>
      </c>
      <c r="EQ158" s="249">
        <f>IF(EQ154&lt;0,-EQ154,0)</f>
        <v>304</v>
      </c>
      <c r="ER158" s="249">
        <f>IF(ER154&lt;0,-ER154,0)</f>
        <v>0</v>
      </c>
      <c r="ES158" s="85">
        <f>+SUM(EO158:ER158)</f>
        <v>1829</v>
      </c>
      <c r="ET158" s="249">
        <f>IF(ET154&lt;0,-ET154,0)</f>
        <v>275</v>
      </c>
      <c r="EU158" s="249">
        <f>IF(EU154&lt;0,-EU154,0)</f>
        <v>360</v>
      </c>
      <c r="EV158" s="249">
        <f>IF(EV154&lt;0,-EV154,0)</f>
        <v>377</v>
      </c>
      <c r="EW158" s="249">
        <f>IF(EW154&lt;0,-EW154,0)</f>
        <v>492</v>
      </c>
      <c r="EX158" s="85">
        <f>+SUM(ET158:EW158)</f>
        <v>1504</v>
      </c>
      <c r="EY158" s="249">
        <f t="shared" ref="EY158:FB158" si="433">IF(EY154&lt;0,-EY154,0)</f>
        <v>476.53396755975996</v>
      </c>
      <c r="EZ158" s="249">
        <f t="shared" si="433"/>
        <v>448.11110840705004</v>
      </c>
      <c r="FA158" s="249">
        <f t="shared" si="433"/>
        <v>456.49814688880963</v>
      </c>
      <c r="FB158" s="249">
        <f t="shared" si="433"/>
        <v>370.75823172007745</v>
      </c>
      <c r="FC158" s="85">
        <f>+SUM(EY158:FB158)</f>
        <v>1751.901454575697</v>
      </c>
      <c r="FD158" s="249">
        <f t="shared" ref="FD158:FI158" si="434">IF(FD154&lt;0,-FD154,0)</f>
        <v>1477.5337100815027</v>
      </c>
      <c r="FE158" s="249">
        <f t="shared" si="434"/>
        <v>85.94739003058487</v>
      </c>
      <c r="FF158" s="249">
        <f t="shared" si="434"/>
        <v>0</v>
      </c>
      <c r="FG158" s="249">
        <f t="shared" si="434"/>
        <v>0</v>
      </c>
      <c r="FH158" s="249">
        <f t="shared" si="434"/>
        <v>0</v>
      </c>
      <c r="FI158" s="249">
        <f t="shared" si="434"/>
        <v>0</v>
      </c>
    </row>
    <row r="159" spans="1:165" x14ac:dyDescent="0.3">
      <c r="A159" s="168" t="s">
        <v>120</v>
      </c>
      <c r="DU159" s="249">
        <v>0</v>
      </c>
      <c r="DV159" s="249">
        <v>0</v>
      </c>
      <c r="DW159" s="249">
        <v>0</v>
      </c>
      <c r="DX159" s="249">
        <v>0</v>
      </c>
      <c r="DY159" s="85">
        <f>+SUM(DU159:DX159)</f>
        <v>0</v>
      </c>
      <c r="DZ159" s="249">
        <v>0</v>
      </c>
      <c r="EA159" s="249">
        <v>0</v>
      </c>
      <c r="EB159" s="249">
        <v>0</v>
      </c>
      <c r="EC159" s="249">
        <v>0</v>
      </c>
      <c r="ED159" s="85">
        <f>+SUM(DZ159:EC159)</f>
        <v>0</v>
      </c>
      <c r="EE159" s="249">
        <v>0</v>
      </c>
      <c r="EF159" s="249">
        <f>IF(EF74&lt;EF157,IF(EF74&gt;0,-EF74,0),-EF157)</f>
        <v>0</v>
      </c>
      <c r="EG159" s="249">
        <f>IF(EG74&lt;EG157,IF(EG74&gt;0,-EG74,0),-EG157)</f>
        <v>0</v>
      </c>
      <c r="EH159" s="249">
        <f>IF(EH74&lt;EH157,IF(EH74&gt;0,-EH74,0),-EH157)</f>
        <v>0</v>
      </c>
      <c r="EI159" s="85">
        <f>+SUM(EE159:EH159)</f>
        <v>0</v>
      </c>
      <c r="EJ159" s="249">
        <f>IF(EJ154&lt;EJ157,IF(EJ154&gt;0,-EJ154,0),-EJ157)</f>
        <v>0</v>
      </c>
      <c r="EK159" s="249">
        <f>IF(EK154&lt;EK157,IF(EK154&gt;0,-EK154,0),-EK157)</f>
        <v>0</v>
      </c>
      <c r="EL159" s="249">
        <f>IF(EL154&lt;EL157,IF(EL154&gt;0,-EL154,0),-EL157)</f>
        <v>0</v>
      </c>
      <c r="EM159" s="249">
        <f>IF(EM154&lt;EM157,IF(EM154&gt;0,-EM154,0),-EM157)</f>
        <v>0</v>
      </c>
      <c r="EN159" s="85">
        <f>+SUM(EJ159:EM159)</f>
        <v>0</v>
      </c>
      <c r="EO159" s="249">
        <f>IF(EO154&lt;EO157,IF(EO154&gt;0,-EO154,0),-EO157)</f>
        <v>0</v>
      </c>
      <c r="EP159" s="249">
        <f>IF(EP154&lt;EP157,IF(EP154&gt;0,-EP154,0),-EP157)</f>
        <v>0</v>
      </c>
      <c r="EQ159" s="249">
        <f>IF(EQ154&lt;EQ157,IF(EQ154&gt;0,-EQ154,0),-EQ157)</f>
        <v>0</v>
      </c>
      <c r="ER159" s="249">
        <f>IF(ER154&lt;ER157,IF(ER154&gt;0,-ER154,0),-ER157)</f>
        <v>-150</v>
      </c>
      <c r="ES159" s="85">
        <f>+SUM(EO159:ER159)</f>
        <v>-150</v>
      </c>
      <c r="ET159" s="249">
        <f>IF(ET154&lt;ET157,IF(ET154&gt;0,-ET154,0),-ET157)</f>
        <v>0</v>
      </c>
      <c r="EU159" s="249">
        <f>IF(EU154&lt;EU157,IF(EU154&gt;0,-EU154,0),-EU157)</f>
        <v>0</v>
      </c>
      <c r="EV159" s="249">
        <f>IF(EV154&lt;EV157,IF(EV154&gt;0,-EV154,0),-EV157)</f>
        <v>0</v>
      </c>
      <c r="EW159" s="249">
        <f>IF(EW154&lt;EW157,IF(EW154&gt;0,-EW154,0),-EW157)</f>
        <v>0</v>
      </c>
      <c r="EX159" s="85">
        <f>+SUM(ET159:EW159)</f>
        <v>0</v>
      </c>
      <c r="EY159" s="249">
        <f t="shared" ref="EY159:FB159" si="435">IF(EY154&lt;EY157,IF(EY154&gt;0,-EY154,0),-EY157)</f>
        <v>0</v>
      </c>
      <c r="EZ159" s="249">
        <f t="shared" si="435"/>
        <v>0</v>
      </c>
      <c r="FA159" s="249">
        <f t="shared" si="435"/>
        <v>0</v>
      </c>
      <c r="FB159" s="249">
        <f t="shared" si="435"/>
        <v>0</v>
      </c>
      <c r="FC159" s="85">
        <f>+SUM(EY159:FB159)</f>
        <v>0</v>
      </c>
      <c r="FD159" s="249">
        <f t="shared" ref="FD159:FI159" si="436">IF(FD154&lt;FD157,IF(FD154&gt;0,-FD154,0),-FD157)</f>
        <v>0</v>
      </c>
      <c r="FE159" s="249">
        <f t="shared" si="436"/>
        <v>0</v>
      </c>
      <c r="FF159" s="249">
        <f t="shared" si="436"/>
        <v>-507.78512625052258</v>
      </c>
      <c r="FG159" s="249">
        <f t="shared" si="436"/>
        <v>-709.27096457009407</v>
      </c>
      <c r="FH159" s="249">
        <f t="shared" si="436"/>
        <v>-1011.8364841242141</v>
      </c>
      <c r="FI159" s="249">
        <f t="shared" si="436"/>
        <v>-1249.0409199270021</v>
      </c>
    </row>
    <row r="160" spans="1:165" x14ac:dyDescent="0.3">
      <c r="A160" s="167" t="s">
        <v>121</v>
      </c>
      <c r="DU160" s="803">
        <f>+DV157</f>
        <v>4947</v>
      </c>
      <c r="DV160" s="803">
        <f>+DW157</f>
        <v>10798</v>
      </c>
      <c r="DW160" s="803">
        <f>+DX157</f>
        <v>11164</v>
      </c>
      <c r="DX160" s="803">
        <f>+DY160</f>
        <v>11400</v>
      </c>
      <c r="DY160" s="854">
        <f>1600+9800</f>
        <v>11400</v>
      </c>
      <c r="DZ160" s="803">
        <f>+EA157</f>
        <v>-281</v>
      </c>
      <c r="EA160" s="803">
        <f>+EB157</f>
        <v>-43</v>
      </c>
      <c r="EB160" s="803">
        <f>+EC157</f>
        <v>-43</v>
      </c>
      <c r="EC160" s="803">
        <f>+ED160</f>
        <v>0</v>
      </c>
      <c r="ED160" s="1786">
        <v>0</v>
      </c>
      <c r="EE160" s="1786">
        <v>0</v>
      </c>
      <c r="EF160" s="1787">
        <f t="shared" ref="EF160:FI160" si="437">EF157+EF158+EF159</f>
        <v>0</v>
      </c>
      <c r="EG160" s="1787">
        <f t="shared" si="437"/>
        <v>0</v>
      </c>
      <c r="EH160" s="1788">
        <f>312+1800</f>
        <v>2112</v>
      </c>
      <c r="EI160" s="1786">
        <f>312+1800</f>
        <v>2112</v>
      </c>
      <c r="EJ160" s="1787">
        <f t="shared" ref="EJ160:EO160" si="438">EJ157+EJ158+EJ159</f>
        <v>2180</v>
      </c>
      <c r="EK160" s="1787">
        <f t="shared" si="438"/>
        <v>2361</v>
      </c>
      <c r="EL160" s="1787">
        <f t="shared" si="438"/>
        <v>2642</v>
      </c>
      <c r="EM160" s="1787">
        <f t="shared" si="438"/>
        <v>3069</v>
      </c>
      <c r="EN160" s="1786">
        <f>156+2400</f>
        <v>2556</v>
      </c>
      <c r="EO160" s="1787">
        <f t="shared" si="438"/>
        <v>3376</v>
      </c>
      <c r="EP160" s="1787">
        <f t="shared" ref="EP160:EQ160" si="439">EP157+EP158+EP159</f>
        <v>4081</v>
      </c>
      <c r="EQ160" s="1787">
        <f t="shared" si="439"/>
        <v>4385</v>
      </c>
      <c r="ER160" s="1787">
        <f t="shared" ref="ER160" si="440">ER157+ER158+ER159</f>
        <v>4235</v>
      </c>
      <c r="ES160" s="1787">
        <f>ES157+ES158+ES159</f>
        <v>4235</v>
      </c>
      <c r="ET160" s="1787">
        <f t="shared" ref="ET160:EU160" si="441">ET157+ET158+ET159</f>
        <v>4510</v>
      </c>
      <c r="EU160" s="1787">
        <f t="shared" si="441"/>
        <v>4870</v>
      </c>
      <c r="EV160" s="1787">
        <f t="shared" ref="EV160:EW160" si="442">EV157+EV158+EV159</f>
        <v>5247</v>
      </c>
      <c r="EW160" s="1787">
        <f t="shared" si="442"/>
        <v>5739</v>
      </c>
      <c r="EX160" s="1787">
        <f>EX157+EX158+EX159</f>
        <v>5739</v>
      </c>
      <c r="EY160" s="1787">
        <f t="shared" ref="EY160:FB160" si="443">EY157+EY158+EY159</f>
        <v>6215.5339675597597</v>
      </c>
      <c r="EZ160" s="1787">
        <f t="shared" si="443"/>
        <v>6663.6450759668096</v>
      </c>
      <c r="FA160" s="1787">
        <f t="shared" si="443"/>
        <v>7120.1432228556196</v>
      </c>
      <c r="FB160" s="1787">
        <f t="shared" si="443"/>
        <v>7490.9014545756972</v>
      </c>
      <c r="FC160" s="1787">
        <f>FC157+FC158+FC159</f>
        <v>7490.9014545756972</v>
      </c>
      <c r="FD160" s="1787">
        <f t="shared" si="437"/>
        <v>8968.4351646571995</v>
      </c>
      <c r="FE160" s="1787">
        <f t="shared" si="437"/>
        <v>9054.3825546877852</v>
      </c>
      <c r="FF160" s="1787">
        <f t="shared" si="437"/>
        <v>8546.5974284372624</v>
      </c>
      <c r="FG160" s="1787">
        <f t="shared" si="437"/>
        <v>7837.3264638671681</v>
      </c>
      <c r="FH160" s="1787">
        <f t="shared" si="437"/>
        <v>6825.4899797429543</v>
      </c>
      <c r="FI160" s="1787">
        <f t="shared" si="437"/>
        <v>5576.4490598159518</v>
      </c>
    </row>
    <row r="161" spans="1:165" x14ac:dyDescent="0.3">
      <c r="A161" s="167"/>
      <c r="EO161"/>
      <c r="EP161"/>
      <c r="EQ161"/>
      <c r="ER161"/>
    </row>
    <row r="162" spans="1:165" x14ac:dyDescent="0.3">
      <c r="A162" s="168" t="s">
        <v>114</v>
      </c>
      <c r="DU162" s="76">
        <f t="shared" ref="DU162:FI162" si="444">+DU74</f>
        <v>-69</v>
      </c>
      <c r="DV162" s="76">
        <f t="shared" si="444"/>
        <v>-5851</v>
      </c>
      <c r="DW162" s="76">
        <f t="shared" si="444"/>
        <v>-366</v>
      </c>
      <c r="DX162" s="76">
        <f t="shared" si="444"/>
        <v>-236</v>
      </c>
      <c r="DY162" s="85">
        <f t="shared" si="444"/>
        <v>-6522</v>
      </c>
      <c r="DZ162" s="76">
        <f t="shared" si="444"/>
        <v>-209</v>
      </c>
      <c r="EA162" s="76">
        <f t="shared" si="444"/>
        <v>-238</v>
      </c>
      <c r="EB162" s="76">
        <f t="shared" si="444"/>
        <v>4</v>
      </c>
      <c r="EC162" s="76">
        <f t="shared" si="444"/>
        <v>-43</v>
      </c>
      <c r="ED162" s="85">
        <f t="shared" si="444"/>
        <v>-486</v>
      </c>
      <c r="EE162" s="76">
        <f t="shared" si="444"/>
        <v>147</v>
      </c>
      <c r="EF162" s="76">
        <f t="shared" si="444"/>
        <v>4400</v>
      </c>
      <c r="EG162" s="76">
        <f t="shared" si="444"/>
        <v>157</v>
      </c>
      <c r="EH162" s="76">
        <f t="shared" ref="EH162" si="445">+EH74</f>
        <v>201</v>
      </c>
      <c r="EI162" s="85">
        <f t="shared" si="444"/>
        <v>4905</v>
      </c>
      <c r="EJ162" s="76">
        <f t="shared" si="444"/>
        <v>95</v>
      </c>
      <c r="EK162" s="76">
        <f t="shared" si="444"/>
        <v>170</v>
      </c>
      <c r="EL162" s="76">
        <f t="shared" ref="EL162:EM162" si="446">+EL74</f>
        <v>195</v>
      </c>
      <c r="EM162" s="76">
        <f t="shared" si="446"/>
        <v>139</v>
      </c>
      <c r="EN162" s="85">
        <f t="shared" si="444"/>
        <v>599</v>
      </c>
      <c r="EO162" s="76">
        <f t="shared" ref="EO162:EP162" si="447">+EO74</f>
        <v>4</v>
      </c>
      <c r="EP162" s="76">
        <f t="shared" si="447"/>
        <v>-2</v>
      </c>
      <c r="EQ162" s="76">
        <f t="shared" ref="EQ162:ER162" si="448">+EQ74</f>
        <v>11</v>
      </c>
      <c r="ER162" s="76">
        <f t="shared" si="448"/>
        <v>104</v>
      </c>
      <c r="ES162" s="85">
        <f t="shared" ref="ES162:ET162" si="449">+ES74</f>
        <v>117</v>
      </c>
      <c r="ET162" s="76">
        <f t="shared" si="449"/>
        <v>3</v>
      </c>
      <c r="EU162" s="76">
        <f t="shared" ref="EU162:EV162" si="450">+EU74</f>
        <v>-132</v>
      </c>
      <c r="EV162" s="76">
        <f t="shared" si="450"/>
        <v>-88</v>
      </c>
      <c r="EW162" s="76">
        <f t="shared" ref="EW162" si="451">+EW74</f>
        <v>-129</v>
      </c>
      <c r="EX162" s="85">
        <f t="shared" ref="EX162" si="452">+EX74</f>
        <v>-346</v>
      </c>
      <c r="EY162" s="76">
        <f t="shared" ref="EY162:FC162" si="453">+EY74</f>
        <v>-133.37396606194986</v>
      </c>
      <c r="EZ162" s="76">
        <f t="shared" si="453"/>
        <v>-114.66334335545162</v>
      </c>
      <c r="FA162" s="76">
        <f t="shared" si="453"/>
        <v>-119.26729608403591</v>
      </c>
      <c r="FB162" s="76">
        <f t="shared" si="453"/>
        <v>-67.075766473322346</v>
      </c>
      <c r="FC162" s="85">
        <f t="shared" si="453"/>
        <v>-434.38037197475973</v>
      </c>
      <c r="FD162" s="76">
        <f t="shared" si="444"/>
        <v>-280.82262358522257</v>
      </c>
      <c r="FE162" s="76">
        <f t="shared" si="444"/>
        <v>30.330224878843524</v>
      </c>
      <c r="FF162" s="76">
        <f t="shared" si="444"/>
        <v>338.85469910364395</v>
      </c>
      <c r="FG162" s="76">
        <f t="shared" si="444"/>
        <v>634.46393827495785</v>
      </c>
      <c r="FH162" s="76">
        <f t="shared" si="444"/>
        <v>937.73890895097577</v>
      </c>
      <c r="FI162" s="76">
        <f t="shared" si="444"/>
        <v>1177.0314573588396</v>
      </c>
    </row>
    <row r="163" spans="1:165" x14ac:dyDescent="0.3">
      <c r="A163" s="168" t="s">
        <v>122</v>
      </c>
      <c r="DU163" s="250">
        <f>+IF(DU162&gt;0,IF(DU162&lt;DU160,DU162*-1,0),0)</f>
        <v>0</v>
      </c>
      <c r="DV163" s="250">
        <f>+IF(DV162&gt;0,IF(DV162&lt;DV160,DV162*-1,0),0)</f>
        <v>0</v>
      </c>
      <c r="DW163" s="250">
        <f>+IF(DW162&gt;0,IF(DW162&lt;DW160,DW162*-1,0),0)</f>
        <v>0</v>
      </c>
      <c r="DX163" s="250">
        <f>+IF(DX162&gt;0,IF(DX162&lt;DX160,DX162*-1,0),0)</f>
        <v>0</v>
      </c>
      <c r="DY163" s="251">
        <f>+SUM(DU163:DX163)</f>
        <v>0</v>
      </c>
      <c r="DZ163" s="250">
        <f>+IF(DZ162&gt;0,IF(DZ162&lt;DZ160,DZ162*-1,0),0)</f>
        <v>0</v>
      </c>
      <c r="EA163" s="250">
        <f>+IF(EA162&gt;0,IF(EA162&lt;EA160,EA162*-1,0),0)</f>
        <v>0</v>
      </c>
      <c r="EB163" s="250">
        <f>+IF(EB162&gt;0,IF(EB162&lt;EB160,EB162*-1,0),0)</f>
        <v>0</v>
      </c>
      <c r="EC163" s="250">
        <f>+IF(EC162&gt;0,IF(EC162&lt;EC160,EC162*-1,0),0)</f>
        <v>0</v>
      </c>
      <c r="ED163" s="251">
        <f>+SUM(DZ163:EC163)</f>
        <v>0</v>
      </c>
      <c r="EE163" s="250">
        <f>+IF(EE162&gt;0,IF(EE162&lt;EE160,EE162*-1,0),0)</f>
        <v>0</v>
      </c>
      <c r="EF163" s="250">
        <f>+IF(EF162&gt;0,IF(EF162&lt;EF160,EF162*-1,0),0)</f>
        <v>0</v>
      </c>
      <c r="EG163" s="250">
        <f>+IF(EG162&gt;0,IF(EG162&lt;EG160,EG162*-1,0),0)</f>
        <v>0</v>
      </c>
      <c r="EH163" s="250">
        <f>+IF(EH162&gt;0,IF(EH162&lt;EH160,EH162*-1,0),0)</f>
        <v>-201</v>
      </c>
      <c r="EI163" s="85">
        <f>SUM(EE163:EH163)</f>
        <v>-201</v>
      </c>
      <c r="EJ163" s="250">
        <f>+IF(EJ162&gt;0,IF(EJ162&lt;EJ160,EJ162*-1,0),0)</f>
        <v>-95</v>
      </c>
      <c r="EK163" s="250">
        <f>+IF(EK162&gt;0,IF(EK162&lt;EK160,EK162*-1,0),0)</f>
        <v>-170</v>
      </c>
      <c r="EL163" s="250">
        <f>+IF(EL162&gt;0,IF(EL162&lt;EL160,EL162*-1,0),0)</f>
        <v>-195</v>
      </c>
      <c r="EM163" s="250">
        <f>+IF(EM162&gt;0,IF(EM162&lt;EM160,EM162*-1,0),0)</f>
        <v>-139</v>
      </c>
      <c r="EN163" s="85">
        <f>SUM(EJ163:EM163)</f>
        <v>-599</v>
      </c>
      <c r="EO163" s="250">
        <f>+IF(EO162&gt;0,IF(EO162&lt;EO160,EO162*-1,0),0)</f>
        <v>-4</v>
      </c>
      <c r="EP163" s="250">
        <f>+IF(EP162&gt;0,IF(EP162&lt;EP160,EP162*-1,0),0)</f>
        <v>0</v>
      </c>
      <c r="EQ163" s="250">
        <f>+IF(EQ162&gt;0,IF(EQ162&lt;EQ160,EQ162*-1,0),0)</f>
        <v>-11</v>
      </c>
      <c r="ER163" s="250">
        <f>+IF(ER162&gt;0,IF(ER162&lt;ER160,ER162*-1,0),0)</f>
        <v>-104</v>
      </c>
      <c r="ES163" s="85">
        <f>SUM(EO163:ER163)</f>
        <v>-119</v>
      </c>
      <c r="ET163" s="250">
        <f>+IF(ET162&gt;0,IF(ET162&lt;ET160,ET162*-1,0),0)</f>
        <v>-3</v>
      </c>
      <c r="EU163" s="250">
        <f>+IF(EU162&gt;0,IF(EU162&lt;EU160,EU162*-1,0),0)</f>
        <v>0</v>
      </c>
      <c r="EV163" s="250">
        <f>+IF(EV162&gt;0,IF(EV162&lt;EV160,EV162*-1,0),0)</f>
        <v>0</v>
      </c>
      <c r="EW163" s="250">
        <f>+IF(EW162&gt;0,IF(EW162&lt;EW160,EW162*-1,0),0)</f>
        <v>0</v>
      </c>
      <c r="EX163" s="85">
        <f>SUM(ET163:EW163)</f>
        <v>-3</v>
      </c>
      <c r="EY163" s="250">
        <f t="shared" ref="EY163:FB163" si="454">+IF(EY162&gt;0,IF(EY162&lt;EY160,EY162*-1,0),0)</f>
        <v>0</v>
      </c>
      <c r="EZ163" s="250">
        <f t="shared" si="454"/>
        <v>0</v>
      </c>
      <c r="FA163" s="250">
        <f t="shared" si="454"/>
        <v>0</v>
      </c>
      <c r="FB163" s="250">
        <f t="shared" si="454"/>
        <v>0</v>
      </c>
      <c r="FC163" s="85">
        <f>SUM(EY163:FB163)</f>
        <v>0</v>
      </c>
      <c r="FD163" s="250">
        <f t="shared" ref="FD163:FH163" si="455">+IF(FD162&gt;0,IF(FD162&lt;FD160,FD162*-1,0),0)</f>
        <v>0</v>
      </c>
      <c r="FE163" s="250">
        <f t="shared" si="455"/>
        <v>-30.330224878843524</v>
      </c>
      <c r="FF163" s="250">
        <f t="shared" si="455"/>
        <v>-338.85469910364395</v>
      </c>
      <c r="FG163" s="250">
        <f t="shared" si="455"/>
        <v>-634.46393827495785</v>
      </c>
      <c r="FH163" s="250">
        <f t="shared" si="455"/>
        <v>-937.73890895097577</v>
      </c>
      <c r="FI163" s="250">
        <f>+IF(FI162&gt;0,IF(FI162&lt;FI160,FI162*-1,0),0)</f>
        <v>-1177.0314573588396</v>
      </c>
    </row>
    <row r="164" spans="1:165" x14ac:dyDescent="0.3">
      <c r="A164" s="168" t="s">
        <v>123</v>
      </c>
      <c r="DU164" s="803">
        <f>+IF(DU162&lt;0,0,DU162-DU163)</f>
        <v>0</v>
      </c>
      <c r="DV164" s="803">
        <f>+IF(DV162&lt;0,0,DV162-DV163)</f>
        <v>0</v>
      </c>
      <c r="DW164" s="803">
        <f>+IF(DW162&lt;0,0,DW162-DW163)</f>
        <v>0</v>
      </c>
      <c r="DX164" s="803">
        <f>+IF(DX162&lt;0,0,DX162-DX163)</f>
        <v>0</v>
      </c>
      <c r="DY164" s="1789">
        <f>+SUM(DU164:DX164)</f>
        <v>0</v>
      </c>
      <c r="DZ164" s="803">
        <f>+IF(DZ162&lt;0,0,DZ162+DZ163)</f>
        <v>0</v>
      </c>
      <c r="EA164" s="803">
        <f>+IF(EA162&lt;0,0,EA162+EA163)</f>
        <v>0</v>
      </c>
      <c r="EB164" s="803">
        <f>+IF(EB162&lt;0,0,EB162+EB163)</f>
        <v>4</v>
      </c>
      <c r="EC164" s="803">
        <f>+IF(EC162&lt;0,0,EC162+EC163)</f>
        <v>0</v>
      </c>
      <c r="ED164" s="1789">
        <f>+SUM(DZ164:EC164)</f>
        <v>4</v>
      </c>
      <c r="EE164" s="803">
        <f>+IF(EE162&lt;0,0,EE162+EE163)</f>
        <v>147</v>
      </c>
      <c r="EF164" s="803">
        <f>+IF(EF162&lt;0,0,EF162+EF163)</f>
        <v>4400</v>
      </c>
      <c r="EG164" s="803">
        <f>+IF(EG162&lt;0,0,EG162+EG163)</f>
        <v>157</v>
      </c>
      <c r="EH164" s="803">
        <f>+IF(EH162&lt;0,0,EH162+EH163)</f>
        <v>0</v>
      </c>
      <c r="EI164" s="1789">
        <f>+SUM(EE164:EH164)</f>
        <v>4704</v>
      </c>
      <c r="EJ164" s="803">
        <f>+IF(EJ162&lt;0,0,EJ162+EJ163)</f>
        <v>0</v>
      </c>
      <c r="EK164" s="803">
        <f>+IF(EK162&lt;0,0,EK162+EK163)</f>
        <v>0</v>
      </c>
      <c r="EL164" s="803">
        <f>+IF(EL162&lt;0,0,EL162+EL163)</f>
        <v>0</v>
      </c>
      <c r="EM164" s="803">
        <f>+IF(EM162&lt;0,0,EM162+EM163)</f>
        <v>0</v>
      </c>
      <c r="EN164" s="1789">
        <f>+SUM(EJ164:EM164)</f>
        <v>0</v>
      </c>
      <c r="EO164" s="803">
        <f>+IF(EO162&lt;0,0,EO162+EO163)</f>
        <v>0</v>
      </c>
      <c r="EP164" s="803">
        <f>+IF(EP162&lt;0,0,EP162+EP163)</f>
        <v>0</v>
      </c>
      <c r="EQ164" s="803">
        <f>+IF(EQ162&lt;0,0,EQ162+EQ163)</f>
        <v>0</v>
      </c>
      <c r="ER164" s="803">
        <f>+IF(ER162&lt;0,0,ER162+ER163)</f>
        <v>0</v>
      </c>
      <c r="ES164" s="1789">
        <f>+SUM(EO164:ER164)</f>
        <v>0</v>
      </c>
      <c r="ET164" s="803">
        <f>+IF(ET162&lt;0,0,ET162+ET163)</f>
        <v>0</v>
      </c>
      <c r="EU164" s="803">
        <f>+IF(EU162&lt;0,0,EU162+EU163)</f>
        <v>0</v>
      </c>
      <c r="EV164" s="803">
        <f>+IF(EV162&lt;0,0,EV162+EV163)</f>
        <v>0</v>
      </c>
      <c r="EW164" s="803">
        <f>+IF(EW162&lt;0,0,EW162+EW163)</f>
        <v>0</v>
      </c>
      <c r="EX164" s="1789">
        <f>+SUM(ET164:EW164)</f>
        <v>0</v>
      </c>
      <c r="EY164" s="803">
        <f t="shared" ref="EY164:FB164" si="456">+IF(EY162&lt;0,0,EY162+EY163)</f>
        <v>0</v>
      </c>
      <c r="EZ164" s="803">
        <f t="shared" si="456"/>
        <v>0</v>
      </c>
      <c r="FA164" s="803">
        <f t="shared" si="456"/>
        <v>0</v>
      </c>
      <c r="FB164" s="803">
        <f t="shared" si="456"/>
        <v>0</v>
      </c>
      <c r="FC164" s="1789">
        <f>+SUM(EY164:FB164)</f>
        <v>0</v>
      </c>
      <c r="FD164" s="803">
        <f t="shared" ref="FD164:FH164" si="457">+IF(FD162&lt;0,0,FD162+FD163)</f>
        <v>0</v>
      </c>
      <c r="FE164" s="803">
        <f t="shared" si="457"/>
        <v>0</v>
      </c>
      <c r="FF164" s="803">
        <f t="shared" si="457"/>
        <v>0</v>
      </c>
      <c r="FG164" s="803">
        <f t="shared" si="457"/>
        <v>0</v>
      </c>
      <c r="FH164" s="803">
        <f t="shared" si="457"/>
        <v>0</v>
      </c>
      <c r="FI164" s="803">
        <f>+IF(FI162&lt;0,0,FI162+FI163)</f>
        <v>0</v>
      </c>
    </row>
    <row r="165" spans="1:165" x14ac:dyDescent="0.3">
      <c r="A165" s="168" t="s">
        <v>124</v>
      </c>
      <c r="DU165" s="74" t="str">
        <f>+IFERROR(DU166/DU164,"")</f>
        <v/>
      </c>
      <c r="DV165" s="74" t="str">
        <f>+IFERROR(DV166/DV164,"")</f>
        <v/>
      </c>
      <c r="DW165" s="74" t="str">
        <f>+IFERROR(DW166/DW164,"")</f>
        <v/>
      </c>
      <c r="DX165" s="74" t="str">
        <f>+IFERROR(DX166/DX164,"")</f>
        <v/>
      </c>
      <c r="DY165" s="92" t="str">
        <f>+IFERROR(DY166/DY164,"")</f>
        <v/>
      </c>
      <c r="DZ165" s="74">
        <f t="shared" ref="DZ165:EG165" si="458">+DZ77</f>
        <v>0.11004784688995216</v>
      </c>
      <c r="EA165" s="74">
        <f t="shared" si="458"/>
        <v>0.23949579831932774</v>
      </c>
      <c r="EB165" s="74">
        <f t="shared" si="458"/>
        <v>-2.75</v>
      </c>
      <c r="EC165" s="74">
        <f t="shared" si="458"/>
        <v>-0.16279069767441862</v>
      </c>
      <c r="ED165" s="92">
        <f t="shared" si="458"/>
        <v>0.1728395061728395</v>
      </c>
      <c r="EE165" s="74">
        <f t="shared" si="458"/>
        <v>0.59183673469387754</v>
      </c>
      <c r="EF165" s="74">
        <f t="shared" si="458"/>
        <v>-4.0909090909090909E-2</v>
      </c>
      <c r="EG165" s="74">
        <f t="shared" si="458"/>
        <v>0.19745222929936307</v>
      </c>
      <c r="EH165" s="74">
        <f t="shared" ref="EH165" si="459">+EH77</f>
        <v>5.9701492537313432E-2</v>
      </c>
      <c r="EI165" s="92">
        <f>EI166/EI164</f>
        <v>8.2908163265306128E-3</v>
      </c>
      <c r="EJ165" s="74">
        <f>+EJ77</f>
        <v>0.31578947368421051</v>
      </c>
      <c r="EK165" s="74">
        <f>+EK77</f>
        <v>0.40588235294117647</v>
      </c>
      <c r="EL165" s="74">
        <f>+EL77</f>
        <v>0.38461538461538464</v>
      </c>
      <c r="EM165" s="74">
        <f>+EM77</f>
        <v>-0.11510791366906475</v>
      </c>
      <c r="EN165" s="92">
        <f>AVERAGE(EJ165:EM165)</f>
        <v>0.24779482439292672</v>
      </c>
      <c r="EO165" s="74">
        <f>+EO77</f>
        <v>0.25</v>
      </c>
      <c r="EP165" s="74">
        <f>+EP77</f>
        <v>0</v>
      </c>
      <c r="EQ165" s="74">
        <f>+EQ77</f>
        <v>0</v>
      </c>
      <c r="ER165" s="74">
        <f>+ER77</f>
        <v>0.83653846153846156</v>
      </c>
      <c r="ES165" s="92">
        <f>AVERAGE(EO165:ER165)</f>
        <v>0.27163461538461542</v>
      </c>
      <c r="ET165" s="74">
        <f>+ET77</f>
        <v>0.66666666666666663</v>
      </c>
      <c r="EU165" s="74">
        <f>+EU77</f>
        <v>6.8181818181818177E-2</v>
      </c>
      <c r="EV165" s="74">
        <f>+EV77</f>
        <v>6.8181818181818177E-2</v>
      </c>
      <c r="EW165" s="74">
        <f>+EW77</f>
        <v>8.5271317829457363E-2</v>
      </c>
      <c r="EX165" s="92">
        <f>AVERAGE(ET165:EW165)</f>
        <v>0.2220754052149401</v>
      </c>
      <c r="EY165" s="74">
        <f t="shared" ref="EY165:FB165" si="460">+EY77</f>
        <v>0.25</v>
      </c>
      <c r="EZ165" s="74">
        <f t="shared" si="460"/>
        <v>0.25</v>
      </c>
      <c r="FA165" s="74">
        <f t="shared" si="460"/>
        <v>0.25</v>
      </c>
      <c r="FB165" s="74">
        <f t="shared" si="460"/>
        <v>0.25</v>
      </c>
      <c r="FC165" s="92">
        <f>AVERAGE(EY165:FB165)</f>
        <v>0.25</v>
      </c>
      <c r="FD165" s="74">
        <f t="shared" ref="FD165:FI165" si="461">+FD77</f>
        <v>0.25</v>
      </c>
      <c r="FE165" s="74">
        <f t="shared" si="461"/>
        <v>0.25</v>
      </c>
      <c r="FF165" s="74">
        <f t="shared" si="461"/>
        <v>0.25</v>
      </c>
      <c r="FG165" s="74">
        <f t="shared" si="461"/>
        <v>0.25</v>
      </c>
      <c r="FH165" s="74">
        <f t="shared" si="461"/>
        <v>0.25</v>
      </c>
      <c r="FI165" s="74">
        <f t="shared" si="461"/>
        <v>0.25</v>
      </c>
    </row>
    <row r="166" spans="1:165" x14ac:dyDescent="0.3">
      <c r="A166" s="167" t="s">
        <v>108</v>
      </c>
      <c r="DU166" s="252">
        <f>+Inputs!DU273</f>
        <v>0</v>
      </c>
      <c r="DV166" s="252">
        <f>+Inputs!DV273</f>
        <v>5</v>
      </c>
      <c r="DW166" s="252">
        <f>+Inputs!DW273</f>
        <v>5</v>
      </c>
      <c r="DX166" s="252">
        <f>+Inputs!DX273</f>
        <v>-6</v>
      </c>
      <c r="DY166" s="253">
        <f>+SUM(DU166:DX166)</f>
        <v>4</v>
      </c>
      <c r="DZ166" s="255">
        <f>+Inputs!DZ273</f>
        <v>1</v>
      </c>
      <c r="EA166" s="255">
        <f>+Inputs!EA273</f>
        <v>0</v>
      </c>
      <c r="EB166" s="255">
        <f>+Inputs!EB273</f>
        <v>5</v>
      </c>
      <c r="EC166" s="255">
        <f>+Inputs!EC273</f>
        <v>2</v>
      </c>
      <c r="ED166" s="253">
        <f>+SUM(DZ166:EC166)</f>
        <v>8</v>
      </c>
      <c r="EE166" s="255">
        <f>+Inputs!EE273</f>
        <v>0</v>
      </c>
      <c r="EF166" s="255">
        <f>+Inputs!EF273</f>
        <v>33</v>
      </c>
      <c r="EG166" s="255">
        <f>+Inputs!EG273</f>
        <v>3</v>
      </c>
      <c r="EH166" s="255">
        <f>+Inputs!EH273</f>
        <v>3</v>
      </c>
      <c r="EI166" s="253">
        <f>+SUM(EE166:EH166)</f>
        <v>39</v>
      </c>
      <c r="EJ166" s="255">
        <f>+Inputs!EJ273</f>
        <v>2</v>
      </c>
      <c r="EK166" s="255">
        <f>+Inputs!EK273</f>
        <v>7</v>
      </c>
      <c r="EL166" s="255">
        <f>+Inputs!EL273</f>
        <v>-2</v>
      </c>
      <c r="EM166" s="255">
        <f>+Inputs!EM273</f>
        <v>1</v>
      </c>
      <c r="EN166" s="253">
        <f>+SUM(EJ166:EM166)</f>
        <v>8</v>
      </c>
      <c r="EO166" s="255">
        <f>+Inputs!EO273</f>
        <v>5</v>
      </c>
      <c r="EP166" s="255">
        <f>+Inputs!EP273</f>
        <v>-4</v>
      </c>
      <c r="EQ166" s="255">
        <f>+Inputs!EQ273</f>
        <v>0</v>
      </c>
      <c r="ER166" s="255">
        <f>+Inputs!ER273</f>
        <v>-1</v>
      </c>
      <c r="ES166" s="253">
        <f>+SUM(EO166:ER166)</f>
        <v>0</v>
      </c>
      <c r="ET166" s="255">
        <f>+Inputs!ET273</f>
        <v>13</v>
      </c>
      <c r="EU166" s="255">
        <f>+Inputs!EU273</f>
        <v>4</v>
      </c>
      <c r="EV166" s="255">
        <f>+Inputs!EV273</f>
        <v>1</v>
      </c>
      <c r="EW166" s="255">
        <f>+Inputs!EW273</f>
        <v>-2</v>
      </c>
      <c r="EX166" s="253">
        <f>+SUM(ET166:EW166)</f>
        <v>16</v>
      </c>
      <c r="EY166" s="257">
        <f>IF(EY164&gt;0,EY164*EY165,5)</f>
        <v>5</v>
      </c>
      <c r="EZ166" s="257">
        <f t="shared" ref="EZ166:FA166" si="462">IF(EZ164&gt;0,EZ164*EZ165,5)</f>
        <v>5</v>
      </c>
      <c r="FA166" s="257">
        <f t="shared" si="462"/>
        <v>5</v>
      </c>
      <c r="FB166" s="257">
        <f t="shared" ref="FB166" si="463">FC166-EY166-EZ166-FA166</f>
        <v>5</v>
      </c>
      <c r="FC166" s="473">
        <f>IF(FC164&gt;0,FC164*FC165,20)</f>
        <v>20</v>
      </c>
      <c r="FD166" s="257">
        <f t="shared" ref="FD166:FI166" si="464">IF(FD164&gt;0,FD164*FD165,20)</f>
        <v>20</v>
      </c>
      <c r="FE166" s="257">
        <f t="shared" si="464"/>
        <v>20</v>
      </c>
      <c r="FF166" s="257">
        <f t="shared" si="464"/>
        <v>20</v>
      </c>
      <c r="FG166" s="257">
        <f t="shared" si="464"/>
        <v>20</v>
      </c>
      <c r="FH166" s="257">
        <f t="shared" si="464"/>
        <v>20</v>
      </c>
      <c r="FI166" s="257">
        <f t="shared" si="464"/>
        <v>20</v>
      </c>
    </row>
    <row r="167" spans="1:165" x14ac:dyDescent="0.3">
      <c r="A167" s="169" t="s">
        <v>125</v>
      </c>
      <c r="DU167" s="77">
        <f t="shared" ref="DU167:FI167" si="465">+DU75</f>
        <v>18</v>
      </c>
      <c r="DV167" s="77">
        <f t="shared" si="465"/>
        <v>-534</v>
      </c>
      <c r="DW167" s="77">
        <f t="shared" si="465"/>
        <v>-21</v>
      </c>
      <c r="DX167" s="77">
        <f t="shared" si="465"/>
        <v>-74</v>
      </c>
      <c r="DY167" s="86">
        <f t="shared" si="465"/>
        <v>-611</v>
      </c>
      <c r="DZ167" s="77">
        <f t="shared" si="465"/>
        <v>-23</v>
      </c>
      <c r="EA167" s="77">
        <f t="shared" si="465"/>
        <v>-57</v>
      </c>
      <c r="EB167" s="77">
        <f t="shared" si="465"/>
        <v>-11</v>
      </c>
      <c r="EC167" s="77">
        <f t="shared" si="465"/>
        <v>7</v>
      </c>
      <c r="ED167" s="86">
        <f t="shared" si="465"/>
        <v>-84</v>
      </c>
      <c r="EE167" s="77">
        <f t="shared" si="465"/>
        <v>87</v>
      </c>
      <c r="EF167" s="77">
        <f t="shared" si="465"/>
        <v>-180</v>
      </c>
      <c r="EG167" s="77">
        <f t="shared" si="465"/>
        <v>31</v>
      </c>
      <c r="EH167" s="77">
        <f t="shared" ref="EH167" si="466">+EH75</f>
        <v>12</v>
      </c>
      <c r="EI167" s="86">
        <f t="shared" si="465"/>
        <v>-50</v>
      </c>
      <c r="EJ167" s="77">
        <f t="shared" si="465"/>
        <v>30</v>
      </c>
      <c r="EK167" s="77">
        <f t="shared" si="465"/>
        <v>69</v>
      </c>
      <c r="EL167" s="77">
        <f t="shared" ref="EL167:EM167" si="467">+EL75</f>
        <v>75</v>
      </c>
      <c r="EM167" s="77">
        <f t="shared" si="467"/>
        <v>-16</v>
      </c>
      <c r="EN167" s="86">
        <f t="shared" si="465"/>
        <v>158</v>
      </c>
      <c r="EO167" s="77">
        <f t="shared" ref="EO167:EP167" si="468">+EO75</f>
        <v>1</v>
      </c>
      <c r="EP167" s="77">
        <f t="shared" si="468"/>
        <v>0</v>
      </c>
      <c r="EQ167" s="77">
        <f t="shared" ref="EQ167:ER167" si="469">+EQ75</f>
        <v>0</v>
      </c>
      <c r="ER167" s="77">
        <f t="shared" si="469"/>
        <v>87</v>
      </c>
      <c r="ES167" s="86">
        <f t="shared" ref="ES167:ET167" si="470">+ES75</f>
        <v>88</v>
      </c>
      <c r="ET167" s="77">
        <f t="shared" si="470"/>
        <v>2</v>
      </c>
      <c r="EU167" s="77">
        <f t="shared" ref="EU167:EV167" si="471">+EU75</f>
        <v>-9</v>
      </c>
      <c r="EV167" s="77">
        <f t="shared" si="471"/>
        <v>-6</v>
      </c>
      <c r="EW167" s="77">
        <f t="shared" ref="EW167" si="472">+EW75</f>
        <v>-11</v>
      </c>
      <c r="EX167" s="86">
        <f t="shared" ref="EX167" si="473">+EX75</f>
        <v>-24</v>
      </c>
      <c r="EY167" s="77">
        <f t="shared" ref="EY167:FC167" si="474">+EY75</f>
        <v>-33.343491515487464</v>
      </c>
      <c r="EZ167" s="77">
        <f t="shared" si="474"/>
        <v>-28.665835838862904</v>
      </c>
      <c r="FA167" s="77">
        <f t="shared" si="474"/>
        <v>-29.816824021008976</v>
      </c>
      <c r="FB167" s="77">
        <f t="shared" si="474"/>
        <v>-16.768941618330587</v>
      </c>
      <c r="FC167" s="86">
        <f t="shared" si="474"/>
        <v>-108.59509299368993</v>
      </c>
      <c r="FD167" s="77">
        <f t="shared" si="465"/>
        <v>-70.205655896305643</v>
      </c>
      <c r="FE167" s="77">
        <f t="shared" si="465"/>
        <v>7.5825562197108809</v>
      </c>
      <c r="FF167" s="77">
        <f t="shared" si="465"/>
        <v>84.713674775910988</v>
      </c>
      <c r="FG167" s="77">
        <f t="shared" si="465"/>
        <v>158.61598456873946</v>
      </c>
      <c r="FH167" s="77">
        <f t="shared" si="465"/>
        <v>234.43472723774394</v>
      </c>
      <c r="FI167" s="77">
        <f t="shared" si="465"/>
        <v>294.2578643397099</v>
      </c>
    </row>
    <row r="168" spans="1:165" x14ac:dyDescent="0.3">
      <c r="A168" s="169" t="s">
        <v>126</v>
      </c>
      <c r="DU168" s="254">
        <f>DU167-DU166</f>
        <v>18</v>
      </c>
      <c r="DV168" s="254">
        <f t="shared" ref="DV168:EA168" si="475">DV167-DV166</f>
        <v>-539</v>
      </c>
      <c r="DW168" s="254">
        <f t="shared" si="475"/>
        <v>-26</v>
      </c>
      <c r="DX168" s="254">
        <f t="shared" si="475"/>
        <v>-68</v>
      </c>
      <c r="DY168" s="256">
        <f t="shared" si="475"/>
        <v>-615</v>
      </c>
      <c r="DZ168" s="254">
        <f t="shared" si="475"/>
        <v>-24</v>
      </c>
      <c r="EA168" s="254">
        <f t="shared" si="475"/>
        <v>-57</v>
      </c>
      <c r="EB168" s="254">
        <f t="shared" ref="EB168:EI168" si="476">EB167-EB166</f>
        <v>-16</v>
      </c>
      <c r="EC168" s="254">
        <f t="shared" si="476"/>
        <v>5</v>
      </c>
      <c r="ED168" s="256">
        <f t="shared" si="476"/>
        <v>-92</v>
      </c>
      <c r="EE168" s="254">
        <f>EE167-EE166</f>
        <v>87</v>
      </c>
      <c r="EF168" s="254">
        <f t="shared" si="476"/>
        <v>-213</v>
      </c>
      <c r="EG168" s="254">
        <f t="shared" si="476"/>
        <v>28</v>
      </c>
      <c r="EH168" s="254">
        <f t="shared" ref="EH168" si="477">EH167-EH166</f>
        <v>9</v>
      </c>
      <c r="EI168" s="256">
        <f t="shared" si="476"/>
        <v>-89</v>
      </c>
      <c r="EJ168" s="254">
        <f t="shared" ref="EJ168:EO168" si="478">EJ167-EJ166</f>
        <v>28</v>
      </c>
      <c r="EK168" s="254">
        <f t="shared" si="478"/>
        <v>62</v>
      </c>
      <c r="EL168" s="254">
        <f t="shared" si="478"/>
        <v>77</v>
      </c>
      <c r="EM168" s="254">
        <f t="shared" si="478"/>
        <v>-17</v>
      </c>
      <c r="EN168" s="256">
        <f t="shared" si="478"/>
        <v>150</v>
      </c>
      <c r="EO168" s="254">
        <f t="shared" si="478"/>
        <v>-4</v>
      </c>
      <c r="EP168" s="254">
        <f t="shared" ref="EP168:EQ168" si="479">EP167-EP166</f>
        <v>4</v>
      </c>
      <c r="EQ168" s="254">
        <f t="shared" si="479"/>
        <v>0</v>
      </c>
      <c r="ER168" s="254">
        <f t="shared" ref="ER168" si="480">ER167-ER166</f>
        <v>88</v>
      </c>
      <c r="ES168" s="256">
        <f>ES167-ES166</f>
        <v>88</v>
      </c>
      <c r="ET168" s="254">
        <f t="shared" ref="ET168:EU168" si="481">ET167-ET166</f>
        <v>-11</v>
      </c>
      <c r="EU168" s="254">
        <f t="shared" si="481"/>
        <v>-13</v>
      </c>
      <c r="EV168" s="254">
        <f t="shared" ref="EV168:EW168" si="482">EV167-EV166</f>
        <v>-7</v>
      </c>
      <c r="EW168" s="254">
        <f t="shared" si="482"/>
        <v>-9</v>
      </c>
      <c r="EX168" s="256">
        <f>EX167-EX166</f>
        <v>-40</v>
      </c>
      <c r="EY168" s="254">
        <f t="shared" ref="EY168:FB168" si="483">EY167-EY166</f>
        <v>-38.343491515487464</v>
      </c>
      <c r="EZ168" s="254">
        <f t="shared" si="483"/>
        <v>-33.665835838862904</v>
      </c>
      <c r="FA168" s="254">
        <f t="shared" si="483"/>
        <v>-34.816824021008976</v>
      </c>
      <c r="FB168" s="254">
        <f t="shared" si="483"/>
        <v>-21.768941618330587</v>
      </c>
      <c r="FC168" s="256">
        <f>FC167-FC166</f>
        <v>-128.59509299368995</v>
      </c>
      <c r="FD168" s="254">
        <f t="shared" ref="FD168:FH168" si="484">FD167-FD166</f>
        <v>-90.205655896305643</v>
      </c>
      <c r="FE168" s="254">
        <f t="shared" si="484"/>
        <v>-12.417443780289119</v>
      </c>
      <c r="FF168" s="254">
        <f t="shared" si="484"/>
        <v>64.713674775910988</v>
      </c>
      <c r="FG168" s="254">
        <f t="shared" si="484"/>
        <v>138.61598456873946</v>
      </c>
      <c r="FH168" s="254">
        <f t="shared" si="484"/>
        <v>214.43472723774394</v>
      </c>
      <c r="FI168" s="254">
        <f>FI167-FI166</f>
        <v>274.2578643397099</v>
      </c>
    </row>
    <row r="169" spans="1:165" x14ac:dyDescent="0.3">
      <c r="A169" s="27"/>
      <c r="EB169" s="76"/>
      <c r="EC169" s="76"/>
      <c r="EE169" s="76"/>
      <c r="ET169" s="90"/>
      <c r="EU169" s="90"/>
      <c r="EV169" s="90"/>
      <c r="EW169" s="90"/>
      <c r="EY169" s="90"/>
      <c r="EZ169" s="90"/>
      <c r="FA169" s="90"/>
      <c r="FB169" s="90"/>
    </row>
    <row r="170" spans="1:165" x14ac:dyDescent="0.3">
      <c r="A170" s="25" t="s">
        <v>127</v>
      </c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</row>
    <row r="171" spans="1:165" x14ac:dyDescent="0.3">
      <c r="A171" s="27" t="s">
        <v>128</v>
      </c>
      <c r="DU171" s="44">
        <f>+Inputs!DU211</f>
        <v>119</v>
      </c>
      <c r="DV171" s="44">
        <f>+Inputs!DV211</f>
        <v>267</v>
      </c>
      <c r="DW171" s="44">
        <f>+Inputs!DW211</f>
        <v>683</v>
      </c>
      <c r="DX171" s="44">
        <f>+Inputs!DX211</f>
        <v>760</v>
      </c>
      <c r="DY171" s="45">
        <f>+DX171</f>
        <v>760</v>
      </c>
      <c r="DZ171" s="44">
        <f>+Inputs!DZ211</f>
        <v>941</v>
      </c>
      <c r="EA171" s="44">
        <f>+Inputs!EA211</f>
        <v>2290</v>
      </c>
      <c r="EB171" s="44">
        <f>+Inputs!EB211</f>
        <v>1767</v>
      </c>
      <c r="EC171" s="44">
        <f>+Inputs!EC211</f>
        <v>1829</v>
      </c>
      <c r="ED171" s="45">
        <f>+EC171</f>
        <v>1829</v>
      </c>
      <c r="EE171" s="44">
        <f>+Inputs!EE211</f>
        <v>2107</v>
      </c>
      <c r="EF171" s="44">
        <f>+Inputs!EF211</f>
        <v>993</v>
      </c>
      <c r="EG171" s="44">
        <f>+Inputs!EG211</f>
        <v>1211</v>
      </c>
      <c r="EH171" s="44">
        <f>+Inputs!EH211</f>
        <v>2127</v>
      </c>
      <c r="EI171" s="45">
        <f>+EH171</f>
        <v>2127</v>
      </c>
      <c r="EJ171" s="44">
        <f>+Inputs!EJ211</f>
        <v>1300</v>
      </c>
      <c r="EK171" s="44">
        <f>+Inputs!EK211</f>
        <v>678</v>
      </c>
      <c r="EL171" s="44">
        <f>+Inputs!EL211</f>
        <v>230</v>
      </c>
      <c r="EM171" s="44">
        <f>+Inputs!EM211</f>
        <v>322</v>
      </c>
      <c r="EN171" s="45">
        <f t="shared" ref="EN171:EN176" si="485">+EM171</f>
        <v>322</v>
      </c>
      <c r="EO171" s="44">
        <f>+Inputs!EO211</f>
        <v>1132</v>
      </c>
      <c r="EP171" s="44">
        <f>+Inputs!EP211</f>
        <v>662</v>
      </c>
      <c r="EQ171" s="44">
        <f>+Inputs!EQ211</f>
        <v>948</v>
      </c>
      <c r="ER171" s="44">
        <f>+Inputs!ER211</f>
        <v>1125</v>
      </c>
      <c r="ES171" s="45">
        <f>+ER171</f>
        <v>1125</v>
      </c>
      <c r="ET171" s="44">
        <f>+Inputs!ET211</f>
        <v>1296</v>
      </c>
      <c r="EU171" s="44">
        <f>+Inputs!EU211</f>
        <v>1197</v>
      </c>
      <c r="EV171" s="44">
        <f>+Inputs!EV211</f>
        <v>1320</v>
      </c>
      <c r="EW171" s="44">
        <f>+Inputs!EW211</f>
        <v>750</v>
      </c>
      <c r="EX171" s="45">
        <f>+EW171</f>
        <v>750</v>
      </c>
      <c r="EY171" s="76">
        <f t="shared" ref="EY171" si="486">+EX171-EX124+EY124</f>
        <v>308.01150044971871</v>
      </c>
      <c r="EZ171" s="76">
        <f t="shared" ref="EZ171" si="487">+EY171-EY124+EZ124</f>
        <v>970.12754515271649</v>
      </c>
      <c r="FA171" s="76">
        <f t="shared" ref="FA171" si="488">+EZ171-EZ124+FA124</f>
        <v>545.90934618057349</v>
      </c>
      <c r="FB171" s="76">
        <f t="shared" ref="FB171" si="489">+FA171-FA124+FB124</f>
        <v>82.793265958191853</v>
      </c>
      <c r="FC171" s="45">
        <f>+FB171</f>
        <v>82.793265958191853</v>
      </c>
      <c r="FD171" s="76">
        <f>+FC171-FC124+FD124</f>
        <v>-25.955249149083954</v>
      </c>
      <c r="FE171" s="76">
        <f t="shared" ref="FE171:FI171" si="490">+FD171-FD124+FE124</f>
        <v>-38.671773529581003</v>
      </c>
      <c r="FF171" s="76">
        <f t="shared" si="490"/>
        <v>72.499293338593873</v>
      </c>
      <c r="FG171" s="76">
        <f t="shared" si="490"/>
        <v>-164.85254733679716</v>
      </c>
      <c r="FH171" s="76">
        <f t="shared" si="490"/>
        <v>-430.85254733679716</v>
      </c>
      <c r="FI171" s="76">
        <f t="shared" si="490"/>
        <v>-430.85254733679716</v>
      </c>
    </row>
    <row r="172" spans="1:165" x14ac:dyDescent="0.3">
      <c r="A172" s="27" t="s">
        <v>129</v>
      </c>
      <c r="DU172" s="44"/>
      <c r="DV172" s="44"/>
      <c r="DW172" s="44"/>
      <c r="DX172" s="44"/>
      <c r="DY172" s="45"/>
      <c r="DZ172" s="44"/>
      <c r="EA172" s="44"/>
      <c r="EB172" s="44"/>
      <c r="EC172" s="44"/>
      <c r="ED172" s="45"/>
      <c r="EE172" s="44"/>
      <c r="EF172" s="44"/>
      <c r="EG172" s="44"/>
      <c r="EH172" s="44"/>
      <c r="EI172" s="45"/>
      <c r="EJ172" s="44">
        <f>+Inputs!EJ212</f>
        <v>900</v>
      </c>
      <c r="EK172" s="44">
        <f>+Inputs!EK212</f>
        <v>2300</v>
      </c>
      <c r="EL172" s="44">
        <f>+Inputs!EL212</f>
        <v>2325</v>
      </c>
      <c r="EM172" s="44">
        <f>+Inputs!EM212</f>
        <v>1750</v>
      </c>
      <c r="EN172" s="45">
        <f t="shared" si="485"/>
        <v>1750</v>
      </c>
      <c r="EO172" s="44">
        <f>+Inputs!EO212</f>
        <v>900</v>
      </c>
      <c r="EP172" s="44">
        <f>+Inputs!EP212</f>
        <v>575</v>
      </c>
      <c r="EQ172" s="44">
        <f>+Inputs!EQ212</f>
        <v>1275</v>
      </c>
      <c r="ER172" s="44">
        <f>+Inputs!ER212</f>
        <v>1075</v>
      </c>
      <c r="ES172" s="45">
        <f>ER172</f>
        <v>1075</v>
      </c>
      <c r="ET172" s="44">
        <f>+Inputs!ET212</f>
        <v>225</v>
      </c>
      <c r="EU172" s="44">
        <f>+Inputs!EU212</f>
        <v>0</v>
      </c>
      <c r="EV172" s="44">
        <f>+Inputs!EV212</f>
        <v>0</v>
      </c>
      <c r="EW172" s="44">
        <f>+Inputs!EW212</f>
        <v>0</v>
      </c>
      <c r="EX172" s="45">
        <f>EW172</f>
        <v>0</v>
      </c>
      <c r="EY172" s="76">
        <f t="shared" ref="EY172" si="491">EX172-EY109</f>
        <v>0</v>
      </c>
      <c r="EZ172" s="76">
        <f t="shared" ref="EZ172" si="492">EY172-EZ109</f>
        <v>0</v>
      </c>
      <c r="FA172" s="76">
        <f t="shared" ref="FA172" si="493">EZ172-FA109</f>
        <v>0</v>
      </c>
      <c r="FB172" s="76">
        <f t="shared" ref="FB172" si="494">FA172-FB109</f>
        <v>0</v>
      </c>
      <c r="FC172" s="45">
        <f>FB172</f>
        <v>0</v>
      </c>
      <c r="FD172" s="76">
        <f t="shared" ref="FD172:FI172" si="495">FC172-FD109</f>
        <v>0</v>
      </c>
      <c r="FE172" s="76">
        <f t="shared" si="495"/>
        <v>0</v>
      </c>
      <c r="FF172" s="76">
        <f t="shared" si="495"/>
        <v>0</v>
      </c>
      <c r="FG172" s="76">
        <f t="shared" si="495"/>
        <v>0</v>
      </c>
      <c r="FH172" s="76">
        <f t="shared" si="495"/>
        <v>0</v>
      </c>
      <c r="FI172" s="76">
        <f t="shared" si="495"/>
        <v>0</v>
      </c>
    </row>
    <row r="173" spans="1:165" x14ac:dyDescent="0.3">
      <c r="A173" s="27" t="s">
        <v>130</v>
      </c>
      <c r="DU173" s="44">
        <f>+Inputs!DU213</f>
        <v>715</v>
      </c>
      <c r="DV173" s="44">
        <f>+Inputs!DV213</f>
        <v>674</v>
      </c>
      <c r="DW173" s="44">
        <f>+Inputs!DW213</f>
        <v>654</v>
      </c>
      <c r="DX173" s="44">
        <f>+Inputs!DX213</f>
        <v>629</v>
      </c>
      <c r="DY173" s="45">
        <f>+DX173</f>
        <v>629</v>
      </c>
      <c r="DZ173" s="44">
        <f>+Inputs!DZ213</f>
        <v>596</v>
      </c>
      <c r="EA173" s="44">
        <f>+Inputs!EA213</f>
        <v>602</v>
      </c>
      <c r="EB173" s="44">
        <f>+Inputs!EB213</f>
        <v>562</v>
      </c>
      <c r="EC173" s="44">
        <f>+Inputs!EC213</f>
        <v>553</v>
      </c>
      <c r="ED173" s="45">
        <f>+EC173</f>
        <v>553</v>
      </c>
      <c r="EE173" s="44">
        <f>+Inputs!EE213</f>
        <v>519</v>
      </c>
      <c r="EF173" s="44">
        <f>+Inputs!EF213</f>
        <v>504</v>
      </c>
      <c r="EG173" s="44">
        <f>+Inputs!EG213</f>
        <v>452</v>
      </c>
      <c r="EH173" s="44">
        <f>+Inputs!EH213</f>
        <v>458</v>
      </c>
      <c r="EI173" s="45">
        <f>+EH173</f>
        <v>458</v>
      </c>
      <c r="EJ173" s="44">
        <f>+Inputs!EJ213</f>
        <v>397</v>
      </c>
      <c r="EK173" s="44">
        <f>+Inputs!EK213</f>
        <v>420</v>
      </c>
      <c r="EL173" s="44">
        <f>+Inputs!EL213</f>
        <v>422</v>
      </c>
      <c r="EM173" s="44">
        <f>+Inputs!EM213</f>
        <v>438</v>
      </c>
      <c r="EN173" s="45">
        <f t="shared" si="485"/>
        <v>438</v>
      </c>
      <c r="EO173" s="44">
        <f>+Inputs!EO213</f>
        <v>430</v>
      </c>
      <c r="EP173" s="44">
        <f>+Inputs!EP213</f>
        <v>431</v>
      </c>
      <c r="EQ173" s="44">
        <f>+Inputs!EQ213</f>
        <v>449</v>
      </c>
      <c r="ER173" s="44">
        <f>+Inputs!ER213</f>
        <v>446</v>
      </c>
      <c r="ES173" s="45">
        <f>+ER173</f>
        <v>446</v>
      </c>
      <c r="ET173" s="44">
        <f>+Inputs!ET213</f>
        <v>447</v>
      </c>
      <c r="EU173" s="44">
        <f>+Inputs!EU213</f>
        <v>434</v>
      </c>
      <c r="EV173" s="44">
        <f>+Inputs!EV213</f>
        <v>419</v>
      </c>
      <c r="EW173" s="44">
        <f>+Inputs!EW213</f>
        <v>379</v>
      </c>
      <c r="EX173" s="45">
        <f>+EW173</f>
        <v>379</v>
      </c>
      <c r="EY173" s="76">
        <f t="shared" ref="EY173" si="496">EX173</f>
        <v>379</v>
      </c>
      <c r="EZ173" s="76">
        <f t="shared" ref="EZ173" si="497">EY173</f>
        <v>379</v>
      </c>
      <c r="FA173" s="76">
        <f t="shared" ref="FA173" si="498">EZ173</f>
        <v>379</v>
      </c>
      <c r="FB173" s="76">
        <f t="shared" ref="FB173" si="499">FA173</f>
        <v>379</v>
      </c>
      <c r="FC173" s="45">
        <f>+FB173</f>
        <v>379</v>
      </c>
      <c r="FD173" s="76">
        <f t="shared" ref="FD173:FI173" si="500">FC173</f>
        <v>379</v>
      </c>
      <c r="FE173" s="76">
        <f t="shared" si="500"/>
        <v>379</v>
      </c>
      <c r="FF173" s="76">
        <f t="shared" si="500"/>
        <v>379</v>
      </c>
      <c r="FG173" s="76">
        <f t="shared" si="500"/>
        <v>379</v>
      </c>
      <c r="FH173" s="76">
        <f t="shared" si="500"/>
        <v>379</v>
      </c>
      <c r="FI173" s="76">
        <f t="shared" si="500"/>
        <v>379</v>
      </c>
    </row>
    <row r="174" spans="1:165" x14ac:dyDescent="0.3">
      <c r="A174" s="27" t="s">
        <v>131</v>
      </c>
      <c r="DU174" s="44">
        <f>+Inputs!DU214</f>
        <v>0</v>
      </c>
      <c r="DV174" s="44">
        <f>+Inputs!DV214</f>
        <v>1405</v>
      </c>
      <c r="DW174" s="44">
        <f>+Inputs!DW214</f>
        <v>1402</v>
      </c>
      <c r="DX174" s="44">
        <f>+Inputs!DX214</f>
        <v>1401</v>
      </c>
      <c r="DY174" s="45">
        <f>+DX174</f>
        <v>1401</v>
      </c>
      <c r="DZ174" s="44">
        <f>+Inputs!DZ214</f>
        <v>1406</v>
      </c>
      <c r="EA174" s="44">
        <f>+Inputs!EA214</f>
        <v>0</v>
      </c>
      <c r="EB174" s="44">
        <f>+Inputs!EB214</f>
        <v>0</v>
      </c>
      <c r="EC174" s="44">
        <f>+Inputs!EC214</f>
        <v>0</v>
      </c>
      <c r="ED174" s="45">
        <f>+EC174</f>
        <v>0</v>
      </c>
      <c r="EE174" s="44">
        <f>+Inputs!EE214</f>
        <v>0</v>
      </c>
      <c r="EF174" s="44">
        <f>+Inputs!EF214</f>
        <v>0</v>
      </c>
      <c r="EG174" s="44">
        <f>+Inputs!EG214</f>
        <v>0</v>
      </c>
      <c r="EH174" s="44">
        <f>+Inputs!EH214</f>
        <v>0</v>
      </c>
      <c r="EI174" s="45">
        <f>+EH174</f>
        <v>0</v>
      </c>
      <c r="EJ174" s="44">
        <f>+Inputs!EJ214</f>
        <v>0</v>
      </c>
      <c r="EK174" s="44">
        <f>+Inputs!EK214</f>
        <v>0</v>
      </c>
      <c r="EL174" s="44">
        <f>+Inputs!EL214</f>
        <v>0</v>
      </c>
      <c r="EM174" s="44">
        <f>+Inputs!EM214</f>
        <v>0</v>
      </c>
      <c r="EN174" s="45">
        <f t="shared" si="485"/>
        <v>0</v>
      </c>
      <c r="EO174" s="44">
        <f>+Inputs!EO214</f>
        <v>0</v>
      </c>
      <c r="EP174" s="44">
        <f>+Inputs!EP214</f>
        <v>0</v>
      </c>
      <c r="EQ174" s="44">
        <f>+Inputs!EQ214</f>
        <v>0</v>
      </c>
      <c r="ER174" s="44">
        <f>+Inputs!ER214</f>
        <v>0</v>
      </c>
      <c r="ES174" s="45">
        <f>+ER174</f>
        <v>0</v>
      </c>
      <c r="ET174" s="44">
        <f>+Inputs!ET214</f>
        <v>0</v>
      </c>
      <c r="EU174" s="44">
        <f>+Inputs!EU214</f>
        <v>0</v>
      </c>
      <c r="EV174" s="44">
        <f>+Inputs!EV214</f>
        <v>0</v>
      </c>
      <c r="EW174" s="44">
        <f>+Inputs!EW214</f>
        <v>0</v>
      </c>
      <c r="EX174" s="45">
        <f>+EW174</f>
        <v>0</v>
      </c>
      <c r="EY174" s="57">
        <f t="shared" ref="EY174" si="501">+EX174</f>
        <v>0</v>
      </c>
      <c r="EZ174" s="57">
        <f t="shared" ref="EZ174" si="502">+EY174</f>
        <v>0</v>
      </c>
      <c r="FA174" s="57">
        <f t="shared" ref="FA174" si="503">+EZ174</f>
        <v>0</v>
      </c>
      <c r="FB174" s="57">
        <f t="shared" ref="FB174" si="504">+FA174</f>
        <v>0</v>
      </c>
      <c r="FC174" s="45">
        <f>+FB174</f>
        <v>0</v>
      </c>
      <c r="FD174" s="57">
        <f t="shared" ref="FD174:FI174" si="505">+FC174</f>
        <v>0</v>
      </c>
      <c r="FE174" s="57">
        <f t="shared" si="505"/>
        <v>0</v>
      </c>
      <c r="FF174" s="57">
        <f t="shared" si="505"/>
        <v>0</v>
      </c>
      <c r="FG174" s="57">
        <f t="shared" si="505"/>
        <v>0</v>
      </c>
      <c r="FH174" s="57">
        <f t="shared" si="505"/>
        <v>0</v>
      </c>
      <c r="FI174" s="57">
        <f t="shared" si="505"/>
        <v>0</v>
      </c>
    </row>
    <row r="175" spans="1:165" x14ac:dyDescent="0.3">
      <c r="A175" s="27" t="s">
        <v>132</v>
      </c>
      <c r="DU175" s="44">
        <f>+Inputs!DU215</f>
        <v>276</v>
      </c>
      <c r="DV175" s="44">
        <f>+Inputs!DV215</f>
        <v>268</v>
      </c>
      <c r="DW175" s="44">
        <f>+Inputs!DW215</f>
        <v>270</v>
      </c>
      <c r="DX175" s="44">
        <f>+Inputs!DX215</f>
        <v>247</v>
      </c>
      <c r="DY175" s="45">
        <f>+DX175</f>
        <v>247</v>
      </c>
      <c r="DZ175" s="44">
        <f>+Inputs!DZ215</f>
        <v>259</v>
      </c>
      <c r="EA175" s="44">
        <f>+Inputs!EA215</f>
        <v>327</v>
      </c>
      <c r="EB175" s="44">
        <f>+Inputs!EB215</f>
        <v>309</v>
      </c>
      <c r="EC175" s="44">
        <f>+Inputs!EC215</f>
        <v>272</v>
      </c>
      <c r="ED175" s="45">
        <f>+EC175</f>
        <v>272</v>
      </c>
      <c r="EE175" s="44">
        <f>+Inputs!EE215</f>
        <v>221</v>
      </c>
      <c r="EF175" s="44">
        <f>+Inputs!EF215</f>
        <v>128</v>
      </c>
      <c r="EG175" s="44">
        <f>+Inputs!EG215</f>
        <v>124</v>
      </c>
      <c r="EH175" s="44">
        <f>+Inputs!EH215</f>
        <v>103</v>
      </c>
      <c r="EI175" s="45">
        <f>+EH175</f>
        <v>103</v>
      </c>
      <c r="EJ175" s="44">
        <f>+Inputs!EJ215</f>
        <v>91</v>
      </c>
      <c r="EK175" s="44">
        <f>+Inputs!EK215</f>
        <v>104</v>
      </c>
      <c r="EL175" s="44">
        <f>+Inputs!EL215</f>
        <v>101</v>
      </c>
      <c r="EM175" s="44">
        <f>+Inputs!EM215</f>
        <v>87</v>
      </c>
      <c r="EN175" s="45">
        <f t="shared" si="485"/>
        <v>87</v>
      </c>
      <c r="EO175" s="44">
        <f>+Inputs!EO215</f>
        <v>82</v>
      </c>
      <c r="EP175" s="44">
        <f>+Inputs!EP215</f>
        <v>93</v>
      </c>
      <c r="EQ175" s="44">
        <f>+Inputs!EQ215</f>
        <v>126</v>
      </c>
      <c r="ER175" s="44">
        <f>+Inputs!ER215</f>
        <v>135</v>
      </c>
      <c r="ES175" s="45">
        <f>+ER175</f>
        <v>135</v>
      </c>
      <c r="ET175" s="44">
        <f>+Inputs!ET215</f>
        <v>113</v>
      </c>
      <c r="EU175" s="44">
        <f>+Inputs!EU215</f>
        <v>124</v>
      </c>
      <c r="EV175" s="44">
        <f>+Inputs!EV215</f>
        <v>147</v>
      </c>
      <c r="EW175" s="44">
        <f>+Inputs!EW215</f>
        <v>131</v>
      </c>
      <c r="EX175" s="45">
        <f>+EW175</f>
        <v>131</v>
      </c>
      <c r="EY175" s="76">
        <f t="shared" ref="EY175" si="506">EX175</f>
        <v>131</v>
      </c>
      <c r="EZ175" s="76">
        <f t="shared" ref="EZ175" si="507">EY175</f>
        <v>131</v>
      </c>
      <c r="FA175" s="76">
        <f t="shared" ref="FA175" si="508">EZ175</f>
        <v>131</v>
      </c>
      <c r="FB175" s="76">
        <f t="shared" ref="FB175" si="509">FA175</f>
        <v>131</v>
      </c>
      <c r="FC175" s="45">
        <f>+FB175</f>
        <v>131</v>
      </c>
      <c r="FD175" s="76">
        <f t="shared" ref="FD175:FI175" si="510">FC175</f>
        <v>131</v>
      </c>
      <c r="FE175" s="76">
        <f t="shared" si="510"/>
        <v>131</v>
      </c>
      <c r="FF175" s="76">
        <f t="shared" si="510"/>
        <v>131</v>
      </c>
      <c r="FG175" s="76">
        <f t="shared" si="510"/>
        <v>131</v>
      </c>
      <c r="FH175" s="76">
        <f t="shared" si="510"/>
        <v>131</v>
      </c>
      <c r="FI175" s="76">
        <f t="shared" si="510"/>
        <v>131</v>
      </c>
    </row>
    <row r="176" spans="1:165" x14ac:dyDescent="0.3">
      <c r="A176" s="29" t="s">
        <v>133</v>
      </c>
      <c r="DU176" s="803">
        <f>+SUM(DU171:DU175)</f>
        <v>1110</v>
      </c>
      <c r="DV176" s="803">
        <f>+SUM(DV171:DV175)</f>
        <v>2614</v>
      </c>
      <c r="DW176" s="803">
        <f>+SUM(DW171:DW175)</f>
        <v>3009</v>
      </c>
      <c r="DX176" s="803">
        <f>+SUM(DX171:DX175)</f>
        <v>3037</v>
      </c>
      <c r="DY176" s="858">
        <f>+DX176</f>
        <v>3037</v>
      </c>
      <c r="DZ176" s="803">
        <f>+SUM(DZ171:DZ175)</f>
        <v>3202</v>
      </c>
      <c r="EA176" s="803">
        <f>+SUM(EA171:EA175)</f>
        <v>3219</v>
      </c>
      <c r="EB176" s="803">
        <f>+SUM(EB171:EB175)</f>
        <v>2638</v>
      </c>
      <c r="EC176" s="803">
        <f>+SUM(EC171:EC175)</f>
        <v>2654</v>
      </c>
      <c r="ED176" s="858">
        <f>+EC176</f>
        <v>2654</v>
      </c>
      <c r="EE176" s="803">
        <f>+SUM(EE171:EE175)</f>
        <v>2847</v>
      </c>
      <c r="EF176" s="803">
        <f>+SUM(EF171:EF175)</f>
        <v>1625</v>
      </c>
      <c r="EG176" s="803">
        <f>+SUM(EG171:EG175)</f>
        <v>1787</v>
      </c>
      <c r="EH176" s="803">
        <f>+SUM(EH171:EH175)</f>
        <v>2688</v>
      </c>
      <c r="EI176" s="858">
        <f>+EH176</f>
        <v>2688</v>
      </c>
      <c r="EJ176" s="803">
        <f>+SUM(EJ171:EJ175)</f>
        <v>2688</v>
      </c>
      <c r="EK176" s="803">
        <f>+SUM(EK171:EK175)</f>
        <v>3502</v>
      </c>
      <c r="EL176" s="803">
        <f>+SUM(EL171:EL175)</f>
        <v>3078</v>
      </c>
      <c r="EM176" s="803">
        <f>+SUM(EM171:EM175)</f>
        <v>2597</v>
      </c>
      <c r="EN176" s="858">
        <f t="shared" si="485"/>
        <v>2597</v>
      </c>
      <c r="EO176" s="803">
        <f>+SUM(EO171:EO175)</f>
        <v>2544</v>
      </c>
      <c r="EP176" s="803">
        <f>+SUM(EP171:EP175)</f>
        <v>1761</v>
      </c>
      <c r="EQ176" s="803">
        <f>+SUM(EQ171:EQ175)</f>
        <v>2798</v>
      </c>
      <c r="ER176" s="803">
        <f>+SUM(ER171:ER175)</f>
        <v>2781</v>
      </c>
      <c r="ES176" s="858">
        <f>+ER176</f>
        <v>2781</v>
      </c>
      <c r="ET176" s="803">
        <f>+SUM(ET171:ET175)</f>
        <v>2081</v>
      </c>
      <c r="EU176" s="803">
        <f>+SUM(EU171:EU175)</f>
        <v>1755</v>
      </c>
      <c r="EV176" s="803">
        <f>+SUM(EV171:EV175)</f>
        <v>1886</v>
      </c>
      <c r="EW176" s="803">
        <f>+SUM(EW171:EW175)</f>
        <v>1260</v>
      </c>
      <c r="EX176" s="858">
        <f>+EW176</f>
        <v>1260</v>
      </c>
      <c r="EY176" s="803">
        <f t="shared" ref="EY176:FB176" si="511">+SUM(EY171:EY175)</f>
        <v>818.01150044971871</v>
      </c>
      <c r="EZ176" s="803">
        <f t="shared" si="511"/>
        <v>1480.1275451527165</v>
      </c>
      <c r="FA176" s="803">
        <f t="shared" si="511"/>
        <v>1055.9093461805735</v>
      </c>
      <c r="FB176" s="803">
        <f t="shared" si="511"/>
        <v>592.7932659581918</v>
      </c>
      <c r="FC176" s="858">
        <f>+FB176</f>
        <v>592.7932659581918</v>
      </c>
      <c r="FD176" s="803">
        <f t="shared" ref="FD176:FH176" si="512">+SUM(FD171:FD175)</f>
        <v>484.04475085091605</v>
      </c>
      <c r="FE176" s="803">
        <f t="shared" ref="FE176" si="513">+SUM(FE171:FE175)</f>
        <v>471.328226470419</v>
      </c>
      <c r="FF176" s="803">
        <f t="shared" si="512"/>
        <v>582.49929333859382</v>
      </c>
      <c r="FG176" s="803">
        <f t="shared" ref="FG176" si="514">+SUM(FG171:FG175)</f>
        <v>345.14745266320284</v>
      </c>
      <c r="FH176" s="803">
        <f t="shared" si="512"/>
        <v>79.147452663202841</v>
      </c>
      <c r="FI176" s="803">
        <f>+SUM(FI171:FI175)</f>
        <v>79.147452663202841</v>
      </c>
    </row>
    <row r="177" spans="1:166" x14ac:dyDescent="0.3">
      <c r="A177" s="30"/>
      <c r="DW177" s="76"/>
      <c r="DX177" s="76"/>
      <c r="DZ177" s="76"/>
      <c r="EA177" s="76"/>
      <c r="EB177" s="76"/>
      <c r="EC177" s="76"/>
      <c r="EE177" s="76"/>
      <c r="EF177" s="76"/>
      <c r="EG177" s="76"/>
      <c r="EH177" s="76"/>
      <c r="EJ177" s="76"/>
      <c r="EK177" s="76"/>
      <c r="EO177" s="76"/>
      <c r="EP177" s="76"/>
      <c r="EQ177" s="76"/>
      <c r="ER177" s="76"/>
      <c r="ES177" s="90"/>
      <c r="ET177" s="76"/>
      <c r="EU177" s="76"/>
      <c r="EV177" s="76"/>
      <c r="EW177" s="76"/>
      <c r="EX177" s="90"/>
      <c r="FC177" s="90"/>
    </row>
    <row r="178" spans="1:166" x14ac:dyDescent="0.3">
      <c r="A178" s="27" t="s">
        <v>134</v>
      </c>
      <c r="DU178" s="44">
        <f>+Inputs!DU218</f>
        <v>14034</v>
      </c>
      <c r="DV178" s="44">
        <f>+Inputs!DV218</f>
        <v>12999</v>
      </c>
      <c r="DW178" s="44">
        <f>+Inputs!DW218</f>
        <v>12973</v>
      </c>
      <c r="DX178" s="44">
        <f>+Inputs!DX218</f>
        <v>12963</v>
      </c>
      <c r="DY178" s="45">
        <f>+DX178</f>
        <v>12963</v>
      </c>
      <c r="DZ178" s="44">
        <f>+Inputs!DZ218</f>
        <v>12890</v>
      </c>
      <c r="EA178" s="44">
        <f>+Inputs!EA218</f>
        <v>12845</v>
      </c>
      <c r="EB178" s="44">
        <f>+Inputs!EB218</f>
        <v>12858</v>
      </c>
      <c r="EC178" s="44">
        <f>+Inputs!EC218</f>
        <v>12931</v>
      </c>
      <c r="ED178" s="45">
        <f>+EC178</f>
        <v>12931</v>
      </c>
      <c r="EE178" s="44">
        <f>+Inputs!EE218</f>
        <v>12987</v>
      </c>
      <c r="EF178" s="44">
        <f>+Inputs!EF218</f>
        <v>8686</v>
      </c>
      <c r="EG178" s="44">
        <f>+Inputs!EG218</f>
        <v>8918</v>
      </c>
      <c r="EH178" s="44">
        <f>+Inputs!EH218</f>
        <v>9199</v>
      </c>
      <c r="EI178" s="45">
        <f>+EH178</f>
        <v>9199</v>
      </c>
      <c r="EJ178" s="44">
        <f>+Inputs!EJ218</f>
        <v>9575</v>
      </c>
      <c r="EK178" s="44">
        <f>+Inputs!EK218</f>
        <v>10108</v>
      </c>
      <c r="EL178" s="44">
        <f>+Inputs!EL218</f>
        <v>10847</v>
      </c>
      <c r="EM178" s="44">
        <f>+Inputs!EM218</f>
        <v>11850</v>
      </c>
      <c r="EN178" s="45">
        <f>+EM178</f>
        <v>11850</v>
      </c>
      <c r="EO178" s="44">
        <f>+Inputs!EO218</f>
        <v>12748</v>
      </c>
      <c r="EP178" s="44">
        <f>+Inputs!EP218</f>
        <v>13353</v>
      </c>
      <c r="EQ178" s="44">
        <f>+Inputs!EQ218</f>
        <v>13621</v>
      </c>
      <c r="ER178" s="44">
        <f>+Inputs!ER218</f>
        <v>13933</v>
      </c>
      <c r="ES178" s="45">
        <f>+ER178</f>
        <v>13933</v>
      </c>
      <c r="ET178" s="44">
        <f>+Inputs!ET218</f>
        <v>14296</v>
      </c>
      <c r="EU178" s="44">
        <f>+Inputs!EU218</f>
        <v>14703</v>
      </c>
      <c r="EV178" s="44">
        <f>+Inputs!EV218</f>
        <v>15226</v>
      </c>
      <c r="EW178" s="44">
        <f>+Inputs!EW218</f>
        <v>15678</v>
      </c>
      <c r="EX178" s="45">
        <f>+EW178</f>
        <v>15678</v>
      </c>
      <c r="EY178" s="76">
        <f t="shared" ref="EY178" si="515">+EX178-EY107-EY97-EY108</f>
        <v>16021.16000149781</v>
      </c>
      <c r="EZ178" s="76">
        <f t="shared" ref="EZ178" si="516">+EY178-EZ107-EZ97-EZ108</f>
        <v>16354.607766549407</v>
      </c>
      <c r="FA178" s="76">
        <f t="shared" ref="FA178" si="517">+EZ178-FA107-FA97-FA108</f>
        <v>16691.83861735418</v>
      </c>
      <c r="FB178" s="76">
        <f t="shared" ref="FB178" si="518">+FA178-FB107-FB97-FB108</f>
        <v>16995.521082600935</v>
      </c>
      <c r="FC178" s="45">
        <f>+FB178</f>
        <v>16995.521082600935</v>
      </c>
      <c r="FD178" s="76">
        <f t="shared" ref="FD178:FI178" si="519">+FC178-FD107-FD97-FD108</f>
        <v>18192.232169097217</v>
      </c>
      <c r="FE178" s="76">
        <f t="shared" si="519"/>
        <v>18308.509784006648</v>
      </c>
      <c r="FF178" s="76">
        <f t="shared" si="519"/>
        <v>18139.579356859773</v>
      </c>
      <c r="FG178" s="76">
        <f t="shared" si="519"/>
        <v>18064.772330564636</v>
      </c>
      <c r="FH178" s="76">
        <f t="shared" si="519"/>
        <v>17990.674755391399</v>
      </c>
      <c r="FI178" s="76">
        <f t="shared" si="519"/>
        <v>17918.665292823236</v>
      </c>
    </row>
    <row r="179" spans="1:166" x14ac:dyDescent="0.3">
      <c r="A179" s="27" t="s">
        <v>135</v>
      </c>
      <c r="DU179" s="44">
        <f>+Inputs!DU219</f>
        <v>8218</v>
      </c>
      <c r="DV179" s="44">
        <f>+Inputs!DV219</f>
        <v>1952</v>
      </c>
      <c r="DW179" s="44">
        <f>+Inputs!DW219</f>
        <v>1579</v>
      </c>
      <c r="DX179" s="44">
        <f>+Inputs!DX219</f>
        <v>1488</v>
      </c>
      <c r="DY179" s="45">
        <f>+DX179</f>
        <v>1488</v>
      </c>
      <c r="DZ179" s="44">
        <f>+Inputs!DZ219</f>
        <v>1396</v>
      </c>
      <c r="EA179" s="44">
        <f>+Inputs!EA219</f>
        <v>1403</v>
      </c>
      <c r="EB179" s="44">
        <f>+Inputs!EB219</f>
        <v>1291</v>
      </c>
      <c r="EC179" s="44">
        <f>+Inputs!EC219</f>
        <v>1210</v>
      </c>
      <c r="ED179" s="45">
        <f>+EC179</f>
        <v>1210</v>
      </c>
      <c r="EE179" s="44">
        <f>+Inputs!EE219</f>
        <v>1126</v>
      </c>
      <c r="EF179" s="44">
        <f>+Inputs!EF219</f>
        <v>4791</v>
      </c>
      <c r="EG179" s="44">
        <f>+Inputs!EG219</f>
        <v>4683</v>
      </c>
      <c r="EH179" s="44">
        <f>+Inputs!EH219</f>
        <v>4594</v>
      </c>
      <c r="EI179" s="45">
        <f>+EH179</f>
        <v>4594</v>
      </c>
      <c r="EJ179" s="44">
        <f>+Inputs!EJ219</f>
        <v>4492</v>
      </c>
      <c r="EK179" s="44">
        <f>+Inputs!EK219</f>
        <v>4425</v>
      </c>
      <c r="EL179" s="44">
        <f>+Inputs!EL219</f>
        <v>4348</v>
      </c>
      <c r="EM179" s="44">
        <f>+Inputs!EM219</f>
        <v>4177</v>
      </c>
      <c r="EN179" s="45">
        <f>+EM179</f>
        <v>4177</v>
      </c>
      <c r="EO179" s="44">
        <f>+Inputs!EO219</f>
        <v>4106</v>
      </c>
      <c r="EP179" s="44">
        <f>+Inputs!EP219</f>
        <v>4036</v>
      </c>
      <c r="EQ179" s="44">
        <f>+Inputs!EQ219</f>
        <v>4090</v>
      </c>
      <c r="ER179" s="44">
        <f>+Inputs!ER219</f>
        <v>3979</v>
      </c>
      <c r="ES179" s="45">
        <f>+ER179</f>
        <v>3979</v>
      </c>
      <c r="ET179" s="44">
        <f>+Inputs!ET219</f>
        <v>3820</v>
      </c>
      <c r="EU179" s="44">
        <f>+Inputs!EU219</f>
        <v>3736</v>
      </c>
      <c r="EV179" s="44">
        <f>+Inputs!EV219</f>
        <v>3747</v>
      </c>
      <c r="EW179" s="44">
        <f>+Inputs!EW219</f>
        <v>3676</v>
      </c>
      <c r="EX179" s="45">
        <f>+EW179</f>
        <v>3676</v>
      </c>
      <c r="EY179" s="57">
        <f t="shared" ref="EY179" si="520">+EX179</f>
        <v>3676</v>
      </c>
      <c r="EZ179" s="57">
        <f t="shared" ref="EZ179" si="521">+EY179</f>
        <v>3676</v>
      </c>
      <c r="FA179" s="57">
        <f t="shared" ref="FA179" si="522">+EZ179</f>
        <v>3676</v>
      </c>
      <c r="FB179" s="57">
        <f t="shared" ref="FB179" si="523">+FA179</f>
        <v>3676</v>
      </c>
      <c r="FC179" s="45">
        <f>+FB179</f>
        <v>3676</v>
      </c>
      <c r="FD179" s="57">
        <f t="shared" ref="FD179:FI179" si="524">+FC179</f>
        <v>3676</v>
      </c>
      <c r="FE179" s="57">
        <f t="shared" si="524"/>
        <v>3676</v>
      </c>
      <c r="FF179" s="57">
        <f t="shared" si="524"/>
        <v>3676</v>
      </c>
      <c r="FG179" s="57">
        <f t="shared" si="524"/>
        <v>3676</v>
      </c>
      <c r="FH179" s="57">
        <f t="shared" si="524"/>
        <v>3676</v>
      </c>
      <c r="FI179" s="57">
        <f t="shared" si="524"/>
        <v>3676</v>
      </c>
    </row>
    <row r="180" spans="1:166" x14ac:dyDescent="0.3">
      <c r="A180" s="29" t="s">
        <v>136</v>
      </c>
      <c r="DU180" s="803">
        <f>+SUM(DU178:DU179,DU176)</f>
        <v>23362</v>
      </c>
      <c r="DV180" s="803">
        <f>+SUM(DV178:DV179,DV176)</f>
        <v>17565</v>
      </c>
      <c r="DW180" s="803">
        <f>+SUM(DW178:DW179,DW176)</f>
        <v>17561</v>
      </c>
      <c r="DX180" s="803">
        <f>+SUM(DX178:DX179,DX176)</f>
        <v>17488</v>
      </c>
      <c r="DY180" s="858">
        <f>+DX180</f>
        <v>17488</v>
      </c>
      <c r="DZ180" s="803">
        <f>+SUM(DZ178:DZ179,DZ176)</f>
        <v>17488</v>
      </c>
      <c r="EA180" s="803">
        <f>+SUM(EA178:EA179,EA176)</f>
        <v>17467</v>
      </c>
      <c r="EB180" s="803">
        <f>+SUM(EB178:EB179,EB176)</f>
        <v>16787</v>
      </c>
      <c r="EC180" s="803">
        <f>+SUM(EC178:EC179,EC176)</f>
        <v>16795</v>
      </c>
      <c r="ED180" s="858">
        <f>+EC180</f>
        <v>16795</v>
      </c>
      <c r="EE180" s="803">
        <f>+SUM(EE178:EE179,EE176)</f>
        <v>16960</v>
      </c>
      <c r="EF180" s="803">
        <f>+SUM(EF178:EF179,EF176)</f>
        <v>15102</v>
      </c>
      <c r="EG180" s="803">
        <f>+SUM(EG178:EG179,EG176)</f>
        <v>15388</v>
      </c>
      <c r="EH180" s="803">
        <f>+SUM(EH178:EH179,EH176)</f>
        <v>16481</v>
      </c>
      <c r="EI180" s="858">
        <f>+EH180</f>
        <v>16481</v>
      </c>
      <c r="EJ180" s="803">
        <f>+SUM(EJ178:EJ179,EJ176)</f>
        <v>16755</v>
      </c>
      <c r="EK180" s="803">
        <f>+SUM(EK178:EK179,EK176)</f>
        <v>18035</v>
      </c>
      <c r="EL180" s="803">
        <f>+SUM(EL178:EL179,EL176)</f>
        <v>18273</v>
      </c>
      <c r="EM180" s="803">
        <f>+SUM(EM178:EM179,EM176)</f>
        <v>18624</v>
      </c>
      <c r="EN180" s="858">
        <f>+EM180</f>
        <v>18624</v>
      </c>
      <c r="EO180" s="803">
        <f>+SUM(EO178:EO179,EO176)</f>
        <v>19398</v>
      </c>
      <c r="EP180" s="803">
        <f>+SUM(EP178:EP179,EP176)</f>
        <v>19150</v>
      </c>
      <c r="EQ180" s="803">
        <f>+SUM(EQ178:EQ179,EQ176)</f>
        <v>20509</v>
      </c>
      <c r="ER180" s="803">
        <f>+SUM(ER178:ER179,ER176)</f>
        <v>20693</v>
      </c>
      <c r="ES180" s="858">
        <f>+ER180</f>
        <v>20693</v>
      </c>
      <c r="ET180" s="803">
        <f>+SUM(ET178:ET179,ET176)</f>
        <v>20197</v>
      </c>
      <c r="EU180" s="803">
        <f>+SUM(EU178:EU179,EU176)</f>
        <v>20194</v>
      </c>
      <c r="EV180" s="803">
        <f>+SUM(EV178:EV179,EV176)</f>
        <v>20859</v>
      </c>
      <c r="EW180" s="803">
        <f>+SUM(EW178:EW179,EW176)</f>
        <v>20614</v>
      </c>
      <c r="EX180" s="858">
        <f>+EW180</f>
        <v>20614</v>
      </c>
      <c r="EY180" s="803">
        <f t="shared" ref="EY180:FB180" si="525">+SUM(EY178:EY179,EY176)</f>
        <v>20515.17150194753</v>
      </c>
      <c r="EZ180" s="803">
        <f t="shared" si="525"/>
        <v>21510.735311702127</v>
      </c>
      <c r="FA180" s="803">
        <f t="shared" si="525"/>
        <v>21423.747963534755</v>
      </c>
      <c r="FB180" s="803">
        <f t="shared" si="525"/>
        <v>21264.314348559128</v>
      </c>
      <c r="FC180" s="858">
        <f>+FB180</f>
        <v>21264.314348559128</v>
      </c>
      <c r="FD180" s="803">
        <f t="shared" ref="FD180:FH180" si="526">+SUM(FD178:FD179,FD176)</f>
        <v>22352.276919948134</v>
      </c>
      <c r="FE180" s="803">
        <f t="shared" ref="FE180" si="527">+SUM(FE178:FE179,FE176)</f>
        <v>22455.838010477066</v>
      </c>
      <c r="FF180" s="803">
        <f t="shared" si="526"/>
        <v>22398.078650198368</v>
      </c>
      <c r="FG180" s="803">
        <f t="shared" ref="FG180" si="528">+SUM(FG178:FG179,FG176)</f>
        <v>22085.919783227841</v>
      </c>
      <c r="FH180" s="803">
        <f t="shared" si="526"/>
        <v>21745.822208054604</v>
      </c>
      <c r="FI180" s="803">
        <f>+SUM(FI178:FI179,FI176)</f>
        <v>21673.812745486441</v>
      </c>
    </row>
    <row r="181" spans="1:166" x14ac:dyDescent="0.3">
      <c r="A181" s="1"/>
      <c r="EO181"/>
      <c r="EP181"/>
      <c r="EQ181"/>
      <c r="ER181"/>
      <c r="ES181" s="90"/>
      <c r="EX181" s="90"/>
      <c r="FC181" s="90"/>
    </row>
    <row r="182" spans="1:166" x14ac:dyDescent="0.3">
      <c r="A182" s="27" t="s">
        <v>137</v>
      </c>
      <c r="DU182" s="44">
        <f>+Inputs!DU222</f>
        <v>393</v>
      </c>
      <c r="DV182" s="44">
        <f>+Inputs!DV222</f>
        <v>440</v>
      </c>
      <c r="DW182" s="44">
        <f>+Inputs!DW222</f>
        <v>994</v>
      </c>
      <c r="DX182" s="44">
        <f>+Inputs!DX222</f>
        <v>994</v>
      </c>
      <c r="DY182" s="45">
        <f>+DX182</f>
        <v>994</v>
      </c>
      <c r="DZ182" s="44">
        <f>+Inputs!DZ222</f>
        <v>17306</v>
      </c>
      <c r="EA182" s="44">
        <f>+Inputs!EA222</f>
        <v>6446</v>
      </c>
      <c r="EB182" s="44">
        <f>+Inputs!EB222</f>
        <v>5701</v>
      </c>
      <c r="EC182" s="44">
        <f>+Inputs!EC222</f>
        <v>5781</v>
      </c>
      <c r="ED182" s="45">
        <f>+EC182</f>
        <v>5781</v>
      </c>
      <c r="EE182" s="44">
        <f>+Inputs!EE222</f>
        <v>5782</v>
      </c>
      <c r="EF182" s="44">
        <f>+Inputs!EF222</f>
        <v>15</v>
      </c>
      <c r="EG182" s="44">
        <f>+Inputs!EG222</f>
        <v>15</v>
      </c>
      <c r="EH182" s="44">
        <f>+Inputs!EH222</f>
        <v>15</v>
      </c>
      <c r="EI182" s="45">
        <f>+EH182</f>
        <v>15</v>
      </c>
      <c r="EJ182" s="44">
        <f>+Inputs!EJ222</f>
        <v>15</v>
      </c>
      <c r="EK182" s="44">
        <f>+Inputs!EK222</f>
        <v>15</v>
      </c>
      <c r="EL182" s="44">
        <f>+Inputs!EL222</f>
        <v>15</v>
      </c>
      <c r="EM182" s="44">
        <f>+Inputs!EM222</f>
        <v>15</v>
      </c>
      <c r="EN182" s="45">
        <f>+EM182</f>
        <v>15</v>
      </c>
      <c r="EO182" s="44">
        <f>+Inputs!EO222</f>
        <v>15</v>
      </c>
      <c r="EP182" s="44">
        <f>+Inputs!EP222</f>
        <v>15</v>
      </c>
      <c r="EQ182" s="44">
        <f>+Inputs!EQ222</f>
        <v>15</v>
      </c>
      <c r="ER182" s="44">
        <f>+Inputs!ER222</f>
        <v>15</v>
      </c>
      <c r="ES182" s="45">
        <f>+ER182</f>
        <v>15</v>
      </c>
      <c r="ET182" s="44">
        <f>+Inputs!ET222</f>
        <v>15</v>
      </c>
      <c r="EU182" s="44">
        <f>+Inputs!EU222</f>
        <v>15</v>
      </c>
      <c r="EV182" s="44">
        <f>+Inputs!EV222</f>
        <v>10</v>
      </c>
      <c r="EW182" s="44">
        <f>+Inputs!EW222</f>
        <v>10</v>
      </c>
      <c r="EX182" s="45">
        <f>+EW182</f>
        <v>10</v>
      </c>
      <c r="EY182" s="76">
        <f t="shared" ref="EY182" si="529">+EX182+EY114-EY115</f>
        <v>10</v>
      </c>
      <c r="EZ182" s="76">
        <f t="shared" ref="EZ182" si="530">+EY182+EZ114-EZ115</f>
        <v>10</v>
      </c>
      <c r="FA182" s="76">
        <f t="shared" ref="FA182" si="531">+EZ182+FA114-FA115</f>
        <v>10</v>
      </c>
      <c r="FB182" s="76">
        <f t="shared" ref="FB182" si="532">+FA182+FB114-FB115</f>
        <v>10</v>
      </c>
      <c r="FC182" s="45">
        <f>+FB182</f>
        <v>10</v>
      </c>
      <c r="FD182" s="76">
        <f t="shared" ref="FD182:FI182" si="533">+FC182+FD114-FD115</f>
        <v>10</v>
      </c>
      <c r="FE182" s="76">
        <f t="shared" si="533"/>
        <v>10</v>
      </c>
      <c r="FF182" s="76">
        <f t="shared" si="533"/>
        <v>10</v>
      </c>
      <c r="FG182" s="76">
        <f t="shared" si="533"/>
        <v>10</v>
      </c>
      <c r="FH182" s="76">
        <f t="shared" si="533"/>
        <v>10</v>
      </c>
      <c r="FI182" s="76">
        <f t="shared" si="533"/>
        <v>10</v>
      </c>
    </row>
    <row r="183" spans="1:166" x14ac:dyDescent="0.3">
      <c r="A183" s="27" t="s">
        <v>138</v>
      </c>
      <c r="DU183" s="44">
        <f>+Inputs!DU223</f>
        <v>0</v>
      </c>
      <c r="DV183" s="44">
        <f>+Inputs!DV223</f>
        <v>134</v>
      </c>
      <c r="DW183" s="44">
        <f>+Inputs!DW223</f>
        <v>134</v>
      </c>
      <c r="DX183" s="44">
        <f>+Inputs!DX223</f>
        <v>123</v>
      </c>
      <c r="DY183" s="45">
        <f>+DX183</f>
        <v>123</v>
      </c>
      <c r="DZ183" s="44">
        <f>+Inputs!DZ223</f>
        <v>115</v>
      </c>
      <c r="EA183" s="44">
        <f>+Inputs!EA223</f>
        <v>0</v>
      </c>
      <c r="EB183" s="44">
        <f>+Inputs!EB223</f>
        <v>0</v>
      </c>
      <c r="EC183" s="44">
        <f>+Inputs!EC223</f>
        <v>0</v>
      </c>
      <c r="ED183" s="45">
        <f>+EC183</f>
        <v>0</v>
      </c>
      <c r="EE183" s="44">
        <f>+Inputs!EE223</f>
        <v>0</v>
      </c>
      <c r="EF183" s="44">
        <f>+Inputs!EF223</f>
        <v>0</v>
      </c>
      <c r="EG183" s="44">
        <f>+Inputs!EG223</f>
        <v>0</v>
      </c>
      <c r="EH183" s="44">
        <f>+Inputs!EH223</f>
        <v>0</v>
      </c>
      <c r="EI183" s="45">
        <f>+EH183</f>
        <v>0</v>
      </c>
      <c r="EJ183" s="44">
        <f>+Inputs!EJ223</f>
        <v>0</v>
      </c>
      <c r="EK183" s="44">
        <f>+Inputs!EK223</f>
        <v>0</v>
      </c>
      <c r="EL183" s="44">
        <f>+Inputs!EL223</f>
        <v>0</v>
      </c>
      <c r="EM183" s="44">
        <f>+Inputs!EM223</f>
        <v>0</v>
      </c>
      <c r="EN183" s="45">
        <f>+EM183</f>
        <v>0</v>
      </c>
      <c r="EO183" s="44">
        <f>+Inputs!EO223</f>
        <v>0</v>
      </c>
      <c r="EP183" s="44">
        <f>+Inputs!EP223</f>
        <v>0</v>
      </c>
      <c r="EQ183" s="44">
        <f>+Inputs!EQ223</f>
        <v>0</v>
      </c>
      <c r="ER183" s="44">
        <f>+Inputs!ER223</f>
        <v>0</v>
      </c>
      <c r="ES183" s="45">
        <f>+ER183</f>
        <v>0</v>
      </c>
      <c r="ET183" s="44">
        <f>+Inputs!ET223</f>
        <v>0</v>
      </c>
      <c r="EU183" s="44">
        <f>+Inputs!EU223</f>
        <v>0</v>
      </c>
      <c r="EV183" s="44">
        <f>+Inputs!EV223</f>
        <v>0</v>
      </c>
      <c r="EW183" s="44">
        <f>+Inputs!EW223</f>
        <v>0</v>
      </c>
      <c r="EX183" s="45">
        <f>+EW183</f>
        <v>0</v>
      </c>
      <c r="EY183" s="57">
        <f t="shared" ref="EY183" si="534">+EX183</f>
        <v>0</v>
      </c>
      <c r="EZ183" s="57">
        <f t="shared" ref="EZ183" si="535">+EY183</f>
        <v>0</v>
      </c>
      <c r="FA183" s="57">
        <f t="shared" ref="FA183" si="536">+EZ183</f>
        <v>0</v>
      </c>
      <c r="FB183" s="57">
        <f t="shared" ref="FB183" si="537">+FA183</f>
        <v>0</v>
      </c>
      <c r="FC183" s="45">
        <f>+FB183</f>
        <v>0</v>
      </c>
      <c r="FD183" s="57">
        <f t="shared" ref="FD183:FI183" si="538">+FC183</f>
        <v>0</v>
      </c>
      <c r="FE183" s="57">
        <f t="shared" si="538"/>
        <v>0</v>
      </c>
      <c r="FF183" s="57">
        <f t="shared" si="538"/>
        <v>0</v>
      </c>
      <c r="FG183" s="57">
        <f t="shared" si="538"/>
        <v>0</v>
      </c>
      <c r="FH183" s="57">
        <f t="shared" si="538"/>
        <v>0</v>
      </c>
      <c r="FI183" s="57">
        <f t="shared" si="538"/>
        <v>0</v>
      </c>
    </row>
    <row r="184" spans="1:166" x14ac:dyDescent="0.3">
      <c r="A184" s="27" t="s">
        <v>139</v>
      </c>
      <c r="DU184" s="44">
        <f>+Inputs!DU224</f>
        <v>1617</v>
      </c>
      <c r="DV184" s="44">
        <f>+Inputs!DV224</f>
        <v>1726</v>
      </c>
      <c r="DW184" s="44">
        <f>+Inputs!DW224</f>
        <v>1612</v>
      </c>
      <c r="DX184" s="44">
        <f>+Inputs!DX224</f>
        <v>1687</v>
      </c>
      <c r="DY184" s="45">
        <f>+DX184</f>
        <v>1687</v>
      </c>
      <c r="DZ184" s="44">
        <f>+Inputs!DZ224</f>
        <v>1808</v>
      </c>
      <c r="EA184" s="44">
        <f>+Inputs!EA224</f>
        <v>1366</v>
      </c>
      <c r="EB184" s="44">
        <f>+Inputs!EB224</f>
        <v>1411</v>
      </c>
      <c r="EC184" s="44">
        <f>+Inputs!EC224</f>
        <v>1359</v>
      </c>
      <c r="ED184" s="45">
        <f>+EC184</f>
        <v>1359</v>
      </c>
      <c r="EE184" s="44">
        <f>+Inputs!EE224</f>
        <v>1369</v>
      </c>
      <c r="EF184" s="44">
        <f>+Inputs!EF224</f>
        <v>1376</v>
      </c>
      <c r="EG184" s="44">
        <f>+Inputs!EG224</f>
        <v>1465</v>
      </c>
      <c r="EH184" s="44">
        <f>+Inputs!EH224</f>
        <v>1436</v>
      </c>
      <c r="EI184" s="45">
        <f>+EH184</f>
        <v>1436</v>
      </c>
      <c r="EJ184" s="44">
        <f>+Inputs!EJ224</f>
        <v>1698</v>
      </c>
      <c r="EK184" s="44">
        <f>+Inputs!EK224</f>
        <v>1764</v>
      </c>
      <c r="EL184" s="44">
        <f>+Inputs!EL224</f>
        <v>1962</v>
      </c>
      <c r="EM184" s="44">
        <f>+Inputs!EM224</f>
        <v>2280</v>
      </c>
      <c r="EN184" s="45">
        <f>+EM184</f>
        <v>2280</v>
      </c>
      <c r="EO184" s="44">
        <f>+Inputs!EO224</f>
        <v>2296</v>
      </c>
      <c r="EP184" s="44">
        <f>+Inputs!EP224</f>
        <v>2052</v>
      </c>
      <c r="EQ184" s="44">
        <f>+Inputs!EQ224</f>
        <v>2036</v>
      </c>
      <c r="ER184" s="44">
        <f>+Inputs!ER224</f>
        <v>2260</v>
      </c>
      <c r="ES184" s="45">
        <f>+ER184</f>
        <v>2260</v>
      </c>
      <c r="ET184" s="44">
        <f>+Inputs!ET224</f>
        <v>1925</v>
      </c>
      <c r="EU184" s="44">
        <f>+Inputs!EU224</f>
        <v>2004</v>
      </c>
      <c r="EV184" s="44">
        <f>+Inputs!EV224</f>
        <v>2443</v>
      </c>
      <c r="EW184" s="44">
        <f>+Inputs!EW224</f>
        <v>2279</v>
      </c>
      <c r="EX184" s="45">
        <f>+EW184</f>
        <v>2279</v>
      </c>
      <c r="EY184" s="76">
        <f t="shared" ref="EY184" si="539">+EX184+EY103</f>
        <v>2285.125</v>
      </c>
      <c r="EZ184" s="76">
        <f t="shared" ref="EZ184" si="540">+EY184+EZ103</f>
        <v>2291.25</v>
      </c>
      <c r="FA184" s="76">
        <f t="shared" ref="FA184" si="541">+EZ184+FA103</f>
        <v>2297.375</v>
      </c>
      <c r="FB184" s="76">
        <f t="shared" ref="FB184" si="542">+FA184+FB103</f>
        <v>2303.5</v>
      </c>
      <c r="FC184" s="45">
        <f>+FB184</f>
        <v>2303.5</v>
      </c>
      <c r="FD184" s="76">
        <f t="shared" ref="FD184:FI184" si="543">+FC184+FD103</f>
        <v>2315.75</v>
      </c>
      <c r="FE184" s="76">
        <f t="shared" si="543"/>
        <v>2315.75</v>
      </c>
      <c r="FF184" s="76">
        <f t="shared" si="543"/>
        <v>2315.75</v>
      </c>
      <c r="FG184" s="76">
        <f t="shared" si="543"/>
        <v>2315.75</v>
      </c>
      <c r="FH184" s="76">
        <f t="shared" si="543"/>
        <v>2315.75</v>
      </c>
      <c r="FI184" s="76">
        <f t="shared" si="543"/>
        <v>2315.75</v>
      </c>
    </row>
    <row r="185" spans="1:166" x14ac:dyDescent="0.3">
      <c r="A185" s="29" t="s">
        <v>140</v>
      </c>
      <c r="DU185" s="803">
        <f>+SUM(DU182:DU184)</f>
        <v>2010</v>
      </c>
      <c r="DV185" s="803">
        <f>+SUM(DV182:DV184)</f>
        <v>2300</v>
      </c>
      <c r="DW185" s="803">
        <f>+SUM(DW182:DW184)</f>
        <v>2740</v>
      </c>
      <c r="DX185" s="803">
        <f>+SUM(DX182:DX184)</f>
        <v>2804</v>
      </c>
      <c r="DY185" s="858">
        <f>+DX185</f>
        <v>2804</v>
      </c>
      <c r="DZ185" s="803">
        <f>+SUM(DZ182:DZ184)</f>
        <v>19229</v>
      </c>
      <c r="EA185" s="803">
        <f>+SUM(EA182:EA184)</f>
        <v>7812</v>
      </c>
      <c r="EB185" s="803">
        <f>+SUM(EB182:EB184)</f>
        <v>7112</v>
      </c>
      <c r="EC185" s="803">
        <f>+SUM(EC182:EC184)</f>
        <v>7140</v>
      </c>
      <c r="ED185" s="858">
        <f>+EC185</f>
        <v>7140</v>
      </c>
      <c r="EE185" s="803">
        <f>+SUM(EE182:EE184)</f>
        <v>7151</v>
      </c>
      <c r="EF185" s="803">
        <f>+SUM(EF182:EF184)</f>
        <v>1391</v>
      </c>
      <c r="EG185" s="803">
        <f>+SUM(EG182:EG184)</f>
        <v>1480</v>
      </c>
      <c r="EH185" s="803">
        <f>+SUM(EH182:EH184)</f>
        <v>1451</v>
      </c>
      <c r="EI185" s="858">
        <f>+EH185</f>
        <v>1451</v>
      </c>
      <c r="EJ185" s="803">
        <f>+SUM(EJ182:EJ184)</f>
        <v>1713</v>
      </c>
      <c r="EK185" s="803">
        <f>+SUM(EK182:EK184)</f>
        <v>1779</v>
      </c>
      <c r="EL185" s="803">
        <f>+SUM(EL182:EL184)</f>
        <v>1977</v>
      </c>
      <c r="EM185" s="803">
        <f>+SUM(EM182:EM184)</f>
        <v>2295</v>
      </c>
      <c r="EN185" s="858">
        <f>+EM185</f>
        <v>2295</v>
      </c>
      <c r="EO185" s="803">
        <f>+SUM(EO182:EO184)</f>
        <v>2311</v>
      </c>
      <c r="EP185" s="803">
        <f>+SUM(EP182:EP184)</f>
        <v>2067</v>
      </c>
      <c r="EQ185" s="803">
        <f>+SUM(EQ182:EQ184)</f>
        <v>2051</v>
      </c>
      <c r="ER185" s="803">
        <f>+SUM(ER182:ER184)</f>
        <v>2275</v>
      </c>
      <c r="ES185" s="858">
        <f>+ER185</f>
        <v>2275</v>
      </c>
      <c r="ET185" s="803">
        <f>+SUM(ET182:ET184)</f>
        <v>1940</v>
      </c>
      <c r="EU185" s="803">
        <f>+SUM(EU182:EU184)</f>
        <v>2019</v>
      </c>
      <c r="EV185" s="803">
        <f>+SUM(EV182:EV184)</f>
        <v>2453</v>
      </c>
      <c r="EW185" s="803">
        <f>+SUM(EW182:EW184)</f>
        <v>2289</v>
      </c>
      <c r="EX185" s="858">
        <f>+EW185</f>
        <v>2289</v>
      </c>
      <c r="EY185" s="803">
        <f t="shared" ref="EY185:FB185" si="544">+SUM(EY182:EY184)</f>
        <v>2295.125</v>
      </c>
      <c r="EZ185" s="803">
        <f t="shared" si="544"/>
        <v>2301.25</v>
      </c>
      <c r="FA185" s="803">
        <f t="shared" si="544"/>
        <v>2307.375</v>
      </c>
      <c r="FB185" s="803">
        <f t="shared" si="544"/>
        <v>2313.5</v>
      </c>
      <c r="FC185" s="858">
        <f>+FB185</f>
        <v>2313.5</v>
      </c>
      <c r="FD185" s="803">
        <f t="shared" ref="FD185:FH185" si="545">+SUM(FD182:FD184)</f>
        <v>2325.75</v>
      </c>
      <c r="FE185" s="803">
        <f t="shared" ref="FE185" si="546">+SUM(FE182:FE184)</f>
        <v>2325.75</v>
      </c>
      <c r="FF185" s="803">
        <f t="shared" si="545"/>
        <v>2325.75</v>
      </c>
      <c r="FG185" s="803">
        <f t="shared" ref="FG185" si="547">+SUM(FG182:FG184)</f>
        <v>2325.75</v>
      </c>
      <c r="FH185" s="803">
        <f t="shared" si="545"/>
        <v>2325.75</v>
      </c>
      <c r="FI185" s="803">
        <f>+SUM(FI182:FI184)</f>
        <v>2325.75</v>
      </c>
    </row>
    <row r="186" spans="1:166" x14ac:dyDescent="0.3">
      <c r="A186" s="29"/>
      <c r="EO186"/>
      <c r="EP186"/>
      <c r="EQ186"/>
      <c r="ER186"/>
      <c r="ES186" s="90"/>
      <c r="EX186" s="90"/>
      <c r="FC186" s="90"/>
    </row>
    <row r="187" spans="1:166" x14ac:dyDescent="0.3">
      <c r="A187" s="27" t="s">
        <v>141</v>
      </c>
      <c r="DU187" s="44">
        <f>+Inputs!DU227</f>
        <v>3291</v>
      </c>
      <c r="DV187" s="44">
        <f>+Inputs!DV227</f>
        <v>2679</v>
      </c>
      <c r="DW187" s="44">
        <f>+Inputs!DW227</f>
        <v>2619</v>
      </c>
      <c r="DX187" s="44">
        <f>+Inputs!DX227</f>
        <v>2770</v>
      </c>
      <c r="DY187" s="45">
        <f>+DX187</f>
        <v>2770</v>
      </c>
      <c r="DZ187" s="44">
        <f>+Inputs!DZ227</f>
        <v>2752</v>
      </c>
      <c r="EA187" s="44">
        <f>+Inputs!EA227</f>
        <v>3155</v>
      </c>
      <c r="EB187" s="44">
        <f>+Inputs!EB227</f>
        <v>3014</v>
      </c>
      <c r="EC187" s="44">
        <f>+Inputs!EC227</f>
        <v>2990</v>
      </c>
      <c r="ED187" s="45">
        <f>+EC187</f>
        <v>2990</v>
      </c>
      <c r="EE187" s="44">
        <f>+Inputs!EE227</f>
        <v>3069</v>
      </c>
      <c r="EF187" s="44">
        <f>+Inputs!EF227</f>
        <v>2456</v>
      </c>
      <c r="EG187" s="44">
        <f>+Inputs!EG227</f>
        <v>2527</v>
      </c>
      <c r="EH187" s="44">
        <f>+Inputs!EH227</f>
        <v>2462</v>
      </c>
      <c r="EI187" s="45">
        <f>+EH187</f>
        <v>2462</v>
      </c>
      <c r="EJ187" s="44">
        <f>+Inputs!EJ227</f>
        <v>2407</v>
      </c>
      <c r="EK187" s="44">
        <f>+Inputs!EK227</f>
        <v>2330</v>
      </c>
      <c r="EL187" s="44">
        <f>+Inputs!EL227</f>
        <v>2243</v>
      </c>
      <c r="EM187" s="44">
        <f>+Inputs!EM227</f>
        <v>2085</v>
      </c>
      <c r="EN187" s="45">
        <f>+EM187</f>
        <v>2085</v>
      </c>
      <c r="EO187" s="44">
        <f>+Inputs!EO227</f>
        <v>2085</v>
      </c>
      <c r="EP187" s="44">
        <f>+Inputs!EP227</f>
        <v>2062</v>
      </c>
      <c r="EQ187" s="44">
        <f>+Inputs!EQ227</f>
        <v>1960</v>
      </c>
      <c r="ER187" s="44">
        <f>+Inputs!ER227</f>
        <v>1893</v>
      </c>
      <c r="ES187" s="45">
        <f>+ER187</f>
        <v>1893</v>
      </c>
      <c r="ET187" s="44">
        <f>+Inputs!ET227</f>
        <v>1758</v>
      </c>
      <c r="EU187" s="44">
        <f>+Inputs!EU227</f>
        <v>1804</v>
      </c>
      <c r="EV187" s="44">
        <f>+Inputs!EV227</f>
        <v>1784</v>
      </c>
      <c r="EW187" s="44">
        <f>+Inputs!EW227</f>
        <v>1833</v>
      </c>
      <c r="EX187" s="45">
        <f>+EW187</f>
        <v>1833</v>
      </c>
      <c r="EY187" s="76">
        <f t="shared" ref="EY187" si="548">+EX187-EY100</f>
        <v>1871.3434915154874</v>
      </c>
      <c r="EZ187" s="76">
        <f t="shared" ref="EZ187" si="549">+EY187-EZ100</f>
        <v>1905.0093273543503</v>
      </c>
      <c r="FA187" s="76">
        <f t="shared" ref="FA187" si="550">+EZ187-FA100</f>
        <v>1939.8261513753591</v>
      </c>
      <c r="FB187" s="76">
        <f t="shared" ref="FB187" si="551">+FA187-FB100</f>
        <v>1961.5950929936898</v>
      </c>
      <c r="FC187" s="45">
        <f>+FB187</f>
        <v>1961.5950929936898</v>
      </c>
      <c r="FD187" s="76">
        <f t="shared" ref="FD187:FI187" si="552">+FC187-FD100</f>
        <v>2051.8007488899957</v>
      </c>
      <c r="FE187" s="76">
        <f t="shared" si="552"/>
        <v>2064.2181926702847</v>
      </c>
      <c r="FF187" s="76">
        <f t="shared" si="552"/>
        <v>1999.5045178943737</v>
      </c>
      <c r="FG187" s="76">
        <f t="shared" si="552"/>
        <v>1860.8885333256344</v>
      </c>
      <c r="FH187" s="76">
        <f t="shared" si="552"/>
        <v>1646.4538060878904</v>
      </c>
      <c r="FI187" s="76">
        <f t="shared" si="552"/>
        <v>1372.1959417481805</v>
      </c>
    </row>
    <row r="188" spans="1:166" x14ac:dyDescent="0.3">
      <c r="A188" s="27" t="s">
        <v>142</v>
      </c>
      <c r="DU188" s="44">
        <f>+Inputs!DU228</f>
        <v>0</v>
      </c>
      <c r="DV188" s="44">
        <f>+Inputs!DV228</f>
        <v>0</v>
      </c>
      <c r="DW188" s="44">
        <f>+Inputs!DW228</f>
        <v>0</v>
      </c>
      <c r="DX188" s="44">
        <f>+Inputs!DX228</f>
        <v>0</v>
      </c>
      <c r="DY188" s="45">
        <f>+DX188</f>
        <v>0</v>
      </c>
      <c r="DZ188" s="44">
        <f>+Inputs!DZ228</f>
        <v>0</v>
      </c>
      <c r="EA188" s="44">
        <f>+Inputs!EA228</f>
        <v>11597</v>
      </c>
      <c r="EB188" s="44">
        <f>+Inputs!EB228</f>
        <v>11587</v>
      </c>
      <c r="EC188" s="44">
        <f>+Inputs!EC228</f>
        <v>11565</v>
      </c>
      <c r="ED188" s="45">
        <f>+EC188</f>
        <v>11565</v>
      </c>
      <c r="EE188" s="44">
        <f>+Inputs!EE228</f>
        <v>11570</v>
      </c>
      <c r="EF188" s="44">
        <f>+Inputs!EF228</f>
        <v>0</v>
      </c>
      <c r="EG188" s="44">
        <f>+Inputs!EG228</f>
        <v>0</v>
      </c>
      <c r="EH188" s="44">
        <f>+Inputs!EH228</f>
        <v>0</v>
      </c>
      <c r="EI188" s="182">
        <f>+EH188</f>
        <v>0</v>
      </c>
      <c r="EJ188" s="44">
        <f>+Inputs!EJ228</f>
        <v>0</v>
      </c>
      <c r="EK188" s="44">
        <f>+Inputs!EK228</f>
        <v>0</v>
      </c>
      <c r="EL188" s="44">
        <f>+Inputs!EL228</f>
        <v>0</v>
      </c>
      <c r="EM188" s="44">
        <f>+Inputs!EM228</f>
        <v>0</v>
      </c>
      <c r="EN188" s="182">
        <f>+EM188</f>
        <v>0</v>
      </c>
      <c r="EO188" s="44">
        <f>+Inputs!EO228</f>
        <v>0</v>
      </c>
      <c r="EP188" s="44">
        <f>+Inputs!EP228</f>
        <v>0</v>
      </c>
      <c r="EQ188" s="44">
        <f>+Inputs!EQ228</f>
        <v>0</v>
      </c>
      <c r="ER188" s="44">
        <f>+Inputs!ER228</f>
        <v>0</v>
      </c>
      <c r="ES188" s="182">
        <f>+ER188</f>
        <v>0</v>
      </c>
      <c r="ET188" s="44">
        <f>+Inputs!ET228</f>
        <v>0</v>
      </c>
      <c r="EU188" s="44">
        <f>+Inputs!EU228</f>
        <v>0</v>
      </c>
      <c r="EV188" s="44">
        <f>+Inputs!EV228</f>
        <v>0</v>
      </c>
      <c r="EW188" s="44">
        <f>+Inputs!EW228</f>
        <v>0</v>
      </c>
      <c r="EX188" s="182">
        <f>+EW188</f>
        <v>0</v>
      </c>
      <c r="EY188" s="159">
        <v>0</v>
      </c>
      <c r="EZ188" s="159">
        <v>0</v>
      </c>
      <c r="FA188" s="159">
        <v>0</v>
      </c>
      <c r="FB188" s="159">
        <v>0</v>
      </c>
      <c r="FC188" s="182">
        <f>+FB188</f>
        <v>0</v>
      </c>
      <c r="FD188" s="159">
        <v>0</v>
      </c>
      <c r="FE188" s="159">
        <v>0</v>
      </c>
      <c r="FF188" s="159">
        <v>0</v>
      </c>
      <c r="FG188" s="159">
        <v>0</v>
      </c>
      <c r="FH188" s="159">
        <v>0</v>
      </c>
      <c r="FI188" s="159">
        <v>0</v>
      </c>
    </row>
    <row r="189" spans="1:166" x14ac:dyDescent="0.3">
      <c r="A189" s="27" t="s">
        <v>143</v>
      </c>
      <c r="DU189" s="44">
        <f>+Inputs!DU229</f>
        <v>16526</v>
      </c>
      <c r="DV189" s="44">
        <f>+Inputs!DV229</f>
        <v>16357</v>
      </c>
      <c r="DW189" s="44">
        <f>+Inputs!DW229</f>
        <v>16305</v>
      </c>
      <c r="DX189" s="44">
        <f>+Inputs!DX229</f>
        <v>16308</v>
      </c>
      <c r="DY189" s="45">
        <f>+DX189</f>
        <v>16308</v>
      </c>
      <c r="DZ189" s="44">
        <f>+Inputs!DZ229</f>
        <v>0</v>
      </c>
      <c r="EA189" s="44">
        <f>+Inputs!EA229</f>
        <v>0</v>
      </c>
      <c r="EB189" s="44">
        <f>+Inputs!EB229</f>
        <v>0</v>
      </c>
      <c r="EC189" s="44">
        <f>+Inputs!EC229</f>
        <v>0</v>
      </c>
      <c r="ED189" s="45">
        <f>+EC189</f>
        <v>0</v>
      </c>
      <c r="EE189" s="44">
        <f>+Inputs!EE229</f>
        <v>0</v>
      </c>
      <c r="EF189" s="44">
        <f>+Inputs!EF229</f>
        <v>7007</v>
      </c>
      <c r="EG189" s="44">
        <f>+Inputs!EG229</f>
        <v>6996</v>
      </c>
      <c r="EH189" s="44">
        <f>+Inputs!EH229</f>
        <v>7968</v>
      </c>
      <c r="EI189" s="182">
        <f>+EH189</f>
        <v>7968</v>
      </c>
      <c r="EJ189" s="44">
        <f>+Inputs!EJ229</f>
        <v>7957</v>
      </c>
      <c r="EK189" s="44">
        <f>+Inputs!EK229</f>
        <v>9130</v>
      </c>
      <c r="EL189" s="44">
        <f>+Inputs!EL229</f>
        <v>9120</v>
      </c>
      <c r="EM189" s="44">
        <f>+Inputs!EM229</f>
        <v>9110</v>
      </c>
      <c r="EN189" s="182">
        <f>+EM189</f>
        <v>9110</v>
      </c>
      <c r="EO189" s="44">
        <f>+Inputs!EO229</f>
        <v>9839</v>
      </c>
      <c r="EP189" s="44">
        <f>+Inputs!EP229</f>
        <v>9829</v>
      </c>
      <c r="EQ189" s="44">
        <f>+Inputs!EQ229</f>
        <v>11258</v>
      </c>
      <c r="ER189" s="44">
        <f>+Inputs!ER229</f>
        <v>11246</v>
      </c>
      <c r="ES189" s="182">
        <f>+ER189</f>
        <v>11246</v>
      </c>
      <c r="ET189" s="44">
        <f>+Inputs!ET229</f>
        <v>11240</v>
      </c>
      <c r="EU189" s="44">
        <f>+Inputs!EU229</f>
        <v>11234</v>
      </c>
      <c r="EV189" s="44">
        <f>+Inputs!EV229</f>
        <v>11556</v>
      </c>
      <c r="EW189" s="44">
        <f>+Inputs!EW229</f>
        <v>11551</v>
      </c>
      <c r="EX189" s="182">
        <f>+EW189</f>
        <v>11551</v>
      </c>
      <c r="EY189" s="120">
        <f t="shared" ref="EY189" si="553">+EX189+EY113-EY112</f>
        <v>11551</v>
      </c>
      <c r="EZ189" s="120">
        <f t="shared" ref="EZ189" si="554">+EY189+EZ113-EZ112</f>
        <v>12751</v>
      </c>
      <c r="FA189" s="120">
        <f t="shared" ref="FA189" si="555">+EZ189+FA113-FA112</f>
        <v>12751</v>
      </c>
      <c r="FB189" s="120">
        <f t="shared" ref="FB189" si="556">+FA189+FB113-FB112</f>
        <v>12751</v>
      </c>
      <c r="FC189" s="182">
        <f>+FB189</f>
        <v>12751</v>
      </c>
      <c r="FD189" s="120">
        <f t="shared" ref="FD189" si="557">+FC189+FD113+FD112</f>
        <v>14251</v>
      </c>
      <c r="FE189" s="120">
        <f>+FD189+FE113+FE112</f>
        <v>14469.9</v>
      </c>
      <c r="FF189" s="120">
        <f t="shared" ref="FF189:FG189" si="558">+FE189+FF113+FF112</f>
        <v>14219.9</v>
      </c>
      <c r="FG189" s="120">
        <f t="shared" si="558"/>
        <v>13419.9</v>
      </c>
      <c r="FH189" s="120">
        <f t="shared" ref="FH189:FI189" si="559">+FH196-FH182</f>
        <v>13049.908620729893</v>
      </c>
      <c r="FI189" s="120">
        <f t="shared" si="559"/>
        <v>13832.023863206003</v>
      </c>
      <c r="FJ189" s="76"/>
    </row>
    <row r="190" spans="1:166" x14ac:dyDescent="0.3">
      <c r="A190" s="27" t="s">
        <v>144</v>
      </c>
      <c r="DU190" s="44">
        <f>+Inputs!DU230</f>
        <v>1535</v>
      </c>
      <c r="DV190" s="44">
        <f>+Inputs!DV230</f>
        <v>-3771</v>
      </c>
      <c r="DW190" s="44">
        <f>+Inputs!DW230</f>
        <v>-4103</v>
      </c>
      <c r="DX190" s="44">
        <f>+Inputs!DX230</f>
        <v>-4394</v>
      </c>
      <c r="DY190" s="45">
        <f>+DX190</f>
        <v>-4394</v>
      </c>
      <c r="DZ190" s="44">
        <f>+Inputs!DZ230</f>
        <v>-4493</v>
      </c>
      <c r="EA190" s="44">
        <f>+Inputs!EA230</f>
        <v>-5097</v>
      </c>
      <c r="EB190" s="44">
        <f>+Inputs!EB230</f>
        <v>-4926</v>
      </c>
      <c r="EC190" s="44">
        <f>+Inputs!EC230</f>
        <v>-4900</v>
      </c>
      <c r="ED190" s="45">
        <f>+EC190</f>
        <v>-4900</v>
      </c>
      <c r="EE190" s="44">
        <f>+Inputs!EE230</f>
        <v>-4830</v>
      </c>
      <c r="EF190" s="44">
        <f>+Inputs!EF230</f>
        <v>4248</v>
      </c>
      <c r="EG190" s="44">
        <f>+Inputs!EG230</f>
        <v>4385</v>
      </c>
      <c r="EH190" s="44">
        <f>+Inputs!EH230</f>
        <v>4600</v>
      </c>
      <c r="EI190" s="45">
        <f>+EH190</f>
        <v>4600</v>
      </c>
      <c r="EJ190" s="44">
        <f>+Inputs!EJ230</f>
        <v>4678</v>
      </c>
      <c r="EK190" s="44">
        <f>+Inputs!EK230</f>
        <v>4796</v>
      </c>
      <c r="EL190" s="44">
        <f>+Inputs!EL230</f>
        <v>4933</v>
      </c>
      <c r="EM190" s="44">
        <f>+Inputs!EM230</f>
        <v>5134</v>
      </c>
      <c r="EN190" s="45">
        <f>+EM190</f>
        <v>5134</v>
      </c>
      <c r="EO190" s="44">
        <f>+Inputs!EO230</f>
        <v>5163</v>
      </c>
      <c r="EP190" s="44">
        <f>+Inputs!EP230</f>
        <v>5192</v>
      </c>
      <c r="EQ190" s="44">
        <f>+Inputs!EQ230</f>
        <v>5240</v>
      </c>
      <c r="ER190" s="44">
        <f>+Inputs!ER230</f>
        <v>5279</v>
      </c>
      <c r="ES190" s="45">
        <f>+ER190</f>
        <v>5279</v>
      </c>
      <c r="ET190" s="44">
        <f>+Inputs!ET230</f>
        <v>5259</v>
      </c>
      <c r="EU190" s="44">
        <f>+Inputs!EU230</f>
        <v>5137</v>
      </c>
      <c r="EV190" s="44">
        <f>+Inputs!EV230</f>
        <v>5066</v>
      </c>
      <c r="EW190" s="44">
        <f>+Inputs!EW230</f>
        <v>4941</v>
      </c>
      <c r="EX190" s="45">
        <f>+EW190</f>
        <v>4941</v>
      </c>
      <c r="EY190" s="76">
        <f t="shared" ref="EY190:FB190" si="560">+EY191-SUM(EY187:EY189,EY185)</f>
        <v>4797.7030104320438</v>
      </c>
      <c r="EZ190" s="76">
        <f t="shared" si="560"/>
        <v>4553.4759843477768</v>
      </c>
      <c r="FA190" s="76">
        <f t="shared" si="560"/>
        <v>4425.5468121593949</v>
      </c>
      <c r="FB190" s="76">
        <f t="shared" si="560"/>
        <v>4238.2192555654401</v>
      </c>
      <c r="FC190" s="45">
        <f>+FB190</f>
        <v>4238.2192555654401</v>
      </c>
      <c r="FD190" s="76">
        <f t="shared" ref="FD190:FH190" si="561">+FD191-SUM(FD187:FD189,FD185)</f>
        <v>3723.726171058137</v>
      </c>
      <c r="FE190" s="76">
        <f t="shared" ref="FE190" si="562">+FE191-SUM(FE187:FE189,FE185)</f>
        <v>3595.9698178067811</v>
      </c>
      <c r="FF190" s="76">
        <f t="shared" si="561"/>
        <v>3852.9241323039932</v>
      </c>
      <c r="FG190" s="76">
        <f t="shared" ref="FG190" si="563">+FG191-SUM(FG187:FG189,FG185)</f>
        <v>4479.381249902206</v>
      </c>
      <c r="FH190" s="76">
        <f t="shared" si="561"/>
        <v>4723.7097812368193</v>
      </c>
      <c r="FI190" s="76">
        <f>+FI191-SUM(FI187:FI189,FI185)</f>
        <v>4143.8429405322568</v>
      </c>
    </row>
    <row r="191" spans="1:166" x14ac:dyDescent="0.3">
      <c r="A191" s="4" t="s">
        <v>145</v>
      </c>
      <c r="DU191" s="803">
        <f>+SUM(DU187:DU190,DU185)</f>
        <v>23362</v>
      </c>
      <c r="DV191" s="803">
        <f>+SUM(DV187:DV190,DV185)</f>
        <v>17565</v>
      </c>
      <c r="DW191" s="803">
        <f>+SUM(DW187:DW190,DW185)</f>
        <v>17561</v>
      </c>
      <c r="DX191" s="803">
        <f>+SUM(DX187:DX190,DX185)</f>
        <v>17488</v>
      </c>
      <c r="DY191" s="858">
        <f>+DX191</f>
        <v>17488</v>
      </c>
      <c r="DZ191" s="803">
        <f>+SUM(DZ187:DZ190,DZ185)</f>
        <v>17488</v>
      </c>
      <c r="EA191" s="803">
        <f>+SUM(EA187:EA190,EA185)</f>
        <v>17467</v>
      </c>
      <c r="EB191" s="803">
        <f>+SUM(EB187:EB190,EB185)</f>
        <v>16787</v>
      </c>
      <c r="EC191" s="803">
        <f>+SUM(EC187:EC190,EC185)</f>
        <v>16795</v>
      </c>
      <c r="ED191" s="858">
        <f>+EC191</f>
        <v>16795</v>
      </c>
      <c r="EE191" s="803">
        <f>+SUM(EE187:EE190,EE185)</f>
        <v>16960</v>
      </c>
      <c r="EF191" s="803">
        <f>+SUM(EF187:EF190,EF185)</f>
        <v>15102</v>
      </c>
      <c r="EG191" s="803">
        <f>+SUM(EG187:EG190,EG185)</f>
        <v>15388</v>
      </c>
      <c r="EH191" s="803">
        <f>+SUM(EH187:EH190,EH185)</f>
        <v>16481</v>
      </c>
      <c r="EI191" s="858">
        <f>+EH191</f>
        <v>16481</v>
      </c>
      <c r="EJ191" s="803">
        <f>+SUM(EJ187:EJ190,EJ185)</f>
        <v>16755</v>
      </c>
      <c r="EK191" s="803">
        <f>+SUM(EK187:EK190,EK185)</f>
        <v>18035</v>
      </c>
      <c r="EL191" s="803">
        <f>+SUM(EL187:EL190,EL185)</f>
        <v>18273</v>
      </c>
      <c r="EM191" s="803">
        <f>+SUM(EM187:EM190,EM185)</f>
        <v>18624</v>
      </c>
      <c r="EN191" s="858">
        <f>+EM191</f>
        <v>18624</v>
      </c>
      <c r="EO191" s="803">
        <f>+SUM(EO187:EO190,EO185)</f>
        <v>19398</v>
      </c>
      <c r="EP191" s="803">
        <f>+SUM(EP187:EP190,EP185)</f>
        <v>19150</v>
      </c>
      <c r="EQ191" s="803">
        <f>+SUM(EQ187:EQ190,EQ185)</f>
        <v>20509</v>
      </c>
      <c r="ER191" s="803">
        <f>+SUM(ER187:ER190,ER185)</f>
        <v>20693</v>
      </c>
      <c r="ES191" s="858">
        <f>+ER191</f>
        <v>20693</v>
      </c>
      <c r="ET191" s="803">
        <f>+SUM(ET187:ET190,ET185)</f>
        <v>20197</v>
      </c>
      <c r="EU191" s="803">
        <f>+SUM(EU187:EU190,EU185)</f>
        <v>20194</v>
      </c>
      <c r="EV191" s="803">
        <f>+SUM(EV187:EV190,EV185)</f>
        <v>20859</v>
      </c>
      <c r="EW191" s="803">
        <f>+SUM(EW187:EW190,EW185)</f>
        <v>20614</v>
      </c>
      <c r="EX191" s="858">
        <f>+EW191</f>
        <v>20614</v>
      </c>
      <c r="EY191" s="803">
        <f t="shared" ref="EY191:FB191" si="564">+EY180</f>
        <v>20515.17150194753</v>
      </c>
      <c r="EZ191" s="803">
        <f t="shared" si="564"/>
        <v>21510.735311702127</v>
      </c>
      <c r="FA191" s="803">
        <f t="shared" si="564"/>
        <v>21423.747963534755</v>
      </c>
      <c r="FB191" s="803">
        <f t="shared" si="564"/>
        <v>21264.314348559128</v>
      </c>
      <c r="FC191" s="858">
        <f>+FB191</f>
        <v>21264.314348559128</v>
      </c>
      <c r="FD191" s="803">
        <f t="shared" ref="FD191:FI191" si="565">+FD180</f>
        <v>22352.276919948134</v>
      </c>
      <c r="FE191" s="803">
        <f t="shared" ref="FE191" si="566">+FE180</f>
        <v>22455.838010477066</v>
      </c>
      <c r="FF191" s="803">
        <f t="shared" si="565"/>
        <v>22398.078650198368</v>
      </c>
      <c r="FG191" s="803">
        <f t="shared" ref="FG191" si="567">+FG180</f>
        <v>22085.919783227841</v>
      </c>
      <c r="FH191" s="803">
        <f t="shared" si="565"/>
        <v>21745.822208054604</v>
      </c>
      <c r="FI191" s="803">
        <f t="shared" si="565"/>
        <v>21673.812745486441</v>
      </c>
    </row>
    <row r="192" spans="1:166" x14ac:dyDescent="0.3">
      <c r="A192" s="163" t="s">
        <v>146</v>
      </c>
      <c r="DU192" s="162" t="str">
        <f>+IF(DU191=DU180,"ok",DU191-DU180)</f>
        <v>ok</v>
      </c>
      <c r="DV192" s="162" t="str">
        <f>+IF(DV191=DV180,"ok",DV191-DV180)</f>
        <v>ok</v>
      </c>
      <c r="DW192" s="162" t="str">
        <f>+IF(DW191=DW180,"ok",DW191-DW180)</f>
        <v>ok</v>
      </c>
      <c r="DX192" s="162" t="str">
        <f>+IF(DX191=DX180,"ok",DX191-DX180)</f>
        <v>ok</v>
      </c>
      <c r="DY192" s="1211" t="str">
        <f t="shared" ref="DY192:ED192" si="568">+IF(DY191=DY180,"ok",DY191-DY180)</f>
        <v>ok</v>
      </c>
      <c r="DZ192" s="162" t="str">
        <f t="shared" si="568"/>
        <v>ok</v>
      </c>
      <c r="EA192" s="162" t="str">
        <f t="shared" si="568"/>
        <v>ok</v>
      </c>
      <c r="EB192" s="162" t="str">
        <f>+IF(EB191=EB180,"ok",EB191-EB180)</f>
        <v>ok</v>
      </c>
      <c r="EC192" s="162" t="str">
        <f>+IF(EC191=EC180,"ok",EC191-EC180)</f>
        <v>ok</v>
      </c>
      <c r="ED192" s="1211" t="str">
        <f t="shared" si="568"/>
        <v>ok</v>
      </c>
      <c r="EE192" s="162" t="str">
        <f>+IF(EE191=EE180,"ok",EE191-EE180)</f>
        <v>ok</v>
      </c>
      <c r="EF192" s="162" t="str">
        <f>+IF(EF191=EF180,"ok",EF191-EF180)</f>
        <v>ok</v>
      </c>
      <c r="EG192" s="162" t="str">
        <f>+IF(EG191=EG180,"ok",EG191-EG180)</f>
        <v>ok</v>
      </c>
      <c r="EH192" s="162" t="str">
        <f>+IF(EH191=EH180,"ok",EH191-EH180)</f>
        <v>ok</v>
      </c>
      <c r="EI192" s="1211" t="str">
        <f t="shared" ref="EI192" si="569">+IF(EI191=EI180,"ok",EI191-EI180)</f>
        <v>ok</v>
      </c>
      <c r="EJ192" s="162" t="str">
        <f t="shared" ref="EJ192:EO192" si="570">+IF(EJ191=EJ180,"ok",EJ191-EJ180)</f>
        <v>ok</v>
      </c>
      <c r="EK192" s="162" t="str">
        <f t="shared" si="570"/>
        <v>ok</v>
      </c>
      <c r="EL192" s="162" t="str">
        <f t="shared" si="570"/>
        <v>ok</v>
      </c>
      <c r="EM192" s="162" t="str">
        <f t="shared" si="570"/>
        <v>ok</v>
      </c>
      <c r="EN192" s="1211" t="str">
        <f t="shared" si="570"/>
        <v>ok</v>
      </c>
      <c r="EO192" s="162" t="str">
        <f t="shared" si="570"/>
        <v>ok</v>
      </c>
      <c r="EP192" s="162" t="str">
        <f t="shared" ref="EP192:EQ192" si="571">+IF(EP191=EP180,"ok",EP191-EP180)</f>
        <v>ok</v>
      </c>
      <c r="EQ192" s="162" t="str">
        <f t="shared" si="571"/>
        <v>ok</v>
      </c>
      <c r="ER192" s="162" t="str">
        <f t="shared" ref="ER192" si="572">+IF(ER191=ER180,"ok",ER191-ER180)</f>
        <v>ok</v>
      </c>
      <c r="ES192" s="1211" t="str">
        <f>+IF(ES191=ES180,"ok",ES191-ES180)</f>
        <v>ok</v>
      </c>
      <c r="ET192" s="162" t="str">
        <f t="shared" ref="ET192:EU192" si="573">+IF(ET191=ET180,"ok",ET191-ET180)</f>
        <v>ok</v>
      </c>
      <c r="EU192" s="162" t="str">
        <f t="shared" si="573"/>
        <v>ok</v>
      </c>
      <c r="EV192" s="162" t="str">
        <f t="shared" ref="EV192:EW192" si="574">+IF(EV191=EV180,"ok",EV191-EV180)</f>
        <v>ok</v>
      </c>
      <c r="EW192" s="162" t="str">
        <f t="shared" si="574"/>
        <v>ok</v>
      </c>
      <c r="EX192" s="1211" t="str">
        <f>+IF(EX191=EX180,"ok",EX191-EX180)</f>
        <v>ok</v>
      </c>
      <c r="EY192" s="162" t="str">
        <f t="shared" ref="EY192:FB192" si="575">+IF(EY191=EY180,"ok",EY191-EY180)</f>
        <v>ok</v>
      </c>
      <c r="EZ192" s="162" t="str">
        <f t="shared" si="575"/>
        <v>ok</v>
      </c>
      <c r="FA192" s="162" t="str">
        <f t="shared" si="575"/>
        <v>ok</v>
      </c>
      <c r="FB192" s="162" t="str">
        <f t="shared" si="575"/>
        <v>ok</v>
      </c>
      <c r="FC192" s="1211" t="str">
        <f>+IF(FC191=FC180,"ok",FC191-FC180)</f>
        <v>ok</v>
      </c>
      <c r="FD192" s="162" t="str">
        <f t="shared" ref="FD192:FH192" si="576">+IF(FD191=FD180,"ok",FD191-FD180)</f>
        <v>ok</v>
      </c>
      <c r="FE192" s="162" t="str">
        <f t="shared" ref="FE192" si="577">+IF(FE191=FE180,"ok",FE191-FE180)</f>
        <v>ok</v>
      </c>
      <c r="FF192" s="162" t="str">
        <f t="shared" si="576"/>
        <v>ok</v>
      </c>
      <c r="FG192" s="162" t="str">
        <f t="shared" ref="FG192" si="578">+IF(FG191=FG180,"ok",FG191-FG180)</f>
        <v>ok</v>
      </c>
      <c r="FH192" s="162" t="str">
        <f t="shared" si="576"/>
        <v>ok</v>
      </c>
      <c r="FI192" s="162" t="str">
        <f>+IF(FI191=FI180,"ok",FI191-FI180)</f>
        <v>ok</v>
      </c>
    </row>
    <row r="193" spans="1:165" x14ac:dyDescent="0.3">
      <c r="ET193" s="90"/>
      <c r="EU193" s="90"/>
      <c r="EV193" s="90"/>
      <c r="EW193" s="90"/>
      <c r="EY193" s="90"/>
      <c r="EZ193" s="90"/>
      <c r="FA193" s="90"/>
      <c r="FB193" s="90"/>
    </row>
    <row r="194" spans="1:165" x14ac:dyDescent="0.3">
      <c r="A194" s="54" t="s">
        <v>147</v>
      </c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4"/>
      <c r="CO194" s="54"/>
      <c r="CP194" s="54"/>
      <c r="CQ194" s="54"/>
      <c r="CR194" s="54"/>
      <c r="CS194" s="54"/>
      <c r="CT194" s="54"/>
      <c r="CU194" s="54"/>
      <c r="CV194" s="54"/>
      <c r="CW194" s="54"/>
      <c r="CX194" s="54"/>
      <c r="CY194" s="54"/>
      <c r="CZ194" s="54"/>
      <c r="DA194" s="54"/>
      <c r="DB194" s="54"/>
      <c r="DC194" s="54"/>
      <c r="DD194" s="54"/>
      <c r="DE194" s="54"/>
      <c r="DF194" s="54"/>
      <c r="DG194" s="54"/>
      <c r="DH194" s="54"/>
      <c r="DI194" s="54"/>
      <c r="DJ194" s="54"/>
      <c r="DK194" s="54"/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  <c r="EJ194" s="54"/>
      <c r="EK194" s="54"/>
      <c r="EL194" s="54"/>
      <c r="EM194" s="54"/>
      <c r="EN194" s="54"/>
      <c r="EO194" s="54"/>
      <c r="EP194" s="54"/>
      <c r="EQ194" s="54"/>
      <c r="ER194" s="54"/>
      <c r="ES194" s="54"/>
      <c r="ET194" s="54"/>
      <c r="EU194" s="54"/>
      <c r="EV194" s="54"/>
      <c r="EW194" s="54"/>
      <c r="EX194" s="54"/>
      <c r="EY194" s="54"/>
      <c r="EZ194" s="54"/>
      <c r="FA194" s="54"/>
      <c r="FB194" s="54"/>
      <c r="FC194" s="54"/>
      <c r="FD194" s="54"/>
      <c r="FE194" s="54"/>
      <c r="FF194" s="54"/>
      <c r="FG194" s="54"/>
      <c r="FH194" s="54"/>
      <c r="FI194" s="54"/>
    </row>
    <row r="195" spans="1:165" x14ac:dyDescent="0.3">
      <c r="A195" s="1790" t="s">
        <v>148</v>
      </c>
      <c r="DU195" s="76"/>
      <c r="DV195" s="76"/>
      <c r="DW195" s="76"/>
      <c r="ET195" s="90"/>
      <c r="EU195" s="90"/>
      <c r="EV195" s="90"/>
      <c r="EW195" s="90"/>
      <c r="EY195" s="90"/>
      <c r="EZ195" s="90"/>
      <c r="FA195" s="90"/>
      <c r="FB195" s="90"/>
      <c r="FD195" s="76"/>
      <c r="FE195" s="76"/>
      <c r="FH195" s="76"/>
      <c r="FI195" s="76"/>
    </row>
    <row r="196" spans="1:165" x14ac:dyDescent="0.3">
      <c r="A196" s="170" t="s">
        <v>149</v>
      </c>
      <c r="DU196" s="179">
        <f>+Inputs!DU277</f>
        <v>16919</v>
      </c>
      <c r="DV196" s="179">
        <f>+Inputs!DV277</f>
        <v>16797</v>
      </c>
      <c r="DW196" s="179">
        <f>+Inputs!DW277</f>
        <v>17299</v>
      </c>
      <c r="DX196" s="76">
        <f>+DX189+DX182</f>
        <v>17302</v>
      </c>
      <c r="DY196" s="85">
        <f>+DX196</f>
        <v>17302</v>
      </c>
      <c r="DZ196" s="79">
        <f>+Inputs!DZ277</f>
        <v>17306</v>
      </c>
      <c r="EA196" s="79">
        <f>+Inputs!EA277</f>
        <v>17511</v>
      </c>
      <c r="EB196" s="79">
        <f>+Inputs!EB277</f>
        <v>16778.261264756416</v>
      </c>
      <c r="EC196" s="79">
        <f>+Inputs!EC277</f>
        <v>16834.551127861221</v>
      </c>
      <c r="ED196" s="85">
        <f>+EC196</f>
        <v>16834.551127861221</v>
      </c>
      <c r="EE196" s="79">
        <f>+Inputs!EE277</f>
        <v>16840.374217147924</v>
      </c>
      <c r="EF196" s="79">
        <f>+Inputs!EF277</f>
        <v>7022</v>
      </c>
      <c r="EG196" s="79">
        <f>+Inputs!EG277</f>
        <v>7011</v>
      </c>
      <c r="EH196" s="79">
        <f>+Inputs!EH277</f>
        <v>7983</v>
      </c>
      <c r="EI196" s="85">
        <f>+EH196</f>
        <v>7983</v>
      </c>
      <c r="EJ196" s="79">
        <f>+Inputs!EJ277</f>
        <v>7983.0000000000009</v>
      </c>
      <c r="EK196" s="79">
        <f>+Inputs!EK277</f>
        <v>9145</v>
      </c>
      <c r="EL196" s="79">
        <f>+Inputs!EL277</f>
        <v>9135</v>
      </c>
      <c r="EM196" s="79">
        <f>+Inputs!EM277</f>
        <v>9125</v>
      </c>
      <c r="EN196" s="85">
        <f>+EM196</f>
        <v>9125</v>
      </c>
      <c r="EO196" s="79">
        <f>+Inputs!EO277</f>
        <v>9854</v>
      </c>
      <c r="EP196" s="79">
        <f>+Inputs!EP277</f>
        <v>9844</v>
      </c>
      <c r="EQ196" s="79">
        <f>+Inputs!EQ277</f>
        <v>11273</v>
      </c>
      <c r="ER196" s="79">
        <f>+Inputs!ER277</f>
        <v>11261</v>
      </c>
      <c r="ES196" s="85">
        <f>+EN196+SUM(ES188:ES189,ES182)-SUM(EN188:EN189,EN182)</f>
        <v>11261</v>
      </c>
      <c r="ET196" s="79">
        <f>+Inputs!ET277</f>
        <v>11255</v>
      </c>
      <c r="EU196" s="79">
        <f>+Inputs!EU277</f>
        <v>11249</v>
      </c>
      <c r="EV196" s="79">
        <f>+Inputs!EV277</f>
        <v>11566</v>
      </c>
      <c r="EW196" s="79">
        <f>+Inputs!EW277</f>
        <v>11561</v>
      </c>
      <c r="EX196" s="85">
        <f>+ES196+SUM(EX188:EX189,EX182)-SUM(ES188:ES189,ES182)</f>
        <v>11561</v>
      </c>
      <c r="EY196" s="76">
        <f t="shared" ref="EY196" si="579">+EX196+SUM(EY188:EY189,EY182)-SUM(EX188:EX189,EX182)</f>
        <v>11561</v>
      </c>
      <c r="EZ196" s="76">
        <f t="shared" ref="EZ196" si="580">+EY196+SUM(EZ188:EZ189,EZ182)-SUM(EY188:EY189,EY182)</f>
        <v>12761</v>
      </c>
      <c r="FA196" s="76">
        <f t="shared" ref="FA196" si="581">+EZ196+SUM(FA188:FA189,FA182)-SUM(EZ188:EZ189,EZ182)</f>
        <v>12761</v>
      </c>
      <c r="FB196" s="76">
        <f t="shared" ref="FB196" si="582">+FA196+SUM(FB188:FB189,FB182)-SUM(FA188:FA189,FA182)</f>
        <v>12761</v>
      </c>
      <c r="FC196" s="85">
        <f>+EX196+SUM(FC188:FC189,FC182)-SUM(EX188:EX189,EX182)</f>
        <v>12761</v>
      </c>
      <c r="FD196" s="76">
        <f t="shared" ref="FD196:FE196" si="583">+FC196+SUM(FD188:FD189,FD182)-SUM(FC188:FC189,FC182)</f>
        <v>14261</v>
      </c>
      <c r="FE196" s="76">
        <f t="shared" si="583"/>
        <v>14479.900000000001</v>
      </c>
      <c r="FF196" s="76">
        <f t="shared" ref="FF196:FG196" si="584">+FE196+SUM(FF188:FF189,FF182)-SUM(FE188:FE189,FE182)</f>
        <v>14229.900000000003</v>
      </c>
      <c r="FG196" s="76">
        <f t="shared" si="584"/>
        <v>13429.900000000003</v>
      </c>
      <c r="FH196" s="76">
        <f>+FH198+FH197</f>
        <v>13059.908620729893</v>
      </c>
      <c r="FI196" s="76">
        <f>+FI198+FI197</f>
        <v>13842.023863206003</v>
      </c>
    </row>
    <row r="197" spans="1:165" ht="12" customHeight="1" x14ac:dyDescent="0.3">
      <c r="A197" s="171" t="s">
        <v>150</v>
      </c>
      <c r="DU197" s="76">
        <f>+DU171</f>
        <v>119</v>
      </c>
      <c r="DV197" s="76">
        <f>+DV171</f>
        <v>267</v>
      </c>
      <c r="DW197" s="76">
        <f>+DW171</f>
        <v>683</v>
      </c>
      <c r="DX197" s="76">
        <f>+DX171</f>
        <v>760</v>
      </c>
      <c r="DY197" s="85">
        <f>+DX197</f>
        <v>760</v>
      </c>
      <c r="DZ197" s="76">
        <f>+DZ171</f>
        <v>941</v>
      </c>
      <c r="EA197" s="76">
        <f>+EA171</f>
        <v>2290</v>
      </c>
      <c r="EB197" s="76">
        <f>+EB171</f>
        <v>1767</v>
      </c>
      <c r="EC197" s="76">
        <f>+EC171</f>
        <v>1829</v>
      </c>
      <c r="ED197" s="85">
        <f>+EC197</f>
        <v>1829</v>
      </c>
      <c r="EE197" s="76">
        <f>+EE171</f>
        <v>2107</v>
      </c>
      <c r="EF197" s="76">
        <f>+EF171</f>
        <v>993</v>
      </c>
      <c r="EG197" s="76">
        <f>+EG171</f>
        <v>1211</v>
      </c>
      <c r="EH197" s="76">
        <f>+EH171</f>
        <v>2127</v>
      </c>
      <c r="EI197" s="85">
        <f>+EH197</f>
        <v>2127</v>
      </c>
      <c r="EJ197" s="76">
        <f>+EJ171+EJ172</f>
        <v>2200</v>
      </c>
      <c r="EK197" s="76">
        <f>+EK171+EK172</f>
        <v>2978</v>
      </c>
      <c r="EL197" s="76">
        <f t="shared" ref="EL197:EQ197" si="585">+EL171+EL172</f>
        <v>2555</v>
      </c>
      <c r="EM197" s="76">
        <f t="shared" si="585"/>
        <v>2072</v>
      </c>
      <c r="EN197" s="85">
        <f>+EM197</f>
        <v>2072</v>
      </c>
      <c r="EO197" s="76">
        <f t="shared" si="585"/>
        <v>2032</v>
      </c>
      <c r="EP197" s="76">
        <f t="shared" si="585"/>
        <v>1237</v>
      </c>
      <c r="EQ197" s="76">
        <f t="shared" si="585"/>
        <v>2223</v>
      </c>
      <c r="ER197" s="76">
        <f t="shared" ref="ER197" si="586">+ER171+ER172</f>
        <v>2200</v>
      </c>
      <c r="ES197" s="85">
        <f>ER197</f>
        <v>2200</v>
      </c>
      <c r="ET197" s="76">
        <f t="shared" ref="ET197:EU197" si="587">+ET171+ET172</f>
        <v>1521</v>
      </c>
      <c r="EU197" s="76">
        <f t="shared" si="587"/>
        <v>1197</v>
      </c>
      <c r="EV197" s="76">
        <f t="shared" ref="EV197:EW197" si="588">+EV171+EV172</f>
        <v>1320</v>
      </c>
      <c r="EW197" s="76">
        <f t="shared" si="588"/>
        <v>750</v>
      </c>
      <c r="EX197" s="85">
        <f t="shared" ref="EX197:FF197" si="589">+EX171+EX172</f>
        <v>750</v>
      </c>
      <c r="EY197" s="76">
        <f t="shared" ref="EY197:FC197" si="590">+EY171+EY172</f>
        <v>308.01150044971871</v>
      </c>
      <c r="EZ197" s="76">
        <f t="shared" si="590"/>
        <v>970.12754515271649</v>
      </c>
      <c r="FA197" s="76">
        <f t="shared" si="590"/>
        <v>545.90934618057349</v>
      </c>
      <c r="FB197" s="76">
        <f t="shared" si="590"/>
        <v>82.793265958191853</v>
      </c>
      <c r="FC197" s="85">
        <f t="shared" si="590"/>
        <v>82.793265958191853</v>
      </c>
      <c r="FD197" s="76">
        <f t="shared" si="589"/>
        <v>-25.955249149083954</v>
      </c>
      <c r="FE197" s="76">
        <f t="shared" si="589"/>
        <v>-38.671773529581003</v>
      </c>
      <c r="FF197" s="76">
        <f t="shared" si="589"/>
        <v>72.499293338593873</v>
      </c>
      <c r="FG197" s="76">
        <f t="shared" ref="FG197" si="591">+FG171+FG172</f>
        <v>-164.85254733679716</v>
      </c>
      <c r="FH197" s="76">
        <f t="shared" ref="FH197:FI197" si="592">FG197</f>
        <v>-164.85254733679716</v>
      </c>
      <c r="FI197" s="76">
        <f t="shared" si="592"/>
        <v>-164.85254733679716</v>
      </c>
    </row>
    <row r="198" spans="1:165" x14ac:dyDescent="0.3">
      <c r="A198" s="172" t="s">
        <v>151</v>
      </c>
      <c r="DU198" s="803">
        <f>+DU196-DU197</f>
        <v>16800</v>
      </c>
      <c r="DV198" s="803">
        <f>+DV196-DV197</f>
        <v>16530</v>
      </c>
      <c r="DW198" s="803">
        <f>+DW196-DW197</f>
        <v>16616</v>
      </c>
      <c r="DX198" s="803">
        <f>+DX196-DX197</f>
        <v>16542</v>
      </c>
      <c r="DY198" s="803">
        <f>+DX198</f>
        <v>16542</v>
      </c>
      <c r="DZ198" s="803">
        <f>+DZ196-DZ197</f>
        <v>16365</v>
      </c>
      <c r="EA198" s="803">
        <f>+EA196-EA197</f>
        <v>15221</v>
      </c>
      <c r="EB198" s="803">
        <f>+EB196-EB197</f>
        <v>15011.261264756416</v>
      </c>
      <c r="EC198" s="803">
        <f>+EC196-EC197</f>
        <v>15005.551127861221</v>
      </c>
      <c r="ED198" s="803">
        <f>+EC198</f>
        <v>15005.551127861221</v>
      </c>
      <c r="EE198" s="803">
        <f>+EE196-EE197</f>
        <v>14733.374217147924</v>
      </c>
      <c r="EF198" s="803">
        <f>+EF196-EF197</f>
        <v>6029</v>
      </c>
      <c r="EG198" s="803">
        <f>+EG196-EG197</f>
        <v>5800</v>
      </c>
      <c r="EH198" s="803">
        <f>+EH196-EH197</f>
        <v>5856</v>
      </c>
      <c r="EI198" s="803">
        <f>+EH198</f>
        <v>5856</v>
      </c>
      <c r="EJ198" s="803">
        <f>+EJ196-EJ197</f>
        <v>5783.0000000000009</v>
      </c>
      <c r="EK198" s="803">
        <f>+EK196-EK197</f>
        <v>6167</v>
      </c>
      <c r="EL198" s="803">
        <f>+EL196-EL197</f>
        <v>6580</v>
      </c>
      <c r="EM198" s="803">
        <f>+EM196-EM197</f>
        <v>7053</v>
      </c>
      <c r="EN198" s="803">
        <f>+EM198</f>
        <v>7053</v>
      </c>
      <c r="EO198" s="803">
        <f>+EO196-EO197</f>
        <v>7822</v>
      </c>
      <c r="EP198" s="803">
        <f>+EP196-EP197</f>
        <v>8607</v>
      </c>
      <c r="EQ198" s="803">
        <f>+EQ196-EQ197</f>
        <v>9050</v>
      </c>
      <c r="ER198" s="803">
        <f>+ER196-ER197</f>
        <v>9061</v>
      </c>
      <c r="ES198" s="803">
        <f t="shared" ref="ES198:FD198" si="593">+ES196-ES197</f>
        <v>9061</v>
      </c>
      <c r="ET198" s="803">
        <f>+ET196-ET197</f>
        <v>9734</v>
      </c>
      <c r="EU198" s="803">
        <f>+EU196-EU197</f>
        <v>10052</v>
      </c>
      <c r="EV198" s="803">
        <f>+EV196-EV197</f>
        <v>10246</v>
      </c>
      <c r="EW198" s="803">
        <f>+EW196-EW197</f>
        <v>10811</v>
      </c>
      <c r="EX198" s="803">
        <f t="shared" ref="EX198" si="594">+EX196-EX197</f>
        <v>10811</v>
      </c>
      <c r="EY198" s="803">
        <f t="shared" ref="EY198:FC198" si="595">+EY196-EY197</f>
        <v>11252.988499550282</v>
      </c>
      <c r="EZ198" s="803">
        <f t="shared" si="595"/>
        <v>11790.872454847284</v>
      </c>
      <c r="FA198" s="803">
        <f t="shared" si="595"/>
        <v>12215.090653819427</v>
      </c>
      <c r="FB198" s="803">
        <f t="shared" si="595"/>
        <v>12678.206734041809</v>
      </c>
      <c r="FC198" s="803">
        <f t="shared" si="595"/>
        <v>12678.206734041809</v>
      </c>
      <c r="FD198" s="803">
        <f t="shared" si="593"/>
        <v>14286.955249149083</v>
      </c>
      <c r="FE198" s="803">
        <f t="shared" ref="FE198:FF198" si="596">+FE196-FE197</f>
        <v>14518.571773529582</v>
      </c>
      <c r="FF198" s="803">
        <f t="shared" si="596"/>
        <v>14157.400706661409</v>
      </c>
      <c r="FG198" s="803">
        <f t="shared" ref="FG198" si="597">+FG196-FG197</f>
        <v>13594.7525473368</v>
      </c>
      <c r="FH198" s="803">
        <f>+FH200*FH199</f>
        <v>13224.761168066691</v>
      </c>
      <c r="FI198" s="803">
        <f>+FI200*FI199</f>
        <v>14006.8764105428</v>
      </c>
    </row>
    <row r="199" spans="1:165" x14ac:dyDescent="0.3">
      <c r="A199" s="173" t="s">
        <v>152</v>
      </c>
      <c r="DU199" s="76">
        <f>+DU61*4</f>
        <v>3492</v>
      </c>
      <c r="DV199" s="76">
        <f>+SUM(DU48:DV48)*2</f>
        <v>3104</v>
      </c>
      <c r="DW199" s="76">
        <f>+SUM(DU48:DW48)/0.75</f>
        <v>3009.3333333333335</v>
      </c>
      <c r="DX199" s="76">
        <f>+SUM(DU48:DX48)</f>
        <v>2930</v>
      </c>
      <c r="DY199" s="85">
        <f>+DX199</f>
        <v>2930</v>
      </c>
      <c r="DZ199" s="76">
        <f>+SUM(DZ48,DV48:DX48)</f>
        <v>2846</v>
      </c>
      <c r="EA199" s="76">
        <f>+SUM(DZ48:EA48,DW48:DX48)</f>
        <v>2768</v>
      </c>
      <c r="EB199" s="76">
        <f>+SUM(DZ48:EB48,DX48)</f>
        <v>2754</v>
      </c>
      <c r="EC199" s="76">
        <f>+SUM(DZ48:EC48)</f>
        <v>2775</v>
      </c>
      <c r="ED199" s="85">
        <f>+EC199</f>
        <v>2775</v>
      </c>
      <c r="EE199" s="76">
        <f>+SUM(EE48,EA48:EC48)</f>
        <v>2757</v>
      </c>
      <c r="EF199" s="76">
        <f>+SUM(EE48:EF48,EB48:EC48)</f>
        <v>2688</v>
      </c>
      <c r="EG199" s="76">
        <f>+SUM(EE48:EG48,EC48)</f>
        <v>2584</v>
      </c>
      <c r="EH199" s="76">
        <f>+SUM(EE48:EH48)</f>
        <v>2475</v>
      </c>
      <c r="EI199" s="85">
        <f>+EH199</f>
        <v>2475</v>
      </c>
      <c r="EJ199" s="76">
        <f>+SUM(EJ48,EF48:EH48)</f>
        <v>2315</v>
      </c>
      <c r="EK199" s="76">
        <f>+SUM(EJ48:EK48,EG48:EH48)</f>
        <v>2216</v>
      </c>
      <c r="EL199" s="76">
        <f>+SUM(EJ48:EL48,EH48)</f>
        <v>2137</v>
      </c>
      <c r="EM199" s="76">
        <f>+SUM(EJ48:EM48)</f>
        <v>2080</v>
      </c>
      <c r="EN199" s="85">
        <f>+EM199</f>
        <v>2080</v>
      </c>
      <c r="EO199" s="76">
        <f>+SUM(EO48,EK48:EM48)</f>
        <v>2090</v>
      </c>
      <c r="EP199" s="76">
        <f>+SUM(EO48:EP48,EL48:EM48)</f>
        <v>2088</v>
      </c>
      <c r="EQ199" s="76">
        <f>+SUM(EO48:EQ48,EM48)</f>
        <v>2106</v>
      </c>
      <c r="ER199" s="76">
        <f>+SUM(EO48:ER48)</f>
        <v>2127</v>
      </c>
      <c r="ES199" s="76">
        <f t="shared" ref="ES199:FI199" si="598">+ES48</f>
        <v>2127</v>
      </c>
      <c r="ET199" s="76">
        <f>+SUM(ET48,EP48:ER48)</f>
        <v>2155</v>
      </c>
      <c r="EU199" s="76">
        <f>+SUM(ET48:EU48,EQ48:ER48)</f>
        <v>2182</v>
      </c>
      <c r="EV199" s="76">
        <f>+SUM(ET48:EV48,ER48)</f>
        <v>2205</v>
      </c>
      <c r="EW199" s="76">
        <f>+SUM(ET48:EW48)</f>
        <v>2251</v>
      </c>
      <c r="EX199" s="76">
        <f t="shared" ref="EX199" si="599">+EX48</f>
        <v>2251</v>
      </c>
      <c r="EY199" s="76">
        <f>+SUM(EY48,EU48:EW48)</f>
        <v>2261.0067307829841</v>
      </c>
      <c r="EZ199" s="76">
        <f>+SUM(EY48:EZ48,EV48:EW48)</f>
        <v>2294.6759301790626</v>
      </c>
      <c r="FA199" s="76">
        <f>+SUM(EY48:FA48,EW48)</f>
        <v>2346.4323211043343</v>
      </c>
      <c r="FB199" s="76">
        <f>+SUM(EY48:FB48)</f>
        <v>2416.4545969116944</v>
      </c>
      <c r="FC199" s="76">
        <f t="shared" ref="FC199" si="600">+FC48</f>
        <v>2416.4545969116944</v>
      </c>
      <c r="FD199" s="76">
        <f t="shared" si="598"/>
        <v>2677.0130389762598</v>
      </c>
      <c r="FE199" s="76">
        <f t="shared" ref="FE199" si="601">+FE48</f>
        <v>2993.8763244864958</v>
      </c>
      <c r="FF199" s="76">
        <f t="shared" si="598"/>
        <v>3272.0038286472327</v>
      </c>
      <c r="FG199" s="76">
        <f t="shared" si="598"/>
        <v>3533.6794470944578</v>
      </c>
      <c r="FH199" s="76">
        <f t="shared" si="598"/>
        <v>3778.5031908761971</v>
      </c>
      <c r="FI199" s="76">
        <f t="shared" si="598"/>
        <v>4001.9646887265144</v>
      </c>
    </row>
    <row r="200" spans="1:165" ht="12.5" thickBot="1" x14ac:dyDescent="0.35">
      <c r="A200" s="174" t="s">
        <v>153</v>
      </c>
      <c r="DU200" s="706">
        <f>+DU198/DU199</f>
        <v>4.8109965635738829</v>
      </c>
      <c r="DV200" s="706">
        <f>+DV198/DV199</f>
        <v>5.3253865979381443</v>
      </c>
      <c r="DW200" s="706">
        <f>+DW198/DW199</f>
        <v>5.5214887018165708</v>
      </c>
      <c r="DX200" s="706">
        <f>+DX198/DX199</f>
        <v>5.645733788395904</v>
      </c>
      <c r="DY200" s="706">
        <f t="shared" ref="DY200:ED200" si="602">+DY198/DY199</f>
        <v>5.645733788395904</v>
      </c>
      <c r="DZ200" s="706">
        <f t="shared" si="602"/>
        <v>5.750175685172171</v>
      </c>
      <c r="EA200" s="706">
        <f t="shared" si="602"/>
        <v>5.4989161849710984</v>
      </c>
      <c r="EB200" s="706">
        <f t="shared" si="602"/>
        <v>5.4507121513276751</v>
      </c>
      <c r="EC200" s="706">
        <f t="shared" si="602"/>
        <v>5.4074058118418815</v>
      </c>
      <c r="ED200" s="706">
        <f t="shared" si="602"/>
        <v>5.4074058118418815</v>
      </c>
      <c r="EE200" s="706">
        <f>+EE198/EE199</f>
        <v>5.3439877465172012</v>
      </c>
      <c r="EF200" s="706">
        <f>+EF198/EF199</f>
        <v>2.2429315476190474</v>
      </c>
      <c r="EG200" s="706">
        <f t="shared" ref="EG200:EW200" si="603">+EG198/EG199</f>
        <v>2.2445820433436534</v>
      </c>
      <c r="EH200" s="706">
        <f t="shared" si="603"/>
        <v>2.3660606060606062</v>
      </c>
      <c r="EI200" s="706">
        <f t="shared" si="603"/>
        <v>2.3660606060606062</v>
      </c>
      <c r="EJ200" s="706">
        <f t="shared" ref="EJ200:EO200" si="604">+EJ198/EJ199</f>
        <v>2.4980561555075598</v>
      </c>
      <c r="EK200" s="706">
        <f t="shared" si="604"/>
        <v>2.782942238267148</v>
      </c>
      <c r="EL200" s="706">
        <f t="shared" si="604"/>
        <v>3.0790828263921384</v>
      </c>
      <c r="EM200" s="706">
        <f t="shared" si="604"/>
        <v>3.3908653846153847</v>
      </c>
      <c r="EN200" s="706">
        <f t="shared" si="604"/>
        <v>3.3908653846153847</v>
      </c>
      <c r="EO200" s="706">
        <f t="shared" si="604"/>
        <v>3.7425837320574162</v>
      </c>
      <c r="EP200" s="706">
        <f t="shared" ref="EP200:ER200" si="605">+EP198/EP199</f>
        <v>4.1221264367816088</v>
      </c>
      <c r="EQ200" s="706">
        <f t="shared" si="605"/>
        <v>4.2972459639126308</v>
      </c>
      <c r="ER200" s="706">
        <f t="shared" si="605"/>
        <v>4.2599905970850962</v>
      </c>
      <c r="ES200" s="706">
        <f t="shared" si="603"/>
        <v>4.2599905970850962</v>
      </c>
      <c r="ET200" s="706">
        <f t="shared" si="603"/>
        <v>4.5169373549883991</v>
      </c>
      <c r="EU200" s="706">
        <f t="shared" si="603"/>
        <v>4.6067827681026579</v>
      </c>
      <c r="EV200" s="706">
        <f t="shared" si="603"/>
        <v>4.6467120181405894</v>
      </c>
      <c r="EW200" s="706">
        <f t="shared" si="603"/>
        <v>4.8027543314082628</v>
      </c>
      <c r="EX200" s="706">
        <f t="shared" ref="EX200:FB200" si="606">+EX198/EX199</f>
        <v>4.8027543314082628</v>
      </c>
      <c r="EY200" s="706">
        <f t="shared" si="606"/>
        <v>4.976981424399999</v>
      </c>
      <c r="EZ200" s="706">
        <f t="shared" si="606"/>
        <v>5.138360628521168</v>
      </c>
      <c r="FA200" s="706">
        <f t="shared" si="606"/>
        <v>5.2058141817917285</v>
      </c>
      <c r="FB200" s="706">
        <f t="shared" si="606"/>
        <v>5.2466149168475829</v>
      </c>
      <c r="FC200" s="706">
        <f t="shared" ref="FC200" si="607">+FC198/FC199</f>
        <v>5.2466149168475829</v>
      </c>
      <c r="FD200" s="706">
        <f t="shared" ref="FD200" si="608">+FD198/FD199</f>
        <v>5.3369016292175715</v>
      </c>
      <c r="FE200" s="706">
        <f t="shared" ref="FE200:FG200" si="609">+FE198/FE199</f>
        <v>4.8494226881665794</v>
      </c>
      <c r="FF200" s="706">
        <f t="shared" si="609"/>
        <v>4.3268288938752866</v>
      </c>
      <c r="FG200" s="706">
        <f t="shared" si="609"/>
        <v>3.8471946170768225</v>
      </c>
      <c r="FH200" s="845">
        <v>3.5</v>
      </c>
      <c r="FI200" s="845">
        <v>3.5</v>
      </c>
    </row>
    <row r="201" spans="1:165" ht="12.5" thickTop="1" x14ac:dyDescent="0.3">
      <c r="A201" s="173"/>
      <c r="EO201"/>
      <c r="EP201"/>
      <c r="EQ201"/>
      <c r="ER201"/>
    </row>
    <row r="202" spans="1:165" x14ac:dyDescent="0.3">
      <c r="A202" s="173" t="s">
        <v>154</v>
      </c>
      <c r="DU202" s="76">
        <f>+DU196</f>
        <v>16919</v>
      </c>
      <c r="DV202" s="76">
        <f>+DV196</f>
        <v>16797</v>
      </c>
      <c r="DW202" s="76">
        <f>+DW196</f>
        <v>17299</v>
      </c>
      <c r="DX202" s="76">
        <f>+AVERAGE(DW196:DX196)</f>
        <v>17300.5</v>
      </c>
      <c r="DY202" s="85">
        <f>+AVERAGE(DU202:DX202)</f>
        <v>17078.875</v>
      </c>
      <c r="DZ202" s="76">
        <f>+DZ196</f>
        <v>17306</v>
      </c>
      <c r="EA202" s="76">
        <f>+AVERAGE(DZ196:EA196)</f>
        <v>17408.5</v>
      </c>
      <c r="EB202" s="76">
        <f>+AVERAGE(EA196:EB196)</f>
        <v>17144.630632378208</v>
      </c>
      <c r="EC202" s="76">
        <f>+AVERAGE(EB196:EC196)</f>
        <v>16806.406196308817</v>
      </c>
      <c r="ED202" s="85">
        <f>+AVERAGE(DZ202:EC202)</f>
        <v>17166.384207171755</v>
      </c>
      <c r="EE202" s="76">
        <f>+AVERAGE(ED196:EE196)</f>
        <v>16837.462672504575</v>
      </c>
      <c r="EF202" s="76">
        <f>+AVERAGE(EE196:EF196)</f>
        <v>11931.187108573962</v>
      </c>
      <c r="EG202" s="76">
        <f>+AVERAGE(EF196:EG196)</f>
        <v>7016.5</v>
      </c>
      <c r="EH202" s="76">
        <f>+AVERAGE(EG196:EH196)</f>
        <v>7497</v>
      </c>
      <c r="EI202" s="85">
        <f>+AVERAGE(EE202:EH202)</f>
        <v>10820.537445269634</v>
      </c>
      <c r="EJ202" s="76">
        <f>+AVERAGE(EI196:EJ196)</f>
        <v>7983</v>
      </c>
      <c r="EK202" s="76">
        <f>+AVERAGE(EJ196:EK196)</f>
        <v>8564</v>
      </c>
      <c r="EL202" s="76">
        <f>+AVERAGE(EK196:EL196)</f>
        <v>9140</v>
      </c>
      <c r="EM202" s="76">
        <f>+AVERAGE(EL196:EM196)</f>
        <v>9130</v>
      </c>
      <c r="EN202" s="85">
        <f>+AVERAGE(EJ202:EM202)</f>
        <v>8704.25</v>
      </c>
      <c r="EO202" s="76">
        <f>+AVERAGE(EN196:EO196)</f>
        <v>9489.5</v>
      </c>
      <c r="EP202" s="76">
        <f>+AVERAGE(EO196:EP196)</f>
        <v>9849</v>
      </c>
      <c r="EQ202" s="76">
        <f>+AVERAGE(EP196:EQ196)</f>
        <v>10558.5</v>
      </c>
      <c r="ER202" s="76">
        <f>+AVERAGE(EQ196:ER196)</f>
        <v>11267</v>
      </c>
      <c r="ES202" s="85">
        <f>+AVERAGE(EO202:ER202)</f>
        <v>10291</v>
      </c>
      <c r="ET202" s="76">
        <f>+AVERAGE(ES196:ET196)</f>
        <v>11258</v>
      </c>
      <c r="EU202" s="76">
        <f t="shared" ref="EU202:EW202" si="610">+AVERAGE(ET196:EU196)</f>
        <v>11252</v>
      </c>
      <c r="EV202" s="76">
        <f t="shared" si="610"/>
        <v>11407.5</v>
      </c>
      <c r="EW202" s="76">
        <f t="shared" si="610"/>
        <v>11563.5</v>
      </c>
      <c r="EX202" s="85">
        <f>+AVERAGE(ET202:EW202)</f>
        <v>11370.25</v>
      </c>
      <c r="EY202" s="76">
        <f t="shared" ref="EY202" si="611">+AVERAGE(EX196:EY196)</f>
        <v>11561</v>
      </c>
      <c r="EZ202" s="76">
        <f t="shared" ref="EZ202" si="612">+AVERAGE(EY196:EZ196)</f>
        <v>12161</v>
      </c>
      <c r="FA202" s="76">
        <f t="shared" ref="FA202" si="613">+AVERAGE(EZ196:FA196)</f>
        <v>12761</v>
      </c>
      <c r="FB202" s="76">
        <f t="shared" ref="FB202" si="614">+AVERAGE(FA196:FB196)</f>
        <v>12761</v>
      </c>
      <c r="FC202" s="85">
        <f>+AVERAGE(EY202:FB202)</f>
        <v>12311</v>
      </c>
      <c r="FD202" s="76">
        <f t="shared" ref="FD202:FI202" si="615">+AVERAGE(FC196:FD196)</f>
        <v>13511</v>
      </c>
      <c r="FE202" s="76">
        <f t="shared" si="615"/>
        <v>14370.45</v>
      </c>
      <c r="FF202" s="76">
        <f t="shared" si="615"/>
        <v>14354.900000000001</v>
      </c>
      <c r="FG202" s="76">
        <f t="shared" si="615"/>
        <v>13829.900000000003</v>
      </c>
      <c r="FH202" s="76">
        <f t="shared" si="615"/>
        <v>13244.904310364949</v>
      </c>
      <c r="FI202" s="76">
        <f t="shared" si="615"/>
        <v>13450.966241967948</v>
      </c>
    </row>
    <row r="203" spans="1:165" x14ac:dyDescent="0.3">
      <c r="A203" s="173" t="s">
        <v>155</v>
      </c>
      <c r="DU203" s="74">
        <f>+DU204/DU202*4</f>
        <v>8.960340445652816E-2</v>
      </c>
      <c r="DV203" s="74">
        <f>+DV204/DV202*4</f>
        <v>9.1206763112460565E-2</v>
      </c>
      <c r="DW203" s="74">
        <f>+DW204/DW202*4</f>
        <v>8.8328805133244689E-2</v>
      </c>
      <c r="DX203" s="74">
        <f>+DX204/DX202*4</f>
        <v>9.0402011502557736E-2</v>
      </c>
      <c r="DY203" s="92">
        <f>+DY204/DY202</f>
        <v>8.9877114271285433E-2</v>
      </c>
      <c r="DZ203" s="74">
        <f>+DZ204/DZ202*4</f>
        <v>8.8524211256211724E-2</v>
      </c>
      <c r="EA203" s="74">
        <f>+EA204/EA202*4</f>
        <v>3.6763649941120718E-2</v>
      </c>
      <c r="EB203" s="74">
        <f>+EB204/EB202*4</f>
        <v>2.8230412796759228E-2</v>
      </c>
      <c r="EC203" s="74">
        <f>+EC204/EC202*4</f>
        <v>2.3324439229970222E-2</v>
      </c>
      <c r="ED203" s="92">
        <f>+ED204/ED202</f>
        <v>4.4389079890315652E-2</v>
      </c>
      <c r="EE203" s="74">
        <f>+EE204/EE202*4</f>
        <v>2.1143328239197512E-2</v>
      </c>
      <c r="EF203" s="74">
        <f>+EF204/EF202*4</f>
        <v>3.0508280248025207E-2</v>
      </c>
      <c r="EG203" s="74">
        <f>+EG204/EG202*4</f>
        <v>5.1307632010261527E-2</v>
      </c>
      <c r="EH203" s="74">
        <f>+EH204/EH202*4</f>
        <v>5.6022408963585436E-2</v>
      </c>
      <c r="EI203" s="92">
        <f>+EI204/EI202</f>
        <v>3.4656319235227738E-2</v>
      </c>
      <c r="EJ203" s="74">
        <f>+EJ204/EJ202*4</f>
        <v>5.1609670549918579E-2</v>
      </c>
      <c r="EK203" s="74">
        <f>+EK204/EK202*4</f>
        <v>5.5114432508173751E-2</v>
      </c>
      <c r="EL203" s="74">
        <f>+EL204/EL202*4</f>
        <v>5.9080962800875277E-2</v>
      </c>
      <c r="EM203" s="74">
        <f>+EM204/EM202*4</f>
        <v>7.4041621029572832E-2</v>
      </c>
      <c r="EN203" s="92">
        <f>+EN204/EN202</f>
        <v>6.0315363184651173E-2</v>
      </c>
      <c r="EO203" s="74">
        <f>+EO204/EO202*4</f>
        <v>6.6599926234258922E-2</v>
      </c>
      <c r="EP203" s="74">
        <f>+EP204/EP202*4</f>
        <v>6.9448674992385009E-2</v>
      </c>
      <c r="EQ203" s="74">
        <f>+EQ204/EQ202*4</f>
        <v>7.4252971539517917E-2</v>
      </c>
      <c r="ER203" s="74">
        <f>+ER204/ER202*4</f>
        <v>7.4909026360166858E-2</v>
      </c>
      <c r="ES203" s="92">
        <f>+ES204/ES202</f>
        <v>7.151880283743077E-2</v>
      </c>
      <c r="ET203" s="74">
        <f>+ET204/ET202*4</f>
        <v>7.4968910996624616E-2</v>
      </c>
      <c r="EU203" s="74">
        <f t="shared" ref="EU203:EV203" si="616">+EU204/EU202*4</f>
        <v>7.4297902595094209E-2</v>
      </c>
      <c r="EV203" s="74">
        <f t="shared" si="616"/>
        <v>7.5739644970414202E-2</v>
      </c>
      <c r="EW203" s="74">
        <f t="shared" ref="EW203" si="617">+EW204/EW202*4</f>
        <v>7.5063778267825482E-2</v>
      </c>
      <c r="EX203" s="92">
        <f>+EX204/EX202</f>
        <v>7.5020338163189024E-2</v>
      </c>
      <c r="EY203" s="74">
        <f t="shared" ref="EY203:FB203" si="618">+EY204/EY202*4</f>
        <v>7.9823328431796556E-2</v>
      </c>
      <c r="EZ203" s="74">
        <f t="shared" si="618"/>
        <v>7.5885001233451196E-2</v>
      </c>
      <c r="FA203" s="74">
        <f t="shared" si="618"/>
        <v>7.2317020609670088E-2</v>
      </c>
      <c r="FB203" s="74">
        <f t="shared" si="618"/>
        <v>7.2317020609670088E-2</v>
      </c>
      <c r="FC203" s="92">
        <f>+FC204/FC202</f>
        <v>7.4960401267159443E-2</v>
      </c>
      <c r="FD203" s="74">
        <f t="shared" ref="FD203:FI203" si="619">+FD204/FD202</f>
        <v>7.569665457775146E-2</v>
      </c>
      <c r="FE203" s="74">
        <f t="shared" si="619"/>
        <v>7.5356906011989883E-2</v>
      </c>
      <c r="FF203" s="74">
        <f t="shared" si="619"/>
        <v>7.7235494500135823E-2</v>
      </c>
      <c r="FG203" s="74">
        <f t="shared" si="619"/>
        <v>8.0184712109270473E-2</v>
      </c>
      <c r="FH203" s="74">
        <f t="shared" si="619"/>
        <v>8.1038986301097002E-2</v>
      </c>
      <c r="FI203" s="74">
        <f t="shared" si="619"/>
        <v>8.0494436788298623E-2</v>
      </c>
    </row>
    <row r="204" spans="1:165" x14ac:dyDescent="0.3">
      <c r="A204" s="174" t="s">
        <v>156</v>
      </c>
      <c r="DU204" s="803">
        <f>DU209</f>
        <v>379</v>
      </c>
      <c r="DV204" s="803">
        <f t="shared" ref="DV204:DX204" si="620">DV209</f>
        <v>383</v>
      </c>
      <c r="DW204" s="803">
        <f t="shared" si="620"/>
        <v>382</v>
      </c>
      <c r="DX204" s="803">
        <f t="shared" si="620"/>
        <v>391</v>
      </c>
      <c r="DY204" s="803">
        <f>+SUM(DU204:DX204)</f>
        <v>1535</v>
      </c>
      <c r="DZ204" s="803">
        <f>DZ209</f>
        <v>383</v>
      </c>
      <c r="EA204" s="803">
        <f t="shared" ref="EA204:EC204" si="621">EA209</f>
        <v>160</v>
      </c>
      <c r="EB204" s="803">
        <f t="shared" si="621"/>
        <v>121</v>
      </c>
      <c r="EC204" s="803">
        <f t="shared" si="621"/>
        <v>98</v>
      </c>
      <c r="ED204" s="803">
        <f>+SUM(DZ204:EC204)</f>
        <v>762</v>
      </c>
      <c r="EE204" s="803">
        <f>EE209</f>
        <v>89</v>
      </c>
      <c r="EF204" s="803">
        <f t="shared" ref="EF204:EH204" si="622">EF209</f>
        <v>91</v>
      </c>
      <c r="EG204" s="803">
        <f t="shared" si="622"/>
        <v>90</v>
      </c>
      <c r="EH204" s="803">
        <f t="shared" si="622"/>
        <v>105</v>
      </c>
      <c r="EI204" s="803">
        <f>+SUM(EE204:EH204)</f>
        <v>375</v>
      </c>
      <c r="EJ204" s="803">
        <f>EJ209</f>
        <v>103</v>
      </c>
      <c r="EK204" s="803">
        <f t="shared" ref="EK204:EM204" si="623">EK209</f>
        <v>118</v>
      </c>
      <c r="EL204" s="803">
        <f t="shared" si="623"/>
        <v>135</v>
      </c>
      <c r="EM204" s="803">
        <f t="shared" si="623"/>
        <v>169</v>
      </c>
      <c r="EN204" s="803">
        <f>+SUM(EJ204:EM204)</f>
        <v>525</v>
      </c>
      <c r="EO204" s="803">
        <f>EO209</f>
        <v>158</v>
      </c>
      <c r="EP204" s="803">
        <f>EP209</f>
        <v>171</v>
      </c>
      <c r="EQ204" s="803">
        <f>EQ209</f>
        <v>196</v>
      </c>
      <c r="ER204" s="803">
        <f>ER209</f>
        <v>211</v>
      </c>
      <c r="ES204" s="803">
        <f>+SUM(EO204:ER204)</f>
        <v>736</v>
      </c>
      <c r="ET204" s="803">
        <f>ET209</f>
        <v>211</v>
      </c>
      <c r="EU204" s="803">
        <f t="shared" ref="EU204:EV204" si="624">EU209</f>
        <v>209</v>
      </c>
      <c r="EV204" s="803">
        <f t="shared" si="624"/>
        <v>216</v>
      </c>
      <c r="EW204" s="803">
        <f t="shared" ref="EW204" si="625">EW209</f>
        <v>217</v>
      </c>
      <c r="EX204" s="803">
        <f>+SUM(ET204:EW204)</f>
        <v>853</v>
      </c>
      <c r="EY204" s="803">
        <f>FC204/4</f>
        <v>230.70937499999999</v>
      </c>
      <c r="EZ204" s="803">
        <f t="shared" ref="EZ204" si="626">EY204</f>
        <v>230.70937499999999</v>
      </c>
      <c r="FA204" s="803">
        <f t="shared" ref="FA204" si="627">EZ204</f>
        <v>230.70937499999999</v>
      </c>
      <c r="FB204" s="803">
        <f t="shared" ref="FB204" si="628">FA204</f>
        <v>230.70937499999999</v>
      </c>
      <c r="FC204" s="855">
        <f>Debt!F55</f>
        <v>922.83749999999998</v>
      </c>
      <c r="FD204" s="855">
        <f>Debt!G55</f>
        <v>1022.7375</v>
      </c>
      <c r="FE204" s="855">
        <f>Debt!H55</f>
        <v>1082.91265</v>
      </c>
      <c r="FF204" s="855">
        <f>Debt!I55</f>
        <v>1108.7077999999999</v>
      </c>
      <c r="FG204" s="855">
        <f>Debt!J55</f>
        <v>1108.9465499999999</v>
      </c>
      <c r="FH204" s="855">
        <f>Debt!K55</f>
        <v>1073.3536189670058</v>
      </c>
      <c r="FI204" s="855">
        <f>Debt!L55</f>
        <v>1082.7279519056276</v>
      </c>
    </row>
    <row r="205" spans="1:165" x14ac:dyDescent="0.3">
      <c r="A205" s="175" t="s">
        <v>157</v>
      </c>
      <c r="DU205" s="180">
        <f t="shared" ref="DU205:FI205" si="629">+DU48/DU204</f>
        <v>2.0343007915567282</v>
      </c>
      <c r="DV205" s="180">
        <f t="shared" si="629"/>
        <v>2.0391644908616189</v>
      </c>
      <c r="DW205" s="180">
        <f t="shared" si="629"/>
        <v>1.8455497382198953</v>
      </c>
      <c r="DX205" s="180">
        <f t="shared" si="629"/>
        <v>1.7212276214833759</v>
      </c>
      <c r="DY205" s="181">
        <f t="shared" si="629"/>
        <v>1.9087947882736156</v>
      </c>
      <c r="DZ205" s="180">
        <f t="shared" si="629"/>
        <v>1.793733681462141</v>
      </c>
      <c r="EA205" s="180">
        <f t="shared" si="629"/>
        <v>4.3937499999999998</v>
      </c>
      <c r="EB205" s="180">
        <f t="shared" si="629"/>
        <v>5.7107438016528924</v>
      </c>
      <c r="EC205" s="180">
        <f t="shared" si="629"/>
        <v>7.0816326530612246</v>
      </c>
      <c r="ED205" s="181">
        <f t="shared" si="629"/>
        <v>3.6417322834645671</v>
      </c>
      <c r="EE205" s="180">
        <f t="shared" si="629"/>
        <v>7.5168539325842696</v>
      </c>
      <c r="EF205" s="180">
        <f t="shared" si="629"/>
        <v>6.9670329670329672</v>
      </c>
      <c r="EG205" s="180">
        <f t="shared" si="629"/>
        <v>6.5222222222222221</v>
      </c>
      <c r="EH205" s="180">
        <f t="shared" si="629"/>
        <v>5.5714285714285712</v>
      </c>
      <c r="EI205" s="181">
        <f t="shared" si="629"/>
        <v>6.6</v>
      </c>
      <c r="EJ205" s="180">
        <f t="shared" si="629"/>
        <v>4.941747572815534</v>
      </c>
      <c r="EK205" s="180">
        <f t="shared" si="629"/>
        <v>4.5338983050847457</v>
      </c>
      <c r="EL205" s="180">
        <f t="shared" ref="EL205:EM205" si="630">+EL48/EL204</f>
        <v>3.7629629629629631</v>
      </c>
      <c r="EM205" s="180">
        <f t="shared" si="630"/>
        <v>3.1242603550295858</v>
      </c>
      <c r="EN205" s="181">
        <f t="shared" si="629"/>
        <v>3.961904761904762</v>
      </c>
      <c r="EO205" s="180">
        <f t="shared" ref="EO205:EP205" si="631">+EO48/EO204</f>
        <v>3.2848101265822787</v>
      </c>
      <c r="EP205" s="180">
        <f t="shared" si="631"/>
        <v>3.1169590643274856</v>
      </c>
      <c r="EQ205" s="180">
        <f t="shared" ref="EQ205:ER205" si="632">+EQ48/EQ204</f>
        <v>2.6836734693877551</v>
      </c>
      <c r="ER205" s="180">
        <f t="shared" si="632"/>
        <v>2.6018957345971563</v>
      </c>
      <c r="ES205" s="181">
        <f t="shared" ref="ES205:ET205" si="633">+ES48/ES204</f>
        <v>2.8899456521739131</v>
      </c>
      <c r="ET205" s="180">
        <f t="shared" si="633"/>
        <v>2.5924170616113744</v>
      </c>
      <c r="EU205" s="180">
        <f t="shared" ref="EU205:EX205" si="634">+EU48/EU204</f>
        <v>2.6794258373205744</v>
      </c>
      <c r="EV205" s="180">
        <f t="shared" si="634"/>
        <v>2.5416666666666665</v>
      </c>
      <c r="EW205" s="180">
        <f t="shared" si="634"/>
        <v>2.7419354838709675</v>
      </c>
      <c r="EX205" s="181">
        <f t="shared" si="634"/>
        <v>2.6389214536928489</v>
      </c>
      <c r="EY205" s="180">
        <f t="shared" ref="EY205:FC205" si="635">+EY48/EY204</f>
        <v>2.4143220481741752</v>
      </c>
      <c r="EZ205" s="180">
        <f t="shared" si="635"/>
        <v>2.5732339632755665</v>
      </c>
      <c r="FA205" s="180">
        <f t="shared" si="635"/>
        <v>2.6039530943433564</v>
      </c>
      <c r="FB205" s="180">
        <f t="shared" si="635"/>
        <v>2.8825108464160163</v>
      </c>
      <c r="FC205" s="181">
        <f t="shared" si="635"/>
        <v>2.6185049880522784</v>
      </c>
      <c r="FD205" s="180">
        <f t="shared" si="629"/>
        <v>2.6174976853554894</v>
      </c>
      <c r="FE205" s="180">
        <f t="shared" si="629"/>
        <v>2.7646517237438273</v>
      </c>
      <c r="FF205" s="180">
        <f t="shared" si="629"/>
        <v>2.9511868038154265</v>
      </c>
      <c r="FG205" s="180">
        <f t="shared" si="629"/>
        <v>3.1865191763250071</v>
      </c>
      <c r="FH205" s="180">
        <f t="shared" si="629"/>
        <v>3.5202780557190687</v>
      </c>
      <c r="FI205" s="180">
        <f t="shared" si="629"/>
        <v>3.6961867306399165</v>
      </c>
    </row>
    <row r="206" spans="1:165" x14ac:dyDescent="0.3">
      <c r="A206" s="176"/>
      <c r="ET206" s="90"/>
      <c r="EU206" s="90"/>
      <c r="EV206" s="90"/>
      <c r="EW206" s="90"/>
      <c r="EY206" s="90"/>
      <c r="EZ206" s="90"/>
      <c r="FA206" s="90"/>
      <c r="FB206" s="90"/>
    </row>
    <row r="207" spans="1:165" x14ac:dyDescent="0.3">
      <c r="A207" s="1299" t="s">
        <v>158</v>
      </c>
      <c r="DU207" s="134">
        <f>DU73</f>
        <v>379</v>
      </c>
      <c r="DV207" s="134">
        <f t="shared" ref="DV207:DX207" si="636">DV73</f>
        <v>383</v>
      </c>
      <c r="DW207" s="134">
        <f t="shared" si="636"/>
        <v>382</v>
      </c>
      <c r="DX207" s="134">
        <f t="shared" si="636"/>
        <v>391</v>
      </c>
      <c r="DY207" s="85">
        <f>SUM(DU207:DX207)</f>
        <v>1535</v>
      </c>
      <c r="DZ207" s="134">
        <f>DZ73</f>
        <v>383</v>
      </c>
      <c r="EA207" s="134">
        <f t="shared" ref="EA207:EC207" si="637">EA73</f>
        <v>160</v>
      </c>
      <c r="EB207" s="134">
        <f t="shared" si="637"/>
        <v>121</v>
      </c>
      <c r="EC207" s="134">
        <f t="shared" si="637"/>
        <v>98</v>
      </c>
      <c r="ED207" s="85">
        <f>SUM(DZ207:EC207)</f>
        <v>762</v>
      </c>
      <c r="EE207" s="134">
        <f>EE73</f>
        <v>89</v>
      </c>
      <c r="EF207" s="134">
        <f t="shared" ref="EF207:EH207" si="638">EF73</f>
        <v>91</v>
      </c>
      <c r="EG207" s="134">
        <f t="shared" si="638"/>
        <v>90</v>
      </c>
      <c r="EH207" s="134">
        <f t="shared" si="638"/>
        <v>105</v>
      </c>
      <c r="EI207" s="85">
        <f>SUM(EE207:EH207)</f>
        <v>375</v>
      </c>
      <c r="EJ207" s="134">
        <f>EJ73</f>
        <v>103</v>
      </c>
      <c r="EK207" s="134">
        <f t="shared" ref="EK207:EM207" si="639">EK73</f>
        <v>118</v>
      </c>
      <c r="EL207" s="134">
        <f t="shared" si="639"/>
        <v>135</v>
      </c>
      <c r="EM207" s="134">
        <f t="shared" si="639"/>
        <v>136</v>
      </c>
      <c r="EN207" s="85">
        <f>SUM(EJ207:EM207)</f>
        <v>492</v>
      </c>
      <c r="EO207" s="134">
        <f>EO73</f>
        <v>141</v>
      </c>
      <c r="EP207" s="134">
        <f>EP73</f>
        <v>149</v>
      </c>
      <c r="EQ207" s="134">
        <f>EQ73</f>
        <v>170</v>
      </c>
      <c r="ER207" s="134">
        <f>ER73</f>
        <v>193</v>
      </c>
      <c r="ES207" s="85">
        <f>SUM(EO207:ER207)</f>
        <v>653</v>
      </c>
      <c r="ET207" s="134">
        <f>ET73</f>
        <v>199</v>
      </c>
      <c r="EU207" s="134">
        <f t="shared" ref="EU207:EV207" si="640">EU73</f>
        <v>199</v>
      </c>
      <c r="EV207" s="134">
        <f t="shared" si="640"/>
        <v>203</v>
      </c>
      <c r="EW207" s="134">
        <f t="shared" ref="EW207" si="641">EW73</f>
        <v>203</v>
      </c>
      <c r="EX207" s="85">
        <f>SUM(ET207:EW207)</f>
        <v>804</v>
      </c>
      <c r="EY207" s="1062">
        <f t="shared" ref="EY207:FB207" si="642">EY209-EY208</f>
        <v>217.58846267772512</v>
      </c>
      <c r="EZ207" s="1062">
        <f t="shared" si="642"/>
        <v>219.67064892344496</v>
      </c>
      <c r="FA207" s="1062">
        <f t="shared" si="642"/>
        <v>216.82408854166667</v>
      </c>
      <c r="FB207" s="1062">
        <f t="shared" si="642"/>
        <v>215.82489919354839</v>
      </c>
      <c r="FC207" s="85">
        <f>SUM(EY207:FB207)</f>
        <v>869.90809933638513</v>
      </c>
      <c r="FD207" s="1062">
        <f t="shared" ref="FD207" si="643">FD209-FD208</f>
        <v>964.07832879033003</v>
      </c>
      <c r="FE207" s="1062">
        <f t="shared" ref="FE207" si="644">FE209-FE208</f>
        <v>1020.8021294202155</v>
      </c>
      <c r="FF207" s="1062">
        <f t="shared" ref="FF207" si="645">FF209-FF208</f>
        <v>1045.1177970308152</v>
      </c>
      <c r="FG207" s="1062">
        <f t="shared" ref="FG207" si="646">FG209-FG208</f>
        <v>1045.3428535101159</v>
      </c>
      <c r="FH207" s="1062">
        <f t="shared" ref="FH207" si="647">FH209-FH208</f>
        <v>1011.7913571906414</v>
      </c>
      <c r="FI207" s="1062">
        <f t="shared" ref="FI207" si="648">FI209-FI208</f>
        <v>1020.628024696224</v>
      </c>
    </row>
    <row r="208" spans="1:165" x14ac:dyDescent="0.3">
      <c r="A208" s="1299" t="s">
        <v>159</v>
      </c>
      <c r="DU208" s="1110">
        <f>Inputs!DU281</f>
        <v>0</v>
      </c>
      <c r="DV208" s="1110">
        <f>Inputs!DV281</f>
        <v>0</v>
      </c>
      <c r="DW208" s="1110">
        <f>Inputs!DW281</f>
        <v>0</v>
      </c>
      <c r="DX208" s="1110">
        <f>Inputs!DX281</f>
        <v>0</v>
      </c>
      <c r="DY208" s="1111">
        <f>SUM(DU208:DX208)</f>
        <v>0</v>
      </c>
      <c r="DZ208" s="1110">
        <f>Inputs!DZ281</f>
        <v>0</v>
      </c>
      <c r="EA208" s="1110">
        <f>Inputs!EA281</f>
        <v>0</v>
      </c>
      <c r="EB208" s="1110">
        <f>Inputs!EB281</f>
        <v>0</v>
      </c>
      <c r="EC208" s="1110">
        <f>Inputs!EC281</f>
        <v>0</v>
      </c>
      <c r="ED208" s="1111">
        <f>SUM(DZ208:EC208)</f>
        <v>0</v>
      </c>
      <c r="EE208" s="1110">
        <f>Inputs!EE281</f>
        <v>0</v>
      </c>
      <c r="EF208" s="1110">
        <f>Inputs!EF281</f>
        <v>0</v>
      </c>
      <c r="EG208" s="1110">
        <f>Inputs!EG281</f>
        <v>0</v>
      </c>
      <c r="EH208" s="1110">
        <f>Inputs!EH281</f>
        <v>0</v>
      </c>
      <c r="EI208" s="1111">
        <f>SUM(EE208:EH208)</f>
        <v>0</v>
      </c>
      <c r="EJ208" s="1110">
        <f>Inputs!EJ281</f>
        <v>0</v>
      </c>
      <c r="EK208" s="1110">
        <f>Inputs!EK281</f>
        <v>0</v>
      </c>
      <c r="EL208" s="1110">
        <f>Inputs!EL281</f>
        <v>0</v>
      </c>
      <c r="EM208" s="901">
        <f>EN208-SUM(EJ208:EL208)</f>
        <v>33</v>
      </c>
      <c r="EN208" s="1142">
        <f>Inputs!EN281</f>
        <v>33</v>
      </c>
      <c r="EO208" s="1110">
        <f>Inputs!EO281</f>
        <v>17</v>
      </c>
      <c r="EP208" s="1110">
        <f>Inputs!EP281</f>
        <v>22</v>
      </c>
      <c r="EQ208" s="1110">
        <f>Inputs!EQ281</f>
        <v>26</v>
      </c>
      <c r="ER208" s="1110">
        <f>Inputs!ER281</f>
        <v>18</v>
      </c>
      <c r="ES208" s="866">
        <f>SUM(EO208:ER208)</f>
        <v>83</v>
      </c>
      <c r="ET208" s="1110">
        <f>Inputs!ET281</f>
        <v>12</v>
      </c>
      <c r="EU208" s="1110">
        <f>Inputs!EU281</f>
        <v>10</v>
      </c>
      <c r="EV208" s="1110">
        <f>Inputs!EV281</f>
        <v>13</v>
      </c>
      <c r="EW208" s="1110">
        <f>Inputs!EW281</f>
        <v>14</v>
      </c>
      <c r="EX208" s="866">
        <f>SUM(ET208:EW208)</f>
        <v>49</v>
      </c>
      <c r="EY208" s="866">
        <f>ET208/ET204*EY204</f>
        <v>13.120912322274881</v>
      </c>
      <c r="EZ208" s="866">
        <f t="shared" ref="EZ208:FB208" si="649">EU208/EU204*EZ204</f>
        <v>11.038726076555024</v>
      </c>
      <c r="FA208" s="866">
        <f t="shared" si="649"/>
        <v>13.885286458333333</v>
      </c>
      <c r="FB208" s="866">
        <f t="shared" si="649"/>
        <v>14.884475806451611</v>
      </c>
      <c r="FC208" s="866">
        <f>SUM(EY208:FB208)</f>
        <v>52.92940066361485</v>
      </c>
      <c r="FD208" s="866">
        <f>FC208/FC204*FD204</f>
        <v>58.65917120966995</v>
      </c>
      <c r="FE208" s="866">
        <f t="shared" ref="FE208:FI208" si="650">FD208/FD204*FE204</f>
        <v>62.110520579784541</v>
      </c>
      <c r="FF208" s="866">
        <f t="shared" si="650"/>
        <v>63.590002969184667</v>
      </c>
      <c r="FG208" s="866">
        <f t="shared" si="650"/>
        <v>63.603696489884072</v>
      </c>
      <c r="FH208" s="866">
        <f t="shared" si="650"/>
        <v>61.562261776364352</v>
      </c>
      <c r="FI208" s="866">
        <f t="shared" si="650"/>
        <v>62.099927209403688</v>
      </c>
    </row>
    <row r="209" spans="1:165" x14ac:dyDescent="0.3">
      <c r="A209" s="1299" t="s">
        <v>156</v>
      </c>
      <c r="DU209" s="76">
        <f t="shared" ref="DU209:EO209" si="651">SUM(DU207:DU208)</f>
        <v>379</v>
      </c>
      <c r="DV209" s="76">
        <f t="shared" si="651"/>
        <v>383</v>
      </c>
      <c r="DW209" s="76">
        <f t="shared" si="651"/>
        <v>382</v>
      </c>
      <c r="DX209" s="76">
        <f t="shared" si="651"/>
        <v>391</v>
      </c>
      <c r="DY209" s="85">
        <f t="shared" si="651"/>
        <v>1535</v>
      </c>
      <c r="DZ209" s="76">
        <f t="shared" si="651"/>
        <v>383</v>
      </c>
      <c r="EA209" s="76">
        <f t="shared" si="651"/>
        <v>160</v>
      </c>
      <c r="EB209" s="76">
        <f t="shared" si="651"/>
        <v>121</v>
      </c>
      <c r="EC209" s="76">
        <f t="shared" si="651"/>
        <v>98</v>
      </c>
      <c r="ED209" s="85">
        <f t="shared" si="651"/>
        <v>762</v>
      </c>
      <c r="EE209" s="76">
        <f t="shared" si="651"/>
        <v>89</v>
      </c>
      <c r="EF209" s="76">
        <f t="shared" si="651"/>
        <v>91</v>
      </c>
      <c r="EG209" s="76">
        <f t="shared" si="651"/>
        <v>90</v>
      </c>
      <c r="EH209" s="76">
        <f t="shared" si="651"/>
        <v>105</v>
      </c>
      <c r="EI209" s="85">
        <f t="shared" si="651"/>
        <v>375</v>
      </c>
      <c r="EJ209" s="76">
        <f t="shared" si="651"/>
        <v>103</v>
      </c>
      <c r="EK209" s="76">
        <f t="shared" si="651"/>
        <v>118</v>
      </c>
      <c r="EL209" s="76">
        <f t="shared" si="651"/>
        <v>135</v>
      </c>
      <c r="EM209" s="76">
        <f t="shared" si="651"/>
        <v>169</v>
      </c>
      <c r="EN209" s="85">
        <f t="shared" si="651"/>
        <v>525</v>
      </c>
      <c r="EO209" s="85">
        <f t="shared" si="651"/>
        <v>158</v>
      </c>
      <c r="EP209" s="85">
        <f t="shared" ref="EP209:EQ209" si="652">SUM(EP207:EP208)</f>
        <v>171</v>
      </c>
      <c r="EQ209" s="85">
        <f t="shared" si="652"/>
        <v>196</v>
      </c>
      <c r="ER209" s="85">
        <f t="shared" ref="ER209" si="653">SUM(ER207:ER208)</f>
        <v>211</v>
      </c>
      <c r="ES209" s="85">
        <f>SUM(ES207:ES208)</f>
        <v>736</v>
      </c>
      <c r="ET209" s="85">
        <f t="shared" ref="ET209:EV209" si="654">SUM(ET207:ET208)</f>
        <v>211</v>
      </c>
      <c r="EU209" s="85">
        <f t="shared" si="654"/>
        <v>209</v>
      </c>
      <c r="EV209" s="85">
        <f t="shared" si="654"/>
        <v>216</v>
      </c>
      <c r="EW209" s="85">
        <f t="shared" ref="EW209" si="655">SUM(EW207:EW208)</f>
        <v>217</v>
      </c>
      <c r="EX209" s="85">
        <f>SUM(EX207:EX208)</f>
        <v>853</v>
      </c>
      <c r="EY209" s="85">
        <f t="shared" ref="EY209:FB209" si="656">EY204</f>
        <v>230.70937499999999</v>
      </c>
      <c r="EZ209" s="85">
        <f t="shared" si="656"/>
        <v>230.70937499999999</v>
      </c>
      <c r="FA209" s="85">
        <f t="shared" si="656"/>
        <v>230.70937499999999</v>
      </c>
      <c r="FB209" s="85">
        <f t="shared" si="656"/>
        <v>230.70937499999999</v>
      </c>
      <c r="FC209" s="85">
        <f>SUM(FC207:FC208)</f>
        <v>922.83749999999998</v>
      </c>
      <c r="FD209" s="85">
        <f t="shared" ref="FD209:FI209" si="657">FD204</f>
        <v>1022.7375</v>
      </c>
      <c r="FE209" s="85">
        <f t="shared" si="657"/>
        <v>1082.91265</v>
      </c>
      <c r="FF209" s="85">
        <f t="shared" si="657"/>
        <v>1108.7077999999999</v>
      </c>
      <c r="FG209" s="85">
        <f t="shared" si="657"/>
        <v>1108.9465499999999</v>
      </c>
      <c r="FH209" s="85">
        <f t="shared" si="657"/>
        <v>1073.3536189670058</v>
      </c>
      <c r="FI209" s="85">
        <f t="shared" si="657"/>
        <v>1082.7279519056276</v>
      </c>
    </row>
    <row r="210" spans="1:165" x14ac:dyDescent="0.3">
      <c r="A210" s="176"/>
      <c r="ET210" s="90"/>
      <c r="EU210" s="90"/>
      <c r="EV210" s="90"/>
      <c r="EW210" s="90"/>
      <c r="EY210" s="90"/>
      <c r="EZ210" s="90"/>
      <c r="FA210" s="90"/>
      <c r="FB210" s="90"/>
    </row>
    <row r="211" spans="1:165" x14ac:dyDescent="0.3">
      <c r="A211" s="173" t="s">
        <v>154</v>
      </c>
      <c r="EE211" s="76">
        <f>EE202</f>
        <v>16837.462672504575</v>
      </c>
      <c r="EF211" s="76">
        <f t="shared" ref="EF211:EH211" si="658">EF202</f>
        <v>11931.187108573962</v>
      </c>
      <c r="EG211" s="76">
        <f t="shared" si="658"/>
        <v>7016.5</v>
      </c>
      <c r="EH211" s="76">
        <f t="shared" si="658"/>
        <v>7497</v>
      </c>
      <c r="EI211" s="85">
        <f>+AVERAGE(EE211:EH211)</f>
        <v>10820.537445269634</v>
      </c>
      <c r="EJ211" s="76">
        <f>EJ202</f>
        <v>7983</v>
      </c>
      <c r="EK211" s="76">
        <f t="shared" ref="EK211:EM211" si="659">EK202</f>
        <v>8564</v>
      </c>
      <c r="EL211" s="76">
        <f t="shared" si="659"/>
        <v>9140</v>
      </c>
      <c r="EM211" s="76">
        <f t="shared" si="659"/>
        <v>9130</v>
      </c>
      <c r="EN211" s="85">
        <f>+AVERAGE(EJ211:EM211)</f>
        <v>8704.25</v>
      </c>
      <c r="EO211" s="76">
        <f>EO202</f>
        <v>9489.5</v>
      </c>
      <c r="EP211" s="76">
        <f t="shared" ref="EP211:FI211" si="660">EP202</f>
        <v>9849</v>
      </c>
      <c r="EQ211" s="76">
        <f t="shared" ref="EQ211" si="661">EQ202</f>
        <v>10558.5</v>
      </c>
      <c r="ER211" s="76">
        <f t="shared" ref="ER211" si="662">ER202</f>
        <v>11267</v>
      </c>
      <c r="ES211" s="85">
        <f>+AVERAGE(EO211:ER211)</f>
        <v>10291</v>
      </c>
      <c r="ET211" s="76">
        <f>ET202</f>
        <v>11258</v>
      </c>
      <c r="EU211" s="76">
        <f>EU202</f>
        <v>11252</v>
      </c>
      <c r="EV211" s="76">
        <f>EV202</f>
        <v>11407.5</v>
      </c>
      <c r="EW211" s="76">
        <f>EW202</f>
        <v>11563.5</v>
      </c>
      <c r="EX211" s="85">
        <f>+AVERAGE(ET211:EW211)</f>
        <v>11370.25</v>
      </c>
      <c r="EY211" s="76">
        <f t="shared" ref="EY211:FB211" si="663">EY202</f>
        <v>11561</v>
      </c>
      <c r="EZ211" s="76">
        <f t="shared" si="663"/>
        <v>12161</v>
      </c>
      <c r="FA211" s="76">
        <f t="shared" si="663"/>
        <v>12761</v>
      </c>
      <c r="FB211" s="76">
        <f t="shared" si="663"/>
        <v>12761</v>
      </c>
      <c r="FC211" s="85">
        <f>+AVERAGE(EY211:FB211)</f>
        <v>12311</v>
      </c>
      <c r="FD211" s="76">
        <f t="shared" si="660"/>
        <v>13511</v>
      </c>
      <c r="FE211" s="76">
        <f t="shared" si="660"/>
        <v>14370.45</v>
      </c>
      <c r="FF211" s="76">
        <f t="shared" si="660"/>
        <v>14354.900000000001</v>
      </c>
      <c r="FG211" s="76">
        <f t="shared" si="660"/>
        <v>13829.900000000003</v>
      </c>
      <c r="FH211" s="76">
        <f t="shared" si="660"/>
        <v>13244.904310364949</v>
      </c>
      <c r="FI211" s="76">
        <f t="shared" si="660"/>
        <v>13450.966241967948</v>
      </c>
    </row>
    <row r="212" spans="1:165" x14ac:dyDescent="0.3">
      <c r="A212" s="173" t="s">
        <v>155</v>
      </c>
      <c r="EE212" s="74">
        <f>+EE213/EE211*4</f>
        <v>9.502619433347197E-3</v>
      </c>
      <c r="EF212" s="74">
        <f>+EF213/EF211*4</f>
        <v>4.2912745843376114E-2</v>
      </c>
      <c r="EG212" s="74">
        <f>+EG213/EG211*4</f>
        <v>2.1093137604218628E-2</v>
      </c>
      <c r="EH212" s="74">
        <f>+EH213/EH211*4</f>
        <v>8.5367480325463513E-2</v>
      </c>
      <c r="EI212" s="92">
        <f>+EI213/EI211</f>
        <v>3.3732150722288329E-2</v>
      </c>
      <c r="EJ212" s="74">
        <f>+EJ213/EJ211*4</f>
        <v>1.8038331454340473E-2</v>
      </c>
      <c r="EK212" s="74">
        <f>+EK213/EK211*4</f>
        <v>7.5665576833255491E-2</v>
      </c>
      <c r="EL212" s="74">
        <f>+EL213/EL211*4</f>
        <v>3.8512035010940922E-2</v>
      </c>
      <c r="EM212" s="74">
        <f>+EM213/EM211*4</f>
        <v>9.9014238773274921E-2</v>
      </c>
      <c r="EN212" s="92">
        <f>+EN213/EN211</f>
        <v>5.882183990579315E-2</v>
      </c>
      <c r="EO212" s="74">
        <f>+EO213/EO211*4</f>
        <v>3.4986037199009432E-2</v>
      </c>
      <c r="EP212" s="74">
        <f>+EP213/EP211*4</f>
        <v>9.3816631130063971E-2</v>
      </c>
      <c r="EQ212" s="74">
        <f>+EQ213/EQ211*4</f>
        <v>5.1143628356300611E-2</v>
      </c>
      <c r="ER212" s="74">
        <f>+ER213/ER211*4</f>
        <v>9.3014999556226149E-2</v>
      </c>
      <c r="ES212" s="92">
        <f>+ES213/ES211</f>
        <v>6.9089495675833251E-2</v>
      </c>
      <c r="ET212" s="74">
        <f>+ET213/ET211*4</f>
        <v>5.2940131462071417E-2</v>
      </c>
      <c r="EU212" s="74">
        <f>+EU213/EU211*4</f>
        <v>9.3494489868467825E-2</v>
      </c>
      <c r="EV212" s="74">
        <f>+EV213/EV211*4</f>
        <v>5.3648915187376724E-2</v>
      </c>
      <c r="EW212" s="74">
        <f>+EW213/EW211*4</f>
        <v>9.3397327798676877E-2</v>
      </c>
      <c r="EX212" s="92">
        <f>+EX213/EX211</f>
        <v>7.3437259514962286E-2</v>
      </c>
      <c r="EY212" s="99">
        <f>ET212/ET203*EY203</f>
        <v>5.636813239970468E-2</v>
      </c>
      <c r="EZ212" s="99">
        <f t="shared" ref="EZ212:FB212" si="664">EU212/EU203*EZ203</f>
        <v>9.5491652269845281E-2</v>
      </c>
      <c r="FA212" s="99">
        <f t="shared" si="664"/>
        <v>5.122455626518297E-2</v>
      </c>
      <c r="FB212" s="99">
        <f t="shared" si="664"/>
        <v>8.9979703062723168E-2</v>
      </c>
      <c r="FC212" s="92">
        <f>+FC213/FC211</f>
        <v>7.3406983900779488E-2</v>
      </c>
      <c r="FD212" s="99">
        <f t="shared" ref="FD212:FI212" si="665">FC212/FC203*FD203</f>
        <v>7.4127979706617067E-2</v>
      </c>
      <c r="FE212" s="99">
        <f t="shared" si="665"/>
        <v>7.3795271809172835E-2</v>
      </c>
      <c r="FF212" s="99">
        <f t="shared" si="665"/>
        <v>7.5634929983013674E-2</v>
      </c>
      <c r="FG212" s="99">
        <f t="shared" si="665"/>
        <v>7.8523030445310546E-2</v>
      </c>
      <c r="FH212" s="99">
        <f t="shared" si="665"/>
        <v>7.9359601365238827E-2</v>
      </c>
      <c r="FI212" s="99">
        <f t="shared" si="665"/>
        <v>7.8826336646221365E-2</v>
      </c>
    </row>
    <row r="213" spans="1:165" x14ac:dyDescent="0.3">
      <c r="A213" s="174" t="s">
        <v>160</v>
      </c>
      <c r="EE213" s="855">
        <f>Inputs!EE272</f>
        <v>40</v>
      </c>
      <c r="EF213" s="855">
        <f>Inputs!EF272</f>
        <v>128</v>
      </c>
      <c r="EG213" s="855">
        <f>Inputs!EG272</f>
        <v>37</v>
      </c>
      <c r="EH213" s="855">
        <f>Inputs!EH272</f>
        <v>160</v>
      </c>
      <c r="EI213" s="803">
        <f>SUM(EE213:EH213)</f>
        <v>365</v>
      </c>
      <c r="EJ213" s="855">
        <f>Inputs!EJ272</f>
        <v>36</v>
      </c>
      <c r="EK213" s="855">
        <f>Inputs!EK272</f>
        <v>162</v>
      </c>
      <c r="EL213" s="855">
        <f>Inputs!EL272</f>
        <v>88</v>
      </c>
      <c r="EM213" s="855">
        <f>Inputs!EM272</f>
        <v>226</v>
      </c>
      <c r="EN213" s="803">
        <f>SUM(EJ213:EM213)</f>
        <v>512</v>
      </c>
      <c r="EO213" s="855">
        <f>Inputs!EO272</f>
        <v>83</v>
      </c>
      <c r="EP213" s="855">
        <f>Inputs!EP272</f>
        <v>231</v>
      </c>
      <c r="EQ213" s="855">
        <f>Inputs!EQ272</f>
        <v>135</v>
      </c>
      <c r="ER213" s="855">
        <f>Inputs!ER272</f>
        <v>262</v>
      </c>
      <c r="ES213" s="803">
        <f>SUM(EO213:ER213)</f>
        <v>711</v>
      </c>
      <c r="ET213" s="855">
        <f>Inputs!ET272</f>
        <v>149</v>
      </c>
      <c r="EU213" s="855">
        <f>Inputs!EU272</f>
        <v>263</v>
      </c>
      <c r="EV213" s="855">
        <f>Inputs!EV272</f>
        <v>153</v>
      </c>
      <c r="EW213" s="855">
        <f>Inputs!EW272</f>
        <v>270</v>
      </c>
      <c r="EX213" s="803">
        <f>SUM(ET213:EW213)</f>
        <v>835</v>
      </c>
      <c r="EY213" s="803">
        <f t="shared" ref="EY213:FB213" si="666">+EY211*EY212/4</f>
        <v>162.91799466824645</v>
      </c>
      <c r="EZ213" s="803">
        <f t="shared" si="666"/>
        <v>290.31849581339713</v>
      </c>
      <c r="FA213" s="803">
        <f t="shared" si="666"/>
        <v>163.41914062499998</v>
      </c>
      <c r="FB213" s="803">
        <f t="shared" si="666"/>
        <v>287.05774769585258</v>
      </c>
      <c r="FC213" s="803">
        <f>SUM(EY213:FB213)</f>
        <v>903.71337880249621</v>
      </c>
      <c r="FD213" s="803">
        <f t="shared" ref="FD213:FI213" si="667">+FD211*FD212</f>
        <v>1001.5431338161031</v>
      </c>
      <c r="FE213" s="803">
        <f t="shared" si="667"/>
        <v>1060.4712637701277</v>
      </c>
      <c r="FF213" s="803">
        <f t="shared" si="667"/>
        <v>1085.7318564131631</v>
      </c>
      <c r="FG213" s="803">
        <f t="shared" si="667"/>
        <v>1085.9656587556005</v>
      </c>
      <c r="FH213" s="803">
        <f t="shared" si="667"/>
        <v>1051.1103261912958</v>
      </c>
      <c r="FI213" s="803">
        <f t="shared" si="667"/>
        <v>1060.2903932063246</v>
      </c>
    </row>
    <row r="214" spans="1:165" x14ac:dyDescent="0.3">
      <c r="A214" s="176"/>
      <c r="ET214" s="90"/>
      <c r="EU214" s="90"/>
      <c r="EV214" s="90"/>
      <c r="EW214" s="90"/>
      <c r="EY214" s="90"/>
      <c r="EZ214" s="90"/>
      <c r="FA214" s="90"/>
      <c r="FB214" s="90"/>
    </row>
    <row r="215" spans="1:165" x14ac:dyDescent="0.3">
      <c r="A215" s="176"/>
      <c r="ET215" s="90"/>
      <c r="EU215" s="90"/>
      <c r="EV215" s="90"/>
      <c r="EW215" s="90"/>
      <c r="EY215" s="90"/>
      <c r="EZ215" s="90"/>
      <c r="FA215" s="90"/>
      <c r="FB215" s="90"/>
    </row>
    <row r="216" spans="1:165" x14ac:dyDescent="0.3">
      <c r="A216" s="105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4"/>
      <c r="CO216" s="54"/>
      <c r="CP216" s="54"/>
      <c r="CQ216" s="54"/>
      <c r="CR216" s="54"/>
      <c r="CS216" s="54"/>
      <c r="CT216" s="54"/>
      <c r="CU216" s="54"/>
      <c r="CV216" s="54"/>
      <c r="CW216" s="54"/>
      <c r="CX216" s="54"/>
      <c r="CY216" s="54"/>
      <c r="CZ216" s="54"/>
      <c r="DA216" s="54"/>
      <c r="DB216" s="54"/>
      <c r="DC216" s="54"/>
      <c r="DD216" s="54"/>
      <c r="DE216" s="54"/>
      <c r="DF216" s="54"/>
      <c r="DG216" s="54"/>
      <c r="DH216" s="54"/>
      <c r="DI216" s="54"/>
      <c r="DJ216" s="54"/>
      <c r="DK216" s="54"/>
      <c r="DL216" s="54"/>
      <c r="DM216" s="54"/>
      <c r="DN216" s="54"/>
      <c r="DO216" s="54"/>
      <c r="DP216" s="54"/>
      <c r="DQ216" s="54"/>
      <c r="DR216" s="54"/>
      <c r="DS216" s="54"/>
      <c r="DT216" s="54"/>
      <c r="DU216" s="54"/>
      <c r="DV216" s="54"/>
      <c r="DW216" s="54"/>
      <c r="DX216" s="54"/>
      <c r="DY216" s="54"/>
      <c r="DZ216" s="54"/>
      <c r="EA216" s="54"/>
      <c r="EB216" s="54"/>
      <c r="EC216" s="54"/>
      <c r="ED216" s="54"/>
      <c r="EE216" s="54"/>
      <c r="EF216" s="54"/>
      <c r="EG216" s="54"/>
      <c r="EH216" s="54"/>
      <c r="EI216" s="54"/>
      <c r="EJ216" s="54"/>
      <c r="EK216" s="54"/>
      <c r="EL216" s="54"/>
      <c r="EM216" s="54"/>
      <c r="EN216" s="54"/>
      <c r="EO216" s="54"/>
      <c r="EP216" s="54"/>
      <c r="EQ216" s="54"/>
      <c r="ER216" s="54"/>
      <c r="ES216" s="54"/>
      <c r="ET216" s="54"/>
      <c r="EU216" s="54"/>
      <c r="EV216" s="54"/>
      <c r="EW216" s="54"/>
      <c r="EX216" s="54"/>
      <c r="EY216" s="54"/>
      <c r="EZ216" s="54"/>
      <c r="FA216" s="54"/>
      <c r="FB216" s="54"/>
      <c r="FC216" s="54"/>
      <c r="FD216" s="54"/>
      <c r="FE216" s="54"/>
      <c r="FF216" s="54"/>
      <c r="FG216" s="54"/>
      <c r="FH216" s="54"/>
      <c r="FI216" s="54"/>
    </row>
    <row r="217" spans="1:165" x14ac:dyDescent="0.3">
      <c r="A217" s="164"/>
      <c r="ET217" s="90"/>
      <c r="EU217" s="90"/>
      <c r="EV217" s="90"/>
      <c r="EW217" s="90"/>
      <c r="EY217" s="90"/>
      <c r="EZ217" s="90"/>
      <c r="FA217" s="90"/>
      <c r="FB217" s="90"/>
    </row>
    <row r="218" spans="1:165" hidden="1" outlineLevel="1" x14ac:dyDescent="0.3">
      <c r="A218" s="164"/>
      <c r="EQ218" s="76">
        <v>2000</v>
      </c>
      <c r="ER218" s="76">
        <v>0</v>
      </c>
      <c r="ET218" s="76">
        <v>0</v>
      </c>
      <c r="EU218" s="76">
        <v>0</v>
      </c>
      <c r="EV218" s="76">
        <v>0</v>
      </c>
      <c r="EW218" s="76">
        <v>0</v>
      </c>
      <c r="EX218" s="76">
        <v>0</v>
      </c>
      <c r="EY218" s="76">
        <v>0</v>
      </c>
      <c r="EZ218" s="76">
        <v>0</v>
      </c>
      <c r="FA218" s="76">
        <v>0</v>
      </c>
      <c r="FB218" s="76">
        <v>0</v>
      </c>
      <c r="FC218" s="76">
        <f>FC202-EX202</f>
        <v>940.75</v>
      </c>
      <c r="FD218" s="76">
        <f t="shared" ref="FD218:FI218" si="668">FD202-FC202</f>
        <v>1200</v>
      </c>
      <c r="FE218" s="76">
        <f t="shared" si="668"/>
        <v>859.45000000000073</v>
      </c>
      <c r="FF218" s="76">
        <f t="shared" si="668"/>
        <v>-15.549999999999272</v>
      </c>
      <c r="FG218" s="76">
        <f t="shared" si="668"/>
        <v>-524.99999999999818</v>
      </c>
      <c r="FH218" s="76">
        <f t="shared" si="668"/>
        <v>-584.99568963505408</v>
      </c>
      <c r="FI218" s="76">
        <f t="shared" si="668"/>
        <v>206.06193160299881</v>
      </c>
    </row>
    <row r="219" spans="1:165" hidden="1" outlineLevel="1" x14ac:dyDescent="0.3">
      <c r="A219" s="164"/>
      <c r="EQ219" s="146">
        <v>0.08</v>
      </c>
      <c r="ER219" s="146">
        <v>0.08</v>
      </c>
      <c r="ET219" s="146">
        <v>0.08</v>
      </c>
      <c r="EU219" s="146">
        <v>0.08</v>
      </c>
      <c r="EV219" s="146">
        <v>0.08</v>
      </c>
      <c r="EW219" s="146">
        <v>0.08</v>
      </c>
      <c r="EX219" s="146">
        <v>0.08</v>
      </c>
      <c r="EY219" s="146">
        <v>0.08</v>
      </c>
      <c r="EZ219" s="146">
        <v>0.08</v>
      </c>
      <c r="FA219" s="146">
        <v>0.08</v>
      </c>
      <c r="FB219" s="146">
        <v>0.08</v>
      </c>
      <c r="FC219" s="146">
        <f>EX219</f>
        <v>0.08</v>
      </c>
      <c r="FD219" s="146">
        <f t="shared" ref="FD219:FI219" si="669">FC219</f>
        <v>0.08</v>
      </c>
      <c r="FE219" s="146">
        <f t="shared" si="669"/>
        <v>0.08</v>
      </c>
      <c r="FF219" s="146">
        <f t="shared" si="669"/>
        <v>0.08</v>
      </c>
      <c r="FG219" s="146">
        <f t="shared" si="669"/>
        <v>0.08</v>
      </c>
      <c r="FH219" s="146">
        <f t="shared" si="669"/>
        <v>0.08</v>
      </c>
      <c r="FI219" s="146">
        <f t="shared" si="669"/>
        <v>0.08</v>
      </c>
    </row>
    <row r="220" spans="1:165" hidden="1" outlineLevel="1" x14ac:dyDescent="0.3">
      <c r="A220" s="164"/>
      <c r="EQ220" s="885">
        <f>EQ218*EQ219/4</f>
        <v>40</v>
      </c>
      <c r="ER220" s="885">
        <f>ER218*ER219/4</f>
        <v>0</v>
      </c>
      <c r="ET220" s="885">
        <f t="shared" ref="ET220:EW220" si="670">ET218*ET219/4</f>
        <v>0</v>
      </c>
      <c r="EU220" s="885">
        <f t="shared" si="670"/>
        <v>0</v>
      </c>
      <c r="EV220" s="885">
        <f t="shared" si="670"/>
        <v>0</v>
      </c>
      <c r="EW220" s="885">
        <f t="shared" si="670"/>
        <v>0</v>
      </c>
      <c r="EX220" s="885">
        <f>EX218*EX219</f>
        <v>0</v>
      </c>
      <c r="EY220" s="885">
        <f t="shared" ref="EY220:FB220" si="671">EY218*EY219/4</f>
        <v>0</v>
      </c>
      <c r="EZ220" s="885">
        <f t="shared" si="671"/>
        <v>0</v>
      </c>
      <c r="FA220" s="885">
        <f t="shared" si="671"/>
        <v>0</v>
      </c>
      <c r="FB220" s="885">
        <f t="shared" si="671"/>
        <v>0</v>
      </c>
      <c r="FC220" s="885">
        <f t="shared" ref="FC220:FI220" si="672">FC218*FC219</f>
        <v>75.260000000000005</v>
      </c>
      <c r="FD220" s="885">
        <f t="shared" si="672"/>
        <v>96</v>
      </c>
      <c r="FE220" s="885">
        <f t="shared" si="672"/>
        <v>68.756000000000057</v>
      </c>
      <c r="FF220" s="885">
        <f t="shared" si="672"/>
        <v>-1.2439999999999418</v>
      </c>
      <c r="FG220" s="885">
        <f t="shared" si="672"/>
        <v>-41.999999999999858</v>
      </c>
      <c r="FH220" s="885">
        <f t="shared" si="672"/>
        <v>-46.799655170804328</v>
      </c>
      <c r="FI220" s="885">
        <f t="shared" si="672"/>
        <v>16.484954528239903</v>
      </c>
    </row>
    <row r="221" spans="1:165" hidden="1" outlineLevel="1" x14ac:dyDescent="0.3">
      <c r="A221" s="164"/>
      <c r="EQ221" s="885">
        <f>EP204+EQ220</f>
        <v>211</v>
      </c>
      <c r="ER221" s="885">
        <f>EQ204+ER220</f>
        <v>196</v>
      </c>
      <c r="ET221" s="885">
        <f t="shared" ref="ET221:EW221" si="673">ES204+ET220</f>
        <v>736</v>
      </c>
      <c r="EU221" s="885">
        <f t="shared" si="673"/>
        <v>211</v>
      </c>
      <c r="EV221" s="885">
        <f t="shared" si="673"/>
        <v>209</v>
      </c>
      <c r="EW221" s="885">
        <f t="shared" si="673"/>
        <v>216</v>
      </c>
      <c r="EX221" s="885">
        <f>ER221*4</f>
        <v>784</v>
      </c>
      <c r="EY221" s="885">
        <f t="shared" ref="EY221" si="674">EX204+EY220</f>
        <v>853</v>
      </c>
      <c r="EZ221" s="885">
        <f t="shared" ref="EZ221" si="675">EY204+EZ220</f>
        <v>230.70937499999999</v>
      </c>
      <c r="FA221" s="885">
        <f t="shared" ref="FA221" si="676">EZ204+FA220</f>
        <v>230.70937499999999</v>
      </c>
      <c r="FB221" s="885">
        <f t="shared" ref="FB221" si="677">FA204+FB220</f>
        <v>230.70937499999999</v>
      </c>
      <c r="FC221" s="885">
        <f>EX204+FC220</f>
        <v>928.26</v>
      </c>
      <c r="FD221" s="885">
        <f t="shared" ref="FD221:FI221" si="678">FC204+FD220</f>
        <v>1018.8375</v>
      </c>
      <c r="FE221" s="885">
        <f t="shared" si="678"/>
        <v>1091.4935</v>
      </c>
      <c r="FF221" s="885">
        <f t="shared" si="678"/>
        <v>1081.6686500000001</v>
      </c>
      <c r="FG221" s="885">
        <f t="shared" si="678"/>
        <v>1066.7078000000001</v>
      </c>
      <c r="FH221" s="885">
        <f t="shared" si="678"/>
        <v>1062.1468948291956</v>
      </c>
      <c r="FI221" s="885">
        <f t="shared" si="678"/>
        <v>1089.8385734952458</v>
      </c>
    </row>
    <row r="222" spans="1:165" collapsed="1" x14ac:dyDescent="0.3">
      <c r="A222" s="164"/>
      <c r="ET222" s="90"/>
      <c r="EU222" s="90"/>
      <c r="EV222" s="90"/>
      <c r="EW222" s="90"/>
      <c r="EY222" s="90"/>
      <c r="EZ222" s="90"/>
      <c r="FA222" s="90"/>
      <c r="FB222" s="90"/>
    </row>
    <row r="223" spans="1:165" x14ac:dyDescent="0.3">
      <c r="A223" s="164"/>
      <c r="EN223" s="92"/>
      <c r="EO223" s="92"/>
      <c r="EP223" s="92"/>
      <c r="EQ223" s="92"/>
      <c r="ER223" s="92"/>
      <c r="ET223" s="92"/>
      <c r="EU223" s="92"/>
      <c r="EV223" s="92"/>
      <c r="EW223" s="92"/>
      <c r="EY223" s="92"/>
      <c r="EZ223" s="92"/>
      <c r="FA223" s="92"/>
      <c r="FB223" s="92"/>
    </row>
    <row r="224" spans="1:165" x14ac:dyDescent="0.3">
      <c r="A224" s="164"/>
      <c r="ET224" s="90"/>
      <c r="EU224" s="90"/>
      <c r="EV224" s="90"/>
      <c r="EW224" s="90"/>
      <c r="EY224" s="90"/>
      <c r="EZ224" s="90"/>
      <c r="FA224" s="90"/>
      <c r="FB224" s="90"/>
    </row>
    <row r="225" spans="1:158" x14ac:dyDescent="0.3">
      <c r="A225" s="164"/>
      <c r="ET225" s="90"/>
      <c r="EU225" s="90"/>
      <c r="EV225" s="90"/>
      <c r="EW225" s="90"/>
      <c r="EY225" s="90"/>
      <c r="EZ225" s="90"/>
      <c r="FA225" s="90"/>
      <c r="FB225" s="90"/>
    </row>
    <row r="226" spans="1:158" x14ac:dyDescent="0.3">
      <c r="A226" s="164"/>
      <c r="ET226" s="90"/>
      <c r="EU226" s="90"/>
      <c r="EV226" s="90"/>
      <c r="EW226" s="90"/>
      <c r="EY226" s="90"/>
      <c r="EZ226" s="90"/>
      <c r="FA226" s="90"/>
      <c r="FB226" s="90"/>
    </row>
    <row r="227" spans="1:158" x14ac:dyDescent="0.3">
      <c r="A227" s="164"/>
      <c r="ET227" s="90"/>
      <c r="EU227" s="90"/>
      <c r="EV227" s="90"/>
      <c r="EW227" s="90"/>
    </row>
    <row r="228" spans="1:158" x14ac:dyDescent="0.3">
      <c r="A228" s="164"/>
      <c r="ET228" s="90"/>
      <c r="EU228" s="90"/>
      <c r="EV228" s="90"/>
      <c r="EW228" s="90"/>
    </row>
    <row r="229" spans="1:158" x14ac:dyDescent="0.3">
      <c r="A229" s="164"/>
      <c r="ET229" s="90"/>
      <c r="EU229" s="90"/>
      <c r="EV229" s="90"/>
      <c r="EW229" s="90"/>
    </row>
    <row r="230" spans="1:158" x14ac:dyDescent="0.3">
      <c r="A230" s="164"/>
      <c r="ET230" s="90"/>
      <c r="EU230" s="90"/>
      <c r="EV230" s="90"/>
      <c r="EW230" s="90"/>
    </row>
    <row r="231" spans="1:158" x14ac:dyDescent="0.3">
      <c r="A231" s="164"/>
      <c r="ET231" s="90"/>
      <c r="EU231" s="90"/>
      <c r="EV231" s="90"/>
      <c r="EW231" s="90"/>
    </row>
    <row r="232" spans="1:158" x14ac:dyDescent="0.3">
      <c r="A232" s="164"/>
      <c r="ET232" s="90"/>
      <c r="EU232" s="90"/>
      <c r="EV232" s="90"/>
      <c r="EW232" s="90"/>
    </row>
    <row r="233" spans="1:158" x14ac:dyDescent="0.3">
      <c r="A233" s="164"/>
      <c r="ET233" s="90"/>
      <c r="EU233" s="90"/>
      <c r="EV233" s="90"/>
      <c r="EW233" s="90"/>
    </row>
    <row r="234" spans="1:158" x14ac:dyDescent="0.3">
      <c r="A234" s="164"/>
      <c r="ET234" s="90"/>
      <c r="EU234" s="90"/>
      <c r="EV234" s="90"/>
      <c r="EW234" s="90"/>
    </row>
    <row r="235" spans="1:158" x14ac:dyDescent="0.3">
      <c r="A235" s="164"/>
      <c r="ET235" s="90"/>
      <c r="EU235" s="90"/>
      <c r="EV235" s="90"/>
      <c r="EW235" s="90"/>
    </row>
  </sheetData>
  <pageMargins left="0.7" right="0.7" top="0.75" bottom="0.75" header="0.3" footer="0.3"/>
  <pageSetup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D3074-E47E-4953-B8D3-460204B35B22}">
  <dimension ref="A2:M348"/>
  <sheetViews>
    <sheetView showGridLines="0" topLeftCell="A77" workbookViewId="0">
      <selection activeCell="F139" sqref="F139"/>
    </sheetView>
  </sheetViews>
  <sheetFormatPr defaultColWidth="9.33203125" defaultRowHeight="12" outlineLevelRow="1" x14ac:dyDescent="0.3"/>
  <cols>
    <col min="1" max="1" width="17.77734375" customWidth="1"/>
    <col min="2" max="6" width="8.33203125" customWidth="1"/>
    <col min="7" max="7" width="8.77734375" customWidth="1"/>
    <col min="8" max="8" width="8.33203125" customWidth="1"/>
  </cols>
  <sheetData>
    <row r="2" spans="1:11" x14ac:dyDescent="0.3">
      <c r="A2" s="964" t="s">
        <v>4111</v>
      </c>
      <c r="B2" s="965"/>
      <c r="C2" s="965"/>
      <c r="D2" s="965"/>
      <c r="E2" s="965"/>
      <c r="F2" s="965"/>
      <c r="G2" s="965"/>
      <c r="H2" s="965"/>
      <c r="I2" s="965"/>
      <c r="J2" s="966"/>
      <c r="K2" s="966"/>
    </row>
    <row r="3" spans="1:11" ht="24" x14ac:dyDescent="0.3">
      <c r="A3" s="144"/>
      <c r="B3" s="967" t="s">
        <v>4112</v>
      </c>
      <c r="C3" s="967" t="s">
        <v>3643</v>
      </c>
      <c r="D3" s="967" t="s">
        <v>4113</v>
      </c>
      <c r="E3" s="967" t="s">
        <v>4114</v>
      </c>
      <c r="F3" s="967" t="s">
        <v>3372</v>
      </c>
      <c r="G3" s="967" t="s">
        <v>3377</v>
      </c>
      <c r="H3" s="968" t="s">
        <v>4115</v>
      </c>
      <c r="I3" s="969"/>
      <c r="K3" s="42" t="s">
        <v>4116</v>
      </c>
    </row>
    <row r="4" spans="1:11" x14ac:dyDescent="0.3">
      <c r="A4" s="970" t="s">
        <v>541</v>
      </c>
      <c r="B4" s="151">
        <f>'Segment Model'!ED32</f>
        <v>846.12120156976732</v>
      </c>
      <c r="C4" s="151">
        <f>'Segment Model'!EI32</f>
        <v>939.81949765240199</v>
      </c>
      <c r="D4" s="151">
        <f>'Segment Model'!EJ32</f>
        <v>1055.1224004873256</v>
      </c>
      <c r="E4" s="151">
        <f>'Segment Model'!EK32</f>
        <v>1171.516204000319</v>
      </c>
      <c r="F4" s="151">
        <f>'Segment Model'!EL32</f>
        <v>1238.6483878387799</v>
      </c>
      <c r="G4" s="151">
        <f>'Segment Model'!EM32</f>
        <v>1253.5360341770015</v>
      </c>
      <c r="H4" s="971">
        <f>(G4/B4)^(1/5)-1</f>
        <v>8.1784735508972695E-2</v>
      </c>
      <c r="I4" s="59"/>
      <c r="K4" s="59">
        <f>'Segment Model'!$DY$32</f>
        <v>822.63068999999984</v>
      </c>
    </row>
    <row r="5" spans="1:11" x14ac:dyDescent="0.3">
      <c r="A5" s="972" t="s">
        <v>4117</v>
      </c>
      <c r="B5" s="973">
        <f>B4/K4-1</f>
        <v>2.8555355222362966E-2</v>
      </c>
      <c r="C5" s="973">
        <f>C4/B4-1</f>
        <v>0.11073862220778863</v>
      </c>
      <c r="D5" s="973">
        <f>D4/C4-1</f>
        <v>0.1226862212615738</v>
      </c>
      <c r="E5" s="973">
        <f>E4/D4-1</f>
        <v>0.11031308164743248</v>
      </c>
      <c r="F5" s="973">
        <f>F4/E4-1</f>
        <v>5.7303675023211653E-2</v>
      </c>
      <c r="G5" s="973">
        <f>G4/F4-1</f>
        <v>1.2019267521268029E-2</v>
      </c>
      <c r="H5" s="971"/>
      <c r="I5" s="59"/>
      <c r="K5" s="59"/>
    </row>
    <row r="6" spans="1:11" x14ac:dyDescent="0.3">
      <c r="A6" s="970" t="s">
        <v>34</v>
      </c>
      <c r="B6" s="151">
        <f>'Segment Model'!ED33</f>
        <v>1041.2541156802326</v>
      </c>
      <c r="C6" s="151">
        <f>'Segment Model'!EI33</f>
        <v>1052.5972772299726</v>
      </c>
      <c r="D6" s="151">
        <f>'Segment Model'!EJ33</f>
        <v>1119.9096217652796</v>
      </c>
      <c r="E6" s="151">
        <f>'Segment Model'!EK33</f>
        <v>1182.7023339321834</v>
      </c>
      <c r="F6" s="151">
        <f>'Segment Model'!EL33</f>
        <v>1192.6333344732257</v>
      </c>
      <c r="G6" s="151">
        <f>'Segment Model'!EM33</f>
        <v>1153.4901817112848</v>
      </c>
      <c r="H6" s="971">
        <f>(G6/B6)^(1/5)-1</f>
        <v>2.0684299222731406E-2</v>
      </c>
      <c r="I6" s="59"/>
      <c r="K6" s="59">
        <f>+'Segment Model'!$DY$33</f>
        <v>1027.36931</v>
      </c>
    </row>
    <row r="7" spans="1:11" x14ac:dyDescent="0.3">
      <c r="A7" s="972" t="s">
        <v>4117</v>
      </c>
      <c r="B7" s="973">
        <f>B6/K6-1</f>
        <v>1.3514911867702706E-2</v>
      </c>
      <c r="C7" s="973">
        <f>C6/B6-1</f>
        <v>1.0893749545786591E-2</v>
      </c>
      <c r="D7" s="973">
        <f>D6/C6-1</f>
        <v>6.3948811184888266E-2</v>
      </c>
      <c r="E7" s="973">
        <f>E6/D6-1</f>
        <v>5.6069446093270914E-2</v>
      </c>
      <c r="F7" s="973">
        <f>F6/E6-1</f>
        <v>8.3968723626546282E-3</v>
      </c>
      <c r="G7" s="973">
        <f>G6/F6-1</f>
        <v>-3.2820777040606597E-2</v>
      </c>
      <c r="H7" s="971"/>
      <c r="I7" s="59"/>
      <c r="K7" s="59"/>
    </row>
    <row r="8" spans="1:11" x14ac:dyDescent="0.3">
      <c r="A8" s="974" t="s">
        <v>38</v>
      </c>
      <c r="B8" s="51">
        <f t="shared" ref="B8:G8" si="0">B6+B4</f>
        <v>1887.3753172500001</v>
      </c>
      <c r="C8" s="51">
        <f t="shared" si="0"/>
        <v>1992.4167748823747</v>
      </c>
      <c r="D8" s="51">
        <f t="shared" si="0"/>
        <v>2175.0320222526052</v>
      </c>
      <c r="E8" s="51">
        <f t="shared" si="0"/>
        <v>2354.2185379325024</v>
      </c>
      <c r="F8" s="51">
        <f t="shared" si="0"/>
        <v>2431.2817223120055</v>
      </c>
      <c r="G8" s="51">
        <f t="shared" si="0"/>
        <v>2407.0262158882861</v>
      </c>
      <c r="H8" s="975">
        <f>(G8/B8)^(1/5)-1</f>
        <v>4.9843369857202058E-2</v>
      </c>
      <c r="I8" s="58"/>
      <c r="K8" s="50">
        <f>SUM(K4:K6)</f>
        <v>1850</v>
      </c>
    </row>
    <row r="9" spans="1:11" x14ac:dyDescent="0.3">
      <c r="A9" s="976" t="s">
        <v>4117</v>
      </c>
      <c r="B9" s="973">
        <f>B8/K8-1</f>
        <v>2.0202874189189313E-2</v>
      </c>
      <c r="C9" s="973">
        <f>C8/B8-1</f>
        <v>5.5654779773969487E-2</v>
      </c>
      <c r="D9" s="973">
        <f>D8/C8-1</f>
        <v>9.1655144482013062E-2</v>
      </c>
      <c r="E9" s="973">
        <f>E8/D8-1</f>
        <v>8.2383391989934829E-2</v>
      </c>
      <c r="F9" s="973">
        <f>F8/E8-1</f>
        <v>3.273408272758771E-2</v>
      </c>
      <c r="G9" s="973">
        <f>G8/F8-1</f>
        <v>-9.9764277422584868E-3</v>
      </c>
      <c r="H9" s="973"/>
      <c r="I9" s="977"/>
      <c r="K9" s="59"/>
    </row>
    <row r="10" spans="1:11" x14ac:dyDescent="0.3">
      <c r="A10" s="978" t="s">
        <v>4118</v>
      </c>
      <c r="B10" s="151">
        <f>+'Segment Model'!ED36+'Segment Model'!ED37</f>
        <v>712.62468275000003</v>
      </c>
      <c r="C10" s="151">
        <f>+'Segment Model'!EI36+'Segment Model'!EI37</f>
        <v>572.44560195209897</v>
      </c>
      <c r="D10" s="151">
        <f>+'Segment Model'!EJ36+'Segment Model'!EJ37</f>
        <v>524.963352919822</v>
      </c>
      <c r="E10" s="151">
        <f>+'Segment Model'!EK36+'Segment Model'!EK37</f>
        <v>502.81867180215738</v>
      </c>
      <c r="F10" s="151">
        <f>+'Segment Model'!EL36+'Segment Model'!EL37</f>
        <v>482.76069555322078</v>
      </c>
      <c r="G10" s="151">
        <f>+'Segment Model'!EM36+'Segment Model'!EM37</f>
        <v>464.52183161970913</v>
      </c>
      <c r="H10" s="971">
        <f>IFERROR((G10/B10)^(1/5)-1, "")</f>
        <v>-8.2028804726722804E-2</v>
      </c>
      <c r="I10" s="59"/>
      <c r="K10" s="59">
        <f>+'Segment Model'!$DY$36+'Segment Model'!$DY$37</f>
        <v>745</v>
      </c>
    </row>
    <row r="11" spans="1:11" x14ac:dyDescent="0.3">
      <c r="A11" s="976" t="s">
        <v>4117</v>
      </c>
      <c r="B11" s="973">
        <f>B10/K10-1</f>
        <v>-4.3456801677852264E-2</v>
      </c>
      <c r="C11" s="973">
        <f>C10/B10-1</f>
        <v>-0.19670814692658922</v>
      </c>
      <c r="D11" s="973">
        <f>D10/C10-1</f>
        <v>-8.2946307684708454E-2</v>
      </c>
      <c r="E11" s="973">
        <f>E10/D10-1</f>
        <v>-4.2183289546778635E-2</v>
      </c>
      <c r="F11" s="973">
        <f>F10/E10-1</f>
        <v>-3.9891072813677764E-2</v>
      </c>
      <c r="G11" s="973">
        <f>G10/F10-1</f>
        <v>-3.778034148494791E-2</v>
      </c>
      <c r="H11" s="971"/>
      <c r="I11" s="59"/>
      <c r="K11" s="59"/>
    </row>
    <row r="12" spans="1:11" x14ac:dyDescent="0.3">
      <c r="A12" s="726" t="s">
        <v>35</v>
      </c>
      <c r="B12" s="51">
        <f t="shared" ref="B12:G12" si="1">+B8+B10</f>
        <v>2600</v>
      </c>
      <c r="C12" s="51">
        <f t="shared" si="1"/>
        <v>2564.8623768344737</v>
      </c>
      <c r="D12" s="51">
        <f t="shared" si="1"/>
        <v>2699.995375172427</v>
      </c>
      <c r="E12" s="51">
        <f t="shared" si="1"/>
        <v>2857.0372097346599</v>
      </c>
      <c r="F12" s="51">
        <f t="shared" si="1"/>
        <v>2914.0424178652265</v>
      </c>
      <c r="G12" s="51">
        <f t="shared" si="1"/>
        <v>2871.5480475079953</v>
      </c>
      <c r="H12" s="975">
        <f>(G12/B12)^(1/5)-1</f>
        <v>2.0066647390305725E-2</v>
      </c>
      <c r="I12" s="58"/>
      <c r="K12" s="50">
        <f>+K8+K10</f>
        <v>2595</v>
      </c>
    </row>
    <row r="13" spans="1:11" x14ac:dyDescent="0.3">
      <c r="A13" s="979" t="s">
        <v>4117</v>
      </c>
      <c r="B13" s="973">
        <f>B12/K12-1</f>
        <v>1.9267822736031004E-3</v>
      </c>
      <c r="C13" s="973">
        <f>C12/B12-1</f>
        <v>-1.3514470448279359E-2</v>
      </c>
      <c r="D13" s="973">
        <f>D12/C12-1</f>
        <v>5.268625699314633E-2</v>
      </c>
      <c r="E13" s="973">
        <f>E12/D12-1</f>
        <v>5.816374205907815E-2</v>
      </c>
      <c r="F13" s="973">
        <f>F12/E12-1</f>
        <v>1.9952560623409221E-2</v>
      </c>
      <c r="G13" s="973">
        <f>G12/F12-1</f>
        <v>-1.4582619009493314E-2</v>
      </c>
      <c r="H13" s="973"/>
      <c r="I13" s="977"/>
      <c r="K13" s="59"/>
    </row>
    <row r="14" spans="1:11" x14ac:dyDescent="0.3">
      <c r="A14" s="978" t="s">
        <v>36</v>
      </c>
      <c r="B14" s="151">
        <v>0</v>
      </c>
      <c r="C14" s="151">
        <v>0</v>
      </c>
      <c r="D14" s="151">
        <v>0</v>
      </c>
      <c r="E14" s="151">
        <v>0</v>
      </c>
      <c r="F14" s="151">
        <v>0</v>
      </c>
      <c r="G14" s="151">
        <v>0</v>
      </c>
      <c r="H14" s="971" t="str">
        <f>IFERROR((G14/B14)^(1/5)-1, "")</f>
        <v/>
      </c>
      <c r="I14" s="59"/>
      <c r="K14" s="59">
        <v>0</v>
      </c>
    </row>
    <row r="15" spans="1:11" x14ac:dyDescent="0.3">
      <c r="A15" s="976" t="s">
        <v>4117</v>
      </c>
      <c r="B15" s="973" t="str">
        <f>IFERROR(B14/K14-1,"")</f>
        <v/>
      </c>
      <c r="C15" s="973" t="str">
        <f>IFERROR(C14/B14-1, "")</f>
        <v/>
      </c>
      <c r="D15" s="973" t="str">
        <f>IFERROR(D14/C14-1, "")</f>
        <v/>
      </c>
      <c r="E15" s="973" t="str">
        <f>IFERROR(E14/D14-1, "")</f>
        <v/>
      </c>
      <c r="F15" s="973" t="str">
        <f>IFERROR(F14/E14-1, "")</f>
        <v/>
      </c>
      <c r="G15" s="973" t="str">
        <f>IFERROR(G14/F14-1, "")</f>
        <v/>
      </c>
      <c r="H15" s="971"/>
      <c r="I15" s="59"/>
      <c r="K15" s="59"/>
    </row>
    <row r="16" spans="1:11" x14ac:dyDescent="0.3">
      <c r="A16" s="726" t="s">
        <v>19</v>
      </c>
      <c r="B16" s="51">
        <f t="shared" ref="B16:G16" si="2">+B12+B14</f>
        <v>2600</v>
      </c>
      <c r="C16" s="51">
        <f t="shared" si="2"/>
        <v>2564.8623768344737</v>
      </c>
      <c r="D16" s="51">
        <f t="shared" si="2"/>
        <v>2699.995375172427</v>
      </c>
      <c r="E16" s="51">
        <f t="shared" si="2"/>
        <v>2857.0372097346599</v>
      </c>
      <c r="F16" s="51">
        <f t="shared" si="2"/>
        <v>2914.0424178652265</v>
      </c>
      <c r="G16" s="51">
        <f t="shared" si="2"/>
        <v>2871.5480475079953</v>
      </c>
      <c r="H16" s="975">
        <f>(G16/B16)^(1/5)-1</f>
        <v>2.0066647390305725E-2</v>
      </c>
      <c r="I16" s="58"/>
      <c r="K16" s="50">
        <f>+K12+K14</f>
        <v>2595</v>
      </c>
    </row>
    <row r="17" spans="1:11" x14ac:dyDescent="0.3">
      <c r="A17" s="979" t="s">
        <v>4117</v>
      </c>
      <c r="B17" s="973">
        <f>B16/K16-1</f>
        <v>1.9267822736031004E-3</v>
      </c>
      <c r="C17" s="973">
        <f>C16/B16-1</f>
        <v>-1.3514470448279359E-2</v>
      </c>
      <c r="D17" s="973">
        <f>D16/C16-1</f>
        <v>5.268625699314633E-2</v>
      </c>
      <c r="E17" s="973">
        <f>E16/D16-1</f>
        <v>5.816374205907815E-2</v>
      </c>
      <c r="F17" s="973">
        <f>F16/E16-1</f>
        <v>1.9952560623409221E-2</v>
      </c>
      <c r="G17" s="973">
        <f>G16/F16-1</f>
        <v>-1.4582619009493314E-2</v>
      </c>
      <c r="H17" s="973"/>
      <c r="I17" s="977"/>
      <c r="K17" s="59"/>
    </row>
    <row r="18" spans="1:11" x14ac:dyDescent="0.3">
      <c r="A18" s="33"/>
      <c r="B18" s="977"/>
      <c r="C18" s="977"/>
      <c r="D18" s="977"/>
      <c r="E18" s="977"/>
      <c r="F18" s="977"/>
      <c r="G18" s="977"/>
      <c r="H18" s="977"/>
      <c r="I18" s="977"/>
      <c r="K18" s="59"/>
    </row>
    <row r="19" spans="1:11" x14ac:dyDescent="0.3">
      <c r="A19" s="964" t="s">
        <v>4119</v>
      </c>
      <c r="B19" s="965"/>
      <c r="C19" s="965"/>
      <c r="D19" s="965"/>
      <c r="E19" s="965"/>
      <c r="F19" s="965"/>
      <c r="G19" s="965"/>
      <c r="H19" s="965"/>
      <c r="I19" s="965"/>
      <c r="J19" s="966"/>
      <c r="K19" s="966"/>
    </row>
    <row r="20" spans="1:11" ht="24" x14ac:dyDescent="0.3">
      <c r="A20" s="493"/>
      <c r="B20" s="967" t="s">
        <v>4112</v>
      </c>
      <c r="C20" s="967" t="s">
        <v>3643</v>
      </c>
      <c r="D20" s="967" t="s">
        <v>4113</v>
      </c>
      <c r="E20" s="967" t="s">
        <v>4114</v>
      </c>
      <c r="F20" s="967" t="s">
        <v>3372</v>
      </c>
      <c r="G20" s="967" t="s">
        <v>3377</v>
      </c>
      <c r="H20" s="968" t="s">
        <v>4115</v>
      </c>
      <c r="I20" s="59"/>
    </row>
    <row r="21" spans="1:11" x14ac:dyDescent="0.3">
      <c r="A21" s="144"/>
      <c r="B21" s="151"/>
      <c r="C21" s="151"/>
      <c r="D21" s="151"/>
      <c r="E21" s="151"/>
      <c r="F21" s="151"/>
      <c r="G21" s="151"/>
      <c r="H21" s="151"/>
      <c r="I21" s="59"/>
    </row>
    <row r="22" spans="1:11" x14ac:dyDescent="0.3">
      <c r="A22" s="726" t="s">
        <v>4120</v>
      </c>
      <c r="B22" s="151">
        <f>'Segment Model'!ED109</f>
        <v>1232.9000000000001</v>
      </c>
      <c r="C22" s="151">
        <f>'Segment Model'!EI109</f>
        <v>1296.7492907999999</v>
      </c>
      <c r="D22" s="151">
        <f>'Segment Model'!EJ109</f>
        <v>1418.9141431925009</v>
      </c>
      <c r="E22" s="151">
        <f>'Segment Model'!EK109</f>
        <v>1480.3518530704437</v>
      </c>
      <c r="F22" s="151">
        <f>'Segment Model'!EL109</f>
        <v>1467.1525630051756</v>
      </c>
      <c r="G22" s="151">
        <f>'Segment Model'!EM109</f>
        <v>1401.0505717761234</v>
      </c>
      <c r="H22" s="980">
        <f>IFERROR((G22/B22)^(1/5)-1, "")</f>
        <v>2.5900382695055457E-2</v>
      </c>
      <c r="I22" s="59"/>
      <c r="K22" s="59">
        <f>'Segment Model'!DY109</f>
        <v>1205</v>
      </c>
    </row>
    <row r="23" spans="1:11" x14ac:dyDescent="0.3">
      <c r="A23" s="979" t="s">
        <v>4117</v>
      </c>
      <c r="B23" s="981">
        <f>B22/K22-1</f>
        <v>2.3153526970954408E-2</v>
      </c>
      <c r="C23" s="981">
        <f>C22/B22-1</f>
        <v>5.1787890988725716E-2</v>
      </c>
      <c r="D23" s="981">
        <f>D22/C22-1</f>
        <v>9.4208536113510544E-2</v>
      </c>
      <c r="E23" s="981">
        <f>E22/D22-1</f>
        <v>4.3299103171746678E-2</v>
      </c>
      <c r="F23" s="981">
        <f>F22/E22-1</f>
        <v>-8.916319480325563E-3</v>
      </c>
      <c r="G23" s="981">
        <f>G22/F22-1</f>
        <v>-4.505461319827242E-2</v>
      </c>
      <c r="H23" s="980"/>
      <c r="I23" s="59"/>
      <c r="K23" s="59"/>
    </row>
    <row r="24" spans="1:11" x14ac:dyDescent="0.3">
      <c r="A24" s="979" t="s">
        <v>340</v>
      </c>
      <c r="B24" s="982">
        <f>B22-K22</f>
        <v>27.900000000000091</v>
      </c>
      <c r="C24" s="982">
        <f>C22-B22</f>
        <v>63.849290799999835</v>
      </c>
      <c r="D24" s="982">
        <f>D22-C22</f>
        <v>122.16485239250096</v>
      </c>
      <c r="E24" s="982">
        <f>E22-D22</f>
        <v>61.43770987794278</v>
      </c>
      <c r="F24" s="982">
        <f>F22-E22</f>
        <v>-13.199290065268087</v>
      </c>
      <c r="G24" s="982">
        <f>G22-F22</f>
        <v>-66.101991229052146</v>
      </c>
      <c r="H24" s="980"/>
      <c r="I24" s="59"/>
    </row>
    <row r="25" spans="1:11" x14ac:dyDescent="0.3">
      <c r="A25" s="726" t="s">
        <v>2159</v>
      </c>
      <c r="B25" s="51">
        <f>'Segment Model'!ED91</f>
        <v>2954.1062801932367</v>
      </c>
      <c r="C25" s="51">
        <f>'Segment Model'!EI91</f>
        <v>2961.4457831325303</v>
      </c>
      <c r="D25" s="51">
        <f>'Segment Model'!EJ91</f>
        <v>2961.4457831325303</v>
      </c>
      <c r="E25" s="51">
        <f>'Segment Model'!EK91</f>
        <v>2961.4457831325303</v>
      </c>
      <c r="F25" s="51">
        <f>'Segment Model'!EL91</f>
        <v>2961.4457831325303</v>
      </c>
      <c r="G25" s="51">
        <f>'Segment Model'!EM91</f>
        <v>2961.4457831325303</v>
      </c>
      <c r="H25" s="983">
        <f>(G25/B25)^(1/5)-1</f>
        <v>4.9640866471678535E-4</v>
      </c>
      <c r="I25" s="58"/>
      <c r="K25" s="59">
        <f>'Segment Model'!DY91</f>
        <v>2933.9853300733498</v>
      </c>
    </row>
    <row r="26" spans="1:11" x14ac:dyDescent="0.3">
      <c r="A26" s="725" t="s">
        <v>4121</v>
      </c>
      <c r="B26" s="151">
        <f>B25-K25</f>
        <v>20.120950119886857</v>
      </c>
      <c r="C26" s="151">
        <f>C25-B25</f>
        <v>7.3395029392936522</v>
      </c>
      <c r="D26" s="151">
        <f>D25-C25</f>
        <v>0</v>
      </c>
      <c r="E26" s="151">
        <f>E25-D25</f>
        <v>0</v>
      </c>
      <c r="F26" s="151">
        <f>F25-E25</f>
        <v>0</v>
      </c>
      <c r="G26" s="151">
        <f>G25-F25</f>
        <v>0</v>
      </c>
      <c r="H26" s="984"/>
      <c r="I26" s="58"/>
    </row>
    <row r="27" spans="1:11" x14ac:dyDescent="0.3">
      <c r="A27" s="726" t="s">
        <v>4122</v>
      </c>
      <c r="B27" s="985">
        <f t="shared" ref="B27:G27" si="3">B22/B25</f>
        <v>0.41735126737530664</v>
      </c>
      <c r="C27" s="985">
        <f t="shared" si="3"/>
        <v>0.43787709982261996</v>
      </c>
      <c r="D27" s="985">
        <f t="shared" si="3"/>
        <v>0.4791288603945385</v>
      </c>
      <c r="E27" s="985">
        <f t="shared" si="3"/>
        <v>0.49987471035332309</v>
      </c>
      <c r="F27" s="985">
        <f t="shared" si="3"/>
        <v>0.49541766773567764</v>
      </c>
      <c r="G27" s="985">
        <f t="shared" si="3"/>
        <v>0.47309681634425643</v>
      </c>
      <c r="H27" s="983">
        <f>(G27-B27)/5</f>
        <v>1.1149109793789958E-2</v>
      </c>
      <c r="I27" s="977"/>
    </row>
    <row r="28" spans="1:11" x14ac:dyDescent="0.3">
      <c r="A28" s="979" t="s">
        <v>4123</v>
      </c>
      <c r="B28" s="986">
        <f>B27-(K22/K25)</f>
        <v>6.6471007086399969E-3</v>
      </c>
      <c r="C28" s="986">
        <f>C27-B27</f>
        <v>2.0525832447313319E-2</v>
      </c>
      <c r="D28" s="986">
        <f>D27-C27</f>
        <v>4.1251760571918539E-2</v>
      </c>
      <c r="E28" s="986">
        <f>E27-D27</f>
        <v>2.074584995878459E-2</v>
      </c>
      <c r="F28" s="986">
        <f>F27-E27</f>
        <v>-4.457042617645457E-3</v>
      </c>
      <c r="G28" s="986">
        <f>G27-F27</f>
        <v>-2.2320851391421204E-2</v>
      </c>
      <c r="H28" s="981"/>
      <c r="I28" s="977"/>
    </row>
    <row r="29" spans="1:11" x14ac:dyDescent="0.3">
      <c r="A29" s="144"/>
      <c r="B29" s="144"/>
      <c r="C29" s="144"/>
      <c r="D29" s="144"/>
      <c r="E29" s="144"/>
      <c r="F29" s="144"/>
      <c r="G29" s="144"/>
      <c r="H29" s="144"/>
    </row>
    <row r="30" spans="1:11" x14ac:dyDescent="0.3">
      <c r="A30" s="725" t="s">
        <v>4124</v>
      </c>
      <c r="B30" s="151">
        <f>AVERAGE(B22,K22)</f>
        <v>1218.95</v>
      </c>
      <c r="C30" s="151">
        <f>AVERAGE(B22:C22)</f>
        <v>1264.8246454</v>
      </c>
      <c r="D30" s="151">
        <f>AVERAGE(C22:D22)</f>
        <v>1357.8317169962504</v>
      </c>
      <c r="E30" s="151">
        <f>AVERAGE(D22:E22)</f>
        <v>1449.6329981314723</v>
      </c>
      <c r="F30" s="151">
        <f>AVERAGE(E22:F22)</f>
        <v>1473.7522080378096</v>
      </c>
      <c r="G30" s="151">
        <f>AVERAGE(F22:G22)</f>
        <v>1434.1015673906495</v>
      </c>
      <c r="H30" s="980">
        <f>IFERROR((G30/B30)^(1/5)-1, "")</f>
        <v>3.3043962229260204E-2</v>
      </c>
      <c r="K30" s="76">
        <f>AVERAGE('Segment Model'!$DY$109,'Segment Model'!$DU$106)</f>
        <v>1211.5</v>
      </c>
    </row>
    <row r="31" spans="1:11" x14ac:dyDescent="0.3">
      <c r="A31" s="979" t="s">
        <v>4117</v>
      </c>
      <c r="B31" s="986">
        <f>B30/K30-1</f>
        <v>6.1494015683039027E-3</v>
      </c>
      <c r="C31" s="986">
        <f>C30/B30-1</f>
        <v>3.7634558759588099E-2</v>
      </c>
      <c r="D31" s="986">
        <f>D30/C30-1</f>
        <v>7.3533569996840908E-2</v>
      </c>
      <c r="E31" s="986">
        <f>E30/D30-1</f>
        <v>6.7608732353300338E-2</v>
      </c>
      <c r="F31" s="986">
        <f>F30/E30-1</f>
        <v>1.6638149060780316E-2</v>
      </c>
      <c r="G31" s="986">
        <f>G30/F30-1</f>
        <v>-2.6904550460319254E-2</v>
      </c>
      <c r="H31" s="980"/>
    </row>
    <row r="32" spans="1:11" x14ac:dyDescent="0.3">
      <c r="A32" s="726" t="s">
        <v>4125</v>
      </c>
      <c r="B32" s="987">
        <f>'Segment Model'!ED141</f>
        <v>57.77796061532954</v>
      </c>
      <c r="C32" s="987">
        <f>'Segment Model'!EI141</f>
        <v>62.264758646705047</v>
      </c>
      <c r="D32" s="987">
        <f>'Segment Model'!EJ141</f>
        <v>64.755348992573246</v>
      </c>
      <c r="E32" s="987">
        <f>'Segment Model'!EK141</f>
        <v>67.345562952276183</v>
      </c>
      <c r="F32" s="987">
        <f>'Segment Model'!EL141</f>
        <v>70.039385470367236</v>
      </c>
      <c r="G32" s="987">
        <f>'Segment Model'!EM141</f>
        <v>72.840960889181929</v>
      </c>
      <c r="H32" s="983">
        <f>IFERROR((G32/B32)^(1/5)-1, "")</f>
        <v>4.7424411723063775E-2</v>
      </c>
      <c r="I32" s="378"/>
      <c r="K32" s="378">
        <f>'Segment Model'!DY141</f>
        <v>56.913704856787035</v>
      </c>
    </row>
    <row r="33" spans="1:11" x14ac:dyDescent="0.3">
      <c r="A33" s="979" t="s">
        <v>4117</v>
      </c>
      <c r="B33" s="986">
        <f>B32/K32-1</f>
        <v>1.5185371620372479E-2</v>
      </c>
      <c r="C33" s="986">
        <f>C32/B32-1</f>
        <v>7.7655874032097172E-2</v>
      </c>
      <c r="D33" s="986">
        <f>D32/C32-1</f>
        <v>4.0000000000000036E-2</v>
      </c>
      <c r="E33" s="986">
        <f>E32/D32-1</f>
        <v>4.0000000000000036E-2</v>
      </c>
      <c r="F33" s="986">
        <f>F32/E32-1</f>
        <v>4.0000000000000036E-2</v>
      </c>
      <c r="G33" s="986">
        <f>G32/F32-1</f>
        <v>4.0000000000000036E-2</v>
      </c>
      <c r="H33" s="981"/>
      <c r="I33" s="977"/>
    </row>
    <row r="34" spans="1:11" x14ac:dyDescent="0.3">
      <c r="A34" s="726" t="s">
        <v>4126</v>
      </c>
      <c r="B34" s="51">
        <f t="shared" ref="B34:G34" si="4">B4</f>
        <v>846.12120156976732</v>
      </c>
      <c r="C34" s="51">
        <f t="shared" si="4"/>
        <v>939.81949765240199</v>
      </c>
      <c r="D34" s="51">
        <f t="shared" si="4"/>
        <v>1055.1224004873256</v>
      </c>
      <c r="E34" s="51">
        <f t="shared" si="4"/>
        <v>1171.516204000319</v>
      </c>
      <c r="F34" s="51">
        <f t="shared" si="4"/>
        <v>1238.6483878387799</v>
      </c>
      <c r="G34" s="51">
        <f t="shared" si="4"/>
        <v>1253.5360341770015</v>
      </c>
      <c r="H34" s="983">
        <f>IFERROR((G34/B34)^(1/5)-1, "")</f>
        <v>8.1784735508972695E-2</v>
      </c>
      <c r="I34" s="977"/>
    </row>
    <row r="35" spans="1:11" x14ac:dyDescent="0.3">
      <c r="A35" s="979" t="s">
        <v>4117</v>
      </c>
      <c r="B35" s="986">
        <f>B5</f>
        <v>2.8555355222362966E-2</v>
      </c>
      <c r="C35" s="986">
        <f>C34/B34-1</f>
        <v>0.11073862220778863</v>
      </c>
      <c r="D35" s="986">
        <f>D34/C34-1</f>
        <v>0.1226862212615738</v>
      </c>
      <c r="E35" s="986">
        <f>E34/D34-1</f>
        <v>0.11031308164743248</v>
      </c>
      <c r="F35" s="986">
        <f>F34/E34-1</f>
        <v>5.7303675023211653E-2</v>
      </c>
      <c r="G35" s="986">
        <f>G34/F34-1</f>
        <v>1.2019267521268029E-2</v>
      </c>
      <c r="H35" s="981"/>
      <c r="I35" s="977"/>
    </row>
    <row r="36" spans="1:11" x14ac:dyDescent="0.3">
      <c r="A36" s="725" t="str">
        <f>A6</f>
        <v>Other</v>
      </c>
      <c r="B36" s="151">
        <f>B6</f>
        <v>1041.2541156802326</v>
      </c>
      <c r="C36" s="151">
        <f t="shared" ref="C36:G37" si="5">C6</f>
        <v>1052.5972772299726</v>
      </c>
      <c r="D36" s="151">
        <f t="shared" si="5"/>
        <v>1119.9096217652796</v>
      </c>
      <c r="E36" s="151">
        <f t="shared" si="5"/>
        <v>1182.7023339321834</v>
      </c>
      <c r="F36" s="151">
        <f t="shared" si="5"/>
        <v>1192.6333344732257</v>
      </c>
      <c r="G36" s="151">
        <f t="shared" si="5"/>
        <v>1153.4901817112848</v>
      </c>
      <c r="H36" s="981"/>
      <c r="I36" s="977"/>
    </row>
    <row r="37" spans="1:11" x14ac:dyDescent="0.3">
      <c r="A37" s="979" t="str">
        <f>A7</f>
        <v>memo: Change y/y</v>
      </c>
      <c r="B37" s="986">
        <f>B7</f>
        <v>1.3514911867702706E-2</v>
      </c>
      <c r="C37" s="986">
        <f t="shared" si="5"/>
        <v>1.0893749545786591E-2</v>
      </c>
      <c r="D37" s="986">
        <f t="shared" si="5"/>
        <v>6.3948811184888266E-2</v>
      </c>
      <c r="E37" s="986">
        <f t="shared" si="5"/>
        <v>5.6069446093270914E-2</v>
      </c>
      <c r="F37" s="986">
        <f t="shared" si="5"/>
        <v>8.3968723626546282E-3</v>
      </c>
      <c r="G37" s="986">
        <f t="shared" si="5"/>
        <v>-3.2820777040606597E-2</v>
      </c>
      <c r="H37" s="144"/>
    </row>
    <row r="38" spans="1:11" x14ac:dyDescent="0.3">
      <c r="A38" s="726" t="s">
        <v>1788</v>
      </c>
      <c r="B38" s="51">
        <f t="shared" ref="B38:G38" si="6">B36+B34</f>
        <v>1887.3753172500001</v>
      </c>
      <c r="C38" s="51">
        <f t="shared" si="6"/>
        <v>1992.4167748823747</v>
      </c>
      <c r="D38" s="51">
        <f t="shared" si="6"/>
        <v>2175.0320222526052</v>
      </c>
      <c r="E38" s="51">
        <f t="shared" si="6"/>
        <v>2354.2185379325024</v>
      </c>
      <c r="F38" s="51">
        <f t="shared" si="6"/>
        <v>2431.2817223120055</v>
      </c>
      <c r="G38" s="51">
        <f t="shared" si="6"/>
        <v>2407.0262158882861</v>
      </c>
      <c r="H38" s="983">
        <f>IFERROR((G38/B38)^(1/5)-1, "")</f>
        <v>4.9843369857202058E-2</v>
      </c>
      <c r="K38" s="50">
        <f>B9</f>
        <v>2.0202874189189313E-2</v>
      </c>
    </row>
    <row r="39" spans="1:11" x14ac:dyDescent="0.3">
      <c r="A39" s="979" t="str">
        <f t="shared" ref="A39:G39" si="7">A9</f>
        <v>memo: Change y/y</v>
      </c>
      <c r="B39" s="986">
        <f t="shared" si="7"/>
        <v>2.0202874189189313E-2</v>
      </c>
      <c r="C39" s="986">
        <f t="shared" si="7"/>
        <v>5.5654779773969487E-2</v>
      </c>
      <c r="D39" s="986">
        <f t="shared" si="7"/>
        <v>9.1655144482013062E-2</v>
      </c>
      <c r="E39" s="986">
        <f t="shared" si="7"/>
        <v>8.2383391989934829E-2</v>
      </c>
      <c r="F39" s="986">
        <f t="shared" si="7"/>
        <v>3.273408272758771E-2</v>
      </c>
      <c r="G39" s="986">
        <f t="shared" si="7"/>
        <v>-9.9764277422584868E-3</v>
      </c>
      <c r="H39" s="144"/>
    </row>
    <row r="40" spans="1:11" x14ac:dyDescent="0.3">
      <c r="A40" s="1"/>
    </row>
    <row r="41" spans="1:11" x14ac:dyDescent="0.3">
      <c r="A41" s="1"/>
    </row>
    <row r="42" spans="1:11" x14ac:dyDescent="0.3">
      <c r="A42" s="964" t="s">
        <v>4127</v>
      </c>
      <c r="B42" s="965"/>
      <c r="C42" s="965"/>
      <c r="D42" s="965"/>
      <c r="E42" s="965"/>
      <c r="F42" s="965"/>
      <c r="G42" s="965"/>
      <c r="H42" s="965"/>
      <c r="I42" s="965"/>
      <c r="J42" s="966"/>
      <c r="K42" s="966"/>
    </row>
    <row r="43" spans="1:11" ht="24" x14ac:dyDescent="0.3">
      <c r="A43" s="493"/>
      <c r="B43" s="967" t="s">
        <v>4112</v>
      </c>
      <c r="C43" s="967" t="s">
        <v>3643</v>
      </c>
      <c r="D43" s="967" t="s">
        <v>4113</v>
      </c>
      <c r="E43" s="967" t="s">
        <v>4114</v>
      </c>
      <c r="F43" s="967" t="s">
        <v>3372</v>
      </c>
      <c r="G43" s="967" t="s">
        <v>3377</v>
      </c>
      <c r="H43" s="968" t="s">
        <v>4115</v>
      </c>
    </row>
    <row r="44" spans="1:11" x14ac:dyDescent="0.3">
      <c r="A44" s="144"/>
      <c r="B44" s="144"/>
      <c r="C44" s="144"/>
      <c r="D44" s="144"/>
      <c r="E44" s="144"/>
      <c r="F44" s="144"/>
      <c r="G44" s="144"/>
      <c r="H44" s="144"/>
    </row>
    <row r="45" spans="1:11" x14ac:dyDescent="0.3">
      <c r="A45" s="725" t="s">
        <v>2350</v>
      </c>
      <c r="B45" s="45">
        <f>B38</f>
        <v>1887.3753172500001</v>
      </c>
      <c r="C45" s="45">
        <f t="shared" ref="C45:G46" si="8">C38</f>
        <v>1992.4167748823747</v>
      </c>
      <c r="D45" s="45">
        <f t="shared" si="8"/>
        <v>2175.0320222526052</v>
      </c>
      <c r="E45" s="45">
        <f t="shared" si="8"/>
        <v>2354.2185379325024</v>
      </c>
      <c r="F45" s="45">
        <f t="shared" si="8"/>
        <v>2431.2817223120055</v>
      </c>
      <c r="G45" s="45">
        <f t="shared" si="8"/>
        <v>2407.0262158882861</v>
      </c>
      <c r="H45" s="988">
        <f>IFERROR((G45/B45)^(1/5)-1, "")</f>
        <v>4.9843369857202058E-2</v>
      </c>
    </row>
    <row r="46" spans="1:11" x14ac:dyDescent="0.3">
      <c r="A46" s="979" t="s">
        <v>4117</v>
      </c>
      <c r="B46" s="986">
        <f>B39</f>
        <v>2.0202874189189313E-2</v>
      </c>
      <c r="C46" s="986">
        <f t="shared" si="8"/>
        <v>5.5654779773969487E-2</v>
      </c>
      <c r="D46" s="986">
        <f t="shared" si="8"/>
        <v>9.1655144482013062E-2</v>
      </c>
      <c r="E46" s="986">
        <f t="shared" si="8"/>
        <v>8.2383391989934829E-2</v>
      </c>
      <c r="F46" s="986">
        <f t="shared" si="8"/>
        <v>3.273408272758771E-2</v>
      </c>
      <c r="G46" s="986">
        <f t="shared" si="8"/>
        <v>-9.9764277422584868E-3</v>
      </c>
      <c r="H46" s="144"/>
    </row>
    <row r="47" spans="1:11" x14ac:dyDescent="0.3">
      <c r="A47" s="725" t="s">
        <v>1436</v>
      </c>
      <c r="B47" s="45">
        <f t="shared" ref="B47:G48" si="9">B10</f>
        <v>712.62468275000003</v>
      </c>
      <c r="C47" s="45">
        <f t="shared" si="9"/>
        <v>572.44560195209897</v>
      </c>
      <c r="D47" s="45">
        <f t="shared" si="9"/>
        <v>524.963352919822</v>
      </c>
      <c r="E47" s="45">
        <f t="shared" si="9"/>
        <v>502.81867180215738</v>
      </c>
      <c r="F47" s="45">
        <f t="shared" si="9"/>
        <v>482.76069555322078</v>
      </c>
      <c r="G47" s="45">
        <f t="shared" si="9"/>
        <v>464.52183161970913</v>
      </c>
      <c r="H47" s="988">
        <f>IFERROR((G47/B47)^(1/5)-1, "")</f>
        <v>-8.2028804726722804E-2</v>
      </c>
    </row>
    <row r="48" spans="1:11" x14ac:dyDescent="0.3">
      <c r="A48" s="979" t="s">
        <v>4117</v>
      </c>
      <c r="B48" s="986">
        <f t="shared" si="9"/>
        <v>-4.3456801677852264E-2</v>
      </c>
      <c r="C48" s="986">
        <f t="shared" si="9"/>
        <v>-0.19670814692658922</v>
      </c>
      <c r="D48" s="986">
        <f t="shared" si="9"/>
        <v>-8.2946307684708454E-2</v>
      </c>
      <c r="E48" s="986">
        <f t="shared" si="9"/>
        <v>-4.2183289546778635E-2</v>
      </c>
      <c r="F48" s="986">
        <f t="shared" si="9"/>
        <v>-3.9891072813677764E-2</v>
      </c>
      <c r="G48" s="986">
        <f t="shared" si="9"/>
        <v>-3.778034148494791E-2</v>
      </c>
      <c r="H48" s="144"/>
    </row>
    <row r="49" spans="1:11" x14ac:dyDescent="0.3">
      <c r="A49" s="726" t="s">
        <v>19</v>
      </c>
      <c r="B49" s="51">
        <f t="shared" ref="B49:G49" si="10">B47+B45</f>
        <v>2600</v>
      </c>
      <c r="C49" s="51">
        <f t="shared" si="10"/>
        <v>2564.8623768344737</v>
      </c>
      <c r="D49" s="51">
        <f t="shared" si="10"/>
        <v>2699.995375172427</v>
      </c>
      <c r="E49" s="51">
        <f t="shared" si="10"/>
        <v>2857.0372097346599</v>
      </c>
      <c r="F49" s="51">
        <f t="shared" si="10"/>
        <v>2914.0424178652265</v>
      </c>
      <c r="G49" s="51">
        <f t="shared" si="10"/>
        <v>2871.5480475079953</v>
      </c>
      <c r="H49" s="144"/>
    </row>
    <row r="50" spans="1:11" x14ac:dyDescent="0.3">
      <c r="A50" s="979" t="s">
        <v>4117</v>
      </c>
      <c r="B50" s="986">
        <f t="shared" ref="B50:G50" si="11">B13</f>
        <v>1.9267822736031004E-3</v>
      </c>
      <c r="C50" s="986">
        <f t="shared" si="11"/>
        <v>-1.3514470448279359E-2</v>
      </c>
      <c r="D50" s="986">
        <f t="shared" si="11"/>
        <v>5.268625699314633E-2</v>
      </c>
      <c r="E50" s="986">
        <f t="shared" si="11"/>
        <v>5.816374205907815E-2</v>
      </c>
      <c r="F50" s="986">
        <f t="shared" si="11"/>
        <v>1.9952560623409221E-2</v>
      </c>
      <c r="G50" s="986">
        <f t="shared" si="11"/>
        <v>-1.4582619009493314E-2</v>
      </c>
      <c r="H50" s="144"/>
    </row>
    <row r="51" spans="1:11" x14ac:dyDescent="0.3">
      <c r="A51" s="979"/>
      <c r="B51" s="986"/>
      <c r="C51" s="986"/>
      <c r="D51" s="986"/>
      <c r="E51" s="986"/>
      <c r="F51" s="986"/>
      <c r="G51" s="986"/>
      <c r="H51" s="144"/>
    </row>
    <row r="52" spans="1:11" x14ac:dyDescent="0.3">
      <c r="A52" s="726" t="s">
        <v>395</v>
      </c>
      <c r="B52" s="51">
        <f t="shared" ref="B52:G52" si="12">B49-B56</f>
        <v>1600</v>
      </c>
      <c r="C52" s="51">
        <f t="shared" si="12"/>
        <v>1520.0000000000002</v>
      </c>
      <c r="D52" s="51">
        <f t="shared" si="12"/>
        <v>1489.6</v>
      </c>
      <c r="E52" s="51">
        <f t="shared" si="12"/>
        <v>1470.98</v>
      </c>
      <c r="F52" s="51">
        <f t="shared" si="12"/>
        <v>1463.6251</v>
      </c>
      <c r="G52" s="51">
        <f t="shared" si="12"/>
        <v>1470.9432254999999</v>
      </c>
      <c r="H52" s="144"/>
      <c r="K52" s="50">
        <f>K12-K56</f>
        <v>1760.0000000000005</v>
      </c>
    </row>
    <row r="53" spans="1:11" x14ac:dyDescent="0.3">
      <c r="A53" s="979" t="s">
        <v>4117</v>
      </c>
      <c r="B53" s="986">
        <f>B52/K52-1</f>
        <v>-9.0909090909091161E-2</v>
      </c>
      <c r="C53" s="986">
        <f>C52/B52-1</f>
        <v>-4.9999999999999822E-2</v>
      </c>
      <c r="D53" s="986">
        <f>D52/C52-1</f>
        <v>-2.000000000000024E-2</v>
      </c>
      <c r="E53" s="986">
        <f>E52/D52-1</f>
        <v>-1.2499999999999956E-2</v>
      </c>
      <c r="F53" s="986">
        <f>F52/E52-1</f>
        <v>-5.0000000000000044E-3</v>
      </c>
      <c r="G53" s="986">
        <f>G52/F52-1</f>
        <v>4.9999999999998934E-3</v>
      </c>
      <c r="H53" s="144"/>
    </row>
    <row r="54" spans="1:11" x14ac:dyDescent="0.3">
      <c r="A54" s="979" t="s">
        <v>1417</v>
      </c>
      <c r="B54" s="986">
        <f t="shared" ref="B54:G54" si="13">B52/B49</f>
        <v>0.61538461538461542</v>
      </c>
      <c r="C54" s="986">
        <f t="shared" si="13"/>
        <v>0.59262438941303675</v>
      </c>
      <c r="D54" s="986">
        <f t="shared" si="13"/>
        <v>0.55170464871810054</v>
      </c>
      <c r="E54" s="986">
        <f t="shared" si="13"/>
        <v>0.51486203784395712</v>
      </c>
      <c r="F54" s="986">
        <f t="shared" si="13"/>
        <v>0.50226623024664985</v>
      </c>
      <c r="G54" s="986">
        <f t="shared" si="13"/>
        <v>0.51224747110762192</v>
      </c>
      <c r="H54" s="144"/>
    </row>
    <row r="55" spans="1:11" x14ac:dyDescent="0.3">
      <c r="A55" s="144"/>
      <c r="B55" s="144"/>
      <c r="C55" s="144"/>
      <c r="D55" s="144"/>
      <c r="E55" s="144"/>
      <c r="F55" s="144"/>
      <c r="G55" s="144"/>
      <c r="H55" s="144"/>
    </row>
    <row r="56" spans="1:11" x14ac:dyDescent="0.3">
      <c r="A56" s="726" t="s">
        <v>44</v>
      </c>
      <c r="B56" s="51">
        <f>'Segment Model'!ED172</f>
        <v>1000</v>
      </c>
      <c r="C56" s="51">
        <f>'Segment Model'!EI172</f>
        <v>1044.8623768344735</v>
      </c>
      <c r="D56" s="51">
        <f>'Segment Model'!EJ172</f>
        <v>1210.3953751724271</v>
      </c>
      <c r="E56" s="51">
        <f>'Segment Model'!EK172</f>
        <v>1386.0572097346599</v>
      </c>
      <c r="F56" s="51">
        <f>'Segment Model'!EL172</f>
        <v>1450.4173178652266</v>
      </c>
      <c r="G56" s="51">
        <f>'Segment Model'!EM172</f>
        <v>1400.6048220079954</v>
      </c>
      <c r="H56" s="980">
        <f>IFERROR((G56/B56)^(1/5)-1, "")</f>
        <v>6.9702777458164666E-2</v>
      </c>
      <c r="K56" s="59">
        <f>'Segment Model'!DY172</f>
        <v>834.99999999999966</v>
      </c>
    </row>
    <row r="57" spans="1:11" x14ac:dyDescent="0.3">
      <c r="A57" s="979" t="s">
        <v>4117</v>
      </c>
      <c r="B57" s="986">
        <f>B56/K56-1</f>
        <v>0.19760479041916224</v>
      </c>
      <c r="C57" s="986">
        <f>C56/B56-1</f>
        <v>4.4862376834473583E-2</v>
      </c>
      <c r="D57" s="986">
        <f>D56/C56-1</f>
        <v>0.15842564725074526</v>
      </c>
      <c r="E57" s="986">
        <f>E56/D56-1</f>
        <v>0.14512764850676074</v>
      </c>
      <c r="F57" s="986">
        <f>F56/E56-1</f>
        <v>4.6433947804281006E-2</v>
      </c>
      <c r="G57" s="986">
        <f>G56/F56-1</f>
        <v>-3.4343561155590008E-2</v>
      </c>
      <c r="H57" s="144"/>
    </row>
    <row r="58" spans="1:11" x14ac:dyDescent="0.3">
      <c r="A58" s="979" t="s">
        <v>2418</v>
      </c>
      <c r="B58" s="986">
        <f t="shared" ref="B58:G58" si="14">B56/B49</f>
        <v>0.38461538461538464</v>
      </c>
      <c r="C58" s="986">
        <f t="shared" si="14"/>
        <v>0.4073756105869632</v>
      </c>
      <c r="D58" s="986">
        <f t="shared" si="14"/>
        <v>0.44829535128189946</v>
      </c>
      <c r="E58" s="986">
        <f t="shared" si="14"/>
        <v>0.48513796215604293</v>
      </c>
      <c r="F58" s="986">
        <f t="shared" si="14"/>
        <v>0.49773376975335021</v>
      </c>
      <c r="G58" s="986">
        <f t="shared" si="14"/>
        <v>0.48775252889237808</v>
      </c>
      <c r="H58" s="980">
        <f>(G58-B58)/5</f>
        <v>2.0627428855398689E-2</v>
      </c>
    </row>
    <row r="60" spans="1:11" x14ac:dyDescent="0.3">
      <c r="A60" s="964" t="s">
        <v>4128</v>
      </c>
      <c r="B60" s="965"/>
      <c r="C60" s="965"/>
      <c r="D60" s="965"/>
      <c r="E60" s="965"/>
      <c r="F60" s="965"/>
      <c r="G60" s="965"/>
      <c r="H60" s="965"/>
      <c r="I60" s="965"/>
      <c r="J60" s="966"/>
      <c r="K60" s="966"/>
    </row>
    <row r="61" spans="1:11" ht="24" x14ac:dyDescent="0.3">
      <c r="A61" s="144"/>
      <c r="B61" s="967" t="s">
        <v>4112</v>
      </c>
      <c r="C61" s="967" t="s">
        <v>3643</v>
      </c>
      <c r="D61" s="967" t="s">
        <v>4113</v>
      </c>
      <c r="E61" s="967" t="s">
        <v>4114</v>
      </c>
      <c r="F61" s="967" t="s">
        <v>3372</v>
      </c>
      <c r="G61" s="967" t="s">
        <v>3377</v>
      </c>
      <c r="H61" s="968" t="s">
        <v>4115</v>
      </c>
      <c r="I61" s="969"/>
      <c r="K61" s="42" t="s">
        <v>4116</v>
      </c>
    </row>
    <row r="62" spans="1:11" x14ac:dyDescent="0.3">
      <c r="A62" s="970" t="s">
        <v>541</v>
      </c>
      <c r="B62" s="151">
        <f>'Segment Model'!ED47+'Segment Model'!ED42</f>
        <v>705.37309343023242</v>
      </c>
      <c r="C62" s="151">
        <f>'Segment Model'!EI47+'Segment Model'!EI42</f>
        <v>702.88918952581014</v>
      </c>
      <c r="D62" s="151">
        <f>'Segment Model'!EJ47+'Segment Model'!EJ42</f>
        <v>705.521499017986</v>
      </c>
      <c r="E62" s="151">
        <f>'Segment Model'!EK47+'Segment Model'!EK42</f>
        <v>791.33540367034379</v>
      </c>
      <c r="F62" s="151">
        <f>'Segment Model'!EL47+'Segment Model'!EL42</f>
        <v>988.36454521717042</v>
      </c>
      <c r="G62" s="151">
        <f>'Segment Model'!EM47+'Segment Model'!EM42</f>
        <v>1316.2167894924755</v>
      </c>
      <c r="H62" s="971">
        <f>(G62/B62)^(1/5)-1</f>
        <v>0.13287425494051397</v>
      </c>
      <c r="I62" s="59"/>
      <c r="K62" s="59">
        <f>'Segment Model'!DY47+'Segment Model'!DY42</f>
        <v>735.35070000000007</v>
      </c>
    </row>
    <row r="63" spans="1:11" x14ac:dyDescent="0.3">
      <c r="A63" s="972" t="s">
        <v>4117</v>
      </c>
      <c r="B63" s="973">
        <f>B62/K62-1</f>
        <v>-4.076640787826491E-2</v>
      </c>
      <c r="C63" s="973">
        <f>C62/B62-1</f>
        <v>-3.521404385221194E-3</v>
      </c>
      <c r="D63" s="973">
        <f>D62/C62-1</f>
        <v>3.7449850295061538E-3</v>
      </c>
      <c r="E63" s="973">
        <f>E62/D62-1</f>
        <v>0.12163187765617622</v>
      </c>
      <c r="F63" s="973">
        <f>F62/E62-1</f>
        <v>0.24898309949608355</v>
      </c>
      <c r="G63" s="973">
        <f>G62/F62-1</f>
        <v>0.33171186265414554</v>
      </c>
      <c r="H63" s="971"/>
      <c r="I63" s="59"/>
      <c r="K63" s="59"/>
    </row>
    <row r="64" spans="1:11" x14ac:dyDescent="0.3">
      <c r="A64" s="970" t="s">
        <v>34</v>
      </c>
      <c r="B64" s="151">
        <f>+'Segment Model'!ED48+'Segment Model'!ED49</f>
        <v>891.01302733829766</v>
      </c>
      <c r="C64" s="151">
        <f>+'Segment Model'!EI48+'Segment Model'!EI49</f>
        <v>591.43266173763504</v>
      </c>
      <c r="D64" s="151">
        <f>+'Segment Model'!EJ48+'Segment Model'!EJ49</f>
        <v>521.87690367251707</v>
      </c>
      <c r="E64" s="151">
        <f>+'Segment Model'!EK48+'Segment Model'!EK49</f>
        <v>459.41573299392019</v>
      </c>
      <c r="F64" s="151">
        <f>+'Segment Model'!EL48+'Segment Model'!EL49</f>
        <v>397.72278193062715</v>
      </c>
      <c r="G64" s="151">
        <f>+'Segment Model'!EM48+'Segment Model'!EM49</f>
        <v>338.26650247053215</v>
      </c>
      <c r="H64" s="971">
        <f>(G64/B64)^(1/5)-1</f>
        <v>-0.1760990799403237</v>
      </c>
      <c r="I64" s="59"/>
      <c r="K64" s="59">
        <f>+'Segment Model'!$DY$48+'Segment Model'!$DY$49</f>
        <v>1245.6493</v>
      </c>
    </row>
    <row r="65" spans="1:11" x14ac:dyDescent="0.3">
      <c r="A65" s="972" t="s">
        <v>4117</v>
      </c>
      <c r="B65" s="973">
        <f>B64/K64-1</f>
        <v>-0.28469993332931054</v>
      </c>
      <c r="C65" s="973">
        <f>C64/B64-1</f>
        <v>-0.33622445060718364</v>
      </c>
      <c r="D65" s="973">
        <f>D64/C64-1</f>
        <v>-0.11760554085863717</v>
      </c>
      <c r="E65" s="973">
        <f>E64/D64-1</f>
        <v>-0.11968563896782813</v>
      </c>
      <c r="F65" s="973">
        <f>F64/E64-1</f>
        <v>-0.1342856733731177</v>
      </c>
      <c r="G65" s="973">
        <f>G64/F64-1</f>
        <v>-0.14949176200438441</v>
      </c>
      <c r="H65" s="971"/>
      <c r="I65" s="59"/>
      <c r="K65" s="59"/>
    </row>
    <row r="66" spans="1:11" x14ac:dyDescent="0.3">
      <c r="A66" s="974" t="s">
        <v>38</v>
      </c>
      <c r="B66" s="51">
        <f>'Segment Model'!ED50+'Segment Model'!ED45</f>
        <v>1596.6246827499999</v>
      </c>
      <c r="C66" s="51">
        <f>'Segment Model'!EI50+'Segment Model'!EI45</f>
        <v>1297.3326634277157</v>
      </c>
      <c r="D66" s="51">
        <f>'Segment Model'!EJ50+'Segment Model'!EJ45</f>
        <v>1244.9801163685693</v>
      </c>
      <c r="E66" s="51">
        <f>'Segment Model'!EK50+'Segment Model'!EK45</f>
        <v>1299.8928351899867</v>
      </c>
      <c r="F66" s="51">
        <f>'Segment Model'!EL50+'Segment Model'!EL45</f>
        <v>1487.9263135100609</v>
      </c>
      <c r="G66" s="51">
        <f>'Segment Model'!EM50+'Segment Model'!EM45</f>
        <v>1828.2077828834567</v>
      </c>
      <c r="H66" s="975">
        <f>(G66/B66)^(1/5)-1</f>
        <v>2.7459099889288519E-2</v>
      </c>
      <c r="I66" s="58"/>
      <c r="K66" s="50">
        <f>'Segment Model'!DY50+'Segment Model'!DY45</f>
        <v>1981.0000000000002</v>
      </c>
    </row>
    <row r="67" spans="1:11" x14ac:dyDescent="0.3">
      <c r="A67" s="976" t="s">
        <v>4117</v>
      </c>
      <c r="B67" s="973">
        <f>B66/K66-1</f>
        <v>-0.19403095267541659</v>
      </c>
      <c r="C67" s="973">
        <f>C66/B66-1</f>
        <v>-0.1874529578277524</v>
      </c>
      <c r="D67" s="973">
        <f>D66/C66-1</f>
        <v>-4.0353988252191608E-2</v>
      </c>
      <c r="E67" s="973">
        <f>E66/D66-1</f>
        <v>4.4107305891430748E-2</v>
      </c>
      <c r="F67" s="973">
        <f>F66/E66-1</f>
        <v>0.14465306156764224</v>
      </c>
      <c r="G67" s="973">
        <f>G66/F66-1</f>
        <v>0.22869510827499373</v>
      </c>
      <c r="H67" s="973"/>
      <c r="I67" s="977"/>
      <c r="K67" s="59"/>
    </row>
    <row r="68" spans="1:11" x14ac:dyDescent="0.3">
      <c r="A68" s="978" t="s">
        <v>4118</v>
      </c>
      <c r="B68" s="151">
        <f t="shared" ref="B68:G68" si="15">+B70-B66</f>
        <v>2400.3753172500001</v>
      </c>
      <c r="C68" s="151">
        <f t="shared" si="15"/>
        <v>2244.8755854144683</v>
      </c>
      <c r="D68" s="151">
        <f t="shared" si="15"/>
        <v>2123.3240732600361</v>
      </c>
      <c r="E68" s="151">
        <f t="shared" si="15"/>
        <v>2026.8906504912266</v>
      </c>
      <c r="F68" s="151">
        <f t="shared" si="15"/>
        <v>1952.4437656101463</v>
      </c>
      <c r="G68" s="151">
        <f t="shared" si="15"/>
        <v>1898.5747041568002</v>
      </c>
      <c r="H68" s="971">
        <f>IFERROR((G68/B68)^(1/5)-1, "")</f>
        <v>-4.5821322096737505E-2</v>
      </c>
      <c r="I68" s="59"/>
      <c r="K68" s="59">
        <f>K70-K66</f>
        <v>2581</v>
      </c>
    </row>
    <row r="69" spans="1:11" x14ac:dyDescent="0.3">
      <c r="A69" s="976" t="s">
        <v>4117</v>
      </c>
      <c r="B69" s="973">
        <f>B68/K68-1</f>
        <v>-6.9982441979852705E-2</v>
      </c>
      <c r="C69" s="973">
        <f>C68/B68-1</f>
        <v>-6.4781424270634713E-2</v>
      </c>
      <c r="D69" s="973">
        <f>D68/C68-1</f>
        <v>-5.4146213244147479E-2</v>
      </c>
      <c r="E69" s="973">
        <f>E68/D68-1</f>
        <v>-4.5416252744099994E-2</v>
      </c>
      <c r="F69" s="973">
        <f>F68/E68-1</f>
        <v>-3.6729601008834711E-2</v>
      </c>
      <c r="G69" s="973">
        <f>G68/F68-1</f>
        <v>-2.7590582838892597E-2</v>
      </c>
      <c r="H69" s="971"/>
      <c r="I69" s="59"/>
      <c r="K69" s="59"/>
    </row>
    <row r="70" spans="1:11" x14ac:dyDescent="0.3">
      <c r="A70" s="726" t="s">
        <v>35</v>
      </c>
      <c r="B70" s="51">
        <f>'Segment Model'!$ED$57</f>
        <v>3997</v>
      </c>
      <c r="C70" s="51">
        <f>'Segment Model'!$EI$57</f>
        <v>3542.2082488421843</v>
      </c>
      <c r="D70" s="51">
        <f>'Segment Model'!$EJ$57</f>
        <v>3368.3041896286054</v>
      </c>
      <c r="E70" s="51">
        <f>'Segment Model'!$EK$57</f>
        <v>3326.7834856812133</v>
      </c>
      <c r="F70" s="51">
        <f>'Segment Model'!$EL$57</f>
        <v>3440.3700791202073</v>
      </c>
      <c r="G70" s="51">
        <f>'Segment Model'!$EM$57</f>
        <v>3726.7824870402569</v>
      </c>
      <c r="H70" s="975">
        <f>(G70/B70)^(1/5)-1</f>
        <v>-1.3902223479790199E-2</v>
      </c>
      <c r="I70" s="58"/>
      <c r="K70" s="50">
        <f>'Segment Model'!$DY$57</f>
        <v>4562</v>
      </c>
    </row>
    <row r="71" spans="1:11" x14ac:dyDescent="0.3">
      <c r="A71" s="979" t="s">
        <v>4117</v>
      </c>
      <c r="B71" s="973">
        <f>B70/K70-1</f>
        <v>-0.12384918895221397</v>
      </c>
      <c r="C71" s="973">
        <f>C70/B70-1</f>
        <v>-0.11378327524588838</v>
      </c>
      <c r="D71" s="973">
        <f>D70/C70-1</f>
        <v>-4.9094815153914673E-2</v>
      </c>
      <c r="E71" s="973">
        <f>E70/D70-1</f>
        <v>-1.23268866497388E-2</v>
      </c>
      <c r="F71" s="973">
        <f>F70/E70-1</f>
        <v>3.4143067599043064E-2</v>
      </c>
      <c r="G71" s="973">
        <f>G70/F70-1</f>
        <v>8.3250464727123941E-2</v>
      </c>
      <c r="H71" s="973"/>
      <c r="I71" s="977"/>
      <c r="K71" s="59"/>
    </row>
    <row r="72" spans="1:11" x14ac:dyDescent="0.3">
      <c r="A72" s="978" t="s">
        <v>36</v>
      </c>
      <c r="B72" s="151">
        <f>'Segment Model'!$ED$58</f>
        <v>366</v>
      </c>
      <c r="C72" s="151">
        <f>'Segment Model'!$EI$58</f>
        <v>332</v>
      </c>
      <c r="D72" s="151">
        <f>'Segment Model'!$EJ$58</f>
        <v>49.800000000000004</v>
      </c>
      <c r="E72" s="151">
        <f>'Segment Model'!$EK$58</f>
        <v>19.920000000000002</v>
      </c>
      <c r="F72" s="151">
        <f>'Segment Model'!$EL$58</f>
        <v>19.920000000000002</v>
      </c>
      <c r="G72" s="151">
        <f>'Segment Model'!$EM$58</f>
        <v>19.920000000000002</v>
      </c>
      <c r="H72" s="971">
        <f>(G72/B72)^(1/5)-1</f>
        <v>-0.44132189710892233</v>
      </c>
      <c r="I72" s="59"/>
      <c r="K72" s="59">
        <f>'Segment Model'!$DY$58</f>
        <v>345</v>
      </c>
    </row>
    <row r="73" spans="1:11" x14ac:dyDescent="0.3">
      <c r="A73" s="976" t="s">
        <v>4117</v>
      </c>
      <c r="B73" s="973">
        <f>IFERROR(B72/K72-1,"")</f>
        <v>6.0869565217391397E-2</v>
      </c>
      <c r="C73" s="973">
        <f>IFERROR(C72/B72-1, "")</f>
        <v>-9.289617486338797E-2</v>
      </c>
      <c r="D73" s="973">
        <f>IFERROR(D72/C72-1, "")</f>
        <v>-0.85</v>
      </c>
      <c r="E73" s="973">
        <f>IFERROR(E72/D72-1, "")</f>
        <v>-0.6</v>
      </c>
      <c r="F73" s="973">
        <f>IFERROR(F72/E72-1, "")</f>
        <v>0</v>
      </c>
      <c r="G73" s="973">
        <f>IFERROR(G72/F72-1, "")</f>
        <v>0</v>
      </c>
      <c r="H73" s="971"/>
      <c r="I73" s="59"/>
      <c r="K73" s="59"/>
    </row>
    <row r="74" spans="1:11" x14ac:dyDescent="0.3">
      <c r="A74" s="726" t="s">
        <v>19</v>
      </c>
      <c r="B74" s="51">
        <f t="shared" ref="B74:G74" si="16">+B70+B72</f>
        <v>4363</v>
      </c>
      <c r="C74" s="51">
        <f t="shared" si="16"/>
        <v>3874.2082488421843</v>
      </c>
      <c r="D74" s="51">
        <f t="shared" si="16"/>
        <v>3418.1041896286056</v>
      </c>
      <c r="E74" s="51">
        <f t="shared" si="16"/>
        <v>3346.7034856812134</v>
      </c>
      <c r="F74" s="51">
        <f t="shared" si="16"/>
        <v>3460.2900791202073</v>
      </c>
      <c r="G74" s="51">
        <f t="shared" si="16"/>
        <v>3746.702487040257</v>
      </c>
      <c r="H74" s="975">
        <f>(G74/B74)^(1/5)-1</f>
        <v>-2.999762162852726E-2</v>
      </c>
      <c r="I74" s="58"/>
      <c r="K74" s="50">
        <f>+K70+K72</f>
        <v>4907</v>
      </c>
    </row>
    <row r="75" spans="1:11" x14ac:dyDescent="0.3">
      <c r="A75" s="979" t="s">
        <v>4117</v>
      </c>
      <c r="B75" s="973">
        <f>B74/K74-1</f>
        <v>-0.11086203382922355</v>
      </c>
      <c r="C75" s="973">
        <f>C74/B74-1</f>
        <v>-0.11203111417781708</v>
      </c>
      <c r="D75" s="973">
        <f>D74/C74-1</f>
        <v>-0.11772832793639487</v>
      </c>
      <c r="E75" s="973">
        <f>E74/D74-1</f>
        <v>-2.0888978213139286E-2</v>
      </c>
      <c r="F75" s="973">
        <f>F74/E74-1</f>
        <v>3.3939843767149203E-2</v>
      </c>
      <c r="G75" s="973">
        <f>G74/F74-1</f>
        <v>8.2771213213682637E-2</v>
      </c>
      <c r="H75" s="973"/>
      <c r="I75" s="977"/>
      <c r="K75" s="59"/>
    </row>
    <row r="76" spans="1:11" x14ac:dyDescent="0.3">
      <c r="A76" s="33"/>
      <c r="B76" s="977"/>
      <c r="C76" s="977"/>
      <c r="D76" s="977"/>
      <c r="E76" s="977"/>
      <c r="F76" s="977"/>
      <c r="G76" s="977"/>
      <c r="H76" s="977"/>
      <c r="I76" s="977"/>
      <c r="K76" s="59"/>
    </row>
    <row r="77" spans="1:11" x14ac:dyDescent="0.3">
      <c r="A77" s="964" t="s">
        <v>4129</v>
      </c>
      <c r="B77" s="965"/>
      <c r="C77" s="965"/>
      <c r="D77" s="965"/>
      <c r="E77" s="965"/>
      <c r="F77" s="965"/>
      <c r="G77" s="965"/>
      <c r="H77" s="965"/>
      <c r="I77" s="965"/>
      <c r="J77" s="966"/>
      <c r="K77" s="966"/>
    </row>
    <row r="78" spans="1:11" ht="24" x14ac:dyDescent="0.3">
      <c r="A78" s="493"/>
      <c r="B78" s="967" t="s">
        <v>4112</v>
      </c>
      <c r="C78" s="967" t="s">
        <v>3643</v>
      </c>
      <c r="D78" s="967" t="s">
        <v>4113</v>
      </c>
      <c r="E78" s="967" t="s">
        <v>4114</v>
      </c>
      <c r="F78" s="967" t="s">
        <v>3372</v>
      </c>
      <c r="G78" s="967" t="s">
        <v>3377</v>
      </c>
      <c r="H78" s="968" t="s">
        <v>4115</v>
      </c>
      <c r="I78" s="59"/>
    </row>
    <row r="79" spans="1:11" x14ac:dyDescent="0.3">
      <c r="A79" s="144"/>
      <c r="B79" s="151"/>
      <c r="C79" s="151"/>
      <c r="D79" s="151"/>
      <c r="E79" s="151"/>
      <c r="F79" s="151"/>
      <c r="G79" s="151"/>
      <c r="H79" s="151"/>
      <c r="I79" s="59"/>
    </row>
    <row r="80" spans="1:11" x14ac:dyDescent="0.3">
      <c r="A80" s="725" t="s">
        <v>3690</v>
      </c>
      <c r="B80" s="151">
        <f>'Segment Model'!ED195</f>
        <v>86</v>
      </c>
      <c r="C80" s="151">
        <f>'Segment Model'!EI195</f>
        <v>686</v>
      </c>
      <c r="D80" s="151">
        <f>'Segment Model'!EJ195</f>
        <v>1686</v>
      </c>
      <c r="E80" s="151">
        <f>'Segment Model'!EK195</f>
        <v>3286</v>
      </c>
      <c r="F80" s="151">
        <f>'Segment Model'!EL195</f>
        <v>4986</v>
      </c>
      <c r="G80" s="151">
        <f>'Segment Model'!EM195</f>
        <v>6686</v>
      </c>
      <c r="H80" s="980">
        <f>(G80/B80)^(1/5)-1</f>
        <v>1.3885458603506713</v>
      </c>
      <c r="I80" s="59"/>
      <c r="K80" s="59">
        <f>'Segment Model'!DY195</f>
        <v>9</v>
      </c>
    </row>
    <row r="81" spans="1:11" x14ac:dyDescent="0.3">
      <c r="A81" s="725" t="s">
        <v>4130</v>
      </c>
      <c r="B81" s="151">
        <f t="shared" ref="B81:G81" si="17">B82-B80</f>
        <v>13914</v>
      </c>
      <c r="C81" s="151">
        <f t="shared" si="17"/>
        <v>13314</v>
      </c>
      <c r="D81" s="151">
        <f t="shared" si="17"/>
        <v>12314</v>
      </c>
      <c r="E81" s="151">
        <f t="shared" si="17"/>
        <v>10714</v>
      </c>
      <c r="F81" s="151">
        <f t="shared" si="17"/>
        <v>9014</v>
      </c>
      <c r="G81" s="151">
        <f t="shared" si="17"/>
        <v>7314</v>
      </c>
      <c r="H81" s="980">
        <f>(G81/B81)^(1/5)-1</f>
        <v>-0.12069287672462758</v>
      </c>
      <c r="I81" s="59"/>
      <c r="K81" s="59"/>
    </row>
    <row r="82" spans="1:11" x14ac:dyDescent="0.3">
      <c r="A82" s="726" t="s">
        <v>2438</v>
      </c>
      <c r="B82" s="51">
        <v>14000</v>
      </c>
      <c r="C82" s="51">
        <v>14000</v>
      </c>
      <c r="D82" s="51">
        <v>14000</v>
      </c>
      <c r="E82" s="51">
        <v>14000</v>
      </c>
      <c r="F82" s="51">
        <v>14000</v>
      </c>
      <c r="G82" s="51">
        <v>14000</v>
      </c>
      <c r="H82" s="983">
        <f>(G82/B82)^(1/5)-1</f>
        <v>0</v>
      </c>
      <c r="I82" s="59"/>
    </row>
    <row r="83" spans="1:11" x14ac:dyDescent="0.3">
      <c r="A83" s="979" t="s">
        <v>4131</v>
      </c>
      <c r="B83" s="982">
        <f>B80-K80</f>
        <v>77</v>
      </c>
      <c r="C83" s="982">
        <f>C80-B80</f>
        <v>600</v>
      </c>
      <c r="D83" s="982">
        <f>D80-C80</f>
        <v>1000</v>
      </c>
      <c r="E83" s="982">
        <f>E80-D80</f>
        <v>1600</v>
      </c>
      <c r="F83" s="982">
        <f>F80-E80</f>
        <v>1700</v>
      </c>
      <c r="G83" s="982">
        <f>G80-F80</f>
        <v>1700</v>
      </c>
      <c r="H83" s="144"/>
      <c r="I83" s="58"/>
    </row>
    <row r="84" spans="1:11" x14ac:dyDescent="0.3">
      <c r="A84" s="725" t="s">
        <v>4132</v>
      </c>
      <c r="B84" s="989">
        <f t="shared" ref="B84:G84" si="18">+B80/B82</f>
        <v>6.1428571428571426E-3</v>
      </c>
      <c r="C84" s="989">
        <f t="shared" si="18"/>
        <v>4.9000000000000002E-2</v>
      </c>
      <c r="D84" s="989">
        <f t="shared" si="18"/>
        <v>0.12042857142857143</v>
      </c>
      <c r="E84" s="989">
        <f t="shared" si="18"/>
        <v>0.23471428571428571</v>
      </c>
      <c r="F84" s="989">
        <f t="shared" si="18"/>
        <v>0.35614285714285715</v>
      </c>
      <c r="G84" s="989">
        <f t="shared" si="18"/>
        <v>0.47757142857142859</v>
      </c>
      <c r="H84" s="151"/>
      <c r="I84" s="58"/>
    </row>
    <row r="85" spans="1:11" x14ac:dyDescent="0.3">
      <c r="A85" s="726"/>
      <c r="B85" s="151"/>
      <c r="C85" s="151"/>
      <c r="D85" s="151"/>
      <c r="E85" s="151"/>
      <c r="F85" s="151"/>
      <c r="G85" s="151"/>
      <c r="H85" s="151"/>
      <c r="I85" s="977"/>
    </row>
    <row r="86" spans="1:11" x14ac:dyDescent="0.3">
      <c r="A86" s="726" t="s">
        <v>4133</v>
      </c>
      <c r="B86" s="51">
        <f>'Segment Model'!ED208</f>
        <v>5.0999999999999996</v>
      </c>
      <c r="C86" s="51">
        <f>'Segment Model'!EI208</f>
        <v>39.250709200000003</v>
      </c>
      <c r="D86" s="51">
        <f>'Segment Model'!EJ208</f>
        <v>156.08585680749908</v>
      </c>
      <c r="E86" s="51">
        <f>'Segment Model'!EK208</f>
        <v>397.64814692955645</v>
      </c>
      <c r="F86" s="51">
        <f>'Segment Model'!EL208</f>
        <v>781.84743699482453</v>
      </c>
      <c r="G86" s="51">
        <f>'Segment Model'!EM208</f>
        <v>1301.1882892456324</v>
      </c>
      <c r="H86" s="990">
        <f>(G86/B86)^(1/5)-1</f>
        <v>2.0293816747964941</v>
      </c>
      <c r="I86" s="977"/>
      <c r="K86" s="59">
        <f>'Segment Model'!DY208</f>
        <v>0</v>
      </c>
    </row>
    <row r="87" spans="1:11" x14ac:dyDescent="0.3">
      <c r="A87" s="979" t="s">
        <v>4134</v>
      </c>
      <c r="B87" s="982">
        <f>+B86-K86</f>
        <v>5.0999999999999996</v>
      </c>
      <c r="C87" s="982">
        <f>C86-B86</f>
        <v>34.150709200000001</v>
      </c>
      <c r="D87" s="982">
        <f>D86-C86</f>
        <v>116.83514760749908</v>
      </c>
      <c r="E87" s="982">
        <f>E86-D86</f>
        <v>241.56229012205736</v>
      </c>
      <c r="F87" s="982">
        <f>F86-E86</f>
        <v>384.19929006526809</v>
      </c>
      <c r="G87" s="982">
        <f>G86-F86</f>
        <v>519.34085225080787</v>
      </c>
      <c r="H87" s="981"/>
      <c r="I87" s="977"/>
    </row>
    <row r="88" spans="1:11" x14ac:dyDescent="0.3">
      <c r="A88" s="979" t="s">
        <v>4135</v>
      </c>
      <c r="B88" s="989">
        <f t="shared" ref="B88:G88" si="19">B86/B80</f>
        <v>5.9302325581395345E-2</v>
      </c>
      <c r="C88" s="989">
        <f t="shared" si="19"/>
        <v>5.7216777259475222E-2</v>
      </c>
      <c r="D88" s="989">
        <f t="shared" si="19"/>
        <v>9.2577613764827454E-2</v>
      </c>
      <c r="E88" s="989">
        <f t="shared" si="19"/>
        <v>0.12101282621106405</v>
      </c>
      <c r="F88" s="989">
        <f t="shared" si="19"/>
        <v>0.15680855134272453</v>
      </c>
      <c r="G88" s="989">
        <f t="shared" si="19"/>
        <v>0.19461386318361237</v>
      </c>
      <c r="H88" s="981"/>
      <c r="I88" s="977"/>
    </row>
    <row r="89" spans="1:11" x14ac:dyDescent="0.3">
      <c r="A89" s="33"/>
      <c r="B89" s="991"/>
      <c r="C89" s="991"/>
      <c r="D89" s="991"/>
      <c r="E89" s="991"/>
      <c r="F89" s="991"/>
      <c r="G89" s="991"/>
      <c r="H89" s="992"/>
      <c r="I89" s="977"/>
    </row>
    <row r="90" spans="1:11" x14ac:dyDescent="0.3">
      <c r="A90" s="964" t="s">
        <v>4136</v>
      </c>
      <c r="B90" s="965"/>
      <c r="C90" s="965"/>
      <c r="D90" s="965"/>
      <c r="E90" s="965"/>
      <c r="F90" s="965"/>
      <c r="G90" s="965"/>
      <c r="H90" s="965"/>
      <c r="I90" s="965"/>
      <c r="J90" s="966"/>
      <c r="K90" s="966"/>
    </row>
    <row r="92" spans="1:11" ht="12" customHeight="1" x14ac:dyDescent="0.3">
      <c r="A92" s="144"/>
      <c r="B92" s="1858" t="s">
        <v>4137</v>
      </c>
      <c r="C92" s="1858"/>
      <c r="D92" s="1858"/>
      <c r="E92" s="1858"/>
      <c r="F92" s="1858"/>
      <c r="G92" s="1858"/>
    </row>
    <row r="93" spans="1:11" x14ac:dyDescent="0.3">
      <c r="A93" s="144"/>
      <c r="B93" s="967" t="s">
        <v>2305</v>
      </c>
      <c r="C93" s="967" t="s">
        <v>4138</v>
      </c>
      <c r="D93" s="967" t="s">
        <v>4139</v>
      </c>
      <c r="E93" s="967" t="s">
        <v>2306</v>
      </c>
      <c r="F93" s="967" t="s">
        <v>4140</v>
      </c>
      <c r="G93" s="967" t="s">
        <v>4082</v>
      </c>
      <c r="H93" s="967" t="s">
        <v>2307</v>
      </c>
    </row>
    <row r="94" spans="1:11" hidden="1" x14ac:dyDescent="0.3">
      <c r="A94" s="144"/>
      <c r="B94" s="993"/>
      <c r="C94" s="993"/>
      <c r="D94" s="993"/>
      <c r="E94" s="993"/>
      <c r="F94" s="993"/>
      <c r="G94" s="993"/>
      <c r="H94" s="993"/>
    </row>
    <row r="95" spans="1:11" hidden="1" x14ac:dyDescent="0.3">
      <c r="A95" s="725" t="s">
        <v>1258</v>
      </c>
      <c r="B95" s="151">
        <v>3000</v>
      </c>
      <c r="C95" s="151">
        <f>B95+1000</f>
        <v>4000</v>
      </c>
      <c r="D95" s="151">
        <f>C95+1000</f>
        <v>5000</v>
      </c>
      <c r="E95" s="151">
        <f>D95+1000</f>
        <v>6000</v>
      </c>
      <c r="F95" s="151">
        <f>E95+1000</f>
        <v>7000</v>
      </c>
      <c r="G95" s="151">
        <f>F95+1250</f>
        <v>8250</v>
      </c>
      <c r="H95" s="151">
        <f>F95+2000</f>
        <v>9000</v>
      </c>
    </row>
    <row r="96" spans="1:11" hidden="1" outlineLevel="1" x14ac:dyDescent="0.3">
      <c r="A96" s="994" t="s">
        <v>1261</v>
      </c>
      <c r="B96" s="981">
        <f>+B95/14000</f>
        <v>0.21428571428571427</v>
      </c>
      <c r="C96" s="981">
        <f t="shared" ref="C96:H96" si="20">+C95/14000</f>
        <v>0.2857142857142857</v>
      </c>
      <c r="D96" s="981">
        <f t="shared" si="20"/>
        <v>0.35714285714285715</v>
      </c>
      <c r="E96" s="981">
        <f t="shared" si="20"/>
        <v>0.42857142857142855</v>
      </c>
      <c r="F96" s="981">
        <f t="shared" si="20"/>
        <v>0.5</v>
      </c>
      <c r="G96" s="981">
        <f t="shared" si="20"/>
        <v>0.5892857142857143</v>
      </c>
      <c r="H96" s="981">
        <f t="shared" si="20"/>
        <v>0.6428571428571429</v>
      </c>
    </row>
    <row r="97" spans="1:8" hidden="1" outlineLevel="1" x14ac:dyDescent="0.3">
      <c r="A97" s="995" t="s">
        <v>4141</v>
      </c>
      <c r="B97" s="996">
        <v>0.45</v>
      </c>
      <c r="C97" s="984">
        <f t="shared" ref="C97:H97" si="21">B97</f>
        <v>0.45</v>
      </c>
      <c r="D97" s="984">
        <f t="shared" si="21"/>
        <v>0.45</v>
      </c>
      <c r="E97" s="984">
        <f t="shared" si="21"/>
        <v>0.45</v>
      </c>
      <c r="F97" s="984">
        <f t="shared" si="21"/>
        <v>0.45</v>
      </c>
      <c r="G97" s="984">
        <f t="shared" si="21"/>
        <v>0.45</v>
      </c>
      <c r="H97" s="984">
        <f t="shared" si="21"/>
        <v>0.45</v>
      </c>
    </row>
    <row r="98" spans="1:8" hidden="1" collapsed="1" x14ac:dyDescent="0.3">
      <c r="A98" s="995" t="s">
        <v>4142</v>
      </c>
      <c r="B98" s="151">
        <f t="shared" ref="B98:H98" si="22">+B95*B97</f>
        <v>1350</v>
      </c>
      <c r="C98" s="151">
        <f t="shared" si="22"/>
        <v>1800</v>
      </c>
      <c r="D98" s="151">
        <f t="shared" si="22"/>
        <v>2250</v>
      </c>
      <c r="E98" s="151">
        <f t="shared" si="22"/>
        <v>2700</v>
      </c>
      <c r="F98" s="151">
        <f t="shared" si="22"/>
        <v>3150</v>
      </c>
      <c r="G98" s="151">
        <f t="shared" si="22"/>
        <v>3712.5</v>
      </c>
      <c r="H98" s="151">
        <f t="shared" si="22"/>
        <v>4050</v>
      </c>
    </row>
    <row r="99" spans="1:8" hidden="1" outlineLevel="1" x14ac:dyDescent="0.3">
      <c r="A99" s="994" t="s">
        <v>1261</v>
      </c>
      <c r="B99" s="984">
        <f t="shared" ref="B99:H99" si="23">1-B108</f>
        <v>0.77142857142857146</v>
      </c>
      <c r="C99" s="984">
        <f t="shared" si="23"/>
        <v>0.83720930232558133</v>
      </c>
      <c r="D99" s="984">
        <f t="shared" si="23"/>
        <v>0.88235294117647056</v>
      </c>
      <c r="E99" s="984">
        <f t="shared" si="23"/>
        <v>0.9152542372881356</v>
      </c>
      <c r="F99" s="984">
        <f t="shared" si="23"/>
        <v>0.94029850746268662</v>
      </c>
      <c r="G99" s="984">
        <f t="shared" si="23"/>
        <v>0.9642857142857143</v>
      </c>
      <c r="H99" s="984">
        <f t="shared" si="23"/>
        <v>0.97590361445783136</v>
      </c>
    </row>
    <row r="100" spans="1:8" hidden="1" outlineLevel="1" x14ac:dyDescent="0.3">
      <c r="A100" s="995" t="s">
        <v>4143</v>
      </c>
      <c r="B100" s="997">
        <v>63</v>
      </c>
      <c r="C100" s="622">
        <f t="shared" ref="C100:H100" si="24">B100</f>
        <v>63</v>
      </c>
      <c r="D100" s="622">
        <f t="shared" si="24"/>
        <v>63</v>
      </c>
      <c r="E100" s="622">
        <f t="shared" si="24"/>
        <v>63</v>
      </c>
      <c r="F100" s="622">
        <f t="shared" si="24"/>
        <v>63</v>
      </c>
      <c r="G100" s="622">
        <f t="shared" si="24"/>
        <v>63</v>
      </c>
      <c r="H100" s="622">
        <f t="shared" si="24"/>
        <v>63</v>
      </c>
    </row>
    <row r="101" spans="1:8" hidden="1" collapsed="1" x14ac:dyDescent="0.3">
      <c r="A101" s="995" t="s">
        <v>285</v>
      </c>
      <c r="B101" s="151">
        <f t="shared" ref="B101:H101" si="25">B98/1000*B100*12</f>
        <v>1020.6000000000001</v>
      </c>
      <c r="C101" s="151">
        <f t="shared" si="25"/>
        <v>1360.8000000000002</v>
      </c>
      <c r="D101" s="151">
        <f t="shared" si="25"/>
        <v>1701</v>
      </c>
      <c r="E101" s="151">
        <f t="shared" si="25"/>
        <v>2041.2000000000003</v>
      </c>
      <c r="F101" s="151">
        <f t="shared" si="25"/>
        <v>2381.3999999999996</v>
      </c>
      <c r="G101" s="151">
        <f t="shared" si="25"/>
        <v>2806.6499999999996</v>
      </c>
      <c r="H101" s="151">
        <f t="shared" si="25"/>
        <v>3061.7999999999997</v>
      </c>
    </row>
    <row r="102" spans="1:8" hidden="1" x14ac:dyDescent="0.3">
      <c r="A102" s="994" t="s">
        <v>1261</v>
      </c>
      <c r="B102" s="981">
        <f t="shared" ref="B102:H102" si="26">1-B111</f>
        <v>0.8253275109170306</v>
      </c>
      <c r="C102" s="981">
        <f t="shared" si="26"/>
        <v>0.87804878048780488</v>
      </c>
      <c r="D102" s="981">
        <f t="shared" si="26"/>
        <v>0.91304347826086962</v>
      </c>
      <c r="E102" s="981">
        <f t="shared" si="26"/>
        <v>0.93796526054590568</v>
      </c>
      <c r="F102" s="981">
        <f t="shared" si="26"/>
        <v>0.95661605206073752</v>
      </c>
      <c r="G102" s="981">
        <f t="shared" si="26"/>
        <v>0.97422680412371132</v>
      </c>
      <c r="H102" s="981">
        <f t="shared" si="26"/>
        <v>0.98266897746967075</v>
      </c>
    </row>
    <row r="103" spans="1:8" hidden="1" x14ac:dyDescent="0.3">
      <c r="A103" s="994"/>
      <c r="B103" s="151"/>
      <c r="C103" s="151"/>
      <c r="D103" s="151"/>
      <c r="E103" s="151"/>
      <c r="F103" s="151"/>
      <c r="G103" s="151"/>
      <c r="H103" s="151"/>
    </row>
    <row r="104" spans="1:8" hidden="1" outlineLevel="1" x14ac:dyDescent="0.3">
      <c r="A104" s="726" t="s">
        <v>1262</v>
      </c>
      <c r="B104" s="51">
        <f>14000-B95-3000</f>
        <v>8000</v>
      </c>
      <c r="C104" s="51">
        <f t="shared" ref="C104:H104" si="27">14000-C95-3000</f>
        <v>7000</v>
      </c>
      <c r="D104" s="51">
        <f t="shared" si="27"/>
        <v>6000</v>
      </c>
      <c r="E104" s="51">
        <f t="shared" si="27"/>
        <v>5000</v>
      </c>
      <c r="F104" s="51">
        <f t="shared" si="27"/>
        <v>4000</v>
      </c>
      <c r="G104" s="51">
        <f t="shared" si="27"/>
        <v>2750</v>
      </c>
      <c r="H104" s="51">
        <f t="shared" si="27"/>
        <v>2000</v>
      </c>
    </row>
    <row r="105" spans="1:8" hidden="1" outlineLevel="1" x14ac:dyDescent="0.3">
      <c r="A105" s="994" t="s">
        <v>1261</v>
      </c>
      <c r="B105" s="981">
        <f>+B104/14000</f>
        <v>0.5714285714285714</v>
      </c>
      <c r="C105" s="981">
        <f t="shared" ref="C105:H105" si="28">+C104/14000</f>
        <v>0.5</v>
      </c>
      <c r="D105" s="981">
        <f t="shared" si="28"/>
        <v>0.42857142857142855</v>
      </c>
      <c r="E105" s="981">
        <f t="shared" si="28"/>
        <v>0.35714285714285715</v>
      </c>
      <c r="F105" s="981">
        <f t="shared" si="28"/>
        <v>0.2857142857142857</v>
      </c>
      <c r="G105" s="981">
        <f t="shared" si="28"/>
        <v>0.19642857142857142</v>
      </c>
      <c r="H105" s="981">
        <f t="shared" si="28"/>
        <v>0.14285714285714285</v>
      </c>
    </row>
    <row r="106" spans="1:8" hidden="1" outlineLevel="1" x14ac:dyDescent="0.3">
      <c r="A106" s="995" t="s">
        <v>4141</v>
      </c>
      <c r="B106" s="996">
        <v>0.05</v>
      </c>
      <c r="C106" s="984">
        <f t="shared" ref="C106:H106" si="29">B106</f>
        <v>0.05</v>
      </c>
      <c r="D106" s="984">
        <f t="shared" si="29"/>
        <v>0.05</v>
      </c>
      <c r="E106" s="984">
        <f t="shared" si="29"/>
        <v>0.05</v>
      </c>
      <c r="F106" s="984">
        <f t="shared" si="29"/>
        <v>0.05</v>
      </c>
      <c r="G106" s="984">
        <f t="shared" si="29"/>
        <v>0.05</v>
      </c>
      <c r="H106" s="984">
        <f t="shared" si="29"/>
        <v>0.05</v>
      </c>
    </row>
    <row r="107" spans="1:8" hidden="1" outlineLevel="1" x14ac:dyDescent="0.3">
      <c r="A107" s="998" t="s">
        <v>4144</v>
      </c>
      <c r="B107" s="51">
        <f t="shared" ref="B107:H107" si="30">+B104*B106</f>
        <v>400</v>
      </c>
      <c r="C107" s="51">
        <f t="shared" si="30"/>
        <v>350</v>
      </c>
      <c r="D107" s="51">
        <f t="shared" si="30"/>
        <v>300</v>
      </c>
      <c r="E107" s="51">
        <f t="shared" si="30"/>
        <v>250</v>
      </c>
      <c r="F107" s="51">
        <f t="shared" si="30"/>
        <v>200</v>
      </c>
      <c r="G107" s="51">
        <f t="shared" si="30"/>
        <v>137.5</v>
      </c>
      <c r="H107" s="51">
        <f t="shared" si="30"/>
        <v>100</v>
      </c>
    </row>
    <row r="108" spans="1:8" hidden="1" outlineLevel="1" x14ac:dyDescent="0.3">
      <c r="A108" s="994" t="s">
        <v>1261</v>
      </c>
      <c r="B108" s="984">
        <f t="shared" ref="B108:H108" si="31">B107/SUM(B107,B98)</f>
        <v>0.22857142857142856</v>
      </c>
      <c r="C108" s="984">
        <f t="shared" si="31"/>
        <v>0.16279069767441862</v>
      </c>
      <c r="D108" s="984">
        <f t="shared" si="31"/>
        <v>0.11764705882352941</v>
      </c>
      <c r="E108" s="984">
        <f t="shared" si="31"/>
        <v>8.4745762711864403E-2</v>
      </c>
      <c r="F108" s="984">
        <f t="shared" si="31"/>
        <v>5.9701492537313432E-2</v>
      </c>
      <c r="G108" s="984">
        <f t="shared" si="31"/>
        <v>3.5714285714285712E-2</v>
      </c>
      <c r="H108" s="984">
        <f t="shared" si="31"/>
        <v>2.4096385542168676E-2</v>
      </c>
    </row>
    <row r="109" spans="1:8" hidden="1" outlineLevel="1" x14ac:dyDescent="0.3">
      <c r="A109" s="995" t="s">
        <v>4145</v>
      </c>
      <c r="B109" s="997">
        <v>45</v>
      </c>
      <c r="C109" s="622">
        <f t="shared" ref="C109:H109" si="32">B109</f>
        <v>45</v>
      </c>
      <c r="D109" s="622">
        <f t="shared" si="32"/>
        <v>45</v>
      </c>
      <c r="E109" s="622">
        <f t="shared" si="32"/>
        <v>45</v>
      </c>
      <c r="F109" s="622">
        <f t="shared" si="32"/>
        <v>45</v>
      </c>
      <c r="G109" s="622">
        <f t="shared" si="32"/>
        <v>45</v>
      </c>
      <c r="H109" s="622">
        <f t="shared" si="32"/>
        <v>45</v>
      </c>
    </row>
    <row r="110" spans="1:8" hidden="1" collapsed="1" x14ac:dyDescent="0.3">
      <c r="A110" s="995" t="s">
        <v>286</v>
      </c>
      <c r="B110" s="151">
        <f t="shared" ref="B110:H110" si="33">B107/1000*B109*12</f>
        <v>216</v>
      </c>
      <c r="C110" s="151">
        <f t="shared" si="33"/>
        <v>188.99999999999997</v>
      </c>
      <c r="D110" s="151">
        <f t="shared" si="33"/>
        <v>162</v>
      </c>
      <c r="E110" s="151">
        <f t="shared" si="33"/>
        <v>135</v>
      </c>
      <c r="F110" s="151">
        <f t="shared" si="33"/>
        <v>108</v>
      </c>
      <c r="G110" s="151">
        <f t="shared" si="33"/>
        <v>74.250000000000014</v>
      </c>
      <c r="H110" s="151">
        <f t="shared" si="33"/>
        <v>54</v>
      </c>
    </row>
    <row r="111" spans="1:8" hidden="1" x14ac:dyDescent="0.3">
      <c r="A111" s="994" t="s">
        <v>1261</v>
      </c>
      <c r="B111" s="981">
        <f t="shared" ref="B111:H111" si="34">B110/SUM(B110,B101)</f>
        <v>0.17467248908296942</v>
      </c>
      <c r="C111" s="981">
        <f t="shared" si="34"/>
        <v>0.12195121951219509</v>
      </c>
      <c r="D111" s="981">
        <f t="shared" si="34"/>
        <v>8.6956521739130432E-2</v>
      </c>
      <c r="E111" s="981">
        <f t="shared" si="34"/>
        <v>6.2034739454094288E-2</v>
      </c>
      <c r="F111" s="981">
        <f t="shared" si="34"/>
        <v>4.3383947939262479E-2</v>
      </c>
      <c r="G111" s="981">
        <f t="shared" si="34"/>
        <v>2.5773195876288669E-2</v>
      </c>
      <c r="H111" s="981">
        <f t="shared" si="34"/>
        <v>1.7331022530329292E-2</v>
      </c>
    </row>
    <row r="112" spans="1:8" hidden="1" x14ac:dyDescent="0.3">
      <c r="A112" s="144"/>
      <c r="B112" s="144"/>
      <c r="C112" s="144"/>
      <c r="D112" s="144"/>
      <c r="E112" s="144"/>
      <c r="F112" s="144"/>
      <c r="G112" s="144"/>
      <c r="H112" s="144"/>
    </row>
    <row r="113" spans="1:8" hidden="1" x14ac:dyDescent="0.3">
      <c r="A113" s="995" t="s">
        <v>298</v>
      </c>
      <c r="B113" s="999">
        <f>B101*B114</f>
        <v>459.2700000000001</v>
      </c>
      <c r="C113" s="999">
        <f t="shared" ref="C113:H113" si="35">C101*C114</f>
        <v>612.36000000000013</v>
      </c>
      <c r="D113" s="999">
        <f t="shared" si="35"/>
        <v>765.45</v>
      </c>
      <c r="E113" s="999">
        <f t="shared" si="35"/>
        <v>918.54000000000019</v>
      </c>
      <c r="F113" s="999">
        <f t="shared" si="35"/>
        <v>1071.6299999999999</v>
      </c>
      <c r="G113" s="999">
        <f t="shared" si="35"/>
        <v>1262.9924999999998</v>
      </c>
      <c r="H113" s="999">
        <f t="shared" si="35"/>
        <v>1377.81</v>
      </c>
    </row>
    <row r="114" spans="1:8" hidden="1" outlineLevel="1" x14ac:dyDescent="0.3">
      <c r="A114" s="994" t="s">
        <v>4146</v>
      </c>
      <c r="B114" s="1000">
        <v>0.45</v>
      </c>
      <c r="C114" s="1001">
        <f t="shared" ref="C114:H114" si="36">B114</f>
        <v>0.45</v>
      </c>
      <c r="D114" s="1001">
        <f t="shared" si="36"/>
        <v>0.45</v>
      </c>
      <c r="E114" s="1001">
        <f t="shared" si="36"/>
        <v>0.45</v>
      </c>
      <c r="F114" s="1001">
        <f t="shared" si="36"/>
        <v>0.45</v>
      </c>
      <c r="G114" s="1001">
        <f t="shared" si="36"/>
        <v>0.45</v>
      </c>
      <c r="H114" s="1001">
        <f t="shared" si="36"/>
        <v>0.45</v>
      </c>
    </row>
    <row r="115" spans="1:8" hidden="1" collapsed="1" x14ac:dyDescent="0.3">
      <c r="A115" s="994" t="s">
        <v>1261</v>
      </c>
      <c r="B115" s="1002">
        <f>B113/B121</f>
        <v>0.85865724381625441</v>
      </c>
      <c r="C115" s="1002">
        <f t="shared" ref="C115:H115" si="37">C113/C121</f>
        <v>0.90250696378830086</v>
      </c>
      <c r="D115" s="1002">
        <f t="shared" si="37"/>
        <v>0.93103448275862066</v>
      </c>
      <c r="E115" s="1002">
        <f t="shared" si="37"/>
        <v>0.9510763209393347</v>
      </c>
      <c r="F115" s="1002">
        <f t="shared" si="37"/>
        <v>0.96592844974446346</v>
      </c>
      <c r="G115" s="1002">
        <f t="shared" si="37"/>
        <v>0.97983870967741937</v>
      </c>
      <c r="H115" s="1002">
        <f t="shared" si="37"/>
        <v>0.98646820027063598</v>
      </c>
    </row>
    <row r="116" spans="1:8" hidden="1" x14ac:dyDescent="0.3">
      <c r="A116" s="144"/>
      <c r="B116" s="144"/>
      <c r="C116" s="144"/>
      <c r="D116" s="144"/>
      <c r="E116" s="144"/>
      <c r="F116" s="144"/>
      <c r="G116" s="144"/>
      <c r="H116" s="144"/>
    </row>
    <row r="117" spans="1:8" hidden="1" x14ac:dyDescent="0.3">
      <c r="A117" s="995" t="s">
        <v>299</v>
      </c>
      <c r="B117" s="999">
        <f>B110*B118</f>
        <v>75.599999999999994</v>
      </c>
      <c r="C117" s="999">
        <f t="shared" ref="C117:H117" si="38">C110*C118</f>
        <v>66.149999999999991</v>
      </c>
      <c r="D117" s="999">
        <f t="shared" si="38"/>
        <v>56.699999999999996</v>
      </c>
      <c r="E117" s="999">
        <f t="shared" si="38"/>
        <v>47.25</v>
      </c>
      <c r="F117" s="999">
        <f t="shared" si="38"/>
        <v>37.799999999999997</v>
      </c>
      <c r="G117" s="999">
        <f t="shared" si="38"/>
        <v>25.987500000000004</v>
      </c>
      <c r="H117" s="999">
        <f t="shared" si="38"/>
        <v>18.899999999999999</v>
      </c>
    </row>
    <row r="118" spans="1:8" hidden="1" outlineLevel="1" x14ac:dyDescent="0.3">
      <c r="A118" s="994" t="s">
        <v>4146</v>
      </c>
      <c r="B118" s="1000">
        <v>0.35</v>
      </c>
      <c r="C118" s="1001">
        <f t="shared" ref="C118:H118" si="39">B118</f>
        <v>0.35</v>
      </c>
      <c r="D118" s="1001">
        <f t="shared" si="39"/>
        <v>0.35</v>
      </c>
      <c r="E118" s="1001">
        <f t="shared" si="39"/>
        <v>0.35</v>
      </c>
      <c r="F118" s="1001">
        <f t="shared" si="39"/>
        <v>0.35</v>
      </c>
      <c r="G118" s="1001">
        <f t="shared" si="39"/>
        <v>0.35</v>
      </c>
      <c r="H118" s="1001">
        <f t="shared" si="39"/>
        <v>0.35</v>
      </c>
    </row>
    <row r="119" spans="1:8" hidden="1" collapsed="1" x14ac:dyDescent="0.3">
      <c r="A119" s="994" t="s">
        <v>1261</v>
      </c>
      <c r="B119" s="1003">
        <f>B117/B121</f>
        <v>0.14134275618374553</v>
      </c>
      <c r="C119" s="1003">
        <f t="shared" ref="C119:H119" si="40">C117/C121</f>
        <v>9.7493036211699136E-2</v>
      </c>
      <c r="D119" s="1003">
        <f t="shared" si="40"/>
        <v>6.8965517241379296E-2</v>
      </c>
      <c r="E119" s="1003">
        <f t="shared" si="40"/>
        <v>4.8923679060665352E-2</v>
      </c>
      <c r="F119" s="1003">
        <f t="shared" si="40"/>
        <v>3.4071550255536633E-2</v>
      </c>
      <c r="G119" s="1003">
        <f t="shared" si="40"/>
        <v>2.0161290322580652E-2</v>
      </c>
      <c r="H119" s="1003">
        <f t="shared" si="40"/>
        <v>1.3531799729364004E-2</v>
      </c>
    </row>
    <row r="120" spans="1:8" hidden="1" x14ac:dyDescent="0.3">
      <c r="A120" s="144"/>
      <c r="B120" s="144"/>
      <c r="C120" s="144"/>
      <c r="D120" s="144"/>
      <c r="E120" s="144"/>
      <c r="F120" s="144"/>
      <c r="G120" s="144"/>
      <c r="H120" s="144"/>
    </row>
    <row r="121" spans="1:8" hidden="1" x14ac:dyDescent="0.3">
      <c r="A121" s="995" t="s">
        <v>301</v>
      </c>
      <c r="B121" s="877">
        <f>B113+B117</f>
        <v>534.87000000000012</v>
      </c>
      <c r="C121" s="877">
        <f t="shared" ref="C121:H121" si="41">C113+C117</f>
        <v>678.5100000000001</v>
      </c>
      <c r="D121" s="877">
        <f t="shared" si="41"/>
        <v>822.15000000000009</v>
      </c>
      <c r="E121" s="877">
        <f t="shared" si="41"/>
        <v>965.79000000000019</v>
      </c>
      <c r="F121" s="877">
        <f t="shared" si="41"/>
        <v>1109.4299999999998</v>
      </c>
      <c r="G121" s="877">
        <f t="shared" si="41"/>
        <v>1288.9799999999998</v>
      </c>
      <c r="H121" s="877">
        <f t="shared" si="41"/>
        <v>1396.71</v>
      </c>
    </row>
    <row r="122" spans="1:8" hidden="1" x14ac:dyDescent="0.3">
      <c r="A122" s="994" t="s">
        <v>4146</v>
      </c>
      <c r="B122" s="1002">
        <f>B121/(B101+B110)</f>
        <v>0.43253275109170308</v>
      </c>
      <c r="C122" s="1002">
        <f t="shared" ref="C122:H122" si="42">C121/(C101+C110)</f>
        <v>0.43780487804878049</v>
      </c>
      <c r="D122" s="1002">
        <f t="shared" si="42"/>
        <v>0.44130434782608702</v>
      </c>
      <c r="E122" s="1002">
        <f t="shared" si="42"/>
        <v>0.44379652605459058</v>
      </c>
      <c r="F122" s="1002">
        <f t="shared" si="42"/>
        <v>0.44566160520607373</v>
      </c>
      <c r="G122" s="1002">
        <f t="shared" si="42"/>
        <v>0.4474226804123711</v>
      </c>
      <c r="H122" s="1002">
        <f t="shared" si="42"/>
        <v>0.4482668977469671</v>
      </c>
    </row>
    <row r="123" spans="1:8" hidden="1" x14ac:dyDescent="0.3">
      <c r="A123" s="144"/>
      <c r="B123" s="144"/>
      <c r="C123" s="144"/>
      <c r="D123" s="144"/>
      <c r="E123" s="144"/>
      <c r="F123" s="144"/>
      <c r="G123" s="144"/>
      <c r="H123" s="144"/>
    </row>
    <row r="124" spans="1:8" x14ac:dyDescent="0.3">
      <c r="A124" s="725" t="s">
        <v>1258</v>
      </c>
      <c r="B124" s="151">
        <f>B95+3000</f>
        <v>6000</v>
      </c>
      <c r="C124" s="151">
        <f t="shared" ref="C124:H124" si="43">C95+3000</f>
        <v>7000</v>
      </c>
      <c r="D124" s="151">
        <f t="shared" si="43"/>
        <v>8000</v>
      </c>
      <c r="E124" s="151">
        <f t="shared" si="43"/>
        <v>9000</v>
      </c>
      <c r="F124" s="151">
        <f t="shared" si="43"/>
        <v>10000</v>
      </c>
      <c r="G124" s="151">
        <f t="shared" si="43"/>
        <v>11250</v>
      </c>
      <c r="H124" s="151">
        <f t="shared" si="43"/>
        <v>12000</v>
      </c>
    </row>
    <row r="125" spans="1:8" x14ac:dyDescent="0.3">
      <c r="A125" s="995" t="s">
        <v>1259</v>
      </c>
      <c r="B125" s="1004">
        <f>Analysis!$B$3816</f>
        <v>4276.13363686704</v>
      </c>
      <c r="C125" s="1004">
        <f t="shared" ref="C125:H125" si="44">B125</f>
        <v>4276.13363686704</v>
      </c>
      <c r="D125" s="1004">
        <f t="shared" si="44"/>
        <v>4276.13363686704</v>
      </c>
      <c r="E125" s="1004">
        <f t="shared" si="44"/>
        <v>4276.13363686704</v>
      </c>
      <c r="F125" s="1004">
        <f t="shared" si="44"/>
        <v>4276.13363686704</v>
      </c>
      <c r="G125" s="1004">
        <f t="shared" si="44"/>
        <v>4276.13363686704</v>
      </c>
      <c r="H125" s="1004">
        <f t="shared" si="44"/>
        <v>4276.13363686704</v>
      </c>
    </row>
    <row r="126" spans="1:8" x14ac:dyDescent="0.3">
      <c r="A126" s="998" t="s">
        <v>1260</v>
      </c>
      <c r="B126" s="51">
        <f>B124*B125/1000</f>
        <v>25656.80182120224</v>
      </c>
      <c r="C126" s="51">
        <f t="shared" ref="C126:H126" si="45">C124*C125/1000</f>
        <v>29932.935458069282</v>
      </c>
      <c r="D126" s="51">
        <f t="shared" si="45"/>
        <v>34209.06909493632</v>
      </c>
      <c r="E126" s="51">
        <f t="shared" si="45"/>
        <v>38485.202731803358</v>
      </c>
      <c r="F126" s="51">
        <f t="shared" si="45"/>
        <v>42761.336368670396</v>
      </c>
      <c r="G126" s="51">
        <f t="shared" si="45"/>
        <v>48106.503414754196</v>
      </c>
      <c r="H126" s="51">
        <f t="shared" si="45"/>
        <v>51313.60364240448</v>
      </c>
    </row>
    <row r="127" spans="1:8" x14ac:dyDescent="0.3">
      <c r="A127" s="994" t="s">
        <v>1261</v>
      </c>
      <c r="B127" s="984">
        <f t="shared" ref="B127:H127" si="46">1-B132</f>
        <v>0.70791030213467487</v>
      </c>
      <c r="C127" s="984">
        <f t="shared" si="46"/>
        <v>0.76367575744982297</v>
      </c>
      <c r="D127" s="984">
        <f t="shared" si="46"/>
        <v>0.81162757545009279</v>
      </c>
      <c r="E127" s="984">
        <f t="shared" si="46"/>
        <v>0.85330046205560361</v>
      </c>
      <c r="F127" s="984">
        <f t="shared" si="46"/>
        <v>0.88985190372804024</v>
      </c>
      <c r="G127" s="984">
        <f t="shared" si="46"/>
        <v>0.92967487154863615</v>
      </c>
      <c r="H127" s="984">
        <f t="shared" si="46"/>
        <v>0.95095357733693286</v>
      </c>
    </row>
    <row r="128" spans="1:8" x14ac:dyDescent="0.3">
      <c r="A128" s="998"/>
      <c r="B128" s="45"/>
      <c r="C128" s="45"/>
      <c r="D128" s="45"/>
      <c r="E128" s="45"/>
      <c r="F128" s="45"/>
      <c r="G128" s="45"/>
      <c r="H128" s="45"/>
    </row>
    <row r="129" spans="1:8" x14ac:dyDescent="0.3">
      <c r="A129" s="725" t="s">
        <v>1262</v>
      </c>
      <c r="B129" s="151">
        <f t="shared" ref="B129:H129" si="47">+B104</f>
        <v>8000</v>
      </c>
      <c r="C129" s="151">
        <f t="shared" si="47"/>
        <v>7000</v>
      </c>
      <c r="D129" s="151">
        <f t="shared" si="47"/>
        <v>6000</v>
      </c>
      <c r="E129" s="151">
        <f t="shared" si="47"/>
        <v>5000</v>
      </c>
      <c r="F129" s="151">
        <f t="shared" si="47"/>
        <v>4000</v>
      </c>
      <c r="G129" s="151">
        <f t="shared" si="47"/>
        <v>2750</v>
      </c>
      <c r="H129" s="151">
        <f t="shared" si="47"/>
        <v>2000</v>
      </c>
    </row>
    <row r="130" spans="1:8" x14ac:dyDescent="0.3">
      <c r="A130" s="995" t="s">
        <v>1259</v>
      </c>
      <c r="B130" s="1004">
        <f>Analysis!$B$3825</f>
        <v>1323.2763157894738</v>
      </c>
      <c r="C130" s="622">
        <f t="shared" ref="C130:H130" si="48">B130</f>
        <v>1323.2763157894738</v>
      </c>
      <c r="D130" s="622">
        <f t="shared" si="48"/>
        <v>1323.2763157894738</v>
      </c>
      <c r="E130" s="622">
        <f t="shared" si="48"/>
        <v>1323.2763157894738</v>
      </c>
      <c r="F130" s="622">
        <f t="shared" si="48"/>
        <v>1323.2763157894738</v>
      </c>
      <c r="G130" s="622">
        <f t="shared" si="48"/>
        <v>1323.2763157894738</v>
      </c>
      <c r="H130" s="622">
        <f t="shared" si="48"/>
        <v>1323.2763157894738</v>
      </c>
    </row>
    <row r="131" spans="1:8" x14ac:dyDescent="0.3">
      <c r="A131" s="998" t="s">
        <v>1263</v>
      </c>
      <c r="B131" s="51">
        <f t="shared" ref="B131:H131" si="49">(B129*1000*B130)/1000000</f>
        <v>10586.21052631579</v>
      </c>
      <c r="C131" s="51">
        <f t="shared" si="49"/>
        <v>9262.9342105263149</v>
      </c>
      <c r="D131" s="51">
        <f t="shared" si="49"/>
        <v>7939.6578947368425</v>
      </c>
      <c r="E131" s="51">
        <f t="shared" si="49"/>
        <v>6616.3815789473683</v>
      </c>
      <c r="F131" s="51">
        <f t="shared" si="49"/>
        <v>5293.105263157895</v>
      </c>
      <c r="G131" s="51">
        <f t="shared" si="49"/>
        <v>3639.0098684210529</v>
      </c>
      <c r="H131" s="51">
        <f t="shared" si="49"/>
        <v>2646.5526315789475</v>
      </c>
    </row>
    <row r="132" spans="1:8" x14ac:dyDescent="0.3">
      <c r="A132" s="994" t="s">
        <v>1261</v>
      </c>
      <c r="B132" s="984">
        <f>B131/SUM(B131,B126)</f>
        <v>0.29208969786532513</v>
      </c>
      <c r="C132" s="984">
        <f t="shared" ref="C132:H132" si="50">C131/SUM(C131,C126)</f>
        <v>0.23632424255017709</v>
      </c>
      <c r="D132" s="984">
        <f t="shared" si="50"/>
        <v>0.18837242454990716</v>
      </c>
      <c r="E132" s="984">
        <f t="shared" si="50"/>
        <v>0.14669953794439639</v>
      </c>
      <c r="F132" s="984">
        <f t="shared" si="50"/>
        <v>0.11014809627195979</v>
      </c>
      <c r="G132" s="984">
        <f t="shared" si="50"/>
        <v>7.0325128451363836E-2</v>
      </c>
      <c r="H132" s="984">
        <f t="shared" si="50"/>
        <v>4.9046422663067184E-2</v>
      </c>
    </row>
    <row r="133" spans="1:8" x14ac:dyDescent="0.3">
      <c r="A133" s="994"/>
      <c r="B133" s="984"/>
      <c r="C133" s="984"/>
      <c r="D133" s="984"/>
      <c r="E133" s="984"/>
      <c r="F133" s="984"/>
      <c r="G133" s="984"/>
      <c r="H133" s="984"/>
    </row>
    <row r="134" spans="1:8" x14ac:dyDescent="0.3">
      <c r="A134" s="995" t="s">
        <v>1264</v>
      </c>
      <c r="B134" s="151">
        <f>B126</f>
        <v>25656.80182120224</v>
      </c>
      <c r="C134" s="151">
        <f t="shared" ref="C134:H134" si="51">C126</f>
        <v>29932.935458069282</v>
      </c>
      <c r="D134" s="151">
        <f t="shared" si="51"/>
        <v>34209.06909493632</v>
      </c>
      <c r="E134" s="151">
        <f t="shared" si="51"/>
        <v>38485.202731803358</v>
      </c>
      <c r="F134" s="151">
        <f t="shared" si="51"/>
        <v>42761.336368670396</v>
      </c>
      <c r="G134" s="151">
        <f t="shared" si="51"/>
        <v>48106.503414754196</v>
      </c>
      <c r="H134" s="151">
        <f t="shared" si="51"/>
        <v>51313.60364240448</v>
      </c>
    </row>
    <row r="135" spans="1:8" x14ac:dyDescent="0.3">
      <c r="A135" s="995" t="s">
        <v>1265</v>
      </c>
      <c r="B135" s="151">
        <f>B131</f>
        <v>10586.21052631579</v>
      </c>
      <c r="C135" s="151">
        <f t="shared" ref="C135:H135" si="52">C131</f>
        <v>9262.9342105263149</v>
      </c>
      <c r="D135" s="151">
        <f t="shared" si="52"/>
        <v>7939.6578947368425</v>
      </c>
      <c r="E135" s="151">
        <f t="shared" si="52"/>
        <v>6616.3815789473683</v>
      </c>
      <c r="F135" s="151">
        <f t="shared" si="52"/>
        <v>5293.105263157895</v>
      </c>
      <c r="G135" s="151">
        <f t="shared" si="52"/>
        <v>3639.0098684210529</v>
      </c>
      <c r="H135" s="151">
        <f t="shared" si="52"/>
        <v>2646.5526315789475</v>
      </c>
    </row>
    <row r="136" spans="1:8" x14ac:dyDescent="0.3">
      <c r="A136" s="998" t="s">
        <v>1266</v>
      </c>
      <c r="B136" s="51">
        <f t="shared" ref="B136:G136" si="53">SUM(B134:B135)</f>
        <v>36243.01234751803</v>
      </c>
      <c r="C136" s="51">
        <f t="shared" si="53"/>
        <v>39195.869668595595</v>
      </c>
      <c r="D136" s="51">
        <f t="shared" si="53"/>
        <v>42148.72698967316</v>
      </c>
      <c r="E136" s="51">
        <f t="shared" si="53"/>
        <v>45101.584310750724</v>
      </c>
      <c r="F136" s="51">
        <f t="shared" si="53"/>
        <v>48054.441631828289</v>
      </c>
      <c r="G136" s="51">
        <f t="shared" si="53"/>
        <v>51745.513283175249</v>
      </c>
      <c r="H136" s="51">
        <f>SUM(H134:H135)</f>
        <v>53960.156273983426</v>
      </c>
    </row>
    <row r="137" spans="1:8" x14ac:dyDescent="0.3">
      <c r="A137" s="998"/>
      <c r="B137" s="45"/>
      <c r="C137" s="45"/>
      <c r="D137" s="45"/>
      <c r="E137" s="45"/>
      <c r="F137" s="45"/>
      <c r="G137" s="45"/>
      <c r="H137" s="45"/>
    </row>
    <row r="138" spans="1:8" x14ac:dyDescent="0.3">
      <c r="A138" s="995" t="s">
        <v>1267</v>
      </c>
      <c r="B138" s="151">
        <f>Valuation!$B$9-Valuation!$B$10</f>
        <v>10811</v>
      </c>
      <c r="C138" s="151">
        <f t="shared" ref="C138:H138" si="54">B138</f>
        <v>10811</v>
      </c>
      <c r="D138" s="151">
        <f t="shared" si="54"/>
        <v>10811</v>
      </c>
      <c r="E138" s="151">
        <f t="shared" si="54"/>
        <v>10811</v>
      </c>
      <c r="F138" s="151">
        <f t="shared" si="54"/>
        <v>10811</v>
      </c>
      <c r="G138" s="151">
        <f t="shared" si="54"/>
        <v>10811</v>
      </c>
      <c r="H138" s="151">
        <f t="shared" si="54"/>
        <v>10811</v>
      </c>
    </row>
    <row r="139" spans="1:8" x14ac:dyDescent="0.3">
      <c r="A139" s="995" t="s">
        <v>1698</v>
      </c>
      <c r="B139" s="151">
        <f>-(B124-3000)*Analysis!$B$3886/1000</f>
        <v>3836.195404913557</v>
      </c>
      <c r="C139" s="151">
        <f>-(C124-3000)*Analysis!$B$3886/1000</f>
        <v>5114.9272065514097</v>
      </c>
      <c r="D139" s="151">
        <f>-(D124-3000)*Analysis!$B$3886/1000</f>
        <v>6393.6590081892618</v>
      </c>
      <c r="E139" s="151">
        <f>-(E124-3000)*Analysis!$B$3886/1000</f>
        <v>7672.390809827114</v>
      </c>
      <c r="F139" s="151">
        <f>-(F124-3000)*Analysis!$B$3886/1000</f>
        <v>8951.1226114649653</v>
      </c>
      <c r="G139" s="151">
        <f>-(G124-3000)*Analysis!$B$3886/1000</f>
        <v>10549.537363512283</v>
      </c>
      <c r="H139" s="151">
        <f>-(H124-3000)*Analysis!$B$3886/1000</f>
        <v>11508.586214740671</v>
      </c>
    </row>
    <row r="140" spans="1:8" x14ac:dyDescent="0.3">
      <c r="A140" s="998"/>
      <c r="B140" s="45"/>
      <c r="C140" s="45"/>
      <c r="D140" s="45"/>
      <c r="E140" s="45"/>
      <c r="F140" s="45"/>
      <c r="G140" s="45"/>
      <c r="H140" s="45"/>
    </row>
    <row r="141" spans="1:8" x14ac:dyDescent="0.3">
      <c r="A141" s="998" t="s">
        <v>1269</v>
      </c>
      <c r="B141" s="45">
        <f>B136-B138-B139</f>
        <v>21595.816942604473</v>
      </c>
      <c r="C141" s="45">
        <f t="shared" ref="C141:H141" si="55">C136-C138-C139</f>
        <v>23269.942462044186</v>
      </c>
      <c r="D141" s="45">
        <f t="shared" si="55"/>
        <v>24944.067981483899</v>
      </c>
      <c r="E141" s="45">
        <f t="shared" si="55"/>
        <v>26618.193500923611</v>
      </c>
      <c r="F141" s="45">
        <f t="shared" si="55"/>
        <v>28292.319020363324</v>
      </c>
      <c r="G141" s="45">
        <f t="shared" si="55"/>
        <v>30384.975919662967</v>
      </c>
      <c r="H141" s="45">
        <f t="shared" si="55"/>
        <v>31640.570059242753</v>
      </c>
    </row>
    <row r="142" spans="1:8" x14ac:dyDescent="0.3">
      <c r="A142" s="998"/>
      <c r="B142" s="45"/>
      <c r="C142" s="45"/>
      <c r="D142" s="45"/>
      <c r="E142" s="45"/>
      <c r="F142" s="45"/>
      <c r="G142" s="45"/>
      <c r="H142" s="45"/>
    </row>
    <row r="143" spans="1:8" hidden="1" x14ac:dyDescent="0.3">
      <c r="A143" s="995" t="s">
        <v>104</v>
      </c>
      <c r="B143" s="151">
        <v>0.59183673469387754</v>
      </c>
      <c r="C143" s="151">
        <f t="shared" ref="C143:H143" si="56">B143</f>
        <v>0.59183673469387754</v>
      </c>
      <c r="D143" s="151">
        <f t="shared" si="56"/>
        <v>0.59183673469387754</v>
      </c>
      <c r="E143" s="151">
        <f t="shared" si="56"/>
        <v>0.59183673469387754</v>
      </c>
      <c r="F143" s="151">
        <f t="shared" si="56"/>
        <v>0.59183673469387754</v>
      </c>
      <c r="G143" s="151">
        <f t="shared" si="56"/>
        <v>0.59183673469387754</v>
      </c>
      <c r="H143" s="151">
        <f t="shared" si="56"/>
        <v>0.59183673469387754</v>
      </c>
    </row>
    <row r="144" spans="1:8" ht="12.5" thickBot="1" x14ac:dyDescent="0.35">
      <c r="A144" s="998" t="s">
        <v>1270</v>
      </c>
      <c r="B144" s="1005">
        <f>B141/B143</f>
        <v>36489.483799573078</v>
      </c>
      <c r="C144" s="1005">
        <f t="shared" ref="C144:H144" si="57">C141/C143</f>
        <v>39318.178642764316</v>
      </c>
      <c r="D144" s="1005">
        <f t="shared" si="57"/>
        <v>42146.873485955555</v>
      </c>
      <c r="E144" s="1005">
        <f t="shared" si="57"/>
        <v>44975.568329146794</v>
      </c>
      <c r="F144" s="1005">
        <f t="shared" si="57"/>
        <v>47804.263172338033</v>
      </c>
      <c r="G144" s="1005">
        <f t="shared" si="57"/>
        <v>51340.131726327083</v>
      </c>
      <c r="H144" s="1005">
        <f t="shared" si="57"/>
        <v>53461.652858720518</v>
      </c>
    </row>
    <row r="145" spans="1:7" ht="12.5" thickTop="1" x14ac:dyDescent="0.3">
      <c r="A145" s="144"/>
      <c r="B145" s="144"/>
      <c r="C145" s="144"/>
      <c r="D145" s="144"/>
      <c r="E145" s="144"/>
      <c r="F145" s="144"/>
      <c r="G145" s="144"/>
    </row>
    <row r="146" spans="1:7" hidden="1" x14ac:dyDescent="0.3">
      <c r="A146" s="995" t="s">
        <v>4147</v>
      </c>
      <c r="B146" s="183">
        <f t="shared" ref="B146:G146" si="58">B148*B147/1000</f>
        <v>4076.8800687982402</v>
      </c>
      <c r="C146" s="183">
        <f t="shared" si="58"/>
        <v>5092.7993345410778</v>
      </c>
      <c r="D146" s="183">
        <f t="shared" si="58"/>
        <v>6287.1599773134603</v>
      </c>
      <c r="E146" s="183">
        <f t="shared" si="58"/>
        <v>7953.4725814087769</v>
      </c>
      <c r="F146" s="183">
        <f t="shared" si="58"/>
        <v>9726.6593276744934</v>
      </c>
      <c r="G146" s="183">
        <f t="shared" si="58"/>
        <v>12691.371630141164</v>
      </c>
    </row>
    <row r="147" spans="1:7" hidden="1" x14ac:dyDescent="0.3">
      <c r="A147" s="995" t="s">
        <v>1847</v>
      </c>
      <c r="B147" s="151">
        <f t="shared" ref="B147:G147" si="59">B124</f>
        <v>6000</v>
      </c>
      <c r="C147" s="151">
        <f t="shared" si="59"/>
        <v>7000</v>
      </c>
      <c r="D147" s="151">
        <f t="shared" si="59"/>
        <v>8000</v>
      </c>
      <c r="E147" s="151">
        <f t="shared" si="59"/>
        <v>9000</v>
      </c>
      <c r="F147" s="151">
        <f t="shared" si="59"/>
        <v>10000</v>
      </c>
      <c r="G147" s="151">
        <f t="shared" si="59"/>
        <v>11250</v>
      </c>
    </row>
    <row r="148" spans="1:7" ht="12.5" hidden="1" thickBot="1" x14ac:dyDescent="0.35">
      <c r="A148" s="998" t="s">
        <v>4148</v>
      </c>
      <c r="B148" s="1005">
        <f>Analysis!$F$4526</f>
        <v>679.48001146637341</v>
      </c>
      <c r="C148" s="1005">
        <f>Analysis!$F$4524</f>
        <v>727.54276207729686</v>
      </c>
      <c r="D148" s="1005">
        <f>Analysis!$F$4522</f>
        <v>785.89499716418266</v>
      </c>
      <c r="E148" s="1005">
        <f>(Analysis!$F$4519+Analysis!$F$4520)/2</f>
        <v>883.71917571208633</v>
      </c>
      <c r="F148" s="1005">
        <f>(Analysis!$F$4517+Analysis!$F$4518)/2</f>
        <v>972.66593276744925</v>
      </c>
      <c r="G148" s="1005">
        <f>Analysis!$F$4515</f>
        <v>1128.1219226792145</v>
      </c>
    </row>
    <row r="149" spans="1:7" hidden="1" x14ac:dyDescent="0.3">
      <c r="A149" s="144"/>
      <c r="B149" s="144"/>
      <c r="C149" s="144"/>
      <c r="D149" s="144"/>
      <c r="E149" s="144"/>
      <c r="F149" s="144"/>
      <c r="G149" s="144"/>
    </row>
    <row r="150" spans="1:7" hidden="1" x14ac:dyDescent="0.3">
      <c r="A150" s="995" t="s">
        <v>4149</v>
      </c>
      <c r="B150" s="183">
        <f t="shared" ref="B150:G150" si="60">B151*B152/1000</f>
        <v>742.5</v>
      </c>
      <c r="C150" s="183">
        <f t="shared" si="60"/>
        <v>990</v>
      </c>
      <c r="D150" s="183">
        <f t="shared" si="60"/>
        <v>1237.5</v>
      </c>
      <c r="E150" s="183">
        <f t="shared" si="60"/>
        <v>1485</v>
      </c>
      <c r="F150" s="183">
        <f t="shared" si="60"/>
        <v>1732.5</v>
      </c>
      <c r="G150" s="183">
        <f t="shared" si="60"/>
        <v>2041.875</v>
      </c>
    </row>
    <row r="151" spans="1:7" hidden="1" x14ac:dyDescent="0.3">
      <c r="A151" s="995" t="s">
        <v>4150</v>
      </c>
      <c r="B151" s="151">
        <f t="shared" ref="B151:G151" si="61">B98</f>
        <v>1350</v>
      </c>
      <c r="C151" s="151">
        <f t="shared" si="61"/>
        <v>1800</v>
      </c>
      <c r="D151" s="151">
        <f t="shared" si="61"/>
        <v>2250</v>
      </c>
      <c r="E151" s="151">
        <f t="shared" si="61"/>
        <v>2700</v>
      </c>
      <c r="F151" s="151">
        <f t="shared" si="61"/>
        <v>3150</v>
      </c>
      <c r="G151" s="151">
        <f t="shared" si="61"/>
        <v>3712.5</v>
      </c>
    </row>
    <row r="152" spans="1:7" ht="12.5" hidden="1" thickBot="1" x14ac:dyDescent="0.35">
      <c r="A152" s="998" t="s">
        <v>4151</v>
      </c>
      <c r="B152" s="1005">
        <v>550</v>
      </c>
      <c r="C152" s="1005">
        <f>B152</f>
        <v>550</v>
      </c>
      <c r="D152" s="1005">
        <f>C152</f>
        <v>550</v>
      </c>
      <c r="E152" s="1005">
        <f>D152</f>
        <v>550</v>
      </c>
      <c r="F152" s="1005">
        <f>E152</f>
        <v>550</v>
      </c>
      <c r="G152" s="1005">
        <f>F152</f>
        <v>550</v>
      </c>
    </row>
    <row r="153" spans="1:7" hidden="1" x14ac:dyDescent="0.3">
      <c r="A153" s="998" t="s">
        <v>4152</v>
      </c>
      <c r="B153" s="1006">
        <f t="shared" ref="B153:G153" si="62">B150/B147*1000</f>
        <v>123.75</v>
      </c>
      <c r="C153" s="1006">
        <f t="shared" si="62"/>
        <v>141.42857142857144</v>
      </c>
      <c r="D153" s="1006">
        <f t="shared" si="62"/>
        <v>154.6875</v>
      </c>
      <c r="E153" s="1006">
        <f t="shared" si="62"/>
        <v>165</v>
      </c>
      <c r="F153" s="1006">
        <f t="shared" si="62"/>
        <v>173.25</v>
      </c>
      <c r="G153" s="1006">
        <f t="shared" si="62"/>
        <v>181.5</v>
      </c>
    </row>
    <row r="154" spans="1:7" hidden="1" x14ac:dyDescent="0.3">
      <c r="A154" s="998"/>
      <c r="B154" s="1006"/>
      <c r="C154" s="1006"/>
      <c r="D154" s="1006"/>
      <c r="E154" s="1006"/>
      <c r="F154" s="1006"/>
      <c r="G154" s="1006"/>
    </row>
    <row r="155" spans="1:7" hidden="1" x14ac:dyDescent="0.3">
      <c r="A155" s="995" t="s">
        <v>4153</v>
      </c>
      <c r="B155" s="622">
        <f t="shared" ref="B155:G155" si="63">B148</f>
        <v>679.48001146637341</v>
      </c>
      <c r="C155" s="622">
        <f t="shared" si="63"/>
        <v>727.54276207729686</v>
      </c>
      <c r="D155" s="622">
        <f t="shared" si="63"/>
        <v>785.89499716418266</v>
      </c>
      <c r="E155" s="622">
        <f t="shared" si="63"/>
        <v>883.71917571208633</v>
      </c>
      <c r="F155" s="622">
        <f t="shared" si="63"/>
        <v>972.66593276744925</v>
      </c>
      <c r="G155" s="622">
        <f t="shared" si="63"/>
        <v>1128.1219226792145</v>
      </c>
    </row>
    <row r="156" spans="1:7" hidden="1" x14ac:dyDescent="0.3">
      <c r="A156" s="995" t="s">
        <v>4154</v>
      </c>
      <c r="B156" s="622">
        <f t="shared" ref="B156:G156" si="64">B153</f>
        <v>123.75</v>
      </c>
      <c r="C156" s="622">
        <f t="shared" si="64"/>
        <v>141.42857142857144</v>
      </c>
      <c r="D156" s="622">
        <f t="shared" si="64"/>
        <v>154.6875</v>
      </c>
      <c r="E156" s="622">
        <f t="shared" si="64"/>
        <v>165</v>
      </c>
      <c r="F156" s="622">
        <f t="shared" si="64"/>
        <v>173.25</v>
      </c>
      <c r="G156" s="622">
        <f t="shared" si="64"/>
        <v>181.5</v>
      </c>
    </row>
    <row r="157" spans="1:7" ht="12.5" hidden="1" thickBot="1" x14ac:dyDescent="0.35">
      <c r="A157" s="998" t="s">
        <v>4155</v>
      </c>
      <c r="B157" s="1005">
        <f t="shared" ref="B157:G157" si="65">B155+B156</f>
        <v>803.23001146637341</v>
      </c>
      <c r="C157" s="1005">
        <f t="shared" si="65"/>
        <v>868.9713335058683</v>
      </c>
      <c r="D157" s="1005">
        <f t="shared" si="65"/>
        <v>940.58249716418266</v>
      </c>
      <c r="E157" s="1005">
        <f t="shared" si="65"/>
        <v>1048.7191757120863</v>
      </c>
      <c r="F157" s="1005">
        <f t="shared" si="65"/>
        <v>1145.9159327674492</v>
      </c>
      <c r="G157" s="1005">
        <f t="shared" si="65"/>
        <v>1309.6219226792145</v>
      </c>
    </row>
    <row r="158" spans="1:7" hidden="1" x14ac:dyDescent="0.3">
      <c r="A158" s="995" t="s">
        <v>1852</v>
      </c>
      <c r="B158" s="151">
        <f t="shared" ref="B158:G158" si="66">B147</f>
        <v>6000</v>
      </c>
      <c r="C158" s="151">
        <f t="shared" si="66"/>
        <v>7000</v>
      </c>
      <c r="D158" s="151">
        <f t="shared" si="66"/>
        <v>8000</v>
      </c>
      <c r="E158" s="151">
        <f t="shared" si="66"/>
        <v>9000</v>
      </c>
      <c r="F158" s="151">
        <f t="shared" si="66"/>
        <v>10000</v>
      </c>
      <c r="G158" s="151">
        <f t="shared" si="66"/>
        <v>11250</v>
      </c>
    </row>
    <row r="159" spans="1:7" hidden="1" x14ac:dyDescent="0.3">
      <c r="A159" s="998" t="s">
        <v>4156</v>
      </c>
      <c r="B159" s="1007">
        <f t="shared" ref="B159:G159" si="67">B157*B158/1000</f>
        <v>4819.3800687982402</v>
      </c>
      <c r="C159" s="1007">
        <f t="shared" si="67"/>
        <v>6082.7993345410778</v>
      </c>
      <c r="D159" s="1007">
        <f t="shared" si="67"/>
        <v>7524.6599773134603</v>
      </c>
      <c r="E159" s="1007">
        <f t="shared" si="67"/>
        <v>9438.472581408776</v>
      </c>
      <c r="F159" s="1007">
        <f t="shared" si="67"/>
        <v>11459.159327674493</v>
      </c>
      <c r="G159" s="1007">
        <f t="shared" si="67"/>
        <v>14733.246630141164</v>
      </c>
    </row>
    <row r="160" spans="1:7" hidden="1" x14ac:dyDescent="0.3">
      <c r="A160" s="995"/>
      <c r="B160" s="144"/>
      <c r="C160" s="144"/>
      <c r="D160" s="144"/>
      <c r="E160" s="144"/>
      <c r="F160" s="144"/>
      <c r="G160" s="144"/>
    </row>
    <row r="161" spans="1:11" hidden="1" x14ac:dyDescent="0.3">
      <c r="A161" s="995" t="s">
        <v>4157</v>
      </c>
      <c r="B161" s="1008">
        <f t="shared" ref="B161:G161" si="68">B159-B121</f>
        <v>4284.5100687982404</v>
      </c>
      <c r="C161" s="1008">
        <f t="shared" si="68"/>
        <v>5404.2893345410776</v>
      </c>
      <c r="D161" s="1008">
        <f t="shared" si="68"/>
        <v>6702.5099773134607</v>
      </c>
      <c r="E161" s="1008">
        <f t="shared" si="68"/>
        <v>8472.6825814087751</v>
      </c>
      <c r="F161" s="1008">
        <f t="shared" si="68"/>
        <v>10349.729327674493</v>
      </c>
      <c r="G161" s="1008">
        <f t="shared" si="68"/>
        <v>13444.266630141165</v>
      </c>
      <c r="H161" s="705"/>
      <c r="I161" s="705"/>
    </row>
    <row r="162" spans="1:11" hidden="1" x14ac:dyDescent="0.3">
      <c r="A162" s="995" t="s">
        <v>4158</v>
      </c>
      <c r="B162" s="625">
        <f t="shared" ref="B162:G162" si="69">B161/B121</f>
        <v>8.010376481758632</v>
      </c>
      <c r="C162" s="625">
        <f t="shared" si="69"/>
        <v>7.9649368978218105</v>
      </c>
      <c r="D162" s="625">
        <f t="shared" si="69"/>
        <v>8.1524174144784531</v>
      </c>
      <c r="E162" s="625">
        <f t="shared" si="69"/>
        <v>8.7728000718673549</v>
      </c>
      <c r="F162" s="625">
        <f t="shared" si="69"/>
        <v>9.3288709766947839</v>
      </c>
      <c r="G162" s="625">
        <f t="shared" si="69"/>
        <v>10.430159219026802</v>
      </c>
      <c r="H162" s="705"/>
      <c r="I162" s="705"/>
    </row>
    <row r="163" spans="1:11" hidden="1" x14ac:dyDescent="0.3">
      <c r="A163" s="995" t="s">
        <v>4159</v>
      </c>
      <c r="B163" s="1009"/>
      <c r="C163" s="1009"/>
      <c r="D163" s="1009"/>
      <c r="E163" s="1009"/>
      <c r="F163" s="1009"/>
      <c r="G163" s="1009"/>
      <c r="H163" s="705"/>
      <c r="I163" s="705"/>
    </row>
    <row r="165" spans="1:11" x14ac:dyDescent="0.3">
      <c r="A165" s="964" t="s">
        <v>4160</v>
      </c>
      <c r="B165" s="965"/>
      <c r="C165" s="965"/>
      <c r="D165" s="965"/>
      <c r="E165" s="965"/>
      <c r="F165" s="965"/>
      <c r="G165" s="965"/>
      <c r="H165" s="965"/>
      <c r="I165" s="965"/>
      <c r="J165" s="966"/>
      <c r="K165" s="966"/>
    </row>
    <row r="167" spans="1:11" x14ac:dyDescent="0.3">
      <c r="B167" s="42" t="s">
        <v>4112</v>
      </c>
      <c r="C167" s="42" t="s">
        <v>3643</v>
      </c>
      <c r="D167" s="42" t="s">
        <v>4113</v>
      </c>
      <c r="E167" s="42" t="s">
        <v>4114</v>
      </c>
      <c r="F167" s="42" t="s">
        <v>3372</v>
      </c>
      <c r="G167" s="42" t="s">
        <v>3377</v>
      </c>
    </row>
    <row r="168" spans="1:11" x14ac:dyDescent="0.3">
      <c r="A168" s="1010" t="s">
        <v>4161</v>
      </c>
      <c r="B168" s="59">
        <f>+'Segment Model'!$ED$172</f>
        <v>1000</v>
      </c>
      <c r="C168" s="1011">
        <f>B168*1.05</f>
        <v>1050</v>
      </c>
      <c r="D168" s="1011">
        <f>C168*1.05</f>
        <v>1102.5</v>
      </c>
      <c r="E168" s="1011">
        <f>D168*1.05</f>
        <v>1157.625</v>
      </c>
      <c r="F168" s="1011">
        <f>E168*1.05</f>
        <v>1215.5062500000001</v>
      </c>
      <c r="G168" s="1011">
        <f>F168*1.05</f>
        <v>1276.2815625000003</v>
      </c>
    </row>
    <row r="169" spans="1:11" x14ac:dyDescent="0.3">
      <c r="A169" s="1010" t="s">
        <v>4162</v>
      </c>
      <c r="B169" s="59">
        <f>B168</f>
        <v>1000</v>
      </c>
      <c r="C169" s="1011">
        <f>B169*1.1</f>
        <v>1100</v>
      </c>
      <c r="D169" s="1011">
        <f>C169*1.1</f>
        <v>1210</v>
      </c>
      <c r="E169" s="1011">
        <f>D169*1.1</f>
        <v>1331</v>
      </c>
      <c r="F169" s="1011">
        <f>E169*1.1</f>
        <v>1464.1000000000001</v>
      </c>
      <c r="G169" s="1011">
        <f>F169*1.1</f>
        <v>1610.5100000000002</v>
      </c>
    </row>
    <row r="170" spans="1:11" x14ac:dyDescent="0.3">
      <c r="A170" s="1010" t="s">
        <v>4163</v>
      </c>
      <c r="B170" s="59">
        <f>B169</f>
        <v>1000</v>
      </c>
      <c r="C170" s="1011">
        <f>B170*1.15</f>
        <v>1150</v>
      </c>
      <c r="D170" s="1011">
        <f>C170*1.15</f>
        <v>1322.5</v>
      </c>
      <c r="E170" s="1011">
        <f>D170*1.15</f>
        <v>1520.8749999999998</v>
      </c>
      <c r="F170" s="1011">
        <f>E170*1.15</f>
        <v>1749.0062499999997</v>
      </c>
      <c r="G170" s="1011">
        <f>F170*1.15</f>
        <v>2011.3571874999996</v>
      </c>
    </row>
    <row r="172" spans="1:11" x14ac:dyDescent="0.3">
      <c r="A172" s="1010" t="s">
        <v>4161</v>
      </c>
      <c r="B172" s="1012">
        <f>'Segment Model'!$ED$172/'Segment Model'!$DY$172-1</f>
        <v>0.19760479041916224</v>
      </c>
      <c r="C172" s="1012">
        <f>C168/B168-1</f>
        <v>5.0000000000000044E-2</v>
      </c>
      <c r="D172" s="1012">
        <f t="shared" ref="D172:G174" si="70">D168/C168-1</f>
        <v>5.0000000000000044E-2</v>
      </c>
      <c r="E172" s="1012">
        <f t="shared" si="70"/>
        <v>5.0000000000000044E-2</v>
      </c>
      <c r="F172" s="1012">
        <f t="shared" si="70"/>
        <v>5.0000000000000044E-2</v>
      </c>
      <c r="G172" s="1012">
        <f t="shared" si="70"/>
        <v>5.0000000000000044E-2</v>
      </c>
    </row>
    <row r="173" spans="1:11" x14ac:dyDescent="0.3">
      <c r="A173" s="1010" t="s">
        <v>4162</v>
      </c>
      <c r="B173" s="1012">
        <f>B172</f>
        <v>0.19760479041916224</v>
      </c>
      <c r="C173" s="1012">
        <f>C169/B169-1</f>
        <v>0.10000000000000009</v>
      </c>
      <c r="D173" s="1012">
        <f t="shared" si="70"/>
        <v>0.10000000000000009</v>
      </c>
      <c r="E173" s="1012">
        <f t="shared" si="70"/>
        <v>0.10000000000000009</v>
      </c>
      <c r="F173" s="1012">
        <f t="shared" si="70"/>
        <v>0.10000000000000009</v>
      </c>
      <c r="G173" s="1012">
        <f t="shared" si="70"/>
        <v>0.10000000000000009</v>
      </c>
    </row>
    <row r="174" spans="1:11" x14ac:dyDescent="0.3">
      <c r="A174" s="1010" t="s">
        <v>4163</v>
      </c>
      <c r="B174" s="1012">
        <f>B173</f>
        <v>0.19760479041916224</v>
      </c>
      <c r="C174" s="1012">
        <f>C170/B170-1</f>
        <v>0.14999999999999991</v>
      </c>
      <c r="D174" s="1012">
        <f t="shared" si="70"/>
        <v>0.14999999999999991</v>
      </c>
      <c r="E174" s="1012">
        <f t="shared" si="70"/>
        <v>0.14999999999999991</v>
      </c>
      <c r="F174" s="1012">
        <f t="shared" si="70"/>
        <v>0.14999999999999991</v>
      </c>
      <c r="G174" s="1012">
        <f t="shared" si="70"/>
        <v>0.14999999999999991</v>
      </c>
    </row>
    <row r="181" spans="1:7" x14ac:dyDescent="0.3">
      <c r="A181" s="964" t="s">
        <v>4111</v>
      </c>
      <c r="B181" s="965"/>
      <c r="C181" s="965"/>
      <c r="D181" s="965"/>
      <c r="E181" s="965"/>
      <c r="F181" s="965"/>
      <c r="G181" s="965"/>
    </row>
    <row r="182" spans="1:7" x14ac:dyDescent="0.3">
      <c r="B182" s="42" t="s">
        <v>4112</v>
      </c>
      <c r="C182" s="42" t="s">
        <v>3643</v>
      </c>
      <c r="D182" s="42" t="s">
        <v>4113</v>
      </c>
      <c r="E182" s="42" t="s">
        <v>4114</v>
      </c>
      <c r="F182" s="42" t="s">
        <v>3372</v>
      </c>
      <c r="G182" s="42" t="s">
        <v>3377</v>
      </c>
    </row>
    <row r="183" spans="1:7" x14ac:dyDescent="0.3">
      <c r="A183" s="1010" t="s">
        <v>4164</v>
      </c>
      <c r="B183" s="59">
        <f>+'Segment Model'!$ED$172</f>
        <v>1000</v>
      </c>
      <c r="C183" s="1011">
        <f>B183*1.05</f>
        <v>1050</v>
      </c>
      <c r="D183" s="1011">
        <f>C183*1.05</f>
        <v>1102.5</v>
      </c>
      <c r="E183" s="1011">
        <f>D183*1.05</f>
        <v>1157.625</v>
      </c>
      <c r="F183" s="1011">
        <f>E183*1.05</f>
        <v>1215.5062500000001</v>
      </c>
      <c r="G183" s="1011">
        <f>F183*1.05</f>
        <v>1276.2815625000003</v>
      </c>
    </row>
    <row r="184" spans="1:7" x14ac:dyDescent="0.3">
      <c r="A184" s="1010" t="s">
        <v>4165</v>
      </c>
      <c r="B184" s="59">
        <f>B183</f>
        <v>1000</v>
      </c>
      <c r="C184" s="1011">
        <f>B184*1.1</f>
        <v>1100</v>
      </c>
      <c r="D184" s="1011">
        <f>C184*1.1</f>
        <v>1210</v>
      </c>
      <c r="E184" s="1011">
        <f>D184*1.1</f>
        <v>1331</v>
      </c>
      <c r="F184" s="1011">
        <f>E184*1.1</f>
        <v>1464.1000000000001</v>
      </c>
      <c r="G184" s="1011">
        <f>F184*1.1</f>
        <v>1610.5100000000002</v>
      </c>
    </row>
    <row r="185" spans="1:7" x14ac:dyDescent="0.3">
      <c r="A185" s="1010" t="s">
        <v>4166</v>
      </c>
      <c r="B185" s="59">
        <f>B184</f>
        <v>1000</v>
      </c>
      <c r="C185" s="1011">
        <f>B185*1.15</f>
        <v>1150</v>
      </c>
      <c r="D185" s="1011">
        <f>C185*1.15</f>
        <v>1322.5</v>
      </c>
      <c r="E185" s="1011">
        <f>D185*1.15</f>
        <v>1520.8749999999998</v>
      </c>
      <c r="F185" s="1011">
        <f>E185*1.15</f>
        <v>1749.0062499999997</v>
      </c>
      <c r="G185" s="1011">
        <f>F185*1.15</f>
        <v>2011.3571874999996</v>
      </c>
    </row>
    <row r="187" spans="1:7" x14ac:dyDescent="0.3">
      <c r="A187" s="1010" t="s">
        <v>4164</v>
      </c>
      <c r="B187" s="1012">
        <f>'Segment Model'!$ED$172/'Segment Model'!$DY$172-1</f>
        <v>0.19760479041916224</v>
      </c>
      <c r="C187" s="1012">
        <f>C183/B183-1</f>
        <v>5.0000000000000044E-2</v>
      </c>
      <c r="D187" s="1012">
        <f t="shared" ref="D187:G189" si="71">D183/C183-1</f>
        <v>5.0000000000000044E-2</v>
      </c>
      <c r="E187" s="1012">
        <f t="shared" si="71"/>
        <v>5.0000000000000044E-2</v>
      </c>
      <c r="F187" s="1012">
        <f t="shared" si="71"/>
        <v>5.0000000000000044E-2</v>
      </c>
      <c r="G187" s="1012">
        <f t="shared" si="71"/>
        <v>5.0000000000000044E-2</v>
      </c>
    </row>
    <row r="188" spans="1:7" x14ac:dyDescent="0.3">
      <c r="A188" s="1010" t="s">
        <v>4165</v>
      </c>
      <c r="B188" s="1012">
        <f>B187</f>
        <v>0.19760479041916224</v>
      </c>
      <c r="C188" s="1012">
        <f>C184/B184-1</f>
        <v>0.10000000000000009</v>
      </c>
      <c r="D188" s="1012">
        <f t="shared" si="71"/>
        <v>0.10000000000000009</v>
      </c>
      <c r="E188" s="1012">
        <f t="shared" si="71"/>
        <v>0.10000000000000009</v>
      </c>
      <c r="F188" s="1012">
        <f t="shared" si="71"/>
        <v>0.10000000000000009</v>
      </c>
      <c r="G188" s="1012">
        <f t="shared" si="71"/>
        <v>0.10000000000000009</v>
      </c>
    </row>
    <row r="189" spans="1:7" x14ac:dyDescent="0.3">
      <c r="A189" s="1010" t="s">
        <v>4166</v>
      </c>
      <c r="B189" s="1012">
        <f>B188</f>
        <v>0.19760479041916224</v>
      </c>
      <c r="C189" s="1012">
        <f>C185/B185-1</f>
        <v>0.14999999999999991</v>
      </c>
      <c r="D189" s="1012">
        <f t="shared" si="71"/>
        <v>0.14999999999999991</v>
      </c>
      <c r="E189" s="1012">
        <f t="shared" si="71"/>
        <v>0.14999999999999991</v>
      </c>
      <c r="F189" s="1012">
        <f t="shared" si="71"/>
        <v>0.14999999999999991</v>
      </c>
      <c r="G189" s="1012">
        <f t="shared" si="71"/>
        <v>0.14999999999999991</v>
      </c>
    </row>
    <row r="205" spans="1:12" x14ac:dyDescent="0.3">
      <c r="A205" s="964" t="s">
        <v>4167</v>
      </c>
      <c r="B205" s="965"/>
      <c r="C205" s="965"/>
      <c r="D205" s="965"/>
      <c r="E205" s="965"/>
      <c r="F205" s="965"/>
      <c r="G205" s="965"/>
    </row>
    <row r="207" spans="1:12" ht="24" x14ac:dyDescent="0.3">
      <c r="A207" s="144"/>
      <c r="B207" s="967" t="s">
        <v>4112</v>
      </c>
      <c r="C207" s="967" t="s">
        <v>3643</v>
      </c>
      <c r="D207" s="967" t="s">
        <v>4113</v>
      </c>
      <c r="E207" s="967" t="s">
        <v>4114</v>
      </c>
      <c r="F207" s="967" t="s">
        <v>3372</v>
      </c>
      <c r="G207" s="967" t="s">
        <v>3377</v>
      </c>
      <c r="H207" s="968" t="s">
        <v>4115</v>
      </c>
    </row>
    <row r="208" spans="1:12" x14ac:dyDescent="0.3">
      <c r="A208" s="998" t="s">
        <v>2350</v>
      </c>
      <c r="B208" s="45">
        <f t="shared" ref="B208:G213" si="72">B66</f>
        <v>1596.6246827499999</v>
      </c>
      <c r="C208" s="45">
        <f t="shared" si="72"/>
        <v>1297.3326634277157</v>
      </c>
      <c r="D208" s="45">
        <f t="shared" si="72"/>
        <v>1244.9801163685693</v>
      </c>
      <c r="E208" s="45">
        <f t="shared" si="72"/>
        <v>1299.8928351899867</v>
      </c>
      <c r="F208" s="45">
        <f t="shared" si="72"/>
        <v>1487.9263135100609</v>
      </c>
      <c r="G208" s="45">
        <f t="shared" si="72"/>
        <v>1828.2077828834567</v>
      </c>
      <c r="H208" s="1013">
        <f>IFERROR((G208/B208)^(1/5)-1, "")</f>
        <v>2.7459099889288519E-2</v>
      </c>
      <c r="J208" s="58">
        <f>K66</f>
        <v>1981.0000000000002</v>
      </c>
      <c r="L208" s="58">
        <f>L66</f>
        <v>0</v>
      </c>
    </row>
    <row r="209" spans="1:11" x14ac:dyDescent="0.3">
      <c r="A209" s="979" t="s">
        <v>4117</v>
      </c>
      <c r="B209" s="980">
        <f t="shared" si="72"/>
        <v>-0.19403095267541659</v>
      </c>
      <c r="C209" s="980">
        <f t="shared" si="72"/>
        <v>-0.1874529578277524</v>
      </c>
      <c r="D209" s="980">
        <f t="shared" si="72"/>
        <v>-4.0353988252191608E-2</v>
      </c>
      <c r="E209" s="980">
        <f t="shared" si="72"/>
        <v>4.4107305891430748E-2</v>
      </c>
      <c r="F209" s="980">
        <f t="shared" si="72"/>
        <v>0.14465306156764224</v>
      </c>
      <c r="G209" s="980">
        <f t="shared" si="72"/>
        <v>0.22869510827499373</v>
      </c>
      <c r="H209" s="988"/>
    </row>
    <row r="210" spans="1:11" x14ac:dyDescent="0.3">
      <c r="A210" s="998" t="s">
        <v>1436</v>
      </c>
      <c r="B210" s="45">
        <f t="shared" si="72"/>
        <v>2400.3753172500001</v>
      </c>
      <c r="C210" s="45">
        <f t="shared" si="72"/>
        <v>2244.8755854144683</v>
      </c>
      <c r="D210" s="45">
        <f t="shared" si="72"/>
        <v>2123.3240732600361</v>
      </c>
      <c r="E210" s="45">
        <f t="shared" si="72"/>
        <v>2026.8906504912266</v>
      </c>
      <c r="F210" s="45">
        <f t="shared" si="72"/>
        <v>1952.4437656101463</v>
      </c>
      <c r="G210" s="45">
        <f t="shared" si="72"/>
        <v>1898.5747041568002</v>
      </c>
      <c r="H210" s="1013">
        <f>IFERROR((G210/B210)^(1/5)-1, "")</f>
        <v>-4.5821322096737505E-2</v>
      </c>
      <c r="J210" s="58">
        <f>K68</f>
        <v>2581</v>
      </c>
      <c r="K210" s="58">
        <f>K68</f>
        <v>2581</v>
      </c>
    </row>
    <row r="211" spans="1:11" x14ac:dyDescent="0.3">
      <c r="A211" s="979" t="s">
        <v>4117</v>
      </c>
      <c r="B211" s="980">
        <f t="shared" si="72"/>
        <v>-6.9982441979852705E-2</v>
      </c>
      <c r="C211" s="980">
        <f t="shared" si="72"/>
        <v>-6.4781424270634713E-2</v>
      </c>
      <c r="D211" s="980">
        <f t="shared" si="72"/>
        <v>-5.4146213244147479E-2</v>
      </c>
      <c r="E211" s="980">
        <f t="shared" si="72"/>
        <v>-4.5416252744099994E-2</v>
      </c>
      <c r="F211" s="980">
        <f t="shared" si="72"/>
        <v>-3.6729601008834711E-2</v>
      </c>
      <c r="G211" s="980">
        <f t="shared" si="72"/>
        <v>-2.7590582838892597E-2</v>
      </c>
      <c r="H211" s="144"/>
    </row>
    <row r="212" spans="1:11" x14ac:dyDescent="0.3">
      <c r="A212" s="998" t="s">
        <v>4168</v>
      </c>
      <c r="B212" s="51">
        <f t="shared" si="72"/>
        <v>3997</v>
      </c>
      <c r="C212" s="51">
        <f t="shared" si="72"/>
        <v>3542.2082488421843</v>
      </c>
      <c r="D212" s="51">
        <f t="shared" si="72"/>
        <v>3368.3041896286054</v>
      </c>
      <c r="E212" s="51">
        <f t="shared" si="72"/>
        <v>3326.7834856812133</v>
      </c>
      <c r="F212" s="51">
        <f t="shared" si="72"/>
        <v>3440.3700791202073</v>
      </c>
      <c r="G212" s="51">
        <f t="shared" si="72"/>
        <v>3726.7824870402569</v>
      </c>
      <c r="H212" s="983">
        <f>IFERROR((G212/B212)^(1/5)-1, "")</f>
        <v>-1.3902223479790199E-2</v>
      </c>
    </row>
    <row r="213" spans="1:11" x14ac:dyDescent="0.3">
      <c r="A213" s="979" t="s">
        <v>4117</v>
      </c>
      <c r="B213" s="980">
        <f t="shared" si="72"/>
        <v>-0.12384918895221397</v>
      </c>
      <c r="C213" s="980">
        <f t="shared" si="72"/>
        <v>-0.11378327524588838</v>
      </c>
      <c r="D213" s="980">
        <f t="shared" si="72"/>
        <v>-4.9094815153914673E-2</v>
      </c>
      <c r="E213" s="980">
        <f t="shared" si="72"/>
        <v>-1.23268866497388E-2</v>
      </c>
      <c r="F213" s="980">
        <f t="shared" si="72"/>
        <v>3.4143067599043064E-2</v>
      </c>
      <c r="G213" s="980">
        <f t="shared" si="72"/>
        <v>8.3250464727123941E-2</v>
      </c>
      <c r="H213" s="144"/>
    </row>
    <row r="214" spans="1:11" x14ac:dyDescent="0.3">
      <c r="A214" s="995"/>
      <c r="B214" s="984"/>
      <c r="C214" s="984"/>
      <c r="D214" s="984"/>
      <c r="E214" s="984"/>
      <c r="F214" s="984"/>
      <c r="G214" s="984"/>
      <c r="H214" s="144"/>
    </row>
    <row r="215" spans="1:11" x14ac:dyDescent="0.3">
      <c r="A215" s="998" t="s">
        <v>395</v>
      </c>
      <c r="B215" s="45">
        <f t="shared" ref="B215:G215" si="73">B212-B218</f>
        <v>2591</v>
      </c>
      <c r="C215" s="45">
        <f t="shared" si="73"/>
        <v>2375.3525109896</v>
      </c>
      <c r="D215" s="45">
        <f t="shared" si="73"/>
        <v>2351.5989858797038</v>
      </c>
      <c r="E215" s="45">
        <f t="shared" si="73"/>
        <v>2339.8409909503052</v>
      </c>
      <c r="F215" s="45">
        <f t="shared" si="73"/>
        <v>2339.8409909503052</v>
      </c>
      <c r="G215" s="45">
        <f t="shared" si="73"/>
        <v>2351.5401959050564</v>
      </c>
      <c r="H215" s="1013">
        <f>IFERROR((G215/B215)^(1/5)-1, "")</f>
        <v>-1.9207810391705049E-2</v>
      </c>
      <c r="J215" s="59">
        <f>+'Segment Model'!$DY$317</f>
        <v>2812</v>
      </c>
    </row>
    <row r="216" spans="1:11" x14ac:dyDescent="0.3">
      <c r="A216" s="979" t="s">
        <v>4117</v>
      </c>
      <c r="B216" s="980">
        <f>B215/J215-1</f>
        <v>-7.8591749644381204E-2</v>
      </c>
      <c r="C216" s="980">
        <f>C215/B215-1</f>
        <v>-8.3229443848089502E-2</v>
      </c>
      <c r="D216" s="980">
        <f>D215/C215-1</f>
        <v>-1.0000000000000009E-2</v>
      </c>
      <c r="E216" s="980">
        <f>E215/D215-1</f>
        <v>-5.0000000000000044E-3</v>
      </c>
      <c r="F216" s="980">
        <f>F215/E215-1</f>
        <v>0</v>
      </c>
      <c r="G216" s="980">
        <f>G215/F215-1</f>
        <v>4.9999999999998934E-3</v>
      </c>
      <c r="H216" s="144"/>
    </row>
    <row r="217" spans="1:11" x14ac:dyDescent="0.3">
      <c r="A217" s="979" t="s">
        <v>4169</v>
      </c>
      <c r="B217" s="980">
        <f t="shared" ref="B217:G217" si="74">B215/B212</f>
        <v>0.64823617713284964</v>
      </c>
      <c r="C217" s="980">
        <f t="shared" si="74"/>
        <v>0.67058522371348839</v>
      </c>
      <c r="D217" s="980">
        <f t="shared" si="74"/>
        <v>0.6981551705218747</v>
      </c>
      <c r="E217" s="980">
        <f t="shared" si="74"/>
        <v>0.70333431707269178</v>
      </c>
      <c r="F217" s="980">
        <f t="shared" si="74"/>
        <v>0.68011316722899295</v>
      </c>
      <c r="G217" s="980">
        <f t="shared" si="74"/>
        <v>0.63098402015208754</v>
      </c>
      <c r="H217" s="144"/>
    </row>
    <row r="218" spans="1:11" x14ac:dyDescent="0.3">
      <c r="A218" s="998" t="s">
        <v>44</v>
      </c>
      <c r="B218" s="51">
        <f>+'Segment Model'!ED321</f>
        <v>1406</v>
      </c>
      <c r="C218" s="51">
        <f>+'Segment Model'!EI321</f>
        <v>1166.8557378525843</v>
      </c>
      <c r="D218" s="51">
        <f>+'Segment Model'!EJ321</f>
        <v>1016.7052037489016</v>
      </c>
      <c r="E218" s="51">
        <f>+'Segment Model'!EK321</f>
        <v>986.94249473090804</v>
      </c>
      <c r="F218" s="51">
        <f>+'Segment Model'!EL321</f>
        <v>1100.529088169902</v>
      </c>
      <c r="G218" s="51">
        <f>+'Segment Model'!EM321</f>
        <v>1375.2422911352005</v>
      </c>
      <c r="H218" s="983">
        <f>IFERROR((G218/B218)^(1/5)-1, "")</f>
        <v>-4.4140027397882031E-3</v>
      </c>
      <c r="J218" s="50">
        <f>+'Segment Model'!DY321</f>
        <v>1750.0000000000005</v>
      </c>
    </row>
    <row r="219" spans="1:11" x14ac:dyDescent="0.3">
      <c r="A219" s="979" t="s">
        <v>4117</v>
      </c>
      <c r="B219" s="980">
        <f>B218/J218-1</f>
        <v>-0.19657142857142873</v>
      </c>
      <c r="C219" s="980">
        <f>C218/B218-1</f>
        <v>-0.17008837990570103</v>
      </c>
      <c r="D219" s="980">
        <f>D218/C218-1</f>
        <v>-0.12867960385575283</v>
      </c>
      <c r="E219" s="980">
        <f>E218/D218-1</f>
        <v>-2.9273686126764509E-2</v>
      </c>
      <c r="F219" s="980">
        <f>F218/E218-1</f>
        <v>0.11508937354041437</v>
      </c>
      <c r="G219" s="980">
        <f>G218/F218-1</f>
        <v>0.24961921126694264</v>
      </c>
      <c r="H219" s="144"/>
    </row>
    <row r="220" spans="1:11" x14ac:dyDescent="0.3">
      <c r="A220" s="979" t="s">
        <v>2418</v>
      </c>
      <c r="B220" s="980">
        <f t="shared" ref="B220:G220" si="75">+B218/B212</f>
        <v>0.35176382286715036</v>
      </c>
      <c r="C220" s="980">
        <f t="shared" si="75"/>
        <v>0.32941477628651167</v>
      </c>
      <c r="D220" s="980">
        <f t="shared" si="75"/>
        <v>0.30184482947812535</v>
      </c>
      <c r="E220" s="980">
        <f t="shared" si="75"/>
        <v>0.29666568292730822</v>
      </c>
      <c r="F220" s="980">
        <f t="shared" si="75"/>
        <v>0.31988683277100705</v>
      </c>
      <c r="G220" s="980">
        <f t="shared" si="75"/>
        <v>0.36901597984791246</v>
      </c>
      <c r="H220" s="144"/>
    </row>
    <row r="222" spans="1:11" x14ac:dyDescent="0.3">
      <c r="A222" s="964" t="s">
        <v>4170</v>
      </c>
      <c r="B222" s="965"/>
      <c r="C222" s="965"/>
      <c r="D222" s="965"/>
      <c r="E222" s="965"/>
      <c r="F222" s="965"/>
      <c r="G222" s="965"/>
    </row>
    <row r="224" spans="1:11" ht="24" x14ac:dyDescent="0.3">
      <c r="A224" s="144"/>
      <c r="B224" s="967" t="s">
        <v>4112</v>
      </c>
      <c r="C224" s="967" t="s">
        <v>3643</v>
      </c>
      <c r="D224" s="967" t="s">
        <v>4113</v>
      </c>
      <c r="E224" s="967" t="s">
        <v>4114</v>
      </c>
      <c r="F224" s="967" t="s">
        <v>3372</v>
      </c>
      <c r="G224" s="967" t="s">
        <v>3377</v>
      </c>
      <c r="H224" s="968" t="s">
        <v>4115</v>
      </c>
    </row>
    <row r="225" spans="1:13" x14ac:dyDescent="0.3">
      <c r="A225" s="998" t="s">
        <v>2350</v>
      </c>
      <c r="B225" s="45">
        <f t="shared" ref="B225:G225" si="76">+B208+B8</f>
        <v>3484</v>
      </c>
      <c r="C225" s="45">
        <f t="shared" si="76"/>
        <v>3289.7494383100902</v>
      </c>
      <c r="D225" s="45">
        <f t="shared" si="76"/>
        <v>3420.0121386211745</v>
      </c>
      <c r="E225" s="45">
        <f t="shared" si="76"/>
        <v>3654.1113731224891</v>
      </c>
      <c r="F225" s="45">
        <f t="shared" si="76"/>
        <v>3919.2080358220664</v>
      </c>
      <c r="G225" s="45">
        <f t="shared" si="76"/>
        <v>4235.2339987717423</v>
      </c>
      <c r="H225" s="1013">
        <f>IFERROR((G225/B225)^(1/5)-1, "")</f>
        <v>3.9824037604163864E-2</v>
      </c>
      <c r="J225" s="58">
        <f>+J208+K8</f>
        <v>3831</v>
      </c>
    </row>
    <row r="226" spans="1:13" x14ac:dyDescent="0.3">
      <c r="A226" s="979" t="s">
        <v>4117</v>
      </c>
      <c r="B226" s="980">
        <f>B225/J225-1</f>
        <v>-9.0576872879143844E-2</v>
      </c>
      <c r="C226" s="980">
        <f>C225/B225-1</f>
        <v>-5.5755040668745592E-2</v>
      </c>
      <c r="D226" s="980">
        <f>D225/C225-1</f>
        <v>3.9596541546337072E-2</v>
      </c>
      <c r="E226" s="980">
        <f>E225/D225-1</f>
        <v>6.84498256183661E-2</v>
      </c>
      <c r="F226" s="980">
        <f>F225/E225-1</f>
        <v>7.2547504887090719E-2</v>
      </c>
      <c r="G226" s="980">
        <f>G225/F225-1</f>
        <v>8.0635158955880248E-2</v>
      </c>
      <c r="H226" s="988"/>
    </row>
    <row r="227" spans="1:13" x14ac:dyDescent="0.3">
      <c r="A227" s="998" t="s">
        <v>1436</v>
      </c>
      <c r="B227" s="45">
        <f t="shared" ref="B227:G227" si="77">+B210+B10</f>
        <v>3113</v>
      </c>
      <c r="C227" s="45">
        <f t="shared" si="77"/>
        <v>2817.3211873665673</v>
      </c>
      <c r="D227" s="45">
        <f t="shared" si="77"/>
        <v>2648.2874261798579</v>
      </c>
      <c r="E227" s="45">
        <f t="shared" si="77"/>
        <v>2529.709322293384</v>
      </c>
      <c r="F227" s="45">
        <f t="shared" si="77"/>
        <v>2435.2044611633673</v>
      </c>
      <c r="G227" s="45">
        <f t="shared" si="77"/>
        <v>2363.0965357765094</v>
      </c>
      <c r="H227" s="1013">
        <f>IFERROR((G227/B227)^(1/5)-1, "")</f>
        <v>-5.3631081052641805E-2</v>
      </c>
      <c r="J227" s="58">
        <f>+J210+K10</f>
        <v>3326</v>
      </c>
    </row>
    <row r="228" spans="1:13" x14ac:dyDescent="0.3">
      <c r="A228" s="979" t="s">
        <v>4117</v>
      </c>
      <c r="B228" s="980">
        <f>B227/J227-1</f>
        <v>-6.4040889957907354E-2</v>
      </c>
      <c r="C228" s="980">
        <f>C227/B227-1</f>
        <v>-9.4981950733515119E-2</v>
      </c>
      <c r="D228" s="980">
        <f>D227/C227-1</f>
        <v>-5.9998044221826974E-2</v>
      </c>
      <c r="E228" s="980">
        <f>E227/D227-1</f>
        <v>-4.4775390584216979E-2</v>
      </c>
      <c r="F228" s="980">
        <f>F227/E227-1</f>
        <v>-3.735799219980751E-2</v>
      </c>
      <c r="G228" s="980">
        <f>G227/F227-1</f>
        <v>-2.9610624708041877E-2</v>
      </c>
      <c r="H228" s="144"/>
    </row>
    <row r="229" spans="1:13" x14ac:dyDescent="0.3">
      <c r="A229" s="998" t="s">
        <v>36</v>
      </c>
      <c r="B229" s="45">
        <f t="shared" ref="B229:G229" si="78">B72</f>
        <v>366</v>
      </c>
      <c r="C229" s="45">
        <f t="shared" si="78"/>
        <v>332</v>
      </c>
      <c r="D229" s="45">
        <f t="shared" si="78"/>
        <v>49.800000000000004</v>
      </c>
      <c r="E229" s="45">
        <f t="shared" si="78"/>
        <v>19.920000000000002</v>
      </c>
      <c r="F229" s="45">
        <f t="shared" si="78"/>
        <v>19.920000000000002</v>
      </c>
      <c r="G229" s="45">
        <f t="shared" si="78"/>
        <v>19.920000000000002</v>
      </c>
      <c r="H229" s="1013">
        <f>IFERROR((G229/B229)^(1/5)-1, "")</f>
        <v>-0.44132189710892233</v>
      </c>
      <c r="I229" s="58">
        <f>I72</f>
        <v>0</v>
      </c>
      <c r="J229" s="58">
        <f>K72</f>
        <v>345</v>
      </c>
      <c r="K229" s="58">
        <f>K72</f>
        <v>345</v>
      </c>
      <c r="L229" s="58">
        <f>L72</f>
        <v>0</v>
      </c>
      <c r="M229" s="58">
        <f>M72</f>
        <v>0</v>
      </c>
    </row>
    <row r="230" spans="1:13" x14ac:dyDescent="0.3">
      <c r="A230" s="979" t="s">
        <v>4117</v>
      </c>
      <c r="B230" s="980">
        <f>B229/J229-1</f>
        <v>6.0869565217391397E-2</v>
      </c>
      <c r="C230" s="980">
        <f>C229/B229-1</f>
        <v>-9.289617486338797E-2</v>
      </c>
      <c r="D230" s="980">
        <f>D229/C229-1</f>
        <v>-0.85</v>
      </c>
      <c r="E230" s="980">
        <f>E229/D229-1</f>
        <v>-0.6</v>
      </c>
      <c r="F230" s="980">
        <f>F229/E229-1</f>
        <v>0</v>
      </c>
      <c r="G230" s="980">
        <f>G229/F229-1</f>
        <v>0</v>
      </c>
      <c r="H230" s="144"/>
    </row>
    <row r="231" spans="1:13" x14ac:dyDescent="0.3">
      <c r="A231" s="998" t="s">
        <v>19</v>
      </c>
      <c r="B231" s="51">
        <f t="shared" ref="B231:G231" si="79">+B229+B227+B225</f>
        <v>6963</v>
      </c>
      <c r="C231" s="51">
        <f t="shared" si="79"/>
        <v>6439.0706256766571</v>
      </c>
      <c r="D231" s="51">
        <f t="shared" si="79"/>
        <v>6118.0995648010321</v>
      </c>
      <c r="E231" s="51">
        <f t="shared" si="79"/>
        <v>6203.7406954158732</v>
      </c>
      <c r="F231" s="51">
        <f t="shared" si="79"/>
        <v>6374.3324969854339</v>
      </c>
      <c r="G231" s="51">
        <f t="shared" si="79"/>
        <v>6618.2505345482514</v>
      </c>
      <c r="H231" s="983">
        <f>IFERROR((G231/B231)^(1/5)-1, "")</f>
        <v>-1.0104473419405569E-2</v>
      </c>
    </row>
    <row r="232" spans="1:13" x14ac:dyDescent="0.3">
      <c r="A232" s="979" t="s">
        <v>4117</v>
      </c>
      <c r="B232" s="980" t="e">
        <f>+B231/Drivers!#REF!-1</f>
        <v>#REF!</v>
      </c>
      <c r="C232" s="980">
        <f>C231/B231-1</f>
        <v>-7.5244775861459612E-2</v>
      </c>
      <c r="D232" s="980">
        <f>D231/C231-1</f>
        <v>-4.984742046402002E-2</v>
      </c>
      <c r="E232" s="980">
        <f>E231/D231-1</f>
        <v>1.3997995571624289E-2</v>
      </c>
      <c r="F232" s="980">
        <f>F231/E231-1</f>
        <v>2.7498215986947239E-2</v>
      </c>
      <c r="G232" s="980">
        <f>G231/F231-1</f>
        <v>3.8265659608778257E-2</v>
      </c>
      <c r="H232" s="144"/>
    </row>
    <row r="233" spans="1:13" x14ac:dyDescent="0.3">
      <c r="A233" s="995"/>
      <c r="B233" s="984"/>
      <c r="C233" s="984"/>
      <c r="D233" s="984"/>
      <c r="E233" s="984"/>
      <c r="F233" s="984"/>
      <c r="G233" s="984"/>
      <c r="H233" s="144"/>
    </row>
    <row r="234" spans="1:13" x14ac:dyDescent="0.3">
      <c r="A234" s="998" t="s">
        <v>395</v>
      </c>
      <c r="B234" s="45">
        <f t="shared" ref="B234:G234" si="80">B231-B237</f>
        <v>4188</v>
      </c>
      <c r="C234" s="45">
        <f t="shared" si="80"/>
        <v>3964.0706256766571</v>
      </c>
      <c r="D234" s="45">
        <f t="shared" si="80"/>
        <v>4038.0995648010321</v>
      </c>
      <c r="E234" s="45">
        <f t="shared" si="80"/>
        <v>4076.7406954158732</v>
      </c>
      <c r="F234" s="45">
        <f t="shared" si="80"/>
        <v>4123.3324969854339</v>
      </c>
      <c r="G234" s="45">
        <f t="shared" si="80"/>
        <v>4201.795937636557</v>
      </c>
      <c r="H234" s="1013">
        <f>IFERROR((G234/B234)^(1/5)-1, "")</f>
        <v>6.5796538103768398E-4</v>
      </c>
      <c r="J234" s="59">
        <f>+'Segment Model'!$DY$317</f>
        <v>2812</v>
      </c>
    </row>
    <row r="235" spans="1:13" x14ac:dyDescent="0.3">
      <c r="A235" s="979" t="s">
        <v>4117</v>
      </c>
      <c r="B235" s="980">
        <f>B234/J234-1</f>
        <v>0.48933143669985779</v>
      </c>
      <c r="C235" s="980">
        <f>C234/B234-1</f>
        <v>-5.3469287087713258E-2</v>
      </c>
      <c r="D235" s="980">
        <f>D234/C234-1</f>
        <v>1.8674979866621033E-2</v>
      </c>
      <c r="E235" s="980">
        <f>E234/D234-1</f>
        <v>9.5691376586315435E-3</v>
      </c>
      <c r="F235" s="980">
        <f>F234/E234-1</f>
        <v>1.1428689006870441E-2</v>
      </c>
      <c r="G235" s="980">
        <f>G234/F234-1</f>
        <v>1.9029132554429617E-2</v>
      </c>
      <c r="H235" s="144"/>
    </row>
    <row r="236" spans="1:13" x14ac:dyDescent="0.3">
      <c r="A236" s="979" t="s">
        <v>4169</v>
      </c>
      <c r="B236" s="980">
        <f t="shared" ref="B236:G236" si="81">B234/B231</f>
        <v>0.6014648858250754</v>
      </c>
      <c r="C236" s="980">
        <f t="shared" si="81"/>
        <v>0.6156277599859511</v>
      </c>
      <c r="D236" s="980">
        <f t="shared" si="81"/>
        <v>0.66002514702984505</v>
      </c>
      <c r="E236" s="980">
        <f t="shared" si="81"/>
        <v>0.65714234291389662</v>
      </c>
      <c r="F236" s="980">
        <f t="shared" si="81"/>
        <v>0.64686498530402226</v>
      </c>
      <c r="G236" s="980">
        <f t="shared" si="81"/>
        <v>0.63488015687870347</v>
      </c>
      <c r="H236" s="144"/>
    </row>
    <row r="237" spans="1:13" x14ac:dyDescent="0.3">
      <c r="A237" s="998" t="s">
        <v>44</v>
      </c>
      <c r="B237" s="51">
        <f>+'Model Main'!$ED$48</f>
        <v>2775</v>
      </c>
      <c r="C237" s="51">
        <f>+'Model Main'!EI48</f>
        <v>2475</v>
      </c>
      <c r="D237" s="51">
        <f>+'Model Main'!EN48</f>
        <v>2080</v>
      </c>
      <c r="E237" s="51">
        <f>+'Model Main'!ES48</f>
        <v>2127</v>
      </c>
      <c r="F237" s="51">
        <f>+'Model Main'!EX48</f>
        <v>2251</v>
      </c>
      <c r="G237" s="51">
        <f>+'Model Main'!FC48</f>
        <v>2416.4545969116944</v>
      </c>
      <c r="H237" s="983">
        <f>IFERROR((G237/B237)^(1/5)-1, "")</f>
        <v>-2.7290560546335607E-2</v>
      </c>
      <c r="J237" s="50">
        <f>+'Model Main'!DY48</f>
        <v>2930</v>
      </c>
    </row>
    <row r="238" spans="1:13" x14ac:dyDescent="0.3">
      <c r="A238" s="979" t="s">
        <v>4117</v>
      </c>
      <c r="B238" s="980">
        <f>B237/J237-1</f>
        <v>-5.2901023890784993E-2</v>
      </c>
      <c r="C238" s="980">
        <f>C237/B237-1</f>
        <v>-0.10810810810810811</v>
      </c>
      <c r="D238" s="980">
        <f>D237/C237-1</f>
        <v>-0.15959595959595962</v>
      </c>
      <c r="E238" s="980">
        <f>E237/D237-1</f>
        <v>2.2596153846153877E-2</v>
      </c>
      <c r="F238" s="980">
        <f>F237/E237-1</f>
        <v>5.8298072402444667E-2</v>
      </c>
      <c r="G238" s="980">
        <f>G237/F237-1</f>
        <v>7.3502708534737504E-2</v>
      </c>
      <c r="H238" s="144"/>
    </row>
    <row r="239" spans="1:13" x14ac:dyDescent="0.3">
      <c r="A239" s="979" t="s">
        <v>2418</v>
      </c>
      <c r="B239" s="980">
        <f t="shared" ref="B239:G239" si="82">+B237/B231</f>
        <v>0.3985351141749246</v>
      </c>
      <c r="C239" s="980">
        <f t="shared" si="82"/>
        <v>0.3843722400140489</v>
      </c>
      <c r="D239" s="980">
        <f t="shared" si="82"/>
        <v>0.33997485297015495</v>
      </c>
      <c r="E239" s="980">
        <f t="shared" si="82"/>
        <v>0.34285765708610338</v>
      </c>
      <c r="F239" s="980">
        <f t="shared" si="82"/>
        <v>0.3531350146959778</v>
      </c>
      <c r="G239" s="980">
        <f t="shared" si="82"/>
        <v>0.36511984312129653</v>
      </c>
      <c r="H239" s="144"/>
    </row>
    <row r="241" spans="1:8" x14ac:dyDescent="0.3">
      <c r="A241" s="964" t="s">
        <v>4171</v>
      </c>
      <c r="B241" s="965"/>
      <c r="C241" s="965"/>
      <c r="D241" s="965"/>
      <c r="E241" s="965"/>
      <c r="F241" s="965"/>
      <c r="G241" s="965"/>
    </row>
    <row r="243" spans="1:8" ht="24" x14ac:dyDescent="0.3">
      <c r="A243" s="144"/>
      <c r="B243" s="967" t="s">
        <v>4112</v>
      </c>
      <c r="C243" s="967" t="s">
        <v>3643</v>
      </c>
      <c r="D243" s="967" t="s">
        <v>4113</v>
      </c>
      <c r="E243" s="967" t="s">
        <v>4114</v>
      </c>
      <c r="F243" s="967" t="s">
        <v>3372</v>
      </c>
      <c r="G243" s="967" t="s">
        <v>3377</v>
      </c>
      <c r="H243" s="968" t="s">
        <v>4115</v>
      </c>
    </row>
    <row r="244" spans="1:8" x14ac:dyDescent="0.3">
      <c r="A244" s="144"/>
      <c r="B244" s="144"/>
      <c r="C244" s="144"/>
      <c r="D244" s="144"/>
      <c r="E244" s="144"/>
      <c r="F244" s="144"/>
      <c r="G244" s="144"/>
      <c r="H244" s="144"/>
    </row>
    <row r="245" spans="1:8" x14ac:dyDescent="0.3">
      <c r="A245" s="998" t="s">
        <v>284</v>
      </c>
      <c r="B245" s="45">
        <f>'Segment Model'!ED165</f>
        <v>2600</v>
      </c>
      <c r="C245" s="45">
        <f>'Segment Model'!EI165</f>
        <v>2564.8623768344733</v>
      </c>
      <c r="D245" s="45">
        <f>'Segment Model'!EJ165</f>
        <v>2699.995375172427</v>
      </c>
      <c r="E245" s="45">
        <f>'Segment Model'!EK165</f>
        <v>2857.0372097346599</v>
      </c>
      <c r="F245" s="45">
        <f>'Segment Model'!EL165</f>
        <v>2914.0424178652265</v>
      </c>
      <c r="G245" s="45">
        <f>'Segment Model'!EM165</f>
        <v>2871.5480475079953</v>
      </c>
      <c r="H245" s="45"/>
    </row>
    <row r="246" spans="1:8" x14ac:dyDescent="0.3">
      <c r="A246" s="979" t="s">
        <v>4117</v>
      </c>
      <c r="B246" s="984">
        <f>'Segment Model'!$ED$166</f>
        <v>1.9267822736031004E-3</v>
      </c>
      <c r="C246" s="984">
        <f>C245/B245-1</f>
        <v>-1.351447044827947E-2</v>
      </c>
      <c r="D246" s="984">
        <f>D245/C245-1</f>
        <v>5.2686256993146552E-2</v>
      </c>
      <c r="E246" s="984">
        <f>E245/D245-1</f>
        <v>5.816374205907815E-2</v>
      </c>
      <c r="F246" s="984">
        <f>F245/E245-1</f>
        <v>1.9952560623409221E-2</v>
      </c>
      <c r="G246" s="984">
        <f>G245/F245-1</f>
        <v>-1.4582619009493314E-2</v>
      </c>
      <c r="H246" s="144"/>
    </row>
    <row r="247" spans="1:8" x14ac:dyDescent="0.3">
      <c r="A247" s="998" t="s">
        <v>44</v>
      </c>
      <c r="B247" s="51">
        <f>'Segment Model'!ED172</f>
        <v>1000</v>
      </c>
      <c r="C247" s="51">
        <f>'Segment Model'!EI172</f>
        <v>1044.8623768344735</v>
      </c>
      <c r="D247" s="51">
        <f>'Segment Model'!EJ172</f>
        <v>1210.3953751724271</v>
      </c>
      <c r="E247" s="51">
        <f>'Segment Model'!EK172</f>
        <v>1386.0572097346599</v>
      </c>
      <c r="F247" s="51">
        <f>'Segment Model'!EL172</f>
        <v>1450.4173178652266</v>
      </c>
      <c r="G247" s="51">
        <f>'Segment Model'!EM172</f>
        <v>1400.6048220079954</v>
      </c>
      <c r="H247" s="983">
        <f>IFERROR((G247/B247)^(1/5)-1, "")</f>
        <v>6.9702777458164666E-2</v>
      </c>
    </row>
    <row r="248" spans="1:8" x14ac:dyDescent="0.3">
      <c r="A248" s="979" t="s">
        <v>4117</v>
      </c>
      <c r="B248" s="984">
        <f>'Segment Model'!$ED$173</f>
        <v>0.19760479041916224</v>
      </c>
      <c r="C248" s="984">
        <f>C247/B247-1</f>
        <v>4.4862376834473583E-2</v>
      </c>
      <c r="D248" s="984">
        <f>D247/C247-1</f>
        <v>0.15842564725074526</v>
      </c>
      <c r="E248" s="984">
        <f>E247/D247-1</f>
        <v>0.14512764850676074</v>
      </c>
      <c r="F248" s="984">
        <f>F247/E247-1</f>
        <v>4.6433947804281006E-2</v>
      </c>
      <c r="G248" s="984">
        <f>G247/F247-1</f>
        <v>-3.4343561155590008E-2</v>
      </c>
      <c r="H248" s="144"/>
    </row>
    <row r="249" spans="1:8" x14ac:dyDescent="0.3">
      <c r="A249" s="979" t="s">
        <v>2418</v>
      </c>
      <c r="B249" s="984">
        <f t="shared" ref="B249:G249" si="83">B247/B245</f>
        <v>0.38461538461538464</v>
      </c>
      <c r="C249" s="984">
        <f t="shared" si="83"/>
        <v>0.40737561058696331</v>
      </c>
      <c r="D249" s="984">
        <f t="shared" si="83"/>
        <v>0.44829535128189946</v>
      </c>
      <c r="E249" s="984">
        <f t="shared" si="83"/>
        <v>0.48513796215604293</v>
      </c>
      <c r="F249" s="984">
        <f t="shared" si="83"/>
        <v>0.49773376975335021</v>
      </c>
      <c r="G249" s="984">
        <f t="shared" si="83"/>
        <v>0.48775252889237808</v>
      </c>
      <c r="H249" s="144"/>
    </row>
    <row r="250" spans="1:8" x14ac:dyDescent="0.3">
      <c r="A250" s="998" t="s">
        <v>198</v>
      </c>
      <c r="B250" s="45">
        <f>'Segment Model'!ED687</f>
        <v>417.2098253238002</v>
      </c>
      <c r="C250" s="45">
        <f>'Segment Model'!EI687</f>
        <v>592.70309213491873</v>
      </c>
      <c r="D250" s="45">
        <f>'Segment Model'!EJ687</f>
        <v>623.9303995677717</v>
      </c>
      <c r="E250" s="45">
        <f>'Segment Model'!EK687</f>
        <v>660.22052639104902</v>
      </c>
      <c r="F250" s="45">
        <f>'Segment Model'!EL687</f>
        <v>673.39361646868565</v>
      </c>
      <c r="G250" s="45">
        <f>'Segment Model'!EM687</f>
        <v>663.57377391629791</v>
      </c>
      <c r="H250" s="144"/>
    </row>
    <row r="251" spans="1:8" x14ac:dyDescent="0.3">
      <c r="A251" s="979" t="s">
        <v>4117</v>
      </c>
      <c r="B251" s="984">
        <f>B250/'Segment Model'!$DY$687-1</f>
        <v>0.17558752501144959</v>
      </c>
      <c r="C251" s="984">
        <f>C250/B250-1</f>
        <v>0.42063550798430183</v>
      </c>
      <c r="D251" s="984">
        <f>D250/C250-1</f>
        <v>5.2686256993146552E-2</v>
      </c>
      <c r="E251" s="984">
        <f>E250/D250-1</f>
        <v>5.8163742059077927E-2</v>
      </c>
      <c r="F251" s="984">
        <f>F250/E250-1</f>
        <v>1.9952560623409443E-2</v>
      </c>
      <c r="G251" s="984">
        <f>G250/F250-1</f>
        <v>-1.4582619009493314E-2</v>
      </c>
      <c r="H251" s="144"/>
    </row>
    <row r="252" spans="1:8" x14ac:dyDescent="0.3">
      <c r="A252" s="979" t="s">
        <v>4169</v>
      </c>
      <c r="B252" s="980">
        <f t="shared" ref="B252:G252" si="84">B250/B245</f>
        <v>0.16046531743223086</v>
      </c>
      <c r="C252" s="980">
        <f t="shared" si="84"/>
        <v>0.23108572899978624</v>
      </c>
      <c r="D252" s="980">
        <f t="shared" si="84"/>
        <v>0.23108572899978627</v>
      </c>
      <c r="E252" s="980">
        <f t="shared" si="84"/>
        <v>0.23108572899978622</v>
      </c>
      <c r="F252" s="980">
        <f t="shared" si="84"/>
        <v>0.23108572899978627</v>
      </c>
      <c r="G252" s="980">
        <f t="shared" si="84"/>
        <v>0.23108572899978624</v>
      </c>
      <c r="H252" s="144"/>
    </row>
    <row r="253" spans="1:8" x14ac:dyDescent="0.3">
      <c r="A253" s="998" t="s">
        <v>642</v>
      </c>
      <c r="B253" s="51">
        <f t="shared" ref="B253:G253" si="85">B247-B250</f>
        <v>582.79017467619974</v>
      </c>
      <c r="C253" s="51">
        <f t="shared" si="85"/>
        <v>452.15928469955475</v>
      </c>
      <c r="D253" s="51">
        <f t="shared" si="85"/>
        <v>586.46497560465536</v>
      </c>
      <c r="E253" s="51">
        <f t="shared" si="85"/>
        <v>725.83668334361084</v>
      </c>
      <c r="F253" s="51">
        <f t="shared" si="85"/>
        <v>777.0237013965409</v>
      </c>
      <c r="G253" s="51">
        <f t="shared" si="85"/>
        <v>737.03104809169747</v>
      </c>
      <c r="H253" s="983">
        <f>IFERROR((G253/B253)^(1/5)-1, "")</f>
        <v>4.808067272109473E-2</v>
      </c>
    </row>
    <row r="254" spans="1:8" x14ac:dyDescent="0.3">
      <c r="A254" s="979" t="s">
        <v>4117</v>
      </c>
      <c r="B254" s="984">
        <f>B253/('Segment Model'!$DY$687*-1+'Segment Model'!$DY$172)-1</f>
        <v>0.21387999548868697</v>
      </c>
      <c r="C254" s="984">
        <f>C253/B253-1</f>
        <v>-0.22414737868431633</v>
      </c>
      <c r="D254" s="984">
        <f>D253/C253-1</f>
        <v>0.297031810359357</v>
      </c>
      <c r="E254" s="984">
        <f>E253/D253-1</f>
        <v>0.23764711199549615</v>
      </c>
      <c r="F254" s="984">
        <f>F253/E253-1</f>
        <v>7.052139858395412E-2</v>
      </c>
      <c r="G254" s="984">
        <f>G253/F253-1</f>
        <v>-5.1469026276759422E-2</v>
      </c>
      <c r="H254" s="144"/>
    </row>
    <row r="255" spans="1:8" x14ac:dyDescent="0.3">
      <c r="A255" s="979" t="s">
        <v>2418</v>
      </c>
      <c r="B255" s="984">
        <f t="shared" ref="B255:G255" si="86">B253/B245</f>
        <v>0.22415006718315375</v>
      </c>
      <c r="C255" s="984">
        <f t="shared" si="86"/>
        <v>0.17628988158717704</v>
      </c>
      <c r="D255" s="984">
        <f t="shared" si="86"/>
        <v>0.21720962228211319</v>
      </c>
      <c r="E255" s="984">
        <f t="shared" si="86"/>
        <v>0.25405223315625669</v>
      </c>
      <c r="F255" s="984">
        <f t="shared" si="86"/>
        <v>0.26664804075356391</v>
      </c>
      <c r="G255" s="984">
        <f t="shared" si="86"/>
        <v>0.25666679989259183</v>
      </c>
      <c r="H255" s="144"/>
    </row>
    <row r="257" spans="1:8" x14ac:dyDescent="0.3">
      <c r="A257" s="964" t="s">
        <v>4172</v>
      </c>
      <c r="B257" s="965"/>
      <c r="C257" s="965"/>
      <c r="D257" s="965"/>
      <c r="E257" s="965"/>
      <c r="F257" s="965"/>
      <c r="G257" s="965"/>
    </row>
    <row r="259" spans="1:8" x14ac:dyDescent="0.3">
      <c r="A259" s="995" t="s">
        <v>4173</v>
      </c>
      <c r="B259" s="45">
        <f>D247</f>
        <v>1210.3953751724271</v>
      </c>
    </row>
    <row r="260" spans="1:8" x14ac:dyDescent="0.3">
      <c r="A260" s="995" t="s">
        <v>1972</v>
      </c>
      <c r="B260" s="299">
        <v>12.5</v>
      </c>
    </row>
    <row r="261" spans="1:8" x14ac:dyDescent="0.3">
      <c r="A261" s="998" t="s">
        <v>1339</v>
      </c>
      <c r="B261" s="51">
        <f>B259*B260</f>
        <v>15129.942189655338</v>
      </c>
    </row>
    <row r="262" spans="1:8" x14ac:dyDescent="0.3">
      <c r="A262" s="995" t="s">
        <v>4174</v>
      </c>
      <c r="B262" s="151">
        <f>D253</f>
        <v>586.46497560465536</v>
      </c>
    </row>
    <row r="263" spans="1:8" x14ac:dyDescent="0.3">
      <c r="A263" s="998" t="s">
        <v>4175</v>
      </c>
      <c r="B263" s="1014">
        <f>B261/B262</f>
        <v>25.798543509023894</v>
      </c>
    </row>
    <row r="264" spans="1:8" x14ac:dyDescent="0.3">
      <c r="A264" s="144"/>
      <c r="B264" s="144"/>
    </row>
    <row r="265" spans="1:8" x14ac:dyDescent="0.3">
      <c r="A265" s="995" t="s">
        <v>4176</v>
      </c>
      <c r="B265" s="151">
        <f>B261</f>
        <v>15129.942189655338</v>
      </c>
    </row>
    <row r="266" spans="1:8" x14ac:dyDescent="0.3">
      <c r="A266" s="995" t="s">
        <v>4177</v>
      </c>
      <c r="B266" s="151">
        <f>'Segment Model'!$EJ$91</f>
        <v>2961.4457831325303</v>
      </c>
    </row>
    <row r="267" spans="1:8" ht="12.5" thickBot="1" x14ac:dyDescent="0.35">
      <c r="A267" s="998" t="s">
        <v>4178</v>
      </c>
      <c r="B267" s="649">
        <f>(B265*10^6)/(B266*10^3)</f>
        <v>5108.971528646839</v>
      </c>
    </row>
    <row r="268" spans="1:8" ht="12.5" thickTop="1" x14ac:dyDescent="0.3"/>
    <row r="269" spans="1:8" x14ac:dyDescent="0.3">
      <c r="A269" s="964" t="s">
        <v>4170</v>
      </c>
      <c r="B269" s="965"/>
      <c r="C269" s="965"/>
      <c r="D269" s="965"/>
      <c r="E269" s="965"/>
      <c r="F269" s="965"/>
      <c r="G269" s="965"/>
    </row>
    <row r="271" spans="1:8" ht="24" x14ac:dyDescent="0.3">
      <c r="A271" s="144"/>
      <c r="B271" s="967" t="s">
        <v>4112</v>
      </c>
      <c r="C271" s="967" t="s">
        <v>3643</v>
      </c>
      <c r="D271" s="967" t="s">
        <v>4113</v>
      </c>
      <c r="E271" s="967" t="s">
        <v>4114</v>
      </c>
      <c r="F271" s="967" t="s">
        <v>3372</v>
      </c>
      <c r="G271" s="967" t="s">
        <v>3377</v>
      </c>
      <c r="H271" s="968" t="s">
        <v>4115</v>
      </c>
    </row>
    <row r="272" spans="1:8" x14ac:dyDescent="0.3">
      <c r="A272" s="144"/>
      <c r="B272" s="144"/>
      <c r="C272" s="144"/>
      <c r="D272" s="144"/>
      <c r="E272" s="144"/>
      <c r="F272" s="144"/>
      <c r="G272" s="144"/>
      <c r="H272" s="144"/>
    </row>
    <row r="273" spans="1:8" x14ac:dyDescent="0.3">
      <c r="A273" s="998" t="s">
        <v>284</v>
      </c>
      <c r="B273" s="45">
        <f>'Segment Model'!ED57</f>
        <v>3997</v>
      </c>
      <c r="C273" s="45">
        <f>'Segment Model'!EI57</f>
        <v>3542.2082488421843</v>
      </c>
      <c r="D273" s="45">
        <f>'Segment Model'!EJ57</f>
        <v>3368.3041896286054</v>
      </c>
      <c r="E273" s="45">
        <f>'Segment Model'!EK57</f>
        <v>3326.7834856812133</v>
      </c>
      <c r="F273" s="45">
        <f>'Segment Model'!EL57</f>
        <v>3440.3700791202073</v>
      </c>
      <c r="G273" s="45">
        <f>'Segment Model'!EM57</f>
        <v>3726.7824870402569</v>
      </c>
      <c r="H273" s="45"/>
    </row>
    <row r="274" spans="1:8" x14ac:dyDescent="0.3">
      <c r="A274" s="979" t="s">
        <v>4117</v>
      </c>
      <c r="B274" s="984">
        <f>'Segment Model'!$ED$57/'Segment Model'!$DY$57-1</f>
        <v>-0.12384918895221397</v>
      </c>
      <c r="C274" s="984">
        <f>C273/B273-1</f>
        <v>-0.11378327524588838</v>
      </c>
      <c r="D274" s="984">
        <f>D273/C273-1</f>
        <v>-4.9094815153914673E-2</v>
      </c>
      <c r="E274" s="984">
        <f>E273/D273-1</f>
        <v>-1.23268866497388E-2</v>
      </c>
      <c r="F274" s="984">
        <f>F273/E273-1</f>
        <v>3.4143067599043064E-2</v>
      </c>
      <c r="G274" s="984">
        <f>G273/F273-1</f>
        <v>8.3250464727123941E-2</v>
      </c>
      <c r="H274" s="144"/>
    </row>
    <row r="275" spans="1:8" x14ac:dyDescent="0.3">
      <c r="A275" s="998" t="s">
        <v>44</v>
      </c>
      <c r="B275" s="51">
        <f>'Segment Model'!ED321</f>
        <v>1406</v>
      </c>
      <c r="C275" s="51">
        <f>'Segment Model'!EI321</f>
        <v>1166.8557378525843</v>
      </c>
      <c r="D275" s="51">
        <f>'Segment Model'!EJ321</f>
        <v>1016.7052037489016</v>
      </c>
      <c r="E275" s="51">
        <f>'Segment Model'!EK321</f>
        <v>986.94249473090804</v>
      </c>
      <c r="F275" s="51">
        <f>'Segment Model'!EL321</f>
        <v>1100.529088169902</v>
      </c>
      <c r="G275" s="51">
        <f>'Segment Model'!EM321</f>
        <v>1375.2422911352005</v>
      </c>
      <c r="H275" s="983">
        <f>IFERROR((G275/B275)^(1/5)-1, "")</f>
        <v>-4.4140027397882031E-3</v>
      </c>
    </row>
    <row r="276" spans="1:8" x14ac:dyDescent="0.3">
      <c r="A276" s="979" t="s">
        <v>4117</v>
      </c>
      <c r="B276" s="984">
        <f>'Segment Model'!$ED$322</f>
        <v>-0.19657142857142873</v>
      </c>
      <c r="C276" s="984">
        <f>C275/B275-1</f>
        <v>-0.17008837990570103</v>
      </c>
      <c r="D276" s="984">
        <f>D275/C275-1</f>
        <v>-0.12867960385575283</v>
      </c>
      <c r="E276" s="984">
        <f>E275/D275-1</f>
        <v>-2.9273686126764509E-2</v>
      </c>
      <c r="F276" s="984">
        <f>F275/E275-1</f>
        <v>0.11508937354041437</v>
      </c>
      <c r="G276" s="984">
        <f>G275/F275-1</f>
        <v>0.24961921126694264</v>
      </c>
      <c r="H276" s="144"/>
    </row>
    <row r="277" spans="1:8" x14ac:dyDescent="0.3">
      <c r="A277" s="979" t="s">
        <v>2418</v>
      </c>
      <c r="B277" s="984">
        <f t="shared" ref="B277:G277" si="87">B275/B273</f>
        <v>0.35176382286715036</v>
      </c>
      <c r="C277" s="984">
        <f t="shared" si="87"/>
        <v>0.32941477628651167</v>
      </c>
      <c r="D277" s="984">
        <f t="shared" si="87"/>
        <v>0.30184482947812535</v>
      </c>
      <c r="E277" s="984">
        <f t="shared" si="87"/>
        <v>0.29666568292730822</v>
      </c>
      <c r="F277" s="984">
        <f t="shared" si="87"/>
        <v>0.31988683277100705</v>
      </c>
      <c r="G277" s="984">
        <f t="shared" si="87"/>
        <v>0.36901597984791246</v>
      </c>
      <c r="H277" s="144"/>
    </row>
    <row r="278" spans="1:8" x14ac:dyDescent="0.3">
      <c r="A278" s="998" t="s">
        <v>198</v>
      </c>
      <c r="B278" s="45">
        <f>'Segment Model'!ED669</f>
        <v>763.79017467619974</v>
      </c>
      <c r="C278" s="45">
        <f>'Segment Model'!EI669</f>
        <v>1112.2969078650813</v>
      </c>
      <c r="D278" s="45">
        <f>'Segment Model'!EJ669</f>
        <v>1691.6784716884415</v>
      </c>
      <c r="E278" s="45">
        <f>'Segment Model'!EK669</f>
        <v>2985.2793373962832</v>
      </c>
      <c r="F278" s="45">
        <f>'Segment Model'!EL669</f>
        <v>2958.1773702953983</v>
      </c>
      <c r="G278" s="45">
        <f>'Segment Model'!EM669</f>
        <v>3016.3280773077686</v>
      </c>
      <c r="H278" s="144"/>
    </row>
    <row r="279" spans="1:8" x14ac:dyDescent="0.3">
      <c r="A279" s="979" t="s">
        <v>4117</v>
      </c>
      <c r="B279" s="984">
        <f>B278/'Segment Model'!$DY$669-1</f>
        <v>-0.12319416839781316</v>
      </c>
      <c r="C279" s="984">
        <f>C278/B278-1</f>
        <v>0.4562859601285485</v>
      </c>
      <c r="D279" s="984">
        <f>D278/C278-1</f>
        <v>0.52088750739711465</v>
      </c>
      <c r="E279" s="984">
        <f>E278/D278-1</f>
        <v>0.76468483069168336</v>
      </c>
      <c r="F279" s="984">
        <f>F278/E278-1</f>
        <v>-9.0785363906759065E-3</v>
      </c>
      <c r="G279" s="984">
        <f>G278/F278-1</f>
        <v>1.9657613365679838E-2</v>
      </c>
      <c r="H279" s="144"/>
    </row>
    <row r="280" spans="1:8" x14ac:dyDescent="0.3">
      <c r="A280" s="979" t="s">
        <v>4169</v>
      </c>
      <c r="B280" s="980">
        <f t="shared" ref="B280:G280" si="88">B278/B273</f>
        <v>0.19109086181541149</v>
      </c>
      <c r="C280" s="980">
        <f t="shared" si="88"/>
        <v>0.31401228548001087</v>
      </c>
      <c r="D280" s="980">
        <f t="shared" si="88"/>
        <v>0.50223447065657356</v>
      </c>
      <c r="E280" s="980">
        <f t="shared" si="88"/>
        <v>0.89734704715386626</v>
      </c>
      <c r="F280" s="980">
        <f t="shared" si="88"/>
        <v>0.85984277919655716</v>
      </c>
      <c r="G280" s="980">
        <f t="shared" si="88"/>
        <v>0.80936520652786514</v>
      </c>
      <c r="H280" s="144"/>
    </row>
    <row r="281" spans="1:8" x14ac:dyDescent="0.3">
      <c r="A281" s="998" t="s">
        <v>642</v>
      </c>
      <c r="B281" s="51">
        <f t="shared" ref="B281:G281" si="89">B275-B278</f>
        <v>642.20982532380026</v>
      </c>
      <c r="C281" s="51">
        <f t="shared" si="89"/>
        <v>54.558829987503032</v>
      </c>
      <c r="D281" s="51">
        <f t="shared" si="89"/>
        <v>-674.97326793953994</v>
      </c>
      <c r="E281" s="51">
        <f t="shared" si="89"/>
        <v>-1998.3368426653751</v>
      </c>
      <c r="F281" s="51">
        <f t="shared" si="89"/>
        <v>-1857.6482821254963</v>
      </c>
      <c r="G281" s="51">
        <f t="shared" si="89"/>
        <v>-1641.0857861725681</v>
      </c>
      <c r="H281" s="983">
        <f>IFERROR((G281/B281)^(1/5)-1, "")</f>
        <v>-2.2063987197971819</v>
      </c>
    </row>
    <row r="282" spans="1:8" x14ac:dyDescent="0.3">
      <c r="A282" s="979" t="s">
        <v>4117</v>
      </c>
      <c r="B282" s="984">
        <f>B281/('Segment Model'!$DY$669*-1+'Segment Model'!$DY$321)-1</f>
        <v>-0.26929836031186305</v>
      </c>
      <c r="C282" s="984">
        <f>C281/B281-1</f>
        <v>-0.91504516462357977</v>
      </c>
      <c r="D282" s="984">
        <f>D281/C281-1</f>
        <v>-13.371476222898217</v>
      </c>
      <c r="E282" s="984">
        <f>E281/D281-1</f>
        <v>1.9606162756128205</v>
      </c>
      <c r="F282" s="984">
        <f>F281/E281-1</f>
        <v>-7.0402825757958198E-2</v>
      </c>
      <c r="G282" s="984">
        <f>G281/F281-1</f>
        <v>-0.11657884758741321</v>
      </c>
      <c r="H282" s="144"/>
    </row>
    <row r="283" spans="1:8" x14ac:dyDescent="0.3">
      <c r="A283" s="979" t="s">
        <v>2418</v>
      </c>
      <c r="B283" s="984">
        <f t="shared" ref="B283:G283" si="90">B281/B273</f>
        <v>0.16067296105173887</v>
      </c>
      <c r="C283" s="984">
        <f t="shared" si="90"/>
        <v>1.5402490806500798E-2</v>
      </c>
      <c r="D283" s="984">
        <f t="shared" si="90"/>
        <v>-0.20038964117844818</v>
      </c>
      <c r="E283" s="984">
        <f t="shared" si="90"/>
        <v>-0.60068136422655805</v>
      </c>
      <c r="F283" s="984">
        <f t="shared" si="90"/>
        <v>-0.53995594642555012</v>
      </c>
      <c r="G283" s="984">
        <f t="shared" si="90"/>
        <v>-0.44034922667995274</v>
      </c>
      <c r="H283" s="144"/>
    </row>
    <row r="285" spans="1:8" x14ac:dyDescent="0.3">
      <c r="A285" s="964" t="s">
        <v>4179</v>
      </c>
      <c r="B285" s="965"/>
      <c r="C285" s="965"/>
      <c r="D285" s="965"/>
      <c r="E285" s="965"/>
      <c r="F285" s="965"/>
      <c r="G285" s="965"/>
    </row>
    <row r="287" spans="1:8" x14ac:dyDescent="0.3">
      <c r="A287" s="995" t="s">
        <v>4173</v>
      </c>
      <c r="B287" s="45">
        <f>D275</f>
        <v>1016.7052037489016</v>
      </c>
    </row>
    <row r="288" spans="1:8" x14ac:dyDescent="0.3">
      <c r="A288" s="995" t="s">
        <v>1972</v>
      </c>
      <c r="B288" s="299">
        <v>12.5</v>
      </c>
    </row>
    <row r="289" spans="1:7" x14ac:dyDescent="0.3">
      <c r="A289" s="998" t="s">
        <v>1339</v>
      </c>
      <c r="B289" s="51">
        <f>B287*B288</f>
        <v>12708.815046861269</v>
      </c>
    </row>
    <row r="290" spans="1:7" x14ac:dyDescent="0.3">
      <c r="A290" s="995" t="s">
        <v>4174</v>
      </c>
      <c r="B290" s="151">
        <f>D281</f>
        <v>-674.97326793953994</v>
      </c>
    </row>
    <row r="291" spans="1:7" x14ac:dyDescent="0.3">
      <c r="A291" s="998" t="s">
        <v>4175</v>
      </c>
      <c r="B291" s="740">
        <f>B289/B290</f>
        <v>-18.828619814317815</v>
      </c>
    </row>
    <row r="293" spans="1:7" x14ac:dyDescent="0.3">
      <c r="A293" s="995" t="s">
        <v>4176</v>
      </c>
      <c r="B293" s="151">
        <f>B289</f>
        <v>12708.815046861269</v>
      </c>
    </row>
    <row r="294" spans="1:7" x14ac:dyDescent="0.3">
      <c r="A294" s="995" t="s">
        <v>4177</v>
      </c>
      <c r="B294" s="151">
        <f>'Segment Model'!$EJ$195</f>
        <v>1686</v>
      </c>
    </row>
    <row r="295" spans="1:7" ht="12.5" thickBot="1" x14ac:dyDescent="0.35">
      <c r="A295" s="998" t="s">
        <v>4178</v>
      </c>
      <c r="B295" s="300">
        <f>(B293*10^6)/(B294*10^3)</f>
        <v>7537.8499684823655</v>
      </c>
    </row>
    <row r="296" spans="1:7" ht="12.5" thickTop="1" x14ac:dyDescent="0.3"/>
    <row r="297" spans="1:7" x14ac:dyDescent="0.3">
      <c r="A297" s="964" t="s">
        <v>4180</v>
      </c>
      <c r="B297" s="965"/>
      <c r="C297" s="965"/>
      <c r="D297" s="965"/>
      <c r="E297" s="965"/>
      <c r="F297" s="965"/>
      <c r="G297" s="965"/>
    </row>
    <row r="299" spans="1:7" x14ac:dyDescent="0.3">
      <c r="B299" t="s">
        <v>628</v>
      </c>
      <c r="C299" t="s">
        <v>272</v>
      </c>
    </row>
    <row r="300" spans="1:7" x14ac:dyDescent="0.3">
      <c r="A300" t="s">
        <v>4181</v>
      </c>
      <c r="B300">
        <v>0.5</v>
      </c>
      <c r="C300">
        <v>1.5</v>
      </c>
    </row>
    <row r="301" spans="1:7" x14ac:dyDescent="0.3">
      <c r="A301" t="s">
        <v>1865</v>
      </c>
      <c r="B301">
        <v>0.3</v>
      </c>
      <c r="C301">
        <v>1.4</v>
      </c>
    </row>
    <row r="302" spans="1:7" x14ac:dyDescent="0.3">
      <c r="A302" t="s">
        <v>38</v>
      </c>
      <c r="B302">
        <v>1.8</v>
      </c>
      <c r="C302">
        <v>2.1</v>
      </c>
    </row>
    <row r="322" spans="1:7" x14ac:dyDescent="0.3">
      <c r="A322" s="964" t="s">
        <v>4180</v>
      </c>
      <c r="B322" s="965"/>
      <c r="C322" s="965"/>
      <c r="D322" s="965"/>
      <c r="E322" s="965"/>
      <c r="F322" s="965"/>
      <c r="G322" s="965"/>
    </row>
    <row r="324" spans="1:7" x14ac:dyDescent="0.3">
      <c r="A324" t="s">
        <v>4182</v>
      </c>
      <c r="B324" s="885">
        <f>'Segment Model'!$ED$172</f>
        <v>1000</v>
      </c>
    </row>
    <row r="325" spans="1:7" x14ac:dyDescent="0.3">
      <c r="A325" t="s">
        <v>4183</v>
      </c>
      <c r="B325" s="887">
        <f>B324</f>
        <v>1000</v>
      </c>
      <c r="C325" s="885">
        <f>C345</f>
        <v>43.255057314117963</v>
      </c>
    </row>
    <row r="326" spans="1:7" x14ac:dyDescent="0.3">
      <c r="A326" t="s">
        <v>183</v>
      </c>
      <c r="B326" s="887">
        <f>B325+C325</f>
        <v>1043.2550573141179</v>
      </c>
      <c r="C326" s="885">
        <f>C346</f>
        <v>68.232920881043867</v>
      </c>
    </row>
    <row r="327" spans="1:7" x14ac:dyDescent="0.3">
      <c r="A327" t="s">
        <v>4184</v>
      </c>
      <c r="B327" s="887">
        <f>B326+C326</f>
        <v>1111.4879781951618</v>
      </c>
      <c r="C327" s="885">
        <f>C330-B324-C325-C326+C328+C329</f>
        <v>80.000000000000227</v>
      </c>
    </row>
    <row r="328" spans="1:7" x14ac:dyDescent="0.3">
      <c r="A328" t="s">
        <v>4185</v>
      </c>
      <c r="B328" s="887">
        <f>B327+C327-C328</f>
        <v>1091.487978195162</v>
      </c>
      <c r="C328" s="885">
        <v>100</v>
      </c>
    </row>
    <row r="329" spans="1:7" x14ac:dyDescent="0.3">
      <c r="A329" t="s">
        <v>4186</v>
      </c>
      <c r="B329" s="887">
        <f>B328-C329</f>
        <v>1044.8623768344735</v>
      </c>
      <c r="C329" s="885">
        <f>-(C348-B348+C328-C326-C325)</f>
        <v>46.625601360688577</v>
      </c>
    </row>
    <row r="330" spans="1:7" x14ac:dyDescent="0.3">
      <c r="A330" t="s">
        <v>3651</v>
      </c>
      <c r="B330" s="887"/>
      <c r="C330" s="885">
        <f>'Segment Model'!$EI$172</f>
        <v>1044.8623768344735</v>
      </c>
    </row>
    <row r="333" spans="1:7" x14ac:dyDescent="0.3">
      <c r="B333" s="147">
        <v>2020</v>
      </c>
      <c r="C333" s="147">
        <v>2021</v>
      </c>
    </row>
    <row r="334" spans="1:7" x14ac:dyDescent="0.3">
      <c r="A334" t="s">
        <v>4187</v>
      </c>
      <c r="B334" s="76">
        <f>'Segment Model'!$ED$109</f>
        <v>1232.9000000000001</v>
      </c>
      <c r="C334" s="76">
        <f>'Segment Model'!$EI$109</f>
        <v>1296.7492907999999</v>
      </c>
    </row>
    <row r="335" spans="1:7" x14ac:dyDescent="0.3">
      <c r="A335" t="s">
        <v>4188</v>
      </c>
      <c r="B335" s="76">
        <f>'Segment Model'!$ED$120</f>
        <v>95</v>
      </c>
      <c r="C335" s="76">
        <f>'Segment Model'!$EI$120</f>
        <v>94.159535000000005</v>
      </c>
    </row>
    <row r="336" spans="1:7" x14ac:dyDescent="0.3">
      <c r="A336" t="s">
        <v>2731</v>
      </c>
      <c r="B336" s="76">
        <f>'Segment Model'!$ED$131</f>
        <v>485</v>
      </c>
      <c r="C336" s="76">
        <f>'Segment Model'!$EI$131</f>
        <v>373.30610533968382</v>
      </c>
    </row>
    <row r="339" spans="1:3" x14ac:dyDescent="0.3">
      <c r="A339" t="s">
        <v>4189</v>
      </c>
      <c r="B339" s="480">
        <f>'Segment Model'!$ED$141</f>
        <v>57.77796061532954</v>
      </c>
      <c r="C339" s="480">
        <f>'Segment Model'!$EI$141</f>
        <v>62.264758646705047</v>
      </c>
    </row>
    <row r="340" spans="1:3" x14ac:dyDescent="0.3">
      <c r="A340" t="s">
        <v>4190</v>
      </c>
      <c r="B340" s="480">
        <f>'Segment Model'!$ED$145</f>
        <v>100.53208598726114</v>
      </c>
      <c r="C340" s="480">
        <f>'Segment Model'!$EI$145</f>
        <v>102.15633279993615</v>
      </c>
    </row>
    <row r="341" spans="1:3" x14ac:dyDescent="0.3">
      <c r="A341" t="s">
        <v>646</v>
      </c>
      <c r="B341" s="480">
        <f>'Segment Model'!$ED$143</f>
        <v>71.102744115981849</v>
      </c>
      <c r="C341" s="480">
        <f>'Segment Model'!$EI$143</f>
        <v>69.736492573963801</v>
      </c>
    </row>
    <row r="342" spans="1:3" x14ac:dyDescent="0.3">
      <c r="A342" t="s">
        <v>4191</v>
      </c>
      <c r="B342" s="480" t="e">
        <f>'Segment Model'!#REF!</f>
        <v>#REF!</v>
      </c>
      <c r="C342" s="480" t="e">
        <f>'Segment Model'!#REF!</f>
        <v>#REF!</v>
      </c>
    </row>
    <row r="345" spans="1:3" x14ac:dyDescent="0.3">
      <c r="A345" t="s">
        <v>4192</v>
      </c>
      <c r="C345" s="1015">
        <f>((C334-B334)*B339+(C335-B335)*B340)*12/1000</f>
        <v>43.255057314117963</v>
      </c>
    </row>
    <row r="346" spans="1:3" x14ac:dyDescent="0.3">
      <c r="A346" t="s">
        <v>4193</v>
      </c>
      <c r="C346" s="1015">
        <f>((B334*(C339-B339)+B335*(C340-B340)))*12/1000</f>
        <v>68.232920881043867</v>
      </c>
    </row>
    <row r="348" spans="1:3" x14ac:dyDescent="0.3">
      <c r="A348" t="s">
        <v>19</v>
      </c>
      <c r="B348">
        <f>'Segment Model'!$ED$165</f>
        <v>2600</v>
      </c>
      <c r="C348">
        <f>'Segment Model'!$EI$165</f>
        <v>2564.8623768344733</v>
      </c>
    </row>
  </sheetData>
  <mergeCells count="1">
    <mergeCell ref="B92:G92"/>
  </mergeCell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72DB7-D1CA-4546-985A-D083AAA3224F}">
  <dimension ref="A2:K43"/>
  <sheetViews>
    <sheetView showGridLines="0" workbookViewId="0">
      <selection activeCell="F139" sqref="F139"/>
    </sheetView>
  </sheetViews>
  <sheetFormatPr defaultColWidth="9.33203125" defaultRowHeight="12" outlineLevelRow="1" x14ac:dyDescent="0.3"/>
  <cols>
    <col min="1" max="1" width="30.77734375" customWidth="1"/>
    <col min="2" max="3" width="14.44140625" customWidth="1"/>
    <col min="4" max="4" width="11.6640625" customWidth="1"/>
    <col min="5" max="5" width="10.6640625" customWidth="1"/>
    <col min="8" max="11" width="14.44140625" customWidth="1"/>
  </cols>
  <sheetData>
    <row r="2" spans="1:11" x14ac:dyDescent="0.3">
      <c r="A2" s="90" t="s">
        <v>4194</v>
      </c>
    </row>
    <row r="3" spans="1:11" x14ac:dyDescent="0.3">
      <c r="A3" s="90"/>
      <c r="H3">
        <v>2019</v>
      </c>
    </row>
    <row r="4" spans="1:11" ht="28.5" customHeight="1" x14ac:dyDescent="0.3">
      <c r="A4" s="610"/>
      <c r="B4" s="1016" t="s">
        <v>4195</v>
      </c>
      <c r="C4" s="1016" t="s">
        <v>4196</v>
      </c>
      <c r="D4" s="1016" t="s">
        <v>4197</v>
      </c>
      <c r="E4" s="1016" t="s">
        <v>266</v>
      </c>
      <c r="H4" s="1017" t="s">
        <v>1741</v>
      </c>
      <c r="I4" s="1017" t="s">
        <v>3986</v>
      </c>
      <c r="J4" s="1016" t="s">
        <v>4197</v>
      </c>
      <c r="K4" s="1017" t="s">
        <v>266</v>
      </c>
    </row>
    <row r="5" spans="1:11" ht="3.65" customHeight="1" x14ac:dyDescent="0.3">
      <c r="A5" s="726"/>
      <c r="B5" s="151"/>
      <c r="C5" s="151"/>
      <c r="D5" s="151"/>
      <c r="E5" s="151"/>
      <c r="H5" s="59"/>
      <c r="I5" s="59"/>
      <c r="J5" s="59"/>
      <c r="K5" s="59"/>
    </row>
    <row r="6" spans="1:11" x14ac:dyDescent="0.3">
      <c r="A6" s="970" t="s">
        <v>541</v>
      </c>
      <c r="B6" s="151">
        <f>'Segment Model'!$ED$32</f>
        <v>846.12120156976732</v>
      </c>
      <c r="C6" s="151">
        <f>+'Segment Model'!$ED$47</f>
        <v>704.38075499999991</v>
      </c>
      <c r="D6" s="151"/>
      <c r="E6" s="151">
        <f>+C6+B6</f>
        <v>1550.5019565697671</v>
      </c>
      <c r="F6" s="59"/>
      <c r="G6" s="59"/>
      <c r="H6" s="59">
        <f>'Segment Model'!$DY$32</f>
        <v>822.63068999999984</v>
      </c>
      <c r="I6" s="59">
        <f>+'Segment Model'!$DY$47</f>
        <v>735.35070000000007</v>
      </c>
      <c r="J6" s="59"/>
      <c r="K6" s="59">
        <f>+I6+H6</f>
        <v>1557.9813899999999</v>
      </c>
    </row>
    <row r="7" spans="1:11" x14ac:dyDescent="0.3">
      <c r="A7" s="970" t="s">
        <v>34</v>
      </c>
      <c r="B7" s="151">
        <f>B8-B6</f>
        <v>833.87879843023268</v>
      </c>
      <c r="C7" s="151">
        <f>C8-C6</f>
        <v>735.61924500000009</v>
      </c>
      <c r="D7" s="151"/>
      <c r="E7" s="151">
        <f t="shared" ref="E7:E15" si="0">+C7+B7</f>
        <v>1569.4980434302329</v>
      </c>
      <c r="F7" s="59"/>
      <c r="G7" s="59"/>
      <c r="H7" s="59">
        <f>'Segment Model'!$DY$33</f>
        <v>1027.36931</v>
      </c>
      <c r="I7" s="59">
        <f>+'Segment Model'!$DY$48+'Segment Model'!$DY$49</f>
        <v>1245.6493</v>
      </c>
      <c r="J7" s="59"/>
      <c r="K7" s="59">
        <f>+I7+H7</f>
        <v>2273.0186100000001</v>
      </c>
    </row>
    <row r="8" spans="1:11" x14ac:dyDescent="0.3">
      <c r="A8" s="974" t="s">
        <v>38</v>
      </c>
      <c r="B8" s="51">
        <f>2800*0.6</f>
        <v>1680</v>
      </c>
      <c r="C8" s="51">
        <f>3600*0.4</f>
        <v>1440</v>
      </c>
      <c r="D8" s="51"/>
      <c r="E8" s="51">
        <f t="shared" si="0"/>
        <v>3120</v>
      </c>
      <c r="F8" s="59"/>
      <c r="G8" s="59"/>
      <c r="H8" s="50">
        <f>SUM(H6:H7)</f>
        <v>1850</v>
      </c>
      <c r="I8" s="50">
        <f>SUM(I6:I7)</f>
        <v>1981</v>
      </c>
      <c r="J8" s="50"/>
      <c r="K8" s="50">
        <f>+I8+H8</f>
        <v>3831</v>
      </c>
    </row>
    <row r="9" spans="1:11" ht="7.9" customHeight="1" x14ac:dyDescent="0.3">
      <c r="A9" s="974"/>
      <c r="B9" s="45"/>
      <c r="C9" s="45"/>
      <c r="D9" s="45"/>
      <c r="E9" s="45"/>
      <c r="F9" s="59"/>
      <c r="G9" s="59"/>
      <c r="H9" s="58"/>
      <c r="I9" s="58"/>
      <c r="J9" s="58"/>
      <c r="K9" s="58"/>
    </row>
    <row r="10" spans="1:11" x14ac:dyDescent="0.3">
      <c r="A10" s="970" t="s">
        <v>541</v>
      </c>
      <c r="B10" s="151">
        <f>+'Segment Model'!$ED$36</f>
        <v>113.64147</v>
      </c>
      <c r="C10" s="151">
        <f>'Segment Model'!$ED$52+'Segment Model'!$ED$53</f>
        <v>128.28214500000001</v>
      </c>
      <c r="D10" s="151"/>
      <c r="E10" s="151">
        <f>SUM(B10:C10)</f>
        <v>241.92361500000001</v>
      </c>
      <c r="F10" s="59"/>
      <c r="G10" s="59"/>
      <c r="H10" s="59">
        <f>+'Segment Model'!$DY$36</f>
        <v>114.491355</v>
      </c>
      <c r="I10" s="59">
        <f>'Segment Model'!$DY$52+'Segment Model'!$DY$53</f>
        <v>144.13584</v>
      </c>
      <c r="J10" s="59"/>
      <c r="K10" s="59">
        <f>SUM(H10:I10)</f>
        <v>258.62719500000003</v>
      </c>
    </row>
    <row r="11" spans="1:11" x14ac:dyDescent="0.3">
      <c r="A11" s="970" t="s">
        <v>34</v>
      </c>
      <c r="B11" s="151">
        <f>B17-B10-B8</f>
        <v>826.35852999999997</v>
      </c>
      <c r="C11" s="151" t="e">
        <f>C17-C10-C8</f>
        <v>#REF!</v>
      </c>
      <c r="D11" s="151"/>
      <c r="E11" s="151" t="e">
        <f t="shared" si="0"/>
        <v>#REF!</v>
      </c>
      <c r="F11" s="59"/>
      <c r="G11" s="59"/>
      <c r="H11" s="59">
        <f>+'Segment Model'!$DY$37</f>
        <v>630.508645</v>
      </c>
      <c r="I11" s="59">
        <f>+I14-I8-I10</f>
        <v>2436.8641600000001</v>
      </c>
      <c r="J11" s="59"/>
      <c r="K11" s="59">
        <f>+I11+H11</f>
        <v>3067.372805</v>
      </c>
    </row>
    <row r="12" spans="1:11" x14ac:dyDescent="0.3">
      <c r="A12" s="974" t="s">
        <v>4198</v>
      </c>
      <c r="B12" s="51">
        <f>SUM(B10:B11)</f>
        <v>940</v>
      </c>
      <c r="C12" s="51" t="e">
        <f>SUM(C10:C11)</f>
        <v>#REF!</v>
      </c>
      <c r="D12" s="51"/>
      <c r="E12" s="51" t="e">
        <f>SUM(E10:E11)</f>
        <v>#REF!</v>
      </c>
      <c r="F12" s="59"/>
      <c r="G12" s="59"/>
      <c r="H12" s="59"/>
      <c r="I12" s="59"/>
      <c r="J12" s="59"/>
      <c r="K12" s="59"/>
    </row>
    <row r="13" spans="1:11" x14ac:dyDescent="0.3">
      <c r="A13" s="978"/>
      <c r="B13" s="151"/>
      <c r="C13" s="151"/>
      <c r="D13" s="151"/>
      <c r="E13" s="151"/>
      <c r="F13" s="59"/>
      <c r="G13" s="59"/>
      <c r="H13" s="59"/>
      <c r="I13" s="59"/>
      <c r="J13" s="59"/>
      <c r="K13" s="59"/>
    </row>
    <row r="14" spans="1:11" hidden="1" outlineLevel="1" x14ac:dyDescent="0.3">
      <c r="A14" s="726" t="s">
        <v>35</v>
      </c>
      <c r="B14" s="51">
        <f>+B8+B11+B10</f>
        <v>2620</v>
      </c>
      <c r="C14" s="51">
        <f>+'Segment Model'!$ED$57</f>
        <v>3997</v>
      </c>
      <c r="D14" s="51"/>
      <c r="E14" s="51">
        <f t="shared" si="0"/>
        <v>6617</v>
      </c>
      <c r="F14" s="59"/>
      <c r="G14" s="59"/>
      <c r="H14" s="50">
        <f>+H8+H11+H10</f>
        <v>2595</v>
      </c>
      <c r="I14" s="50">
        <f>+'Segment Model'!$DY$57</f>
        <v>4562</v>
      </c>
      <c r="J14" s="50"/>
      <c r="K14" s="50">
        <f>+I14+H14</f>
        <v>7157</v>
      </c>
    </row>
    <row r="15" spans="1:11" hidden="1" outlineLevel="1" collapsed="1" x14ac:dyDescent="0.3">
      <c r="A15" s="978" t="s">
        <v>36</v>
      </c>
      <c r="B15" s="151">
        <v>0</v>
      </c>
      <c r="C15" s="151">
        <v>0</v>
      </c>
      <c r="D15" s="151"/>
      <c r="E15" s="151">
        <f t="shared" si="0"/>
        <v>0</v>
      </c>
      <c r="F15" s="59"/>
      <c r="G15" s="59"/>
      <c r="H15" s="59">
        <v>0</v>
      </c>
      <c r="I15" s="59">
        <v>0</v>
      </c>
      <c r="J15" s="59"/>
      <c r="K15" s="59">
        <f>+I15+H15</f>
        <v>0</v>
      </c>
    </row>
    <row r="16" spans="1:11" hidden="1" outlineLevel="1" x14ac:dyDescent="0.3">
      <c r="A16" s="978"/>
      <c r="B16" s="151"/>
      <c r="C16" s="151"/>
      <c r="D16" s="151"/>
      <c r="E16" s="151"/>
      <c r="F16" s="59"/>
      <c r="G16" s="59"/>
      <c r="H16" s="59"/>
      <c r="I16" s="59"/>
      <c r="J16" s="59"/>
      <c r="K16" s="59"/>
    </row>
    <row r="17" spans="1:11" collapsed="1" x14ac:dyDescent="0.3">
      <c r="A17" s="726" t="s">
        <v>19</v>
      </c>
      <c r="B17" s="51">
        <v>2620</v>
      </c>
      <c r="C17" s="51" t="e">
        <f>E17-D17-B17</f>
        <v>#REF!</v>
      </c>
      <c r="D17" s="51">
        <v>500</v>
      </c>
      <c r="E17" s="51" t="e">
        <f>'Model Main'!$ED$40</f>
        <v>#REF!</v>
      </c>
      <c r="F17" s="59"/>
      <c r="G17" s="59"/>
      <c r="H17" s="50">
        <f>+H14+H15</f>
        <v>2595</v>
      </c>
      <c r="I17" s="50">
        <f>+I14+I15</f>
        <v>4562</v>
      </c>
      <c r="J17" s="50">
        <f>+'Segment Model'!$DY$58</f>
        <v>345</v>
      </c>
      <c r="K17" s="50">
        <f>+I17+H17+J17</f>
        <v>7502</v>
      </c>
    </row>
    <row r="18" spans="1:11" hidden="1" x14ac:dyDescent="0.3">
      <c r="A18" s="979" t="s">
        <v>4117</v>
      </c>
      <c r="B18" s="973">
        <f>B17/H17-1</f>
        <v>9.633911368015502E-3</v>
      </c>
      <c r="C18" s="973" t="e">
        <f>C17/I17-1</f>
        <v>#REF!</v>
      </c>
      <c r="D18" s="973">
        <f>D17/J17-1</f>
        <v>0.44927536231884058</v>
      </c>
      <c r="E18" s="973" t="e">
        <f>E17/K17-1</f>
        <v>#REF!</v>
      </c>
      <c r="F18" s="59"/>
      <c r="G18" s="59"/>
      <c r="H18" s="59"/>
      <c r="I18" s="59"/>
      <c r="J18" s="59"/>
      <c r="K18" s="59"/>
    </row>
    <row r="19" spans="1:11" ht="6.65" customHeight="1" x14ac:dyDescent="0.3">
      <c r="A19" s="979"/>
      <c r="B19" s="973"/>
      <c r="C19" s="973"/>
      <c r="D19" s="973"/>
      <c r="E19" s="973"/>
      <c r="F19" s="59"/>
      <c r="G19" s="59"/>
      <c r="H19" s="59"/>
      <c r="I19" s="59"/>
      <c r="J19" s="59"/>
      <c r="K19" s="59"/>
    </row>
    <row r="20" spans="1:11" x14ac:dyDescent="0.3">
      <c r="A20" s="978" t="s">
        <v>963</v>
      </c>
      <c r="B20" s="151">
        <f>B17-B22</f>
        <v>1620</v>
      </c>
      <c r="C20" s="151" t="e">
        <f>C17-C22</f>
        <v>#REF!</v>
      </c>
      <c r="D20" s="151">
        <f>D17-D22</f>
        <v>100</v>
      </c>
      <c r="E20" s="151" t="e">
        <f>E17-E22</f>
        <v>#REF!</v>
      </c>
      <c r="F20" s="59"/>
      <c r="G20" s="59"/>
      <c r="H20" s="59">
        <f>H17-H22</f>
        <v>1760.0000000000005</v>
      </c>
      <c r="I20" s="59">
        <f>I17-I22</f>
        <v>2811.9999999999995</v>
      </c>
      <c r="J20" s="59"/>
      <c r="K20" s="59">
        <f>K17-K22</f>
        <v>4572</v>
      </c>
    </row>
    <row r="21" spans="1:11" ht="6.65" customHeight="1" x14ac:dyDescent="0.3">
      <c r="A21" s="978"/>
      <c r="B21" s="151"/>
      <c r="C21" s="151"/>
      <c r="D21" s="151"/>
      <c r="E21" s="151"/>
      <c r="F21" s="59"/>
      <c r="G21" s="59"/>
      <c r="H21" s="59"/>
      <c r="I21" s="59"/>
      <c r="J21" s="59"/>
      <c r="K21" s="59"/>
    </row>
    <row r="22" spans="1:11" x14ac:dyDescent="0.3">
      <c r="A22" s="726" t="s">
        <v>44</v>
      </c>
      <c r="B22" s="51">
        <f>'Segment Model'!$ED$172</f>
        <v>1000</v>
      </c>
      <c r="C22" s="51">
        <f>+E22-B22-D22</f>
        <v>1375</v>
      </c>
      <c r="D22" s="51">
        <v>400</v>
      </c>
      <c r="E22" s="51">
        <f>+'Model Main'!$ED$48</f>
        <v>2775</v>
      </c>
      <c r="F22" s="59"/>
      <c r="G22" s="59"/>
      <c r="H22" s="50">
        <f>'Segment Model'!$DY$172</f>
        <v>834.99999999999966</v>
      </c>
      <c r="I22" s="50">
        <f>+K22-H22-J22</f>
        <v>1750.0000000000005</v>
      </c>
      <c r="J22" s="50">
        <f>J17</f>
        <v>345</v>
      </c>
      <c r="K22" s="50">
        <f>+'Model Main'!$DY$48</f>
        <v>2930</v>
      </c>
    </row>
    <row r="23" spans="1:11" hidden="1" x14ac:dyDescent="0.3">
      <c r="A23" s="979" t="s">
        <v>4117</v>
      </c>
      <c r="B23" s="973">
        <f>B22/H22-1</f>
        <v>0.19760479041916224</v>
      </c>
      <c r="C23" s="973">
        <f>C22/I22-1</f>
        <v>-0.21428571428571452</v>
      </c>
      <c r="D23" s="973">
        <f>D22/J22-1</f>
        <v>0.15942028985507251</v>
      </c>
      <c r="E23" s="973">
        <f>E22/K22-1</f>
        <v>-5.2901023890784993E-2</v>
      </c>
      <c r="F23" s="59"/>
      <c r="G23" s="59"/>
      <c r="H23" s="59"/>
      <c r="I23" s="59"/>
      <c r="J23" s="59"/>
      <c r="K23" s="59"/>
    </row>
    <row r="24" spans="1:11" x14ac:dyDescent="0.3">
      <c r="A24" s="979" t="s">
        <v>2418</v>
      </c>
      <c r="B24" s="973">
        <f>+B22/B17</f>
        <v>0.38167938931297712</v>
      </c>
      <c r="C24" s="973" t="e">
        <f>+C22/C17</f>
        <v>#REF!</v>
      </c>
      <c r="D24" s="973"/>
      <c r="E24" s="973" t="e">
        <f>+E22/E17</f>
        <v>#REF!</v>
      </c>
      <c r="F24" s="59"/>
      <c r="G24" s="59"/>
      <c r="H24" s="59"/>
      <c r="I24" s="59"/>
      <c r="J24" s="59"/>
      <c r="K24" s="59"/>
    </row>
    <row r="25" spans="1:11" hidden="1" outlineLevel="1" x14ac:dyDescent="0.3">
      <c r="A25" s="726" t="s">
        <v>198</v>
      </c>
      <c r="B25" s="1018">
        <f>'Segment Model'!$ED$687</f>
        <v>417.2098253238002</v>
      </c>
      <c r="C25" s="1018">
        <f>'Segment Model'!$ED$669</f>
        <v>763.79017467619974</v>
      </c>
      <c r="D25" s="1018"/>
      <c r="E25" s="1018">
        <f>+Drivers!$ED$572</f>
        <v>1181</v>
      </c>
      <c r="F25" s="59"/>
      <c r="G25" s="59"/>
      <c r="H25" s="59"/>
      <c r="I25" s="59"/>
      <c r="J25" s="59"/>
      <c r="K25" s="59"/>
    </row>
    <row r="26" spans="1:11" hidden="1" outlineLevel="1" x14ac:dyDescent="0.3">
      <c r="A26" s="979" t="s">
        <v>4199</v>
      </c>
      <c r="B26" s="973">
        <f>+B25/B17</f>
        <v>0.1592403913449619</v>
      </c>
      <c r="C26" s="973" t="e">
        <f>+C25/C17</f>
        <v>#REF!</v>
      </c>
      <c r="D26" s="973"/>
      <c r="E26" s="973" t="e">
        <f>+E25/E17</f>
        <v>#REF!</v>
      </c>
      <c r="F26" s="59"/>
      <c r="G26" s="59"/>
      <c r="H26" s="59"/>
      <c r="I26" s="59"/>
      <c r="J26" s="59"/>
      <c r="K26" s="59"/>
    </row>
    <row r="27" spans="1:11" hidden="1" outlineLevel="1" x14ac:dyDescent="0.3">
      <c r="A27" s="726" t="s">
        <v>642</v>
      </c>
      <c r="B27" s="51">
        <f>+B22-B25</f>
        <v>582.79017467619974</v>
      </c>
      <c r="C27" s="51">
        <f>+C22-C25</f>
        <v>611.20982532380026</v>
      </c>
      <c r="D27" s="51"/>
      <c r="E27" s="51">
        <f>+E22-E25</f>
        <v>1594</v>
      </c>
      <c r="F27" s="59"/>
      <c r="G27" s="59"/>
      <c r="H27" s="59"/>
      <c r="I27" s="59"/>
      <c r="J27" s="59"/>
      <c r="K27" s="59"/>
    </row>
    <row r="28" spans="1:11" hidden="1" outlineLevel="1" x14ac:dyDescent="0.3">
      <c r="A28" s="979" t="s">
        <v>2418</v>
      </c>
      <c r="B28" s="973">
        <f>+B27/B17</f>
        <v>0.22243899796801517</v>
      </c>
      <c r="C28" s="973" t="e">
        <f>+C27/C17</f>
        <v>#REF!</v>
      </c>
      <c r="D28" s="973"/>
      <c r="E28" s="973" t="e">
        <f>+E27/E17</f>
        <v>#REF!</v>
      </c>
      <c r="F28" s="59"/>
      <c r="G28" s="59"/>
      <c r="H28" s="59"/>
      <c r="I28" s="59"/>
      <c r="J28" s="59"/>
      <c r="K28" s="59"/>
    </row>
    <row r="29" spans="1:11" ht="6" customHeight="1" collapsed="1" x14ac:dyDescent="0.3">
      <c r="A29" s="144"/>
      <c r="B29" s="144"/>
      <c r="C29" s="144"/>
      <c r="D29" s="144"/>
      <c r="E29" s="144"/>
    </row>
    <row r="30" spans="1:11" x14ac:dyDescent="0.3">
      <c r="A30" s="725" t="s">
        <v>2159</v>
      </c>
      <c r="B30" s="151">
        <f>'Segment Model'!$ED$91</f>
        <v>2954.1062801932367</v>
      </c>
      <c r="C30" s="151">
        <f>'Segment Model'!$ED$200</f>
        <v>10714</v>
      </c>
      <c r="D30" s="151"/>
      <c r="E30" s="151">
        <f>C30+B30</f>
        <v>13668.106280193237</v>
      </c>
      <c r="F30" s="59"/>
      <c r="G30" s="59"/>
      <c r="H30" s="59"/>
      <c r="I30" s="59"/>
      <c r="J30" s="59"/>
      <c r="K30" s="59"/>
    </row>
    <row r="31" spans="1:11" x14ac:dyDescent="0.3">
      <c r="A31" s="725" t="s">
        <v>4120</v>
      </c>
      <c r="B31" s="151">
        <f>'Segment Model'!$ED$109</f>
        <v>1232.9000000000001</v>
      </c>
      <c r="C31" s="151">
        <f>'Segment Model'!$ED$218</f>
        <v>1349</v>
      </c>
      <c r="D31" s="151"/>
      <c r="E31" s="151">
        <f>C31+B31</f>
        <v>2581.9</v>
      </c>
      <c r="F31" s="59"/>
      <c r="G31" s="59"/>
      <c r="H31" s="59"/>
      <c r="I31" s="59"/>
      <c r="J31" s="59"/>
      <c r="K31" s="59"/>
    </row>
    <row r="32" spans="1:11" x14ac:dyDescent="0.3">
      <c r="A32" s="725" t="s">
        <v>3075</v>
      </c>
      <c r="B32" s="973">
        <f>B31/B30</f>
        <v>0.41735126737530664</v>
      </c>
      <c r="C32" s="973">
        <f>C31/C30</f>
        <v>0.12591002426731379</v>
      </c>
      <c r="D32" s="973"/>
      <c r="E32" s="973">
        <f>E31/E30</f>
        <v>0.18889961396784644</v>
      </c>
      <c r="F32" s="59"/>
      <c r="G32" s="59"/>
      <c r="H32" s="59"/>
      <c r="I32" s="59"/>
      <c r="J32" s="59"/>
      <c r="K32" s="59"/>
    </row>
    <row r="33" spans="1:11" x14ac:dyDescent="0.3">
      <c r="A33" s="725" t="s">
        <v>3532</v>
      </c>
      <c r="B33" s="378">
        <f>'Segment Model'!$ED$141</f>
        <v>57.77796061532954</v>
      </c>
      <c r="C33" s="378">
        <f>'Segment Model'!$ED$268</f>
        <v>41.976148207741119</v>
      </c>
      <c r="D33" s="378"/>
      <c r="E33" s="151"/>
      <c r="F33" s="59"/>
      <c r="G33" s="59"/>
      <c r="H33" s="59"/>
      <c r="I33" s="59"/>
      <c r="J33" s="59"/>
      <c r="K33" s="59"/>
    </row>
    <row r="34" spans="1:11" x14ac:dyDescent="0.3">
      <c r="A34" s="725"/>
      <c r="B34" s="378"/>
      <c r="C34" s="378"/>
      <c r="D34" s="378"/>
      <c r="E34" s="151"/>
      <c r="F34" s="59"/>
      <c r="G34" s="59"/>
      <c r="H34" s="59"/>
      <c r="I34" s="59"/>
      <c r="J34" s="59"/>
      <c r="K34" s="59"/>
    </row>
    <row r="35" spans="1:11" x14ac:dyDescent="0.3">
      <c r="A35" s="725" t="s">
        <v>4200</v>
      </c>
      <c r="B35" s="151">
        <f>'Segment Model'!$ED$120</f>
        <v>95</v>
      </c>
      <c r="C35" s="151">
        <f>'Segment Model'!$ED$297</f>
        <v>152</v>
      </c>
      <c r="D35" s="45"/>
      <c r="E35" s="151">
        <f>C35+B35</f>
        <v>247</v>
      </c>
      <c r="F35" s="59"/>
      <c r="G35" s="59"/>
      <c r="H35" s="59"/>
      <c r="I35" s="59"/>
      <c r="J35" s="59"/>
      <c r="K35" s="59"/>
    </row>
    <row r="36" spans="1:11" x14ac:dyDescent="0.3">
      <c r="A36" s="725" t="s">
        <v>4201</v>
      </c>
      <c r="B36" s="378">
        <f>'Segment Model'!$ED$145</f>
        <v>100.53208598726114</v>
      </c>
      <c r="C36" s="378">
        <f>'Segment Model'!$ED$272</f>
        <v>66.501889580093334</v>
      </c>
      <c r="D36" s="378"/>
      <c r="E36" s="151"/>
      <c r="F36" s="59"/>
      <c r="G36" s="59"/>
      <c r="H36" s="59"/>
      <c r="I36" s="59"/>
      <c r="J36" s="59"/>
      <c r="K36" s="59"/>
    </row>
    <row r="37" spans="1:11" ht="6.65" customHeight="1" x14ac:dyDescent="0.3">
      <c r="A37" s="494"/>
      <c r="B37" s="153"/>
      <c r="C37" s="153"/>
      <c r="D37" s="153"/>
      <c r="E37" s="153"/>
      <c r="F37" s="59"/>
      <c r="G37" s="59"/>
      <c r="H37" s="59"/>
      <c r="I37" s="59"/>
      <c r="J37" s="59"/>
      <c r="K37" s="59"/>
    </row>
    <row r="38" spans="1:11" x14ac:dyDescent="0.3">
      <c r="B38" s="59"/>
      <c r="C38" s="59"/>
      <c r="D38" s="59"/>
      <c r="E38" s="59"/>
      <c r="F38" s="59"/>
      <c r="G38" s="59"/>
      <c r="H38" s="59"/>
      <c r="I38" s="59"/>
      <c r="J38" s="59"/>
      <c r="K38" s="59"/>
    </row>
    <row r="39" spans="1:11" x14ac:dyDescent="0.3">
      <c r="B39" s="59"/>
      <c r="C39" s="59"/>
      <c r="D39" s="59"/>
      <c r="E39" s="59"/>
      <c r="F39" s="59"/>
      <c r="G39" s="59"/>
      <c r="H39" s="59"/>
      <c r="I39" s="59"/>
      <c r="J39" s="59"/>
      <c r="K39" s="59"/>
    </row>
    <row r="40" spans="1:11" x14ac:dyDescent="0.3">
      <c r="B40" s="59"/>
      <c r="C40" s="59"/>
      <c r="D40" s="59"/>
      <c r="E40" s="59"/>
      <c r="F40" s="59"/>
      <c r="G40" s="59"/>
      <c r="H40" s="59"/>
      <c r="I40" s="59"/>
      <c r="J40" s="59"/>
      <c r="K40" s="59"/>
    </row>
    <row r="41" spans="1:11" x14ac:dyDescent="0.3">
      <c r="B41" s="59">
        <f>B8/E8</f>
        <v>0.53846153846153844</v>
      </c>
      <c r="C41" s="59"/>
      <c r="D41" s="59"/>
      <c r="E41" s="59"/>
      <c r="F41" s="59"/>
      <c r="G41" s="59"/>
      <c r="H41" s="59"/>
      <c r="I41" s="59"/>
      <c r="J41" s="59"/>
      <c r="K41" s="59"/>
    </row>
    <row r="42" spans="1:11" x14ac:dyDescent="0.3">
      <c r="B42" s="59"/>
      <c r="C42" s="59"/>
      <c r="D42" s="59"/>
      <c r="E42" s="59"/>
      <c r="F42" s="59"/>
      <c r="G42" s="59"/>
      <c r="H42" s="59"/>
      <c r="I42" s="59"/>
      <c r="J42" s="59"/>
      <c r="K42" s="59"/>
    </row>
    <row r="43" spans="1:11" x14ac:dyDescent="0.3">
      <c r="B43" s="59"/>
      <c r="C43" s="59"/>
      <c r="D43" s="59"/>
      <c r="E43" s="59"/>
      <c r="F43" s="59"/>
      <c r="G43" s="59"/>
      <c r="H43" s="59"/>
      <c r="I43" s="59"/>
      <c r="J43" s="59"/>
      <c r="K43" s="59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FE1F5-9038-43F4-8AFD-E84351AB6450}">
  <dimension ref="B3:L56"/>
  <sheetViews>
    <sheetView workbookViewId="0">
      <selection activeCell="F139" sqref="F139"/>
    </sheetView>
  </sheetViews>
  <sheetFormatPr defaultColWidth="9.33203125" defaultRowHeight="12" x14ac:dyDescent="0.3"/>
  <cols>
    <col min="1" max="1" width="9.33203125" style="108"/>
    <col min="2" max="2" width="18.6640625" style="108" bestFit="1" customWidth="1"/>
    <col min="3" max="7" width="9.33203125" style="108"/>
    <col min="8" max="8" width="23.6640625" style="108" customWidth="1"/>
    <col min="9" max="16384" width="9.33203125" style="108"/>
  </cols>
  <sheetData>
    <row r="3" spans="2:12" x14ac:dyDescent="0.3">
      <c r="B3" s="1090"/>
      <c r="C3" s="1087">
        <v>2022</v>
      </c>
      <c r="D3" s="1087">
        <v>2023</v>
      </c>
      <c r="E3" s="1087">
        <v>2024</v>
      </c>
      <c r="F3" s="1087">
        <v>2025</v>
      </c>
      <c r="H3" s="1090"/>
      <c r="I3" s="1087">
        <v>2022</v>
      </c>
      <c r="J3" s="1087">
        <v>2023</v>
      </c>
      <c r="K3" s="1087">
        <v>2024</v>
      </c>
      <c r="L3" s="1087">
        <v>2025</v>
      </c>
    </row>
    <row r="4" spans="2:12" x14ac:dyDescent="0.3">
      <c r="B4" s="108" t="s">
        <v>4202</v>
      </c>
      <c r="H4" s="108" t="s">
        <v>4202</v>
      </c>
    </row>
    <row r="5" spans="2:12" x14ac:dyDescent="0.3">
      <c r="B5" s="1088" t="s">
        <v>4203</v>
      </c>
      <c r="C5" s="120">
        <f>Drivers!EN540</f>
        <v>1181.8499999999999</v>
      </c>
      <c r="D5" s="120">
        <f>Drivers!ES540</f>
        <v>1418.1</v>
      </c>
      <c r="E5" s="120">
        <f>Drivers!EX540</f>
        <v>1431.9</v>
      </c>
      <c r="F5" s="120">
        <f>Drivers!FC540</f>
        <v>1397.4999999999998</v>
      </c>
      <c r="H5" s="1088" t="s">
        <v>4204</v>
      </c>
      <c r="I5" s="120">
        <f>Drivers!EN540</f>
        <v>1181.8499999999999</v>
      </c>
      <c r="J5" s="120">
        <f>Drivers!ES540</f>
        <v>1418.1</v>
      </c>
      <c r="K5" s="120">
        <f>Drivers!EX540</f>
        <v>1431.9</v>
      </c>
      <c r="L5" s="120">
        <f>Drivers!FC540</f>
        <v>1397.4999999999998</v>
      </c>
    </row>
    <row r="6" spans="2:12" x14ac:dyDescent="0.3">
      <c r="B6" s="1088" t="s">
        <v>4205</v>
      </c>
      <c r="C6" s="120">
        <v>1382</v>
      </c>
      <c r="D6" s="120">
        <v>2211.1999999999998</v>
      </c>
      <c r="E6" s="120">
        <v>2390.86</v>
      </c>
      <c r="F6" s="120">
        <v>2392.2420000000002</v>
      </c>
      <c r="H6" s="1088" t="s">
        <v>4206</v>
      </c>
      <c r="I6" s="120">
        <f>Drivers!EN540</f>
        <v>1181.8499999999999</v>
      </c>
      <c r="J6" s="120">
        <f>Drivers!ES540</f>
        <v>1418.1</v>
      </c>
      <c r="K6" s="120">
        <f>Drivers!EX540</f>
        <v>1431.9</v>
      </c>
      <c r="L6" s="120">
        <f>Drivers!FC540</f>
        <v>1397.4999999999998</v>
      </c>
    </row>
    <row r="7" spans="2:12" x14ac:dyDescent="0.3">
      <c r="B7" s="680" t="s">
        <v>4207</v>
      </c>
      <c r="C7" s="124">
        <f>C5-C6</f>
        <v>-200.15000000000009</v>
      </c>
      <c r="D7" s="124">
        <f>D5-D6</f>
        <v>-793.09999999999991</v>
      </c>
      <c r="E7" s="124">
        <f>E5-E6</f>
        <v>-958.96</v>
      </c>
      <c r="F7" s="124">
        <f>F5-F6</f>
        <v>-994.74200000000042</v>
      </c>
      <c r="H7" s="680" t="s">
        <v>4207</v>
      </c>
      <c r="I7" s="124">
        <f>I5-I6</f>
        <v>0</v>
      </c>
      <c r="J7" s="124">
        <f>J5-J6</f>
        <v>0</v>
      </c>
      <c r="K7" s="124">
        <f>K5-K6</f>
        <v>0</v>
      </c>
      <c r="L7" s="124">
        <f>L5-L6</f>
        <v>0</v>
      </c>
    </row>
    <row r="8" spans="2:12" x14ac:dyDescent="0.3">
      <c r="B8" s="680" t="s">
        <v>4208</v>
      </c>
      <c r="C8" s="1089">
        <f>C5/C6-1</f>
        <v>-0.14482633863965277</v>
      </c>
      <c r="D8" s="1089">
        <f>D5/D6-1</f>
        <v>-0.35867402315484809</v>
      </c>
      <c r="E8" s="1089">
        <f>E5/E6-1</f>
        <v>-0.40109416695247735</v>
      </c>
      <c r="F8" s="1089">
        <f>F5/F6-1</f>
        <v>-0.41581997139085436</v>
      </c>
      <c r="H8" s="680" t="s">
        <v>4208</v>
      </c>
      <c r="I8" s="1089">
        <f>I5/I6-1</f>
        <v>0</v>
      </c>
      <c r="J8" s="1089">
        <f>J5/J6-1</f>
        <v>0</v>
      </c>
      <c r="K8" s="1089">
        <f>K5/K6-1</f>
        <v>0</v>
      </c>
      <c r="L8" s="1089">
        <f>L5/L6-1</f>
        <v>0</v>
      </c>
    </row>
    <row r="10" spans="2:12" x14ac:dyDescent="0.3">
      <c r="B10" s="108" t="s">
        <v>504</v>
      </c>
    </row>
    <row r="11" spans="2:12" x14ac:dyDescent="0.3">
      <c r="B11" s="1088" t="s">
        <v>4203</v>
      </c>
      <c r="C11" s="120">
        <f>Drivers!EN572</f>
        <v>2738</v>
      </c>
      <c r="D11" s="120">
        <f>Drivers!ES572</f>
        <v>3211</v>
      </c>
      <c r="E11" s="120">
        <f>Drivers!EX572</f>
        <v>2783</v>
      </c>
      <c r="F11" s="120">
        <f>Drivers!FC572</f>
        <v>3194.4479521510066</v>
      </c>
    </row>
    <row r="12" spans="2:12" x14ac:dyDescent="0.3">
      <c r="B12" s="1088" t="s">
        <v>4205</v>
      </c>
      <c r="C12" s="120">
        <v>2849.333870099138</v>
      </c>
      <c r="D12" s="120">
        <v>3498.0314961990416</v>
      </c>
      <c r="E12" s="120">
        <v>3355.5778275579705</v>
      </c>
      <c r="F12" s="120">
        <v>3358.5936018925258</v>
      </c>
    </row>
    <row r="13" spans="2:12" x14ac:dyDescent="0.3">
      <c r="B13" s="680" t="s">
        <v>4207</v>
      </c>
      <c r="C13" s="124">
        <f>C11-C12</f>
        <v>-111.33387009913804</v>
      </c>
      <c r="D13" s="124">
        <f>D11-D12</f>
        <v>-287.03149619904161</v>
      </c>
      <c r="E13" s="124">
        <f>E11-E12</f>
        <v>-572.57782755797052</v>
      </c>
      <c r="F13" s="124">
        <f>F11-F12</f>
        <v>-164.14564974151926</v>
      </c>
    </row>
    <row r="14" spans="2:12" x14ac:dyDescent="0.3">
      <c r="B14" s="680" t="s">
        <v>4208</v>
      </c>
      <c r="C14" s="1089">
        <f>C11/C12-1</f>
        <v>-3.9073648499908686E-2</v>
      </c>
      <c r="D14" s="1089">
        <f>D11/D12-1</f>
        <v>-8.205514916344514E-2</v>
      </c>
      <c r="E14" s="1089">
        <f>E11/E12-1</f>
        <v>-0.170634643862415</v>
      </c>
      <c r="F14" s="1089">
        <f>F11/F12-1</f>
        <v>-4.8873328898448865E-2</v>
      </c>
    </row>
    <row r="16" spans="2:12" x14ac:dyDescent="0.3">
      <c r="B16" s="108" t="s">
        <v>99</v>
      </c>
      <c r="H16" s="108" t="s">
        <v>99</v>
      </c>
    </row>
    <row r="17" spans="2:12" x14ac:dyDescent="0.3">
      <c r="B17" s="1088" t="s">
        <v>4203</v>
      </c>
      <c r="C17" s="120">
        <f>'Model Main'!EN132</f>
        <v>-1337</v>
      </c>
      <c r="D17" s="120">
        <f>'Model Main'!ES132</f>
        <v>-1867</v>
      </c>
      <c r="E17" s="120">
        <f>'Model Main'!EX132</f>
        <v>-1651</v>
      </c>
      <c r="F17" s="120">
        <f>'Model Main'!FC132</f>
        <v>-1838.2067340418082</v>
      </c>
      <c r="H17" s="1088" t="s">
        <v>4204</v>
      </c>
      <c r="I17" s="120">
        <f>'Model Main'!EN132</f>
        <v>-1337</v>
      </c>
      <c r="J17" s="120">
        <f>'Model Main'!ES132</f>
        <v>-1867</v>
      </c>
      <c r="K17" s="120">
        <f>'Model Main'!EX132</f>
        <v>-1651</v>
      </c>
      <c r="L17" s="120">
        <f>'Model Main'!FC132</f>
        <v>-1838.2067340418082</v>
      </c>
    </row>
    <row r="18" spans="2:12" x14ac:dyDescent="0.3">
      <c r="B18" s="1088" t="s">
        <v>4205</v>
      </c>
      <c r="C18" s="120">
        <v>-1254.132659955018</v>
      </c>
      <c r="D18" s="120">
        <v>-1764.3143584439592</v>
      </c>
      <c r="E18" s="120">
        <v>-1402.743156772116</v>
      </c>
      <c r="F18" s="120">
        <v>-1226.8707073780565</v>
      </c>
      <c r="H18" s="1088" t="s">
        <v>4206</v>
      </c>
      <c r="I18" s="120">
        <f>'Model Main'!EN132</f>
        <v>-1337</v>
      </c>
      <c r="J18" s="120">
        <f>'Model Main'!ES132</f>
        <v>-1867</v>
      </c>
      <c r="K18" s="120">
        <f>'Model Main'!EX132</f>
        <v>-1651</v>
      </c>
      <c r="L18" s="120">
        <f>'Model Main'!FC132</f>
        <v>-1838.2067340418082</v>
      </c>
    </row>
    <row r="19" spans="2:12" x14ac:dyDescent="0.3">
      <c r="B19" s="680" t="s">
        <v>4207</v>
      </c>
      <c r="C19" s="124">
        <f>C17-C18</f>
        <v>-82.867340044982029</v>
      </c>
      <c r="D19" s="124">
        <f>D17-D18</f>
        <v>-102.68564155604076</v>
      </c>
      <c r="E19" s="124">
        <f>E17-E18</f>
        <v>-248.25684322788402</v>
      </c>
      <c r="F19" s="124">
        <f>F17-F18</f>
        <v>-611.33602666375168</v>
      </c>
      <c r="H19" s="680" t="s">
        <v>4207</v>
      </c>
      <c r="I19" s="124">
        <f>I17-I18</f>
        <v>0</v>
      </c>
      <c r="J19" s="124">
        <f>J17-J18</f>
        <v>0</v>
      </c>
      <c r="K19" s="124">
        <f>K17-K18</f>
        <v>0</v>
      </c>
      <c r="L19" s="124">
        <f>L17-L18</f>
        <v>0</v>
      </c>
    </row>
    <row r="21" spans="2:12" x14ac:dyDescent="0.3">
      <c r="B21" s="108" t="s">
        <v>3641</v>
      </c>
      <c r="H21" s="108" t="s">
        <v>3641</v>
      </c>
    </row>
    <row r="22" spans="2:12" x14ac:dyDescent="0.3">
      <c r="B22" s="1088" t="s">
        <v>4203</v>
      </c>
      <c r="C22" s="675">
        <f>'Model Main'!EN200</f>
        <v>3.3908653846153847</v>
      </c>
      <c r="D22" s="675">
        <f>'Model Main'!ES200</f>
        <v>4.2599905970850962</v>
      </c>
      <c r="E22" s="675">
        <f>'Model Main'!EX200</f>
        <v>4.8027543314082628</v>
      </c>
      <c r="F22" s="675">
        <f>'Model Main'!FC200</f>
        <v>5.2466149168475829</v>
      </c>
      <c r="H22" s="1088" t="s">
        <v>4204</v>
      </c>
      <c r="I22" s="675">
        <f>'Model Main'!EN200</f>
        <v>3.3908653846153847</v>
      </c>
      <c r="J22" s="675">
        <f>'Model Main'!ES200</f>
        <v>4.2599905970850962</v>
      </c>
      <c r="K22" s="675">
        <f>'Model Main'!EX200</f>
        <v>4.8027543314082628</v>
      </c>
      <c r="L22" s="675">
        <f>'Model Main'!FC200</f>
        <v>5.2466149168475829</v>
      </c>
    </row>
    <row r="23" spans="2:12" x14ac:dyDescent="0.3">
      <c r="B23" s="1088" t="s">
        <v>4205</v>
      </c>
      <c r="C23" s="675">
        <v>3.3364924186861189</v>
      </c>
      <c r="D23" s="675">
        <v>3.7984721420408154</v>
      </c>
      <c r="E23" s="675">
        <v>4.0490871970197171</v>
      </c>
      <c r="F23" s="675">
        <v>4.6153306044148756</v>
      </c>
      <c r="H23" s="1088" t="s">
        <v>4206</v>
      </c>
      <c r="I23" s="675">
        <f>'Model Main'!EN200</f>
        <v>3.3908653846153847</v>
      </c>
      <c r="J23" s="675">
        <f>'Model Main'!ES200</f>
        <v>4.2599905970850962</v>
      </c>
      <c r="K23" s="675">
        <f>'Model Main'!EX200</f>
        <v>4.8027543314082628</v>
      </c>
      <c r="L23" s="675">
        <f>'Model Main'!FC200</f>
        <v>5.2466149168475829</v>
      </c>
    </row>
    <row r="24" spans="2:12" x14ac:dyDescent="0.3">
      <c r="B24" s="680" t="s">
        <v>4207</v>
      </c>
      <c r="C24" s="675">
        <f>C22-C23</f>
        <v>5.4372965929265771E-2</v>
      </c>
      <c r="D24" s="675">
        <f>D22-D23</f>
        <v>0.4615184550442808</v>
      </c>
      <c r="E24" s="675">
        <f>E22-E23</f>
        <v>0.75366713438854571</v>
      </c>
      <c r="F24" s="675">
        <f>F22-F23</f>
        <v>0.63128431243270722</v>
      </c>
      <c r="H24" s="680" t="s">
        <v>4207</v>
      </c>
      <c r="I24" s="675">
        <f>I22-I23</f>
        <v>0</v>
      </c>
      <c r="J24" s="675">
        <f>J22-J23</f>
        <v>0</v>
      </c>
      <c r="K24" s="675">
        <f>K22-K23</f>
        <v>0</v>
      </c>
      <c r="L24" s="675">
        <f>L22-L23</f>
        <v>0</v>
      </c>
    </row>
    <row r="26" spans="2:12" x14ac:dyDescent="0.3">
      <c r="B26" s="108" t="s">
        <v>4209</v>
      </c>
      <c r="H26" s="108" t="s">
        <v>4209</v>
      </c>
    </row>
    <row r="27" spans="2:12" x14ac:dyDescent="0.3">
      <c r="B27" s="1088" t="s">
        <v>4203</v>
      </c>
      <c r="C27" s="925" t="e">
        <f>Valuation!B51</f>
        <v>#REF!</v>
      </c>
      <c r="H27" s="1088" t="s">
        <v>4204</v>
      </c>
      <c r="I27" s="925" t="e">
        <f>Valuation!B51</f>
        <v>#REF!</v>
      </c>
    </row>
    <row r="28" spans="2:12" x14ac:dyDescent="0.3">
      <c r="B28" s="1088" t="s">
        <v>4205</v>
      </c>
      <c r="C28" s="925">
        <v>101.96881396162752</v>
      </c>
      <c r="H28" s="1088" t="s">
        <v>4206</v>
      </c>
      <c r="I28" s="925" cm="1">
        <f t="array" ref="I28">[0]!AMTTargetPrice</f>
        <v>38.5</v>
      </c>
    </row>
    <row r="29" spans="2:12" x14ac:dyDescent="0.3">
      <c r="B29" s="680" t="s">
        <v>4207</v>
      </c>
      <c r="C29" s="929" t="e">
        <f>C27-C28</f>
        <v>#REF!</v>
      </c>
      <c r="H29" s="680" t="s">
        <v>4207</v>
      </c>
      <c r="I29" s="929" t="e">
        <f>I27-I28</f>
        <v>#REF!</v>
      </c>
    </row>
    <row r="30" spans="2:12" x14ac:dyDescent="0.3">
      <c r="B30" s="680" t="s">
        <v>4208</v>
      </c>
      <c r="C30" s="950" t="e">
        <f>C27/C28-1</f>
        <v>#REF!</v>
      </c>
      <c r="H30" s="680" t="s">
        <v>4208</v>
      </c>
      <c r="I30" s="950" t="e">
        <f>I27/I28-1</f>
        <v>#REF!</v>
      </c>
    </row>
    <row r="31" spans="2:12" x14ac:dyDescent="0.3">
      <c r="B31" s="1091"/>
      <c r="C31" s="1091"/>
      <c r="D31" s="1091"/>
      <c r="E31" s="1091"/>
      <c r="F31" s="1091"/>
      <c r="H31" s="1091"/>
      <c r="I31" s="1091"/>
      <c r="J31" s="1091"/>
      <c r="K31" s="1091"/>
      <c r="L31" s="1091"/>
    </row>
    <row r="52" spans="2:4" x14ac:dyDescent="0.3">
      <c r="B52" s="108" t="s">
        <v>628</v>
      </c>
      <c r="C52" s="1092">
        <f>Valuation!B33/Valuation!B50</f>
        <v>148.12473896700541</v>
      </c>
      <c r="D52" s="1092"/>
    </row>
    <row r="53" spans="2:4" x14ac:dyDescent="0.3">
      <c r="B53" s="108" t="s">
        <v>629</v>
      </c>
      <c r="C53" s="1092">
        <f>C52</f>
        <v>148.12473896700541</v>
      </c>
      <c r="D53" s="1092" t="e">
        <f>Valuation!B42/Valuation!B50</f>
        <v>#REF!</v>
      </c>
    </row>
    <row r="54" spans="2:4" x14ac:dyDescent="0.3">
      <c r="B54" s="108" t="s">
        <v>148</v>
      </c>
      <c r="C54" s="1092" t="e">
        <f>C53+D53-D54</f>
        <v>#REF!</v>
      </c>
      <c r="D54" s="1092">
        <f>-Valuation!B45/Valuation!B50</f>
        <v>41.580769230769228</v>
      </c>
    </row>
    <row r="55" spans="2:4" x14ac:dyDescent="0.3">
      <c r="B55" s="108" t="s">
        <v>3640</v>
      </c>
      <c r="C55" s="1092" t="e">
        <f>C56</f>
        <v>#REF!</v>
      </c>
      <c r="D55" s="1092">
        <f>-Valuation!B46/Valuation!B50</f>
        <v>37.154469166118815</v>
      </c>
    </row>
    <row r="56" spans="2:4" x14ac:dyDescent="0.3">
      <c r="B56" s="108" t="s">
        <v>754</v>
      </c>
      <c r="C56" s="1092" t="e">
        <f>Valuation!B51</f>
        <v>#REF!</v>
      </c>
      <c r="D56" s="109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3C12E-CF46-48CB-8B20-399A7CAFD2C1}">
  <sheetPr codeName="Sheet31"/>
  <dimension ref="A1:BW251"/>
  <sheetViews>
    <sheetView showGridLines="0" workbookViewId="0">
      <selection activeCell="B25" sqref="B25"/>
    </sheetView>
  </sheetViews>
  <sheetFormatPr defaultColWidth="9.33203125" defaultRowHeight="14.5" x14ac:dyDescent="0.35"/>
  <cols>
    <col min="1" max="1" width="33" style="392" bestFit="1" customWidth="1"/>
    <col min="2" max="21" width="11" style="392" customWidth="1"/>
    <col min="22" max="16384" width="9.33203125" style="392"/>
  </cols>
  <sheetData>
    <row r="1" spans="1:75" ht="21.5" thickBot="1" x14ac:dyDescent="0.55000000000000004">
      <c r="A1" s="389" t="s">
        <v>13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390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</row>
    <row r="2" spans="1:75" ht="12.75" customHeight="1" x14ac:dyDescent="0.35">
      <c r="A2" s="393" t="s">
        <v>161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94"/>
      <c r="AK2" s="395"/>
      <c r="AL2" s="395"/>
      <c r="AM2" s="395"/>
      <c r="AN2" s="395"/>
      <c r="AO2" s="395"/>
      <c r="AP2" s="395"/>
      <c r="AQ2" s="395"/>
      <c r="AR2" s="395"/>
      <c r="AS2" s="395"/>
      <c r="AT2" s="395"/>
      <c r="AU2" s="395"/>
      <c r="AV2" s="395"/>
      <c r="AW2" s="395"/>
      <c r="AX2" s="395"/>
      <c r="AY2" s="395"/>
      <c r="AZ2" s="395"/>
      <c r="BA2" s="395"/>
      <c r="BB2" s="395"/>
      <c r="BC2" s="395"/>
      <c r="BD2" s="395"/>
      <c r="BE2" s="395"/>
      <c r="BF2" s="395"/>
      <c r="BG2" s="395"/>
      <c r="BH2" s="395"/>
      <c r="BI2" s="395"/>
      <c r="BJ2" s="395"/>
      <c r="BK2" s="395"/>
      <c r="BL2" s="395"/>
      <c r="BM2" s="395"/>
      <c r="BN2" s="395"/>
      <c r="BO2" s="395"/>
      <c r="BP2" s="395"/>
      <c r="BQ2" s="395"/>
      <c r="BR2" s="395"/>
      <c r="BS2" s="395"/>
      <c r="BT2" s="395"/>
      <c r="BU2" s="395"/>
      <c r="BV2" s="395"/>
      <c r="BW2" s="395"/>
    </row>
    <row r="3" spans="1:75" ht="12.75" customHeight="1" x14ac:dyDescent="0.35">
      <c r="A3" s="396" t="s">
        <v>15</v>
      </c>
      <c r="B3" s="396"/>
      <c r="C3" s="396"/>
      <c r="D3" s="396"/>
      <c r="E3" s="396"/>
      <c r="F3" s="396"/>
      <c r="G3" s="396"/>
      <c r="H3" s="396"/>
      <c r="I3" s="396"/>
      <c r="J3" s="396"/>
      <c r="K3" s="396"/>
      <c r="L3" s="396"/>
      <c r="M3" s="396"/>
      <c r="N3" s="396"/>
      <c r="O3" s="396"/>
      <c r="P3" s="396"/>
      <c r="Q3" s="396"/>
      <c r="R3" s="396"/>
      <c r="S3" s="396"/>
      <c r="T3" s="396"/>
      <c r="U3" s="396"/>
      <c r="V3" s="396"/>
      <c r="W3" s="396"/>
      <c r="X3" s="396"/>
      <c r="Y3" s="396"/>
      <c r="Z3" s="396"/>
      <c r="AA3" s="396"/>
      <c r="AB3" s="396"/>
      <c r="AC3" s="396"/>
      <c r="AD3" s="396"/>
      <c r="AE3" s="396"/>
      <c r="AF3" s="396"/>
      <c r="AG3" s="396"/>
      <c r="AH3" s="396"/>
      <c r="AI3" s="396"/>
      <c r="AJ3" s="396"/>
      <c r="AK3" s="395"/>
      <c r="AL3" s="395"/>
      <c r="AM3" s="395"/>
      <c r="AN3" s="395"/>
      <c r="AO3" s="395"/>
      <c r="AP3" s="395"/>
      <c r="AQ3" s="395"/>
      <c r="AR3" s="395"/>
      <c r="AS3" s="395"/>
      <c r="AT3" s="395"/>
      <c r="AU3" s="395"/>
      <c r="AV3" s="395"/>
      <c r="AW3" s="395"/>
      <c r="AX3" s="395"/>
      <c r="AY3" s="395"/>
      <c r="AZ3" s="395"/>
      <c r="BA3" s="395"/>
      <c r="BB3" s="395"/>
      <c r="BC3" s="395"/>
      <c r="BD3" s="395"/>
      <c r="BE3" s="395"/>
      <c r="BF3" s="395"/>
      <c r="BG3" s="395"/>
      <c r="BH3" s="395"/>
      <c r="BI3" s="395"/>
      <c r="BJ3" s="395"/>
      <c r="BK3" s="395"/>
      <c r="BL3" s="395"/>
      <c r="BM3" s="395"/>
      <c r="BN3" s="395"/>
      <c r="BO3" s="395"/>
      <c r="BP3" s="395"/>
      <c r="BQ3" s="395"/>
      <c r="BR3" s="395"/>
      <c r="BS3" s="395"/>
      <c r="BT3" s="395"/>
      <c r="BU3" s="395"/>
      <c r="BV3" s="395"/>
      <c r="BW3" s="395"/>
    </row>
    <row r="4" spans="1:75" ht="12.75" customHeight="1" x14ac:dyDescent="0.35">
      <c r="A4" s="394"/>
      <c r="B4" s="394"/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394"/>
      <c r="W4" s="394"/>
      <c r="X4" s="394"/>
      <c r="Y4" s="394"/>
      <c r="Z4" s="394"/>
      <c r="AA4" s="394"/>
      <c r="AB4" s="394"/>
      <c r="AC4" s="394"/>
      <c r="AD4" s="394"/>
      <c r="AE4" s="394"/>
      <c r="AF4" s="394"/>
      <c r="AG4" s="394"/>
      <c r="AH4" s="394"/>
      <c r="AI4" s="394"/>
      <c r="AJ4" s="394"/>
      <c r="AK4" s="395"/>
      <c r="AL4" s="395"/>
      <c r="AM4" s="395"/>
      <c r="AN4" s="395"/>
      <c r="AO4" s="395"/>
      <c r="AP4" s="395"/>
      <c r="AQ4" s="395"/>
      <c r="AR4" s="395"/>
      <c r="AS4" s="395"/>
      <c r="AT4" s="395"/>
      <c r="AU4" s="395"/>
      <c r="AV4" s="395"/>
      <c r="AW4" s="395"/>
      <c r="AX4" s="395"/>
      <c r="AY4" s="395"/>
      <c r="AZ4" s="395"/>
      <c r="BA4" s="395"/>
      <c r="BB4" s="395"/>
      <c r="BC4" s="395"/>
      <c r="BD4" s="395"/>
      <c r="BE4" s="395"/>
      <c r="BF4" s="395"/>
      <c r="BG4" s="395"/>
      <c r="BH4" s="395"/>
      <c r="BI4" s="395"/>
      <c r="BJ4" s="395"/>
      <c r="BK4" s="395"/>
      <c r="BL4" s="395"/>
      <c r="BM4" s="395"/>
      <c r="BN4" s="395"/>
      <c r="BO4" s="395"/>
      <c r="BP4" s="395"/>
      <c r="BQ4" s="395"/>
      <c r="BR4" s="395"/>
      <c r="BS4" s="395"/>
      <c r="BT4" s="395"/>
      <c r="BU4" s="395"/>
      <c r="BV4" s="395"/>
      <c r="BW4" s="395"/>
    </row>
    <row r="5" spans="1:75" x14ac:dyDescent="0.35">
      <c r="A5" s="397" t="s">
        <v>162</v>
      </c>
      <c r="B5" s="398"/>
      <c r="C5" s="399"/>
      <c r="D5" s="397" t="s">
        <v>163</v>
      </c>
      <c r="E5" s="398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  <c r="S5" s="399"/>
      <c r="T5" s="399"/>
      <c r="U5" s="399"/>
      <c r="V5" s="399"/>
      <c r="W5" s="400"/>
      <c r="X5" s="400"/>
      <c r="Y5" s="400"/>
    </row>
    <row r="6" spans="1:75" x14ac:dyDescent="0.35">
      <c r="A6" s="398" t="s">
        <v>164</v>
      </c>
      <c r="B6" s="428">
        <v>7000</v>
      </c>
      <c r="C6" s="401"/>
      <c r="D6" s="398" t="s">
        <v>165</v>
      </c>
      <c r="F6" s="449">
        <v>7.0000000000000007E-2</v>
      </c>
      <c r="H6" s="399"/>
      <c r="I6" s="399"/>
      <c r="J6" s="399"/>
      <c r="K6" s="399"/>
      <c r="L6" s="399"/>
      <c r="M6" s="399"/>
      <c r="N6" s="399"/>
      <c r="O6" s="399"/>
      <c r="P6" s="399"/>
      <c r="Q6" s="399"/>
      <c r="R6" s="399"/>
      <c r="S6" s="399"/>
      <c r="T6" s="399"/>
      <c r="U6" s="399"/>
      <c r="V6" s="399"/>
      <c r="W6" s="400"/>
      <c r="X6" s="400"/>
      <c r="Y6" s="400"/>
    </row>
    <row r="7" spans="1:75" x14ac:dyDescent="0.35">
      <c r="A7" s="398" t="s">
        <v>166</v>
      </c>
      <c r="B7" s="433">
        <v>0.01</v>
      </c>
      <c r="C7" s="401"/>
      <c r="D7" s="398" t="s">
        <v>167</v>
      </c>
      <c r="F7" s="449">
        <f>B7+B17</f>
        <v>3.5000000000000003E-2</v>
      </c>
      <c r="H7" s="399"/>
      <c r="I7" s="399"/>
      <c r="J7" s="399"/>
      <c r="K7" s="399"/>
      <c r="L7" s="399"/>
      <c r="M7" s="399"/>
      <c r="N7" s="399"/>
      <c r="O7" s="399"/>
      <c r="P7" s="399"/>
      <c r="Q7" s="399"/>
      <c r="R7" s="399"/>
      <c r="S7" s="399"/>
      <c r="T7" s="399"/>
      <c r="U7" s="399"/>
      <c r="V7" s="399"/>
      <c r="W7" s="400"/>
      <c r="X7" s="400"/>
      <c r="Y7" s="400"/>
    </row>
    <row r="8" spans="1:75" x14ac:dyDescent="0.35">
      <c r="A8" s="398" t="s">
        <v>168</v>
      </c>
      <c r="B8" s="428">
        <v>1000</v>
      </c>
      <c r="C8" s="399"/>
      <c r="D8" s="398" t="s">
        <v>124</v>
      </c>
      <c r="F8" s="449">
        <v>0.25</v>
      </c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  <c r="S8" s="399"/>
      <c r="T8" s="399"/>
      <c r="U8" s="399"/>
      <c r="V8" s="399"/>
      <c r="W8" s="400"/>
      <c r="X8" s="400"/>
      <c r="Y8" s="400"/>
    </row>
    <row r="9" spans="1:75" x14ac:dyDescent="0.35">
      <c r="A9" s="398" t="s">
        <v>169</v>
      </c>
      <c r="B9" s="429">
        <f>+B6/B8</f>
        <v>7</v>
      </c>
      <c r="C9" s="399"/>
      <c r="D9" s="398" t="s">
        <v>170</v>
      </c>
      <c r="F9" s="450">
        <v>10</v>
      </c>
      <c r="H9" s="399"/>
      <c r="I9" s="399"/>
      <c r="J9" s="399"/>
      <c r="K9" s="399"/>
      <c r="L9" s="399"/>
      <c r="M9" s="399"/>
      <c r="N9" s="399"/>
      <c r="O9" s="399"/>
      <c r="P9" s="399"/>
      <c r="Q9" s="399"/>
      <c r="R9" s="399"/>
      <c r="S9" s="399"/>
      <c r="T9" s="399"/>
      <c r="U9" s="399"/>
      <c r="V9" s="399"/>
      <c r="W9" s="400"/>
      <c r="X9" s="400"/>
      <c r="Y9" s="400"/>
    </row>
    <row r="10" spans="1:75" x14ac:dyDescent="0.35">
      <c r="A10" s="398" t="s">
        <v>171</v>
      </c>
      <c r="B10" s="449">
        <v>0.45</v>
      </c>
      <c r="C10" s="399"/>
      <c r="D10" s="399"/>
      <c r="F10" s="407"/>
      <c r="H10" s="399"/>
      <c r="I10" s="399"/>
      <c r="J10" s="399"/>
      <c r="K10" s="399"/>
      <c r="L10" s="399"/>
      <c r="M10" s="399"/>
      <c r="N10" s="399"/>
      <c r="O10" s="399"/>
      <c r="P10" s="399"/>
      <c r="Q10" s="399"/>
      <c r="R10" s="399"/>
      <c r="S10" s="399"/>
      <c r="T10" s="399"/>
      <c r="U10" s="399"/>
      <c r="V10" s="399"/>
      <c r="W10" s="400"/>
      <c r="X10" s="400"/>
      <c r="Y10" s="400"/>
    </row>
    <row r="11" spans="1:75" x14ac:dyDescent="0.35">
      <c r="A11" s="403" t="s">
        <v>172</v>
      </c>
      <c r="B11" s="436">
        <v>0.9</v>
      </c>
      <c r="C11" s="399"/>
      <c r="D11" s="397" t="s">
        <v>173</v>
      </c>
      <c r="F11" s="398"/>
      <c r="H11" s="399"/>
      <c r="I11" s="399"/>
      <c r="J11" s="399"/>
      <c r="K11" s="399"/>
      <c r="L11" s="399"/>
      <c r="M11" s="399"/>
      <c r="N11" s="399"/>
      <c r="O11" s="399"/>
      <c r="P11" s="399"/>
      <c r="Q11" s="399"/>
      <c r="R11" s="399"/>
      <c r="S11" s="399"/>
      <c r="T11" s="399"/>
      <c r="U11" s="399"/>
      <c r="V11" s="399"/>
      <c r="W11" s="400"/>
      <c r="X11" s="400"/>
      <c r="Y11" s="400"/>
    </row>
    <row r="12" spans="1:75" x14ac:dyDescent="0.35">
      <c r="A12" s="403" t="s">
        <v>174</v>
      </c>
      <c r="B12" s="431">
        <f>+B10/B11</f>
        <v>0.5</v>
      </c>
      <c r="C12" s="399"/>
      <c r="D12" s="398" t="s">
        <v>175</v>
      </c>
      <c r="F12" s="408">
        <f>IRR(B$103:Q$103)</f>
        <v>0.15928044435588995</v>
      </c>
      <c r="H12" s="399"/>
      <c r="I12" s="399"/>
      <c r="J12" s="399"/>
      <c r="K12" s="399"/>
      <c r="L12" s="399"/>
      <c r="M12" s="399"/>
      <c r="N12" s="399"/>
      <c r="O12" s="399"/>
      <c r="P12" s="399"/>
      <c r="Q12" s="399"/>
      <c r="R12" s="399"/>
      <c r="S12" s="399"/>
      <c r="T12" s="399"/>
      <c r="U12" s="399"/>
      <c r="V12" s="399"/>
      <c r="W12" s="400"/>
      <c r="X12" s="400"/>
      <c r="Y12" s="400"/>
    </row>
    <row r="13" spans="1:75" x14ac:dyDescent="0.35">
      <c r="A13" s="398"/>
      <c r="B13" s="430"/>
      <c r="C13" s="399"/>
      <c r="D13" s="398" t="s">
        <v>176</v>
      </c>
      <c r="F13" s="398">
        <f>B119</f>
        <v>17640.986746297127</v>
      </c>
      <c r="H13" s="399"/>
      <c r="I13" s="399"/>
      <c r="J13" s="399"/>
      <c r="K13" s="399"/>
      <c r="L13" s="399"/>
      <c r="M13" s="399"/>
      <c r="N13" s="399"/>
      <c r="O13" s="399"/>
      <c r="P13" s="399"/>
      <c r="Q13" s="399"/>
      <c r="R13" s="399"/>
      <c r="S13" s="399"/>
      <c r="T13" s="399"/>
      <c r="U13" s="399"/>
      <c r="V13" s="399"/>
      <c r="W13" s="400"/>
      <c r="X13" s="400"/>
      <c r="Y13" s="400"/>
    </row>
    <row r="14" spans="1:75" x14ac:dyDescent="0.35">
      <c r="A14" s="397" t="s">
        <v>177</v>
      </c>
      <c r="B14" s="430"/>
      <c r="C14" s="399"/>
      <c r="D14" s="398" t="s">
        <v>178</v>
      </c>
      <c r="F14" s="398">
        <f>+F13/B6*1000</f>
        <v>2520.1409637567322</v>
      </c>
      <c r="H14" s="399"/>
      <c r="I14" s="399"/>
      <c r="J14" s="399"/>
      <c r="K14" s="399"/>
      <c r="L14" s="399"/>
      <c r="M14" s="399"/>
      <c r="N14" s="399"/>
      <c r="O14" s="399"/>
      <c r="P14" s="399"/>
      <c r="Q14" s="399"/>
      <c r="R14" s="399"/>
      <c r="S14" s="399"/>
      <c r="T14" s="399"/>
      <c r="U14" s="399"/>
      <c r="V14" s="399"/>
      <c r="W14" s="400"/>
      <c r="X14" s="400"/>
      <c r="Y14" s="400"/>
    </row>
    <row r="15" spans="1:75" x14ac:dyDescent="0.35">
      <c r="A15" s="398" t="s">
        <v>179</v>
      </c>
      <c r="B15" s="432">
        <v>60</v>
      </c>
      <c r="C15" s="399"/>
      <c r="D15" s="398" t="s">
        <v>180</v>
      </c>
      <c r="F15" s="398">
        <f>MAX(B101:P101)</f>
        <v>1745.6722499999998</v>
      </c>
      <c r="H15" s="399"/>
      <c r="I15" s="399"/>
      <c r="J15" s="399"/>
      <c r="K15" s="399"/>
      <c r="L15" s="399"/>
      <c r="M15" s="399"/>
      <c r="N15" s="399"/>
      <c r="O15" s="399"/>
      <c r="P15" s="399"/>
      <c r="Q15" s="399"/>
      <c r="R15" s="399"/>
      <c r="S15" s="399"/>
      <c r="T15" s="399"/>
      <c r="U15" s="399"/>
      <c r="V15" s="399"/>
      <c r="W15" s="400"/>
      <c r="X15" s="400"/>
      <c r="Y15" s="400"/>
    </row>
    <row r="16" spans="1:75" x14ac:dyDescent="0.35">
      <c r="A16" s="398" t="s">
        <v>181</v>
      </c>
      <c r="B16" s="432">
        <v>0</v>
      </c>
      <c r="C16" s="399"/>
      <c r="D16" s="398" t="s">
        <v>182</v>
      </c>
      <c r="F16" s="398">
        <f>-MIN(B103:P103)</f>
        <v>1482.1225135625002</v>
      </c>
      <c r="H16" s="399"/>
      <c r="I16" s="399"/>
      <c r="J16" s="399"/>
      <c r="K16" s="399"/>
      <c r="L16" s="399"/>
      <c r="M16" s="399"/>
      <c r="N16" s="399"/>
      <c r="O16" s="399"/>
      <c r="P16" s="399"/>
      <c r="Q16" s="399"/>
      <c r="R16" s="399"/>
      <c r="S16" s="399"/>
      <c r="T16" s="399"/>
      <c r="U16" s="399"/>
      <c r="V16" s="399"/>
      <c r="W16" s="400"/>
      <c r="X16" s="400"/>
      <c r="Y16" s="400"/>
    </row>
    <row r="17" spans="1:25" x14ac:dyDescent="0.35">
      <c r="A17" s="398" t="s">
        <v>183</v>
      </c>
      <c r="B17" s="433">
        <v>2.5000000000000001E-2</v>
      </c>
      <c r="C17" s="399"/>
      <c r="D17" s="398" t="s">
        <v>184</v>
      </c>
      <c r="F17" s="399">
        <f>+SUM(B66:P66)/P42*1000</f>
        <v>950.00000000000011</v>
      </c>
      <c r="H17" s="399"/>
      <c r="I17" s="399"/>
      <c r="J17" s="399"/>
      <c r="K17" s="399"/>
      <c r="L17" s="399"/>
      <c r="M17" s="399"/>
      <c r="N17" s="399"/>
      <c r="O17" s="399"/>
      <c r="P17" s="399"/>
      <c r="Q17" s="399"/>
      <c r="R17" s="399"/>
      <c r="S17" s="399"/>
      <c r="T17" s="399"/>
      <c r="U17" s="399"/>
      <c r="V17" s="399"/>
      <c r="W17" s="400"/>
      <c r="X17" s="400"/>
      <c r="Y17" s="400"/>
    </row>
    <row r="18" spans="1:25" x14ac:dyDescent="0.35">
      <c r="A18" s="398" t="s">
        <v>185</v>
      </c>
      <c r="B18" s="432">
        <v>5</v>
      </c>
      <c r="C18" s="404"/>
      <c r="D18" s="398" t="s">
        <v>186</v>
      </c>
      <c r="F18" s="399">
        <f>+SUM(B66:P66)</f>
        <v>7156.172005634734</v>
      </c>
      <c r="H18" s="399"/>
      <c r="I18" s="399"/>
      <c r="J18" s="399"/>
      <c r="K18" s="399"/>
      <c r="L18" s="399"/>
      <c r="M18" s="399"/>
      <c r="N18" s="399"/>
      <c r="O18" s="399"/>
      <c r="P18" s="399"/>
      <c r="Q18" s="399"/>
      <c r="R18" s="399"/>
      <c r="S18" s="399"/>
      <c r="T18" s="399"/>
      <c r="U18" s="399"/>
      <c r="V18" s="399"/>
      <c r="W18" s="400"/>
      <c r="X18" s="400"/>
      <c r="Y18" s="400"/>
    </row>
    <row r="19" spans="1:25" x14ac:dyDescent="0.35">
      <c r="A19" s="398" t="s">
        <v>187</v>
      </c>
      <c r="B19" s="432">
        <v>8</v>
      </c>
      <c r="C19" s="404"/>
      <c r="D19" s="398" t="s">
        <v>188</v>
      </c>
      <c r="F19" s="399">
        <f>+M60</f>
        <v>2169.8140315276833</v>
      </c>
      <c r="H19" s="399"/>
      <c r="I19" s="399"/>
      <c r="J19" s="405"/>
      <c r="K19" s="399"/>
      <c r="L19" s="399"/>
      <c r="M19" s="399"/>
      <c r="N19" s="399"/>
      <c r="O19" s="399"/>
      <c r="P19" s="399"/>
      <c r="Q19" s="399"/>
      <c r="R19" s="399"/>
      <c r="S19" s="399"/>
      <c r="T19" s="399"/>
      <c r="U19" s="399"/>
      <c r="V19" s="399"/>
      <c r="W19" s="400"/>
      <c r="X19" s="400"/>
      <c r="Y19" s="400"/>
    </row>
    <row r="20" spans="1:25" x14ac:dyDescent="0.35">
      <c r="A20" s="398" t="s">
        <v>189</v>
      </c>
      <c r="B20" s="432">
        <v>200</v>
      </c>
      <c r="C20" s="399"/>
      <c r="G20" s="399"/>
      <c r="H20" s="399"/>
      <c r="I20" s="399"/>
      <c r="J20" s="399"/>
      <c r="K20" s="399"/>
      <c r="L20" s="399"/>
      <c r="M20" s="399"/>
      <c r="N20" s="399"/>
      <c r="O20" s="399"/>
      <c r="P20" s="399"/>
      <c r="Q20" s="399"/>
      <c r="R20" s="399"/>
      <c r="S20" s="399"/>
      <c r="T20" s="399"/>
      <c r="U20" s="399"/>
      <c r="V20" s="399"/>
      <c r="W20" s="400"/>
      <c r="X20" s="400"/>
      <c r="Y20" s="400"/>
    </row>
    <row r="21" spans="1:25" x14ac:dyDescent="0.35">
      <c r="A21" s="398" t="s">
        <v>190</v>
      </c>
      <c r="B21" s="433">
        <v>1.4999999999999999E-2</v>
      </c>
      <c r="C21" s="401"/>
      <c r="G21" s="399"/>
      <c r="H21" s="399"/>
      <c r="I21" s="399"/>
      <c r="J21" s="399"/>
      <c r="K21" s="399"/>
      <c r="L21" s="399"/>
      <c r="M21" s="399"/>
      <c r="N21" s="399"/>
      <c r="O21" s="399"/>
      <c r="P21" s="399"/>
      <c r="Q21" s="399"/>
      <c r="R21" s="399"/>
      <c r="S21" s="399"/>
      <c r="T21" s="399"/>
      <c r="U21" s="399"/>
      <c r="V21" s="399"/>
      <c r="W21" s="400"/>
      <c r="X21" s="400"/>
      <c r="Y21" s="400"/>
    </row>
    <row r="22" spans="1:25" x14ac:dyDescent="0.35">
      <c r="A22" s="403" t="s">
        <v>191</v>
      </c>
      <c r="B22" s="431">
        <f>U61</f>
        <v>0</v>
      </c>
      <c r="C22" s="401"/>
      <c r="G22" s="399"/>
      <c r="H22" s="399"/>
      <c r="I22" s="399"/>
      <c r="J22" s="399"/>
      <c r="K22" s="399"/>
      <c r="L22" s="399"/>
      <c r="M22" s="399"/>
      <c r="N22" s="399"/>
      <c r="O22" s="399"/>
      <c r="P22" s="399"/>
      <c r="Q22" s="399"/>
      <c r="R22" s="399"/>
      <c r="S22" s="399"/>
      <c r="T22" s="399"/>
      <c r="U22" s="399"/>
      <c r="V22" s="399"/>
      <c r="W22" s="400"/>
      <c r="X22" s="400"/>
      <c r="Y22" s="400"/>
    </row>
    <row r="23" spans="1:25" x14ac:dyDescent="0.35">
      <c r="A23" s="398"/>
      <c r="B23" s="434"/>
      <c r="C23" s="399"/>
      <c r="F23" s="399"/>
      <c r="G23" s="399"/>
      <c r="H23" s="399"/>
      <c r="I23" s="399"/>
      <c r="J23" s="399"/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399"/>
      <c r="V23" s="399"/>
      <c r="W23" s="400"/>
      <c r="X23" s="400"/>
      <c r="Y23" s="400"/>
    </row>
    <row r="24" spans="1:25" x14ac:dyDescent="0.35">
      <c r="A24" s="397" t="s">
        <v>192</v>
      </c>
      <c r="B24" s="434"/>
      <c r="C24" s="399"/>
      <c r="F24" s="399"/>
      <c r="G24" s="399"/>
      <c r="H24" s="399"/>
      <c r="I24" s="399"/>
      <c r="J24" s="399"/>
      <c r="K24" s="399"/>
      <c r="L24" s="399"/>
      <c r="M24" s="399"/>
      <c r="N24" s="399"/>
      <c r="O24" s="399"/>
      <c r="P24" s="399"/>
      <c r="Q24" s="399"/>
      <c r="R24" s="399"/>
      <c r="S24" s="399"/>
      <c r="T24" s="399"/>
      <c r="U24" s="399"/>
      <c r="V24" s="399"/>
      <c r="W24" s="400"/>
      <c r="X24" s="400"/>
      <c r="Y24" s="400"/>
    </row>
    <row r="25" spans="1:25" x14ac:dyDescent="0.35">
      <c r="A25" s="398" t="s">
        <v>193</v>
      </c>
      <c r="B25" s="432">
        <v>950</v>
      </c>
      <c r="C25" s="399"/>
      <c r="F25" s="399"/>
      <c r="G25" s="399"/>
      <c r="H25" s="399"/>
      <c r="I25" s="399"/>
      <c r="J25" s="399"/>
      <c r="K25" s="399"/>
      <c r="L25" s="399"/>
      <c r="M25" s="399"/>
      <c r="N25" s="399"/>
      <c r="O25" s="399"/>
      <c r="P25" s="399"/>
      <c r="Q25" s="399"/>
      <c r="R25" s="399"/>
      <c r="S25" s="399"/>
      <c r="T25" s="399"/>
      <c r="U25" s="399"/>
      <c r="V25" s="399"/>
      <c r="W25" s="400"/>
      <c r="X25" s="400"/>
      <c r="Y25" s="400"/>
    </row>
    <row r="26" spans="1:25" x14ac:dyDescent="0.35">
      <c r="A26" s="398" t="s">
        <v>194</v>
      </c>
      <c r="B26" s="432">
        <f>B25</f>
        <v>950</v>
      </c>
      <c r="C26" s="399"/>
      <c r="F26" s="399"/>
      <c r="G26" s="399"/>
      <c r="H26" s="399"/>
      <c r="I26" s="399"/>
      <c r="J26" s="399"/>
      <c r="K26" s="399"/>
      <c r="L26" s="399"/>
      <c r="M26" s="399"/>
      <c r="N26" s="399"/>
      <c r="O26" s="399"/>
      <c r="P26" s="399"/>
      <c r="Q26" s="399"/>
      <c r="R26" s="399"/>
      <c r="S26" s="399"/>
      <c r="T26" s="399"/>
      <c r="U26" s="399"/>
      <c r="V26" s="399"/>
      <c r="W26" s="400"/>
      <c r="X26" s="400"/>
      <c r="Y26" s="400"/>
    </row>
    <row r="27" spans="1:25" x14ac:dyDescent="0.35">
      <c r="A27" s="398" t="s">
        <v>195</v>
      </c>
      <c r="B27" s="432">
        <f>B26</f>
        <v>950</v>
      </c>
      <c r="C27" s="399"/>
      <c r="D27" s="401"/>
      <c r="E27" s="399"/>
      <c r="F27" s="399"/>
      <c r="G27" s="399"/>
      <c r="H27" s="399"/>
      <c r="I27" s="399"/>
      <c r="J27" s="399"/>
      <c r="K27" s="399"/>
      <c r="L27" s="399"/>
      <c r="M27" s="399"/>
      <c r="N27" s="399"/>
      <c r="O27" s="399"/>
      <c r="P27" s="399"/>
      <c r="Q27" s="399"/>
      <c r="R27" s="399"/>
      <c r="S27" s="399"/>
      <c r="T27" s="399"/>
      <c r="U27" s="399"/>
      <c r="V27" s="399"/>
      <c r="W27" s="400"/>
      <c r="X27" s="400"/>
      <c r="Y27" s="400"/>
    </row>
    <row r="28" spans="1:25" ht="15" customHeight="1" x14ac:dyDescent="0.35">
      <c r="A28" s="398" t="s">
        <v>196</v>
      </c>
      <c r="B28" s="432">
        <v>575</v>
      </c>
      <c r="C28" s="399"/>
      <c r="D28" s="399"/>
      <c r="E28" s="399"/>
      <c r="F28" s="399"/>
      <c r="G28" s="399"/>
      <c r="H28" s="399"/>
      <c r="I28" s="399"/>
      <c r="J28" s="399"/>
      <c r="K28" s="399"/>
      <c r="L28" s="399"/>
      <c r="M28" s="399"/>
      <c r="N28" s="399"/>
      <c r="O28" s="399"/>
      <c r="P28" s="399"/>
      <c r="Q28" s="399"/>
      <c r="R28" s="399"/>
      <c r="S28" s="399"/>
      <c r="T28" s="399"/>
      <c r="U28" s="399"/>
      <c r="V28" s="399"/>
      <c r="W28" s="400"/>
      <c r="X28" s="400"/>
      <c r="Y28" s="400"/>
    </row>
    <row r="29" spans="1:25" ht="15" customHeight="1" x14ac:dyDescent="0.35">
      <c r="A29" s="398" t="s">
        <v>197</v>
      </c>
      <c r="B29" s="448">
        <v>40</v>
      </c>
      <c r="C29" s="399"/>
      <c r="D29" s="399"/>
      <c r="E29" s="399"/>
      <c r="F29" s="399"/>
      <c r="G29" s="399"/>
      <c r="H29" s="399"/>
      <c r="I29" s="399"/>
      <c r="J29" s="399"/>
      <c r="K29" s="399"/>
      <c r="L29" s="399"/>
      <c r="M29" s="399"/>
      <c r="N29" s="399"/>
      <c r="O29" s="399"/>
      <c r="P29" s="399"/>
      <c r="Q29" s="399"/>
      <c r="R29" s="399"/>
      <c r="S29" s="399"/>
      <c r="T29" s="399"/>
      <c r="U29" s="399"/>
      <c r="V29" s="399"/>
      <c r="W29" s="400"/>
      <c r="X29" s="400"/>
      <c r="Y29" s="400"/>
    </row>
    <row r="30" spans="1:25" ht="15" customHeight="1" x14ac:dyDescent="0.35">
      <c r="A30" s="398"/>
      <c r="B30" s="448"/>
      <c r="C30" s="399"/>
      <c r="D30" s="399"/>
      <c r="E30" s="399"/>
      <c r="F30" s="399"/>
      <c r="G30" s="399"/>
      <c r="H30" s="399"/>
      <c r="I30" s="399"/>
      <c r="J30" s="399"/>
      <c r="K30" s="399"/>
      <c r="L30" s="399"/>
      <c r="M30" s="399"/>
      <c r="N30" s="399"/>
      <c r="O30" s="399"/>
      <c r="P30" s="399"/>
      <c r="Q30" s="399"/>
      <c r="R30" s="399"/>
      <c r="S30" s="399"/>
      <c r="T30" s="399"/>
      <c r="U30" s="399"/>
      <c r="V30" s="399"/>
      <c r="W30" s="400"/>
      <c r="X30" s="400"/>
      <c r="Y30" s="400"/>
    </row>
    <row r="31" spans="1:25" ht="15" customHeight="1" x14ac:dyDescent="0.35">
      <c r="A31" s="398"/>
      <c r="B31" s="435">
        <v>2020</v>
      </c>
      <c r="C31" s="435">
        <f t="shared" ref="C31:M31" si="0">B31+1</f>
        <v>2021</v>
      </c>
      <c r="D31" s="435">
        <f t="shared" si="0"/>
        <v>2022</v>
      </c>
      <c r="E31" s="435">
        <f t="shared" si="0"/>
        <v>2023</v>
      </c>
      <c r="F31" s="435">
        <f t="shared" si="0"/>
        <v>2024</v>
      </c>
      <c r="G31" s="435">
        <f t="shared" si="0"/>
        <v>2025</v>
      </c>
      <c r="H31" s="435">
        <f t="shared" si="0"/>
        <v>2026</v>
      </c>
      <c r="I31" s="435">
        <f t="shared" si="0"/>
        <v>2027</v>
      </c>
      <c r="J31" s="435">
        <f t="shared" si="0"/>
        <v>2028</v>
      </c>
      <c r="K31" s="435">
        <f t="shared" si="0"/>
        <v>2029</v>
      </c>
      <c r="L31" s="435">
        <f t="shared" si="0"/>
        <v>2030</v>
      </c>
      <c r="M31" s="435">
        <f t="shared" si="0"/>
        <v>2031</v>
      </c>
      <c r="N31" s="399"/>
      <c r="O31" s="399"/>
      <c r="P31" s="399"/>
      <c r="Q31" s="399"/>
      <c r="R31" s="399"/>
      <c r="S31" s="399"/>
      <c r="T31" s="399"/>
      <c r="U31" s="399"/>
      <c r="V31" s="399"/>
      <c r="W31" s="400"/>
      <c r="X31" s="400"/>
      <c r="Y31" s="400"/>
    </row>
    <row r="32" spans="1:25" ht="15" customHeight="1" x14ac:dyDescent="0.35">
      <c r="A32" s="398" t="s">
        <v>44</v>
      </c>
      <c r="B32" s="461">
        <f>+'Model Main'!ED48</f>
        <v>2775</v>
      </c>
      <c r="C32" s="461">
        <f>+'Model Main'!EI48</f>
        <v>2475</v>
      </c>
      <c r="D32" s="461">
        <f>+'Model Main'!EN48</f>
        <v>2080</v>
      </c>
      <c r="E32" s="461">
        <f>+'Model Main'!ES48</f>
        <v>2127</v>
      </c>
      <c r="F32" s="461">
        <f>+'Model Main'!EX48</f>
        <v>2251</v>
      </c>
      <c r="G32" s="461">
        <f>+'Model Main'!FC48</f>
        <v>2416.4545969116944</v>
      </c>
      <c r="H32" s="461">
        <f>+'Model Main'!FD48</f>
        <v>2677.0130389762598</v>
      </c>
      <c r="I32" s="461">
        <f>+'Model Main'!FE48</f>
        <v>2993.8763244864958</v>
      </c>
      <c r="J32" s="461">
        <f>+'Model Main'!FF48</f>
        <v>3272.0038286472327</v>
      </c>
      <c r="K32" s="461">
        <f>+'Model Main'!FG48</f>
        <v>3533.6794470944578</v>
      </c>
      <c r="L32" s="461">
        <f>+'Model Main'!FH48</f>
        <v>3778.5031908761971</v>
      </c>
      <c r="M32" s="461">
        <f>+'Model Main'!FI48</f>
        <v>4001.9646887265144</v>
      </c>
      <c r="N32" s="399"/>
      <c r="O32" s="399"/>
      <c r="P32" s="399"/>
      <c r="Q32" s="399"/>
      <c r="R32" s="399"/>
      <c r="S32" s="399"/>
      <c r="T32" s="399"/>
      <c r="U32" s="399"/>
      <c r="V32" s="399"/>
      <c r="W32" s="400"/>
      <c r="X32" s="400"/>
      <c r="Y32" s="400"/>
    </row>
    <row r="33" spans="1:25" ht="15" customHeight="1" x14ac:dyDescent="0.35">
      <c r="A33" s="398" t="s">
        <v>198</v>
      </c>
      <c r="B33" s="461">
        <f>+'Model Main'!ED130</f>
        <v>-1181</v>
      </c>
      <c r="C33" s="461">
        <f>+'Model Main'!EI130</f>
        <v>-1705</v>
      </c>
      <c r="D33" s="461">
        <f>+'Model Main'!EN130</f>
        <v>-2738</v>
      </c>
      <c r="E33" s="461">
        <f>+'Model Main'!ES130</f>
        <v>-3211</v>
      </c>
      <c r="F33" s="461">
        <f>+'Model Main'!EX130</f>
        <v>-2783</v>
      </c>
      <c r="G33" s="461">
        <f>+'Model Main'!FC130</f>
        <v>-3194.4479521510066</v>
      </c>
      <c r="H33" s="461">
        <f>+'Model Main'!FD130</f>
        <v>-3082.4684202674325</v>
      </c>
      <c r="I33" s="461">
        <f>+'Model Main'!FE130</f>
        <v>-1951.0215850968652</v>
      </c>
      <c r="J33" s="461">
        <f>+'Model Main'!FF130</f>
        <v>-1611.100905365895</v>
      </c>
      <c r="K33" s="461">
        <f>+'Model Main'!FG130</f>
        <v>-1671.0656290142479</v>
      </c>
      <c r="L33" s="461">
        <f>+'Model Main'!FH130</f>
        <v>-1646.8753495613416</v>
      </c>
      <c r="M33" s="461">
        <f>+'Model Main'!FI130</f>
        <v>-1624.2957441032881</v>
      </c>
      <c r="N33" s="399"/>
      <c r="O33" s="399"/>
      <c r="P33" s="399"/>
      <c r="Q33" s="399"/>
      <c r="R33" s="399"/>
      <c r="S33" s="399"/>
      <c r="T33" s="399"/>
      <c r="U33" s="399"/>
      <c r="V33" s="399"/>
      <c r="W33" s="400"/>
      <c r="X33" s="400"/>
      <c r="Y33" s="400"/>
    </row>
    <row r="34" spans="1:25" ht="15" customHeight="1" x14ac:dyDescent="0.35">
      <c r="A34" s="398" t="s">
        <v>199</v>
      </c>
      <c r="B34" s="461">
        <f>+'Model Main'!ED132</f>
        <v>1211</v>
      </c>
      <c r="C34" s="461">
        <f>+'Model Main'!EI132</f>
        <v>406</v>
      </c>
      <c r="D34" s="461">
        <f>+'Model Main'!EN132</f>
        <v>-1337</v>
      </c>
      <c r="E34" s="461">
        <f>+'Model Main'!ES132</f>
        <v>-1867</v>
      </c>
      <c r="F34" s="461">
        <f>+'Model Main'!EX132</f>
        <v>-1651</v>
      </c>
      <c r="G34" s="461">
        <f>+'Model Main'!FC132</f>
        <v>-1838.2067340418082</v>
      </c>
      <c r="H34" s="461">
        <f>+'Model Main'!FD132</f>
        <v>-1579.7485151072758</v>
      </c>
      <c r="I34" s="461">
        <f>+'Model Main'!FE132</f>
        <v>-202.61652438049714</v>
      </c>
      <c r="J34" s="461">
        <f>+'Model Main'!FF132</f>
        <v>390.17106686817488</v>
      </c>
      <c r="K34" s="461">
        <f>+'Model Main'!FG132</f>
        <v>591.64815932460897</v>
      </c>
      <c r="L34" s="461">
        <f>+'Model Main'!FH132</f>
        <v>895.51751512356009</v>
      </c>
      <c r="M34" s="461">
        <f>+'Model Main'!FI132</f>
        <v>1132.3785514169017</v>
      </c>
      <c r="N34" s="399"/>
      <c r="O34" s="399"/>
      <c r="P34" s="399"/>
      <c r="Q34" s="399"/>
      <c r="R34" s="399"/>
      <c r="S34" s="399"/>
      <c r="T34" s="399"/>
      <c r="U34" s="399"/>
      <c r="V34" s="399"/>
      <c r="W34" s="400"/>
      <c r="X34" s="400"/>
      <c r="Y34" s="400"/>
    </row>
    <row r="35" spans="1:25" x14ac:dyDescent="0.35">
      <c r="A35" s="399" t="s">
        <v>200</v>
      </c>
      <c r="B35" s="461">
        <f>+'Model Main'!ED124</f>
        <v>1887</v>
      </c>
      <c r="C35" s="461">
        <f>+'Model Main'!EI124</f>
        <v>2178</v>
      </c>
      <c r="D35" s="461">
        <f>+'Model Main'!EN124</f>
        <v>322</v>
      </c>
      <c r="E35" s="461">
        <f>+'Model Main'!ES124</f>
        <v>1244</v>
      </c>
      <c r="F35" s="461">
        <f>+'Model Main'!EX124</f>
        <v>1016</v>
      </c>
      <c r="G35" s="461">
        <f>+'Model Main'!FC124</f>
        <v>348.79326595819185</v>
      </c>
      <c r="H35" s="461">
        <f>+'Model Main'!FD124</f>
        <v>240.04475085091605</v>
      </c>
      <c r="I35" s="461">
        <f>+'Model Main'!FE124</f>
        <v>227.328226470419</v>
      </c>
      <c r="J35" s="461">
        <f>+'Model Main'!FF124</f>
        <v>338.49929333859387</v>
      </c>
      <c r="K35" s="461">
        <f>+'Model Main'!FG124</f>
        <v>101.14745266320284</v>
      </c>
      <c r="L35" s="461">
        <f>+'Model Main'!FH124</f>
        <v>-164.85254733679716</v>
      </c>
      <c r="M35" s="461">
        <f>+'Model Main'!FI124</f>
        <v>-164.85254733679716</v>
      </c>
      <c r="N35" s="399"/>
      <c r="O35" s="399"/>
      <c r="P35" s="399"/>
      <c r="Q35" s="399"/>
      <c r="R35" s="399"/>
      <c r="S35" s="399"/>
      <c r="T35" s="399"/>
      <c r="U35" s="399"/>
      <c r="V35" s="399"/>
      <c r="W35" s="400"/>
      <c r="X35" s="400"/>
      <c r="Y35" s="400"/>
    </row>
    <row r="36" spans="1:25" x14ac:dyDescent="0.35">
      <c r="A36" s="399" t="s">
        <v>201</v>
      </c>
      <c r="B36" s="462">
        <f>+'Model Main'!ED200</f>
        <v>5.4074058118418815</v>
      </c>
      <c r="C36" s="462">
        <f>+'Model Main'!EI200</f>
        <v>2.3660606060606062</v>
      </c>
      <c r="D36" s="462">
        <f>+'Model Main'!EN200</f>
        <v>3.3908653846153847</v>
      </c>
      <c r="E36" s="462">
        <f>+'Model Main'!ES200</f>
        <v>4.2599905970850962</v>
      </c>
      <c r="F36" s="462">
        <f>+'Model Main'!EX200</f>
        <v>4.8027543314082628</v>
      </c>
      <c r="G36" s="462">
        <f>+'Model Main'!FC200</f>
        <v>5.2466149168475829</v>
      </c>
      <c r="H36" s="462">
        <f>+'Model Main'!FD200</f>
        <v>5.3369016292175715</v>
      </c>
      <c r="I36" s="462">
        <f>+'Model Main'!FE200</f>
        <v>4.8494226881665794</v>
      </c>
      <c r="J36" s="462">
        <f>+'Model Main'!FF200</f>
        <v>4.3268288938752866</v>
      </c>
      <c r="K36" s="462">
        <f>+'Model Main'!FG200</f>
        <v>3.8471946170768225</v>
      </c>
      <c r="L36" s="462">
        <f>+'Model Main'!FH200</f>
        <v>3.5</v>
      </c>
      <c r="M36" s="462">
        <f>+'Model Main'!FI200</f>
        <v>3.5</v>
      </c>
      <c r="N36" s="399"/>
      <c r="O36" s="399"/>
      <c r="P36" s="399"/>
      <c r="Q36" s="399"/>
      <c r="R36" s="399"/>
      <c r="S36" s="399"/>
      <c r="T36" s="399"/>
      <c r="U36" s="399"/>
      <c r="V36" s="399"/>
      <c r="W36" s="400"/>
      <c r="X36" s="400"/>
      <c r="Y36" s="400"/>
    </row>
    <row r="37" spans="1:25" x14ac:dyDescent="0.35">
      <c r="A37" s="409"/>
      <c r="B37" s="409"/>
      <c r="C37" s="399"/>
      <c r="D37" s="399"/>
      <c r="E37" s="399"/>
      <c r="F37" s="399"/>
      <c r="G37" s="399"/>
      <c r="H37" s="399"/>
      <c r="I37" s="399"/>
      <c r="J37" s="399"/>
      <c r="K37" s="399"/>
      <c r="L37" s="399"/>
      <c r="M37" s="399"/>
      <c r="N37" s="399"/>
      <c r="O37" s="399"/>
      <c r="P37" s="399"/>
      <c r="Q37" s="399"/>
      <c r="R37" s="399"/>
      <c r="S37" s="399"/>
      <c r="T37" s="399"/>
      <c r="U37" s="399"/>
      <c r="V37" s="399"/>
      <c r="W37" s="400"/>
      <c r="X37" s="400"/>
      <c r="Y37" s="400"/>
    </row>
    <row r="38" spans="1:25" x14ac:dyDescent="0.35">
      <c r="A38" s="409"/>
      <c r="B38" s="409"/>
      <c r="C38" s="399"/>
      <c r="D38" s="399"/>
      <c r="E38" s="399"/>
      <c r="F38" s="399"/>
      <c r="G38" s="399"/>
      <c r="H38" s="399"/>
      <c r="I38" s="399"/>
      <c r="J38" s="399"/>
      <c r="K38" s="399"/>
      <c r="L38" s="399"/>
      <c r="M38" s="399"/>
      <c r="N38" s="399"/>
      <c r="O38" s="399"/>
      <c r="P38" s="399"/>
      <c r="Q38" s="399"/>
      <c r="R38" s="399"/>
      <c r="S38" s="399"/>
      <c r="T38" s="399"/>
      <c r="U38" s="399"/>
      <c r="V38" s="399"/>
      <c r="W38" s="400"/>
      <c r="X38" s="400"/>
      <c r="Y38" s="400"/>
    </row>
    <row r="39" spans="1:25" x14ac:dyDescent="0.35">
      <c r="A39" s="409"/>
      <c r="B39" s="409"/>
      <c r="C39" s="399"/>
      <c r="D39" s="399"/>
      <c r="E39" s="399"/>
      <c r="F39" s="399"/>
      <c r="G39" s="399"/>
      <c r="H39" s="399"/>
      <c r="I39" s="399"/>
      <c r="J39" s="399"/>
      <c r="K39" s="399"/>
      <c r="L39" s="399"/>
      <c r="M39" s="399"/>
      <c r="N39" s="399"/>
      <c r="O39" s="399"/>
      <c r="P39" s="399"/>
      <c r="Q39" s="399"/>
      <c r="R39" s="399"/>
      <c r="S39" s="399"/>
      <c r="T39" s="399"/>
      <c r="U39" s="399"/>
      <c r="V39" s="399"/>
      <c r="W39" s="400"/>
      <c r="X39" s="400"/>
      <c r="Y39" s="400"/>
    </row>
    <row r="40" spans="1:25" x14ac:dyDescent="0.35">
      <c r="A40" s="410" t="s">
        <v>202</v>
      </c>
      <c r="B40" s="399"/>
      <c r="C40" s="399"/>
      <c r="D40" s="399"/>
      <c r="E40" s="399"/>
      <c r="F40" s="399"/>
      <c r="G40" s="399"/>
      <c r="H40" s="399"/>
      <c r="I40" s="399"/>
      <c r="J40" s="399"/>
      <c r="K40" s="399"/>
      <c r="L40" s="399"/>
      <c r="M40" s="399"/>
      <c r="N40" s="399"/>
      <c r="O40" s="399"/>
      <c r="P40" s="399"/>
      <c r="Q40" s="399"/>
      <c r="R40" s="399"/>
      <c r="S40" s="399"/>
      <c r="T40" s="399"/>
      <c r="U40" s="399"/>
      <c r="V40" s="399"/>
      <c r="W40" s="400"/>
      <c r="X40" s="400"/>
      <c r="Y40" s="400"/>
    </row>
    <row r="41" spans="1:25" x14ac:dyDescent="0.35">
      <c r="A41" s="411"/>
      <c r="B41" s="435">
        <v>2020</v>
      </c>
      <c r="C41" s="435">
        <f>B41+1</f>
        <v>2021</v>
      </c>
      <c r="D41" s="435">
        <f t="shared" ref="D41:P41" si="1">C41+1</f>
        <v>2022</v>
      </c>
      <c r="E41" s="435">
        <f t="shared" si="1"/>
        <v>2023</v>
      </c>
      <c r="F41" s="435">
        <f t="shared" si="1"/>
        <v>2024</v>
      </c>
      <c r="G41" s="435">
        <f t="shared" si="1"/>
        <v>2025</v>
      </c>
      <c r="H41" s="435">
        <f t="shared" si="1"/>
        <v>2026</v>
      </c>
      <c r="I41" s="435">
        <f t="shared" si="1"/>
        <v>2027</v>
      </c>
      <c r="J41" s="435">
        <f t="shared" si="1"/>
        <v>2028</v>
      </c>
      <c r="K41" s="435">
        <f t="shared" si="1"/>
        <v>2029</v>
      </c>
      <c r="L41" s="435">
        <f t="shared" si="1"/>
        <v>2030</v>
      </c>
      <c r="M41" s="435">
        <f t="shared" si="1"/>
        <v>2031</v>
      </c>
      <c r="N41" s="435">
        <f t="shared" si="1"/>
        <v>2032</v>
      </c>
      <c r="O41" s="435">
        <f t="shared" si="1"/>
        <v>2033</v>
      </c>
      <c r="P41" s="435">
        <f t="shared" si="1"/>
        <v>2034</v>
      </c>
      <c r="Q41" s="437"/>
      <c r="R41" s="437"/>
      <c r="S41" s="437"/>
      <c r="T41" s="437"/>
      <c r="U41" s="437"/>
      <c r="V41" s="399"/>
      <c r="W41" s="400"/>
      <c r="X41" s="400"/>
      <c r="Y41" s="400"/>
    </row>
    <row r="42" spans="1:25" x14ac:dyDescent="0.35">
      <c r="A42" s="1791" t="s">
        <v>203</v>
      </c>
      <c r="B42" s="439">
        <f>+Drivers!$ED$91</f>
        <v>86</v>
      </c>
      <c r="C42" s="439">
        <f>+B42+C43</f>
        <v>724</v>
      </c>
      <c r="D42" s="439">
        <f t="shared" ref="D42:M42" si="2">+C42+D43</f>
        <v>1948</v>
      </c>
      <c r="E42" s="439">
        <f t="shared" si="2"/>
        <v>3268</v>
      </c>
      <c r="F42" s="439">
        <f t="shared" si="2"/>
        <v>4600</v>
      </c>
      <c r="G42" s="439">
        <f t="shared" si="2"/>
        <v>5900</v>
      </c>
      <c r="H42" s="439">
        <f t="shared" si="2"/>
        <v>6800</v>
      </c>
      <c r="I42" s="439">
        <f t="shared" si="2"/>
        <v>6900.23</v>
      </c>
      <c r="J42" s="439">
        <f t="shared" si="2"/>
        <v>7001.4622999999992</v>
      </c>
      <c r="K42" s="439">
        <f t="shared" si="2"/>
        <v>7103.7069229999988</v>
      </c>
      <c r="L42" s="439">
        <f t="shared" si="2"/>
        <v>7206.9739922299987</v>
      </c>
      <c r="M42" s="439">
        <f t="shared" si="2"/>
        <v>7311.2737321522991</v>
      </c>
      <c r="N42" s="1791">
        <f>+IF(M42&gt;=$B$6,M42*(1+$B$7),IF(M42+$B$8&lt;$B$6,M42+$B$8,$B$6))</f>
        <v>7384.3864694738222</v>
      </c>
      <c r="O42" s="1791">
        <f>+IF(N42&gt;=$B$6,N42*(1+$B$7),IF(N42+$B$8&lt;$B$6,N42+$B$8,$B$6))</f>
        <v>7458.2303341685601</v>
      </c>
      <c r="P42" s="1791">
        <f>+IF(O42&gt;=$B$6,O42*(1+$B$7),IF(O42+$B$8&lt;$B$6,O42+$B$8,$B$6))</f>
        <v>7532.8126375102456</v>
      </c>
      <c r="Q42" s="399"/>
      <c r="R42" s="399"/>
      <c r="S42" s="399"/>
      <c r="T42" s="399"/>
      <c r="U42" s="399"/>
      <c r="V42" s="399"/>
      <c r="W42" s="400"/>
      <c r="X42" s="400"/>
      <c r="Y42" s="400"/>
    </row>
    <row r="43" spans="1:25" x14ac:dyDescent="0.35">
      <c r="A43" s="409" t="s">
        <v>204</v>
      </c>
      <c r="B43" s="409">
        <f>B42</f>
        <v>86</v>
      </c>
      <c r="C43" s="456">
        <f>Drivers!EI87</f>
        <v>638</v>
      </c>
      <c r="D43" s="456">
        <f>Drivers!EN87</f>
        <v>1224</v>
      </c>
      <c r="E43" s="456">
        <f>Drivers!ES87</f>
        <v>1320</v>
      </c>
      <c r="F43" s="456">
        <f>Drivers!EX87</f>
        <v>1332</v>
      </c>
      <c r="G43" s="456">
        <f>Drivers!FC87</f>
        <v>1300</v>
      </c>
      <c r="H43" s="456">
        <f>Drivers!FD87</f>
        <v>900</v>
      </c>
      <c r="I43" s="456">
        <f>Drivers!FE87</f>
        <v>100.23</v>
      </c>
      <c r="J43" s="456">
        <f>Drivers!FF87</f>
        <v>101.2323</v>
      </c>
      <c r="K43" s="456">
        <f>Drivers!FG87</f>
        <v>102.24462299999999</v>
      </c>
      <c r="L43" s="456">
        <f>Drivers!FH87</f>
        <v>103.26706922999998</v>
      </c>
      <c r="M43" s="456">
        <f>Drivers!FI87</f>
        <v>104.29973992229999</v>
      </c>
      <c r="N43" s="409">
        <f>N42-M42</f>
        <v>73.112737321523127</v>
      </c>
      <c r="O43" s="409">
        <f>O42-N42</f>
        <v>73.843864694737931</v>
      </c>
      <c r="P43" s="409">
        <f>P42-O42</f>
        <v>74.582303341685474</v>
      </c>
      <c r="Q43" s="409"/>
      <c r="R43" s="409"/>
      <c r="S43" s="409"/>
      <c r="T43" s="409"/>
      <c r="U43" s="409"/>
      <c r="V43" s="399"/>
      <c r="W43" s="400"/>
      <c r="X43" s="400"/>
      <c r="Y43" s="400"/>
    </row>
    <row r="44" spans="1:25" x14ac:dyDescent="0.35">
      <c r="A44" s="399"/>
      <c r="B44" s="399"/>
      <c r="C44" s="399"/>
      <c r="D44" s="399"/>
      <c r="E44" s="399"/>
      <c r="F44" s="399"/>
      <c r="G44" s="399"/>
      <c r="H44" s="399"/>
      <c r="I44" s="399"/>
      <c r="J44" s="399"/>
      <c r="K44" s="399"/>
      <c r="L44" s="399"/>
      <c r="M44" s="399"/>
      <c r="N44" s="399"/>
      <c r="O44" s="399"/>
      <c r="P44" s="399"/>
      <c r="Q44" s="399"/>
      <c r="R44" s="399"/>
      <c r="S44" s="399"/>
      <c r="T44" s="399"/>
      <c r="U44" s="399"/>
      <c r="V44" s="399"/>
      <c r="W44" s="400"/>
      <c r="X44" s="400"/>
      <c r="Y44" s="400"/>
    </row>
    <row r="45" spans="1:25" x14ac:dyDescent="0.35">
      <c r="A45" s="399" t="s">
        <v>205</v>
      </c>
      <c r="B45" s="427">
        <v>0</v>
      </c>
      <c r="C45" s="399">
        <f>+B48</f>
        <v>12.9</v>
      </c>
      <c r="D45" s="399">
        <f>+C48</f>
        <v>121.5</v>
      </c>
      <c r="E45" s="399">
        <f t="shared" ref="E45:P45" si="3">+D48</f>
        <v>413.70000000000005</v>
      </c>
      <c r="F45" s="399">
        <f t="shared" si="3"/>
        <v>891</v>
      </c>
      <c r="G45" s="399">
        <f t="shared" si="3"/>
        <v>1472.4</v>
      </c>
      <c r="H45" s="399">
        <f t="shared" si="3"/>
        <v>2065.1999999999998</v>
      </c>
      <c r="I45" s="399">
        <f t="shared" si="3"/>
        <v>2595</v>
      </c>
      <c r="J45" s="399">
        <f t="shared" si="3"/>
        <v>2940.0345000000002</v>
      </c>
      <c r="K45" s="399">
        <f t="shared" si="3"/>
        <v>3105.2538450000002</v>
      </c>
      <c r="L45" s="399">
        <f t="shared" si="3"/>
        <v>3150.8098834500001</v>
      </c>
      <c r="M45" s="399">
        <f t="shared" si="3"/>
        <v>3196.8214822845002</v>
      </c>
      <c r="N45" s="399">
        <f t="shared" si="3"/>
        <v>3243.2931971073449</v>
      </c>
      <c r="O45" s="399">
        <f t="shared" si="3"/>
        <v>3285.3951290784189</v>
      </c>
      <c r="P45" s="399">
        <f t="shared" si="3"/>
        <v>3323.083580369203</v>
      </c>
      <c r="Q45" s="399"/>
      <c r="R45" s="399"/>
      <c r="S45" s="399"/>
      <c r="T45" s="399"/>
      <c r="U45" s="399"/>
      <c r="V45" s="399"/>
      <c r="W45" s="400"/>
      <c r="X45" s="400"/>
      <c r="Y45" s="400"/>
    </row>
    <row r="46" spans="1:25" x14ac:dyDescent="0.35">
      <c r="A46" s="414" t="s">
        <v>206</v>
      </c>
      <c r="B46" s="399">
        <f t="shared" ref="B46:P46" si="4">+B48-B47-B45</f>
        <v>12.9</v>
      </c>
      <c r="C46" s="399">
        <f t="shared" si="4"/>
        <v>110.922</v>
      </c>
      <c r="D46" s="399">
        <f t="shared" si="4"/>
        <v>314.07000000000005</v>
      </c>
      <c r="E46" s="399">
        <f t="shared" si="4"/>
        <v>551.76599999999996</v>
      </c>
      <c r="F46" s="399">
        <f t="shared" si="4"/>
        <v>741.7800000000002</v>
      </c>
      <c r="G46" s="399">
        <f t="shared" si="4"/>
        <v>857.83199999999988</v>
      </c>
      <c r="H46" s="399">
        <f t="shared" si="4"/>
        <v>901.53600000000006</v>
      </c>
      <c r="I46" s="399">
        <f t="shared" si="4"/>
        <v>812.13450000000012</v>
      </c>
      <c r="J46" s="399">
        <f t="shared" si="4"/>
        <v>694.42555500000026</v>
      </c>
      <c r="K46" s="399">
        <f t="shared" si="4"/>
        <v>604.50173055000005</v>
      </c>
      <c r="L46" s="399">
        <f t="shared" si="4"/>
        <v>613.15737785549982</v>
      </c>
      <c r="M46" s="399">
        <f t="shared" si="4"/>
        <v>621.89958163405481</v>
      </c>
      <c r="N46" s="399">
        <f t="shared" si="4"/>
        <v>625.8947074503958</v>
      </c>
      <c r="O46" s="399">
        <f t="shared" si="4"/>
        <v>629.05957452489929</v>
      </c>
      <c r="P46" s="399">
        <f t="shared" si="4"/>
        <v>631.38588027014839</v>
      </c>
      <c r="Q46" s="399"/>
      <c r="R46" s="399"/>
      <c r="S46" s="399"/>
      <c r="T46" s="399"/>
      <c r="U46" s="399"/>
      <c r="V46" s="399"/>
      <c r="W46" s="400"/>
      <c r="X46" s="400"/>
      <c r="Y46" s="400"/>
    </row>
    <row r="47" spans="1:25" x14ac:dyDescent="0.35">
      <c r="A47" s="414" t="s">
        <v>207</v>
      </c>
      <c r="B47" s="399">
        <f>+B45*$B$21*-12</f>
        <v>0</v>
      </c>
      <c r="C47" s="399">
        <f>+C45*$B$21*-12</f>
        <v>-2.3220000000000001</v>
      </c>
      <c r="D47" s="399">
        <f>+D45*$B$21*-12</f>
        <v>-21.87</v>
      </c>
      <c r="E47" s="399">
        <f t="shared" ref="E47:P47" si="5">+E45*$B$21*-12</f>
        <v>-74.466000000000008</v>
      </c>
      <c r="F47" s="399">
        <f t="shared" si="5"/>
        <v>-160.38</v>
      </c>
      <c r="G47" s="399">
        <f t="shared" si="5"/>
        <v>-265.03200000000004</v>
      </c>
      <c r="H47" s="399">
        <f t="shared" si="5"/>
        <v>-371.73599999999993</v>
      </c>
      <c r="I47" s="399">
        <f t="shared" si="5"/>
        <v>-467.09999999999997</v>
      </c>
      <c r="J47" s="399">
        <f t="shared" si="5"/>
        <v>-529.20621000000006</v>
      </c>
      <c r="K47" s="399">
        <f t="shared" si="5"/>
        <v>-558.94569209999997</v>
      </c>
      <c r="L47" s="399">
        <f t="shared" si="5"/>
        <v>-567.14577902099995</v>
      </c>
      <c r="M47" s="399">
        <f t="shared" si="5"/>
        <v>-575.42786681120992</v>
      </c>
      <c r="N47" s="399">
        <f t="shared" si="5"/>
        <v>-583.79277547932202</v>
      </c>
      <c r="O47" s="399">
        <f t="shared" si="5"/>
        <v>-591.37112323411532</v>
      </c>
      <c r="P47" s="399">
        <f t="shared" si="5"/>
        <v>-598.1550444664565</v>
      </c>
      <c r="Q47" s="399"/>
      <c r="R47" s="399"/>
      <c r="S47" s="399"/>
      <c r="T47" s="399"/>
      <c r="U47" s="399"/>
      <c r="V47" s="399"/>
      <c r="W47" s="400"/>
      <c r="X47" s="400"/>
      <c r="Y47" s="400"/>
    </row>
    <row r="48" spans="1:25" x14ac:dyDescent="0.35">
      <c r="A48" s="418" t="s">
        <v>208</v>
      </c>
      <c r="B48" s="1792">
        <f t="shared" ref="B48:P48" si="6">B185</f>
        <v>12.9</v>
      </c>
      <c r="C48" s="1792">
        <f t="shared" si="6"/>
        <v>121.5</v>
      </c>
      <c r="D48" s="1792">
        <f t="shared" si="6"/>
        <v>413.70000000000005</v>
      </c>
      <c r="E48" s="1792">
        <f t="shared" si="6"/>
        <v>891</v>
      </c>
      <c r="F48" s="1792">
        <f t="shared" si="6"/>
        <v>1472.4</v>
      </c>
      <c r="G48" s="1792">
        <f t="shared" si="6"/>
        <v>2065.1999999999998</v>
      </c>
      <c r="H48" s="1792">
        <f t="shared" si="6"/>
        <v>2595</v>
      </c>
      <c r="I48" s="1792">
        <f t="shared" si="6"/>
        <v>2940.0345000000002</v>
      </c>
      <c r="J48" s="1792">
        <f t="shared" si="6"/>
        <v>3105.2538450000002</v>
      </c>
      <c r="K48" s="1792">
        <f t="shared" si="6"/>
        <v>3150.8098834500001</v>
      </c>
      <c r="L48" s="1792">
        <f t="shared" si="6"/>
        <v>3196.8214822845002</v>
      </c>
      <c r="M48" s="1792">
        <f t="shared" si="6"/>
        <v>3243.2931971073449</v>
      </c>
      <c r="N48" s="1792">
        <f t="shared" si="6"/>
        <v>3285.3951290784189</v>
      </c>
      <c r="O48" s="1792">
        <f t="shared" si="6"/>
        <v>3323.083580369203</v>
      </c>
      <c r="P48" s="1792">
        <f t="shared" si="6"/>
        <v>3356.3144161728947</v>
      </c>
      <c r="Q48" s="399"/>
      <c r="R48" s="399"/>
      <c r="S48" s="399"/>
      <c r="T48" s="399"/>
      <c r="U48" s="399"/>
      <c r="V48" s="399"/>
      <c r="W48" s="400"/>
      <c r="X48" s="400"/>
      <c r="Y48" s="400"/>
    </row>
    <row r="49" spans="1:25" x14ac:dyDescent="0.35">
      <c r="A49" s="409" t="s">
        <v>209</v>
      </c>
      <c r="B49" s="409">
        <f>B48</f>
        <v>12.9</v>
      </c>
      <c r="C49" s="409">
        <f>C48-B48</f>
        <v>108.6</v>
      </c>
      <c r="D49" s="409">
        <f t="shared" ref="D49:P49" si="7">D48-C48</f>
        <v>292.20000000000005</v>
      </c>
      <c r="E49" s="409">
        <f t="shared" si="7"/>
        <v>477.29999999999995</v>
      </c>
      <c r="F49" s="409">
        <f t="shared" si="7"/>
        <v>581.40000000000009</v>
      </c>
      <c r="G49" s="409">
        <f t="shared" si="7"/>
        <v>592.79999999999973</v>
      </c>
      <c r="H49" s="409">
        <f t="shared" si="7"/>
        <v>529.80000000000018</v>
      </c>
      <c r="I49" s="409">
        <f t="shared" si="7"/>
        <v>345.03450000000021</v>
      </c>
      <c r="J49" s="409">
        <f t="shared" si="7"/>
        <v>165.21934499999998</v>
      </c>
      <c r="K49" s="409">
        <f t="shared" si="7"/>
        <v>45.55603844999996</v>
      </c>
      <c r="L49" s="409">
        <f t="shared" si="7"/>
        <v>46.011598834500091</v>
      </c>
      <c r="M49" s="409">
        <f t="shared" si="7"/>
        <v>46.47171482284466</v>
      </c>
      <c r="N49" s="409">
        <f t="shared" si="7"/>
        <v>42.101931971074009</v>
      </c>
      <c r="O49" s="409">
        <f t="shared" si="7"/>
        <v>37.688451290784087</v>
      </c>
      <c r="P49" s="409">
        <f t="shared" si="7"/>
        <v>33.230835803691662</v>
      </c>
      <c r="Q49" s="409"/>
      <c r="R49" s="409"/>
      <c r="S49" s="409"/>
      <c r="T49" s="409"/>
      <c r="U49" s="409"/>
      <c r="V49" s="399"/>
      <c r="W49" s="400"/>
      <c r="X49" s="400"/>
      <c r="Y49" s="400"/>
    </row>
    <row r="50" spans="1:25" x14ac:dyDescent="0.35">
      <c r="A50" s="412" t="s">
        <v>210</v>
      </c>
      <c r="B50" s="440">
        <f t="shared" ref="B50:P50" si="8">B48/B42</f>
        <v>0.15</v>
      </c>
      <c r="C50" s="440">
        <f t="shared" si="8"/>
        <v>0.16781767955801105</v>
      </c>
      <c r="D50" s="440">
        <f t="shared" si="8"/>
        <v>0.21237166324435319</v>
      </c>
      <c r="E50" s="440">
        <f t="shared" si="8"/>
        <v>0.27264381884944922</v>
      </c>
      <c r="F50" s="440">
        <f t="shared" si="8"/>
        <v>0.32008695652173913</v>
      </c>
      <c r="G50" s="440">
        <f t="shared" si="8"/>
        <v>0.35003389830508469</v>
      </c>
      <c r="H50" s="440">
        <f t="shared" si="8"/>
        <v>0.38161764705882351</v>
      </c>
      <c r="I50" s="440">
        <f t="shared" si="8"/>
        <v>0.42607775392994152</v>
      </c>
      <c r="J50" s="440">
        <f t="shared" si="8"/>
        <v>0.44351504185061463</v>
      </c>
      <c r="K50" s="440">
        <f t="shared" si="8"/>
        <v>0.44354446454547247</v>
      </c>
      <c r="L50" s="440">
        <f t="shared" si="8"/>
        <v>0.44357333406934252</v>
      </c>
      <c r="M50" s="440">
        <f t="shared" si="8"/>
        <v>0.44360166448761607</v>
      </c>
      <c r="N50" s="440">
        <f t="shared" si="8"/>
        <v>0.44491104882712362</v>
      </c>
      <c r="O50" s="440">
        <f t="shared" si="8"/>
        <v>0.44555925889618675</v>
      </c>
      <c r="P50" s="440">
        <f t="shared" si="8"/>
        <v>0.44555925889618669</v>
      </c>
      <c r="Q50" s="406"/>
      <c r="R50" s="406"/>
      <c r="S50" s="406"/>
      <c r="T50" s="406"/>
      <c r="U50" s="406"/>
      <c r="V50" s="399"/>
      <c r="W50" s="400"/>
      <c r="X50" s="400"/>
      <c r="Y50" s="400"/>
    </row>
    <row r="51" spans="1:25" x14ac:dyDescent="0.35">
      <c r="A51" s="399"/>
      <c r="B51" s="399"/>
      <c r="C51" s="399"/>
      <c r="D51" s="399"/>
      <c r="E51" s="399"/>
      <c r="F51" s="399"/>
      <c r="G51" s="399"/>
      <c r="H51" s="399"/>
      <c r="I51" s="399"/>
      <c r="J51" s="399"/>
      <c r="K51" s="399"/>
      <c r="L51" s="399"/>
      <c r="M51" s="399"/>
      <c r="N51" s="399"/>
      <c r="O51" s="399"/>
      <c r="P51" s="399"/>
      <c r="Q51" s="399"/>
      <c r="R51" s="399"/>
      <c r="S51" s="399"/>
      <c r="T51" s="399"/>
      <c r="U51" s="399"/>
      <c r="V51" s="399"/>
      <c r="W51" s="400"/>
      <c r="X51" s="400"/>
      <c r="Y51" s="400"/>
    </row>
    <row r="52" spans="1:25" x14ac:dyDescent="0.35">
      <c r="A52" s="410" t="s">
        <v>211</v>
      </c>
      <c r="B52" s="399"/>
      <c r="C52" s="399"/>
      <c r="D52" s="399"/>
      <c r="E52" s="399"/>
      <c r="F52" s="399"/>
      <c r="G52" s="399"/>
      <c r="H52" s="399"/>
      <c r="I52" s="399"/>
      <c r="J52" s="399"/>
      <c r="K52" s="399"/>
      <c r="L52" s="399"/>
      <c r="M52" s="399"/>
      <c r="N52" s="399"/>
      <c r="O52" s="399"/>
      <c r="P52" s="399"/>
      <c r="Q52" s="399"/>
      <c r="R52" s="399"/>
      <c r="S52" s="399"/>
      <c r="T52" s="399"/>
      <c r="U52" s="399"/>
      <c r="V52" s="399"/>
      <c r="W52" s="400"/>
      <c r="X52" s="400"/>
      <c r="Y52" s="400"/>
    </row>
    <row r="53" spans="1:25" x14ac:dyDescent="0.35">
      <c r="A53" s="411"/>
      <c r="B53" s="435">
        <f>+B$41</f>
        <v>2020</v>
      </c>
      <c r="C53" s="435">
        <f t="shared" ref="C53:P53" si="9">+C$41</f>
        <v>2021</v>
      </c>
      <c r="D53" s="435">
        <f t="shared" si="9"/>
        <v>2022</v>
      </c>
      <c r="E53" s="435">
        <f t="shared" si="9"/>
        <v>2023</v>
      </c>
      <c r="F53" s="435">
        <f t="shared" si="9"/>
        <v>2024</v>
      </c>
      <c r="G53" s="435">
        <f t="shared" si="9"/>
        <v>2025</v>
      </c>
      <c r="H53" s="435">
        <f t="shared" si="9"/>
        <v>2026</v>
      </c>
      <c r="I53" s="435">
        <f t="shared" si="9"/>
        <v>2027</v>
      </c>
      <c r="J53" s="435">
        <f t="shared" si="9"/>
        <v>2028</v>
      </c>
      <c r="K53" s="435">
        <f t="shared" si="9"/>
        <v>2029</v>
      </c>
      <c r="L53" s="435">
        <f t="shared" si="9"/>
        <v>2030</v>
      </c>
      <c r="M53" s="435">
        <f t="shared" si="9"/>
        <v>2031</v>
      </c>
      <c r="N53" s="435">
        <f t="shared" si="9"/>
        <v>2032</v>
      </c>
      <c r="O53" s="435">
        <f t="shared" si="9"/>
        <v>2033</v>
      </c>
      <c r="P53" s="435">
        <f t="shared" si="9"/>
        <v>2034</v>
      </c>
      <c r="Q53" s="417"/>
      <c r="R53" s="417"/>
      <c r="S53" s="417"/>
      <c r="T53" s="417"/>
      <c r="U53" s="417"/>
      <c r="V53" s="399"/>
      <c r="W53" s="400"/>
      <c r="X53" s="400"/>
      <c r="Y53" s="400"/>
    </row>
    <row r="54" spans="1:25" x14ac:dyDescent="0.35">
      <c r="A54" s="1791" t="s">
        <v>212</v>
      </c>
      <c r="B54" s="1791">
        <f>B48/2</f>
        <v>6.45</v>
      </c>
      <c r="C54" s="1791">
        <f t="shared" ref="C54:P54" si="10">AVERAGE(B48:C48)</f>
        <v>67.2</v>
      </c>
      <c r="D54" s="1791">
        <f t="shared" si="10"/>
        <v>267.60000000000002</v>
      </c>
      <c r="E54" s="1791">
        <f t="shared" si="10"/>
        <v>652.35</v>
      </c>
      <c r="F54" s="1791">
        <f t="shared" si="10"/>
        <v>1181.7</v>
      </c>
      <c r="G54" s="1791">
        <f t="shared" si="10"/>
        <v>1768.8</v>
      </c>
      <c r="H54" s="1791">
        <f t="shared" si="10"/>
        <v>2330.1</v>
      </c>
      <c r="I54" s="1791">
        <f t="shared" si="10"/>
        <v>2767.5172499999999</v>
      </c>
      <c r="J54" s="1791">
        <f t="shared" si="10"/>
        <v>3022.6441725000004</v>
      </c>
      <c r="K54" s="1791">
        <f t="shared" si="10"/>
        <v>3128.0318642250004</v>
      </c>
      <c r="L54" s="1791">
        <f t="shared" si="10"/>
        <v>3173.81568286725</v>
      </c>
      <c r="M54" s="1791">
        <f t="shared" si="10"/>
        <v>3220.0573396959226</v>
      </c>
      <c r="N54" s="1791">
        <f t="shared" si="10"/>
        <v>3264.3441630928819</v>
      </c>
      <c r="O54" s="1791">
        <f t="shared" si="10"/>
        <v>3304.2393547238107</v>
      </c>
      <c r="P54" s="1791">
        <f t="shared" si="10"/>
        <v>3339.6989982710488</v>
      </c>
      <c r="Q54" s="399"/>
      <c r="R54" s="399"/>
      <c r="S54" s="399"/>
      <c r="T54" s="399"/>
      <c r="U54" s="399"/>
      <c r="V54" s="399"/>
      <c r="W54" s="400"/>
      <c r="X54" s="400"/>
      <c r="Y54" s="400"/>
    </row>
    <row r="55" spans="1:25" x14ac:dyDescent="0.35">
      <c r="A55" s="414" t="s">
        <v>213</v>
      </c>
      <c r="B55" s="438">
        <f>B15+B16</f>
        <v>60</v>
      </c>
      <c r="C55" s="438">
        <f>B55*(1+$B$17)</f>
        <v>61.499999999999993</v>
      </c>
      <c r="D55" s="438">
        <f t="shared" ref="D55:P55" si="11">C55*(1+$B$17)</f>
        <v>63.037499999999987</v>
      </c>
      <c r="E55" s="438">
        <f t="shared" si="11"/>
        <v>64.613437499999975</v>
      </c>
      <c r="F55" s="438">
        <f t="shared" si="11"/>
        <v>66.228773437499967</v>
      </c>
      <c r="G55" s="438">
        <f t="shared" si="11"/>
        <v>67.884492773437458</v>
      </c>
      <c r="H55" s="438">
        <f t="shared" si="11"/>
        <v>69.581605092773387</v>
      </c>
      <c r="I55" s="438">
        <f t="shared" si="11"/>
        <v>71.321145220092717</v>
      </c>
      <c r="J55" s="438">
        <f t="shared" si="11"/>
        <v>73.104173850595032</v>
      </c>
      <c r="K55" s="438">
        <f t="shared" si="11"/>
        <v>74.931778196859895</v>
      </c>
      <c r="L55" s="438">
        <f t="shared" si="11"/>
        <v>76.805072651781387</v>
      </c>
      <c r="M55" s="438">
        <f t="shared" si="11"/>
        <v>78.725199468075914</v>
      </c>
      <c r="N55" s="438">
        <f t="shared" si="11"/>
        <v>80.69332945477781</v>
      </c>
      <c r="O55" s="438">
        <f t="shared" si="11"/>
        <v>82.710662691147249</v>
      </c>
      <c r="P55" s="438">
        <f t="shared" si="11"/>
        <v>84.778429258425916</v>
      </c>
      <c r="Q55" s="399"/>
      <c r="R55" s="399"/>
      <c r="S55" s="399"/>
      <c r="T55" s="399"/>
      <c r="U55" s="399"/>
      <c r="V55" s="399"/>
      <c r="W55" s="400"/>
      <c r="X55" s="400"/>
      <c r="Y55" s="400"/>
    </row>
    <row r="56" spans="1:25" x14ac:dyDescent="0.35">
      <c r="A56" s="418" t="s">
        <v>214</v>
      </c>
      <c r="B56" s="417">
        <f>B54*B55*12/1000</f>
        <v>4.6440000000000001</v>
      </c>
      <c r="C56" s="417">
        <f t="shared" ref="C56:P56" si="12">C54*C55*12/1000</f>
        <v>49.593599999999988</v>
      </c>
      <c r="D56" s="417">
        <f t="shared" si="12"/>
        <v>202.42601999999999</v>
      </c>
      <c r="E56" s="417">
        <f t="shared" si="12"/>
        <v>505.80691143749982</v>
      </c>
      <c r="F56" s="417">
        <f t="shared" si="12"/>
        <v>939.15049885312442</v>
      </c>
      <c r="G56" s="417">
        <f t="shared" si="12"/>
        <v>1440.8890898118741</v>
      </c>
      <c r="H56" s="417">
        <f t="shared" si="12"/>
        <v>1945.5851763200553</v>
      </c>
      <c r="I56" s="417">
        <f t="shared" si="12"/>
        <v>2368.5899962363396</v>
      </c>
      <c r="J56" s="417">
        <f t="shared" si="12"/>
        <v>2651.6148608991361</v>
      </c>
      <c r="K56" s="417">
        <f t="shared" si="12"/>
        <v>2812.6678781138148</v>
      </c>
      <c r="L56" s="417">
        <f t="shared" si="12"/>
        <v>2925.1817292717878</v>
      </c>
      <c r="M56" s="417">
        <f t="shared" si="12"/>
        <v>3041.9958763944405</v>
      </c>
      <c r="N56" s="417">
        <f t="shared" si="12"/>
        <v>3160.9295880748182</v>
      </c>
      <c r="O56" s="417">
        <f t="shared" si="12"/>
        <v>3279.5499206325021</v>
      </c>
      <c r="P56" s="417">
        <f t="shared" si="12"/>
        <v>3397.6132232322957</v>
      </c>
      <c r="Q56" s="399"/>
      <c r="R56" s="399"/>
      <c r="S56" s="399"/>
      <c r="T56" s="399"/>
      <c r="U56" s="399"/>
      <c r="V56" s="399"/>
      <c r="W56" s="400"/>
      <c r="X56" s="400"/>
      <c r="Y56" s="400"/>
    </row>
    <row r="57" spans="1:25" x14ac:dyDescent="0.35">
      <c r="A57" s="414" t="s">
        <v>215</v>
      </c>
      <c r="B57" s="399">
        <f t="shared" ref="B57:P57" si="13">B42*$B$18*12/1000</f>
        <v>5.16</v>
      </c>
      <c r="C57" s="399">
        <f t="shared" si="13"/>
        <v>43.44</v>
      </c>
      <c r="D57" s="399">
        <f t="shared" si="13"/>
        <v>116.88</v>
      </c>
      <c r="E57" s="399">
        <f t="shared" si="13"/>
        <v>196.08</v>
      </c>
      <c r="F57" s="399">
        <f t="shared" si="13"/>
        <v>276</v>
      </c>
      <c r="G57" s="399">
        <f t="shared" si="13"/>
        <v>354</v>
      </c>
      <c r="H57" s="399">
        <f t="shared" si="13"/>
        <v>408</v>
      </c>
      <c r="I57" s="399">
        <f t="shared" si="13"/>
        <v>414.01379999999995</v>
      </c>
      <c r="J57" s="399">
        <f t="shared" si="13"/>
        <v>420.08773799999994</v>
      </c>
      <c r="K57" s="399">
        <f t="shared" si="13"/>
        <v>426.22241537999997</v>
      </c>
      <c r="L57" s="399">
        <f t="shared" si="13"/>
        <v>432.41843953379987</v>
      </c>
      <c r="M57" s="399">
        <f t="shared" si="13"/>
        <v>438.67642392913791</v>
      </c>
      <c r="N57" s="399">
        <f t="shared" si="13"/>
        <v>443.06318816842929</v>
      </c>
      <c r="O57" s="399">
        <f t="shared" si="13"/>
        <v>447.49382005011358</v>
      </c>
      <c r="P57" s="399">
        <f t="shared" si="13"/>
        <v>451.96875825061477</v>
      </c>
      <c r="Q57" s="399"/>
      <c r="R57" s="399"/>
      <c r="S57" s="399"/>
      <c r="T57" s="399"/>
      <c r="U57" s="399"/>
      <c r="V57" s="399"/>
      <c r="W57" s="400"/>
      <c r="X57" s="400"/>
      <c r="Y57" s="400"/>
    </row>
    <row r="58" spans="1:25" x14ac:dyDescent="0.35">
      <c r="A58" s="414" t="s">
        <v>216</v>
      </c>
      <c r="B58" s="399">
        <f>B54*$B$19*12/1000</f>
        <v>0.61920000000000008</v>
      </c>
      <c r="C58" s="399">
        <f t="shared" ref="C58:P58" si="14">C54*$B$19*12/1000</f>
        <v>6.4512000000000009</v>
      </c>
      <c r="D58" s="399">
        <f t="shared" si="14"/>
        <v>25.689600000000002</v>
      </c>
      <c r="E58" s="399">
        <f t="shared" si="14"/>
        <v>62.625600000000006</v>
      </c>
      <c r="F58" s="399">
        <f t="shared" si="14"/>
        <v>113.44320000000002</v>
      </c>
      <c r="G58" s="399">
        <f t="shared" si="14"/>
        <v>169.8048</v>
      </c>
      <c r="H58" s="399">
        <f t="shared" si="14"/>
        <v>223.68959999999998</v>
      </c>
      <c r="I58" s="399">
        <f t="shared" si="14"/>
        <v>265.68165599999998</v>
      </c>
      <c r="J58" s="399">
        <f t="shared" si="14"/>
        <v>290.17384056000003</v>
      </c>
      <c r="K58" s="399">
        <f t="shared" si="14"/>
        <v>300.29105896560003</v>
      </c>
      <c r="L58" s="399">
        <f t="shared" si="14"/>
        <v>304.68630555525596</v>
      </c>
      <c r="M58" s="399">
        <f t="shared" si="14"/>
        <v>309.12550461080855</v>
      </c>
      <c r="N58" s="399">
        <f t="shared" si="14"/>
        <v>313.37703965691662</v>
      </c>
      <c r="O58" s="399">
        <f t="shared" si="14"/>
        <v>317.20697805348584</v>
      </c>
      <c r="P58" s="399">
        <f t="shared" si="14"/>
        <v>320.6111038340207</v>
      </c>
      <c r="Q58" s="399"/>
      <c r="R58" s="399"/>
      <c r="S58" s="399"/>
      <c r="T58" s="399"/>
      <c r="U58" s="399"/>
      <c r="V58" s="399"/>
      <c r="W58" s="400"/>
      <c r="X58" s="400"/>
      <c r="Y58" s="400"/>
    </row>
    <row r="59" spans="1:25" x14ac:dyDescent="0.35">
      <c r="A59" s="414" t="s">
        <v>217</v>
      </c>
      <c r="B59" s="399">
        <f t="shared" ref="B59:P59" si="15">B46*$B$20/1000</f>
        <v>2.58</v>
      </c>
      <c r="C59" s="399">
        <f t="shared" si="15"/>
        <v>22.184399999999997</v>
      </c>
      <c r="D59" s="399">
        <f t="shared" si="15"/>
        <v>62.814000000000007</v>
      </c>
      <c r="E59" s="399">
        <f t="shared" si="15"/>
        <v>110.3532</v>
      </c>
      <c r="F59" s="399">
        <f t="shared" si="15"/>
        <v>148.35600000000002</v>
      </c>
      <c r="G59" s="399">
        <f t="shared" si="15"/>
        <v>171.56639999999996</v>
      </c>
      <c r="H59" s="399">
        <f t="shared" si="15"/>
        <v>180.30720000000002</v>
      </c>
      <c r="I59" s="399">
        <f t="shared" si="15"/>
        <v>162.42690000000002</v>
      </c>
      <c r="J59" s="399">
        <f t="shared" si="15"/>
        <v>138.88511100000005</v>
      </c>
      <c r="K59" s="399">
        <f t="shared" si="15"/>
        <v>120.90034611000002</v>
      </c>
      <c r="L59" s="399">
        <f t="shared" si="15"/>
        <v>122.63147557109995</v>
      </c>
      <c r="M59" s="399">
        <f t="shared" si="15"/>
        <v>124.37991632681096</v>
      </c>
      <c r="N59" s="399">
        <f t="shared" si="15"/>
        <v>125.17894149007915</v>
      </c>
      <c r="O59" s="399">
        <f t="shared" si="15"/>
        <v>125.81191490497986</v>
      </c>
      <c r="P59" s="399">
        <f t="shared" si="15"/>
        <v>126.27717605402968</v>
      </c>
      <c r="Q59" s="399"/>
      <c r="R59" s="399"/>
      <c r="S59" s="399"/>
      <c r="T59" s="399"/>
      <c r="U59" s="399"/>
      <c r="V59" s="399"/>
      <c r="W59" s="400"/>
      <c r="X59" s="400"/>
      <c r="Y59" s="400"/>
    </row>
    <row r="60" spans="1:25" ht="15" thickBot="1" x14ac:dyDescent="0.4">
      <c r="A60" s="418" t="s">
        <v>218</v>
      </c>
      <c r="B60" s="419">
        <f>B56-B57-B58-B59</f>
        <v>-3.7152000000000003</v>
      </c>
      <c r="C60" s="419">
        <f t="shared" ref="C60:P60" si="16">C56-C57-C58-C59</f>
        <v>-22.482000000000006</v>
      </c>
      <c r="D60" s="419">
        <f t="shared" si="16"/>
        <v>-2.9575800000000072</v>
      </c>
      <c r="E60" s="419">
        <f t="shared" si="16"/>
        <v>136.74811143749974</v>
      </c>
      <c r="F60" s="419">
        <f>F56-F57-F58-F59</f>
        <v>401.35129885312438</v>
      </c>
      <c r="G60" s="419">
        <f t="shared" si="16"/>
        <v>745.51788981187417</v>
      </c>
      <c r="H60" s="419">
        <f t="shared" si="16"/>
        <v>1133.5883763200554</v>
      </c>
      <c r="I60" s="419">
        <f t="shared" si="16"/>
        <v>1526.4676402363398</v>
      </c>
      <c r="J60" s="419">
        <f t="shared" si="16"/>
        <v>1802.468171339136</v>
      </c>
      <c r="K60" s="419">
        <f t="shared" si="16"/>
        <v>1965.2540576582151</v>
      </c>
      <c r="L60" s="419">
        <f t="shared" si="16"/>
        <v>2065.4455086116322</v>
      </c>
      <c r="M60" s="419">
        <f t="shared" si="16"/>
        <v>2169.8140315276833</v>
      </c>
      <c r="N60" s="419">
        <f t="shared" si="16"/>
        <v>2279.3104187593931</v>
      </c>
      <c r="O60" s="419">
        <f t="shared" si="16"/>
        <v>2389.0372076239228</v>
      </c>
      <c r="P60" s="419">
        <f t="shared" si="16"/>
        <v>2498.7561850936304</v>
      </c>
      <c r="Q60" s="399"/>
      <c r="R60" s="399"/>
      <c r="S60" s="399"/>
      <c r="T60" s="399"/>
      <c r="U60" s="399"/>
      <c r="V60" s="399"/>
      <c r="W60" s="400"/>
      <c r="X60" s="400"/>
      <c r="Y60" s="400"/>
    </row>
    <row r="61" spans="1:25" ht="15" thickTop="1" x14ac:dyDescent="0.35">
      <c r="A61" s="409" t="s">
        <v>45</v>
      </c>
      <c r="B61" s="406">
        <f>B60/B56</f>
        <v>-0.8</v>
      </c>
      <c r="C61" s="406">
        <f t="shared" ref="C61:P61" si="17">C60/C56</f>
        <v>-0.45332462253193984</v>
      </c>
      <c r="D61" s="406">
        <f t="shared" si="17"/>
        <v>-1.4610671098508025E-2</v>
      </c>
      <c r="E61" s="406">
        <f t="shared" si="17"/>
        <v>0.27035635208871017</v>
      </c>
      <c r="F61" s="406">
        <f t="shared" si="17"/>
        <v>0.42735567871523061</v>
      </c>
      <c r="G61" s="406">
        <f t="shared" si="17"/>
        <v>0.51740130110167659</v>
      </c>
      <c r="H61" s="406">
        <f t="shared" si="17"/>
        <v>0.58264649120331102</v>
      </c>
      <c r="I61" s="406">
        <f t="shared" si="17"/>
        <v>0.64446258857036387</v>
      </c>
      <c r="J61" s="406">
        <f t="shared" si="17"/>
        <v>0.67976243379777146</v>
      </c>
      <c r="K61" s="406">
        <f t="shared" si="17"/>
        <v>0.69871529196547777</v>
      </c>
      <c r="L61" s="406">
        <f t="shared" si="17"/>
        <v>0.70609134740008672</v>
      </c>
      <c r="M61" s="406">
        <f t="shared" si="17"/>
        <v>0.71328631585769253</v>
      </c>
      <c r="N61" s="406">
        <f t="shared" si="17"/>
        <v>0.72108864030331654</v>
      </c>
      <c r="O61" s="406">
        <f t="shared" si="17"/>
        <v>0.72846496179060061</v>
      </c>
      <c r="P61" s="406">
        <f t="shared" si="17"/>
        <v>0.73544456679399661</v>
      </c>
      <c r="Q61" s="406"/>
      <c r="R61" s="406"/>
      <c r="S61" s="406"/>
      <c r="T61" s="406"/>
      <c r="U61" s="406"/>
      <c r="V61" s="399"/>
      <c r="W61" s="400"/>
      <c r="X61" s="400"/>
      <c r="Y61" s="400"/>
    </row>
    <row r="62" spans="1:25" x14ac:dyDescent="0.35">
      <c r="A62" s="412" t="s">
        <v>219</v>
      </c>
      <c r="B62" s="415"/>
      <c r="C62" s="413">
        <f>IFERROR(C60/B60-1,"")</f>
        <v>5.0513565891472885</v>
      </c>
      <c r="D62" s="413">
        <f t="shared" ref="D62:P62" si="18">IFERROR(D60/C60-1,"")</f>
        <v>-0.86844675740592447</v>
      </c>
      <c r="E62" s="413">
        <f t="shared" si="18"/>
        <v>-47.236487749274545</v>
      </c>
      <c r="F62" s="413">
        <f t="shared" si="18"/>
        <v>1.9349677639720868</v>
      </c>
      <c r="G62" s="413">
        <f t="shared" si="18"/>
        <v>0.85751956438715427</v>
      </c>
      <c r="H62" s="413">
        <f t="shared" si="18"/>
        <v>0.52053812767136676</v>
      </c>
      <c r="I62" s="413">
        <f t="shared" si="18"/>
        <v>0.34658018035760052</v>
      </c>
      <c r="J62" s="413">
        <f t="shared" si="18"/>
        <v>0.18080994567304653</v>
      </c>
      <c r="K62" s="413">
        <f t="shared" si="18"/>
        <v>9.0312766076827922E-2</v>
      </c>
      <c r="L62" s="413">
        <f t="shared" si="18"/>
        <v>5.0981424291170141E-2</v>
      </c>
      <c r="M62" s="413">
        <f t="shared" si="18"/>
        <v>5.0530755946307293E-2</v>
      </c>
      <c r="N62" s="413">
        <f t="shared" si="18"/>
        <v>5.0463489331672218E-2</v>
      </c>
      <c r="O62" s="413">
        <f t="shared" si="18"/>
        <v>4.8140344536420354E-2</v>
      </c>
      <c r="P62" s="413">
        <f t="shared" si="18"/>
        <v>4.5926022884688056E-2</v>
      </c>
      <c r="Q62" s="406"/>
      <c r="R62" s="406"/>
      <c r="S62" s="406"/>
      <c r="T62" s="406"/>
      <c r="U62" s="406"/>
      <c r="V62" s="399"/>
      <c r="W62" s="400"/>
      <c r="X62" s="400"/>
      <c r="Y62" s="400"/>
    </row>
    <row r="63" spans="1:25" x14ac:dyDescent="0.3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  <c r="L63" s="399"/>
      <c r="M63" s="399"/>
      <c r="N63" s="399"/>
      <c r="O63" s="399"/>
      <c r="P63" s="399"/>
      <c r="Q63" s="399"/>
      <c r="R63" s="399"/>
      <c r="S63" s="399"/>
      <c r="T63" s="399"/>
      <c r="U63" s="399"/>
      <c r="V63" s="399"/>
      <c r="W63" s="400"/>
      <c r="X63" s="400"/>
      <c r="Y63" s="400"/>
    </row>
    <row r="64" spans="1:25" x14ac:dyDescent="0.35">
      <c r="A64" s="410" t="s">
        <v>220</v>
      </c>
      <c r="B64" s="399"/>
      <c r="C64" s="399"/>
      <c r="D64" s="399"/>
      <c r="E64" s="399"/>
      <c r="F64" s="399"/>
      <c r="G64" s="399"/>
      <c r="H64" s="399"/>
      <c r="I64" s="399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399"/>
      <c r="V64" s="399"/>
      <c r="W64" s="400"/>
      <c r="X64" s="400"/>
      <c r="Y64" s="400"/>
    </row>
    <row r="65" spans="1:25" x14ac:dyDescent="0.35">
      <c r="A65" s="411"/>
      <c r="B65" s="435">
        <f>+B$41</f>
        <v>2020</v>
      </c>
      <c r="C65" s="435">
        <f t="shared" ref="C65:P65" si="19">+C$41</f>
        <v>2021</v>
      </c>
      <c r="D65" s="435">
        <f t="shared" si="19"/>
        <v>2022</v>
      </c>
      <c r="E65" s="435">
        <f t="shared" si="19"/>
        <v>2023</v>
      </c>
      <c r="F65" s="435">
        <f t="shared" si="19"/>
        <v>2024</v>
      </c>
      <c r="G65" s="435">
        <f t="shared" si="19"/>
        <v>2025</v>
      </c>
      <c r="H65" s="435">
        <f t="shared" si="19"/>
        <v>2026</v>
      </c>
      <c r="I65" s="435">
        <f t="shared" si="19"/>
        <v>2027</v>
      </c>
      <c r="J65" s="435">
        <f t="shared" si="19"/>
        <v>2028</v>
      </c>
      <c r="K65" s="435">
        <f t="shared" si="19"/>
        <v>2029</v>
      </c>
      <c r="L65" s="435">
        <f t="shared" si="19"/>
        <v>2030</v>
      </c>
      <c r="M65" s="435">
        <f t="shared" si="19"/>
        <v>2031</v>
      </c>
      <c r="N65" s="435">
        <f t="shared" si="19"/>
        <v>2032</v>
      </c>
      <c r="O65" s="435">
        <f t="shared" si="19"/>
        <v>2033</v>
      </c>
      <c r="P65" s="435">
        <f t="shared" si="19"/>
        <v>2034</v>
      </c>
      <c r="Q65" s="417"/>
      <c r="R65" s="417"/>
      <c r="S65" s="417"/>
      <c r="T65" s="417"/>
      <c r="U65" s="417"/>
      <c r="V65" s="399"/>
      <c r="W65" s="400"/>
      <c r="X65" s="400"/>
      <c r="Y65" s="400"/>
    </row>
    <row r="66" spans="1:25" x14ac:dyDescent="0.35">
      <c r="A66" s="1791" t="s">
        <v>221</v>
      </c>
      <c r="B66" s="1791">
        <f t="shared" ref="B66:P66" si="20">+IF(B42&lt;2800,B43*$B$25/1000,IF(AND(B42&gt;2800,B42&lt;4500),B43*$B$26/1000,IF(B42&gt;4500,B43*$B$27/1000,0)))</f>
        <v>81.7</v>
      </c>
      <c r="C66" s="1791">
        <f t="shared" si="20"/>
        <v>606.1</v>
      </c>
      <c r="D66" s="1791">
        <f t="shared" si="20"/>
        <v>1162.8</v>
      </c>
      <c r="E66" s="1791">
        <f t="shared" si="20"/>
        <v>1254</v>
      </c>
      <c r="F66" s="1791">
        <f t="shared" si="20"/>
        <v>1265.4000000000001</v>
      </c>
      <c r="G66" s="1791">
        <f t="shared" si="20"/>
        <v>1235</v>
      </c>
      <c r="H66" s="1791">
        <f t="shared" si="20"/>
        <v>855</v>
      </c>
      <c r="I66" s="1791">
        <f t="shared" si="20"/>
        <v>95.218500000000006</v>
      </c>
      <c r="J66" s="1791">
        <f t="shared" si="20"/>
        <v>96.170684999999992</v>
      </c>
      <c r="K66" s="1791">
        <f t="shared" si="20"/>
        <v>97.132391849999991</v>
      </c>
      <c r="L66" s="1791">
        <f t="shared" si="20"/>
        <v>98.103715768499981</v>
      </c>
      <c r="M66" s="1791">
        <f t="shared" si="20"/>
        <v>99.08475292618499</v>
      </c>
      <c r="N66" s="1791">
        <f t="shared" si="20"/>
        <v>69.457100455446962</v>
      </c>
      <c r="O66" s="1791">
        <f t="shared" si="20"/>
        <v>70.151671460001026</v>
      </c>
      <c r="P66" s="1791">
        <f t="shared" si="20"/>
        <v>70.853188174601215</v>
      </c>
      <c r="Q66" s="399"/>
      <c r="R66" s="399"/>
      <c r="S66" s="399"/>
      <c r="T66" s="399"/>
      <c r="U66" s="399"/>
      <c r="V66" s="399"/>
      <c r="W66" s="400"/>
      <c r="X66" s="400"/>
      <c r="Y66" s="400"/>
    </row>
    <row r="67" spans="1:25" x14ac:dyDescent="0.35">
      <c r="A67" s="399" t="s">
        <v>222</v>
      </c>
      <c r="B67" s="399">
        <f t="shared" ref="B67:P67" si="21">B49*$B$28/1000</f>
        <v>7.4175000000000004</v>
      </c>
      <c r="C67" s="399">
        <f t="shared" si="21"/>
        <v>62.445</v>
      </c>
      <c r="D67" s="399">
        <f t="shared" si="21"/>
        <v>168.01500000000004</v>
      </c>
      <c r="E67" s="399">
        <f t="shared" si="21"/>
        <v>274.44749999999999</v>
      </c>
      <c r="F67" s="399">
        <f t="shared" si="21"/>
        <v>334.30500000000006</v>
      </c>
      <c r="G67" s="399">
        <f t="shared" si="21"/>
        <v>340.85999999999984</v>
      </c>
      <c r="H67" s="399">
        <f t="shared" si="21"/>
        <v>304.6350000000001</v>
      </c>
      <c r="I67" s="399">
        <f t="shared" si="21"/>
        <v>198.39483750000011</v>
      </c>
      <c r="J67" s="399">
        <f t="shared" si="21"/>
        <v>95.001123374999978</v>
      </c>
      <c r="K67" s="399">
        <f t="shared" si="21"/>
        <v>26.194722108749978</v>
      </c>
      <c r="L67" s="399">
        <f t="shared" si="21"/>
        <v>26.456669329837553</v>
      </c>
      <c r="M67" s="399">
        <f t="shared" si="21"/>
        <v>26.721236023135681</v>
      </c>
      <c r="N67" s="399">
        <f t="shared" si="21"/>
        <v>24.208610883367552</v>
      </c>
      <c r="O67" s="399">
        <f t="shared" si="21"/>
        <v>21.670859492200847</v>
      </c>
      <c r="P67" s="399">
        <f t="shared" si="21"/>
        <v>19.107730587122706</v>
      </c>
      <c r="Q67" s="399"/>
      <c r="R67" s="399"/>
      <c r="S67" s="399"/>
      <c r="T67" s="399"/>
      <c r="U67" s="399"/>
      <c r="V67" s="399"/>
      <c r="W67" s="400"/>
      <c r="X67" s="400"/>
      <c r="Y67" s="400"/>
    </row>
    <row r="68" spans="1:25" x14ac:dyDescent="0.35">
      <c r="A68" s="399" t="s">
        <v>223</v>
      </c>
      <c r="B68" s="399">
        <f>+SUM(B66:B67)/$B$29</f>
        <v>2.2279375000000003</v>
      </c>
      <c r="C68" s="399">
        <f t="shared" ref="C68:P68" si="22">+B68+SUM(C66:C67)/$B$29</f>
        <v>18.9415625</v>
      </c>
      <c r="D68" s="399">
        <f t="shared" si="22"/>
        <v>52.211937500000005</v>
      </c>
      <c r="E68" s="399">
        <f t="shared" si="22"/>
        <v>90.423124999999999</v>
      </c>
      <c r="F68" s="399">
        <f t="shared" si="22"/>
        <v>130.41575</v>
      </c>
      <c r="G68" s="399">
        <f t="shared" si="22"/>
        <v>169.81225000000001</v>
      </c>
      <c r="H68" s="399">
        <f t="shared" si="22"/>
        <v>198.80312500000002</v>
      </c>
      <c r="I68" s="399">
        <f t="shared" si="22"/>
        <v>206.14345843750002</v>
      </c>
      <c r="J68" s="399">
        <f t="shared" si="22"/>
        <v>210.92275364687501</v>
      </c>
      <c r="K68" s="399">
        <f t="shared" si="22"/>
        <v>214.00593149584375</v>
      </c>
      <c r="L68" s="399">
        <f t="shared" si="22"/>
        <v>217.1199411233022</v>
      </c>
      <c r="M68" s="399">
        <f t="shared" si="22"/>
        <v>220.26509084703522</v>
      </c>
      <c r="N68" s="399">
        <f t="shared" si="22"/>
        <v>222.6067336305056</v>
      </c>
      <c r="O68" s="399">
        <f t="shared" si="22"/>
        <v>224.90229690431065</v>
      </c>
      <c r="P68" s="399">
        <f t="shared" si="22"/>
        <v>227.15131987335374</v>
      </c>
      <c r="Q68" s="399"/>
      <c r="R68" s="399"/>
      <c r="S68" s="399"/>
      <c r="T68" s="399"/>
      <c r="U68" s="399"/>
      <c r="V68" s="399"/>
      <c r="W68" s="400"/>
      <c r="X68" s="400"/>
      <c r="Y68" s="400"/>
    </row>
    <row r="69" spans="1:25" x14ac:dyDescent="0.35">
      <c r="A69" s="399" t="s">
        <v>224</v>
      </c>
      <c r="B69" s="416">
        <f>SUM(B66:B68)</f>
        <v>91.345437500000003</v>
      </c>
      <c r="C69" s="416">
        <f t="shared" ref="C69:P69" si="23">SUM(C66:C68)</f>
        <v>687.4865625000001</v>
      </c>
      <c r="D69" s="416">
        <f t="shared" si="23"/>
        <v>1383.0269375</v>
      </c>
      <c r="E69" s="416">
        <f t="shared" si="23"/>
        <v>1618.870625</v>
      </c>
      <c r="F69" s="416">
        <f t="shared" si="23"/>
        <v>1730.12075</v>
      </c>
      <c r="G69" s="416">
        <f t="shared" si="23"/>
        <v>1745.6722499999998</v>
      </c>
      <c r="H69" s="416">
        <f t="shared" si="23"/>
        <v>1358.4381250000001</v>
      </c>
      <c r="I69" s="416">
        <f t="shared" si="23"/>
        <v>499.7567959375001</v>
      </c>
      <c r="J69" s="416">
        <f t="shared" si="23"/>
        <v>402.09456202187494</v>
      </c>
      <c r="K69" s="416">
        <f t="shared" si="23"/>
        <v>337.33304545459373</v>
      </c>
      <c r="L69" s="416">
        <f t="shared" si="23"/>
        <v>341.68032622163975</v>
      </c>
      <c r="M69" s="416">
        <f t="shared" si="23"/>
        <v>346.07107979635589</v>
      </c>
      <c r="N69" s="416">
        <f t="shared" si="23"/>
        <v>316.27244496932013</v>
      </c>
      <c r="O69" s="416">
        <f t="shared" si="23"/>
        <v>316.72482785651255</v>
      </c>
      <c r="P69" s="416">
        <f t="shared" si="23"/>
        <v>317.11223863507769</v>
      </c>
      <c r="Q69" s="399"/>
      <c r="R69" s="399"/>
      <c r="S69" s="399"/>
      <c r="T69" s="399"/>
      <c r="U69" s="399"/>
      <c r="V69" s="399"/>
      <c r="W69" s="400"/>
      <c r="X69" s="400"/>
      <c r="Y69" s="400"/>
    </row>
    <row r="70" spans="1:25" x14ac:dyDescent="0.35">
      <c r="A70" s="409" t="s">
        <v>225</v>
      </c>
      <c r="B70" s="406">
        <f t="shared" ref="B70:P70" si="24">B69/B56</f>
        <v>19.669560185185187</v>
      </c>
      <c r="C70" s="406">
        <f t="shared" si="24"/>
        <v>13.862404876838953</v>
      </c>
      <c r="D70" s="406">
        <f t="shared" si="24"/>
        <v>6.8322587061683082</v>
      </c>
      <c r="E70" s="406">
        <f t="shared" si="24"/>
        <v>3.2005703923641149</v>
      </c>
      <c r="F70" s="406">
        <f t="shared" si="24"/>
        <v>1.8422188478979629</v>
      </c>
      <c r="G70" s="406">
        <f t="shared" si="24"/>
        <v>1.2115243722387536</v>
      </c>
      <c r="H70" s="406">
        <f t="shared" si="24"/>
        <v>0.69821570473177397</v>
      </c>
      <c r="I70" s="406">
        <f t="shared" si="24"/>
        <v>0.21099337442596966</v>
      </c>
      <c r="J70" s="406">
        <f t="shared" si="24"/>
        <v>0.15164138953631021</v>
      </c>
      <c r="K70" s="406">
        <f t="shared" si="24"/>
        <v>0.11993347955493788</v>
      </c>
      <c r="L70" s="406">
        <f t="shared" si="24"/>
        <v>0.11680652959182118</v>
      </c>
      <c r="M70" s="406">
        <f t="shared" si="24"/>
        <v>0.11376448024858617</v>
      </c>
      <c r="N70" s="406">
        <f t="shared" si="24"/>
        <v>0.10005678271433678</v>
      </c>
      <c r="O70" s="406">
        <f t="shared" si="24"/>
        <v>9.6575699568990925E-2</v>
      </c>
      <c r="P70" s="406">
        <f t="shared" si="24"/>
        <v>9.3333825188434832E-2</v>
      </c>
      <c r="Q70" s="406"/>
      <c r="R70" s="406"/>
      <c r="S70" s="406"/>
      <c r="T70" s="406"/>
      <c r="U70" s="406"/>
      <c r="V70" s="399"/>
      <c r="W70" s="400"/>
      <c r="X70" s="400"/>
      <c r="Y70" s="400"/>
    </row>
    <row r="71" spans="1:25" x14ac:dyDescent="0.35">
      <c r="A71" s="409" t="s">
        <v>226</v>
      </c>
      <c r="B71" s="406">
        <f t="shared" ref="B71:P71" si="25">+B68/B56</f>
        <v>0.47974537037037041</v>
      </c>
      <c r="C71" s="406">
        <f t="shared" si="25"/>
        <v>0.38193562274164417</v>
      </c>
      <c r="D71" s="406">
        <f t="shared" si="25"/>
        <v>0.25793095917214598</v>
      </c>
      <c r="E71" s="406">
        <f t="shared" si="25"/>
        <v>0.17877004634637769</v>
      </c>
      <c r="F71" s="406">
        <f t="shared" si="25"/>
        <v>0.13886565588716784</v>
      </c>
      <c r="G71" s="406">
        <f t="shared" si="25"/>
        <v>0.11785240876670883</v>
      </c>
      <c r="H71" s="406">
        <f t="shared" si="25"/>
        <v>0.10218166103425134</v>
      </c>
      <c r="I71" s="406">
        <f t="shared" si="25"/>
        <v>8.7032140963636359E-2</v>
      </c>
      <c r="J71" s="406">
        <f t="shared" si="25"/>
        <v>7.9545018681692406E-2</v>
      </c>
      <c r="K71" s="406">
        <f t="shared" si="25"/>
        <v>7.608645626491703E-2</v>
      </c>
      <c r="L71" s="406">
        <f t="shared" si="25"/>
        <v>7.4224428161375575E-2</v>
      </c>
      <c r="M71" s="406">
        <f t="shared" si="25"/>
        <v>7.2408083310128241E-2</v>
      </c>
      <c r="N71" s="406">
        <f t="shared" si="25"/>
        <v>7.0424451867048862E-2</v>
      </c>
      <c r="O71" s="406">
        <f t="shared" si="25"/>
        <v>6.8577183560887961E-2</v>
      </c>
      <c r="P71" s="406">
        <f t="shared" si="25"/>
        <v>6.685614428391437E-2</v>
      </c>
      <c r="Q71" s="406"/>
      <c r="R71" s="406"/>
      <c r="S71" s="406"/>
      <c r="T71" s="406"/>
      <c r="U71" s="406"/>
      <c r="V71" s="399"/>
      <c r="W71" s="400"/>
      <c r="X71" s="400"/>
      <c r="Y71" s="400"/>
    </row>
    <row r="72" spans="1:25" x14ac:dyDescent="0.35">
      <c r="A72" s="399"/>
      <c r="B72" s="399"/>
      <c r="C72" s="399"/>
      <c r="D72" s="399"/>
      <c r="E72" s="399"/>
      <c r="F72" s="399"/>
      <c r="G72" s="399"/>
      <c r="H72" s="399"/>
      <c r="I72" s="399"/>
      <c r="J72" s="399"/>
      <c r="K72" s="399"/>
      <c r="L72" s="399"/>
      <c r="M72" s="399"/>
      <c r="N72" s="399"/>
      <c r="O72" s="399"/>
      <c r="P72" s="399"/>
      <c r="Q72" s="399"/>
      <c r="R72" s="399"/>
      <c r="S72" s="399"/>
      <c r="T72" s="399"/>
      <c r="U72" s="399"/>
      <c r="V72" s="399"/>
      <c r="W72" s="400"/>
      <c r="X72" s="400"/>
      <c r="Y72" s="400"/>
    </row>
    <row r="73" spans="1:25" x14ac:dyDescent="0.35">
      <c r="A73" s="399" t="s">
        <v>227</v>
      </c>
      <c r="B73" s="399">
        <f>+B74</f>
        <v>4.5672718750000003</v>
      </c>
      <c r="C73" s="399">
        <f>+B73+C74-C75</f>
        <v>39.169963593750005</v>
      </c>
      <c r="D73" s="399">
        <f t="shared" ref="D73:P73" si="26">+C73+D74-D75</f>
        <v>110.05144505468752</v>
      </c>
      <c r="E73" s="399">
        <f t="shared" si="26"/>
        <v>194.53905037773438</v>
      </c>
      <c r="F73" s="399">
        <f t="shared" si="26"/>
        <v>285.26946814388674</v>
      </c>
      <c r="G73" s="399">
        <f t="shared" si="26"/>
        <v>377.08960153219437</v>
      </c>
      <c r="H73" s="399">
        <f t="shared" si="26"/>
        <v>449.60251445160975</v>
      </c>
      <c r="I73" s="399">
        <f t="shared" si="26"/>
        <v>478.21599989445554</v>
      </c>
      <c r="J73" s="399">
        <f t="shared" si="26"/>
        <v>499.75140226769156</v>
      </c>
      <c r="K73" s="399">
        <f t="shared" si="26"/>
        <v>517.694824659083</v>
      </c>
      <c r="L73" s="399">
        <f t="shared" si="26"/>
        <v>535.67601208973451</v>
      </c>
      <c r="M73" s="399">
        <f t="shared" si="26"/>
        <v>553.87862545108487</v>
      </c>
      <c r="N73" s="399">
        <f t="shared" si="26"/>
        <v>570.60237836761837</v>
      </c>
      <c r="O73" s="399">
        <f t="shared" si="26"/>
        <v>587.27480740627072</v>
      </c>
      <c r="P73" s="399">
        <f t="shared" si="26"/>
        <v>603.96404078995727</v>
      </c>
      <c r="Q73" s="399"/>
      <c r="R73" s="399"/>
      <c r="S73" s="399"/>
      <c r="T73" s="399"/>
      <c r="U73" s="399"/>
      <c r="V73" s="399"/>
      <c r="W73" s="400"/>
      <c r="X73" s="400"/>
      <c r="Y73" s="400"/>
    </row>
    <row r="74" spans="1:25" x14ac:dyDescent="0.35">
      <c r="A74" s="409" t="s">
        <v>228</v>
      </c>
      <c r="B74" s="409">
        <f>+B69*B77</f>
        <v>4.5672718750000003</v>
      </c>
      <c r="C74" s="409">
        <f>+B74*C77+C69*C77</f>
        <v>34.602691718750002</v>
      </c>
      <c r="D74" s="409">
        <f t="shared" ref="D74:P74" si="27">+C74*D77+D69*D77</f>
        <v>70.881481460937508</v>
      </c>
      <c r="E74" s="409">
        <f t="shared" si="27"/>
        <v>84.487605323046878</v>
      </c>
      <c r="F74" s="409">
        <f t="shared" si="27"/>
        <v>90.730417766152343</v>
      </c>
      <c r="G74" s="409">
        <f t="shared" si="27"/>
        <v>91.820133388307625</v>
      </c>
      <c r="H74" s="409">
        <f t="shared" si="27"/>
        <v>72.512912919415385</v>
      </c>
      <c r="I74" s="409">
        <f t="shared" si="27"/>
        <v>28.613485442845779</v>
      </c>
      <c r="J74" s="409">
        <f t="shared" si="27"/>
        <v>21.535402373236039</v>
      </c>
      <c r="K74" s="409">
        <f t="shared" si="27"/>
        <v>17.94342239139149</v>
      </c>
      <c r="L74" s="409">
        <f t="shared" si="27"/>
        <v>17.981187430651563</v>
      </c>
      <c r="M74" s="409">
        <f t="shared" si="27"/>
        <v>18.202613361350373</v>
      </c>
      <c r="N74" s="409">
        <f t="shared" si="27"/>
        <v>16.723752916533527</v>
      </c>
      <c r="O74" s="409">
        <f t="shared" si="27"/>
        <v>16.672429038652304</v>
      </c>
      <c r="P74" s="409">
        <f t="shared" si="27"/>
        <v>16.689233383686499</v>
      </c>
      <c r="Q74" s="409"/>
      <c r="R74" s="409"/>
      <c r="S74" s="409"/>
      <c r="T74" s="409"/>
      <c r="U74" s="409"/>
      <c r="V74" s="399"/>
      <c r="W74" s="400"/>
      <c r="X74" s="400"/>
      <c r="Y74" s="400"/>
    </row>
    <row r="75" spans="1:25" x14ac:dyDescent="0.35">
      <c r="A75" s="409" t="s">
        <v>229</v>
      </c>
      <c r="B75" s="409"/>
      <c r="C75" s="409"/>
      <c r="D75" s="409"/>
      <c r="E75" s="409"/>
      <c r="F75" s="409"/>
      <c r="G75" s="409"/>
      <c r="H75" s="409"/>
      <c r="I75" s="409"/>
      <c r="J75" s="409"/>
      <c r="K75" s="409"/>
      <c r="L75" s="409"/>
      <c r="M75" s="409"/>
      <c r="N75" s="409"/>
      <c r="O75" s="409"/>
      <c r="P75" s="409"/>
      <c r="Q75" s="409"/>
      <c r="R75" s="409"/>
      <c r="S75" s="409"/>
      <c r="T75" s="409"/>
      <c r="U75" s="409"/>
      <c r="V75" s="399"/>
      <c r="W75" s="400"/>
      <c r="X75" s="400"/>
      <c r="Y75" s="400"/>
    </row>
    <row r="76" spans="1:25" x14ac:dyDescent="0.35">
      <c r="A76" s="409" t="s">
        <v>230</v>
      </c>
      <c r="B76" s="409">
        <f>+B29</f>
        <v>40</v>
      </c>
      <c r="C76" s="409">
        <f>+B76</f>
        <v>40</v>
      </c>
      <c r="D76" s="409">
        <f t="shared" ref="D76:P77" si="28">+C76</f>
        <v>40</v>
      </c>
      <c r="E76" s="409">
        <f t="shared" si="28"/>
        <v>40</v>
      </c>
      <c r="F76" s="409">
        <f t="shared" si="28"/>
        <v>40</v>
      </c>
      <c r="G76" s="409">
        <f t="shared" si="28"/>
        <v>40</v>
      </c>
      <c r="H76" s="409">
        <f t="shared" si="28"/>
        <v>40</v>
      </c>
      <c r="I76" s="409">
        <f t="shared" si="28"/>
        <v>40</v>
      </c>
      <c r="J76" s="409">
        <f t="shared" si="28"/>
        <v>40</v>
      </c>
      <c r="K76" s="409">
        <f t="shared" si="28"/>
        <v>40</v>
      </c>
      <c r="L76" s="409">
        <f t="shared" si="28"/>
        <v>40</v>
      </c>
      <c r="M76" s="409">
        <f t="shared" si="28"/>
        <v>40</v>
      </c>
      <c r="N76" s="409">
        <f t="shared" si="28"/>
        <v>40</v>
      </c>
      <c r="O76" s="409">
        <f t="shared" si="28"/>
        <v>40</v>
      </c>
      <c r="P76" s="409">
        <f t="shared" si="28"/>
        <v>40</v>
      </c>
      <c r="Q76" s="409"/>
      <c r="R76" s="409"/>
      <c r="S76" s="409"/>
      <c r="T76" s="409"/>
      <c r="U76" s="409"/>
      <c r="V76" s="399"/>
      <c r="W76" s="400"/>
      <c r="X76" s="400"/>
      <c r="Y76" s="400"/>
    </row>
    <row r="77" spans="1:25" x14ac:dyDescent="0.35">
      <c r="A77" s="412" t="s">
        <v>231</v>
      </c>
      <c r="B77" s="413">
        <f>1/B76*2</f>
        <v>0.05</v>
      </c>
      <c r="C77" s="413">
        <f>+B77</f>
        <v>0.05</v>
      </c>
      <c r="D77" s="413">
        <f t="shared" si="28"/>
        <v>0.05</v>
      </c>
      <c r="E77" s="413">
        <f t="shared" si="28"/>
        <v>0.05</v>
      </c>
      <c r="F77" s="413">
        <f t="shared" si="28"/>
        <v>0.05</v>
      </c>
      <c r="G77" s="413">
        <f t="shared" si="28"/>
        <v>0.05</v>
      </c>
      <c r="H77" s="413">
        <f t="shared" si="28"/>
        <v>0.05</v>
      </c>
      <c r="I77" s="413">
        <f t="shared" si="28"/>
        <v>0.05</v>
      </c>
      <c r="J77" s="413">
        <f t="shared" si="28"/>
        <v>0.05</v>
      </c>
      <c r="K77" s="413">
        <f t="shared" si="28"/>
        <v>0.05</v>
      </c>
      <c r="L77" s="413">
        <f t="shared" si="28"/>
        <v>0.05</v>
      </c>
      <c r="M77" s="413">
        <f t="shared" si="28"/>
        <v>0.05</v>
      </c>
      <c r="N77" s="413">
        <f t="shared" si="28"/>
        <v>0.05</v>
      </c>
      <c r="O77" s="413">
        <f t="shared" si="28"/>
        <v>0.05</v>
      </c>
      <c r="P77" s="413">
        <f t="shared" si="28"/>
        <v>0.05</v>
      </c>
      <c r="Q77" s="406"/>
      <c r="R77" s="406"/>
      <c r="S77" s="406"/>
      <c r="T77" s="406"/>
      <c r="U77" s="406"/>
      <c r="V77" s="399"/>
      <c r="W77" s="400"/>
      <c r="X77" s="400"/>
      <c r="Y77" s="400"/>
    </row>
    <row r="78" spans="1:25" x14ac:dyDescent="0.35">
      <c r="A78" s="399" t="s">
        <v>232</v>
      </c>
      <c r="B78" s="399">
        <f>+B69/B76</f>
        <v>2.2836359375000002</v>
      </c>
      <c r="C78" s="399">
        <f>+B78+C79-C80</f>
        <v>19.470800000000004</v>
      </c>
      <c r="D78" s="399">
        <f t="shared" ref="D78:P78" si="29">+C78+D79-D80</f>
        <v>54.046473437500005</v>
      </c>
      <c r="E78" s="399">
        <f t="shared" si="29"/>
        <v>94.518239062500015</v>
      </c>
      <c r="F78" s="399">
        <f t="shared" si="29"/>
        <v>137.77125781250001</v>
      </c>
      <c r="G78" s="399">
        <f t="shared" si="29"/>
        <v>181.41306406250001</v>
      </c>
      <c r="H78" s="399">
        <f t="shared" si="29"/>
        <v>215.37401718750002</v>
      </c>
      <c r="I78" s="399">
        <f t="shared" si="29"/>
        <v>227.86793708593751</v>
      </c>
      <c r="J78" s="399">
        <f t="shared" si="29"/>
        <v>237.9203011364844</v>
      </c>
      <c r="K78" s="399">
        <f t="shared" si="29"/>
        <v>246.35362727284925</v>
      </c>
      <c r="L78" s="399">
        <f t="shared" si="29"/>
        <v>254.89563542839025</v>
      </c>
      <c r="M78" s="399">
        <f t="shared" si="29"/>
        <v>263.54741242329914</v>
      </c>
      <c r="N78" s="399">
        <f t="shared" si="29"/>
        <v>271.45422354753214</v>
      </c>
      <c r="O78" s="399">
        <f t="shared" si="29"/>
        <v>279.37234424394495</v>
      </c>
      <c r="P78" s="399">
        <f t="shared" si="29"/>
        <v>287.30015020982188</v>
      </c>
      <c r="Q78" s="399"/>
      <c r="R78" s="399"/>
      <c r="S78" s="399"/>
      <c r="T78" s="399"/>
      <c r="U78" s="399"/>
      <c r="V78" s="399"/>
      <c r="W78" s="400"/>
      <c r="X78" s="400"/>
      <c r="Y78" s="400"/>
    </row>
    <row r="79" spans="1:25" x14ac:dyDescent="0.35">
      <c r="A79" s="409" t="s">
        <v>228</v>
      </c>
      <c r="B79" s="409">
        <f>+B78</f>
        <v>2.2836359375000002</v>
      </c>
      <c r="C79" s="409">
        <f t="shared" ref="C79:P79" si="30">+C69/C81</f>
        <v>17.187164062500003</v>
      </c>
      <c r="D79" s="409">
        <f t="shared" si="30"/>
        <v>34.575673437500001</v>
      </c>
      <c r="E79" s="409">
        <f t="shared" si="30"/>
        <v>40.471765625000003</v>
      </c>
      <c r="F79" s="409">
        <f t="shared" si="30"/>
        <v>43.253018750000003</v>
      </c>
      <c r="G79" s="409">
        <f t="shared" si="30"/>
        <v>43.641806249999995</v>
      </c>
      <c r="H79" s="409">
        <f t="shared" si="30"/>
        <v>33.960953125000003</v>
      </c>
      <c r="I79" s="409">
        <f t="shared" si="30"/>
        <v>12.493919898437502</v>
      </c>
      <c r="J79" s="409">
        <f t="shared" si="30"/>
        <v>10.052364050546874</v>
      </c>
      <c r="K79" s="409">
        <f t="shared" si="30"/>
        <v>8.433326136364844</v>
      </c>
      <c r="L79" s="409">
        <f t="shared" si="30"/>
        <v>8.5420081555409944</v>
      </c>
      <c r="M79" s="409">
        <f t="shared" si="30"/>
        <v>8.6517769949088965</v>
      </c>
      <c r="N79" s="409">
        <f t="shared" si="30"/>
        <v>7.9068111242330037</v>
      </c>
      <c r="O79" s="409">
        <f t="shared" si="30"/>
        <v>7.9181206964128137</v>
      </c>
      <c r="P79" s="409">
        <f t="shared" si="30"/>
        <v>7.9278059658769422</v>
      </c>
      <c r="Q79" s="409"/>
      <c r="R79" s="409"/>
      <c r="S79" s="409"/>
      <c r="T79" s="409"/>
      <c r="U79" s="409"/>
      <c r="V79" s="399"/>
      <c r="W79" s="400"/>
      <c r="X79" s="400"/>
      <c r="Y79" s="400"/>
    </row>
    <row r="80" spans="1:25" x14ac:dyDescent="0.35">
      <c r="A80" s="409" t="s">
        <v>229</v>
      </c>
      <c r="B80" s="409"/>
      <c r="C80" s="409"/>
      <c r="D80" s="409"/>
      <c r="E80" s="409"/>
      <c r="F80" s="409"/>
      <c r="G80" s="409"/>
      <c r="H80" s="409"/>
      <c r="I80" s="409"/>
      <c r="J80" s="409"/>
      <c r="K80" s="409"/>
      <c r="L80" s="409"/>
      <c r="M80" s="409"/>
      <c r="N80" s="409"/>
      <c r="O80" s="409"/>
      <c r="P80" s="409"/>
      <c r="Q80" s="409"/>
      <c r="R80" s="409"/>
      <c r="S80" s="409"/>
      <c r="T80" s="409"/>
      <c r="U80" s="409"/>
      <c r="V80" s="399"/>
      <c r="W80" s="400"/>
      <c r="X80" s="400"/>
      <c r="Y80" s="400"/>
    </row>
    <row r="81" spans="1:25" x14ac:dyDescent="0.35">
      <c r="A81" s="412" t="s">
        <v>230</v>
      </c>
      <c r="B81" s="412">
        <f t="shared" ref="B81:P81" si="31">+B76</f>
        <v>40</v>
      </c>
      <c r="C81" s="412">
        <f t="shared" si="31"/>
        <v>40</v>
      </c>
      <c r="D81" s="412">
        <f t="shared" si="31"/>
        <v>40</v>
      </c>
      <c r="E81" s="412">
        <f t="shared" si="31"/>
        <v>40</v>
      </c>
      <c r="F81" s="412">
        <f t="shared" si="31"/>
        <v>40</v>
      </c>
      <c r="G81" s="412">
        <f t="shared" si="31"/>
        <v>40</v>
      </c>
      <c r="H81" s="412">
        <f t="shared" si="31"/>
        <v>40</v>
      </c>
      <c r="I81" s="412">
        <f t="shared" si="31"/>
        <v>40</v>
      </c>
      <c r="J81" s="412">
        <f t="shared" si="31"/>
        <v>40</v>
      </c>
      <c r="K81" s="412">
        <f t="shared" si="31"/>
        <v>40</v>
      </c>
      <c r="L81" s="412">
        <f t="shared" si="31"/>
        <v>40</v>
      </c>
      <c r="M81" s="412">
        <f t="shared" si="31"/>
        <v>40</v>
      </c>
      <c r="N81" s="412">
        <f t="shared" si="31"/>
        <v>40</v>
      </c>
      <c r="O81" s="412">
        <f t="shared" si="31"/>
        <v>40</v>
      </c>
      <c r="P81" s="412">
        <f t="shared" si="31"/>
        <v>40</v>
      </c>
      <c r="Q81" s="409"/>
      <c r="R81" s="409"/>
      <c r="S81" s="409"/>
      <c r="T81" s="409"/>
      <c r="U81" s="409"/>
      <c r="V81" s="399"/>
      <c r="W81" s="400"/>
      <c r="X81" s="400"/>
      <c r="Y81" s="400"/>
    </row>
    <row r="82" spans="1:25" x14ac:dyDescent="0.35">
      <c r="A82" s="399"/>
      <c r="B82" s="399"/>
      <c r="C82" s="399"/>
      <c r="D82" s="399"/>
      <c r="E82" s="399"/>
      <c r="F82" s="399"/>
      <c r="G82" s="399"/>
      <c r="H82" s="399"/>
      <c r="I82" s="399"/>
      <c r="J82" s="399"/>
      <c r="K82" s="399"/>
      <c r="L82" s="399"/>
      <c r="M82" s="399"/>
      <c r="N82" s="399"/>
      <c r="O82" s="399"/>
      <c r="P82" s="399"/>
      <c r="Q82" s="399"/>
      <c r="R82" s="399"/>
      <c r="S82" s="399"/>
      <c r="T82" s="399"/>
      <c r="U82" s="399"/>
      <c r="V82" s="399"/>
      <c r="W82" s="400"/>
      <c r="X82" s="400"/>
      <c r="Y82" s="400"/>
    </row>
    <row r="83" spans="1:25" x14ac:dyDescent="0.35">
      <c r="A83" s="410" t="s">
        <v>233</v>
      </c>
      <c r="B83" s="399"/>
      <c r="C83" s="401"/>
      <c r="D83" s="399"/>
      <c r="E83" s="399"/>
      <c r="F83" s="399"/>
      <c r="G83" s="399"/>
      <c r="H83" s="399"/>
      <c r="I83" s="399"/>
      <c r="J83" s="399"/>
      <c r="K83" s="399"/>
      <c r="L83" s="399"/>
      <c r="M83" s="399"/>
      <c r="N83" s="399"/>
      <c r="O83" s="399"/>
      <c r="P83" s="399"/>
      <c r="Q83" s="399"/>
      <c r="R83" s="399"/>
      <c r="S83" s="399"/>
      <c r="T83" s="399"/>
      <c r="U83" s="399"/>
      <c r="V83" s="399"/>
      <c r="W83" s="400"/>
      <c r="X83" s="400"/>
      <c r="Y83" s="400"/>
    </row>
    <row r="84" spans="1:25" x14ac:dyDescent="0.35">
      <c r="A84" s="411"/>
      <c r="B84" s="435">
        <f>+B$41</f>
        <v>2020</v>
      </c>
      <c r="C84" s="435">
        <f t="shared" ref="C84:P84" si="32">+C$41</f>
        <v>2021</v>
      </c>
      <c r="D84" s="435">
        <f t="shared" si="32"/>
        <v>2022</v>
      </c>
      <c r="E84" s="435">
        <f t="shared" si="32"/>
        <v>2023</v>
      </c>
      <c r="F84" s="435">
        <f t="shared" si="32"/>
        <v>2024</v>
      </c>
      <c r="G84" s="435">
        <f t="shared" si="32"/>
        <v>2025</v>
      </c>
      <c r="H84" s="435">
        <f t="shared" si="32"/>
        <v>2026</v>
      </c>
      <c r="I84" s="435">
        <f t="shared" si="32"/>
        <v>2027</v>
      </c>
      <c r="J84" s="435">
        <f t="shared" si="32"/>
        <v>2028</v>
      </c>
      <c r="K84" s="435">
        <f t="shared" si="32"/>
        <v>2029</v>
      </c>
      <c r="L84" s="435">
        <f t="shared" si="32"/>
        <v>2030</v>
      </c>
      <c r="M84" s="435">
        <f t="shared" si="32"/>
        <v>2031</v>
      </c>
      <c r="N84" s="435">
        <f t="shared" si="32"/>
        <v>2032</v>
      </c>
      <c r="O84" s="435">
        <f t="shared" si="32"/>
        <v>2033</v>
      </c>
      <c r="P84" s="435">
        <f t="shared" si="32"/>
        <v>2034</v>
      </c>
      <c r="Q84" s="417"/>
      <c r="R84" s="417"/>
      <c r="S84" s="417"/>
      <c r="T84" s="417"/>
      <c r="U84" s="417"/>
      <c r="V84" s="399"/>
      <c r="W84" s="400"/>
      <c r="X84" s="400"/>
      <c r="Y84" s="400"/>
    </row>
    <row r="85" spans="1:25" x14ac:dyDescent="0.35">
      <c r="A85" s="1791" t="s">
        <v>234</v>
      </c>
      <c r="B85" s="1793">
        <v>0</v>
      </c>
      <c r="C85" s="1791">
        <f>B88</f>
        <v>2.0706179687500001</v>
      </c>
      <c r="D85" s="1791">
        <f t="shared" ref="D85:P85" si="33">C88</f>
        <v>17.483608867187503</v>
      </c>
      <c r="E85" s="1791">
        <f t="shared" si="33"/>
        <v>45.735865130859381</v>
      </c>
      <c r="F85" s="1791">
        <f t="shared" si="33"/>
        <v>60.18359986591804</v>
      </c>
      <c r="G85" s="1791">
        <f t="shared" si="33"/>
        <v>31.163142188608631</v>
      </c>
      <c r="H85" s="1791">
        <f t="shared" si="33"/>
        <v>0</v>
      </c>
      <c r="I85" s="1791">
        <f t="shared" si="33"/>
        <v>0</v>
      </c>
      <c r="J85" s="1791">
        <f t="shared" si="33"/>
        <v>0</v>
      </c>
      <c r="K85" s="1791">
        <f t="shared" si="33"/>
        <v>0</v>
      </c>
      <c r="L85" s="1791">
        <f t="shared" si="33"/>
        <v>0</v>
      </c>
      <c r="M85" s="1791">
        <f t="shared" si="33"/>
        <v>0</v>
      </c>
      <c r="N85" s="1791">
        <f t="shared" si="33"/>
        <v>0</v>
      </c>
      <c r="O85" s="1791">
        <f t="shared" si="33"/>
        <v>0</v>
      </c>
      <c r="P85" s="1791">
        <f t="shared" si="33"/>
        <v>0</v>
      </c>
      <c r="Q85" s="399"/>
      <c r="R85" s="399"/>
      <c r="S85" s="399"/>
      <c r="T85" s="399"/>
      <c r="U85" s="399"/>
      <c r="V85" s="399"/>
      <c r="W85" s="400"/>
      <c r="X85" s="400"/>
      <c r="Y85" s="400"/>
    </row>
    <row r="86" spans="1:25" x14ac:dyDescent="0.35">
      <c r="A86" s="414" t="s">
        <v>235</v>
      </c>
      <c r="B86" s="399">
        <f>IF(B93&gt;0,0,-B93)</f>
        <v>2.0706179687500001</v>
      </c>
      <c r="C86" s="399">
        <f>IF(C93&gt;0,0,-C93)</f>
        <v>15.412990898437503</v>
      </c>
      <c r="D86" s="399">
        <f t="shared" ref="D86:P86" si="34">IF(D93&gt;0,0,-D93)</f>
        <v>28.252256263671882</v>
      </c>
      <c r="E86" s="399">
        <f t="shared" si="34"/>
        <v>14.44773473505866</v>
      </c>
      <c r="F86" s="399">
        <f t="shared" si="34"/>
        <v>0</v>
      </c>
      <c r="G86" s="399">
        <f t="shared" si="34"/>
        <v>0</v>
      </c>
      <c r="H86" s="399">
        <f t="shared" si="34"/>
        <v>0</v>
      </c>
      <c r="I86" s="399">
        <f t="shared" si="34"/>
        <v>0</v>
      </c>
      <c r="J86" s="399">
        <f t="shared" si="34"/>
        <v>0</v>
      </c>
      <c r="K86" s="399">
        <f t="shared" si="34"/>
        <v>0</v>
      </c>
      <c r="L86" s="399">
        <f t="shared" si="34"/>
        <v>0</v>
      </c>
      <c r="M86" s="399">
        <f t="shared" si="34"/>
        <v>0</v>
      </c>
      <c r="N86" s="399">
        <f t="shared" si="34"/>
        <v>0</v>
      </c>
      <c r="O86" s="399">
        <f t="shared" si="34"/>
        <v>0</v>
      </c>
      <c r="P86" s="399">
        <f t="shared" si="34"/>
        <v>0</v>
      </c>
      <c r="Q86" s="399"/>
      <c r="R86" s="399"/>
      <c r="S86" s="399"/>
      <c r="T86" s="399"/>
      <c r="U86" s="399"/>
      <c r="V86" s="399"/>
      <c r="W86" s="400"/>
      <c r="X86" s="400"/>
      <c r="Y86" s="400"/>
    </row>
    <row r="87" spans="1:25" x14ac:dyDescent="0.35">
      <c r="A87" s="414" t="s">
        <v>236</v>
      </c>
      <c r="B87" s="399">
        <f>IF(B93&lt;0,0,IF(B85+B86-B93&gt;0,-B93,-B85-B86))</f>
        <v>0</v>
      </c>
      <c r="C87" s="399">
        <f t="shared" ref="C87:P87" si="35">IF(C93&lt;0,0,IF(C85+C86-C93&gt;0,-C93,-C85-C86))</f>
        <v>0</v>
      </c>
      <c r="D87" s="399">
        <f t="shared" si="35"/>
        <v>0</v>
      </c>
      <c r="E87" s="399">
        <f t="shared" si="35"/>
        <v>0</v>
      </c>
      <c r="F87" s="399">
        <f t="shared" si="35"/>
        <v>-29.020457677309409</v>
      </c>
      <c r="G87" s="399">
        <f t="shared" si="35"/>
        <v>-31.163142188608631</v>
      </c>
      <c r="H87" s="399">
        <f t="shared" si="35"/>
        <v>0</v>
      </c>
      <c r="I87" s="399">
        <f t="shared" si="35"/>
        <v>0</v>
      </c>
      <c r="J87" s="399">
        <f t="shared" si="35"/>
        <v>0</v>
      </c>
      <c r="K87" s="399">
        <f t="shared" si="35"/>
        <v>0</v>
      </c>
      <c r="L87" s="399">
        <f t="shared" si="35"/>
        <v>0</v>
      </c>
      <c r="M87" s="399">
        <f t="shared" si="35"/>
        <v>0</v>
      </c>
      <c r="N87" s="399">
        <f t="shared" si="35"/>
        <v>0</v>
      </c>
      <c r="O87" s="399">
        <f t="shared" si="35"/>
        <v>0</v>
      </c>
      <c r="P87" s="399">
        <f t="shared" si="35"/>
        <v>0</v>
      </c>
      <c r="Q87" s="399"/>
      <c r="R87" s="399"/>
      <c r="S87" s="399"/>
      <c r="T87" s="399"/>
      <c r="U87" s="399"/>
      <c r="V87" s="399"/>
      <c r="W87" s="400"/>
      <c r="X87" s="400"/>
      <c r="Y87" s="400"/>
    </row>
    <row r="88" spans="1:25" x14ac:dyDescent="0.35">
      <c r="A88" s="418" t="s">
        <v>237</v>
      </c>
      <c r="B88" s="411">
        <f>B85+B86+B87</f>
        <v>2.0706179687500001</v>
      </c>
      <c r="C88" s="411">
        <f>C85+C86+C87</f>
        <v>17.483608867187503</v>
      </c>
      <c r="D88" s="411">
        <f t="shared" ref="D88:P88" si="36">D85+D86+D87</f>
        <v>45.735865130859381</v>
      </c>
      <c r="E88" s="411">
        <f t="shared" si="36"/>
        <v>60.18359986591804</v>
      </c>
      <c r="F88" s="411">
        <f t="shared" si="36"/>
        <v>31.163142188608631</v>
      </c>
      <c r="G88" s="411">
        <f t="shared" si="36"/>
        <v>0</v>
      </c>
      <c r="H88" s="411">
        <f t="shared" si="36"/>
        <v>0</v>
      </c>
      <c r="I88" s="411">
        <f t="shared" si="36"/>
        <v>0</v>
      </c>
      <c r="J88" s="411">
        <f t="shared" si="36"/>
        <v>0</v>
      </c>
      <c r="K88" s="411">
        <f t="shared" si="36"/>
        <v>0</v>
      </c>
      <c r="L88" s="411">
        <f t="shared" si="36"/>
        <v>0</v>
      </c>
      <c r="M88" s="411">
        <f t="shared" si="36"/>
        <v>0</v>
      </c>
      <c r="N88" s="411">
        <f t="shared" si="36"/>
        <v>0</v>
      </c>
      <c r="O88" s="411">
        <f t="shared" si="36"/>
        <v>0</v>
      </c>
      <c r="P88" s="411">
        <f t="shared" si="36"/>
        <v>0</v>
      </c>
      <c r="Q88" s="399"/>
      <c r="R88" s="399"/>
      <c r="S88" s="399"/>
      <c r="T88" s="399"/>
      <c r="U88" s="399"/>
      <c r="V88" s="399"/>
      <c r="W88" s="400"/>
      <c r="X88" s="400"/>
      <c r="Y88" s="400"/>
    </row>
    <row r="89" spans="1:25" x14ac:dyDescent="0.35">
      <c r="A89" s="399"/>
      <c r="B89" s="399"/>
      <c r="C89" s="399"/>
      <c r="D89" s="399"/>
      <c r="E89" s="399"/>
      <c r="F89" s="399"/>
      <c r="G89" s="399"/>
      <c r="H89" s="399"/>
      <c r="I89" s="399"/>
      <c r="J89" s="399"/>
      <c r="K89" s="399"/>
      <c r="L89" s="399"/>
      <c r="M89" s="399"/>
      <c r="N89" s="399"/>
      <c r="O89" s="399"/>
      <c r="P89" s="399"/>
      <c r="Q89" s="399"/>
      <c r="R89" s="399"/>
      <c r="S89" s="399"/>
      <c r="T89" s="399"/>
      <c r="U89" s="399"/>
      <c r="V89" s="399"/>
      <c r="W89" s="400"/>
      <c r="X89" s="400"/>
      <c r="Y89" s="400"/>
    </row>
    <row r="90" spans="1:25" x14ac:dyDescent="0.35">
      <c r="A90" s="399" t="s">
        <v>238</v>
      </c>
      <c r="B90" s="399">
        <f t="shared" ref="B90:P90" si="37">B60</f>
        <v>-3.7152000000000003</v>
      </c>
      <c r="C90" s="399">
        <f t="shared" si="37"/>
        <v>-22.482000000000006</v>
      </c>
      <c r="D90" s="399">
        <f t="shared" si="37"/>
        <v>-2.9575800000000072</v>
      </c>
      <c r="E90" s="399">
        <f t="shared" si="37"/>
        <v>136.74811143749974</v>
      </c>
      <c r="F90" s="399">
        <f t="shared" si="37"/>
        <v>401.35129885312438</v>
      </c>
      <c r="G90" s="399">
        <f t="shared" si="37"/>
        <v>745.51788981187417</v>
      </c>
      <c r="H90" s="399">
        <f t="shared" si="37"/>
        <v>1133.5883763200554</v>
      </c>
      <c r="I90" s="399">
        <f t="shared" si="37"/>
        <v>1526.4676402363398</v>
      </c>
      <c r="J90" s="399">
        <f t="shared" si="37"/>
        <v>1802.468171339136</v>
      </c>
      <c r="K90" s="399">
        <f t="shared" si="37"/>
        <v>1965.2540576582151</v>
      </c>
      <c r="L90" s="399">
        <f t="shared" si="37"/>
        <v>2065.4455086116322</v>
      </c>
      <c r="M90" s="399">
        <f t="shared" si="37"/>
        <v>2169.8140315276833</v>
      </c>
      <c r="N90" s="399">
        <f t="shared" si="37"/>
        <v>2279.3104187593931</v>
      </c>
      <c r="O90" s="399">
        <f t="shared" si="37"/>
        <v>2389.0372076239228</v>
      </c>
      <c r="P90" s="399">
        <f t="shared" si="37"/>
        <v>2498.7561850936304</v>
      </c>
      <c r="Q90" s="399"/>
      <c r="R90" s="399"/>
      <c r="S90" s="399"/>
      <c r="T90" s="399"/>
      <c r="U90" s="399"/>
      <c r="V90" s="399"/>
      <c r="W90" s="400"/>
      <c r="X90" s="400"/>
      <c r="Y90" s="400"/>
    </row>
    <row r="91" spans="1:25" x14ac:dyDescent="0.35">
      <c r="A91" s="414" t="s">
        <v>239</v>
      </c>
      <c r="B91" s="415">
        <f t="shared" ref="B91:P91" si="38">B73</f>
        <v>4.5672718750000003</v>
      </c>
      <c r="C91" s="415">
        <f t="shared" si="38"/>
        <v>39.169963593750005</v>
      </c>
      <c r="D91" s="415">
        <f t="shared" si="38"/>
        <v>110.05144505468752</v>
      </c>
      <c r="E91" s="415">
        <f t="shared" si="38"/>
        <v>194.53905037773438</v>
      </c>
      <c r="F91" s="415">
        <f t="shared" si="38"/>
        <v>285.26946814388674</v>
      </c>
      <c r="G91" s="415">
        <f t="shared" si="38"/>
        <v>377.08960153219437</v>
      </c>
      <c r="H91" s="415">
        <f t="shared" si="38"/>
        <v>449.60251445160975</v>
      </c>
      <c r="I91" s="415">
        <f t="shared" si="38"/>
        <v>478.21599989445554</v>
      </c>
      <c r="J91" s="415">
        <f t="shared" si="38"/>
        <v>499.75140226769156</v>
      </c>
      <c r="K91" s="415">
        <f t="shared" si="38"/>
        <v>517.694824659083</v>
      </c>
      <c r="L91" s="415">
        <f t="shared" si="38"/>
        <v>535.67601208973451</v>
      </c>
      <c r="M91" s="415">
        <f t="shared" si="38"/>
        <v>553.87862545108487</v>
      </c>
      <c r="N91" s="415">
        <f t="shared" si="38"/>
        <v>570.60237836761837</v>
      </c>
      <c r="O91" s="415">
        <f t="shared" si="38"/>
        <v>587.27480740627072</v>
      </c>
      <c r="P91" s="415">
        <f t="shared" si="38"/>
        <v>603.96404078995727</v>
      </c>
      <c r="Q91" s="399"/>
      <c r="R91" s="399"/>
      <c r="S91" s="399"/>
      <c r="T91" s="399"/>
      <c r="U91" s="399"/>
      <c r="V91" s="399"/>
      <c r="W91" s="400"/>
      <c r="X91" s="400"/>
      <c r="Y91" s="400"/>
    </row>
    <row r="92" spans="1:25" x14ac:dyDescent="0.35">
      <c r="A92" s="414" t="s">
        <v>240</v>
      </c>
      <c r="B92" s="399">
        <f>B90-B91</f>
        <v>-8.2824718750000006</v>
      </c>
      <c r="C92" s="399">
        <f t="shared" ref="C92:P92" si="39">C90-C91</f>
        <v>-61.651963593750011</v>
      </c>
      <c r="D92" s="399">
        <f t="shared" si="39"/>
        <v>-113.00902505468753</v>
      </c>
      <c r="E92" s="399">
        <f t="shared" si="39"/>
        <v>-57.790938940234639</v>
      </c>
      <c r="F92" s="399">
        <f t="shared" si="39"/>
        <v>116.08183070923764</v>
      </c>
      <c r="G92" s="399">
        <f t="shared" si="39"/>
        <v>368.4282882796798</v>
      </c>
      <c r="H92" s="399">
        <f t="shared" si="39"/>
        <v>683.98586186844568</v>
      </c>
      <c r="I92" s="399">
        <f t="shared" si="39"/>
        <v>1048.2516403418842</v>
      </c>
      <c r="J92" s="399">
        <f t="shared" si="39"/>
        <v>1302.7167690714446</v>
      </c>
      <c r="K92" s="399">
        <f t="shared" si="39"/>
        <v>1447.5592329991321</v>
      </c>
      <c r="L92" s="399">
        <f t="shared" si="39"/>
        <v>1529.7694965218977</v>
      </c>
      <c r="M92" s="399">
        <f t="shared" si="39"/>
        <v>1615.9354060765984</v>
      </c>
      <c r="N92" s="399">
        <f t="shared" si="39"/>
        <v>1708.7080403917748</v>
      </c>
      <c r="O92" s="399">
        <f t="shared" si="39"/>
        <v>1801.7624002176522</v>
      </c>
      <c r="P92" s="399">
        <f t="shared" si="39"/>
        <v>1894.792144303673</v>
      </c>
      <c r="Q92" s="399"/>
      <c r="R92" s="399"/>
      <c r="S92" s="399"/>
      <c r="T92" s="399"/>
      <c r="U92" s="399"/>
      <c r="V92" s="399"/>
      <c r="W92" s="400"/>
      <c r="X92" s="400"/>
      <c r="Y92" s="400"/>
    </row>
    <row r="93" spans="1:25" x14ac:dyDescent="0.35">
      <c r="A93" s="414" t="s">
        <v>241</v>
      </c>
      <c r="B93" s="399">
        <f t="shared" ref="B93:P93" si="40">B92*$F$8</f>
        <v>-2.0706179687500001</v>
      </c>
      <c r="C93" s="399">
        <f t="shared" si="40"/>
        <v>-15.412990898437503</v>
      </c>
      <c r="D93" s="399">
        <f t="shared" si="40"/>
        <v>-28.252256263671882</v>
      </c>
      <c r="E93" s="399">
        <f t="shared" si="40"/>
        <v>-14.44773473505866</v>
      </c>
      <c r="F93" s="399">
        <f t="shared" si="40"/>
        <v>29.020457677309409</v>
      </c>
      <c r="G93" s="399">
        <f t="shared" si="40"/>
        <v>92.107072069919951</v>
      </c>
      <c r="H93" s="399">
        <f t="shared" si="40"/>
        <v>170.99646546711142</v>
      </c>
      <c r="I93" s="399">
        <f t="shared" si="40"/>
        <v>262.06291008547106</v>
      </c>
      <c r="J93" s="399">
        <f t="shared" si="40"/>
        <v>325.67919226786114</v>
      </c>
      <c r="K93" s="399">
        <f t="shared" si="40"/>
        <v>361.88980824978302</v>
      </c>
      <c r="L93" s="399">
        <f t="shared" si="40"/>
        <v>382.44237413047443</v>
      </c>
      <c r="M93" s="399">
        <f t="shared" si="40"/>
        <v>403.9838515191496</v>
      </c>
      <c r="N93" s="399">
        <f t="shared" si="40"/>
        <v>427.17701009794371</v>
      </c>
      <c r="O93" s="399">
        <f t="shared" si="40"/>
        <v>450.44060005441304</v>
      </c>
      <c r="P93" s="399">
        <f t="shared" si="40"/>
        <v>473.69803607591825</v>
      </c>
      <c r="Q93" s="399"/>
      <c r="R93" s="399"/>
      <c r="S93" s="399"/>
      <c r="T93" s="399"/>
      <c r="U93" s="399"/>
      <c r="V93" s="399"/>
      <c r="W93" s="400"/>
      <c r="X93" s="400"/>
      <c r="Y93" s="400"/>
    </row>
    <row r="94" spans="1:25" ht="15" thickBot="1" x14ac:dyDescent="0.4">
      <c r="A94" s="418" t="s">
        <v>242</v>
      </c>
      <c r="B94" s="419">
        <f>B92-B93</f>
        <v>-6.2118539062500009</v>
      </c>
      <c r="C94" s="419">
        <f t="shared" ref="C94:P94" si="41">C92-C93</f>
        <v>-46.238972695312512</v>
      </c>
      <c r="D94" s="419">
        <f t="shared" si="41"/>
        <v>-84.756768791015645</v>
      </c>
      <c r="E94" s="419">
        <f t="shared" si="41"/>
        <v>-43.343204205175979</v>
      </c>
      <c r="F94" s="419">
        <f t="shared" si="41"/>
        <v>87.061373031928227</v>
      </c>
      <c r="G94" s="419">
        <f t="shared" si="41"/>
        <v>276.32121620975988</v>
      </c>
      <c r="H94" s="419">
        <f t="shared" si="41"/>
        <v>512.98939640133426</v>
      </c>
      <c r="I94" s="419">
        <f t="shared" si="41"/>
        <v>786.18873025641324</v>
      </c>
      <c r="J94" s="419">
        <f t="shared" si="41"/>
        <v>977.03757680358342</v>
      </c>
      <c r="K94" s="419">
        <f t="shared" si="41"/>
        <v>1085.669424749349</v>
      </c>
      <c r="L94" s="419">
        <f t="shared" si="41"/>
        <v>1147.3271223914232</v>
      </c>
      <c r="M94" s="419">
        <f t="shared" si="41"/>
        <v>1211.9515545574488</v>
      </c>
      <c r="N94" s="419">
        <f t="shared" si="41"/>
        <v>1281.531030293831</v>
      </c>
      <c r="O94" s="419">
        <f t="shared" si="41"/>
        <v>1351.321800163239</v>
      </c>
      <c r="P94" s="419">
        <f t="shared" si="41"/>
        <v>1421.0941082277548</v>
      </c>
      <c r="Q94" s="399"/>
      <c r="R94" s="399"/>
      <c r="S94" s="399"/>
      <c r="T94" s="399"/>
      <c r="U94" s="399"/>
      <c r="V94" s="399"/>
      <c r="W94" s="400"/>
      <c r="X94" s="400"/>
      <c r="Y94" s="400"/>
    </row>
    <row r="95" spans="1:25" ht="15" thickTop="1" x14ac:dyDescent="0.35">
      <c r="A95" s="409" t="s">
        <v>243</v>
      </c>
      <c r="B95" s="409">
        <f>B93+B86+B87</f>
        <v>0</v>
      </c>
      <c r="C95" s="409">
        <f t="shared" ref="C95:P95" si="42">C93+C86+C87</f>
        <v>0</v>
      </c>
      <c r="D95" s="409">
        <f t="shared" si="42"/>
        <v>0</v>
      </c>
      <c r="E95" s="409">
        <f t="shared" si="42"/>
        <v>0</v>
      </c>
      <c r="F95" s="409">
        <f t="shared" si="42"/>
        <v>0</v>
      </c>
      <c r="G95" s="409">
        <f t="shared" si="42"/>
        <v>60.94392988131132</v>
      </c>
      <c r="H95" s="409">
        <f t="shared" si="42"/>
        <v>170.99646546711142</v>
      </c>
      <c r="I95" s="409">
        <f t="shared" si="42"/>
        <v>262.06291008547106</v>
      </c>
      <c r="J95" s="409">
        <f t="shared" si="42"/>
        <v>325.67919226786114</v>
      </c>
      <c r="K95" s="409">
        <f t="shared" si="42"/>
        <v>361.88980824978302</v>
      </c>
      <c r="L95" s="409">
        <f t="shared" si="42"/>
        <v>382.44237413047443</v>
      </c>
      <c r="M95" s="409">
        <f t="shared" si="42"/>
        <v>403.9838515191496</v>
      </c>
      <c r="N95" s="409">
        <f t="shared" si="42"/>
        <v>427.17701009794371</v>
      </c>
      <c r="O95" s="409">
        <f t="shared" si="42"/>
        <v>450.44060005441304</v>
      </c>
      <c r="P95" s="409">
        <f t="shared" si="42"/>
        <v>473.69803607591825</v>
      </c>
      <c r="Q95" s="409"/>
      <c r="R95" s="409"/>
      <c r="S95" s="409"/>
      <c r="T95" s="409"/>
      <c r="U95" s="409"/>
      <c r="V95" s="399"/>
      <c r="W95" s="400"/>
      <c r="X95" s="400"/>
      <c r="Y95" s="400"/>
    </row>
    <row r="96" spans="1:25" x14ac:dyDescent="0.35">
      <c r="A96" s="412" t="s">
        <v>244</v>
      </c>
      <c r="B96" s="413">
        <f>B95/B92</f>
        <v>0</v>
      </c>
      <c r="C96" s="413">
        <f t="shared" ref="C96:P96" si="43">C95/C92</f>
        <v>0</v>
      </c>
      <c r="D96" s="413">
        <f t="shared" si="43"/>
        <v>0</v>
      </c>
      <c r="E96" s="413">
        <f t="shared" si="43"/>
        <v>0</v>
      </c>
      <c r="F96" s="413">
        <f t="shared" si="43"/>
        <v>0</v>
      </c>
      <c r="G96" s="413">
        <f t="shared" si="43"/>
        <v>0.16541598954271342</v>
      </c>
      <c r="H96" s="413">
        <f t="shared" si="43"/>
        <v>0.25</v>
      </c>
      <c r="I96" s="413">
        <f t="shared" si="43"/>
        <v>0.25</v>
      </c>
      <c r="J96" s="413">
        <f t="shared" si="43"/>
        <v>0.25</v>
      </c>
      <c r="K96" s="413">
        <f t="shared" si="43"/>
        <v>0.25</v>
      </c>
      <c r="L96" s="413">
        <f t="shared" si="43"/>
        <v>0.25</v>
      </c>
      <c r="M96" s="413">
        <f t="shared" si="43"/>
        <v>0.25</v>
      </c>
      <c r="N96" s="413">
        <f t="shared" si="43"/>
        <v>0.25</v>
      </c>
      <c r="O96" s="413">
        <f t="shared" si="43"/>
        <v>0.25</v>
      </c>
      <c r="P96" s="413">
        <f t="shared" si="43"/>
        <v>0.25</v>
      </c>
      <c r="Q96" s="406"/>
      <c r="R96" s="406"/>
      <c r="S96" s="406"/>
      <c r="T96" s="406"/>
      <c r="U96" s="406"/>
      <c r="V96" s="399"/>
      <c r="W96" s="400"/>
      <c r="X96" s="400"/>
      <c r="Y96" s="400"/>
    </row>
    <row r="97" spans="1:25" x14ac:dyDescent="0.35">
      <c r="A97" s="399"/>
      <c r="B97" s="399"/>
      <c r="C97" s="399"/>
      <c r="D97" s="399"/>
      <c r="E97" s="399"/>
      <c r="F97" s="399"/>
      <c r="G97" s="399"/>
      <c r="H97" s="399"/>
      <c r="I97" s="399"/>
      <c r="J97" s="399"/>
      <c r="K97" s="399"/>
      <c r="L97" s="399"/>
      <c r="M97" s="399"/>
      <c r="N97" s="399"/>
      <c r="O97" s="399"/>
      <c r="P97" s="399"/>
      <c r="Q97" s="399"/>
      <c r="R97" s="399"/>
      <c r="S97" s="399"/>
      <c r="T97" s="399"/>
      <c r="U97" s="399"/>
      <c r="V97" s="399"/>
      <c r="W97" s="400"/>
      <c r="X97" s="400"/>
      <c r="Y97" s="400"/>
    </row>
    <row r="98" spans="1:25" x14ac:dyDescent="0.35">
      <c r="A98" s="410" t="s">
        <v>99</v>
      </c>
      <c r="B98" s="399"/>
      <c r="C98" s="399"/>
      <c r="D98" s="399"/>
      <c r="E98" s="399"/>
      <c r="F98" s="399"/>
      <c r="G98" s="401"/>
      <c r="H98" s="399"/>
      <c r="I98" s="399"/>
      <c r="J98" s="399"/>
      <c r="K98" s="399"/>
      <c r="L98" s="399"/>
      <c r="M98" s="399"/>
      <c r="N98" s="399"/>
      <c r="O98" s="399"/>
      <c r="P98" s="399"/>
      <c r="Q98" s="399"/>
      <c r="R98" s="399"/>
      <c r="S98" s="399"/>
      <c r="T98" s="399"/>
      <c r="U98" s="399"/>
      <c r="V98" s="399"/>
      <c r="W98" s="400"/>
      <c r="X98" s="400"/>
      <c r="Y98" s="400"/>
    </row>
    <row r="99" spans="1:25" x14ac:dyDescent="0.35">
      <c r="A99" s="411"/>
      <c r="B99" s="435">
        <f>+B$41</f>
        <v>2020</v>
      </c>
      <c r="C99" s="435">
        <f t="shared" ref="C99:P99" si="44">+C$41</f>
        <v>2021</v>
      </c>
      <c r="D99" s="435">
        <f t="shared" si="44"/>
        <v>2022</v>
      </c>
      <c r="E99" s="435">
        <f t="shared" si="44"/>
        <v>2023</v>
      </c>
      <c r="F99" s="435">
        <f t="shared" si="44"/>
        <v>2024</v>
      </c>
      <c r="G99" s="435">
        <f t="shared" si="44"/>
        <v>2025</v>
      </c>
      <c r="H99" s="435">
        <f t="shared" si="44"/>
        <v>2026</v>
      </c>
      <c r="I99" s="435">
        <f t="shared" si="44"/>
        <v>2027</v>
      </c>
      <c r="J99" s="435">
        <f t="shared" si="44"/>
        <v>2028</v>
      </c>
      <c r="K99" s="435">
        <f t="shared" si="44"/>
        <v>2029</v>
      </c>
      <c r="L99" s="435">
        <f t="shared" si="44"/>
        <v>2030</v>
      </c>
      <c r="M99" s="435">
        <f t="shared" si="44"/>
        <v>2031</v>
      </c>
      <c r="N99" s="435">
        <f t="shared" si="44"/>
        <v>2032</v>
      </c>
      <c r="O99" s="435">
        <f t="shared" si="44"/>
        <v>2033</v>
      </c>
      <c r="P99" s="435">
        <f t="shared" si="44"/>
        <v>2034</v>
      </c>
      <c r="Q99" s="443" t="s">
        <v>245</v>
      </c>
      <c r="R99" s="417"/>
      <c r="S99" s="417"/>
      <c r="T99" s="417"/>
      <c r="U99" s="417"/>
      <c r="V99" s="441"/>
      <c r="W99" s="400"/>
      <c r="X99" s="400"/>
      <c r="Y99" s="400"/>
    </row>
    <row r="100" spans="1:25" x14ac:dyDescent="0.35">
      <c r="A100" s="1791" t="s">
        <v>238</v>
      </c>
      <c r="B100" s="1791">
        <f t="shared" ref="B100:P100" si="45">B60</f>
        <v>-3.7152000000000003</v>
      </c>
      <c r="C100" s="1791">
        <f t="shared" si="45"/>
        <v>-22.482000000000006</v>
      </c>
      <c r="D100" s="1791">
        <f t="shared" si="45"/>
        <v>-2.9575800000000072</v>
      </c>
      <c r="E100" s="1791">
        <f t="shared" si="45"/>
        <v>136.74811143749974</v>
      </c>
      <c r="F100" s="1791">
        <f t="shared" si="45"/>
        <v>401.35129885312438</v>
      </c>
      <c r="G100" s="1791">
        <f t="shared" si="45"/>
        <v>745.51788981187417</v>
      </c>
      <c r="H100" s="1791">
        <f t="shared" si="45"/>
        <v>1133.5883763200554</v>
      </c>
      <c r="I100" s="1791">
        <f t="shared" si="45"/>
        <v>1526.4676402363398</v>
      </c>
      <c r="J100" s="1791">
        <f t="shared" si="45"/>
        <v>1802.468171339136</v>
      </c>
      <c r="K100" s="1791">
        <f t="shared" si="45"/>
        <v>1965.2540576582151</v>
      </c>
      <c r="L100" s="1791">
        <f t="shared" si="45"/>
        <v>2065.4455086116322</v>
      </c>
      <c r="M100" s="1791">
        <f t="shared" si="45"/>
        <v>2169.8140315276833</v>
      </c>
      <c r="N100" s="1791">
        <f t="shared" si="45"/>
        <v>2279.3104187593931</v>
      </c>
      <c r="O100" s="1791">
        <f t="shared" si="45"/>
        <v>2389.0372076239228</v>
      </c>
      <c r="P100" s="1791">
        <f t="shared" si="45"/>
        <v>2498.7561850936304</v>
      </c>
      <c r="Q100" s="399"/>
      <c r="R100" s="399"/>
      <c r="S100" s="399"/>
      <c r="T100" s="399"/>
      <c r="U100" s="399"/>
      <c r="V100" s="399"/>
      <c r="W100" s="400"/>
      <c r="X100" s="400"/>
      <c r="Y100" s="400"/>
    </row>
    <row r="101" spans="1:25" x14ac:dyDescent="0.35">
      <c r="A101" s="414" t="s">
        <v>246</v>
      </c>
      <c r="B101" s="399">
        <f t="shared" ref="B101:P101" si="46">B69</f>
        <v>91.345437500000003</v>
      </c>
      <c r="C101" s="399">
        <f t="shared" si="46"/>
        <v>687.4865625000001</v>
      </c>
      <c r="D101" s="399">
        <f t="shared" si="46"/>
        <v>1383.0269375</v>
      </c>
      <c r="E101" s="399">
        <f t="shared" si="46"/>
        <v>1618.870625</v>
      </c>
      <c r="F101" s="399">
        <f t="shared" si="46"/>
        <v>1730.12075</v>
      </c>
      <c r="G101" s="399">
        <f t="shared" si="46"/>
        <v>1745.6722499999998</v>
      </c>
      <c r="H101" s="399">
        <f t="shared" si="46"/>
        <v>1358.4381250000001</v>
      </c>
      <c r="I101" s="399">
        <f t="shared" si="46"/>
        <v>499.7567959375001</v>
      </c>
      <c r="J101" s="399">
        <f t="shared" si="46"/>
        <v>402.09456202187494</v>
      </c>
      <c r="K101" s="399">
        <f t="shared" si="46"/>
        <v>337.33304545459373</v>
      </c>
      <c r="L101" s="399">
        <f t="shared" si="46"/>
        <v>341.68032622163975</v>
      </c>
      <c r="M101" s="399">
        <f t="shared" si="46"/>
        <v>346.07107979635589</v>
      </c>
      <c r="N101" s="399">
        <f t="shared" si="46"/>
        <v>316.27244496932013</v>
      </c>
      <c r="O101" s="399">
        <f t="shared" si="46"/>
        <v>316.72482785651255</v>
      </c>
      <c r="P101" s="399">
        <f t="shared" si="46"/>
        <v>317.11223863507769</v>
      </c>
      <c r="Q101" s="399"/>
      <c r="R101" s="399"/>
      <c r="S101" s="399"/>
      <c r="T101" s="399"/>
      <c r="U101" s="399"/>
      <c r="V101" s="399"/>
      <c r="W101" s="400"/>
      <c r="X101" s="400"/>
      <c r="Y101" s="400"/>
    </row>
    <row r="102" spans="1:25" x14ac:dyDescent="0.35">
      <c r="A102" s="414" t="s">
        <v>247</v>
      </c>
      <c r="B102" s="399">
        <f t="shared" ref="B102:P102" si="47">B95</f>
        <v>0</v>
      </c>
      <c r="C102" s="399">
        <f t="shared" si="47"/>
        <v>0</v>
      </c>
      <c r="D102" s="399">
        <f t="shared" si="47"/>
        <v>0</v>
      </c>
      <c r="E102" s="399">
        <f t="shared" si="47"/>
        <v>0</v>
      </c>
      <c r="F102" s="399">
        <f t="shared" si="47"/>
        <v>0</v>
      </c>
      <c r="G102" s="399">
        <f t="shared" si="47"/>
        <v>60.94392988131132</v>
      </c>
      <c r="H102" s="399">
        <f t="shared" si="47"/>
        <v>170.99646546711142</v>
      </c>
      <c r="I102" s="399">
        <f t="shared" si="47"/>
        <v>262.06291008547106</v>
      </c>
      <c r="J102" s="399">
        <f t="shared" si="47"/>
        <v>325.67919226786114</v>
      </c>
      <c r="K102" s="399">
        <f t="shared" si="47"/>
        <v>361.88980824978302</v>
      </c>
      <c r="L102" s="399">
        <f t="shared" si="47"/>
        <v>382.44237413047443</v>
      </c>
      <c r="M102" s="399">
        <f t="shared" si="47"/>
        <v>403.9838515191496</v>
      </c>
      <c r="N102" s="399">
        <f t="shared" si="47"/>
        <v>427.17701009794371</v>
      </c>
      <c r="O102" s="399">
        <f t="shared" si="47"/>
        <v>450.44060005441304</v>
      </c>
      <c r="P102" s="399">
        <f t="shared" si="47"/>
        <v>473.69803607591825</v>
      </c>
      <c r="Q102" s="399"/>
      <c r="R102" s="399"/>
      <c r="S102" s="399"/>
      <c r="T102" s="399"/>
      <c r="U102" s="399"/>
      <c r="V102" s="399"/>
      <c r="W102" s="400"/>
      <c r="X102" s="400"/>
      <c r="Y102" s="400"/>
    </row>
    <row r="103" spans="1:25" ht="15" thickBot="1" x14ac:dyDescent="0.4">
      <c r="A103" s="418" t="s">
        <v>248</v>
      </c>
      <c r="B103" s="419">
        <f>B100-B101-B102</f>
        <v>-95.060637499999999</v>
      </c>
      <c r="C103" s="419">
        <f t="shared" ref="C103:P103" si="48">C100-C101-C102</f>
        <v>-709.96856250000008</v>
      </c>
      <c r="D103" s="419">
        <f t="shared" si="48"/>
        <v>-1385.9845175</v>
      </c>
      <c r="E103" s="419">
        <f t="shared" si="48"/>
        <v>-1482.1225135625002</v>
      </c>
      <c r="F103" s="419">
        <f t="shared" si="48"/>
        <v>-1328.7694511468758</v>
      </c>
      <c r="G103" s="419">
        <f t="shared" si="48"/>
        <v>-1061.0982900694371</v>
      </c>
      <c r="H103" s="419">
        <f t="shared" si="48"/>
        <v>-395.84621414705612</v>
      </c>
      <c r="I103" s="419">
        <f t="shared" si="48"/>
        <v>764.64793421336867</v>
      </c>
      <c r="J103" s="419">
        <f t="shared" si="48"/>
        <v>1074.6944170493998</v>
      </c>
      <c r="K103" s="419">
        <f t="shared" si="48"/>
        <v>1266.0312039538383</v>
      </c>
      <c r="L103" s="419">
        <f t="shared" si="48"/>
        <v>1341.3228082595181</v>
      </c>
      <c r="M103" s="419">
        <f t="shared" si="48"/>
        <v>1419.7591002121778</v>
      </c>
      <c r="N103" s="419">
        <f t="shared" si="48"/>
        <v>1535.8609636921292</v>
      </c>
      <c r="O103" s="419">
        <f t="shared" si="48"/>
        <v>1621.8717797129971</v>
      </c>
      <c r="P103" s="419">
        <f t="shared" si="48"/>
        <v>1707.9459103826346</v>
      </c>
      <c r="Q103" s="444">
        <f>+P103*$F$9</f>
        <v>17079.459103826346</v>
      </c>
      <c r="R103" s="417"/>
      <c r="S103" s="417"/>
      <c r="T103" s="417"/>
      <c r="U103" s="417"/>
      <c r="V103" s="442"/>
      <c r="W103" s="400"/>
      <c r="X103" s="400"/>
      <c r="Y103" s="400"/>
    </row>
    <row r="104" spans="1:25" ht="15" thickTop="1" x14ac:dyDescent="0.35">
      <c r="A104" s="409" t="s">
        <v>45</v>
      </c>
      <c r="B104" s="406">
        <f t="shared" ref="B104:P104" si="49">B103/B56</f>
        <v>-20.469560185185184</v>
      </c>
      <c r="C104" s="406">
        <f t="shared" si="49"/>
        <v>-14.315729499370892</v>
      </c>
      <c r="D104" s="406">
        <f t="shared" si="49"/>
        <v>-6.8468693772668159</v>
      </c>
      <c r="E104" s="406">
        <f t="shared" si="49"/>
        <v>-2.9302140402754047</v>
      </c>
      <c r="F104" s="406">
        <f t="shared" si="49"/>
        <v>-1.4148631691827325</v>
      </c>
      <c r="G104" s="406">
        <f t="shared" si="49"/>
        <v>-0.73641913008583926</v>
      </c>
      <c r="H104" s="406">
        <f t="shared" si="49"/>
        <v>-0.20345869148518742</v>
      </c>
      <c r="I104" s="406">
        <f t="shared" si="49"/>
        <v>0.32282832209389756</v>
      </c>
      <c r="J104" s="406">
        <f t="shared" si="49"/>
        <v>0.40529808189601929</v>
      </c>
      <c r="K104" s="406">
        <f t="shared" si="49"/>
        <v>0.45011756055707625</v>
      </c>
      <c r="L104" s="406">
        <f t="shared" si="49"/>
        <v>0.45854341111088331</v>
      </c>
      <c r="M104" s="406">
        <f t="shared" si="49"/>
        <v>0.46671960051930217</v>
      </c>
      <c r="N104" s="406">
        <f t="shared" si="49"/>
        <v>0.48588901489183561</v>
      </c>
      <c r="O104" s="406">
        <f t="shared" si="49"/>
        <v>0.49454096414553095</v>
      </c>
      <c r="P104" s="406">
        <f t="shared" si="49"/>
        <v>0.50268991735256785</v>
      </c>
      <c r="Q104" s="406"/>
      <c r="R104" s="406"/>
      <c r="S104" s="406"/>
      <c r="T104" s="406"/>
      <c r="U104" s="406"/>
      <c r="V104" s="399"/>
      <c r="W104" s="400"/>
      <c r="X104" s="400"/>
      <c r="Y104" s="400"/>
    </row>
    <row r="105" spans="1:25" x14ac:dyDescent="0.35">
      <c r="A105" s="412" t="s">
        <v>219</v>
      </c>
      <c r="B105" s="415"/>
      <c r="C105" s="413">
        <f>IFERROR(C103/B103-1,"")</f>
        <v>6.4685861695383657</v>
      </c>
      <c r="D105" s="413">
        <f t="shared" ref="D105:P105" si="50">IFERROR(D103/C103-1,"")</f>
        <v>0.95217730855512328</v>
      </c>
      <c r="E105" s="413">
        <f t="shared" si="50"/>
        <v>6.9364408367209807E-2</v>
      </c>
      <c r="F105" s="413">
        <f t="shared" si="50"/>
        <v>-0.10346854663655147</v>
      </c>
      <c r="G105" s="413">
        <f t="shared" si="50"/>
        <v>-0.20144289202796517</v>
      </c>
      <c r="H105" s="413">
        <f t="shared" si="50"/>
        <v>-0.62694670432354349</v>
      </c>
      <c r="I105" s="413">
        <f t="shared" si="50"/>
        <v>-2.9316792908098988</v>
      </c>
      <c r="J105" s="413">
        <f t="shared" si="50"/>
        <v>0.40547612693806778</v>
      </c>
      <c r="K105" s="413">
        <f t="shared" si="50"/>
        <v>0.17803831849220764</v>
      </c>
      <c r="L105" s="413">
        <f t="shared" si="50"/>
        <v>5.9470575504413148E-2</v>
      </c>
      <c r="M105" s="413">
        <f t="shared" si="50"/>
        <v>5.847681965121998E-2</v>
      </c>
      <c r="N105" s="413">
        <f t="shared" si="50"/>
        <v>8.1775748760899214E-2</v>
      </c>
      <c r="O105" s="413">
        <f t="shared" si="50"/>
        <v>5.6001694198999807E-2</v>
      </c>
      <c r="P105" s="413">
        <f t="shared" si="50"/>
        <v>5.3070860314783364E-2</v>
      </c>
      <c r="Q105" s="413"/>
      <c r="R105" s="406"/>
      <c r="S105" s="406"/>
      <c r="T105" s="406"/>
      <c r="U105" s="406"/>
      <c r="V105" s="399"/>
      <c r="W105" s="400"/>
      <c r="X105" s="400"/>
      <c r="Y105" s="400"/>
    </row>
    <row r="106" spans="1:25" x14ac:dyDescent="0.35">
      <c r="A106" s="409"/>
      <c r="B106" s="401"/>
      <c r="C106" s="399"/>
      <c r="D106" s="399"/>
      <c r="E106" s="399"/>
      <c r="F106" s="399"/>
      <c r="G106" s="399"/>
      <c r="H106" s="399"/>
      <c r="I106" s="399"/>
      <c r="J106" s="399"/>
      <c r="K106" s="399"/>
      <c r="L106" s="399"/>
      <c r="M106" s="399"/>
      <c r="N106" s="399"/>
      <c r="O106" s="399"/>
      <c r="P106" s="399"/>
      <c r="Q106" s="399"/>
      <c r="R106" s="399"/>
      <c r="S106" s="399"/>
      <c r="T106" s="399"/>
      <c r="U106" s="399"/>
      <c r="W106" s="400"/>
      <c r="X106" s="400"/>
      <c r="Y106" s="400"/>
    </row>
    <row r="107" spans="1:25" x14ac:dyDescent="0.35">
      <c r="A107" s="410" t="s">
        <v>249</v>
      </c>
      <c r="B107" s="399"/>
      <c r="C107" s="399"/>
      <c r="D107" s="399"/>
      <c r="E107" s="399"/>
      <c r="F107" s="399"/>
      <c r="G107" s="399"/>
      <c r="H107" s="399"/>
      <c r="I107" s="399"/>
      <c r="J107" s="399"/>
      <c r="K107" s="399"/>
      <c r="L107" s="399"/>
      <c r="M107" s="399"/>
      <c r="N107" s="399"/>
      <c r="O107" s="399"/>
      <c r="P107" s="399"/>
      <c r="Q107" s="399"/>
      <c r="R107" s="399"/>
      <c r="S107" s="399"/>
      <c r="T107" s="399"/>
      <c r="U107" s="399"/>
      <c r="V107" s="399"/>
      <c r="W107" s="400"/>
      <c r="X107" s="400"/>
      <c r="Y107" s="400"/>
    </row>
    <row r="108" spans="1:25" x14ac:dyDescent="0.35">
      <c r="A108" s="411"/>
      <c r="B108" s="435">
        <f>+B$41</f>
        <v>2020</v>
      </c>
      <c r="C108" s="435">
        <f t="shared" ref="C108:P108" si="51">+C$41</f>
        <v>2021</v>
      </c>
      <c r="D108" s="435">
        <f t="shared" si="51"/>
        <v>2022</v>
      </c>
      <c r="E108" s="435">
        <f t="shared" si="51"/>
        <v>2023</v>
      </c>
      <c r="F108" s="435">
        <f t="shared" si="51"/>
        <v>2024</v>
      </c>
      <c r="G108" s="435">
        <f t="shared" si="51"/>
        <v>2025</v>
      </c>
      <c r="H108" s="435">
        <f t="shared" si="51"/>
        <v>2026</v>
      </c>
      <c r="I108" s="435">
        <f t="shared" si="51"/>
        <v>2027</v>
      </c>
      <c r="J108" s="435">
        <f t="shared" si="51"/>
        <v>2028</v>
      </c>
      <c r="K108" s="435">
        <f t="shared" si="51"/>
        <v>2029</v>
      </c>
      <c r="L108" s="435">
        <f t="shared" si="51"/>
        <v>2030</v>
      </c>
      <c r="M108" s="435">
        <f t="shared" si="51"/>
        <v>2031</v>
      </c>
      <c r="N108" s="435">
        <f t="shared" si="51"/>
        <v>2032</v>
      </c>
      <c r="O108" s="435">
        <f t="shared" si="51"/>
        <v>2033</v>
      </c>
      <c r="P108" s="435">
        <f t="shared" si="51"/>
        <v>2034</v>
      </c>
      <c r="Q108" s="417"/>
      <c r="R108" s="417"/>
      <c r="S108" s="417"/>
      <c r="T108" s="417"/>
      <c r="U108" s="417"/>
      <c r="V108" s="399"/>
      <c r="W108" s="400"/>
      <c r="X108" s="400"/>
      <c r="Y108" s="400"/>
    </row>
    <row r="109" spans="1:25" x14ac:dyDescent="0.35">
      <c r="A109" s="1791" t="s">
        <v>199</v>
      </c>
      <c r="B109" s="1791">
        <f t="shared" ref="B109:P109" si="52">B103</f>
        <v>-95.060637499999999</v>
      </c>
      <c r="C109" s="1791">
        <f t="shared" si="52"/>
        <v>-709.96856250000008</v>
      </c>
      <c r="D109" s="1791">
        <f t="shared" si="52"/>
        <v>-1385.9845175</v>
      </c>
      <c r="E109" s="1791">
        <f t="shared" si="52"/>
        <v>-1482.1225135625002</v>
      </c>
      <c r="F109" s="1791">
        <f t="shared" si="52"/>
        <v>-1328.7694511468758</v>
      </c>
      <c r="G109" s="1791">
        <f t="shared" si="52"/>
        <v>-1061.0982900694371</v>
      </c>
      <c r="H109" s="1791">
        <f t="shared" si="52"/>
        <v>-395.84621414705612</v>
      </c>
      <c r="I109" s="1791">
        <f t="shared" si="52"/>
        <v>764.64793421336867</v>
      </c>
      <c r="J109" s="1791">
        <f t="shared" si="52"/>
        <v>1074.6944170493998</v>
      </c>
      <c r="K109" s="1791">
        <f t="shared" si="52"/>
        <v>1266.0312039538383</v>
      </c>
      <c r="L109" s="1791">
        <f t="shared" si="52"/>
        <v>1341.3228082595181</v>
      </c>
      <c r="M109" s="1791">
        <f t="shared" si="52"/>
        <v>1419.7591002121778</v>
      </c>
      <c r="N109" s="1791">
        <f t="shared" si="52"/>
        <v>1535.8609636921292</v>
      </c>
      <c r="O109" s="1791">
        <f t="shared" si="52"/>
        <v>1621.8717797129971</v>
      </c>
      <c r="P109" s="1791">
        <f t="shared" si="52"/>
        <v>1707.9459103826346</v>
      </c>
      <c r="Q109" s="399"/>
      <c r="R109" s="399"/>
      <c r="S109" s="399"/>
      <c r="T109" s="399"/>
      <c r="U109" s="399"/>
      <c r="W109" s="400"/>
      <c r="X109" s="400"/>
      <c r="Y109" s="400"/>
    </row>
    <row r="110" spans="1:25" x14ac:dyDescent="0.35">
      <c r="A110" s="399" t="s">
        <v>250</v>
      </c>
      <c r="B110" s="405">
        <f t="shared" ref="B110:P110" si="53">(1+$F$6)^(B108-2019)</f>
        <v>1.07</v>
      </c>
      <c r="C110" s="405">
        <f t="shared" si="53"/>
        <v>1.1449</v>
      </c>
      <c r="D110" s="405">
        <f t="shared" si="53"/>
        <v>1.2250430000000001</v>
      </c>
      <c r="E110" s="405">
        <f t="shared" si="53"/>
        <v>1.31079601</v>
      </c>
      <c r="F110" s="405">
        <f t="shared" si="53"/>
        <v>1.4025517307000002</v>
      </c>
      <c r="G110" s="405">
        <f t="shared" si="53"/>
        <v>1.5007303518490001</v>
      </c>
      <c r="H110" s="405">
        <f t="shared" si="53"/>
        <v>1.6057814764784302</v>
      </c>
      <c r="I110" s="405">
        <f t="shared" si="53"/>
        <v>1.7181861798319202</v>
      </c>
      <c r="J110" s="405">
        <f t="shared" si="53"/>
        <v>1.8384592124201549</v>
      </c>
      <c r="K110" s="405">
        <f t="shared" si="53"/>
        <v>1.9671513572895656</v>
      </c>
      <c r="L110" s="405">
        <f t="shared" si="53"/>
        <v>2.1048519522998355</v>
      </c>
      <c r="M110" s="405">
        <f t="shared" si="53"/>
        <v>2.2521915889608235</v>
      </c>
      <c r="N110" s="405">
        <f t="shared" si="53"/>
        <v>2.4098450001880813</v>
      </c>
      <c r="O110" s="405">
        <f t="shared" si="53"/>
        <v>2.5785341502012469</v>
      </c>
      <c r="P110" s="405">
        <f t="shared" si="53"/>
        <v>2.7590315407153345</v>
      </c>
      <c r="Q110" s="405"/>
      <c r="R110" s="405"/>
      <c r="S110" s="405"/>
      <c r="T110" s="405"/>
      <c r="U110" s="405"/>
      <c r="V110" s="399"/>
      <c r="W110" s="400"/>
      <c r="X110" s="400"/>
      <c r="Y110" s="400"/>
    </row>
    <row r="111" spans="1:25" x14ac:dyDescent="0.35">
      <c r="A111" s="417" t="s">
        <v>251</v>
      </c>
      <c r="B111" s="1792">
        <f>B109/B110</f>
        <v>-88.841717289719625</v>
      </c>
      <c r="C111" s="1792">
        <f t="shared" ref="C111:P111" si="54">C109/C110</f>
        <v>-620.11403834396026</v>
      </c>
      <c r="D111" s="1792">
        <f t="shared" si="54"/>
        <v>-1131.3762190388418</v>
      </c>
      <c r="E111" s="1792">
        <f t="shared" si="54"/>
        <v>-1130.7041692646746</v>
      </c>
      <c r="F111" s="1792">
        <f t="shared" si="54"/>
        <v>-947.39425438782189</v>
      </c>
      <c r="G111" s="1792">
        <f t="shared" si="54"/>
        <v>-707.05459429276755</v>
      </c>
      <c r="H111" s="1792">
        <f t="shared" si="54"/>
        <v>-246.51312768607178</v>
      </c>
      <c r="I111" s="1792">
        <f t="shared" si="54"/>
        <v>445.03205949902912</v>
      </c>
      <c r="J111" s="1792">
        <f t="shared" si="54"/>
        <v>584.56255639996925</v>
      </c>
      <c r="K111" s="1792">
        <f t="shared" si="54"/>
        <v>643.58606635039826</v>
      </c>
      <c r="L111" s="1792">
        <f t="shared" si="54"/>
        <v>637.25280383446511</v>
      </c>
      <c r="M111" s="1792">
        <f t="shared" si="54"/>
        <v>630.39001973507254</v>
      </c>
      <c r="N111" s="1792">
        <f t="shared" si="54"/>
        <v>637.32769683206175</v>
      </c>
      <c r="O111" s="1792">
        <f t="shared" si="54"/>
        <v>628.9898388921531</v>
      </c>
      <c r="P111" s="1792">
        <f t="shared" si="54"/>
        <v>619.03819698263226</v>
      </c>
      <c r="Q111" s="399"/>
      <c r="R111" s="399"/>
      <c r="S111" s="399"/>
      <c r="T111" s="399"/>
      <c r="U111" s="399"/>
      <c r="V111" s="399"/>
      <c r="W111" s="400"/>
      <c r="X111" s="400"/>
      <c r="Y111" s="400"/>
    </row>
    <row r="112" spans="1:25" x14ac:dyDescent="0.35">
      <c r="A112" s="399"/>
      <c r="B112" s="399"/>
      <c r="C112" s="399"/>
      <c r="D112" s="399"/>
      <c r="E112" s="399"/>
      <c r="F112" s="399"/>
      <c r="G112" s="399"/>
      <c r="H112" s="399"/>
      <c r="I112" s="399"/>
      <c r="J112" s="399"/>
      <c r="K112" s="399"/>
      <c r="L112" s="399"/>
      <c r="M112" s="399"/>
      <c r="N112" s="399"/>
      <c r="O112" s="399"/>
      <c r="P112" s="399"/>
      <c r="Q112" s="399"/>
      <c r="R112" s="399"/>
      <c r="S112" s="399"/>
      <c r="T112" s="399"/>
      <c r="U112" s="399"/>
      <c r="V112" s="399"/>
      <c r="W112" s="400"/>
      <c r="X112" s="400"/>
      <c r="Y112" s="400"/>
    </row>
    <row r="113" spans="1:25" x14ac:dyDescent="0.35">
      <c r="A113" s="399" t="s">
        <v>252</v>
      </c>
      <c r="B113" s="399">
        <f>+P109</f>
        <v>1707.9459103826346</v>
      </c>
      <c r="C113" s="399"/>
      <c r="D113" s="399"/>
      <c r="E113" s="399"/>
      <c r="F113" s="399"/>
      <c r="G113" s="399"/>
      <c r="H113" s="399"/>
      <c r="I113" s="399"/>
      <c r="J113" s="399"/>
      <c r="K113" s="399"/>
      <c r="L113" s="399"/>
      <c r="M113" s="399"/>
      <c r="N113" s="399"/>
      <c r="O113" s="399"/>
      <c r="P113" s="399"/>
      <c r="Q113" s="399"/>
      <c r="R113" s="399"/>
      <c r="S113" s="399"/>
      <c r="T113" s="399"/>
      <c r="U113" s="399"/>
      <c r="V113" s="399"/>
      <c r="W113" s="400"/>
      <c r="X113" s="400"/>
      <c r="Y113" s="400"/>
    </row>
    <row r="114" spans="1:25" x14ac:dyDescent="0.35">
      <c r="A114" s="414" t="s">
        <v>253</v>
      </c>
      <c r="B114" s="420">
        <f>F6-F7</f>
        <v>3.5000000000000003E-2</v>
      </c>
      <c r="C114" s="399"/>
      <c r="D114" s="399"/>
      <c r="E114" s="399"/>
      <c r="F114" s="399"/>
      <c r="G114" s="399"/>
      <c r="H114" s="399"/>
      <c r="I114" s="399"/>
      <c r="J114" s="399"/>
      <c r="K114" s="399"/>
      <c r="L114" s="399"/>
      <c r="M114" s="399"/>
      <c r="N114" s="399"/>
      <c r="O114" s="399"/>
      <c r="P114" s="399"/>
      <c r="Q114" s="399"/>
      <c r="R114" s="399"/>
      <c r="S114" s="399"/>
      <c r="T114" s="399"/>
      <c r="U114" s="399"/>
      <c r="V114" s="399"/>
      <c r="W114" s="400"/>
      <c r="X114" s="400"/>
      <c r="Y114" s="400"/>
    </row>
    <row r="115" spans="1:25" x14ac:dyDescent="0.35">
      <c r="A115" s="418" t="s">
        <v>254</v>
      </c>
      <c r="B115" s="417">
        <f>B113/B114</f>
        <v>48798.454582360981</v>
      </c>
      <c r="C115" s="399"/>
      <c r="D115" s="399"/>
      <c r="E115" s="399"/>
      <c r="F115" s="399"/>
      <c r="G115" s="399"/>
      <c r="H115" s="399"/>
      <c r="I115" s="399"/>
      <c r="J115" s="399"/>
      <c r="K115" s="399"/>
      <c r="L115" s="399"/>
      <c r="M115" s="399"/>
      <c r="N115" s="399"/>
      <c r="O115" s="399"/>
      <c r="P115" s="399"/>
      <c r="Q115" s="399"/>
      <c r="R115" s="399"/>
      <c r="S115" s="399"/>
      <c r="T115" s="399"/>
      <c r="U115" s="399"/>
      <c r="V115" s="399"/>
      <c r="W115" s="400"/>
      <c r="X115" s="400"/>
      <c r="Y115" s="400"/>
    </row>
    <row r="116" spans="1:25" x14ac:dyDescent="0.35">
      <c r="A116" s="414" t="s">
        <v>255</v>
      </c>
      <c r="B116" s="445">
        <f>P110</f>
        <v>2.7590315407153345</v>
      </c>
      <c r="C116" s="399"/>
      <c r="D116" s="399"/>
      <c r="E116" s="399"/>
      <c r="F116" s="399"/>
      <c r="G116" s="399"/>
      <c r="H116" s="399"/>
      <c r="I116" s="399"/>
      <c r="J116" s="399"/>
      <c r="K116" s="399"/>
      <c r="L116" s="399"/>
      <c r="M116" s="399"/>
      <c r="N116" s="399"/>
      <c r="O116" s="399"/>
      <c r="P116" s="399"/>
      <c r="Q116" s="399"/>
      <c r="R116" s="399"/>
      <c r="S116" s="399"/>
      <c r="T116" s="399"/>
      <c r="U116" s="399"/>
      <c r="V116" s="399"/>
      <c r="W116" s="400"/>
      <c r="X116" s="400"/>
      <c r="Y116" s="400"/>
    </row>
    <row r="117" spans="1:25" x14ac:dyDescent="0.35">
      <c r="A117" s="418" t="s">
        <v>256</v>
      </c>
      <c r="B117" s="417">
        <f>B115/B116</f>
        <v>17686.805628075203</v>
      </c>
      <c r="C117" s="399"/>
      <c r="D117" s="399"/>
      <c r="E117" s="399"/>
      <c r="F117" s="399"/>
      <c r="G117" s="399"/>
      <c r="H117" s="399"/>
      <c r="I117" s="399"/>
      <c r="J117" s="399"/>
      <c r="K117" s="399"/>
      <c r="L117" s="399"/>
      <c r="M117" s="399"/>
      <c r="N117" s="399"/>
      <c r="O117" s="399"/>
      <c r="P117" s="399"/>
      <c r="Q117" s="399"/>
      <c r="R117" s="399"/>
      <c r="S117" s="399"/>
      <c r="T117" s="399"/>
      <c r="U117" s="399"/>
      <c r="V117" s="399"/>
      <c r="W117" s="400"/>
      <c r="X117" s="400"/>
      <c r="Y117" s="400"/>
    </row>
    <row r="118" spans="1:25" x14ac:dyDescent="0.35">
      <c r="A118" s="414" t="s">
        <v>257</v>
      </c>
      <c r="B118" s="415">
        <f>SUM(B111:P111)</f>
        <v>-45.818881778076388</v>
      </c>
      <c r="C118" s="399"/>
      <c r="D118" s="399"/>
      <c r="E118" s="399"/>
      <c r="F118" s="399"/>
      <c r="G118" s="399"/>
      <c r="H118" s="399"/>
      <c r="I118" s="399"/>
      <c r="J118" s="399"/>
      <c r="K118" s="399"/>
      <c r="L118" s="399"/>
      <c r="M118" s="399"/>
      <c r="N118" s="399"/>
      <c r="O118" s="399"/>
      <c r="P118" s="399"/>
      <c r="Q118" s="399"/>
      <c r="R118" s="399"/>
      <c r="S118" s="399"/>
      <c r="T118" s="399"/>
      <c r="U118" s="399"/>
      <c r="V118" s="399"/>
      <c r="W118" s="400"/>
      <c r="X118" s="400"/>
      <c r="Y118" s="400"/>
    </row>
    <row r="119" spans="1:25" x14ac:dyDescent="0.35">
      <c r="A119" s="418" t="s">
        <v>258</v>
      </c>
      <c r="B119" s="417">
        <f>B117+B118</f>
        <v>17640.986746297127</v>
      </c>
      <c r="C119" s="399"/>
      <c r="D119" s="399"/>
      <c r="E119" s="399"/>
      <c r="F119" s="399"/>
      <c r="G119" s="399"/>
      <c r="H119" s="399"/>
      <c r="I119" s="399"/>
      <c r="J119" s="399"/>
      <c r="K119" s="399"/>
      <c r="L119" s="399"/>
      <c r="M119" s="399"/>
      <c r="N119" s="399"/>
      <c r="O119" s="399"/>
      <c r="P119" s="399"/>
      <c r="Q119" s="399"/>
      <c r="R119" s="399"/>
      <c r="S119" s="399"/>
      <c r="T119" s="399"/>
      <c r="U119" s="399"/>
      <c r="V119" s="399"/>
      <c r="W119" s="400"/>
      <c r="X119" s="400"/>
      <c r="Y119" s="400"/>
    </row>
    <row r="120" spans="1:25" x14ac:dyDescent="0.35">
      <c r="A120" s="414" t="s">
        <v>259</v>
      </c>
      <c r="B120" s="446">
        <f>+Valuation!B7</f>
        <v>260</v>
      </c>
      <c r="C120" s="399"/>
      <c r="D120" s="399"/>
      <c r="E120" s="399"/>
      <c r="F120" s="399"/>
      <c r="G120" s="399"/>
      <c r="H120" s="399"/>
      <c r="I120" s="399"/>
      <c r="J120" s="399"/>
      <c r="K120" s="399"/>
      <c r="L120" s="399"/>
      <c r="M120" s="399"/>
      <c r="N120" s="399"/>
      <c r="O120" s="399"/>
      <c r="P120" s="399"/>
      <c r="Q120" s="399"/>
      <c r="R120" s="399"/>
      <c r="S120" s="399"/>
      <c r="T120" s="399"/>
      <c r="U120" s="399"/>
      <c r="V120" s="399"/>
      <c r="W120" s="400"/>
      <c r="X120" s="400"/>
      <c r="Y120" s="400"/>
    </row>
    <row r="121" spans="1:25" ht="15" thickBot="1" x14ac:dyDescent="0.4">
      <c r="A121" s="418" t="s">
        <v>260</v>
      </c>
      <c r="B121" s="421">
        <f>B119/B120</f>
        <v>67.849949024219725</v>
      </c>
      <c r="C121" s="399"/>
      <c r="D121" s="399"/>
      <c r="E121" s="399"/>
      <c r="F121" s="399"/>
      <c r="G121" s="399"/>
      <c r="H121" s="399"/>
      <c r="I121" s="399"/>
      <c r="J121" s="399"/>
      <c r="K121" s="399"/>
      <c r="L121" s="399"/>
      <c r="M121" s="399"/>
      <c r="N121" s="399"/>
      <c r="O121" s="399"/>
      <c r="P121" s="399"/>
      <c r="Q121" s="399"/>
      <c r="R121" s="399"/>
      <c r="S121" s="399"/>
      <c r="T121" s="399"/>
      <c r="U121" s="399"/>
      <c r="V121" s="399"/>
      <c r="W121" s="400"/>
      <c r="X121" s="400"/>
      <c r="Y121" s="400"/>
    </row>
    <row r="122" spans="1:25" ht="15" thickTop="1" x14ac:dyDescent="0.35">
      <c r="A122" s="409" t="s">
        <v>261</v>
      </c>
      <c r="B122" s="406">
        <f>B121/B123</f>
        <v>1.8963093634494053</v>
      </c>
      <c r="C122" s="399"/>
      <c r="D122" s="399"/>
      <c r="E122" s="399"/>
      <c r="F122" s="399"/>
      <c r="G122" s="399"/>
      <c r="H122" s="399"/>
      <c r="I122" s="399"/>
      <c r="J122" s="399"/>
      <c r="K122" s="399"/>
      <c r="L122" s="399"/>
      <c r="M122" s="399"/>
      <c r="N122" s="399"/>
      <c r="O122" s="399"/>
      <c r="P122" s="399"/>
      <c r="Q122" s="399"/>
      <c r="R122" s="399"/>
      <c r="S122" s="399"/>
      <c r="T122" s="399"/>
      <c r="U122" s="399"/>
      <c r="V122" s="399"/>
      <c r="W122" s="400"/>
      <c r="X122" s="400"/>
      <c r="Y122" s="400"/>
    </row>
    <row r="123" spans="1:25" x14ac:dyDescent="0.35">
      <c r="A123" s="412" t="s">
        <v>262</v>
      </c>
      <c r="B123" s="447">
        <f>+Valuation!B6</f>
        <v>35.78</v>
      </c>
      <c r="C123" s="415"/>
      <c r="D123" s="415"/>
      <c r="E123" s="415"/>
      <c r="F123" s="415"/>
      <c r="G123" s="415"/>
      <c r="H123" s="415"/>
      <c r="I123" s="415"/>
      <c r="J123" s="415"/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399"/>
      <c r="W123" s="400"/>
      <c r="X123" s="400"/>
      <c r="Y123" s="400"/>
    </row>
    <row r="124" spans="1:25" x14ac:dyDescent="0.35">
      <c r="A124" s="399"/>
      <c r="B124" s="399"/>
      <c r="C124" s="399"/>
      <c r="D124" s="399"/>
      <c r="E124" s="399"/>
      <c r="F124" s="399"/>
      <c r="G124" s="399"/>
      <c r="H124" s="399"/>
      <c r="I124" s="399"/>
      <c r="J124" s="399"/>
      <c r="K124" s="399"/>
      <c r="L124" s="399"/>
      <c r="M124" s="399"/>
      <c r="N124" s="399"/>
      <c r="O124" s="399"/>
      <c r="P124" s="399"/>
      <c r="Q124" s="399"/>
      <c r="R124" s="399"/>
      <c r="S124" s="399"/>
      <c r="T124" s="399"/>
      <c r="U124" s="399"/>
      <c r="V124" s="399"/>
      <c r="W124" s="400"/>
      <c r="X124" s="400"/>
      <c r="Y124" s="400"/>
    </row>
    <row r="125" spans="1:25" x14ac:dyDescent="0.35">
      <c r="A125" s="417" t="s">
        <v>263</v>
      </c>
      <c r="B125" s="399"/>
      <c r="C125" s="399"/>
      <c r="D125" s="399"/>
      <c r="E125" s="399"/>
      <c r="F125" s="399"/>
      <c r="G125" s="399"/>
      <c r="H125" s="399"/>
      <c r="I125" s="399"/>
      <c r="J125" s="399"/>
      <c r="K125" s="399"/>
      <c r="L125" s="399"/>
      <c r="M125" s="399"/>
      <c r="N125" s="399"/>
      <c r="O125" s="399"/>
      <c r="P125" s="399"/>
      <c r="Q125" s="399"/>
      <c r="R125" s="399"/>
      <c r="S125" s="399"/>
      <c r="T125" s="399"/>
      <c r="U125" s="399"/>
      <c r="V125" s="399"/>
      <c r="W125" s="400"/>
      <c r="X125" s="400"/>
      <c r="Y125" s="400"/>
    </row>
    <row r="126" spans="1:25" x14ac:dyDescent="0.35">
      <c r="A126" s="411"/>
      <c r="B126" s="435">
        <f>+B$41</f>
        <v>2020</v>
      </c>
      <c r="C126" s="435">
        <f t="shared" ref="C126:P126" si="55">+C$41</f>
        <v>2021</v>
      </c>
      <c r="D126" s="435">
        <f t="shared" si="55"/>
        <v>2022</v>
      </c>
      <c r="E126" s="435">
        <f t="shared" si="55"/>
        <v>2023</v>
      </c>
      <c r="F126" s="435">
        <f t="shared" si="55"/>
        <v>2024</v>
      </c>
      <c r="G126" s="435">
        <f t="shared" si="55"/>
        <v>2025</v>
      </c>
      <c r="H126" s="435">
        <f t="shared" si="55"/>
        <v>2026</v>
      </c>
      <c r="I126" s="435">
        <f t="shared" si="55"/>
        <v>2027</v>
      </c>
      <c r="J126" s="435">
        <f t="shared" si="55"/>
        <v>2028</v>
      </c>
      <c r="K126" s="435">
        <f t="shared" si="55"/>
        <v>2029</v>
      </c>
      <c r="L126" s="435">
        <f t="shared" si="55"/>
        <v>2030</v>
      </c>
      <c r="M126" s="435">
        <f t="shared" si="55"/>
        <v>2031</v>
      </c>
      <c r="N126" s="435">
        <f t="shared" si="55"/>
        <v>2032</v>
      </c>
      <c r="O126" s="435">
        <f t="shared" si="55"/>
        <v>2033</v>
      </c>
      <c r="P126" s="435">
        <f t="shared" si="55"/>
        <v>2034</v>
      </c>
      <c r="Q126" s="417"/>
      <c r="R126" s="417"/>
      <c r="S126" s="417"/>
      <c r="T126" s="417"/>
      <c r="U126" s="417"/>
      <c r="V126" s="399"/>
      <c r="W126" s="400"/>
      <c r="X126" s="400"/>
      <c r="Y126" s="400"/>
    </row>
    <row r="127" spans="1:25" x14ac:dyDescent="0.35">
      <c r="A127" s="1791" t="s">
        <v>234</v>
      </c>
      <c r="B127" s="1791">
        <f>+B85</f>
        <v>0</v>
      </c>
      <c r="C127" s="1791">
        <f>B130</f>
        <v>1.4997089843750002</v>
      </c>
      <c r="D127" s="1791">
        <f t="shared" ref="D127:P127" si="56">C130</f>
        <v>11.987908984375004</v>
      </c>
      <c r="E127" s="1791">
        <f t="shared" si="56"/>
        <v>26.238922343750005</v>
      </c>
      <c r="F127" s="1791">
        <f t="shared" si="56"/>
        <v>15.681454250000073</v>
      </c>
      <c r="G127" s="1791">
        <f t="shared" si="56"/>
        <v>0</v>
      </c>
      <c r="H127" s="1791">
        <f t="shared" si="56"/>
        <v>0</v>
      </c>
      <c r="I127" s="1791">
        <f t="shared" si="56"/>
        <v>0</v>
      </c>
      <c r="J127" s="1791">
        <f t="shared" si="56"/>
        <v>0</v>
      </c>
      <c r="K127" s="1791">
        <f t="shared" si="56"/>
        <v>0</v>
      </c>
      <c r="L127" s="1791">
        <f t="shared" si="56"/>
        <v>0</v>
      </c>
      <c r="M127" s="1791">
        <f t="shared" si="56"/>
        <v>0</v>
      </c>
      <c r="N127" s="1791">
        <f t="shared" si="56"/>
        <v>0</v>
      </c>
      <c r="O127" s="1791">
        <f t="shared" si="56"/>
        <v>0</v>
      </c>
      <c r="P127" s="1791">
        <f t="shared" si="56"/>
        <v>0</v>
      </c>
      <c r="Q127" s="399"/>
      <c r="R127" s="399"/>
      <c r="S127" s="399"/>
      <c r="T127" s="399"/>
      <c r="U127" s="399"/>
      <c r="V127" s="399"/>
      <c r="W127" s="400"/>
      <c r="X127" s="400"/>
      <c r="Y127" s="400"/>
    </row>
    <row r="128" spans="1:25" x14ac:dyDescent="0.35">
      <c r="A128" s="414" t="s">
        <v>235</v>
      </c>
      <c r="B128" s="399">
        <f>IF(B135&gt;0,0,-B135)</f>
        <v>1.4997089843750002</v>
      </c>
      <c r="C128" s="399">
        <f>IF(C135&gt;0,0,-C135)</f>
        <v>10.488200000000003</v>
      </c>
      <c r="D128" s="399">
        <f t="shared" ref="D128:P128" si="57">IF(D135&gt;0,0,-D135)</f>
        <v>14.251013359375003</v>
      </c>
      <c r="E128" s="399">
        <f t="shared" si="57"/>
        <v>0</v>
      </c>
      <c r="F128" s="399">
        <f t="shared" si="57"/>
        <v>0</v>
      </c>
      <c r="G128" s="399">
        <f t="shared" si="57"/>
        <v>0</v>
      </c>
      <c r="H128" s="399">
        <f t="shared" si="57"/>
        <v>0</v>
      </c>
      <c r="I128" s="399">
        <f t="shared" si="57"/>
        <v>0</v>
      </c>
      <c r="J128" s="399">
        <f t="shared" si="57"/>
        <v>0</v>
      </c>
      <c r="K128" s="399">
        <f t="shared" si="57"/>
        <v>0</v>
      </c>
      <c r="L128" s="399">
        <f t="shared" si="57"/>
        <v>0</v>
      </c>
      <c r="M128" s="399">
        <f t="shared" si="57"/>
        <v>0</v>
      </c>
      <c r="N128" s="399">
        <f t="shared" si="57"/>
        <v>0</v>
      </c>
      <c r="O128" s="399">
        <f t="shared" si="57"/>
        <v>0</v>
      </c>
      <c r="P128" s="399">
        <f t="shared" si="57"/>
        <v>0</v>
      </c>
      <c r="Q128" s="399"/>
      <c r="R128" s="399"/>
      <c r="S128" s="399"/>
      <c r="T128" s="399"/>
      <c r="U128" s="399"/>
      <c r="V128" s="399"/>
      <c r="W128" s="400"/>
      <c r="X128" s="400"/>
      <c r="Y128" s="400"/>
    </row>
    <row r="129" spans="1:25" x14ac:dyDescent="0.35">
      <c r="A129" s="414" t="s">
        <v>236</v>
      </c>
      <c r="B129" s="399">
        <f>IF(B135&lt;0,0,IF(B127+B128-B135&gt;0,-B135,-B127-B128))</f>
        <v>0</v>
      </c>
      <c r="C129" s="399">
        <f t="shared" ref="C129:P129" si="58">IF(C135&lt;0,0,IF(C127+C128-C135&gt;0,-C135,-C127-C128))</f>
        <v>0</v>
      </c>
      <c r="D129" s="399">
        <f t="shared" si="58"/>
        <v>0</v>
      </c>
      <c r="E129" s="399">
        <f t="shared" si="58"/>
        <v>-10.557468093749932</v>
      </c>
      <c r="F129" s="399">
        <f t="shared" si="58"/>
        <v>-15.681454250000073</v>
      </c>
      <c r="G129" s="399">
        <f t="shared" si="58"/>
        <v>0</v>
      </c>
      <c r="H129" s="399">
        <f t="shared" si="58"/>
        <v>0</v>
      </c>
      <c r="I129" s="399">
        <f t="shared" si="58"/>
        <v>0</v>
      </c>
      <c r="J129" s="399">
        <f t="shared" si="58"/>
        <v>0</v>
      </c>
      <c r="K129" s="399">
        <f t="shared" si="58"/>
        <v>0</v>
      </c>
      <c r="L129" s="399">
        <f t="shared" si="58"/>
        <v>0</v>
      </c>
      <c r="M129" s="399">
        <f t="shared" si="58"/>
        <v>0</v>
      </c>
      <c r="N129" s="399">
        <f t="shared" si="58"/>
        <v>0</v>
      </c>
      <c r="O129" s="399">
        <f t="shared" si="58"/>
        <v>0</v>
      </c>
      <c r="P129" s="399">
        <f t="shared" si="58"/>
        <v>0</v>
      </c>
      <c r="Q129" s="399"/>
      <c r="R129" s="399"/>
      <c r="S129" s="399"/>
      <c r="T129" s="399"/>
      <c r="U129" s="399"/>
      <c r="V129" s="399"/>
      <c r="W129" s="400"/>
      <c r="X129" s="400"/>
      <c r="Y129" s="400"/>
    </row>
    <row r="130" spans="1:25" x14ac:dyDescent="0.35">
      <c r="A130" s="418" t="s">
        <v>237</v>
      </c>
      <c r="B130" s="411">
        <f>B127+B128+B129</f>
        <v>1.4997089843750002</v>
      </c>
      <c r="C130" s="411">
        <f>C127+C128+C129</f>
        <v>11.987908984375004</v>
      </c>
      <c r="D130" s="411">
        <f t="shared" ref="D130:P130" si="59">D127+D128+D129</f>
        <v>26.238922343750005</v>
      </c>
      <c r="E130" s="411">
        <f t="shared" si="59"/>
        <v>15.681454250000073</v>
      </c>
      <c r="F130" s="411">
        <f t="shared" si="59"/>
        <v>0</v>
      </c>
      <c r="G130" s="411">
        <f t="shared" si="59"/>
        <v>0</v>
      </c>
      <c r="H130" s="411">
        <f t="shared" si="59"/>
        <v>0</v>
      </c>
      <c r="I130" s="411">
        <f t="shared" si="59"/>
        <v>0</v>
      </c>
      <c r="J130" s="411">
        <f t="shared" si="59"/>
        <v>0</v>
      </c>
      <c r="K130" s="411">
        <f t="shared" si="59"/>
        <v>0</v>
      </c>
      <c r="L130" s="411">
        <f t="shared" si="59"/>
        <v>0</v>
      </c>
      <c r="M130" s="411">
        <f t="shared" si="59"/>
        <v>0</v>
      </c>
      <c r="N130" s="411">
        <f t="shared" si="59"/>
        <v>0</v>
      </c>
      <c r="O130" s="411">
        <f t="shared" si="59"/>
        <v>0</v>
      </c>
      <c r="P130" s="411">
        <f t="shared" si="59"/>
        <v>0</v>
      </c>
      <c r="Q130" s="399"/>
      <c r="R130" s="399"/>
      <c r="S130" s="399"/>
      <c r="T130" s="399"/>
      <c r="U130" s="399"/>
      <c r="V130" s="399"/>
      <c r="W130" s="400"/>
      <c r="X130" s="400"/>
      <c r="Y130" s="400"/>
    </row>
    <row r="131" spans="1:25" x14ac:dyDescent="0.35">
      <c r="A131" s="417"/>
      <c r="B131" s="399"/>
      <c r="C131" s="399"/>
      <c r="D131" s="399"/>
      <c r="E131" s="399"/>
      <c r="F131" s="399"/>
      <c r="G131" s="399"/>
      <c r="H131" s="399"/>
      <c r="I131" s="399"/>
      <c r="J131" s="399"/>
      <c r="K131" s="399"/>
      <c r="L131" s="399"/>
      <c r="M131" s="399"/>
      <c r="N131" s="399"/>
      <c r="O131" s="399"/>
      <c r="P131" s="399"/>
      <c r="Q131" s="399"/>
      <c r="R131" s="399"/>
      <c r="S131" s="399"/>
      <c r="T131" s="399"/>
      <c r="U131" s="399"/>
      <c r="V131" s="399"/>
      <c r="W131" s="400"/>
      <c r="X131" s="400"/>
      <c r="Y131" s="400"/>
    </row>
    <row r="132" spans="1:25" x14ac:dyDescent="0.35">
      <c r="A132" s="399" t="s">
        <v>238</v>
      </c>
      <c r="B132" s="399">
        <f t="shared" ref="B132:P132" si="60">+B90</f>
        <v>-3.7152000000000003</v>
      </c>
      <c r="C132" s="399">
        <f t="shared" si="60"/>
        <v>-22.482000000000006</v>
      </c>
      <c r="D132" s="399">
        <f t="shared" si="60"/>
        <v>-2.9575800000000072</v>
      </c>
      <c r="E132" s="399">
        <f t="shared" si="60"/>
        <v>136.74811143749974</v>
      </c>
      <c r="F132" s="399">
        <f t="shared" si="60"/>
        <v>401.35129885312438</v>
      </c>
      <c r="G132" s="399">
        <f t="shared" si="60"/>
        <v>745.51788981187417</v>
      </c>
      <c r="H132" s="399">
        <f t="shared" si="60"/>
        <v>1133.5883763200554</v>
      </c>
      <c r="I132" s="399">
        <f t="shared" si="60"/>
        <v>1526.4676402363398</v>
      </c>
      <c r="J132" s="399">
        <f t="shared" si="60"/>
        <v>1802.468171339136</v>
      </c>
      <c r="K132" s="399">
        <f t="shared" si="60"/>
        <v>1965.2540576582151</v>
      </c>
      <c r="L132" s="399">
        <f t="shared" si="60"/>
        <v>2065.4455086116322</v>
      </c>
      <c r="M132" s="399">
        <f t="shared" si="60"/>
        <v>2169.8140315276833</v>
      </c>
      <c r="N132" s="399">
        <f t="shared" si="60"/>
        <v>2279.3104187593931</v>
      </c>
      <c r="O132" s="399">
        <f t="shared" si="60"/>
        <v>2389.0372076239228</v>
      </c>
      <c r="P132" s="399">
        <f t="shared" si="60"/>
        <v>2498.7561850936304</v>
      </c>
      <c r="Q132" s="399"/>
      <c r="R132" s="399"/>
      <c r="S132" s="399"/>
      <c r="T132" s="399"/>
      <c r="U132" s="399"/>
      <c r="V132" s="399"/>
      <c r="W132" s="400"/>
      <c r="X132" s="400"/>
      <c r="Y132" s="400"/>
    </row>
    <row r="133" spans="1:25" x14ac:dyDescent="0.35">
      <c r="A133" s="414" t="s">
        <v>239</v>
      </c>
      <c r="B133" s="399">
        <f t="shared" ref="B133:P133" si="61">+B78</f>
        <v>2.2836359375000002</v>
      </c>
      <c r="C133" s="399">
        <f t="shared" si="61"/>
        <v>19.470800000000004</v>
      </c>
      <c r="D133" s="399">
        <f t="shared" si="61"/>
        <v>54.046473437500005</v>
      </c>
      <c r="E133" s="399">
        <f t="shared" si="61"/>
        <v>94.518239062500015</v>
      </c>
      <c r="F133" s="399">
        <f t="shared" si="61"/>
        <v>137.77125781250001</v>
      </c>
      <c r="G133" s="399">
        <f t="shared" si="61"/>
        <v>181.41306406250001</v>
      </c>
      <c r="H133" s="399">
        <f t="shared" si="61"/>
        <v>215.37401718750002</v>
      </c>
      <c r="I133" s="399">
        <f t="shared" si="61"/>
        <v>227.86793708593751</v>
      </c>
      <c r="J133" s="399">
        <f t="shared" si="61"/>
        <v>237.9203011364844</v>
      </c>
      <c r="K133" s="399">
        <f t="shared" si="61"/>
        <v>246.35362727284925</v>
      </c>
      <c r="L133" s="399">
        <f t="shared" si="61"/>
        <v>254.89563542839025</v>
      </c>
      <c r="M133" s="399">
        <f t="shared" si="61"/>
        <v>263.54741242329914</v>
      </c>
      <c r="N133" s="399">
        <f t="shared" si="61"/>
        <v>271.45422354753214</v>
      </c>
      <c r="O133" s="399">
        <f t="shared" si="61"/>
        <v>279.37234424394495</v>
      </c>
      <c r="P133" s="399">
        <f t="shared" si="61"/>
        <v>287.30015020982188</v>
      </c>
      <c r="Q133" s="399"/>
      <c r="R133" s="399"/>
      <c r="S133" s="399"/>
      <c r="T133" s="399"/>
      <c r="U133" s="399"/>
      <c r="V133" s="399"/>
      <c r="W133" s="400"/>
      <c r="X133" s="400"/>
      <c r="Y133" s="400"/>
    </row>
    <row r="134" spans="1:25" x14ac:dyDescent="0.35">
      <c r="A134" s="418" t="s">
        <v>240</v>
      </c>
      <c r="B134" s="399">
        <f>B132-B133</f>
        <v>-5.9988359375000009</v>
      </c>
      <c r="C134" s="399">
        <f t="shared" ref="C134:P134" si="62">C132-C133</f>
        <v>-41.952800000000011</v>
      </c>
      <c r="D134" s="399">
        <f t="shared" si="62"/>
        <v>-57.004053437500012</v>
      </c>
      <c r="E134" s="399">
        <f t="shared" si="62"/>
        <v>42.229872374999729</v>
      </c>
      <c r="F134" s="399">
        <f t="shared" si="62"/>
        <v>263.58004104062434</v>
      </c>
      <c r="G134" s="399">
        <f t="shared" si="62"/>
        <v>564.10482574937419</v>
      </c>
      <c r="H134" s="399">
        <f t="shared" si="62"/>
        <v>918.21435913255539</v>
      </c>
      <c r="I134" s="399">
        <f t="shared" si="62"/>
        <v>1298.5997031504023</v>
      </c>
      <c r="J134" s="399">
        <f t="shared" si="62"/>
        <v>1564.5478702026517</v>
      </c>
      <c r="K134" s="399">
        <f t="shared" si="62"/>
        <v>1718.9004303853658</v>
      </c>
      <c r="L134" s="399">
        <f t="shared" si="62"/>
        <v>1810.549873183242</v>
      </c>
      <c r="M134" s="399">
        <f t="shared" si="62"/>
        <v>1906.2666191043841</v>
      </c>
      <c r="N134" s="399">
        <f t="shared" si="62"/>
        <v>2007.8561952118609</v>
      </c>
      <c r="O134" s="399">
        <f t="shared" si="62"/>
        <v>2109.6648633799778</v>
      </c>
      <c r="P134" s="399">
        <f t="shared" si="62"/>
        <v>2211.4560348838086</v>
      </c>
      <c r="Q134" s="399"/>
      <c r="R134" s="399"/>
      <c r="S134" s="399"/>
      <c r="T134" s="399"/>
      <c r="U134" s="399"/>
      <c r="V134" s="399"/>
      <c r="W134" s="400"/>
      <c r="X134" s="400"/>
      <c r="Y134" s="400"/>
    </row>
    <row r="135" spans="1:25" x14ac:dyDescent="0.35">
      <c r="A135" s="414" t="s">
        <v>241</v>
      </c>
      <c r="B135" s="399">
        <f t="shared" ref="B135:P135" si="63">B134*$F$8</f>
        <v>-1.4997089843750002</v>
      </c>
      <c r="C135" s="399">
        <f t="shared" si="63"/>
        <v>-10.488200000000003</v>
      </c>
      <c r="D135" s="399">
        <f t="shared" si="63"/>
        <v>-14.251013359375003</v>
      </c>
      <c r="E135" s="399">
        <f t="shared" si="63"/>
        <v>10.557468093749932</v>
      </c>
      <c r="F135" s="399">
        <f t="shared" si="63"/>
        <v>65.895010260156084</v>
      </c>
      <c r="G135" s="399">
        <f t="shared" si="63"/>
        <v>141.02620643734355</v>
      </c>
      <c r="H135" s="399">
        <f t="shared" si="63"/>
        <v>229.55358978313885</v>
      </c>
      <c r="I135" s="399">
        <f t="shared" si="63"/>
        <v>324.64992578760058</v>
      </c>
      <c r="J135" s="399">
        <f t="shared" si="63"/>
        <v>391.13696755066292</v>
      </c>
      <c r="K135" s="399">
        <f t="shared" si="63"/>
        <v>429.72510759634145</v>
      </c>
      <c r="L135" s="399">
        <f t="shared" si="63"/>
        <v>452.63746829581049</v>
      </c>
      <c r="M135" s="399">
        <f t="shared" si="63"/>
        <v>476.56665477609602</v>
      </c>
      <c r="N135" s="399">
        <f t="shared" si="63"/>
        <v>501.96404880296524</v>
      </c>
      <c r="O135" s="399">
        <f t="shared" si="63"/>
        <v>527.41621584499444</v>
      </c>
      <c r="P135" s="399">
        <f t="shared" si="63"/>
        <v>552.86400872095214</v>
      </c>
      <c r="Q135" s="399"/>
      <c r="R135" s="399"/>
      <c r="S135" s="399"/>
      <c r="T135" s="399"/>
      <c r="U135" s="399"/>
      <c r="V135" s="399"/>
      <c r="W135" s="400"/>
      <c r="X135" s="400"/>
      <c r="Y135" s="400"/>
    </row>
    <row r="136" spans="1:25" ht="15" thickBot="1" x14ac:dyDescent="0.4">
      <c r="A136" s="418" t="s">
        <v>242</v>
      </c>
      <c r="B136" s="419">
        <f>B134-B135</f>
        <v>-4.4991269531250007</v>
      </c>
      <c r="C136" s="419">
        <f t="shared" ref="C136:P136" si="64">C134-C135</f>
        <v>-31.464600000000008</v>
      </c>
      <c r="D136" s="419">
        <f t="shared" si="64"/>
        <v>-42.753040078125011</v>
      </c>
      <c r="E136" s="419">
        <f t="shared" si="64"/>
        <v>31.672404281249797</v>
      </c>
      <c r="F136" s="419">
        <f t="shared" si="64"/>
        <v>197.68503078046825</v>
      </c>
      <c r="G136" s="419">
        <f t="shared" si="64"/>
        <v>423.07861931203064</v>
      </c>
      <c r="H136" s="419">
        <f t="shared" si="64"/>
        <v>688.66076934941657</v>
      </c>
      <c r="I136" s="419">
        <f t="shared" si="64"/>
        <v>973.9497773628018</v>
      </c>
      <c r="J136" s="419">
        <f t="shared" si="64"/>
        <v>1173.4109026519886</v>
      </c>
      <c r="K136" s="419">
        <f t="shared" si="64"/>
        <v>1289.1753227890244</v>
      </c>
      <c r="L136" s="419">
        <f t="shared" si="64"/>
        <v>1357.9124048874314</v>
      </c>
      <c r="M136" s="419">
        <f t="shared" si="64"/>
        <v>1429.6999643282879</v>
      </c>
      <c r="N136" s="419">
        <f t="shared" si="64"/>
        <v>1505.8921464088958</v>
      </c>
      <c r="O136" s="419">
        <f t="shared" si="64"/>
        <v>1582.2486475349833</v>
      </c>
      <c r="P136" s="419">
        <f t="shared" si="64"/>
        <v>1658.5920261628564</v>
      </c>
      <c r="Q136" s="399"/>
      <c r="R136" s="399"/>
      <c r="S136" s="399"/>
      <c r="T136" s="399"/>
      <c r="U136" s="399"/>
      <c r="V136" s="399"/>
      <c r="W136" s="400"/>
      <c r="X136" s="400"/>
      <c r="Y136" s="400"/>
    </row>
    <row r="137" spans="1:25" ht="15" thickTop="1" x14ac:dyDescent="0.35">
      <c r="A137" s="409" t="s">
        <v>243</v>
      </c>
      <c r="B137" s="409">
        <f>B135+B128+B129</f>
        <v>0</v>
      </c>
      <c r="C137" s="409">
        <f t="shared" ref="C137:P137" si="65">C135+C128+C129</f>
        <v>0</v>
      </c>
      <c r="D137" s="409">
        <f t="shared" si="65"/>
        <v>0</v>
      </c>
      <c r="E137" s="409">
        <f t="shared" si="65"/>
        <v>0</v>
      </c>
      <c r="F137" s="409">
        <f t="shared" si="65"/>
        <v>50.213556010156012</v>
      </c>
      <c r="G137" s="409">
        <f t="shared" si="65"/>
        <v>141.02620643734355</v>
      </c>
      <c r="H137" s="409">
        <f t="shared" si="65"/>
        <v>229.55358978313885</v>
      </c>
      <c r="I137" s="409">
        <f t="shared" si="65"/>
        <v>324.64992578760058</v>
      </c>
      <c r="J137" s="409">
        <f t="shared" si="65"/>
        <v>391.13696755066292</v>
      </c>
      <c r="K137" s="409">
        <f t="shared" si="65"/>
        <v>429.72510759634145</v>
      </c>
      <c r="L137" s="409">
        <f t="shared" si="65"/>
        <v>452.63746829581049</v>
      </c>
      <c r="M137" s="409">
        <f t="shared" si="65"/>
        <v>476.56665477609602</v>
      </c>
      <c r="N137" s="409">
        <f t="shared" si="65"/>
        <v>501.96404880296524</v>
      </c>
      <c r="O137" s="409">
        <f t="shared" si="65"/>
        <v>527.41621584499444</v>
      </c>
      <c r="P137" s="409">
        <f t="shared" si="65"/>
        <v>552.86400872095214</v>
      </c>
      <c r="Q137" s="399"/>
      <c r="R137" s="399"/>
      <c r="S137" s="399"/>
      <c r="T137" s="399"/>
      <c r="U137" s="399"/>
      <c r="V137" s="399"/>
      <c r="W137" s="400"/>
      <c r="X137" s="400"/>
      <c r="Y137" s="400"/>
    </row>
    <row r="138" spans="1:25" x14ac:dyDescent="0.35">
      <c r="A138" s="412" t="s">
        <v>244</v>
      </c>
      <c r="B138" s="413">
        <f>B137/B134</f>
        <v>0</v>
      </c>
      <c r="C138" s="413">
        <f t="shared" ref="C138:P138" si="66">C137/C134</f>
        <v>0</v>
      </c>
      <c r="D138" s="413">
        <f t="shared" si="66"/>
        <v>0</v>
      </c>
      <c r="E138" s="413">
        <f t="shared" si="66"/>
        <v>0</v>
      </c>
      <c r="F138" s="413">
        <f t="shared" si="66"/>
        <v>0.19050591164608263</v>
      </c>
      <c r="G138" s="413">
        <f t="shared" si="66"/>
        <v>0.25</v>
      </c>
      <c r="H138" s="413">
        <f t="shared" si="66"/>
        <v>0.25</v>
      </c>
      <c r="I138" s="413">
        <f t="shared" si="66"/>
        <v>0.25</v>
      </c>
      <c r="J138" s="413">
        <f t="shared" si="66"/>
        <v>0.25</v>
      </c>
      <c r="K138" s="413">
        <f t="shared" si="66"/>
        <v>0.25</v>
      </c>
      <c r="L138" s="413">
        <f t="shared" si="66"/>
        <v>0.25</v>
      </c>
      <c r="M138" s="413">
        <f t="shared" si="66"/>
        <v>0.25</v>
      </c>
      <c r="N138" s="413">
        <f t="shared" si="66"/>
        <v>0.25</v>
      </c>
      <c r="O138" s="413">
        <f t="shared" si="66"/>
        <v>0.25</v>
      </c>
      <c r="P138" s="413">
        <f t="shared" si="66"/>
        <v>0.25</v>
      </c>
      <c r="Q138" s="399"/>
      <c r="R138" s="399"/>
      <c r="S138" s="399"/>
      <c r="T138" s="399"/>
      <c r="U138" s="399"/>
      <c r="V138" s="399"/>
      <c r="W138" s="400"/>
      <c r="X138" s="400"/>
      <c r="Y138" s="400"/>
    </row>
    <row r="139" spans="1:25" x14ac:dyDescent="0.35">
      <c r="A139" s="399"/>
      <c r="B139" s="399"/>
      <c r="C139" s="399"/>
      <c r="D139" s="399"/>
      <c r="E139" s="399"/>
      <c r="F139" s="399"/>
      <c r="G139" s="399"/>
      <c r="H139" s="399"/>
      <c r="I139" s="399"/>
      <c r="J139" s="399"/>
      <c r="K139" s="399"/>
      <c r="L139" s="399"/>
      <c r="M139" s="399"/>
      <c r="N139" s="399"/>
      <c r="O139" s="399"/>
      <c r="P139" s="399"/>
      <c r="Q139" s="399"/>
      <c r="R139" s="399"/>
      <c r="S139" s="399"/>
      <c r="T139" s="399"/>
      <c r="U139" s="399"/>
      <c r="V139" s="399"/>
      <c r="W139" s="400"/>
      <c r="X139" s="400"/>
      <c r="Y139" s="400"/>
    </row>
    <row r="140" spans="1:25" x14ac:dyDescent="0.35">
      <c r="A140" s="417" t="s">
        <v>264</v>
      </c>
      <c r="B140" s="399"/>
      <c r="C140" s="399"/>
      <c r="D140" s="399"/>
      <c r="E140" s="399"/>
      <c r="F140" s="399"/>
      <c r="G140" s="399"/>
      <c r="H140" s="399"/>
      <c r="I140" s="399"/>
      <c r="J140" s="399"/>
      <c r="K140" s="399"/>
      <c r="L140" s="399"/>
      <c r="M140" s="399"/>
      <c r="N140" s="399"/>
      <c r="O140" s="399"/>
      <c r="P140" s="399"/>
      <c r="Q140" s="399"/>
      <c r="R140" s="399"/>
      <c r="S140" s="399"/>
      <c r="T140" s="399"/>
      <c r="U140" s="399"/>
      <c r="V140" s="399"/>
      <c r="W140" s="400"/>
      <c r="X140" s="400"/>
      <c r="Y140" s="400"/>
    </row>
    <row r="141" spans="1:25" x14ac:dyDescent="0.35">
      <c r="A141" s="411"/>
      <c r="B141" s="435">
        <f>+B$41</f>
        <v>2020</v>
      </c>
      <c r="C141" s="435">
        <f t="shared" ref="C141:P141" si="67">+C$41</f>
        <v>2021</v>
      </c>
      <c r="D141" s="435">
        <f t="shared" si="67"/>
        <v>2022</v>
      </c>
      <c r="E141" s="435">
        <f t="shared" si="67"/>
        <v>2023</v>
      </c>
      <c r="F141" s="435">
        <f t="shared" si="67"/>
        <v>2024</v>
      </c>
      <c r="G141" s="435">
        <f t="shared" si="67"/>
        <v>2025</v>
      </c>
      <c r="H141" s="435">
        <f t="shared" si="67"/>
        <v>2026</v>
      </c>
      <c r="I141" s="435">
        <f t="shared" si="67"/>
        <v>2027</v>
      </c>
      <c r="J141" s="435">
        <f t="shared" si="67"/>
        <v>2028</v>
      </c>
      <c r="K141" s="435">
        <f t="shared" si="67"/>
        <v>2029</v>
      </c>
      <c r="L141" s="435">
        <f t="shared" si="67"/>
        <v>2030</v>
      </c>
      <c r="M141" s="435">
        <f t="shared" si="67"/>
        <v>2031</v>
      </c>
      <c r="N141" s="435">
        <f t="shared" si="67"/>
        <v>2032</v>
      </c>
      <c r="O141" s="435">
        <f t="shared" si="67"/>
        <v>2033</v>
      </c>
      <c r="P141" s="435">
        <f t="shared" si="67"/>
        <v>2034</v>
      </c>
      <c r="Q141" s="417"/>
      <c r="R141" s="417"/>
      <c r="S141" s="417"/>
      <c r="T141" s="417"/>
      <c r="U141" s="417"/>
      <c r="V141" s="399"/>
      <c r="W141" s="400"/>
      <c r="X141" s="400"/>
      <c r="Y141" s="400"/>
    </row>
    <row r="142" spans="1:25" x14ac:dyDescent="0.35">
      <c r="A142" s="399" t="s">
        <v>238</v>
      </c>
      <c r="B142" s="399">
        <f t="shared" ref="B142:P142" si="68">+B132</f>
        <v>-3.7152000000000003</v>
      </c>
      <c r="C142" s="399">
        <f t="shared" si="68"/>
        <v>-22.482000000000006</v>
      </c>
      <c r="D142" s="399">
        <f t="shared" si="68"/>
        <v>-2.9575800000000072</v>
      </c>
      <c r="E142" s="399">
        <f t="shared" si="68"/>
        <v>136.74811143749974</v>
      </c>
      <c r="F142" s="399">
        <f t="shared" si="68"/>
        <v>401.35129885312438</v>
      </c>
      <c r="G142" s="399">
        <f t="shared" si="68"/>
        <v>745.51788981187417</v>
      </c>
      <c r="H142" s="399">
        <f t="shared" si="68"/>
        <v>1133.5883763200554</v>
      </c>
      <c r="I142" s="399">
        <f t="shared" si="68"/>
        <v>1526.4676402363398</v>
      </c>
      <c r="J142" s="399">
        <f t="shared" si="68"/>
        <v>1802.468171339136</v>
      </c>
      <c r="K142" s="399">
        <f t="shared" si="68"/>
        <v>1965.2540576582151</v>
      </c>
      <c r="L142" s="399">
        <f t="shared" si="68"/>
        <v>2065.4455086116322</v>
      </c>
      <c r="M142" s="399">
        <f t="shared" si="68"/>
        <v>2169.8140315276833</v>
      </c>
      <c r="N142" s="399">
        <f t="shared" si="68"/>
        <v>2279.3104187593931</v>
      </c>
      <c r="O142" s="399">
        <f t="shared" si="68"/>
        <v>2389.0372076239228</v>
      </c>
      <c r="P142" s="399">
        <f t="shared" si="68"/>
        <v>2498.7561850936304</v>
      </c>
      <c r="Q142" s="399"/>
      <c r="R142" s="399"/>
      <c r="S142" s="399"/>
      <c r="T142" s="399"/>
      <c r="U142" s="399"/>
      <c r="V142" s="399"/>
      <c r="W142" s="400"/>
      <c r="X142" s="400"/>
      <c r="Y142" s="400"/>
    </row>
    <row r="143" spans="1:25" x14ac:dyDescent="0.35">
      <c r="A143" s="414" t="s">
        <v>246</v>
      </c>
      <c r="B143" s="399">
        <f t="shared" ref="B143:P143" si="69">+B101</f>
        <v>91.345437500000003</v>
      </c>
      <c r="C143" s="399">
        <f t="shared" si="69"/>
        <v>687.4865625000001</v>
      </c>
      <c r="D143" s="399">
        <f t="shared" si="69"/>
        <v>1383.0269375</v>
      </c>
      <c r="E143" s="399">
        <f t="shared" si="69"/>
        <v>1618.870625</v>
      </c>
      <c r="F143" s="399">
        <f t="shared" si="69"/>
        <v>1730.12075</v>
      </c>
      <c r="G143" s="399">
        <f t="shared" si="69"/>
        <v>1745.6722499999998</v>
      </c>
      <c r="H143" s="399">
        <f t="shared" si="69"/>
        <v>1358.4381250000001</v>
      </c>
      <c r="I143" s="399">
        <f t="shared" si="69"/>
        <v>499.7567959375001</v>
      </c>
      <c r="J143" s="399">
        <f t="shared" si="69"/>
        <v>402.09456202187494</v>
      </c>
      <c r="K143" s="399">
        <f t="shared" si="69"/>
        <v>337.33304545459373</v>
      </c>
      <c r="L143" s="399">
        <f t="shared" si="69"/>
        <v>341.68032622163975</v>
      </c>
      <c r="M143" s="399">
        <f t="shared" si="69"/>
        <v>346.07107979635589</v>
      </c>
      <c r="N143" s="399">
        <f t="shared" si="69"/>
        <v>316.27244496932013</v>
      </c>
      <c r="O143" s="399">
        <f t="shared" si="69"/>
        <v>316.72482785651255</v>
      </c>
      <c r="P143" s="399">
        <f t="shared" si="69"/>
        <v>317.11223863507769</v>
      </c>
      <c r="Q143" s="399"/>
      <c r="R143" s="399"/>
      <c r="S143" s="399"/>
      <c r="T143" s="399"/>
      <c r="U143" s="399"/>
      <c r="V143" s="399"/>
      <c r="W143" s="400"/>
      <c r="X143" s="400"/>
      <c r="Y143" s="400"/>
    </row>
    <row r="144" spans="1:25" x14ac:dyDescent="0.35">
      <c r="A144" s="414" t="s">
        <v>247</v>
      </c>
      <c r="B144" s="399">
        <f t="shared" ref="B144:P144" si="70">+B137</f>
        <v>0</v>
      </c>
      <c r="C144" s="399">
        <f t="shared" si="70"/>
        <v>0</v>
      </c>
      <c r="D144" s="399">
        <f t="shared" si="70"/>
        <v>0</v>
      </c>
      <c r="E144" s="399">
        <f t="shared" si="70"/>
        <v>0</v>
      </c>
      <c r="F144" s="399">
        <f t="shared" si="70"/>
        <v>50.213556010156012</v>
      </c>
      <c r="G144" s="399">
        <f t="shared" si="70"/>
        <v>141.02620643734355</v>
      </c>
      <c r="H144" s="399">
        <f t="shared" si="70"/>
        <v>229.55358978313885</v>
      </c>
      <c r="I144" s="399">
        <f t="shared" si="70"/>
        <v>324.64992578760058</v>
      </c>
      <c r="J144" s="399">
        <f t="shared" si="70"/>
        <v>391.13696755066292</v>
      </c>
      <c r="K144" s="399">
        <f t="shared" si="70"/>
        <v>429.72510759634145</v>
      </c>
      <c r="L144" s="399">
        <f t="shared" si="70"/>
        <v>452.63746829581049</v>
      </c>
      <c r="M144" s="399">
        <f t="shared" si="70"/>
        <v>476.56665477609602</v>
      </c>
      <c r="N144" s="399">
        <f t="shared" si="70"/>
        <v>501.96404880296524</v>
      </c>
      <c r="O144" s="399">
        <f t="shared" si="70"/>
        <v>527.41621584499444</v>
      </c>
      <c r="P144" s="399">
        <f t="shared" si="70"/>
        <v>552.86400872095214</v>
      </c>
      <c r="Q144" s="399"/>
      <c r="R144" s="399"/>
      <c r="S144" s="399"/>
      <c r="T144" s="399"/>
      <c r="U144" s="399"/>
      <c r="V144" s="399"/>
      <c r="W144" s="400"/>
      <c r="X144" s="400"/>
      <c r="Y144" s="400"/>
    </row>
    <row r="145" spans="1:25" ht="15" thickBot="1" x14ac:dyDescent="0.4">
      <c r="A145" s="418" t="s">
        <v>248</v>
      </c>
      <c r="B145" s="419">
        <f>+B142-B143-B144</f>
        <v>-95.060637499999999</v>
      </c>
      <c r="C145" s="419">
        <f t="shared" ref="C145:P145" si="71">+C142-C143-C144</f>
        <v>-709.96856250000008</v>
      </c>
      <c r="D145" s="419">
        <f t="shared" si="71"/>
        <v>-1385.9845175</v>
      </c>
      <c r="E145" s="419">
        <f t="shared" si="71"/>
        <v>-1482.1225135625002</v>
      </c>
      <c r="F145" s="419">
        <f t="shared" si="71"/>
        <v>-1378.9830071570318</v>
      </c>
      <c r="G145" s="419">
        <f t="shared" si="71"/>
        <v>-1141.1805666254693</v>
      </c>
      <c r="H145" s="419">
        <f t="shared" si="71"/>
        <v>-454.40333846308351</v>
      </c>
      <c r="I145" s="419">
        <f t="shared" si="71"/>
        <v>702.06091851123915</v>
      </c>
      <c r="J145" s="419">
        <f t="shared" si="71"/>
        <v>1009.2366417665982</v>
      </c>
      <c r="K145" s="419">
        <f t="shared" si="71"/>
        <v>1198.1959046072798</v>
      </c>
      <c r="L145" s="419">
        <f t="shared" si="71"/>
        <v>1271.127714094182</v>
      </c>
      <c r="M145" s="419">
        <f t="shared" si="71"/>
        <v>1347.1762969552315</v>
      </c>
      <c r="N145" s="419">
        <f t="shared" si="71"/>
        <v>1461.0739249871078</v>
      </c>
      <c r="O145" s="419">
        <f t="shared" si="71"/>
        <v>1544.8961639224158</v>
      </c>
      <c r="P145" s="419">
        <f t="shared" si="71"/>
        <v>1628.7799377376007</v>
      </c>
      <c r="Q145" s="399"/>
      <c r="R145" s="399"/>
      <c r="S145" s="399"/>
      <c r="T145" s="399"/>
      <c r="U145" s="399"/>
      <c r="V145" s="399"/>
      <c r="W145" s="400"/>
      <c r="X145" s="400"/>
      <c r="Y145" s="400"/>
    </row>
    <row r="146" spans="1:25" ht="15" thickTop="1" x14ac:dyDescent="0.35">
      <c r="A146" s="415"/>
      <c r="B146" s="415"/>
      <c r="C146" s="415"/>
      <c r="D146" s="415"/>
      <c r="E146" s="415"/>
      <c r="F146" s="415"/>
      <c r="G146" s="415"/>
      <c r="H146" s="415"/>
      <c r="I146" s="415"/>
      <c r="J146" s="415"/>
      <c r="K146" s="415"/>
      <c r="L146" s="415"/>
      <c r="M146" s="415"/>
      <c r="N146" s="415"/>
      <c r="O146" s="415"/>
      <c r="P146" s="415"/>
      <c r="Q146" s="399"/>
      <c r="R146" s="399"/>
      <c r="S146" s="399"/>
      <c r="T146" s="399"/>
      <c r="U146" s="399"/>
      <c r="V146" s="399"/>
      <c r="W146" s="400"/>
      <c r="X146" s="400"/>
      <c r="Y146" s="400"/>
    </row>
    <row r="147" spans="1:25" x14ac:dyDescent="0.35">
      <c r="A147" s="399"/>
      <c r="B147" s="399"/>
      <c r="C147" s="399"/>
      <c r="D147" s="399"/>
      <c r="E147" s="399"/>
      <c r="F147" s="399"/>
      <c r="G147" s="399"/>
      <c r="H147" s="399"/>
      <c r="I147" s="399"/>
      <c r="J147" s="399"/>
      <c r="K147" s="399"/>
      <c r="L147" s="399"/>
      <c r="M147" s="399"/>
      <c r="N147" s="399"/>
      <c r="O147" s="399"/>
      <c r="P147" s="399"/>
      <c r="Q147" s="399"/>
      <c r="R147" s="399"/>
      <c r="S147" s="399"/>
      <c r="T147" s="399"/>
      <c r="U147" s="399"/>
      <c r="V147" s="399"/>
      <c r="W147" s="400"/>
      <c r="X147" s="400"/>
      <c r="Y147" s="400"/>
    </row>
    <row r="148" spans="1:25" x14ac:dyDescent="0.35">
      <c r="A148" s="399"/>
      <c r="B148" s="399"/>
      <c r="C148" s="399"/>
      <c r="D148" s="399"/>
      <c r="E148" s="399"/>
      <c r="F148" s="399"/>
      <c r="G148" s="399"/>
      <c r="H148" s="399"/>
      <c r="I148" s="399"/>
      <c r="J148" s="399"/>
      <c r="K148" s="399"/>
      <c r="L148" s="399"/>
      <c r="M148" s="399"/>
      <c r="N148" s="399"/>
      <c r="O148" s="399"/>
      <c r="P148" s="399"/>
      <c r="Q148" s="399"/>
      <c r="R148" s="399"/>
      <c r="S148" s="399"/>
      <c r="T148" s="399"/>
      <c r="U148" s="399"/>
      <c r="V148" s="399"/>
      <c r="W148" s="400"/>
      <c r="X148" s="400"/>
      <c r="Y148" s="400"/>
    </row>
    <row r="149" spans="1:25" customFormat="1" ht="12" x14ac:dyDescent="0.3">
      <c r="A149" s="141" t="s">
        <v>265</v>
      </c>
      <c r="Q149" s="399"/>
      <c r="R149" s="399"/>
    </row>
    <row r="150" spans="1:25" customFormat="1" ht="12" x14ac:dyDescent="0.3">
      <c r="A150" s="366"/>
      <c r="B150" s="374">
        <v>2020</v>
      </c>
      <c r="C150" s="374">
        <f t="shared" ref="C150:L150" si="72">+B150+1</f>
        <v>2021</v>
      </c>
      <c r="D150" s="374">
        <f t="shared" si="72"/>
        <v>2022</v>
      </c>
      <c r="E150" s="374">
        <f t="shared" si="72"/>
        <v>2023</v>
      </c>
      <c r="F150" s="374">
        <f t="shared" si="72"/>
        <v>2024</v>
      </c>
      <c r="G150" s="374">
        <f t="shared" si="72"/>
        <v>2025</v>
      </c>
      <c r="H150" s="374">
        <f t="shared" si="72"/>
        <v>2026</v>
      </c>
      <c r="I150" s="374">
        <f t="shared" si="72"/>
        <v>2027</v>
      </c>
      <c r="J150" s="374">
        <f t="shared" si="72"/>
        <v>2028</v>
      </c>
      <c r="K150" s="374">
        <f t="shared" si="72"/>
        <v>2029</v>
      </c>
      <c r="L150" s="374">
        <f t="shared" si="72"/>
        <v>2030</v>
      </c>
      <c r="M150" s="374">
        <f>+L150+1</f>
        <v>2031</v>
      </c>
      <c r="N150" s="374">
        <f>+M150+1</f>
        <v>2032</v>
      </c>
      <c r="O150" s="374">
        <f>+N150+1</f>
        <v>2033</v>
      </c>
      <c r="P150" s="374">
        <f>+O150+1</f>
        <v>2034</v>
      </c>
      <c r="Q150" s="399"/>
      <c r="R150" s="399"/>
    </row>
    <row r="151" spans="1:25" customFormat="1" ht="12" x14ac:dyDescent="0.3">
      <c r="A151" s="1794">
        <v>2020</v>
      </c>
      <c r="B151" s="369">
        <f>+B$43</f>
        <v>86</v>
      </c>
      <c r="C151" s="369">
        <f t="shared" ref="C151:L151" si="73">+B151</f>
        <v>86</v>
      </c>
      <c r="D151" s="369">
        <f t="shared" si="73"/>
        <v>86</v>
      </c>
      <c r="E151" s="369">
        <f t="shared" si="73"/>
        <v>86</v>
      </c>
      <c r="F151" s="369">
        <f t="shared" si="73"/>
        <v>86</v>
      </c>
      <c r="G151" s="369">
        <f t="shared" si="73"/>
        <v>86</v>
      </c>
      <c r="H151" s="369">
        <f t="shared" si="73"/>
        <v>86</v>
      </c>
      <c r="I151" s="369">
        <f t="shared" si="73"/>
        <v>86</v>
      </c>
      <c r="J151" s="369">
        <f t="shared" si="73"/>
        <v>86</v>
      </c>
      <c r="K151" s="369">
        <f t="shared" si="73"/>
        <v>86</v>
      </c>
      <c r="L151" s="369">
        <f t="shared" si="73"/>
        <v>86</v>
      </c>
      <c r="M151" s="369">
        <f t="shared" ref="M151:P159" si="74">+L151</f>
        <v>86</v>
      </c>
      <c r="N151" s="369">
        <f t="shared" si="74"/>
        <v>86</v>
      </c>
      <c r="O151" s="369">
        <f t="shared" si="74"/>
        <v>86</v>
      </c>
      <c r="P151" s="369">
        <f t="shared" si="74"/>
        <v>86</v>
      </c>
      <c r="Q151" s="399"/>
      <c r="R151" s="399"/>
    </row>
    <row r="152" spans="1:25" customFormat="1" ht="12" x14ac:dyDescent="0.3">
      <c r="A152" s="368">
        <f t="shared" ref="A152:A161" si="75">+A151+1</f>
        <v>2021</v>
      </c>
      <c r="B152" s="372"/>
      <c r="C152" s="369">
        <f>+C$43</f>
        <v>638</v>
      </c>
      <c r="D152" s="369">
        <f t="shared" ref="D152:L152" si="76">+C152</f>
        <v>638</v>
      </c>
      <c r="E152" s="369">
        <f t="shared" si="76"/>
        <v>638</v>
      </c>
      <c r="F152" s="369">
        <f t="shared" si="76"/>
        <v>638</v>
      </c>
      <c r="G152" s="369">
        <f t="shared" si="76"/>
        <v>638</v>
      </c>
      <c r="H152" s="369">
        <f t="shared" si="76"/>
        <v>638</v>
      </c>
      <c r="I152" s="369">
        <f t="shared" si="76"/>
        <v>638</v>
      </c>
      <c r="J152" s="369">
        <f t="shared" si="76"/>
        <v>638</v>
      </c>
      <c r="K152" s="369">
        <f t="shared" si="76"/>
        <v>638</v>
      </c>
      <c r="L152" s="369">
        <f t="shared" si="76"/>
        <v>638</v>
      </c>
      <c r="M152" s="369">
        <f t="shared" si="74"/>
        <v>638</v>
      </c>
      <c r="N152" s="369">
        <f t="shared" si="74"/>
        <v>638</v>
      </c>
      <c r="O152" s="369">
        <f t="shared" si="74"/>
        <v>638</v>
      </c>
      <c r="P152" s="369">
        <f t="shared" si="74"/>
        <v>638</v>
      </c>
      <c r="Q152" s="399"/>
      <c r="R152" s="399"/>
    </row>
    <row r="153" spans="1:25" customFormat="1" ht="12" x14ac:dyDescent="0.3">
      <c r="A153" s="368">
        <f t="shared" si="75"/>
        <v>2022</v>
      </c>
      <c r="B153" s="372"/>
      <c r="C153" s="373"/>
      <c r="D153" s="369">
        <f>+D$43</f>
        <v>1224</v>
      </c>
      <c r="E153" s="369">
        <f t="shared" ref="E153:L153" si="77">+D153</f>
        <v>1224</v>
      </c>
      <c r="F153" s="369">
        <f t="shared" si="77"/>
        <v>1224</v>
      </c>
      <c r="G153" s="369">
        <f t="shared" si="77"/>
        <v>1224</v>
      </c>
      <c r="H153" s="369">
        <f t="shared" si="77"/>
        <v>1224</v>
      </c>
      <c r="I153" s="369">
        <f t="shared" si="77"/>
        <v>1224</v>
      </c>
      <c r="J153" s="369">
        <f t="shared" si="77"/>
        <v>1224</v>
      </c>
      <c r="K153" s="369">
        <f t="shared" si="77"/>
        <v>1224</v>
      </c>
      <c r="L153" s="369">
        <f t="shared" si="77"/>
        <v>1224</v>
      </c>
      <c r="M153" s="369">
        <f t="shared" si="74"/>
        <v>1224</v>
      </c>
      <c r="N153" s="369">
        <f t="shared" si="74"/>
        <v>1224</v>
      </c>
      <c r="O153" s="369">
        <f t="shared" si="74"/>
        <v>1224</v>
      </c>
      <c r="P153" s="369">
        <f t="shared" si="74"/>
        <v>1224</v>
      </c>
      <c r="Q153" s="399"/>
      <c r="R153" s="399"/>
    </row>
    <row r="154" spans="1:25" customFormat="1" ht="12" x14ac:dyDescent="0.3">
      <c r="A154" s="368">
        <f t="shared" si="75"/>
        <v>2023</v>
      </c>
      <c r="B154" s="369"/>
      <c r="C154" s="373"/>
      <c r="D154" s="372"/>
      <c r="E154" s="369">
        <f>+E$43</f>
        <v>1320</v>
      </c>
      <c r="F154" s="369">
        <f t="shared" ref="F154:L154" si="78">+E154</f>
        <v>1320</v>
      </c>
      <c r="G154" s="369">
        <f t="shared" si="78"/>
        <v>1320</v>
      </c>
      <c r="H154" s="369">
        <f t="shared" si="78"/>
        <v>1320</v>
      </c>
      <c r="I154" s="369">
        <f t="shared" si="78"/>
        <v>1320</v>
      </c>
      <c r="J154" s="369">
        <f t="shared" si="78"/>
        <v>1320</v>
      </c>
      <c r="K154" s="369">
        <f t="shared" si="78"/>
        <v>1320</v>
      </c>
      <c r="L154" s="369">
        <f t="shared" si="78"/>
        <v>1320</v>
      </c>
      <c r="M154" s="369">
        <f t="shared" si="74"/>
        <v>1320</v>
      </c>
      <c r="N154" s="369">
        <f t="shared" si="74"/>
        <v>1320</v>
      </c>
      <c r="O154" s="369">
        <f t="shared" si="74"/>
        <v>1320</v>
      </c>
      <c r="P154" s="369">
        <f t="shared" si="74"/>
        <v>1320</v>
      </c>
      <c r="Q154" s="399"/>
      <c r="R154" s="399"/>
    </row>
    <row r="155" spans="1:25" customFormat="1" ht="12" x14ac:dyDescent="0.3">
      <c r="A155" s="368">
        <f t="shared" si="75"/>
        <v>2024</v>
      </c>
      <c r="B155" s="369"/>
      <c r="C155" s="373"/>
      <c r="D155" s="372"/>
      <c r="E155" s="372"/>
      <c r="F155" s="369">
        <f>+F$43</f>
        <v>1332</v>
      </c>
      <c r="G155" s="369">
        <f t="shared" ref="G155:L155" si="79">+F155</f>
        <v>1332</v>
      </c>
      <c r="H155" s="369">
        <f t="shared" si="79"/>
        <v>1332</v>
      </c>
      <c r="I155" s="369">
        <f t="shared" si="79"/>
        <v>1332</v>
      </c>
      <c r="J155" s="369">
        <f t="shared" si="79"/>
        <v>1332</v>
      </c>
      <c r="K155" s="369">
        <f t="shared" si="79"/>
        <v>1332</v>
      </c>
      <c r="L155" s="369">
        <f t="shared" si="79"/>
        <v>1332</v>
      </c>
      <c r="M155" s="369">
        <f t="shared" si="74"/>
        <v>1332</v>
      </c>
      <c r="N155" s="369">
        <f t="shared" si="74"/>
        <v>1332</v>
      </c>
      <c r="O155" s="369">
        <f t="shared" si="74"/>
        <v>1332</v>
      </c>
      <c r="P155" s="369">
        <f t="shared" si="74"/>
        <v>1332</v>
      </c>
      <c r="Q155" s="399"/>
      <c r="R155" s="399"/>
    </row>
    <row r="156" spans="1:25" customFormat="1" ht="12" x14ac:dyDescent="0.3">
      <c r="A156" s="368">
        <f t="shared" si="75"/>
        <v>2025</v>
      </c>
      <c r="B156" s="369"/>
      <c r="C156" s="373"/>
      <c r="D156" s="372"/>
      <c r="E156" s="372"/>
      <c r="F156" s="372"/>
      <c r="G156" s="369">
        <f>+G$43</f>
        <v>1300</v>
      </c>
      <c r="H156" s="369">
        <f>+G156</f>
        <v>1300</v>
      </c>
      <c r="I156" s="369">
        <f>+H156</f>
        <v>1300</v>
      </c>
      <c r="J156" s="369">
        <f>+I156</f>
        <v>1300</v>
      </c>
      <c r="K156" s="369">
        <f>+J156</f>
        <v>1300</v>
      </c>
      <c r="L156" s="369">
        <f>+K156</f>
        <v>1300</v>
      </c>
      <c r="M156" s="369">
        <f t="shared" si="74"/>
        <v>1300</v>
      </c>
      <c r="N156" s="369">
        <f t="shared" si="74"/>
        <v>1300</v>
      </c>
      <c r="O156" s="369">
        <f t="shared" si="74"/>
        <v>1300</v>
      </c>
      <c r="P156" s="369">
        <f t="shared" si="74"/>
        <v>1300</v>
      </c>
      <c r="Q156" s="399"/>
      <c r="R156" s="399"/>
    </row>
    <row r="157" spans="1:25" customFormat="1" ht="12" x14ac:dyDescent="0.3">
      <c r="A157" s="368">
        <f t="shared" si="75"/>
        <v>2026</v>
      </c>
      <c r="B157" s="369"/>
      <c r="C157" s="373"/>
      <c r="D157" s="372"/>
      <c r="E157" s="372"/>
      <c r="F157" s="372"/>
      <c r="G157" s="372"/>
      <c r="H157" s="369">
        <f>+H$43</f>
        <v>900</v>
      </c>
      <c r="I157" s="369">
        <f>+H157</f>
        <v>900</v>
      </c>
      <c r="J157" s="369">
        <f>+I157</f>
        <v>900</v>
      </c>
      <c r="K157" s="369">
        <f>+J157</f>
        <v>900</v>
      </c>
      <c r="L157" s="369">
        <f>+K157</f>
        <v>900</v>
      </c>
      <c r="M157" s="369">
        <f t="shared" si="74"/>
        <v>900</v>
      </c>
      <c r="N157" s="369">
        <f t="shared" si="74"/>
        <v>900</v>
      </c>
      <c r="O157" s="369">
        <f t="shared" si="74"/>
        <v>900</v>
      </c>
      <c r="P157" s="369">
        <f t="shared" si="74"/>
        <v>900</v>
      </c>
      <c r="Q157" s="399"/>
      <c r="R157" s="399"/>
    </row>
    <row r="158" spans="1:25" customFormat="1" ht="12" x14ac:dyDescent="0.3">
      <c r="A158" s="368">
        <f t="shared" si="75"/>
        <v>2027</v>
      </c>
      <c r="B158" s="369"/>
      <c r="C158" s="373"/>
      <c r="D158" s="372"/>
      <c r="E158" s="372"/>
      <c r="F158" s="372"/>
      <c r="G158" s="372"/>
      <c r="H158" s="372"/>
      <c r="I158" s="369">
        <f>+I$43</f>
        <v>100.23</v>
      </c>
      <c r="J158" s="369">
        <f>+I158</f>
        <v>100.23</v>
      </c>
      <c r="K158" s="369">
        <f>+J158</f>
        <v>100.23</v>
      </c>
      <c r="L158" s="369">
        <f>+K158</f>
        <v>100.23</v>
      </c>
      <c r="M158" s="369">
        <f t="shared" si="74"/>
        <v>100.23</v>
      </c>
      <c r="N158" s="369">
        <f t="shared" si="74"/>
        <v>100.23</v>
      </c>
      <c r="O158" s="369">
        <f t="shared" si="74"/>
        <v>100.23</v>
      </c>
      <c r="P158" s="369">
        <f t="shared" si="74"/>
        <v>100.23</v>
      </c>
      <c r="Q158" s="399"/>
      <c r="R158" s="399"/>
    </row>
    <row r="159" spans="1:25" customFormat="1" ht="12" x14ac:dyDescent="0.3">
      <c r="A159" s="368">
        <f t="shared" si="75"/>
        <v>2028</v>
      </c>
      <c r="B159" s="369"/>
      <c r="C159" s="373"/>
      <c r="D159" s="372"/>
      <c r="E159" s="372"/>
      <c r="F159" s="372"/>
      <c r="G159" s="372"/>
      <c r="H159" s="372"/>
      <c r="I159" s="372"/>
      <c r="J159" s="369">
        <f>+J$43</f>
        <v>101.2323</v>
      </c>
      <c r="K159" s="369">
        <f>+J159</f>
        <v>101.2323</v>
      </c>
      <c r="L159" s="369">
        <f>+K159</f>
        <v>101.2323</v>
      </c>
      <c r="M159" s="369">
        <f t="shared" si="74"/>
        <v>101.2323</v>
      </c>
      <c r="N159" s="369">
        <f t="shared" si="74"/>
        <v>101.2323</v>
      </c>
      <c r="O159" s="369">
        <f t="shared" si="74"/>
        <v>101.2323</v>
      </c>
      <c r="P159" s="369">
        <f t="shared" si="74"/>
        <v>101.2323</v>
      </c>
      <c r="Q159" s="399"/>
      <c r="R159" s="399"/>
    </row>
    <row r="160" spans="1:25" customFormat="1" ht="12" x14ac:dyDescent="0.3">
      <c r="A160" s="368">
        <f t="shared" si="75"/>
        <v>2029</v>
      </c>
      <c r="B160" s="369"/>
      <c r="C160" s="373"/>
      <c r="D160" s="372"/>
      <c r="E160" s="372"/>
      <c r="F160" s="372"/>
      <c r="G160" s="372"/>
      <c r="H160" s="372"/>
      <c r="I160" s="372"/>
      <c r="J160" s="372"/>
      <c r="K160" s="369">
        <f>+K$43</f>
        <v>102.24462299999999</v>
      </c>
      <c r="L160" s="369">
        <f>+K160</f>
        <v>102.24462299999999</v>
      </c>
      <c r="M160" s="369">
        <f t="shared" ref="M160:P164" si="80">+L160</f>
        <v>102.24462299999999</v>
      </c>
      <c r="N160" s="369">
        <f t="shared" si="80"/>
        <v>102.24462299999999</v>
      </c>
      <c r="O160" s="369">
        <f t="shared" si="80"/>
        <v>102.24462299999999</v>
      </c>
      <c r="P160" s="369">
        <f t="shared" si="80"/>
        <v>102.24462299999999</v>
      </c>
      <c r="Q160" s="399"/>
      <c r="R160" s="399"/>
    </row>
    <row r="161" spans="1:18" customFormat="1" ht="12" x14ac:dyDescent="0.3">
      <c r="A161" s="368">
        <f t="shared" si="75"/>
        <v>2030</v>
      </c>
      <c r="B161" s="369"/>
      <c r="C161" s="373"/>
      <c r="D161" s="372"/>
      <c r="E161" s="372"/>
      <c r="F161" s="372"/>
      <c r="G161" s="372"/>
      <c r="H161" s="372"/>
      <c r="I161" s="372"/>
      <c r="J161" s="372"/>
      <c r="K161" s="372"/>
      <c r="L161" s="369">
        <f>+L$43</f>
        <v>103.26706922999998</v>
      </c>
      <c r="M161" s="369">
        <f t="shared" si="80"/>
        <v>103.26706922999998</v>
      </c>
      <c r="N161" s="369">
        <f t="shared" si="80"/>
        <v>103.26706922999998</v>
      </c>
      <c r="O161" s="369">
        <f t="shared" si="80"/>
        <v>103.26706922999998</v>
      </c>
      <c r="P161" s="369">
        <f t="shared" si="80"/>
        <v>103.26706922999998</v>
      </c>
      <c r="Q161" s="399"/>
      <c r="R161" s="399"/>
    </row>
    <row r="162" spans="1:18" customFormat="1" ht="12" x14ac:dyDescent="0.3">
      <c r="A162" s="368">
        <f>+A161+1</f>
        <v>2031</v>
      </c>
      <c r="B162" s="369"/>
      <c r="C162" s="373"/>
      <c r="D162" s="372"/>
      <c r="E162" s="372"/>
      <c r="F162" s="372"/>
      <c r="G162" s="372"/>
      <c r="H162" s="372"/>
      <c r="I162" s="372"/>
      <c r="J162" s="372"/>
      <c r="K162" s="372"/>
      <c r="L162" s="369"/>
      <c r="M162" s="369">
        <f>+M$43</f>
        <v>104.29973992229999</v>
      </c>
      <c r="N162" s="369">
        <f t="shared" si="80"/>
        <v>104.29973992229999</v>
      </c>
      <c r="O162" s="369">
        <f t="shared" si="80"/>
        <v>104.29973992229999</v>
      </c>
      <c r="P162" s="369">
        <f t="shared" si="80"/>
        <v>104.29973992229999</v>
      </c>
      <c r="Q162" s="399"/>
      <c r="R162" s="399"/>
    </row>
    <row r="163" spans="1:18" customFormat="1" ht="12" x14ac:dyDescent="0.3">
      <c r="A163" s="368">
        <f>+A162+1</f>
        <v>2032</v>
      </c>
      <c r="B163" s="369"/>
      <c r="C163" s="373"/>
      <c r="D163" s="372"/>
      <c r="E163" s="372"/>
      <c r="F163" s="372"/>
      <c r="G163" s="372"/>
      <c r="H163" s="372"/>
      <c r="I163" s="372"/>
      <c r="J163" s="372"/>
      <c r="K163" s="372"/>
      <c r="L163" s="369"/>
      <c r="M163" s="369"/>
      <c r="N163" s="369">
        <f>+N$43</f>
        <v>73.112737321523127</v>
      </c>
      <c r="O163" s="369">
        <f t="shared" si="80"/>
        <v>73.112737321523127</v>
      </c>
      <c r="P163" s="369">
        <f t="shared" si="80"/>
        <v>73.112737321523127</v>
      </c>
      <c r="Q163" s="399"/>
      <c r="R163" s="399"/>
    </row>
    <row r="164" spans="1:18" customFormat="1" ht="12" x14ac:dyDescent="0.3">
      <c r="A164" s="368">
        <f>+A163+1</f>
        <v>2033</v>
      </c>
      <c r="B164" s="369"/>
      <c r="C164" s="373"/>
      <c r="D164" s="372"/>
      <c r="E164" s="372"/>
      <c r="F164" s="372"/>
      <c r="G164" s="372"/>
      <c r="H164" s="372"/>
      <c r="I164" s="372"/>
      <c r="J164" s="372"/>
      <c r="K164" s="372"/>
      <c r="L164" s="369"/>
      <c r="M164" s="369"/>
      <c r="N164" s="369"/>
      <c r="O164" s="369">
        <f>+O$43</f>
        <v>73.843864694737931</v>
      </c>
      <c r="P164" s="369">
        <f t="shared" si="80"/>
        <v>73.843864694737931</v>
      </c>
      <c r="Q164" s="399"/>
      <c r="R164" s="399"/>
    </row>
    <row r="165" spans="1:18" customFormat="1" ht="12" x14ac:dyDescent="0.3">
      <c r="A165" s="368">
        <f>+A164+1</f>
        <v>2034</v>
      </c>
      <c r="B165" s="369"/>
      <c r="C165" s="373"/>
      <c r="D165" s="372"/>
      <c r="E165" s="372"/>
      <c r="F165" s="372"/>
      <c r="G165" s="372"/>
      <c r="H165" s="372"/>
      <c r="I165" s="372"/>
      <c r="J165" s="372"/>
      <c r="K165" s="372"/>
      <c r="L165" s="369"/>
      <c r="M165" s="369"/>
      <c r="N165" s="369"/>
      <c r="O165" s="369"/>
      <c r="P165" s="369">
        <f>+P$43</f>
        <v>74.582303341685474</v>
      </c>
      <c r="Q165" s="399"/>
      <c r="R165" s="399"/>
    </row>
    <row r="166" spans="1:18" customFormat="1" ht="12" x14ac:dyDescent="0.3">
      <c r="A166" s="90" t="s">
        <v>266</v>
      </c>
      <c r="B166" s="371">
        <f t="shared" ref="B166:P166" si="81">+SUM(B151:B165)</f>
        <v>86</v>
      </c>
      <c r="C166" s="371">
        <f t="shared" si="81"/>
        <v>724</v>
      </c>
      <c r="D166" s="371">
        <f t="shared" si="81"/>
        <v>1948</v>
      </c>
      <c r="E166" s="371">
        <f t="shared" si="81"/>
        <v>3268</v>
      </c>
      <c r="F166" s="371">
        <f t="shared" si="81"/>
        <v>4600</v>
      </c>
      <c r="G166" s="371">
        <f t="shared" si="81"/>
        <v>5900</v>
      </c>
      <c r="H166" s="371">
        <f t="shared" si="81"/>
        <v>6800</v>
      </c>
      <c r="I166" s="371">
        <f t="shared" si="81"/>
        <v>6900.23</v>
      </c>
      <c r="J166" s="371">
        <f t="shared" si="81"/>
        <v>7001.4622999999992</v>
      </c>
      <c r="K166" s="371">
        <f t="shared" si="81"/>
        <v>7103.7069229999988</v>
      </c>
      <c r="L166" s="371">
        <f t="shared" si="81"/>
        <v>7206.9739922299987</v>
      </c>
      <c r="M166" s="371">
        <f t="shared" si="81"/>
        <v>7311.2737321522991</v>
      </c>
      <c r="N166" s="371">
        <f t="shared" si="81"/>
        <v>7384.3864694738222</v>
      </c>
      <c r="O166" s="371">
        <f t="shared" si="81"/>
        <v>7458.2303341685601</v>
      </c>
      <c r="P166" s="371">
        <f t="shared" si="81"/>
        <v>7532.8126375102456</v>
      </c>
      <c r="Q166" s="399"/>
      <c r="R166" s="399"/>
    </row>
    <row r="167" spans="1:18" customFormat="1" ht="12" x14ac:dyDescent="0.3">
      <c r="A167" s="141"/>
      <c r="C167" s="90"/>
      <c r="Q167" s="399"/>
      <c r="R167" s="399"/>
    </row>
    <row r="168" spans="1:18" customFormat="1" ht="12" x14ac:dyDescent="0.3">
      <c r="A168" s="90" t="s">
        <v>267</v>
      </c>
      <c r="C168" s="90"/>
      <c r="Q168" s="399"/>
      <c r="R168" s="399"/>
    </row>
    <row r="169" spans="1:18" customFormat="1" ht="12" x14ac:dyDescent="0.3">
      <c r="A169" s="366"/>
      <c r="B169" s="147">
        <v>2020</v>
      </c>
      <c r="C169" s="147">
        <f t="shared" ref="C169:L169" si="82">+B169+1</f>
        <v>2021</v>
      </c>
      <c r="D169" s="147">
        <f t="shared" si="82"/>
        <v>2022</v>
      </c>
      <c r="E169" s="147">
        <f t="shared" si="82"/>
        <v>2023</v>
      </c>
      <c r="F169" s="147">
        <f t="shared" si="82"/>
        <v>2024</v>
      </c>
      <c r="G169" s="147">
        <f t="shared" si="82"/>
        <v>2025</v>
      </c>
      <c r="H169" s="147">
        <f t="shared" si="82"/>
        <v>2026</v>
      </c>
      <c r="I169" s="147">
        <f t="shared" si="82"/>
        <v>2027</v>
      </c>
      <c r="J169" s="147">
        <f t="shared" si="82"/>
        <v>2028</v>
      </c>
      <c r="K169" s="147">
        <f t="shared" si="82"/>
        <v>2029</v>
      </c>
      <c r="L169" s="147">
        <f t="shared" si="82"/>
        <v>2030</v>
      </c>
      <c r="M169" s="147">
        <f>+L169+1</f>
        <v>2031</v>
      </c>
      <c r="N169" s="147">
        <f>+M169+1</f>
        <v>2032</v>
      </c>
      <c r="O169" s="147">
        <f>+N169+1</f>
        <v>2033</v>
      </c>
      <c r="P169" s="147">
        <f>+O169+1</f>
        <v>2034</v>
      </c>
      <c r="Q169" s="399"/>
      <c r="R169" s="399"/>
    </row>
    <row r="170" spans="1:18" customFormat="1" ht="12" x14ac:dyDescent="0.3">
      <c r="A170" s="1794">
        <v>2020</v>
      </c>
      <c r="B170" s="369">
        <f>+IF(B$169=$A170,B151*$B$10/$B$186,0)</f>
        <v>12.9</v>
      </c>
      <c r="C170" s="369">
        <f t="shared" ref="C170:P170" si="83">+IF(B170=C151*$B$10,B170,IF(B170&gt;0,B170+C151*$B$10/$B$186,IF(C$169=$A170,C151*$B$10/$B$186,0)))</f>
        <v>25.8</v>
      </c>
      <c r="D170" s="369">
        <f t="shared" si="83"/>
        <v>38.700000000000003</v>
      </c>
      <c r="E170" s="369">
        <f t="shared" si="83"/>
        <v>38.700000000000003</v>
      </c>
      <c r="F170" s="369">
        <f t="shared" si="83"/>
        <v>38.700000000000003</v>
      </c>
      <c r="G170" s="369">
        <f t="shared" si="83"/>
        <v>38.700000000000003</v>
      </c>
      <c r="H170" s="369">
        <f t="shared" si="83"/>
        <v>38.700000000000003</v>
      </c>
      <c r="I170" s="369">
        <f t="shared" si="83"/>
        <v>38.700000000000003</v>
      </c>
      <c r="J170" s="369">
        <f t="shared" si="83"/>
        <v>38.700000000000003</v>
      </c>
      <c r="K170" s="369">
        <f t="shared" si="83"/>
        <v>38.700000000000003</v>
      </c>
      <c r="L170" s="369">
        <f t="shared" si="83"/>
        <v>38.700000000000003</v>
      </c>
      <c r="M170" s="369">
        <f t="shared" si="83"/>
        <v>38.700000000000003</v>
      </c>
      <c r="N170" s="369">
        <f t="shared" si="83"/>
        <v>38.700000000000003</v>
      </c>
      <c r="O170" s="369">
        <f t="shared" si="83"/>
        <v>38.700000000000003</v>
      </c>
      <c r="P170" s="369">
        <f t="shared" si="83"/>
        <v>38.700000000000003</v>
      </c>
      <c r="Q170" s="399"/>
      <c r="R170" s="399"/>
    </row>
    <row r="171" spans="1:18" customFormat="1" ht="12" x14ac:dyDescent="0.3">
      <c r="A171" s="368">
        <f t="shared" ref="A171:A180" si="84">+A170+1</f>
        <v>2021</v>
      </c>
      <c r="B171" s="369"/>
      <c r="C171" s="369">
        <f t="shared" ref="C171:P171" si="85">+IF(B171=C152*$B$10,B171,IF(B171&gt;0,B171+C152*$B$10/$B$186,IF(C$169=$A171,C152*$B$10/$B$186,0)))</f>
        <v>95.7</v>
      </c>
      <c r="D171" s="369">
        <f t="shared" si="85"/>
        <v>191.4</v>
      </c>
      <c r="E171" s="369">
        <f t="shared" si="85"/>
        <v>287.10000000000002</v>
      </c>
      <c r="F171" s="369">
        <f t="shared" si="85"/>
        <v>287.10000000000002</v>
      </c>
      <c r="G171" s="369">
        <f t="shared" si="85"/>
        <v>287.10000000000002</v>
      </c>
      <c r="H171" s="369">
        <f t="shared" si="85"/>
        <v>287.10000000000002</v>
      </c>
      <c r="I171" s="369">
        <f t="shared" si="85"/>
        <v>287.10000000000002</v>
      </c>
      <c r="J171" s="369">
        <f t="shared" si="85"/>
        <v>287.10000000000002</v>
      </c>
      <c r="K171" s="369">
        <f t="shared" si="85"/>
        <v>287.10000000000002</v>
      </c>
      <c r="L171" s="369">
        <f t="shared" si="85"/>
        <v>287.10000000000002</v>
      </c>
      <c r="M171" s="369">
        <f t="shared" si="85"/>
        <v>287.10000000000002</v>
      </c>
      <c r="N171" s="369">
        <f t="shared" si="85"/>
        <v>287.10000000000002</v>
      </c>
      <c r="O171" s="369">
        <f t="shared" si="85"/>
        <v>287.10000000000002</v>
      </c>
      <c r="P171" s="369">
        <f t="shared" si="85"/>
        <v>287.10000000000002</v>
      </c>
      <c r="Q171" s="399"/>
      <c r="R171" s="399"/>
    </row>
    <row r="172" spans="1:18" customFormat="1" ht="12" x14ac:dyDescent="0.3">
      <c r="A172" s="368">
        <f t="shared" si="84"/>
        <v>2022</v>
      </c>
      <c r="B172" s="369"/>
      <c r="C172" s="369"/>
      <c r="D172" s="369">
        <f t="shared" ref="D172:P172" si="86">+IF(C172=D153*$B$10,C172,IF(C172&gt;0,C172+D153*$B$10/$B$186,IF(D$169=$A172,D153*$B$10/$B$186,0)))</f>
        <v>183.60000000000002</v>
      </c>
      <c r="E172" s="369">
        <f t="shared" si="86"/>
        <v>367.20000000000005</v>
      </c>
      <c r="F172" s="369">
        <f t="shared" si="86"/>
        <v>550.80000000000007</v>
      </c>
      <c r="G172" s="369">
        <f t="shared" si="86"/>
        <v>550.80000000000007</v>
      </c>
      <c r="H172" s="369">
        <f t="shared" si="86"/>
        <v>550.80000000000007</v>
      </c>
      <c r="I172" s="369">
        <f t="shared" si="86"/>
        <v>550.80000000000007</v>
      </c>
      <c r="J172" s="369">
        <f t="shared" si="86"/>
        <v>550.80000000000007</v>
      </c>
      <c r="K172" s="369">
        <f t="shared" si="86"/>
        <v>550.80000000000007</v>
      </c>
      <c r="L172" s="369">
        <f t="shared" si="86"/>
        <v>550.80000000000007</v>
      </c>
      <c r="M172" s="369">
        <f t="shared" si="86"/>
        <v>550.80000000000007</v>
      </c>
      <c r="N172" s="369">
        <f t="shared" si="86"/>
        <v>550.80000000000007</v>
      </c>
      <c r="O172" s="369">
        <f t="shared" si="86"/>
        <v>550.80000000000007</v>
      </c>
      <c r="P172" s="369">
        <f t="shared" si="86"/>
        <v>550.80000000000007</v>
      </c>
      <c r="Q172" s="399"/>
      <c r="R172" s="399"/>
    </row>
    <row r="173" spans="1:18" customFormat="1" ht="12" x14ac:dyDescent="0.3">
      <c r="A173" s="368">
        <f t="shared" si="84"/>
        <v>2023</v>
      </c>
      <c r="B173" s="369"/>
      <c r="C173" s="369"/>
      <c r="D173" s="369"/>
      <c r="E173" s="369">
        <f t="shared" ref="E173:P173" si="87">+IF(D173=E154*$B$10,D173,IF(D173&gt;0,D173+E154*$B$10/$B$186,IF(E$169=$A173,E154*$B$10/$B$186,0)))</f>
        <v>198</v>
      </c>
      <c r="F173" s="369">
        <f t="shared" si="87"/>
        <v>396</v>
      </c>
      <c r="G173" s="369">
        <f t="shared" si="87"/>
        <v>594</v>
      </c>
      <c r="H173" s="369">
        <f t="shared" si="87"/>
        <v>594</v>
      </c>
      <c r="I173" s="369">
        <f t="shared" si="87"/>
        <v>594</v>
      </c>
      <c r="J173" s="369">
        <f t="shared" si="87"/>
        <v>594</v>
      </c>
      <c r="K173" s="369">
        <f t="shared" si="87"/>
        <v>594</v>
      </c>
      <c r="L173" s="369">
        <f t="shared" si="87"/>
        <v>594</v>
      </c>
      <c r="M173" s="369">
        <f t="shared" si="87"/>
        <v>594</v>
      </c>
      <c r="N173" s="369">
        <f t="shared" si="87"/>
        <v>594</v>
      </c>
      <c r="O173" s="369">
        <f t="shared" si="87"/>
        <v>594</v>
      </c>
      <c r="P173" s="369">
        <f t="shared" si="87"/>
        <v>594</v>
      </c>
      <c r="Q173" s="399"/>
      <c r="R173" s="399"/>
    </row>
    <row r="174" spans="1:18" customFormat="1" ht="12" x14ac:dyDescent="0.3">
      <c r="A174" s="368">
        <f t="shared" si="84"/>
        <v>2024</v>
      </c>
      <c r="B174" s="369"/>
      <c r="C174" s="369"/>
      <c r="D174" s="369"/>
      <c r="E174" s="369"/>
      <c r="F174" s="369">
        <f t="shared" ref="F174:P174" si="88">+IF(E174=F155*$B$10,E174,IF(E174&gt;0,E174+F155*$B$10/$B$186,IF(F$169=$A174,F155*$B$10/$B$186,0)))</f>
        <v>199.79999999999998</v>
      </c>
      <c r="G174" s="369">
        <f t="shared" si="88"/>
        <v>399.59999999999997</v>
      </c>
      <c r="H174" s="369">
        <f t="shared" si="88"/>
        <v>599.4</v>
      </c>
      <c r="I174" s="369">
        <f t="shared" si="88"/>
        <v>599.4</v>
      </c>
      <c r="J174" s="369">
        <f t="shared" si="88"/>
        <v>599.4</v>
      </c>
      <c r="K174" s="369">
        <f t="shared" si="88"/>
        <v>599.4</v>
      </c>
      <c r="L174" s="369">
        <f t="shared" si="88"/>
        <v>599.4</v>
      </c>
      <c r="M174" s="369">
        <f t="shared" si="88"/>
        <v>599.4</v>
      </c>
      <c r="N174" s="369">
        <f t="shared" si="88"/>
        <v>599.4</v>
      </c>
      <c r="O174" s="369">
        <f t="shared" si="88"/>
        <v>599.4</v>
      </c>
      <c r="P174" s="369">
        <f t="shared" si="88"/>
        <v>599.4</v>
      </c>
      <c r="Q174" s="399"/>
      <c r="R174" s="399"/>
    </row>
    <row r="175" spans="1:18" customFormat="1" ht="12" x14ac:dyDescent="0.3">
      <c r="A175" s="368">
        <f t="shared" si="84"/>
        <v>2025</v>
      </c>
      <c r="B175" s="369"/>
      <c r="C175" s="369"/>
      <c r="D175" s="369"/>
      <c r="E175" s="369"/>
      <c r="F175" s="369"/>
      <c r="G175" s="369">
        <f t="shared" ref="G175:P175" si="89">+IF(F175=G156*$B$10,F175,IF(F175&gt;0,F175+G156*$B$10/$B$186,IF(G$169=$A175,G156*$B$10/$B$186,0)))</f>
        <v>195</v>
      </c>
      <c r="H175" s="369">
        <f t="shared" si="89"/>
        <v>390</v>
      </c>
      <c r="I175" s="369">
        <f t="shared" si="89"/>
        <v>585</v>
      </c>
      <c r="J175" s="369">
        <f t="shared" si="89"/>
        <v>585</v>
      </c>
      <c r="K175" s="369">
        <f t="shared" si="89"/>
        <v>585</v>
      </c>
      <c r="L175" s="369">
        <f t="shared" si="89"/>
        <v>585</v>
      </c>
      <c r="M175" s="369">
        <f t="shared" si="89"/>
        <v>585</v>
      </c>
      <c r="N175" s="369">
        <f t="shared" si="89"/>
        <v>585</v>
      </c>
      <c r="O175" s="369">
        <f t="shared" si="89"/>
        <v>585</v>
      </c>
      <c r="P175" s="369">
        <f t="shared" si="89"/>
        <v>585</v>
      </c>
      <c r="Q175" s="399"/>
      <c r="R175" s="399"/>
    </row>
    <row r="176" spans="1:18" customFormat="1" ht="12" x14ac:dyDescent="0.3">
      <c r="A176" s="368">
        <f t="shared" si="84"/>
        <v>2026</v>
      </c>
      <c r="B176" s="369"/>
      <c r="C176" s="369"/>
      <c r="D176" s="369"/>
      <c r="E176" s="369"/>
      <c r="F176" s="369"/>
      <c r="G176" s="369"/>
      <c r="H176" s="369">
        <f t="shared" ref="H176:P176" si="90">+IF(G176=H157*$B$10,G176,IF(G176&gt;0,G176+H157*$B$10/$B$186,IF(H$169=$A176,H157*$B$10/$B$186,0)))</f>
        <v>135</v>
      </c>
      <c r="I176" s="369">
        <f t="shared" si="90"/>
        <v>270</v>
      </c>
      <c r="J176" s="369">
        <f t="shared" si="90"/>
        <v>405</v>
      </c>
      <c r="K176" s="369">
        <f t="shared" si="90"/>
        <v>405</v>
      </c>
      <c r="L176" s="369">
        <f t="shared" si="90"/>
        <v>405</v>
      </c>
      <c r="M176" s="369">
        <f t="shared" si="90"/>
        <v>405</v>
      </c>
      <c r="N176" s="369">
        <f t="shared" si="90"/>
        <v>405</v>
      </c>
      <c r="O176" s="369">
        <f t="shared" si="90"/>
        <v>405</v>
      </c>
      <c r="P176" s="369">
        <f t="shared" si="90"/>
        <v>405</v>
      </c>
      <c r="Q176" s="399"/>
      <c r="R176" s="399"/>
    </row>
    <row r="177" spans="1:18" customFormat="1" ht="12" x14ac:dyDescent="0.3">
      <c r="A177" s="368">
        <f t="shared" si="84"/>
        <v>2027</v>
      </c>
      <c r="B177" s="369"/>
      <c r="C177" s="369"/>
      <c r="D177" s="369"/>
      <c r="E177" s="369"/>
      <c r="F177" s="369"/>
      <c r="G177" s="369"/>
      <c r="H177" s="369"/>
      <c r="I177" s="369">
        <f t="shared" ref="I177:P177" si="91">+IF(H177=I158*$B$10,H177,IF(H177&gt;0,H177+I158*$B$10/$B$186,IF(I$169=$A177,I158*$B$10/$B$186,0)))</f>
        <v>15.034500000000001</v>
      </c>
      <c r="J177" s="369">
        <f t="shared" si="91"/>
        <v>30.069000000000003</v>
      </c>
      <c r="K177" s="369">
        <f t="shared" si="91"/>
        <v>45.103500000000004</v>
      </c>
      <c r="L177" s="369">
        <f t="shared" si="91"/>
        <v>45.103500000000004</v>
      </c>
      <c r="M177" s="369">
        <f t="shared" si="91"/>
        <v>45.103500000000004</v>
      </c>
      <c r="N177" s="369">
        <f t="shared" si="91"/>
        <v>45.103500000000004</v>
      </c>
      <c r="O177" s="369">
        <f t="shared" si="91"/>
        <v>45.103500000000004</v>
      </c>
      <c r="P177" s="369">
        <f t="shared" si="91"/>
        <v>45.103500000000004</v>
      </c>
      <c r="Q177" s="399"/>
      <c r="R177" s="399"/>
    </row>
    <row r="178" spans="1:18" customFormat="1" ht="12" x14ac:dyDescent="0.3">
      <c r="A178" s="368">
        <f t="shared" si="84"/>
        <v>2028</v>
      </c>
      <c r="B178" s="369"/>
      <c r="C178" s="369"/>
      <c r="D178" s="369"/>
      <c r="E178" s="369"/>
      <c r="F178" s="369"/>
      <c r="G178" s="369"/>
      <c r="H178" s="369"/>
      <c r="I178" s="369"/>
      <c r="J178" s="369">
        <f t="shared" ref="J178:P178" si="92">+IF(I178=J159*$B$10,I178,IF(I178&gt;0,I178+J159*$B$10/$B$186,IF(J$169=$A178,J159*$B$10/$B$186,0)))</f>
        <v>15.184845000000001</v>
      </c>
      <c r="K178" s="369">
        <f t="shared" si="92"/>
        <v>30.369690000000002</v>
      </c>
      <c r="L178" s="369">
        <f t="shared" si="92"/>
        <v>45.554535000000001</v>
      </c>
      <c r="M178" s="369">
        <f t="shared" si="92"/>
        <v>45.554535000000001</v>
      </c>
      <c r="N178" s="369">
        <f t="shared" si="92"/>
        <v>45.554535000000001</v>
      </c>
      <c r="O178" s="369">
        <f t="shared" si="92"/>
        <v>45.554535000000001</v>
      </c>
      <c r="P178" s="369">
        <f t="shared" si="92"/>
        <v>45.554535000000001</v>
      </c>
      <c r="Q178" s="399"/>
      <c r="R178" s="399"/>
    </row>
    <row r="179" spans="1:18" customFormat="1" ht="12" x14ac:dyDescent="0.3">
      <c r="A179" s="368">
        <f t="shared" si="84"/>
        <v>2029</v>
      </c>
      <c r="B179" s="369"/>
      <c r="C179" s="369"/>
      <c r="D179" s="369"/>
      <c r="E179" s="369"/>
      <c r="F179" s="369"/>
      <c r="G179" s="369"/>
      <c r="H179" s="369"/>
      <c r="I179" s="369"/>
      <c r="J179" s="369"/>
      <c r="K179" s="369">
        <f t="shared" ref="K179:P179" si="93">+IF(J179=K160*$B$10,J179,IF(J179&gt;0,J179+K160*$B$10/$B$186,IF(K$169=$A179,K160*$B$10/$B$186,0)))</f>
        <v>15.336693449999999</v>
      </c>
      <c r="L179" s="369">
        <f t="shared" si="93"/>
        <v>30.673386899999997</v>
      </c>
      <c r="M179" s="369">
        <f t="shared" si="93"/>
        <v>46.010080349999996</v>
      </c>
      <c r="N179" s="369">
        <f t="shared" si="93"/>
        <v>46.010080349999996</v>
      </c>
      <c r="O179" s="369">
        <f t="shared" si="93"/>
        <v>46.010080349999996</v>
      </c>
      <c r="P179" s="369">
        <f t="shared" si="93"/>
        <v>46.010080349999996</v>
      </c>
      <c r="Q179" s="399"/>
      <c r="R179" s="399"/>
    </row>
    <row r="180" spans="1:18" customFormat="1" ht="12" x14ac:dyDescent="0.3">
      <c r="A180" s="368">
        <f t="shared" si="84"/>
        <v>2030</v>
      </c>
      <c r="B180" s="369"/>
      <c r="C180" s="369"/>
      <c r="D180" s="369"/>
      <c r="E180" s="369"/>
      <c r="F180" s="369"/>
      <c r="G180" s="369"/>
      <c r="H180" s="369"/>
      <c r="I180" s="369"/>
      <c r="J180" s="369"/>
      <c r="K180" s="369"/>
      <c r="L180" s="369">
        <f>+IF(K180=L161*$B$10,K180,IF(K180&gt;0,K180+L161*$B$10/$B$186,IF(L$169=$A180,L161*$B$10/$B$186,0)))</f>
        <v>15.490060384499998</v>
      </c>
      <c r="M180" s="369">
        <f>+IF(L180=M161*$B$10,L180,IF(L180&gt;0,L180+M161*$B$10/$B$186,IF(M$169=$A180,M161*$B$10/$B$186,0)))</f>
        <v>30.980120768999996</v>
      </c>
      <c r="N180" s="369">
        <f>+IF(M180=N161*$B$10,M180,IF(M180&gt;0,M180+N161*$B$10/$B$186,IF(N$169=$A180,N161*$B$10/$B$186,0)))</f>
        <v>46.470181153499993</v>
      </c>
      <c r="O180" s="369">
        <f>+IF(N180=O161*$B$10,N180,IF(N180&gt;0,N180+O161*$B$10/$B$186,IF(O$169=$A180,O161*$B$10/$B$186,0)))</f>
        <v>46.470181153499993</v>
      </c>
      <c r="P180" s="369">
        <f>+IF(O180=P161*$B$10,O180,IF(O180&gt;0,O180+P161*$B$10/$B$186,IF(P$169=$A180,P161*$B$10/$B$186,0)))</f>
        <v>46.470181153499993</v>
      </c>
      <c r="Q180" s="399"/>
      <c r="R180" s="399"/>
    </row>
    <row r="181" spans="1:18" customFormat="1" ht="12" x14ac:dyDescent="0.3">
      <c r="A181" s="368">
        <f>+A180+1</f>
        <v>2031</v>
      </c>
      <c r="B181" s="369"/>
      <c r="C181" s="369"/>
      <c r="D181" s="369"/>
      <c r="E181" s="369"/>
      <c r="F181" s="369"/>
      <c r="G181" s="369"/>
      <c r="H181" s="369"/>
      <c r="I181" s="369"/>
      <c r="J181" s="369"/>
      <c r="K181" s="369"/>
      <c r="L181" s="369"/>
      <c r="M181" s="369">
        <f>+IF(L181=M162*$B$10,L181,IF(L181&gt;0,L181+M162*$B$10/$B$186,IF(M$169=$A181,M162*$B$10/$B$186,0)))</f>
        <v>15.644960988344998</v>
      </c>
      <c r="N181" s="369">
        <f>+IF(M181=N162*$B$10,M181,IF(M181&gt;0,M181+N162*$B$10/$B$186,IF(N$169=$A181,N162*$B$10/$B$186,0)))</f>
        <v>31.289921976689996</v>
      </c>
      <c r="O181" s="369">
        <f>+IF(N181=O162*$B$10,N181,IF(N181&gt;0,N181+O162*$B$10/$B$186,IF(O$169=$A181,O162*$B$10/$B$186,0)))</f>
        <v>46.934882965034994</v>
      </c>
      <c r="P181" s="369">
        <f>+IF(O181=P162*$B$10,O181,IF(O181&gt;0,O181+P162*$B$10/$B$186,IF(P$169=$A181,P162*$B$10/$B$186,0)))</f>
        <v>46.934882965034994</v>
      </c>
      <c r="Q181" s="399"/>
      <c r="R181" s="399"/>
    </row>
    <row r="182" spans="1:18" customFormat="1" ht="12" x14ac:dyDescent="0.3">
      <c r="A182" s="368">
        <f>+A181+1</f>
        <v>2032</v>
      </c>
      <c r="B182" s="369"/>
      <c r="C182" s="369"/>
      <c r="D182" s="369"/>
      <c r="E182" s="369"/>
      <c r="F182" s="369"/>
      <c r="G182" s="369"/>
      <c r="H182" s="369"/>
      <c r="I182" s="369"/>
      <c r="J182" s="369"/>
      <c r="K182" s="369"/>
      <c r="L182" s="369"/>
      <c r="M182" s="369"/>
      <c r="N182" s="369">
        <f>+IF(M182=N163*$B$10,M182,IF(M182&gt;0,M182+N163*$B$10/$B$186,IF(N$169=$A182,N163*$B$10/$B$186,0)))</f>
        <v>10.966910598228468</v>
      </c>
      <c r="O182" s="369">
        <f>+IF(N182=O163*$B$10,N182,IF(N182&gt;0,N182+O163*$B$10/$B$186,IF(O$169=$A182,O163*$B$10/$B$186,0)))</f>
        <v>21.933821196456936</v>
      </c>
      <c r="P182" s="369">
        <f>+IF(O182=P163*$B$10,O182,IF(O182&gt;0,O182+P163*$B$10/$B$186,IF(P$169=$A182,P163*$B$10/$B$186,0)))</f>
        <v>32.900731794685406</v>
      </c>
      <c r="Q182" s="399"/>
      <c r="R182" s="399"/>
    </row>
    <row r="183" spans="1:18" customFormat="1" ht="12" x14ac:dyDescent="0.3">
      <c r="A183" s="368">
        <f>+A182+1</f>
        <v>2033</v>
      </c>
      <c r="B183" s="369"/>
      <c r="C183" s="369"/>
      <c r="D183" s="369"/>
      <c r="E183" s="369"/>
      <c r="F183" s="369"/>
      <c r="G183" s="369"/>
      <c r="H183" s="369"/>
      <c r="I183" s="369"/>
      <c r="J183" s="369"/>
      <c r="K183" s="369"/>
      <c r="L183" s="369"/>
      <c r="M183" s="369"/>
      <c r="N183" s="369"/>
      <c r="O183" s="369">
        <f>+IF(N183=O164*$B$10,N183,IF(N183&gt;0,N183+O164*$B$10/$B$186,IF(O$169=$A183,O164*$B$10/$B$186,0)))</f>
        <v>11.076579704210689</v>
      </c>
      <c r="P183" s="369">
        <f>+IF(O183=P164*$B$10,O183,IF(O183&gt;0,O183+P164*$B$10/$B$186,IF(P$169=$A183,P164*$B$10/$B$186,0)))</f>
        <v>22.153159408421377</v>
      </c>
      <c r="Q183" s="399"/>
      <c r="R183" s="399"/>
    </row>
    <row r="184" spans="1:18" customFormat="1" ht="12" x14ac:dyDescent="0.3">
      <c r="A184" s="368">
        <f>+A183+1</f>
        <v>2034</v>
      </c>
      <c r="B184" s="369"/>
      <c r="C184" s="369"/>
      <c r="D184" s="369"/>
      <c r="E184" s="369"/>
      <c r="F184" s="369"/>
      <c r="G184" s="369"/>
      <c r="H184" s="369"/>
      <c r="I184" s="369"/>
      <c r="J184" s="369"/>
      <c r="K184" s="369"/>
      <c r="L184" s="369"/>
      <c r="M184" s="369"/>
      <c r="N184" s="369"/>
      <c r="O184" s="369"/>
      <c r="P184" s="369">
        <f>+IF(O184=P165*$B$10,O184,IF(O184&gt;0,O184+P165*$B$10/$B$186,IF(P$169=$A184,P165*$B$10/$B$186,0)))</f>
        <v>11.187345501252821</v>
      </c>
      <c r="Q184" s="399"/>
      <c r="R184" s="399"/>
    </row>
    <row r="185" spans="1:18" customFormat="1" ht="12" x14ac:dyDescent="0.3">
      <c r="A185" s="90" t="s">
        <v>266</v>
      </c>
      <c r="B185" s="371">
        <f t="shared" ref="B185:P185" si="94">+SUM(B170:B184)</f>
        <v>12.9</v>
      </c>
      <c r="C185" s="371">
        <f t="shared" si="94"/>
        <v>121.5</v>
      </c>
      <c r="D185" s="371">
        <f t="shared" si="94"/>
        <v>413.70000000000005</v>
      </c>
      <c r="E185" s="371">
        <f t="shared" si="94"/>
        <v>891</v>
      </c>
      <c r="F185" s="371">
        <f t="shared" si="94"/>
        <v>1472.4</v>
      </c>
      <c r="G185" s="371">
        <f t="shared" si="94"/>
        <v>2065.1999999999998</v>
      </c>
      <c r="H185" s="371">
        <f t="shared" si="94"/>
        <v>2595</v>
      </c>
      <c r="I185" s="371">
        <f t="shared" si="94"/>
        <v>2940.0345000000002</v>
      </c>
      <c r="J185" s="371">
        <f t="shared" si="94"/>
        <v>3105.2538450000002</v>
      </c>
      <c r="K185" s="371">
        <f t="shared" si="94"/>
        <v>3150.8098834500001</v>
      </c>
      <c r="L185" s="371">
        <f t="shared" si="94"/>
        <v>3196.8214822845002</v>
      </c>
      <c r="M185" s="371">
        <f t="shared" si="94"/>
        <v>3243.2931971073449</v>
      </c>
      <c r="N185" s="371">
        <f t="shared" si="94"/>
        <v>3285.3951290784189</v>
      </c>
      <c r="O185" s="371">
        <f t="shared" si="94"/>
        <v>3323.083580369203</v>
      </c>
      <c r="P185" s="371">
        <f t="shared" si="94"/>
        <v>3356.3144161728947</v>
      </c>
      <c r="Q185" s="399"/>
      <c r="R185" s="399"/>
    </row>
    <row r="186" spans="1:18" customFormat="1" ht="12" x14ac:dyDescent="0.3">
      <c r="A186" s="94" t="s">
        <v>268</v>
      </c>
      <c r="B186" s="532">
        <v>3</v>
      </c>
      <c r="Q186" s="399"/>
      <c r="R186" s="399"/>
    </row>
    <row r="187" spans="1:18" customFormat="1" ht="12" x14ac:dyDescent="0.3">
      <c r="A187" s="94" t="s">
        <v>269</v>
      </c>
      <c r="B187" s="87">
        <v>0.45</v>
      </c>
      <c r="Q187" s="399"/>
      <c r="R187" s="399"/>
    </row>
    <row r="188" spans="1:18" customFormat="1" ht="12" x14ac:dyDescent="0.3">
      <c r="B188" s="367"/>
      <c r="Q188" s="399"/>
      <c r="R188" s="399"/>
    </row>
    <row r="189" spans="1:18" customFormat="1" x14ac:dyDescent="0.35">
      <c r="A189" s="90" t="s">
        <v>270</v>
      </c>
      <c r="B189" s="392"/>
      <c r="Q189" s="399"/>
      <c r="R189" s="399"/>
    </row>
    <row r="190" spans="1:18" customFormat="1" ht="12" x14ac:dyDescent="0.3">
      <c r="A190" s="366"/>
      <c r="B190" s="147">
        <v>2020</v>
      </c>
      <c r="C190" s="147">
        <f t="shared" ref="C190:L190" si="95">+B190+1</f>
        <v>2021</v>
      </c>
      <c r="D190" s="147">
        <f t="shared" si="95"/>
        <v>2022</v>
      </c>
      <c r="E190" s="147">
        <f t="shared" si="95"/>
        <v>2023</v>
      </c>
      <c r="F190" s="147">
        <f t="shared" si="95"/>
        <v>2024</v>
      </c>
      <c r="G190" s="147">
        <f t="shared" si="95"/>
        <v>2025</v>
      </c>
      <c r="H190" s="147">
        <f t="shared" si="95"/>
        <v>2026</v>
      </c>
      <c r="I190" s="147">
        <f t="shared" si="95"/>
        <v>2027</v>
      </c>
      <c r="J190" s="147">
        <f t="shared" si="95"/>
        <v>2028</v>
      </c>
      <c r="K190" s="147">
        <f t="shared" si="95"/>
        <v>2029</v>
      </c>
      <c r="L190" s="147">
        <f t="shared" si="95"/>
        <v>2030</v>
      </c>
      <c r="M190" s="147">
        <f>+L190+1</f>
        <v>2031</v>
      </c>
      <c r="N190" s="147">
        <f>+M190+1</f>
        <v>2032</v>
      </c>
      <c r="O190" s="147">
        <f>+N190+1</f>
        <v>2033</v>
      </c>
      <c r="P190" s="147">
        <f>+O190+1</f>
        <v>2034</v>
      </c>
      <c r="Q190" s="399"/>
      <c r="R190" s="399"/>
    </row>
    <row r="191" spans="1:18" customFormat="1" ht="12" x14ac:dyDescent="0.3">
      <c r="A191" s="1794">
        <v>2020</v>
      </c>
      <c r="B191" s="74">
        <f t="shared" ref="B191:P191" si="96">+IFERROR(B170/B151,0%)</f>
        <v>0.15</v>
      </c>
      <c r="C191" s="74">
        <f t="shared" si="96"/>
        <v>0.3</v>
      </c>
      <c r="D191" s="74">
        <f t="shared" si="96"/>
        <v>0.45</v>
      </c>
      <c r="E191" s="74">
        <f t="shared" si="96"/>
        <v>0.45</v>
      </c>
      <c r="F191" s="74">
        <f t="shared" si="96"/>
        <v>0.45</v>
      </c>
      <c r="G191" s="74">
        <f t="shared" si="96"/>
        <v>0.45</v>
      </c>
      <c r="H191" s="74">
        <f t="shared" si="96"/>
        <v>0.45</v>
      </c>
      <c r="I191" s="74">
        <f t="shared" si="96"/>
        <v>0.45</v>
      </c>
      <c r="J191" s="74">
        <f t="shared" si="96"/>
        <v>0.45</v>
      </c>
      <c r="K191" s="74">
        <f t="shared" si="96"/>
        <v>0.45</v>
      </c>
      <c r="L191" s="74">
        <f t="shared" si="96"/>
        <v>0.45</v>
      </c>
      <c r="M191" s="74">
        <f t="shared" si="96"/>
        <v>0.45</v>
      </c>
      <c r="N191" s="74">
        <f t="shared" si="96"/>
        <v>0.45</v>
      </c>
      <c r="O191" s="74">
        <f t="shared" si="96"/>
        <v>0.45</v>
      </c>
      <c r="P191" s="74">
        <f t="shared" si="96"/>
        <v>0.45</v>
      </c>
      <c r="Q191" s="399"/>
      <c r="R191" s="399"/>
    </row>
    <row r="192" spans="1:18" customFormat="1" ht="12" x14ac:dyDescent="0.3">
      <c r="A192" s="368">
        <f t="shared" ref="A192:A201" si="97">+A191+1</f>
        <v>2021</v>
      </c>
      <c r="B192" s="74"/>
      <c r="C192" s="74">
        <f t="shared" ref="C192:P192" si="98">+IFERROR(C171/C152,0%)</f>
        <v>0.15</v>
      </c>
      <c r="D192" s="74">
        <f t="shared" si="98"/>
        <v>0.3</v>
      </c>
      <c r="E192" s="74">
        <f t="shared" si="98"/>
        <v>0.45</v>
      </c>
      <c r="F192" s="74">
        <f t="shared" si="98"/>
        <v>0.45</v>
      </c>
      <c r="G192" s="74">
        <f t="shared" si="98"/>
        <v>0.45</v>
      </c>
      <c r="H192" s="74">
        <f t="shared" si="98"/>
        <v>0.45</v>
      </c>
      <c r="I192" s="74">
        <f t="shared" si="98"/>
        <v>0.45</v>
      </c>
      <c r="J192" s="74">
        <f t="shared" si="98"/>
        <v>0.45</v>
      </c>
      <c r="K192" s="74">
        <f t="shared" si="98"/>
        <v>0.45</v>
      </c>
      <c r="L192" s="74">
        <f t="shared" si="98"/>
        <v>0.45</v>
      </c>
      <c r="M192" s="74">
        <f t="shared" si="98"/>
        <v>0.45</v>
      </c>
      <c r="N192" s="74">
        <f t="shared" si="98"/>
        <v>0.45</v>
      </c>
      <c r="O192" s="74">
        <f t="shared" si="98"/>
        <v>0.45</v>
      </c>
      <c r="P192" s="74">
        <f t="shared" si="98"/>
        <v>0.45</v>
      </c>
      <c r="Q192" s="399"/>
      <c r="R192" s="399"/>
    </row>
    <row r="193" spans="1:18" customFormat="1" ht="12" x14ac:dyDescent="0.3">
      <c r="A193" s="368">
        <f t="shared" si="97"/>
        <v>2022</v>
      </c>
      <c r="B193" s="74"/>
      <c r="C193" s="74"/>
      <c r="D193" s="74">
        <f t="shared" ref="D193:P193" si="99">+IFERROR(D172/D153,0%)</f>
        <v>0.15000000000000002</v>
      </c>
      <c r="E193" s="74">
        <f t="shared" si="99"/>
        <v>0.30000000000000004</v>
      </c>
      <c r="F193" s="74">
        <f t="shared" si="99"/>
        <v>0.45000000000000007</v>
      </c>
      <c r="G193" s="74">
        <f t="shared" si="99"/>
        <v>0.45000000000000007</v>
      </c>
      <c r="H193" s="74">
        <f t="shared" si="99"/>
        <v>0.45000000000000007</v>
      </c>
      <c r="I193" s="74">
        <f t="shared" si="99"/>
        <v>0.45000000000000007</v>
      </c>
      <c r="J193" s="74">
        <f t="shared" si="99"/>
        <v>0.45000000000000007</v>
      </c>
      <c r="K193" s="74">
        <f t="shared" si="99"/>
        <v>0.45000000000000007</v>
      </c>
      <c r="L193" s="74">
        <f t="shared" si="99"/>
        <v>0.45000000000000007</v>
      </c>
      <c r="M193" s="74">
        <f t="shared" si="99"/>
        <v>0.45000000000000007</v>
      </c>
      <c r="N193" s="74">
        <f t="shared" si="99"/>
        <v>0.45000000000000007</v>
      </c>
      <c r="O193" s="74">
        <f t="shared" si="99"/>
        <v>0.45000000000000007</v>
      </c>
      <c r="P193" s="74">
        <f t="shared" si="99"/>
        <v>0.45000000000000007</v>
      </c>
      <c r="Q193" s="399"/>
      <c r="R193" s="399"/>
    </row>
    <row r="194" spans="1:18" customFormat="1" ht="12" x14ac:dyDescent="0.3">
      <c r="A194" s="368">
        <f t="shared" si="97"/>
        <v>2023</v>
      </c>
      <c r="B194" s="74"/>
      <c r="C194" s="74"/>
      <c r="D194" s="74"/>
      <c r="E194" s="74">
        <f t="shared" ref="E194:P194" si="100">+IFERROR(E173/E154,0%)</f>
        <v>0.15</v>
      </c>
      <c r="F194" s="74">
        <f t="shared" si="100"/>
        <v>0.3</v>
      </c>
      <c r="G194" s="74">
        <f t="shared" si="100"/>
        <v>0.45</v>
      </c>
      <c r="H194" s="74">
        <f t="shared" si="100"/>
        <v>0.45</v>
      </c>
      <c r="I194" s="74">
        <f t="shared" si="100"/>
        <v>0.45</v>
      </c>
      <c r="J194" s="74">
        <f t="shared" si="100"/>
        <v>0.45</v>
      </c>
      <c r="K194" s="74">
        <f t="shared" si="100"/>
        <v>0.45</v>
      </c>
      <c r="L194" s="74">
        <f t="shared" si="100"/>
        <v>0.45</v>
      </c>
      <c r="M194" s="74">
        <f t="shared" si="100"/>
        <v>0.45</v>
      </c>
      <c r="N194" s="74">
        <f t="shared" si="100"/>
        <v>0.45</v>
      </c>
      <c r="O194" s="74">
        <f t="shared" si="100"/>
        <v>0.45</v>
      </c>
      <c r="P194" s="74">
        <f t="shared" si="100"/>
        <v>0.45</v>
      </c>
      <c r="Q194" s="399"/>
      <c r="R194" s="399"/>
    </row>
    <row r="195" spans="1:18" customFormat="1" ht="12" x14ac:dyDescent="0.3">
      <c r="A195" s="368">
        <f t="shared" si="97"/>
        <v>2024</v>
      </c>
      <c r="B195" s="74"/>
      <c r="C195" s="74"/>
      <c r="D195" s="74"/>
      <c r="E195" s="74"/>
      <c r="F195" s="74">
        <f t="shared" ref="F195:P195" si="101">+IFERROR(F174/F155,0%)</f>
        <v>0.15</v>
      </c>
      <c r="G195" s="74">
        <f t="shared" si="101"/>
        <v>0.3</v>
      </c>
      <c r="H195" s="74">
        <f t="shared" si="101"/>
        <v>0.44999999999999996</v>
      </c>
      <c r="I195" s="74">
        <f t="shared" si="101"/>
        <v>0.44999999999999996</v>
      </c>
      <c r="J195" s="74">
        <f t="shared" si="101"/>
        <v>0.44999999999999996</v>
      </c>
      <c r="K195" s="74">
        <f t="shared" si="101"/>
        <v>0.44999999999999996</v>
      </c>
      <c r="L195" s="74">
        <f t="shared" si="101"/>
        <v>0.44999999999999996</v>
      </c>
      <c r="M195" s="74">
        <f t="shared" si="101"/>
        <v>0.44999999999999996</v>
      </c>
      <c r="N195" s="74">
        <f t="shared" si="101"/>
        <v>0.44999999999999996</v>
      </c>
      <c r="O195" s="74">
        <f t="shared" si="101"/>
        <v>0.44999999999999996</v>
      </c>
      <c r="P195" s="74">
        <f t="shared" si="101"/>
        <v>0.44999999999999996</v>
      </c>
      <c r="Q195" s="399"/>
      <c r="R195" s="399"/>
    </row>
    <row r="196" spans="1:18" customFormat="1" ht="12" x14ac:dyDescent="0.3">
      <c r="A196" s="368">
        <f t="shared" si="97"/>
        <v>2025</v>
      </c>
      <c r="B196" s="74"/>
      <c r="C196" s="74"/>
      <c r="D196" s="74"/>
      <c r="E196" s="74"/>
      <c r="F196" s="74"/>
      <c r="G196" s="74">
        <f t="shared" ref="G196:P196" si="102">+IFERROR(G175/G156,0%)</f>
        <v>0.15</v>
      </c>
      <c r="H196" s="74">
        <f t="shared" si="102"/>
        <v>0.3</v>
      </c>
      <c r="I196" s="74">
        <f t="shared" si="102"/>
        <v>0.45</v>
      </c>
      <c r="J196" s="74">
        <f t="shared" si="102"/>
        <v>0.45</v>
      </c>
      <c r="K196" s="74">
        <f t="shared" si="102"/>
        <v>0.45</v>
      </c>
      <c r="L196" s="74">
        <f t="shared" si="102"/>
        <v>0.45</v>
      </c>
      <c r="M196" s="74">
        <f t="shared" si="102"/>
        <v>0.45</v>
      </c>
      <c r="N196" s="74">
        <f t="shared" si="102"/>
        <v>0.45</v>
      </c>
      <c r="O196" s="74">
        <f t="shared" si="102"/>
        <v>0.45</v>
      </c>
      <c r="P196" s="74">
        <f t="shared" si="102"/>
        <v>0.45</v>
      </c>
      <c r="Q196" s="399"/>
      <c r="R196" s="399"/>
    </row>
    <row r="197" spans="1:18" customFormat="1" ht="12" x14ac:dyDescent="0.3">
      <c r="A197" s="368">
        <f t="shared" si="97"/>
        <v>2026</v>
      </c>
      <c r="B197" s="74"/>
      <c r="C197" s="74"/>
      <c r="D197" s="74"/>
      <c r="E197" s="74"/>
      <c r="F197" s="74"/>
      <c r="G197" s="74"/>
      <c r="H197" s="74">
        <f t="shared" ref="H197:P197" si="103">+IFERROR(H176/H157,0%)</f>
        <v>0.15</v>
      </c>
      <c r="I197" s="74">
        <f t="shared" si="103"/>
        <v>0.3</v>
      </c>
      <c r="J197" s="74">
        <f t="shared" si="103"/>
        <v>0.45</v>
      </c>
      <c r="K197" s="74">
        <f t="shared" si="103"/>
        <v>0.45</v>
      </c>
      <c r="L197" s="74">
        <f t="shared" si="103"/>
        <v>0.45</v>
      </c>
      <c r="M197" s="74">
        <f t="shared" si="103"/>
        <v>0.45</v>
      </c>
      <c r="N197" s="74">
        <f t="shared" si="103"/>
        <v>0.45</v>
      </c>
      <c r="O197" s="74">
        <f t="shared" si="103"/>
        <v>0.45</v>
      </c>
      <c r="P197" s="74">
        <f t="shared" si="103"/>
        <v>0.45</v>
      </c>
      <c r="Q197" s="399"/>
      <c r="R197" s="399"/>
    </row>
    <row r="198" spans="1:18" customFormat="1" ht="12" x14ac:dyDescent="0.3">
      <c r="A198" s="368">
        <f t="shared" si="97"/>
        <v>2027</v>
      </c>
      <c r="B198" s="74"/>
      <c r="C198" s="74"/>
      <c r="D198" s="74"/>
      <c r="E198" s="74"/>
      <c r="F198" s="74"/>
      <c r="G198" s="74"/>
      <c r="H198" s="74"/>
      <c r="I198" s="74">
        <f t="shared" ref="I198:P198" si="104">+IFERROR(I177/I158,0%)</f>
        <v>0.15</v>
      </c>
      <c r="J198" s="74">
        <f t="shared" si="104"/>
        <v>0.3</v>
      </c>
      <c r="K198" s="74">
        <f t="shared" si="104"/>
        <v>0.45</v>
      </c>
      <c r="L198" s="74">
        <f t="shared" si="104"/>
        <v>0.45</v>
      </c>
      <c r="M198" s="74">
        <f t="shared" si="104"/>
        <v>0.45</v>
      </c>
      <c r="N198" s="74">
        <f t="shared" si="104"/>
        <v>0.45</v>
      </c>
      <c r="O198" s="74">
        <f t="shared" si="104"/>
        <v>0.45</v>
      </c>
      <c r="P198" s="74">
        <f t="shared" si="104"/>
        <v>0.45</v>
      </c>
      <c r="Q198" s="399"/>
      <c r="R198" s="399"/>
    </row>
    <row r="199" spans="1:18" customFormat="1" ht="12" x14ac:dyDescent="0.3">
      <c r="A199" s="368">
        <f t="shared" si="97"/>
        <v>2028</v>
      </c>
      <c r="B199" s="74"/>
      <c r="C199" s="74"/>
      <c r="D199" s="74"/>
      <c r="E199" s="74"/>
      <c r="F199" s="74"/>
      <c r="G199" s="74"/>
      <c r="H199" s="74"/>
      <c r="I199" s="74"/>
      <c r="J199" s="74">
        <f t="shared" ref="J199:P199" si="105">+IFERROR(J178/J159,0%)</f>
        <v>0.15000000000000002</v>
      </c>
      <c r="K199" s="74">
        <f t="shared" si="105"/>
        <v>0.30000000000000004</v>
      </c>
      <c r="L199" s="74">
        <f t="shared" si="105"/>
        <v>0.45</v>
      </c>
      <c r="M199" s="74">
        <f t="shared" si="105"/>
        <v>0.45</v>
      </c>
      <c r="N199" s="74">
        <f t="shared" si="105"/>
        <v>0.45</v>
      </c>
      <c r="O199" s="74">
        <f t="shared" si="105"/>
        <v>0.45</v>
      </c>
      <c r="P199" s="74">
        <f t="shared" si="105"/>
        <v>0.45</v>
      </c>
      <c r="Q199" s="399"/>
      <c r="R199" s="399"/>
    </row>
    <row r="200" spans="1:18" customFormat="1" ht="12" x14ac:dyDescent="0.3">
      <c r="A200" s="368">
        <f t="shared" si="97"/>
        <v>2029</v>
      </c>
      <c r="B200" s="74"/>
      <c r="C200" s="74"/>
      <c r="D200" s="74"/>
      <c r="E200" s="74"/>
      <c r="F200" s="74"/>
      <c r="G200" s="74"/>
      <c r="H200" s="74"/>
      <c r="I200" s="74"/>
      <c r="J200" s="74"/>
      <c r="K200" s="74">
        <f t="shared" ref="K200:P200" si="106">+IFERROR(K179/K160,0%)</f>
        <v>0.15</v>
      </c>
      <c r="L200" s="74">
        <f t="shared" si="106"/>
        <v>0.3</v>
      </c>
      <c r="M200" s="74">
        <f t="shared" si="106"/>
        <v>0.45</v>
      </c>
      <c r="N200" s="74">
        <f t="shared" si="106"/>
        <v>0.45</v>
      </c>
      <c r="O200" s="74">
        <f t="shared" si="106"/>
        <v>0.45</v>
      </c>
      <c r="P200" s="74">
        <f t="shared" si="106"/>
        <v>0.45</v>
      </c>
      <c r="Q200" s="399"/>
      <c r="R200" s="399"/>
    </row>
    <row r="201" spans="1:18" customFormat="1" ht="12" x14ac:dyDescent="0.3">
      <c r="A201" s="368">
        <f t="shared" si="97"/>
        <v>2030</v>
      </c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>
        <f>+IFERROR(L180/L161,0%)</f>
        <v>0.15000000000000002</v>
      </c>
      <c r="M201" s="74">
        <f>+IFERROR(M180/M161,0%)</f>
        <v>0.30000000000000004</v>
      </c>
      <c r="N201" s="74">
        <f>+IFERROR(N180/N161,0%)</f>
        <v>0.45000000000000007</v>
      </c>
      <c r="O201" s="74">
        <f>+IFERROR(O180/O161,0%)</f>
        <v>0.45000000000000007</v>
      </c>
      <c r="P201" s="74">
        <f>+IFERROR(P180/P161,0%)</f>
        <v>0.45000000000000007</v>
      </c>
      <c r="Q201" s="399"/>
      <c r="R201" s="399"/>
    </row>
    <row r="202" spans="1:18" customFormat="1" ht="12" x14ac:dyDescent="0.3">
      <c r="A202" s="368">
        <f>+A201+1</f>
        <v>2031</v>
      </c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>
        <f>+IFERROR(M181/M162,0%)</f>
        <v>0.15</v>
      </c>
      <c r="N202" s="74">
        <f>+IFERROR(N181/N162,0%)</f>
        <v>0.3</v>
      </c>
      <c r="O202" s="74">
        <f>+IFERROR(O181/O162,0%)</f>
        <v>0.44999999999999996</v>
      </c>
      <c r="P202" s="74">
        <f>+IFERROR(P181/P162,0%)</f>
        <v>0.44999999999999996</v>
      </c>
      <c r="Q202" s="399"/>
      <c r="R202" s="399"/>
    </row>
    <row r="203" spans="1:18" customFormat="1" ht="12" x14ac:dyDescent="0.3">
      <c r="A203" s="368">
        <f>+A202+1</f>
        <v>2032</v>
      </c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>
        <f>+IFERROR(N182/N163,0%)</f>
        <v>0.15</v>
      </c>
      <c r="O203" s="74">
        <f>+IFERROR(O182/O163,0%)</f>
        <v>0.3</v>
      </c>
      <c r="P203" s="74">
        <f>+IFERROR(P182/P163,0%)</f>
        <v>0.44999999999999996</v>
      </c>
      <c r="Q203" s="399"/>
      <c r="R203" s="399"/>
    </row>
    <row r="204" spans="1:18" customFormat="1" ht="12" x14ac:dyDescent="0.3">
      <c r="A204" s="368">
        <f>+A203+1</f>
        <v>2033</v>
      </c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>
        <f>+IFERROR(O183/O164,0%)</f>
        <v>0.15</v>
      </c>
      <c r="P204" s="74">
        <f>+IFERROR(P183/P164,0%)</f>
        <v>0.3</v>
      </c>
      <c r="Q204" s="399"/>
      <c r="R204" s="399"/>
    </row>
    <row r="205" spans="1:18" customFormat="1" ht="12" x14ac:dyDescent="0.3">
      <c r="A205" s="368">
        <f>+A204+1</f>
        <v>2034</v>
      </c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>
        <f>+IFERROR(P184/P165,0%)</f>
        <v>0.15</v>
      </c>
      <c r="Q205" s="399"/>
      <c r="R205" s="399"/>
    </row>
    <row r="206" spans="1:18" customFormat="1" ht="12" x14ac:dyDescent="0.3">
      <c r="A206" s="90" t="s">
        <v>266</v>
      </c>
      <c r="B206" s="370">
        <f t="shared" ref="B206:O206" si="107">+IFERROR(B185/B166,0%)</f>
        <v>0.15</v>
      </c>
      <c r="C206" s="370">
        <f t="shared" si="107"/>
        <v>0.16781767955801105</v>
      </c>
      <c r="D206" s="370">
        <f t="shared" si="107"/>
        <v>0.21237166324435319</v>
      </c>
      <c r="E206" s="370">
        <f t="shared" si="107"/>
        <v>0.27264381884944922</v>
      </c>
      <c r="F206" s="370">
        <f t="shared" si="107"/>
        <v>0.32008695652173913</v>
      </c>
      <c r="G206" s="370">
        <f t="shared" si="107"/>
        <v>0.35003389830508469</v>
      </c>
      <c r="H206" s="370">
        <f t="shared" si="107"/>
        <v>0.38161764705882351</v>
      </c>
      <c r="I206" s="370">
        <f t="shared" si="107"/>
        <v>0.42607775392994152</v>
      </c>
      <c r="J206" s="370">
        <f t="shared" si="107"/>
        <v>0.44351504185061463</v>
      </c>
      <c r="K206" s="370">
        <f t="shared" si="107"/>
        <v>0.44354446454547247</v>
      </c>
      <c r="L206" s="370">
        <f t="shared" si="107"/>
        <v>0.44357333406934252</v>
      </c>
      <c r="M206" s="370">
        <f t="shared" si="107"/>
        <v>0.44360166448761607</v>
      </c>
      <c r="N206" s="370">
        <f t="shared" si="107"/>
        <v>0.44491104882712362</v>
      </c>
      <c r="O206" s="370">
        <f t="shared" si="107"/>
        <v>0.44555925889618675</v>
      </c>
      <c r="P206" s="370">
        <f>+IFERROR(P185/P166,0%)</f>
        <v>0.44555925889618669</v>
      </c>
      <c r="Q206" s="399"/>
      <c r="R206" s="399"/>
    </row>
    <row r="207" spans="1:18" customFormat="1" ht="12" x14ac:dyDescent="0.3">
      <c r="A207" s="94"/>
      <c r="Q207" s="399"/>
      <c r="R207" s="399"/>
    </row>
    <row r="208" spans="1:18" customFormat="1" ht="12" x14ac:dyDescent="0.3">
      <c r="A208" s="141" t="s">
        <v>271</v>
      </c>
      <c r="Q208" s="399"/>
      <c r="R208" s="399"/>
    </row>
    <row r="209" spans="1:18" customFormat="1" ht="12" x14ac:dyDescent="0.3">
      <c r="A209" t="s">
        <v>272</v>
      </c>
      <c r="B209" s="76">
        <f>+Drivers!DZ90</f>
        <v>3232</v>
      </c>
      <c r="C209" s="95">
        <f t="shared" ref="C209:L209" si="108">+B209</f>
        <v>3232</v>
      </c>
      <c r="D209" s="95">
        <f t="shared" si="108"/>
        <v>3232</v>
      </c>
      <c r="E209" s="95">
        <f t="shared" si="108"/>
        <v>3232</v>
      </c>
      <c r="F209" s="95">
        <f t="shared" si="108"/>
        <v>3232</v>
      </c>
      <c r="G209" s="95">
        <f t="shared" si="108"/>
        <v>3232</v>
      </c>
      <c r="H209" s="95">
        <f t="shared" si="108"/>
        <v>3232</v>
      </c>
      <c r="I209" s="95">
        <f t="shared" si="108"/>
        <v>3232</v>
      </c>
      <c r="J209" s="95">
        <f t="shared" si="108"/>
        <v>3232</v>
      </c>
      <c r="K209" s="95">
        <f t="shared" si="108"/>
        <v>3232</v>
      </c>
      <c r="L209" s="95">
        <f t="shared" si="108"/>
        <v>3232</v>
      </c>
      <c r="M209" s="95">
        <f>+L209</f>
        <v>3232</v>
      </c>
      <c r="N209" s="95">
        <f>+M209</f>
        <v>3232</v>
      </c>
      <c r="O209" s="95">
        <f>+N209</f>
        <v>3232</v>
      </c>
      <c r="P209" s="95">
        <f>+O209</f>
        <v>3232</v>
      </c>
      <c r="Q209" s="399"/>
      <c r="R209" s="399"/>
    </row>
    <row r="210" spans="1:18" customFormat="1" ht="12" x14ac:dyDescent="0.3">
      <c r="A210" t="s">
        <v>273</v>
      </c>
      <c r="B210" s="76">
        <f t="shared" ref="B210:P210" si="109">+B166</f>
        <v>86</v>
      </c>
      <c r="C210" s="76">
        <f t="shared" si="109"/>
        <v>724</v>
      </c>
      <c r="D210" s="76">
        <f t="shared" si="109"/>
        <v>1948</v>
      </c>
      <c r="E210" s="76">
        <f t="shared" si="109"/>
        <v>3268</v>
      </c>
      <c r="F210" s="76">
        <f t="shared" si="109"/>
        <v>4600</v>
      </c>
      <c r="G210" s="76">
        <f t="shared" si="109"/>
        <v>5900</v>
      </c>
      <c r="H210" s="76">
        <f t="shared" si="109"/>
        <v>6800</v>
      </c>
      <c r="I210" s="76">
        <f t="shared" si="109"/>
        <v>6900.23</v>
      </c>
      <c r="J210" s="76">
        <f t="shared" si="109"/>
        <v>7001.4622999999992</v>
      </c>
      <c r="K210" s="76">
        <f t="shared" si="109"/>
        <v>7103.7069229999988</v>
      </c>
      <c r="L210" s="76">
        <f t="shared" si="109"/>
        <v>7206.9739922299987</v>
      </c>
      <c r="M210" s="76">
        <f t="shared" si="109"/>
        <v>7311.2737321522991</v>
      </c>
      <c r="N210" s="76">
        <f t="shared" si="109"/>
        <v>7384.3864694738222</v>
      </c>
      <c r="O210" s="76">
        <f t="shared" si="109"/>
        <v>7458.2303341685601</v>
      </c>
      <c r="P210" s="76">
        <f t="shared" si="109"/>
        <v>7532.8126375102456</v>
      </c>
      <c r="Q210" s="399"/>
      <c r="R210" s="399"/>
    </row>
    <row r="211" spans="1:18" customFormat="1" ht="12" x14ac:dyDescent="0.3">
      <c r="A211" s="90" t="s">
        <v>266</v>
      </c>
      <c r="B211" s="803">
        <f t="shared" ref="B211:L211" si="110">+B209+B210</f>
        <v>3318</v>
      </c>
      <c r="C211" s="803">
        <f t="shared" si="110"/>
        <v>3956</v>
      </c>
      <c r="D211" s="803">
        <f t="shared" si="110"/>
        <v>5180</v>
      </c>
      <c r="E211" s="803">
        <f t="shared" si="110"/>
        <v>6500</v>
      </c>
      <c r="F211" s="803">
        <f t="shared" si="110"/>
        <v>7832</v>
      </c>
      <c r="G211" s="803">
        <f t="shared" si="110"/>
        <v>9132</v>
      </c>
      <c r="H211" s="803">
        <f t="shared" si="110"/>
        <v>10032</v>
      </c>
      <c r="I211" s="803">
        <f t="shared" si="110"/>
        <v>10132.23</v>
      </c>
      <c r="J211" s="803">
        <f t="shared" si="110"/>
        <v>10233.462299999999</v>
      </c>
      <c r="K211" s="803">
        <f t="shared" si="110"/>
        <v>10335.706922999998</v>
      </c>
      <c r="L211" s="803">
        <f t="shared" si="110"/>
        <v>10438.97399223</v>
      </c>
      <c r="M211" s="803">
        <f>+M209+M210</f>
        <v>10543.273732152298</v>
      </c>
      <c r="N211" s="803">
        <f>+N209+N210</f>
        <v>10616.386469473822</v>
      </c>
      <c r="O211" s="803">
        <f>+O209+O210</f>
        <v>10690.23033416856</v>
      </c>
      <c r="P211" s="803">
        <f>+P209+P210</f>
        <v>10764.812637510246</v>
      </c>
      <c r="Q211" s="399"/>
      <c r="R211" s="399"/>
    </row>
    <row r="212" spans="1:18" customFormat="1" ht="12" x14ac:dyDescent="0.3">
      <c r="A212" s="94" t="s">
        <v>274</v>
      </c>
      <c r="B212" s="80">
        <f>+Drivers!ED90</f>
        <v>3309</v>
      </c>
      <c r="C212" s="80">
        <f>+Drivers!EI90</f>
        <v>3947</v>
      </c>
      <c r="D212" s="80">
        <f>+Drivers!EN90</f>
        <v>5171</v>
      </c>
      <c r="E212" s="80">
        <f>+Drivers!ES90</f>
        <v>6491</v>
      </c>
      <c r="F212" s="80">
        <f>+Drivers!EX90</f>
        <v>7823</v>
      </c>
      <c r="G212" s="80">
        <f>+Drivers!FC90</f>
        <v>9123</v>
      </c>
      <c r="H212" s="80">
        <f>+Drivers!FD90</f>
        <v>10023</v>
      </c>
      <c r="I212" s="80">
        <f>+Drivers!FE90</f>
        <v>10123.23</v>
      </c>
      <c r="J212" s="80">
        <f>+Drivers!FF90</f>
        <v>10224.462299999999</v>
      </c>
      <c r="K212" s="80">
        <f>+Drivers!FG90</f>
        <v>10326.706922999998</v>
      </c>
      <c r="L212" s="80">
        <f>+Drivers!FH90</f>
        <v>10429.97399223</v>
      </c>
      <c r="M212" s="80">
        <f>+Drivers!FI90</f>
        <v>10534.273732152298</v>
      </c>
      <c r="N212" s="80">
        <f>+Drivers!FJ90</f>
        <v>0</v>
      </c>
      <c r="O212" s="80">
        <f>+Drivers!FK90</f>
        <v>0</v>
      </c>
      <c r="P212" s="80">
        <f>+Drivers!FL90</f>
        <v>0</v>
      </c>
      <c r="Q212" s="399"/>
      <c r="R212" s="399"/>
    </row>
    <row r="213" spans="1:18" customFormat="1" ht="12" x14ac:dyDescent="0.3">
      <c r="A213" s="94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399"/>
      <c r="R213" s="399"/>
    </row>
    <row r="214" spans="1:18" customFormat="1" ht="12" x14ac:dyDescent="0.3">
      <c r="A214" s="141" t="s">
        <v>275</v>
      </c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399"/>
      <c r="R214" s="399"/>
    </row>
    <row r="215" spans="1:18" customFormat="1" ht="12" x14ac:dyDescent="0.3">
      <c r="A215" t="s">
        <v>272</v>
      </c>
      <c r="B215" s="76">
        <f>+Drivers!DZ115</f>
        <v>1215</v>
      </c>
      <c r="C215" s="76">
        <f t="shared" ref="C215:L215" si="111">+C221*C209</f>
        <v>1215</v>
      </c>
      <c r="D215" s="76">
        <f t="shared" si="111"/>
        <v>1215</v>
      </c>
      <c r="E215" s="76">
        <f t="shared" si="111"/>
        <v>1215</v>
      </c>
      <c r="F215" s="76">
        <f t="shared" si="111"/>
        <v>1215</v>
      </c>
      <c r="G215" s="76">
        <f t="shared" si="111"/>
        <v>1215</v>
      </c>
      <c r="H215" s="76">
        <f t="shared" si="111"/>
        <v>1215</v>
      </c>
      <c r="I215" s="76">
        <f t="shared" si="111"/>
        <v>1215</v>
      </c>
      <c r="J215" s="76">
        <f t="shared" si="111"/>
        <v>1215</v>
      </c>
      <c r="K215" s="76">
        <f t="shared" si="111"/>
        <v>1215</v>
      </c>
      <c r="L215" s="76">
        <f t="shared" si="111"/>
        <v>1215</v>
      </c>
      <c r="M215" s="76">
        <f>+M221*M209</f>
        <v>1215</v>
      </c>
      <c r="N215" s="76">
        <f>+N221*N209</f>
        <v>1215</v>
      </c>
      <c r="O215" s="76">
        <f>+O221*O209</f>
        <v>1215</v>
      </c>
      <c r="P215" s="76">
        <f>+P221*P209</f>
        <v>1215</v>
      </c>
      <c r="Q215" s="399"/>
      <c r="R215" s="399"/>
    </row>
    <row r="216" spans="1:18" customFormat="1" ht="12" x14ac:dyDescent="0.3">
      <c r="A216" t="s">
        <v>273</v>
      </c>
      <c r="B216" s="76">
        <f t="shared" ref="B216:P216" si="112">+B185</f>
        <v>12.9</v>
      </c>
      <c r="C216" s="76">
        <f t="shared" si="112"/>
        <v>121.5</v>
      </c>
      <c r="D216" s="76">
        <f t="shared" si="112"/>
        <v>413.70000000000005</v>
      </c>
      <c r="E216" s="76">
        <f t="shared" si="112"/>
        <v>891</v>
      </c>
      <c r="F216" s="76">
        <f t="shared" si="112"/>
        <v>1472.4</v>
      </c>
      <c r="G216" s="76">
        <f t="shared" si="112"/>
        <v>2065.1999999999998</v>
      </c>
      <c r="H216" s="76">
        <f t="shared" si="112"/>
        <v>2595</v>
      </c>
      <c r="I216" s="76">
        <f t="shared" si="112"/>
        <v>2940.0345000000002</v>
      </c>
      <c r="J216" s="76">
        <f t="shared" si="112"/>
        <v>3105.2538450000002</v>
      </c>
      <c r="K216" s="76">
        <f t="shared" si="112"/>
        <v>3150.8098834500001</v>
      </c>
      <c r="L216" s="76">
        <f t="shared" si="112"/>
        <v>3196.8214822845002</v>
      </c>
      <c r="M216" s="76">
        <f t="shared" si="112"/>
        <v>3243.2931971073449</v>
      </c>
      <c r="N216" s="76">
        <f t="shared" si="112"/>
        <v>3285.3951290784189</v>
      </c>
      <c r="O216" s="76">
        <f t="shared" si="112"/>
        <v>3323.083580369203</v>
      </c>
      <c r="P216" s="76">
        <f t="shared" si="112"/>
        <v>3356.3144161728947</v>
      </c>
      <c r="Q216" s="399"/>
      <c r="R216" s="399"/>
    </row>
    <row r="217" spans="1:18" customFormat="1" ht="12" x14ac:dyDescent="0.3">
      <c r="A217" s="90" t="s">
        <v>266</v>
      </c>
      <c r="B217" s="803">
        <f t="shared" ref="B217:L217" si="113">+B215+B216</f>
        <v>1227.9000000000001</v>
      </c>
      <c r="C217" s="803">
        <f t="shared" si="113"/>
        <v>1336.5</v>
      </c>
      <c r="D217" s="803">
        <f t="shared" si="113"/>
        <v>1628.7</v>
      </c>
      <c r="E217" s="803">
        <f t="shared" si="113"/>
        <v>2106</v>
      </c>
      <c r="F217" s="803">
        <f t="shared" si="113"/>
        <v>2687.4</v>
      </c>
      <c r="G217" s="803">
        <f t="shared" si="113"/>
        <v>3280.2</v>
      </c>
      <c r="H217" s="803">
        <f t="shared" si="113"/>
        <v>3810</v>
      </c>
      <c r="I217" s="803">
        <f t="shared" si="113"/>
        <v>4155.0344999999998</v>
      </c>
      <c r="J217" s="803">
        <f t="shared" si="113"/>
        <v>4320.2538450000002</v>
      </c>
      <c r="K217" s="803">
        <f t="shared" si="113"/>
        <v>4365.8098834499997</v>
      </c>
      <c r="L217" s="803">
        <f t="shared" si="113"/>
        <v>4411.8214822845002</v>
      </c>
      <c r="M217" s="803">
        <f>+M215+M216</f>
        <v>4458.2931971073449</v>
      </c>
      <c r="N217" s="803">
        <f>+N215+N216</f>
        <v>4500.3951290784189</v>
      </c>
      <c r="O217" s="803">
        <f>+O215+O216</f>
        <v>4538.0835803692025</v>
      </c>
      <c r="P217" s="803">
        <f>+P215+P216</f>
        <v>4571.3144161728942</v>
      </c>
      <c r="Q217" s="399"/>
      <c r="R217" s="399"/>
    </row>
    <row r="218" spans="1:18" customFormat="1" ht="12" x14ac:dyDescent="0.3">
      <c r="A218" s="94" t="s">
        <v>274</v>
      </c>
      <c r="B218" s="80">
        <f>+Drivers!ED115</f>
        <v>1238</v>
      </c>
      <c r="C218" s="80">
        <f>+Drivers!EI115</f>
        <v>1336</v>
      </c>
      <c r="D218" s="80">
        <f>+Drivers!EN115</f>
        <v>1575</v>
      </c>
      <c r="E218" s="80">
        <f>+Drivers!ES115</f>
        <v>1878</v>
      </c>
      <c r="F218" s="80">
        <f>+Drivers!EX115</f>
        <v>2249</v>
      </c>
      <c r="G218" s="80">
        <f>+Drivers!FC115</f>
        <v>2702.2388610217558</v>
      </c>
      <c r="H218" s="80">
        <f>+Drivers!FD115</f>
        <v>3183.9855180066493</v>
      </c>
      <c r="I218" s="80">
        <f>+Drivers!FE115</f>
        <v>3603.7155306006016</v>
      </c>
      <c r="J218" s="80">
        <f>+Drivers!FF115</f>
        <v>3913.6593195111532</v>
      </c>
      <c r="K218" s="80">
        <f>+Drivers!FG115</f>
        <v>4146.4920361528466</v>
      </c>
      <c r="L218" s="80">
        <f>+Drivers!FH115</f>
        <v>4309.6225586526334</v>
      </c>
      <c r="M218" s="80">
        <f>+Drivers!FI115</f>
        <v>4411.3970646733696</v>
      </c>
      <c r="N218" s="80">
        <f>+Drivers!FJ115</f>
        <v>0.15818380010048494</v>
      </c>
      <c r="O218" s="80">
        <f>+Drivers!FK115</f>
        <v>0</v>
      </c>
      <c r="P218" s="80" t="e">
        <f>+Analysis!#REF!</f>
        <v>#REF!</v>
      </c>
      <c r="Q218" s="399"/>
      <c r="R218" s="399"/>
    </row>
    <row r="219" spans="1:18" customFormat="1" ht="12" x14ac:dyDescent="0.3">
      <c r="A219" s="94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399"/>
      <c r="R219" s="399"/>
    </row>
    <row r="220" spans="1:18" customFormat="1" ht="12" x14ac:dyDescent="0.3">
      <c r="A220" s="141" t="s">
        <v>276</v>
      </c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399"/>
      <c r="R220" s="399"/>
    </row>
    <row r="221" spans="1:18" customFormat="1" ht="12" x14ac:dyDescent="0.3">
      <c r="A221" t="s">
        <v>272</v>
      </c>
      <c r="B221" s="74">
        <f>+B215/B209</f>
        <v>0.37592821782178215</v>
      </c>
      <c r="C221" s="99">
        <f t="shared" ref="C221:L221" si="114">+B221</f>
        <v>0.37592821782178215</v>
      </c>
      <c r="D221" s="99">
        <f t="shared" si="114"/>
        <v>0.37592821782178215</v>
      </c>
      <c r="E221" s="99">
        <f t="shared" si="114"/>
        <v>0.37592821782178215</v>
      </c>
      <c r="F221" s="99">
        <f t="shared" si="114"/>
        <v>0.37592821782178215</v>
      </c>
      <c r="G221" s="99">
        <f t="shared" si="114"/>
        <v>0.37592821782178215</v>
      </c>
      <c r="H221" s="99">
        <f t="shared" si="114"/>
        <v>0.37592821782178215</v>
      </c>
      <c r="I221" s="99">
        <f t="shared" si="114"/>
        <v>0.37592821782178215</v>
      </c>
      <c r="J221" s="99">
        <f t="shared" si="114"/>
        <v>0.37592821782178215</v>
      </c>
      <c r="K221" s="99">
        <f t="shared" si="114"/>
        <v>0.37592821782178215</v>
      </c>
      <c r="L221" s="99">
        <f t="shared" si="114"/>
        <v>0.37592821782178215</v>
      </c>
      <c r="M221" s="99">
        <f>+L221</f>
        <v>0.37592821782178215</v>
      </c>
      <c r="N221" s="99">
        <f>+M221</f>
        <v>0.37592821782178215</v>
      </c>
      <c r="O221" s="99">
        <f>+N221</f>
        <v>0.37592821782178215</v>
      </c>
      <c r="P221" s="99">
        <f>+O221</f>
        <v>0.37592821782178215</v>
      </c>
      <c r="Q221" s="399"/>
      <c r="R221" s="399"/>
    </row>
    <row r="222" spans="1:18" customFormat="1" ht="12" x14ac:dyDescent="0.3">
      <c r="A222" t="s">
        <v>273</v>
      </c>
      <c r="B222" s="74">
        <f>+B216/B210</f>
        <v>0.15</v>
      </c>
      <c r="C222" s="74">
        <f t="shared" ref="C222:L222" si="115">+C216/C210</f>
        <v>0.16781767955801105</v>
      </c>
      <c r="D222" s="74">
        <f t="shared" si="115"/>
        <v>0.21237166324435319</v>
      </c>
      <c r="E222" s="74">
        <f t="shared" si="115"/>
        <v>0.27264381884944922</v>
      </c>
      <c r="F222" s="74">
        <f t="shared" si="115"/>
        <v>0.32008695652173913</v>
      </c>
      <c r="G222" s="74">
        <f t="shared" si="115"/>
        <v>0.35003389830508469</v>
      </c>
      <c r="H222" s="74">
        <f t="shared" si="115"/>
        <v>0.38161764705882351</v>
      </c>
      <c r="I222" s="74">
        <f t="shared" si="115"/>
        <v>0.42607775392994152</v>
      </c>
      <c r="J222" s="74">
        <f t="shared" si="115"/>
        <v>0.44351504185061463</v>
      </c>
      <c r="K222" s="74">
        <f t="shared" si="115"/>
        <v>0.44354446454547247</v>
      </c>
      <c r="L222" s="74">
        <f t="shared" si="115"/>
        <v>0.44357333406934252</v>
      </c>
      <c r="M222" s="74">
        <f t="shared" ref="M222:P223" si="116">+M216/M210</f>
        <v>0.44360166448761607</v>
      </c>
      <c r="N222" s="74">
        <f t="shared" si="116"/>
        <v>0.44491104882712362</v>
      </c>
      <c r="O222" s="74">
        <f t="shared" si="116"/>
        <v>0.44555925889618675</v>
      </c>
      <c r="P222" s="74">
        <f t="shared" si="116"/>
        <v>0.44555925889618669</v>
      </c>
      <c r="Q222" s="399"/>
      <c r="R222" s="399"/>
    </row>
    <row r="223" spans="1:18" customFormat="1" ht="12" x14ac:dyDescent="0.3">
      <c r="A223" s="90" t="s">
        <v>266</v>
      </c>
      <c r="B223" s="92">
        <f>+B217/B211</f>
        <v>0.37007233273056062</v>
      </c>
      <c r="C223" s="92">
        <f t="shared" ref="C223:L223" si="117">+C217/C211</f>
        <v>0.33784125379170882</v>
      </c>
      <c r="D223" s="92">
        <f t="shared" si="117"/>
        <v>0.31442084942084941</v>
      </c>
      <c r="E223" s="92">
        <f t="shared" si="117"/>
        <v>0.32400000000000001</v>
      </c>
      <c r="F223" s="92">
        <f t="shared" si="117"/>
        <v>0.34313074565883556</v>
      </c>
      <c r="G223" s="92">
        <f t="shared" si="117"/>
        <v>0.35919842312746386</v>
      </c>
      <c r="H223" s="92">
        <f t="shared" si="117"/>
        <v>0.37978468899521534</v>
      </c>
      <c r="I223" s="92">
        <f t="shared" si="117"/>
        <v>0.41008094960339431</v>
      </c>
      <c r="J223" s="92">
        <f t="shared" si="117"/>
        <v>0.42216932240029853</v>
      </c>
      <c r="K223" s="92">
        <f t="shared" si="117"/>
        <v>0.42240070427449761</v>
      </c>
      <c r="L223" s="92">
        <f t="shared" si="117"/>
        <v>0.42262979920903471</v>
      </c>
      <c r="M223" s="92">
        <f t="shared" si="116"/>
        <v>0.42285662976875316</v>
      </c>
      <c r="N223" s="92">
        <f t="shared" si="116"/>
        <v>0.42391025816729438</v>
      </c>
      <c r="O223" s="92">
        <f t="shared" si="116"/>
        <v>0.42450755863177153</v>
      </c>
      <c r="P223" s="92">
        <f t="shared" si="116"/>
        <v>0.42465341201053891</v>
      </c>
      <c r="Q223" s="399"/>
      <c r="R223" s="399"/>
    </row>
    <row r="224" spans="1:18" customFormat="1" ht="12" x14ac:dyDescent="0.3">
      <c r="A224" s="94" t="s">
        <v>274</v>
      </c>
      <c r="B224" s="97">
        <f>+Drivers!ED120</f>
        <v>0.37413115744938047</v>
      </c>
      <c r="C224" s="97">
        <f>+Drivers!EI120</f>
        <v>0.33848492525969093</v>
      </c>
      <c r="D224" s="97">
        <f>+Drivers!EN120</f>
        <v>0.30458325275575326</v>
      </c>
      <c r="E224" s="97">
        <f>+Drivers!ES120</f>
        <v>0.28932367894007088</v>
      </c>
      <c r="F224" s="97">
        <f>+Drivers!EX120</f>
        <v>0.28748561932762368</v>
      </c>
      <c r="G224" s="97">
        <f>+Drivers!FC120</f>
        <v>0.29620068628979018</v>
      </c>
      <c r="H224" s="97">
        <f>+Drivers!FD120</f>
        <v>0.3176679155947969</v>
      </c>
      <c r="I224" s="97">
        <f>+Drivers!FE120</f>
        <v>0.35598475294946391</v>
      </c>
      <c r="J224" s="97">
        <f>+Drivers!FF120</f>
        <v>0.38277409654208938</v>
      </c>
      <c r="K224" s="97">
        <f>+Drivers!FG120</f>
        <v>0.40153091078024461</v>
      </c>
      <c r="L224" s="97">
        <f>+Drivers!FH120</f>
        <v>0.41319590651550675</v>
      </c>
      <c r="M224" s="97">
        <f>+Drivers!FI120</f>
        <v>0.41876613204089014</v>
      </c>
      <c r="N224" s="97">
        <f>+Drivers!FJ120</f>
        <v>0</v>
      </c>
      <c r="O224" s="97" t="e">
        <f>+Drivers!#REF!</f>
        <v>#REF!</v>
      </c>
      <c r="P224" s="97" t="e">
        <f>+Analysis!#REF!</f>
        <v>#REF!</v>
      </c>
      <c r="Q224" s="399"/>
      <c r="R224" s="399"/>
    </row>
    <row r="225" spans="1:25" customFormat="1" ht="12" x14ac:dyDescent="0.3">
      <c r="Q225" s="399"/>
      <c r="R225" s="399"/>
    </row>
    <row r="226" spans="1:25" x14ac:dyDescent="0.35">
      <c r="A226" s="410" t="s">
        <v>277</v>
      </c>
      <c r="B226" s="399"/>
      <c r="C226" s="399"/>
      <c r="D226" s="399"/>
      <c r="E226" s="399"/>
      <c r="F226" s="399"/>
      <c r="G226" s="399"/>
      <c r="H226" s="400"/>
      <c r="I226" s="400"/>
      <c r="J226" s="400"/>
      <c r="K226" s="400"/>
      <c r="L226" s="400"/>
      <c r="M226" s="400"/>
      <c r="N226" s="400"/>
      <c r="O226" s="400"/>
      <c r="P226" s="400"/>
      <c r="Q226" s="400"/>
      <c r="R226" s="400"/>
      <c r="S226" s="400"/>
      <c r="T226" s="400"/>
      <c r="U226" s="400"/>
      <c r="V226" s="400"/>
      <c r="W226" s="400"/>
      <c r="X226" s="400"/>
      <c r="Y226" s="400"/>
    </row>
    <row r="227" spans="1:25" x14ac:dyDescent="0.35">
      <c r="A227" s="399" t="s">
        <v>278</v>
      </c>
      <c r="B227" s="422" t="s">
        <v>279</v>
      </c>
      <c r="C227" s="399"/>
      <c r="D227" s="399"/>
      <c r="E227" s="399"/>
      <c r="F227" s="399"/>
      <c r="G227" s="399"/>
      <c r="H227" s="400"/>
      <c r="I227" s="400"/>
      <c r="J227" s="400"/>
      <c r="K227" s="400"/>
      <c r="L227" s="400"/>
      <c r="M227" s="400"/>
      <c r="N227" s="400"/>
      <c r="O227" s="400"/>
      <c r="P227" s="400"/>
      <c r="Q227" s="400"/>
      <c r="R227" s="400"/>
      <c r="S227" s="400"/>
      <c r="T227" s="400"/>
      <c r="U227" s="400"/>
      <c r="V227" s="400"/>
      <c r="W227" s="400"/>
      <c r="X227" s="400"/>
      <c r="Y227" s="400"/>
    </row>
    <row r="228" spans="1:25" x14ac:dyDescent="0.35">
      <c r="A228" s="399"/>
      <c r="B228" s="402">
        <f>+$F$12</f>
        <v>0.15928044435588995</v>
      </c>
      <c r="C228" s="399"/>
      <c r="D228" s="399"/>
      <c r="E228" s="399"/>
      <c r="F228" s="399"/>
      <c r="G228" s="399"/>
      <c r="H228" s="400"/>
      <c r="I228" s="400"/>
      <c r="J228" s="400"/>
      <c r="K228" s="400"/>
      <c r="L228" s="400"/>
      <c r="M228" s="400"/>
      <c r="N228" s="400"/>
      <c r="O228" s="400"/>
      <c r="P228" s="400"/>
      <c r="Q228" s="400"/>
      <c r="R228" s="400"/>
      <c r="S228" s="400"/>
      <c r="T228" s="400"/>
      <c r="U228" s="400"/>
      <c r="V228" s="400"/>
      <c r="W228" s="400"/>
      <c r="X228" s="400"/>
      <c r="Y228" s="400"/>
    </row>
    <row r="229" spans="1:25" x14ac:dyDescent="0.35">
      <c r="A229" s="423">
        <v>0</v>
      </c>
      <c r="B229" s="452">
        <f t="dataTable" ref="B229:B233" dt2D="0" dtr="0" r1="F9" ca="1"/>
        <v>6.8662282673408903E-2</v>
      </c>
      <c r="C229" s="424"/>
      <c r="D229" s="424"/>
      <c r="E229" s="424"/>
      <c r="F229" s="424"/>
      <c r="G229" s="424"/>
    </row>
    <row r="230" spans="1:25" x14ac:dyDescent="0.35">
      <c r="A230" s="423">
        <v>5</v>
      </c>
      <c r="B230" s="453">
        <v>0.12586622975007833</v>
      </c>
      <c r="C230" s="424"/>
      <c r="D230" s="424"/>
      <c r="E230" s="424"/>
      <c r="F230" s="424"/>
      <c r="G230" s="424"/>
    </row>
    <row r="231" spans="1:25" x14ac:dyDescent="0.35">
      <c r="A231" s="423">
        <v>10</v>
      </c>
      <c r="B231" s="453">
        <v>0.15928044435588995</v>
      </c>
      <c r="C231" s="424"/>
      <c r="D231" s="424"/>
      <c r="E231" s="424"/>
      <c r="F231" s="424"/>
      <c r="G231" s="424"/>
    </row>
    <row r="232" spans="1:25" x14ac:dyDescent="0.35">
      <c r="A232" s="423">
        <v>15</v>
      </c>
      <c r="B232" s="453">
        <v>0.18348988958314516</v>
      </c>
      <c r="C232" s="424"/>
      <c r="D232" s="424"/>
      <c r="E232" s="424"/>
      <c r="F232" s="424"/>
      <c r="G232" s="424"/>
    </row>
    <row r="233" spans="1:25" x14ac:dyDescent="0.35">
      <c r="A233" s="423">
        <v>20</v>
      </c>
      <c r="B233" s="454">
        <v>0.20265549105497049</v>
      </c>
      <c r="C233" s="424"/>
      <c r="D233" s="424"/>
      <c r="E233" s="424"/>
      <c r="F233" s="424"/>
      <c r="G233" s="424"/>
    </row>
    <row r="234" spans="1:25" x14ac:dyDescent="0.35">
      <c r="A234" s="424"/>
      <c r="B234" s="424"/>
      <c r="C234" s="424"/>
      <c r="D234" s="424"/>
      <c r="E234" s="424"/>
      <c r="F234" s="424"/>
      <c r="G234" s="424"/>
    </row>
    <row r="235" spans="1:25" x14ac:dyDescent="0.35">
      <c r="A235" s="399" t="s">
        <v>280</v>
      </c>
      <c r="B235" s="422" t="s">
        <v>279</v>
      </c>
      <c r="C235" s="424"/>
      <c r="D235" s="424"/>
      <c r="E235" s="424"/>
      <c r="F235" s="424"/>
      <c r="G235" s="424"/>
    </row>
    <row r="236" spans="1:25" x14ac:dyDescent="0.35">
      <c r="A236" s="399"/>
      <c r="B236" s="402">
        <f>+$F$12</f>
        <v>0.15928044435588995</v>
      </c>
    </row>
    <row r="237" spans="1:25" x14ac:dyDescent="0.35">
      <c r="A237" s="425">
        <v>60</v>
      </c>
      <c r="B237" s="452">
        <f t="dataTable" ref="B237:B242" dt2D="0" dtr="0" r1="B15" ca="1"/>
        <v>0.15928044435588995</v>
      </c>
    </row>
    <row r="238" spans="1:25" x14ac:dyDescent="0.35">
      <c r="A238" s="425">
        <f>+A237+5</f>
        <v>65</v>
      </c>
      <c r="B238" s="453">
        <v>0.1799112590059615</v>
      </c>
    </row>
    <row r="239" spans="1:25" x14ac:dyDescent="0.35">
      <c r="A239" s="425">
        <f>+A238+5</f>
        <v>70</v>
      </c>
      <c r="B239" s="453">
        <v>0.19932540288818057</v>
      </c>
    </row>
    <row r="240" spans="1:25" x14ac:dyDescent="0.35">
      <c r="A240" s="425">
        <f>+A239+5</f>
        <v>75</v>
      </c>
      <c r="B240" s="453">
        <v>0.21783388935639691</v>
      </c>
    </row>
    <row r="241" spans="1:2" x14ac:dyDescent="0.35">
      <c r="A241" s="425">
        <f>+A240+5</f>
        <v>80</v>
      </c>
      <c r="B241" s="453">
        <v>0.23560130980521787</v>
      </c>
    </row>
    <row r="242" spans="1:2" x14ac:dyDescent="0.35">
      <c r="A242" s="425">
        <f>+A241+5</f>
        <v>85</v>
      </c>
      <c r="B242" s="454">
        <v>0.25271371530295794</v>
      </c>
    </row>
    <row r="244" spans="1:2" x14ac:dyDescent="0.35">
      <c r="A244" s="399" t="s">
        <v>281</v>
      </c>
      <c r="B244" s="422" t="s">
        <v>279</v>
      </c>
    </row>
    <row r="245" spans="1:2" x14ac:dyDescent="0.35">
      <c r="A245" s="399"/>
      <c r="B245" s="402">
        <f>+$F$12</f>
        <v>0.15928044435588995</v>
      </c>
    </row>
    <row r="246" spans="1:2" x14ac:dyDescent="0.35">
      <c r="A246" s="426">
        <v>0.4</v>
      </c>
      <c r="B246" s="452">
        <f t="dataTable" ref="B246:B251" dt2D="0" dtr="0" r1="B10"/>
        <v>0.13811053989437361</v>
      </c>
    </row>
    <row r="247" spans="1:2" x14ac:dyDescent="0.35">
      <c r="A247" s="426">
        <f>+A246+2.5%</f>
        <v>0.42500000000000004</v>
      </c>
      <c r="B247" s="453">
        <v>0.14900590012266823</v>
      </c>
    </row>
    <row r="248" spans="1:2" x14ac:dyDescent="0.35">
      <c r="A248" s="426">
        <f>+A247+2.5%</f>
        <v>0.45000000000000007</v>
      </c>
      <c r="B248" s="453">
        <v>0.15928044435589017</v>
      </c>
    </row>
    <row r="249" spans="1:2" x14ac:dyDescent="0.35">
      <c r="A249" s="426">
        <f>+A248+2.5%</f>
        <v>0.47500000000000009</v>
      </c>
      <c r="B249" s="453">
        <v>0.16901370924326375</v>
      </c>
    </row>
    <row r="250" spans="1:2" x14ac:dyDescent="0.35">
      <c r="A250" s="426">
        <f>+A249+2.5%</f>
        <v>0.50000000000000011</v>
      </c>
      <c r="B250" s="453">
        <v>0.17827040479785028</v>
      </c>
    </row>
    <row r="251" spans="1:2" x14ac:dyDescent="0.35">
      <c r="A251" s="426">
        <f>+A250+2.5%</f>
        <v>0.52500000000000013</v>
      </c>
      <c r="B251" s="454">
        <v>0.18706929302056619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561AF-0F8A-4CEB-B34C-1079F2784859}">
  <sheetPr codeName="Sheet4"/>
  <dimension ref="A1:FU673"/>
  <sheetViews>
    <sheetView showGridLines="0" zoomScaleNormal="100" workbookViewId="0">
      <pane xSplit="2" ySplit="5" topLeftCell="EP6" activePane="bottomRight" state="frozen"/>
      <selection pane="topRight" activeCell="EX8" sqref="EX8"/>
      <selection pane="bottomLeft" activeCell="EX8" sqref="EX8"/>
      <selection pane="bottomRight" activeCell="EX25" sqref="EX25"/>
    </sheetView>
  </sheetViews>
  <sheetFormatPr defaultRowHeight="12" outlineLevelRow="1" outlineLevelCol="1" x14ac:dyDescent="0.3"/>
  <cols>
    <col min="1" max="1" width="53.33203125" customWidth="1"/>
    <col min="2" max="4" width="2.44140625" customWidth="1"/>
    <col min="5" max="123" width="9.33203125" hidden="1" customWidth="1" outlineLevel="1"/>
    <col min="124" max="124" width="9.33203125" collapsed="1"/>
    <col min="125" max="128" width="10.109375" bestFit="1" customWidth="1"/>
    <col min="129" max="129" width="9.77734375" style="90" customWidth="1"/>
    <col min="130" max="130" width="9.77734375" bestFit="1" customWidth="1"/>
    <col min="134" max="134" width="9.33203125" style="90"/>
    <col min="135" max="137" width="10.44140625" bestFit="1" customWidth="1"/>
    <col min="139" max="139" width="9.33203125" style="90"/>
    <col min="144" max="148" width="9.33203125" style="90"/>
    <col min="160" max="160" width="10" bestFit="1" customWidth="1"/>
    <col min="166" max="166" width="10.77734375" bestFit="1" customWidth="1"/>
    <col min="167" max="167" width="0" hidden="1" customWidth="1"/>
    <col min="169" max="169" width="14.77734375" bestFit="1" customWidth="1"/>
  </cols>
  <sheetData>
    <row r="1" spans="1:167" ht="21.5" thickBot="1" x14ac:dyDescent="0.55000000000000004">
      <c r="A1" s="38" t="s">
        <v>13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1199"/>
      <c r="DZ1" s="38"/>
      <c r="EA1" s="38"/>
      <c r="EB1" s="38"/>
      <c r="EC1" s="38"/>
      <c r="ED1" s="1199"/>
      <c r="EE1" s="38"/>
      <c r="EF1" s="38"/>
      <c r="EG1" s="38"/>
      <c r="EH1" s="38"/>
      <c r="EI1" s="1199"/>
      <c r="EJ1" s="38"/>
      <c r="EK1" s="38"/>
      <c r="EL1" s="38"/>
      <c r="EM1" s="38"/>
      <c r="EN1" s="1199"/>
      <c r="EO1" s="1199"/>
      <c r="EP1" s="1199"/>
      <c r="EQ1" s="1199"/>
      <c r="ER1" s="1199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</row>
    <row r="2" spans="1:167" x14ac:dyDescent="0.3">
      <c r="A2" s="39" t="s">
        <v>282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</row>
    <row r="3" spans="1:167" x14ac:dyDescent="0.3">
      <c r="A3" s="40" t="s">
        <v>15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39"/>
      <c r="DZ3" s="40"/>
      <c r="EA3" s="40"/>
      <c r="EB3" s="592"/>
      <c r="EC3" s="40"/>
      <c r="ED3" s="39"/>
      <c r="EE3" s="40"/>
      <c r="EF3" s="40"/>
      <c r="EG3" s="40"/>
      <c r="EH3" s="40"/>
      <c r="EI3" s="39"/>
      <c r="EJ3" s="40"/>
      <c r="EK3" s="40"/>
      <c r="EL3" s="40"/>
      <c r="EM3" s="40"/>
      <c r="EN3" s="39"/>
      <c r="EO3" s="39"/>
      <c r="EP3" s="39"/>
      <c r="EQ3" s="39"/>
      <c r="ER3" s="39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</row>
    <row r="4" spans="1:167" x14ac:dyDescent="0.3">
      <c r="A4" s="1124"/>
      <c r="B4" s="1124"/>
      <c r="C4" s="1124"/>
      <c r="D4" s="1124"/>
      <c r="E4" s="1124"/>
      <c r="F4" s="1124"/>
      <c r="G4" s="1124"/>
      <c r="H4" s="1124"/>
      <c r="I4" s="1124"/>
      <c r="J4" s="1124"/>
      <c r="K4" s="1124"/>
      <c r="L4" s="1124"/>
      <c r="M4" s="1124"/>
      <c r="N4" s="1124"/>
      <c r="O4" s="1124"/>
      <c r="P4" s="1124"/>
      <c r="Q4" s="1124"/>
      <c r="R4" s="1124"/>
      <c r="S4" s="1124"/>
      <c r="T4" s="1124"/>
      <c r="U4" s="1124"/>
      <c r="V4" s="1124"/>
      <c r="W4" s="1124"/>
      <c r="X4" s="1124"/>
      <c r="Y4" s="1124"/>
      <c r="Z4" s="1124"/>
      <c r="AA4" s="1124"/>
      <c r="AB4" s="1124"/>
      <c r="AC4" s="1124"/>
      <c r="AD4" s="1124"/>
      <c r="AE4" s="1124"/>
      <c r="AF4" s="1124"/>
      <c r="AG4" s="1124"/>
      <c r="AH4" s="1124"/>
      <c r="AI4" s="1124"/>
      <c r="AJ4" s="1124"/>
      <c r="AK4" s="1124"/>
      <c r="AL4" s="1124"/>
      <c r="AM4" s="1124"/>
      <c r="AN4" s="1124"/>
      <c r="AO4" s="1124"/>
      <c r="AP4" s="1124"/>
      <c r="AQ4" s="1124"/>
      <c r="AR4" s="1124"/>
      <c r="AS4" s="1124"/>
      <c r="AT4" s="1124"/>
      <c r="AU4" s="1124"/>
      <c r="AV4" s="1124"/>
      <c r="AW4" s="1124"/>
      <c r="AX4" s="1124"/>
      <c r="AY4" s="1124"/>
      <c r="AZ4" s="1124"/>
      <c r="BA4" s="1124"/>
      <c r="BB4" s="1124"/>
      <c r="BC4" s="1124"/>
      <c r="BD4" s="1124"/>
      <c r="BE4" s="1124"/>
      <c r="BF4" s="1124"/>
      <c r="BG4" s="1124"/>
      <c r="BH4" s="1124"/>
      <c r="BI4" s="1124"/>
      <c r="BJ4" s="1124"/>
      <c r="BK4" s="1124"/>
      <c r="BL4" s="1124"/>
      <c r="BM4" s="1124"/>
      <c r="BN4" s="1124"/>
      <c r="BO4" s="1124"/>
      <c r="BP4" s="1124"/>
      <c r="BQ4" s="1124"/>
      <c r="BR4" s="1124"/>
      <c r="BS4" s="1124"/>
      <c r="BT4" s="1124"/>
      <c r="BU4" s="1124"/>
      <c r="BV4" s="1124"/>
      <c r="BW4" s="1124"/>
      <c r="BX4" s="1124"/>
      <c r="BY4" s="1124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4"/>
      <c r="CK4" s="1124"/>
      <c r="CL4" s="1124"/>
      <c r="CM4" s="1124"/>
      <c r="CN4" s="1124"/>
      <c r="CO4" s="1124"/>
      <c r="CP4" s="1124"/>
      <c r="CQ4" s="1124"/>
      <c r="CR4" s="1124"/>
      <c r="CS4" s="1124"/>
      <c r="CT4" s="1124"/>
      <c r="CU4" s="1124"/>
      <c r="CV4" s="1124"/>
      <c r="CW4" s="1124"/>
      <c r="CX4" s="1124"/>
      <c r="CY4" s="1124"/>
      <c r="CZ4" s="1124"/>
      <c r="DA4" s="1124"/>
      <c r="DB4" s="1124"/>
      <c r="DC4" s="1124"/>
      <c r="DD4" s="1124"/>
      <c r="DE4" s="1124"/>
      <c r="DF4" s="1124"/>
      <c r="DG4" s="1124"/>
      <c r="DH4" s="1124"/>
      <c r="DI4" s="1124"/>
      <c r="DJ4" s="1124"/>
      <c r="DK4" s="1124"/>
      <c r="DL4" s="1124"/>
      <c r="DM4" s="1124"/>
      <c r="DN4" s="1124"/>
      <c r="DO4" s="1124"/>
      <c r="DP4" s="1124"/>
      <c r="DQ4" s="1124"/>
      <c r="DR4" s="1124"/>
      <c r="DS4" s="1124"/>
      <c r="DT4" s="1124"/>
      <c r="DU4" s="1124"/>
      <c r="DV4" s="1124"/>
      <c r="DW4" s="1124"/>
      <c r="DX4" s="1124"/>
      <c r="DY4" s="1253"/>
      <c r="DZ4" s="1124"/>
      <c r="EA4" s="1124"/>
      <c r="EB4" s="1124"/>
      <c r="EC4" s="1124"/>
      <c r="ED4" s="1253"/>
      <c r="EE4" s="1124"/>
      <c r="EF4" s="1124"/>
      <c r="EG4" s="1124"/>
      <c r="EH4" s="1124"/>
      <c r="EI4" s="1253"/>
      <c r="EJ4" s="1124"/>
      <c r="EK4" s="1124"/>
      <c r="EL4" s="1124"/>
      <c r="EM4" s="1124"/>
      <c r="EN4" s="1253"/>
      <c r="EO4" s="1253"/>
      <c r="EP4" s="1253"/>
      <c r="EQ4" s="1253"/>
      <c r="ER4" s="1253"/>
      <c r="ES4" s="1124"/>
      <c r="ET4" s="1124"/>
      <c r="EU4" s="1124"/>
      <c r="EV4" s="1124"/>
      <c r="EW4" s="1124"/>
      <c r="EX4" s="1124"/>
      <c r="EY4" s="1124"/>
      <c r="EZ4" s="1124"/>
      <c r="FA4" s="1124"/>
      <c r="FB4" s="1124"/>
      <c r="FC4" s="1124"/>
      <c r="FD4" s="1124"/>
      <c r="FE4" s="1124"/>
      <c r="FF4" s="1124"/>
      <c r="FG4" s="1124"/>
      <c r="FH4" s="1124"/>
      <c r="FI4" s="1124"/>
      <c r="FJ4" s="1782" t="s">
        <v>16</v>
      </c>
      <c r="FK4" s="1782" t="s">
        <v>283</v>
      </c>
    </row>
    <row r="5" spans="1:167" x14ac:dyDescent="0.3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1234" t="str">
        <f>+Inputs!BC5</f>
        <v>1Q05</v>
      </c>
      <c r="BD5" s="1234" t="str">
        <f>+Inputs!BD5</f>
        <v>2Q05</v>
      </c>
      <c r="BE5" s="1234" t="str">
        <f>+Inputs!BE5</f>
        <v>3Q05</v>
      </c>
      <c r="BF5" s="1234" t="str">
        <f>+Inputs!BF5</f>
        <v>4Q05</v>
      </c>
      <c r="BG5" s="1234">
        <f>+Inputs!BG5</f>
        <v>2005</v>
      </c>
      <c r="BH5" s="1234" t="str">
        <f>+Inputs!BH5</f>
        <v>1Q06</v>
      </c>
      <c r="BI5" s="1234" t="str">
        <f>+Inputs!BI5</f>
        <v>2Q06</v>
      </c>
      <c r="BJ5" s="1234" t="str">
        <f>+Inputs!BJ5</f>
        <v>3Q06</v>
      </c>
      <c r="BK5" s="1234" t="str">
        <f>+Inputs!BK5</f>
        <v>4Q06</v>
      </c>
      <c r="BL5" s="1234">
        <f>+Inputs!BL5</f>
        <v>2006</v>
      </c>
      <c r="BM5" s="1234" t="str">
        <f>+Inputs!BM5</f>
        <v>1Q07</v>
      </c>
      <c r="BN5" s="1234" t="str">
        <f>+Inputs!BN5</f>
        <v>2Q07</v>
      </c>
      <c r="BO5" s="1234" t="str">
        <f>+Inputs!BO5</f>
        <v>3Q07</v>
      </c>
      <c r="BP5" s="1234" t="str">
        <f>+Inputs!BP5</f>
        <v>4Q07</v>
      </c>
      <c r="BQ5" s="1234">
        <f>+Inputs!BQ5</f>
        <v>2007</v>
      </c>
      <c r="BR5" s="1234" t="str">
        <f>+Inputs!BR5</f>
        <v>1Q08</v>
      </c>
      <c r="BS5" s="1234" t="str">
        <f>+Inputs!BS5</f>
        <v>2Q08</v>
      </c>
      <c r="BT5" s="1234" t="str">
        <f>+Inputs!BT5</f>
        <v>3Q08</v>
      </c>
      <c r="BU5" s="1234" t="str">
        <f>+Inputs!BU5</f>
        <v>4Q08</v>
      </c>
      <c r="BV5" s="1234">
        <f>+Inputs!BV5</f>
        <v>2008</v>
      </c>
      <c r="BW5" s="1234" t="str">
        <f>+Inputs!BW5</f>
        <v>1Q09</v>
      </c>
      <c r="BX5" s="1234" t="str">
        <f>+Inputs!BX5</f>
        <v>2Q09</v>
      </c>
      <c r="BY5" s="1234" t="str">
        <f>+Inputs!BY5</f>
        <v>3Q09</v>
      </c>
      <c r="BZ5" s="1234" t="str">
        <f>+Inputs!BZ5</f>
        <v>4Q09</v>
      </c>
      <c r="CA5" s="1234">
        <f>+Inputs!CA5</f>
        <v>2009</v>
      </c>
      <c r="CB5" s="1234" t="str">
        <f>+Inputs!CB5</f>
        <v>1Q10</v>
      </c>
      <c r="CC5" s="1234" t="str">
        <f>+Inputs!CC5</f>
        <v>2Q10</v>
      </c>
      <c r="CD5" s="1234" t="str">
        <f>+Inputs!CD5</f>
        <v>3Q10</v>
      </c>
      <c r="CE5" s="1234" t="str">
        <f>+Inputs!CE5</f>
        <v>4Q10</v>
      </c>
      <c r="CF5" s="1234">
        <f>+Inputs!CF5</f>
        <v>2010</v>
      </c>
      <c r="CG5" s="1234" t="str">
        <f>+Inputs!CG5</f>
        <v>1Q11</v>
      </c>
      <c r="CH5" s="1234" t="str">
        <f>+Inputs!CH5</f>
        <v>2Q11</v>
      </c>
      <c r="CI5" s="1234" t="str">
        <f>+Inputs!CI5</f>
        <v>3Q11</v>
      </c>
      <c r="CJ5" s="1234" t="str">
        <f>+Inputs!CJ5</f>
        <v>4Q11</v>
      </c>
      <c r="CK5" s="1234">
        <f>+Inputs!CK5</f>
        <v>2011</v>
      </c>
      <c r="CL5" s="1234" t="str">
        <f>+Inputs!CL5</f>
        <v>1Q12</v>
      </c>
      <c r="CM5" s="1234" t="str">
        <f>+Inputs!CM5</f>
        <v>2Q12</v>
      </c>
      <c r="CN5" s="1234" t="str">
        <f>+Inputs!CN5</f>
        <v>3Q12</v>
      </c>
      <c r="CO5" s="1234" t="str">
        <f>+Inputs!CO5</f>
        <v>4Q12</v>
      </c>
      <c r="CP5" s="1234">
        <f>+Inputs!CP5</f>
        <v>2012</v>
      </c>
      <c r="CQ5" s="1234" t="str">
        <f>+Inputs!CQ5</f>
        <v>1Q13</v>
      </c>
      <c r="CR5" s="1234" t="str">
        <f>+Inputs!CR5</f>
        <v>2Q13</v>
      </c>
      <c r="CS5" s="1234" t="str">
        <f>+Inputs!CS5</f>
        <v>3Q13</v>
      </c>
      <c r="CT5" s="1234" t="str">
        <f>+Inputs!CT5</f>
        <v>4Q13</v>
      </c>
      <c r="CU5" s="1234">
        <f>+Inputs!CU5</f>
        <v>2013</v>
      </c>
      <c r="CV5" s="1234" t="str">
        <f>+Inputs!CV5</f>
        <v>1Q14</v>
      </c>
      <c r="CW5" s="1234" t="str">
        <f>+Inputs!CW5</f>
        <v>2Q14</v>
      </c>
      <c r="CX5" s="1234" t="str">
        <f>+Inputs!CX5</f>
        <v>3Q14</v>
      </c>
      <c r="CY5" s="1234" t="str">
        <f>+Inputs!CY5</f>
        <v>4Q14</v>
      </c>
      <c r="CZ5" s="1234">
        <f>+Inputs!CZ5</f>
        <v>2014</v>
      </c>
      <c r="DA5" s="1234" t="str">
        <f>+Inputs!DA5</f>
        <v>1Q15</v>
      </c>
      <c r="DB5" s="1234" t="str">
        <f>+Inputs!DB5</f>
        <v>2Q15</v>
      </c>
      <c r="DC5" s="1234" t="str">
        <f>+Inputs!DC5</f>
        <v>3Q15</v>
      </c>
      <c r="DD5" s="1234" t="str">
        <f>+Inputs!DD5</f>
        <v>4Q15</v>
      </c>
      <c r="DE5" s="1234">
        <f>+Inputs!DE5</f>
        <v>2015</v>
      </c>
      <c r="DF5" s="1234" t="str">
        <f>+Inputs!DF5</f>
        <v>1Q16</v>
      </c>
      <c r="DG5" s="1234" t="str">
        <f>+Inputs!DG5</f>
        <v>2Q16</v>
      </c>
      <c r="DH5" s="1234" t="str">
        <f>+Inputs!DH5</f>
        <v>3Q16</v>
      </c>
      <c r="DI5" s="1234" t="str">
        <f>+Inputs!DI5</f>
        <v>4Q16</v>
      </c>
      <c r="DJ5" s="1234">
        <f>+Inputs!DJ5</f>
        <v>2016</v>
      </c>
      <c r="DK5" s="1234" t="str">
        <f>+Inputs!DK5</f>
        <v>1Q17</v>
      </c>
      <c r="DL5" s="1234" t="str">
        <f>+Inputs!DL5</f>
        <v>2Q17</v>
      </c>
      <c r="DM5" s="1234" t="str">
        <f>+Inputs!DM5</f>
        <v>3Q17</v>
      </c>
      <c r="DN5" s="1234" t="str">
        <f>+Inputs!DN5</f>
        <v>4Q17</v>
      </c>
      <c r="DO5" s="1234">
        <f>+Inputs!DO5</f>
        <v>2017</v>
      </c>
      <c r="DP5" s="1234" t="str">
        <f>+Inputs!DP5</f>
        <v>1Q18</v>
      </c>
      <c r="DQ5" s="1234" t="str">
        <f>+Inputs!DQ5</f>
        <v>2Q18</v>
      </c>
      <c r="DR5" s="1234" t="str">
        <f>+Inputs!DR5</f>
        <v>3Q18</v>
      </c>
      <c r="DS5" s="1234" t="str">
        <f>+Inputs!DS5</f>
        <v>4Q18</v>
      </c>
      <c r="DT5" s="1234">
        <f>+Inputs!DT5</f>
        <v>2018</v>
      </c>
      <c r="DU5" s="1234" t="str">
        <f>+Inputs!DU5</f>
        <v>1Q19</v>
      </c>
      <c r="DV5" s="1234" t="str">
        <f>+Inputs!DV5</f>
        <v>2Q19</v>
      </c>
      <c r="DW5" s="1234" t="str">
        <f>+Inputs!DW5</f>
        <v>3Q19</v>
      </c>
      <c r="DX5" s="1234" t="str">
        <f>+Inputs!DX5</f>
        <v>4Q19</v>
      </c>
      <c r="DY5" s="1234">
        <f>+Inputs!DY5</f>
        <v>2019</v>
      </c>
      <c r="DZ5" s="1234" t="str">
        <f>+Inputs!DZ5</f>
        <v>1Q20</v>
      </c>
      <c r="EA5" s="1234" t="str">
        <f>+Inputs!EA5</f>
        <v>2Q20</v>
      </c>
      <c r="EB5" s="1234" t="str">
        <f>+Inputs!EB5</f>
        <v>3Q20</v>
      </c>
      <c r="EC5" s="1234" t="str">
        <f>+Inputs!EC5</f>
        <v>4Q20</v>
      </c>
      <c r="ED5" s="1234">
        <f>+Inputs!ED5</f>
        <v>2020</v>
      </c>
      <c r="EE5" s="1234" t="str">
        <f>+Inputs!EE5</f>
        <v>1Q21</v>
      </c>
      <c r="EF5" s="1234" t="str">
        <f>+Inputs!EF5</f>
        <v>2Q21</v>
      </c>
      <c r="EG5" s="1234" t="str">
        <f>+Inputs!EG5</f>
        <v>3Q21</v>
      </c>
      <c r="EH5" s="1234" t="str">
        <f>+Inputs!EH5</f>
        <v>4Q21</v>
      </c>
      <c r="EI5" s="1234">
        <f>+Inputs!EI5</f>
        <v>2021</v>
      </c>
      <c r="EJ5" s="1234" t="str">
        <f>+Inputs!EJ5</f>
        <v>1Q22</v>
      </c>
      <c r="EK5" s="1234" t="str">
        <f>+Inputs!EK5</f>
        <v>2Q22</v>
      </c>
      <c r="EL5" s="1234" t="str">
        <f>+Inputs!EL5</f>
        <v>3Q22</v>
      </c>
      <c r="EM5" s="1234" t="str">
        <f>+Inputs!EM5</f>
        <v>4Q22</v>
      </c>
      <c r="EN5" s="1234">
        <f>+Inputs!EN5</f>
        <v>2022</v>
      </c>
      <c r="EO5" s="1234" t="str">
        <f>+Inputs!EO5</f>
        <v>1Q23</v>
      </c>
      <c r="EP5" s="1234" t="str">
        <f>+Inputs!EP5</f>
        <v>2Q23</v>
      </c>
      <c r="EQ5" s="1234" t="str">
        <f>+Inputs!EQ5</f>
        <v>3Q23</v>
      </c>
      <c r="ER5" s="1234" t="str">
        <f>+Inputs!ER5</f>
        <v>4Q23</v>
      </c>
      <c r="ES5" s="1234">
        <f>+Inputs!ES5</f>
        <v>2023</v>
      </c>
      <c r="ET5" s="1234" t="str">
        <f>+Inputs!ET5</f>
        <v>1Q24</v>
      </c>
      <c r="EU5" s="1234" t="str">
        <f>+Inputs!EU5</f>
        <v>2Q24</v>
      </c>
      <c r="EV5" s="1234" t="str">
        <f>+Inputs!EV5</f>
        <v>3Q24</v>
      </c>
      <c r="EW5" s="1234" t="str">
        <f>+Inputs!EW5</f>
        <v>4Q24</v>
      </c>
      <c r="EX5" s="1234">
        <f>+Inputs!EX5</f>
        <v>2024</v>
      </c>
      <c r="EY5" s="1234" t="str">
        <f>+Inputs!EY5</f>
        <v>1Q25E</v>
      </c>
      <c r="EZ5" s="1234" t="str">
        <f>+Inputs!EZ5</f>
        <v>2Q25E</v>
      </c>
      <c r="FA5" s="1234" t="str">
        <f>+Inputs!FA5</f>
        <v>3Q25E</v>
      </c>
      <c r="FB5" s="1234" t="str">
        <f>+Inputs!FB5</f>
        <v>4Q25E</v>
      </c>
      <c r="FC5" s="1234" t="str">
        <f>+Inputs!FC5</f>
        <v>2025E</v>
      </c>
      <c r="FD5" s="1234" t="str">
        <f>+Inputs!FD5</f>
        <v>2026E</v>
      </c>
      <c r="FE5" s="1234" t="str">
        <f>+Inputs!FE5</f>
        <v>2027E</v>
      </c>
      <c r="FF5" s="1234" t="str">
        <f>+Inputs!FF5</f>
        <v>2028E</v>
      </c>
      <c r="FG5" s="1234" t="str">
        <f>+Inputs!FG5</f>
        <v>2029E</v>
      </c>
      <c r="FH5" s="1234" t="str">
        <f>+Inputs!FH5</f>
        <v>2030E</v>
      </c>
      <c r="FI5" s="1234" t="str">
        <f>+Inputs!FI5</f>
        <v>2031E</v>
      </c>
      <c r="FJ5" s="190" t="s">
        <v>17</v>
      </c>
      <c r="FK5" s="190" t="s">
        <v>17</v>
      </c>
    </row>
    <row r="6" spans="1:167" x14ac:dyDescent="0.3">
      <c r="A6" s="4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4"/>
      <c r="DZ6" s="1"/>
      <c r="EA6" s="1"/>
      <c r="EB6" s="1"/>
      <c r="EC6" s="1"/>
      <c r="ED6" s="4"/>
      <c r="EE6" s="1"/>
      <c r="EF6" s="1"/>
      <c r="EG6" s="1"/>
      <c r="EH6" s="1"/>
      <c r="EI6" s="4"/>
      <c r="EJ6" s="1"/>
      <c r="EK6" s="1"/>
      <c r="EL6" s="1"/>
      <c r="EM6" s="1"/>
      <c r="EN6" s="4"/>
      <c r="EO6" s="4"/>
      <c r="EP6" s="4"/>
      <c r="EQ6" s="4"/>
      <c r="ER6" s="4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</row>
    <row r="7" spans="1:167" x14ac:dyDescent="0.3">
      <c r="A7" s="54" t="s">
        <v>18</v>
      </c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</row>
    <row r="8" spans="1:167" x14ac:dyDescent="0.3">
      <c r="A8" s="90" t="s">
        <v>284</v>
      </c>
    </row>
    <row r="9" spans="1:167" x14ac:dyDescent="0.3">
      <c r="A9" t="s">
        <v>285</v>
      </c>
      <c r="DY9"/>
      <c r="DZ9" s="887">
        <f>DZ206</f>
        <v>724</v>
      </c>
      <c r="EA9" s="887">
        <f t="shared" ref="EA9:EC9" si="0">EA206</f>
        <v>710</v>
      </c>
      <c r="EB9" s="887">
        <f t="shared" si="0"/>
        <v>689</v>
      </c>
      <c r="EC9" s="887">
        <f t="shared" si="0"/>
        <v>690</v>
      </c>
      <c r="ED9" s="916">
        <f>SUM(DZ9:EC9)</f>
        <v>2813</v>
      </c>
      <c r="EE9" s="887">
        <f>EE206</f>
        <v>678</v>
      </c>
      <c r="EF9" s="887">
        <f t="shared" ref="EF9:EG9" si="1">EF206</f>
        <v>680</v>
      </c>
      <c r="EG9" s="887">
        <f t="shared" si="1"/>
        <v>684</v>
      </c>
      <c r="EH9" s="887">
        <f t="shared" ref="EH9:EJ9" si="2">EH206</f>
        <v>675</v>
      </c>
      <c r="EI9" s="916">
        <f>SUM(EE9:EH9)</f>
        <v>2717</v>
      </c>
      <c r="EJ9" s="887">
        <f t="shared" si="2"/>
        <v>672</v>
      </c>
      <c r="EK9" s="887">
        <f t="shared" ref="EK9:EL9" si="3">EK206</f>
        <v>685</v>
      </c>
      <c r="EL9" s="887">
        <f t="shared" si="3"/>
        <v>691</v>
      </c>
      <c r="EM9" s="887">
        <f t="shared" ref="EM9" si="4">EM206</f>
        <v>721</v>
      </c>
      <c r="EN9" s="916">
        <f>SUM(EJ9:EM9)</f>
        <v>2769</v>
      </c>
      <c r="EO9" s="887">
        <f t="shared" ref="EO9:EP9" si="5">EO206</f>
        <v>729</v>
      </c>
      <c r="EP9" s="887">
        <f t="shared" si="5"/>
        <v>746</v>
      </c>
      <c r="EQ9" s="887">
        <f t="shared" ref="EQ9:ER9" si="6">EQ206</f>
        <v>760</v>
      </c>
      <c r="ER9" s="887">
        <f t="shared" si="6"/>
        <v>762</v>
      </c>
      <c r="ES9" s="916">
        <f>SUM(EO9:ER9)</f>
        <v>2997</v>
      </c>
      <c r="ET9" s="887">
        <f t="shared" ref="ET9:EU9" si="7">ET206</f>
        <v>805</v>
      </c>
      <c r="EU9" s="887">
        <f t="shared" si="7"/>
        <v>840</v>
      </c>
      <c r="EV9" s="887">
        <f t="shared" ref="EV9:EW9" si="8">EV206</f>
        <v>867</v>
      </c>
      <c r="EW9" s="887">
        <f t="shared" si="8"/>
        <v>890</v>
      </c>
      <c r="EX9" s="916">
        <f>SUM(ET9:EW9)</f>
        <v>3402</v>
      </c>
      <c r="EY9" s="887">
        <f t="shared" ref="EY9:FB9" si="9">EY206</f>
        <v>894.70594889009044</v>
      </c>
      <c r="EZ9" s="887">
        <f t="shared" si="9"/>
        <v>936.23100593130721</v>
      </c>
      <c r="FA9" s="887">
        <f t="shared" si="9"/>
        <v>968.81735821644429</v>
      </c>
      <c r="FB9" s="887">
        <f t="shared" si="9"/>
        <v>999.22864483582111</v>
      </c>
      <c r="FC9" s="916">
        <f>SUM(EY9:FB9)</f>
        <v>3798.9829578736626</v>
      </c>
      <c r="FD9" s="887">
        <f t="shared" ref="FD9:FI9" si="10">FD206</f>
        <v>4284.0177429424857</v>
      </c>
      <c r="FE9" s="887">
        <f t="shared" si="10"/>
        <v>4783.9768879482499</v>
      </c>
      <c r="FF9" s="887">
        <f t="shared" si="10"/>
        <v>5243.2073016762452</v>
      </c>
      <c r="FG9" s="887">
        <f t="shared" si="10"/>
        <v>5647.1527496964864</v>
      </c>
      <c r="FH9" s="887">
        <f t="shared" si="10"/>
        <v>6007.2741449954765</v>
      </c>
      <c r="FI9" s="887">
        <f t="shared" si="10"/>
        <v>6325.1467374811637</v>
      </c>
    </row>
    <row r="10" spans="1:167" x14ac:dyDescent="0.3">
      <c r="A10" t="s">
        <v>286</v>
      </c>
      <c r="DY10"/>
      <c r="DZ10" s="887">
        <f>DZ344</f>
        <v>937</v>
      </c>
      <c r="EA10" s="887">
        <f t="shared" ref="EA10:EC10" si="11">EA344</f>
        <v>911</v>
      </c>
      <c r="EB10" s="887">
        <f t="shared" si="11"/>
        <v>889</v>
      </c>
      <c r="EC10" s="887">
        <f t="shared" si="11"/>
        <v>867</v>
      </c>
      <c r="ED10" s="916">
        <f>SUM(DZ10:EC10)</f>
        <v>3604</v>
      </c>
      <c r="EE10" s="887">
        <f>EE344</f>
        <v>857</v>
      </c>
      <c r="EF10" s="887">
        <f t="shared" ref="EF10:EG10" si="12">EF344</f>
        <v>834</v>
      </c>
      <c r="EG10" s="887">
        <f t="shared" si="12"/>
        <v>809</v>
      </c>
      <c r="EH10" s="887">
        <f t="shared" ref="EH10:EJ10" si="13">EH344</f>
        <v>784</v>
      </c>
      <c r="EI10" s="916">
        <f>SUM(EE10:EH10)</f>
        <v>3284</v>
      </c>
      <c r="EJ10" s="887">
        <f t="shared" si="13"/>
        <v>770</v>
      </c>
      <c r="EK10" s="887">
        <f t="shared" ref="EK10:EL10" si="14">EK344</f>
        <v>757</v>
      </c>
      <c r="EL10" s="887">
        <f t="shared" si="14"/>
        <v>735</v>
      </c>
      <c r="EM10" s="887">
        <f t="shared" ref="EM10" si="15">EM344</f>
        <v>702</v>
      </c>
      <c r="EN10" s="916">
        <f>SUM(EJ10:EM10)</f>
        <v>2964</v>
      </c>
      <c r="EO10" s="887">
        <f t="shared" ref="EO10:EP10" si="16">EO344</f>
        <v>689</v>
      </c>
      <c r="EP10" s="887">
        <f t="shared" si="16"/>
        <v>682</v>
      </c>
      <c r="EQ10" s="887">
        <f t="shared" ref="EQ10:ER10" si="17">EQ344</f>
        <v>661</v>
      </c>
      <c r="ER10" s="887">
        <f t="shared" si="17"/>
        <v>647</v>
      </c>
      <c r="ES10" s="916">
        <f>SUM(EO10:ER10)</f>
        <v>2679</v>
      </c>
      <c r="ET10" s="887">
        <f t="shared" ref="ET10:EU10" si="18">ET344</f>
        <v>641</v>
      </c>
      <c r="EU10" s="887">
        <f t="shared" si="18"/>
        <v>626</v>
      </c>
      <c r="EV10" s="887">
        <f t="shared" ref="EV10:EW10" si="19">EV344</f>
        <v>604</v>
      </c>
      <c r="EW10" s="887">
        <f t="shared" si="19"/>
        <v>600</v>
      </c>
      <c r="EX10" s="916">
        <f>SUM(ET10:EW10)</f>
        <v>2471</v>
      </c>
      <c r="EY10" s="887">
        <f t="shared" ref="EY10:FB10" si="20">EY344</f>
        <v>559.91740175830364</v>
      </c>
      <c r="EZ10" s="887">
        <f t="shared" si="20"/>
        <v>547.30364147906607</v>
      </c>
      <c r="FA10" s="887">
        <f t="shared" si="20"/>
        <v>527.0136177040074</v>
      </c>
      <c r="FB10" s="887">
        <f t="shared" si="20"/>
        <v>523.6057603098908</v>
      </c>
      <c r="FC10" s="916">
        <f>SUM(EY10:FB10)</f>
        <v>2157.8404212512678</v>
      </c>
      <c r="FD10" s="887">
        <f t="shared" ref="FD10:FI10" si="21">FD344</f>
        <v>1878.1797097928231</v>
      </c>
      <c r="FE10" s="887">
        <f t="shared" si="21"/>
        <v>1656.2880660641226</v>
      </c>
      <c r="FF10" s="887">
        <f t="shared" si="21"/>
        <v>1493.9886783542047</v>
      </c>
      <c r="FG10" s="887">
        <f t="shared" si="21"/>
        <v>1365.9865676856307</v>
      </c>
      <c r="FH10" s="887">
        <f t="shared" si="21"/>
        <v>1260.4000100321664</v>
      </c>
      <c r="FI10" s="887">
        <f t="shared" si="21"/>
        <v>1170.7222139524567</v>
      </c>
    </row>
    <row r="11" spans="1:167" x14ac:dyDescent="0.3">
      <c r="A11" t="s">
        <v>28</v>
      </c>
      <c r="DY11"/>
      <c r="DZ11" s="908">
        <f>Inputs!DZ172</f>
        <v>128</v>
      </c>
      <c r="EA11" s="908">
        <f>Inputs!EA172</f>
        <v>133</v>
      </c>
      <c r="EB11" s="908">
        <f>Inputs!EB172</f>
        <v>149</v>
      </c>
      <c r="EC11" s="908">
        <f>Inputs!EC172</f>
        <v>139</v>
      </c>
      <c r="ED11" s="100">
        <f>SUM(DZ11:EC11)</f>
        <v>549</v>
      </c>
      <c r="EE11" s="908">
        <f>Inputs!EE172</f>
        <v>140</v>
      </c>
      <c r="EF11" s="908">
        <f>Inputs!EF172</f>
        <v>103</v>
      </c>
      <c r="EG11" s="908">
        <f>Inputs!EG172</f>
        <v>83</v>
      </c>
      <c r="EH11" s="908">
        <f>Inputs!EH172</f>
        <v>84</v>
      </c>
      <c r="EI11" s="100">
        <f>SUM(EE11:EH11)</f>
        <v>410</v>
      </c>
      <c r="EJ11" s="908">
        <f>Inputs!EJ172</f>
        <v>5</v>
      </c>
      <c r="EK11" s="908">
        <f>Inputs!EK172</f>
        <v>17</v>
      </c>
      <c r="EL11" s="908">
        <f>Inputs!EL172</f>
        <v>18</v>
      </c>
      <c r="EM11" s="908">
        <f>Inputs!EM172</f>
        <v>14</v>
      </c>
      <c r="EN11" s="1153">
        <f>SUM(EJ11:EM11)</f>
        <v>54</v>
      </c>
      <c r="EO11" s="908">
        <f>Inputs!EO172</f>
        <v>22</v>
      </c>
      <c r="EP11" s="908">
        <f>Inputs!EP172</f>
        <v>21</v>
      </c>
      <c r="EQ11" s="908">
        <f>Inputs!EQ172</f>
        <v>15</v>
      </c>
      <c r="ER11" s="908">
        <f>Inputs!ER172</f>
        <v>17</v>
      </c>
      <c r="ES11" s="1153">
        <f>SUM(EO11:ER11)</f>
        <v>75</v>
      </c>
      <c r="ET11" s="908">
        <f>Inputs!ET172</f>
        <v>16</v>
      </c>
      <c r="EU11" s="908">
        <f>Inputs!EU172</f>
        <v>14</v>
      </c>
      <c r="EV11" s="908">
        <f>Inputs!EV172</f>
        <v>18</v>
      </c>
      <c r="EW11" s="908">
        <f>Inputs!EW172</f>
        <v>16</v>
      </c>
      <c r="EX11" s="1153">
        <f>SUM(ET11:EW11)</f>
        <v>64</v>
      </c>
      <c r="EY11" s="1157">
        <f>ET11</f>
        <v>16</v>
      </c>
      <c r="EZ11" s="1157">
        <f t="shared" ref="EZ11:FB11" si="22">EU11</f>
        <v>14</v>
      </c>
      <c r="FA11" s="1157">
        <f t="shared" si="22"/>
        <v>18</v>
      </c>
      <c r="FB11" s="1157">
        <f t="shared" si="22"/>
        <v>16</v>
      </c>
      <c r="FC11" s="1153">
        <f>SUM(EY11:FB11)</f>
        <v>64</v>
      </c>
      <c r="FD11" s="945">
        <f t="shared" ref="FD11" si="23">FC11</f>
        <v>64</v>
      </c>
      <c r="FE11" s="945">
        <f t="shared" ref="FE11" si="24">FD11</f>
        <v>64</v>
      </c>
      <c r="FF11" s="945">
        <f t="shared" ref="FF11" si="25">FE11</f>
        <v>64</v>
      </c>
      <c r="FG11" s="945">
        <f t="shared" ref="FG11" si="26">FF11</f>
        <v>64</v>
      </c>
      <c r="FH11" s="945">
        <f t="shared" ref="FH11" si="27">FG11</f>
        <v>64</v>
      </c>
      <c r="FI11" s="945">
        <f t="shared" ref="FI11" si="28">FH11</f>
        <v>64</v>
      </c>
    </row>
    <row r="12" spans="1:167" x14ac:dyDescent="0.3">
      <c r="A12" s="90" t="s">
        <v>19</v>
      </c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Z12" s="916">
        <f t="shared" ref="DZ12:FI12" si="29">SUM(DZ9:DZ11)</f>
        <v>1789</v>
      </c>
      <c r="EA12" s="916">
        <f t="shared" si="29"/>
        <v>1754</v>
      </c>
      <c r="EB12" s="916">
        <f t="shared" si="29"/>
        <v>1727</v>
      </c>
      <c r="EC12" s="916">
        <f t="shared" si="29"/>
        <v>1696</v>
      </c>
      <c r="ED12" s="916">
        <f t="shared" si="29"/>
        <v>6966</v>
      </c>
      <c r="EE12" s="916">
        <f t="shared" si="29"/>
        <v>1675</v>
      </c>
      <c r="EF12" s="916">
        <f t="shared" si="29"/>
        <v>1617</v>
      </c>
      <c r="EG12" s="916">
        <f t="shared" si="29"/>
        <v>1576</v>
      </c>
      <c r="EH12" s="916">
        <f t="shared" ref="EH12:EJ12" si="30">SUM(EH9:EH11)</f>
        <v>1543</v>
      </c>
      <c r="EI12" s="916">
        <f t="shared" si="29"/>
        <v>6411</v>
      </c>
      <c r="EJ12" s="916">
        <f t="shared" si="30"/>
        <v>1447</v>
      </c>
      <c r="EK12" s="916">
        <f t="shared" ref="EK12:EL12" si="31">SUM(EK9:EK11)</f>
        <v>1459</v>
      </c>
      <c r="EL12" s="916">
        <f t="shared" si="31"/>
        <v>1444</v>
      </c>
      <c r="EM12" s="916">
        <f t="shared" ref="EM12" si="32">SUM(EM9:EM11)</f>
        <v>1437</v>
      </c>
      <c r="EN12" s="916">
        <f t="shared" si="29"/>
        <v>5787</v>
      </c>
      <c r="EO12" s="916">
        <f t="shared" si="29"/>
        <v>1440</v>
      </c>
      <c r="EP12" s="916">
        <f t="shared" ref="EP12:EQ12" si="33">SUM(EP9:EP11)</f>
        <v>1449</v>
      </c>
      <c r="EQ12" s="916">
        <f t="shared" si="33"/>
        <v>1436</v>
      </c>
      <c r="ER12" s="916">
        <f t="shared" ref="ER12" si="34">SUM(ER9:ER11)</f>
        <v>1426</v>
      </c>
      <c r="ES12" s="916">
        <f t="shared" ref="ES12:ET12" si="35">SUM(ES9:ES11)</f>
        <v>5751</v>
      </c>
      <c r="ET12" s="916">
        <f t="shared" si="35"/>
        <v>1462</v>
      </c>
      <c r="EU12" s="916">
        <f t="shared" ref="EU12:EV12" si="36">SUM(EU9:EU11)</f>
        <v>1480</v>
      </c>
      <c r="EV12" s="916">
        <f t="shared" si="36"/>
        <v>1489</v>
      </c>
      <c r="EW12" s="916">
        <f t="shared" ref="EW12" si="37">SUM(EW9:EW11)</f>
        <v>1506</v>
      </c>
      <c r="EX12" s="916">
        <f t="shared" ref="EX12" si="38">SUM(EX9:EX11)</f>
        <v>5937</v>
      </c>
      <c r="EY12" s="916">
        <f t="shared" ref="EY12:FC12" si="39">SUM(EY9:EY11)</f>
        <v>1470.6233506483941</v>
      </c>
      <c r="EZ12" s="916">
        <f t="shared" si="39"/>
        <v>1497.5346474103733</v>
      </c>
      <c r="FA12" s="916">
        <f t="shared" si="39"/>
        <v>1513.8309759204517</v>
      </c>
      <c r="FB12" s="916">
        <f t="shared" si="39"/>
        <v>1538.834405145712</v>
      </c>
      <c r="FC12" s="916">
        <f t="shared" si="39"/>
        <v>6020.8233791249304</v>
      </c>
      <c r="FD12" s="916">
        <f t="shared" si="29"/>
        <v>6226.1974527353086</v>
      </c>
      <c r="FE12" s="916">
        <f t="shared" si="29"/>
        <v>6504.264954012373</v>
      </c>
      <c r="FF12" s="916">
        <f t="shared" si="29"/>
        <v>6801.1959800304503</v>
      </c>
      <c r="FG12" s="916">
        <f t="shared" si="29"/>
        <v>7077.139317382117</v>
      </c>
      <c r="FH12" s="916">
        <f t="shared" si="29"/>
        <v>7331.6741550276429</v>
      </c>
      <c r="FI12" s="916">
        <f t="shared" si="29"/>
        <v>7559.8689514336202</v>
      </c>
      <c r="FJ12" s="189">
        <f>+(FF12/ES12)^0.2-1</f>
        <v>3.4113920601426262E-2</v>
      </c>
      <c r="FK12" s="189">
        <f>+(FI12/EI12)^0.1-1</f>
        <v>1.6620467440568998E-2</v>
      </c>
    </row>
    <row r="13" spans="1:167" x14ac:dyDescent="0.3">
      <c r="A13" s="1158" t="s">
        <v>287</v>
      </c>
      <c r="EE13" s="1137">
        <f>EE9/DZ9-1</f>
        <v>-6.3535911602209949E-2</v>
      </c>
      <c r="EF13" s="1137">
        <f t="shared" ref="EF13:EW13" si="40">EF9/EA9-1</f>
        <v>-4.2253521126760618E-2</v>
      </c>
      <c r="EG13" s="1137">
        <f t="shared" si="40"/>
        <v>-7.2568940493469292E-3</v>
      </c>
      <c r="EH13" s="1137">
        <f t="shared" si="40"/>
        <v>-2.1739130434782594E-2</v>
      </c>
      <c r="EI13" s="1163">
        <f t="shared" si="40"/>
        <v>-3.412726626377538E-2</v>
      </c>
      <c r="EJ13" s="1137">
        <f t="shared" si="40"/>
        <v>-8.8495575221239076E-3</v>
      </c>
      <c r="EK13" s="1137">
        <f t="shared" si="40"/>
        <v>7.3529411764705621E-3</v>
      </c>
      <c r="EL13" s="1137">
        <f t="shared" si="40"/>
        <v>1.023391812865504E-2</v>
      </c>
      <c r="EM13" s="1137">
        <f t="shared" si="40"/>
        <v>6.8148148148148069E-2</v>
      </c>
      <c r="EN13" s="1163">
        <f t="shared" si="40"/>
        <v>1.9138755980861344E-2</v>
      </c>
      <c r="EO13" s="1137">
        <f t="shared" si="40"/>
        <v>8.4821428571428603E-2</v>
      </c>
      <c r="EP13" s="1137">
        <f t="shared" si="40"/>
        <v>8.9051094890510996E-2</v>
      </c>
      <c r="EQ13" s="1137">
        <f t="shared" si="40"/>
        <v>9.9855282199710516E-2</v>
      </c>
      <c r="ER13" s="1137">
        <f t="shared" si="40"/>
        <v>5.6865464632454898E-2</v>
      </c>
      <c r="ES13" s="1163">
        <f t="shared" ref="ES13:ES14" si="41">ES9/EN9-1</f>
        <v>8.234019501625145E-2</v>
      </c>
      <c r="ET13" s="1137">
        <f t="shared" si="40"/>
        <v>0.10425240054869689</v>
      </c>
      <c r="EU13" s="1137">
        <f t="shared" si="40"/>
        <v>0.12600536193029499</v>
      </c>
      <c r="EV13" s="1137">
        <f t="shared" si="40"/>
        <v>0.14078947368421058</v>
      </c>
      <c r="EW13" s="1137">
        <f t="shared" si="40"/>
        <v>0.16797900262467191</v>
      </c>
      <c r="EX13" s="1163">
        <f t="shared" ref="EX13:EX14" si="42">EX9/ES9-1</f>
        <v>0.13513513513513509</v>
      </c>
      <c r="EY13" s="1137">
        <f t="shared" ref="EY13:EY14" si="43">EY9/ET9-1</f>
        <v>0.11143596135414957</v>
      </c>
      <c r="EZ13" s="1137">
        <f t="shared" ref="EZ13:EZ14" si="44">EZ9/EU9-1</f>
        <v>0.11456072134679429</v>
      </c>
      <c r="FA13" s="1137">
        <f t="shared" ref="FA13:FA14" si="45">FA9/EV9-1</f>
        <v>0.1174363993269254</v>
      </c>
      <c r="FB13" s="1137">
        <f t="shared" ref="FB13:FC14" si="46">FB9/EW9-1</f>
        <v>0.1227288144222709</v>
      </c>
      <c r="FC13" s="1163">
        <f t="shared" si="46"/>
        <v>0.11669105169713778</v>
      </c>
      <c r="FD13" s="1137">
        <f t="shared" ref="FD13:FI13" si="47">FD9/FC9-1</f>
        <v>0.12767490416443006</v>
      </c>
      <c r="FE13" s="1137">
        <f t="shared" si="47"/>
        <v>0.11670333201336525</v>
      </c>
      <c r="FF13" s="1137">
        <f t="shared" si="47"/>
        <v>9.5993443213508112E-2</v>
      </c>
      <c r="FG13" s="1137">
        <f t="shared" si="47"/>
        <v>7.7041670256123629E-2</v>
      </c>
      <c r="FH13" s="1137">
        <f t="shared" si="47"/>
        <v>6.3770436405911957E-2</v>
      </c>
      <c r="FI13" s="1137">
        <f t="shared" si="47"/>
        <v>5.291461398519659E-2</v>
      </c>
    </row>
    <row r="14" spans="1:167" x14ac:dyDescent="0.3">
      <c r="A14" s="1158" t="s">
        <v>288</v>
      </c>
      <c r="EE14" s="1137">
        <f>EE10/DZ10-1</f>
        <v>-8.5378868729989343E-2</v>
      </c>
      <c r="EF14" s="1137">
        <f t="shared" ref="EF14" si="48">EF10/EA10-1</f>
        <v>-8.4522502744237116E-2</v>
      </c>
      <c r="EG14" s="1137">
        <f t="shared" ref="EG14:EW14" si="49">EG10/EB10-1</f>
        <v>-8.9988751406074208E-2</v>
      </c>
      <c r="EH14" s="1137">
        <f t="shared" si="49"/>
        <v>-9.5732410611303331E-2</v>
      </c>
      <c r="EI14" s="1163">
        <f t="shared" ref="EI14" si="50">EI10/ED10-1</f>
        <v>-8.8790233074361846E-2</v>
      </c>
      <c r="EJ14" s="1137">
        <f t="shared" si="49"/>
        <v>-0.10151691948658115</v>
      </c>
      <c r="EK14" s="1137">
        <f t="shared" si="49"/>
        <v>-9.2326139088728998E-2</v>
      </c>
      <c r="EL14" s="1137">
        <f t="shared" si="49"/>
        <v>-9.1470951792336219E-2</v>
      </c>
      <c r="EM14" s="1137">
        <f t="shared" si="49"/>
        <v>-0.10459183673469385</v>
      </c>
      <c r="EN14" s="1163">
        <f t="shared" ref="EN14" si="51">EN10/EI10-1</f>
        <v>-9.7442143727161978E-2</v>
      </c>
      <c r="EO14" s="1137">
        <f t="shared" si="49"/>
        <v>-0.10519480519480517</v>
      </c>
      <c r="EP14" s="1137">
        <f t="shared" si="49"/>
        <v>-9.9075297225891701E-2</v>
      </c>
      <c r="EQ14" s="1137">
        <f t="shared" si="49"/>
        <v>-0.10068027210884356</v>
      </c>
      <c r="ER14" s="1137">
        <f t="shared" si="49"/>
        <v>-7.8347578347578328E-2</v>
      </c>
      <c r="ES14" s="1163">
        <f t="shared" si="41"/>
        <v>-9.6153846153846145E-2</v>
      </c>
      <c r="ET14" s="1137">
        <f t="shared" si="49"/>
        <v>-6.9666182873730054E-2</v>
      </c>
      <c r="EU14" s="1137">
        <f t="shared" si="49"/>
        <v>-8.2111436950146666E-2</v>
      </c>
      <c r="EV14" s="1137">
        <f t="shared" si="49"/>
        <v>-8.6232980332829001E-2</v>
      </c>
      <c r="EW14" s="1137">
        <f t="shared" si="49"/>
        <v>-7.2642967542503878E-2</v>
      </c>
      <c r="EX14" s="1163">
        <f t="shared" si="42"/>
        <v>-7.7640910787607265E-2</v>
      </c>
      <c r="EY14" s="1137">
        <f t="shared" si="43"/>
        <v>-0.12649391301356683</v>
      </c>
      <c r="EZ14" s="1137">
        <f t="shared" si="44"/>
        <v>-0.12571303278104462</v>
      </c>
      <c r="FA14" s="1137">
        <f t="shared" si="45"/>
        <v>-0.1274608978410473</v>
      </c>
      <c r="FB14" s="1137">
        <f t="shared" si="46"/>
        <v>-0.12732373281684872</v>
      </c>
      <c r="FC14" s="1163">
        <f t="shared" si="46"/>
        <v>-0.12673394526456183</v>
      </c>
      <c r="FD14" s="1137">
        <f t="shared" ref="FD14:FI14" si="52">FD10/FC10-1</f>
        <v>-0.12960212845409469</v>
      </c>
      <c r="FE14" s="1137">
        <f t="shared" si="52"/>
        <v>-0.11814185968028412</v>
      </c>
      <c r="FF14" s="1137">
        <f t="shared" si="52"/>
        <v>-9.7989831017495588E-2</v>
      </c>
      <c r="FG14" s="1137">
        <f t="shared" si="52"/>
        <v>-8.5678099521866891E-2</v>
      </c>
      <c r="FH14" s="1137">
        <f t="shared" si="52"/>
        <v>-7.7296922349945119E-2</v>
      </c>
      <c r="FI14" s="1137">
        <f t="shared" si="52"/>
        <v>-7.1150266078957691E-2</v>
      </c>
    </row>
    <row r="15" spans="1:167" x14ac:dyDescent="0.3">
      <c r="A15" s="1158" t="s">
        <v>289</v>
      </c>
      <c r="EE15" s="1137">
        <f t="shared" ref="EE15:EW15" si="53">EE12/DZ12-1</f>
        <v>-6.3722750139742823E-2</v>
      </c>
      <c r="EF15" s="1137">
        <f t="shared" si="53"/>
        <v>-7.8107183580387707E-2</v>
      </c>
      <c r="EG15" s="1137">
        <f t="shared" si="53"/>
        <v>-8.7434858135495119E-2</v>
      </c>
      <c r="EH15" s="1137">
        <f t="shared" si="53"/>
        <v>-9.0212264150943411E-2</v>
      </c>
      <c r="EI15" s="1163">
        <f t="shared" si="53"/>
        <v>-7.9672695951765737E-2</v>
      </c>
      <c r="EJ15" s="1137">
        <f t="shared" si="53"/>
        <v>-0.13611940298507463</v>
      </c>
      <c r="EK15" s="1137">
        <f t="shared" si="53"/>
        <v>-9.7711811997526321E-2</v>
      </c>
      <c r="EL15" s="1137">
        <f t="shared" si="53"/>
        <v>-8.3756345177664948E-2</v>
      </c>
      <c r="EM15" s="1137">
        <f t="shared" si="53"/>
        <v>-6.8697342838626052E-2</v>
      </c>
      <c r="EN15" s="1163">
        <f t="shared" si="53"/>
        <v>-9.7332709405708928E-2</v>
      </c>
      <c r="EO15" s="1137">
        <f t="shared" si="53"/>
        <v>-4.8375950241880128E-3</v>
      </c>
      <c r="EP15" s="1137">
        <f t="shared" si="53"/>
        <v>-6.8540095956134417E-3</v>
      </c>
      <c r="EQ15" s="1137">
        <f t="shared" si="53"/>
        <v>-5.5401662049860967E-3</v>
      </c>
      <c r="ER15" s="1137">
        <f t="shared" si="53"/>
        <v>-7.6548364648573175E-3</v>
      </c>
      <c r="ES15" s="1163">
        <f t="shared" ref="ES15" si="54">ES12/EN12-1</f>
        <v>-6.2208398133748455E-3</v>
      </c>
      <c r="ET15" s="1137">
        <f t="shared" si="53"/>
        <v>1.5277777777777724E-2</v>
      </c>
      <c r="EU15" s="1137">
        <f t="shared" si="53"/>
        <v>2.1394064872325647E-2</v>
      </c>
      <c r="EV15" s="1137">
        <f t="shared" si="53"/>
        <v>3.6908077994429078E-2</v>
      </c>
      <c r="EW15" s="1137">
        <f t="shared" si="53"/>
        <v>5.6100981767180924E-2</v>
      </c>
      <c r="EX15" s="1163">
        <f t="shared" ref="EX15" si="55">EX12/ES12-1</f>
        <v>3.234220135628596E-2</v>
      </c>
      <c r="EY15" s="1137">
        <f t="shared" ref="EY15" si="56">EY12/ET12-1</f>
        <v>5.898324656904208E-3</v>
      </c>
      <c r="EZ15" s="1137">
        <f t="shared" ref="EZ15" si="57">EZ12/EU12-1</f>
        <v>1.1847734736738724E-2</v>
      </c>
      <c r="FA15" s="1137">
        <f t="shared" ref="FA15" si="58">FA12/EV12-1</f>
        <v>1.6676276642344945E-2</v>
      </c>
      <c r="FB15" s="1137">
        <f t="shared" ref="FB15:FC15" si="59">FB12/EW12-1</f>
        <v>2.1802393855054447E-2</v>
      </c>
      <c r="FC15" s="1163">
        <f t="shared" si="59"/>
        <v>1.411881069983667E-2</v>
      </c>
      <c r="FD15" s="1137">
        <f t="shared" ref="FD15:FI15" si="60">FD12/FC12-1</f>
        <v>3.4110629174481266E-2</v>
      </c>
      <c r="FE15" s="1137">
        <f t="shared" si="60"/>
        <v>4.4660887064367438E-2</v>
      </c>
      <c r="FF15" s="1137">
        <f t="shared" si="60"/>
        <v>4.5651742067319256E-2</v>
      </c>
      <c r="FG15" s="1137">
        <f t="shared" si="60"/>
        <v>4.0572766637204216E-2</v>
      </c>
      <c r="FH15" s="1137">
        <f t="shared" si="60"/>
        <v>3.5965780272314785E-2</v>
      </c>
      <c r="FI15" s="1137">
        <f t="shared" si="60"/>
        <v>3.1124514207917287E-2</v>
      </c>
    </row>
    <row r="16" spans="1:167" x14ac:dyDescent="0.3">
      <c r="A16" s="90"/>
      <c r="ED16" s="1679">
        <f>ED19/AVERAGE(DY94:EC94)/12*1000</f>
        <v>16.604738871128816</v>
      </c>
      <c r="EI16" s="1679">
        <f>EI19/AVERAGE(ED94:EH94)/12*1000</f>
        <v>16.179009593066464</v>
      </c>
      <c r="EN16" s="1679">
        <f>EN19/AVERAGE(EI94:EM94)/12*1000</f>
        <v>16.213759743660841</v>
      </c>
      <c r="EO16"/>
      <c r="EP16"/>
      <c r="EQ16"/>
      <c r="ER16"/>
      <c r="ES16" s="1679"/>
      <c r="EX16" s="1679"/>
      <c r="EY16" s="1679"/>
      <c r="EZ16" s="1679"/>
      <c r="FA16" s="1679"/>
      <c r="FB16" s="1679"/>
      <c r="FC16" s="1679"/>
      <c r="FD16" s="1679"/>
      <c r="FE16" s="1679"/>
      <c r="FF16" s="1679"/>
      <c r="FG16" s="1679"/>
      <c r="FH16" s="1679"/>
      <c r="FI16" s="1679"/>
    </row>
    <row r="17" spans="1:167" x14ac:dyDescent="0.3">
      <c r="A17" s="90" t="s">
        <v>290</v>
      </c>
      <c r="ED17" s="1679">
        <f>ED18/AVERAGE(DY90:EC90)/12*1000</f>
        <v>44.530240570971522</v>
      </c>
      <c r="EI17" s="1679">
        <f>EI18/AVERAGE(ED90:EH90)/12*1000</f>
        <v>37.535660034826428</v>
      </c>
      <c r="EN17" s="1679">
        <f>EN18/AVERAGE(EI90:EM90)/12*1000</f>
        <v>29.641561134562693</v>
      </c>
      <c r="EO17"/>
      <c r="EP17"/>
      <c r="EQ17"/>
      <c r="ER17"/>
      <c r="ES17" s="1679"/>
      <c r="EX17" s="1679"/>
      <c r="EY17" s="1679"/>
      <c r="EZ17" s="1679"/>
      <c r="FA17" s="1679"/>
      <c r="FB17" s="1679"/>
      <c r="FC17" s="1679"/>
      <c r="FD17" s="1679"/>
      <c r="FE17" s="1679"/>
      <c r="FF17" s="1679"/>
      <c r="FG17" s="1679"/>
      <c r="FH17" s="1679"/>
      <c r="FI17" s="1679"/>
    </row>
    <row r="18" spans="1:167" x14ac:dyDescent="0.3">
      <c r="A18" t="s">
        <v>291</v>
      </c>
      <c r="DZ18" s="887">
        <f>DZ243</f>
        <v>463</v>
      </c>
      <c r="EA18" s="887">
        <f t="shared" ref="EA18:EC18" si="61">EA243</f>
        <v>430</v>
      </c>
      <c r="EB18" s="887">
        <f t="shared" si="61"/>
        <v>429</v>
      </c>
      <c r="EC18" s="887">
        <f t="shared" si="61"/>
        <v>415</v>
      </c>
      <c r="ED18" s="916">
        <f>SUM(DZ18:EC18)</f>
        <v>1737</v>
      </c>
      <c r="EE18" s="887">
        <f>EE243</f>
        <v>409</v>
      </c>
      <c r="EF18" s="887">
        <f t="shared" ref="EF18:EG18" si="62">EF243</f>
        <v>404</v>
      </c>
      <c r="EG18" s="887">
        <f t="shared" si="62"/>
        <v>406</v>
      </c>
      <c r="EH18" s="887">
        <f t="shared" ref="EH18:EJ18" si="63">EH243</f>
        <v>402</v>
      </c>
      <c r="EI18" s="916">
        <f>SUM(EE18:EH18)</f>
        <v>1621</v>
      </c>
      <c r="EJ18" s="887">
        <f t="shared" si="63"/>
        <v>398</v>
      </c>
      <c r="EK18" s="887">
        <f t="shared" ref="EK18:EL18" si="64">EK243</f>
        <v>393</v>
      </c>
      <c r="EL18" s="887">
        <f t="shared" si="64"/>
        <v>415</v>
      </c>
      <c r="EM18" s="887">
        <f t="shared" ref="EM18" si="65">EM243</f>
        <v>395</v>
      </c>
      <c r="EN18" s="916">
        <f>SUM(EJ18:EM18)</f>
        <v>1601</v>
      </c>
      <c r="EO18" s="887">
        <f t="shared" ref="EO18:EP18" si="66">EO243</f>
        <v>407</v>
      </c>
      <c r="EP18" s="887">
        <f t="shared" si="66"/>
        <v>423</v>
      </c>
      <c r="EQ18" s="887">
        <f t="shared" ref="EQ18:ER18" si="67">EQ243</f>
        <v>432</v>
      </c>
      <c r="ER18" s="887">
        <f t="shared" si="67"/>
        <v>406</v>
      </c>
      <c r="ES18" s="916">
        <f>SUM(EO18:ER18)</f>
        <v>1668</v>
      </c>
      <c r="ET18" s="887">
        <f t="shared" ref="ET18:EU18" si="68">ET243</f>
        <v>445</v>
      </c>
      <c r="EU18" s="887">
        <f t="shared" si="68"/>
        <v>458</v>
      </c>
      <c r="EV18" s="887">
        <f t="shared" ref="EV18:EW18" si="69">EV243</f>
        <v>473</v>
      </c>
      <c r="EW18" s="887">
        <f t="shared" si="69"/>
        <v>452</v>
      </c>
      <c r="EX18" s="916">
        <f>SUM(ET18:EW18)</f>
        <v>1828</v>
      </c>
      <c r="EY18" s="887">
        <f t="shared" ref="EY18:FB18" si="70">EY243</f>
        <v>474.66866654487876</v>
      </c>
      <c r="EZ18" s="887">
        <f t="shared" si="70"/>
        <v>486.95400347685108</v>
      </c>
      <c r="FA18" s="887">
        <f t="shared" si="70"/>
        <v>501.0446505024845</v>
      </c>
      <c r="FB18" s="887">
        <f t="shared" si="70"/>
        <v>478.93602426228387</v>
      </c>
      <c r="FC18" s="916">
        <f>SUM(EY18:FB18)</f>
        <v>1941.6033447864982</v>
      </c>
      <c r="FD18" s="887">
        <f t="shared" ref="FD18:FI18" si="71">FD243</f>
        <v>2094.2644117407808</v>
      </c>
      <c r="FE18" s="887">
        <f t="shared" si="71"/>
        <v>2174.425184894269</v>
      </c>
      <c r="FF18" s="887">
        <f t="shared" si="71"/>
        <v>2247.918591778086</v>
      </c>
      <c r="FG18" s="887">
        <f t="shared" si="71"/>
        <v>2309.2508687968857</v>
      </c>
      <c r="FH18" s="887">
        <f t="shared" si="71"/>
        <v>2361.2839765966014</v>
      </c>
      <c r="FI18" s="887">
        <f t="shared" si="71"/>
        <v>2404.832992000489</v>
      </c>
    </row>
    <row r="19" spans="1:167" x14ac:dyDescent="0.3">
      <c r="A19" t="s">
        <v>292</v>
      </c>
      <c r="DZ19" s="887">
        <f>DZ380</f>
        <v>625</v>
      </c>
      <c r="EA19" s="887">
        <f t="shared" ref="EA19:EC19" si="72">EA380</f>
        <v>609</v>
      </c>
      <c r="EB19" s="887">
        <f t="shared" si="72"/>
        <v>583</v>
      </c>
      <c r="EC19" s="887">
        <f t="shared" si="72"/>
        <v>564</v>
      </c>
      <c r="ED19" s="916">
        <f>SUM(DZ19:EC19)</f>
        <v>2381</v>
      </c>
      <c r="EE19" s="887">
        <f>EE380</f>
        <v>560</v>
      </c>
      <c r="EF19" s="887">
        <f t="shared" ref="EF19:EG19" si="73">EF380</f>
        <v>566</v>
      </c>
      <c r="EG19" s="887">
        <f t="shared" si="73"/>
        <v>582</v>
      </c>
      <c r="EH19" s="887">
        <f t="shared" ref="EH19:EJ19" si="74">EH380</f>
        <v>556</v>
      </c>
      <c r="EI19" s="916">
        <f>SUM(EE19:EH19)</f>
        <v>2264</v>
      </c>
      <c r="EJ19" s="887">
        <f t="shared" si="74"/>
        <v>540</v>
      </c>
      <c r="EK19" s="887">
        <f t="shared" ref="EK19:EL19" si="75">EK380</f>
        <v>530</v>
      </c>
      <c r="EL19" s="887">
        <f t="shared" si="75"/>
        <v>520</v>
      </c>
      <c r="EM19" s="887">
        <f t="shared" ref="EM19" si="76">EM380</f>
        <v>515</v>
      </c>
      <c r="EN19" s="916">
        <f>SUM(EJ19:EM19)</f>
        <v>2105</v>
      </c>
      <c r="EO19" s="887">
        <f t="shared" ref="EO19:EP19" si="77">EO380</f>
        <v>513</v>
      </c>
      <c r="EP19" s="887">
        <f t="shared" si="77"/>
        <v>493</v>
      </c>
      <c r="EQ19" s="887">
        <f t="shared" ref="EQ19:ER19" si="78">EQ380</f>
        <v>478</v>
      </c>
      <c r="ER19" s="887">
        <f t="shared" si="78"/>
        <v>470</v>
      </c>
      <c r="ES19" s="916">
        <f>SUM(EO19:ER19)</f>
        <v>1954</v>
      </c>
      <c r="ET19" s="887">
        <f t="shared" ref="ET19:EU19" si="79">ET380</f>
        <v>469</v>
      </c>
      <c r="EU19" s="887">
        <f t="shared" si="79"/>
        <v>461</v>
      </c>
      <c r="EV19" s="887">
        <f t="shared" ref="EV19:EW19" si="80">EV380</f>
        <v>467</v>
      </c>
      <c r="EW19" s="887">
        <f t="shared" si="80"/>
        <v>458</v>
      </c>
      <c r="EX19" s="916">
        <f>SUM(ET19:EW19)</f>
        <v>1855</v>
      </c>
      <c r="EY19" s="887">
        <f t="shared" ref="EY19:FB19" si="81">EY380</f>
        <v>438.94795332053138</v>
      </c>
      <c r="EZ19" s="887">
        <f t="shared" si="81"/>
        <v>416.91144453744363</v>
      </c>
      <c r="FA19" s="887">
        <f t="shared" si="81"/>
        <v>412.02993449269536</v>
      </c>
      <c r="FB19" s="887">
        <f t="shared" si="81"/>
        <v>394.87610507606809</v>
      </c>
      <c r="FC19" s="916">
        <f>SUM(EY19:FB19)</f>
        <v>1662.7654374267386</v>
      </c>
      <c r="FD19" s="887">
        <f t="shared" ref="FD19:FI19" si="82">FD380</f>
        <v>1454.9200020182693</v>
      </c>
      <c r="FE19" s="887">
        <f t="shared" si="82"/>
        <v>1335.9634446316079</v>
      </c>
      <c r="FF19" s="887">
        <f t="shared" si="82"/>
        <v>1281.273559605132</v>
      </c>
      <c r="FG19" s="887">
        <f t="shared" si="82"/>
        <v>1234.2090014907742</v>
      </c>
      <c r="FH19" s="887">
        <f t="shared" si="82"/>
        <v>1191.8869875548446</v>
      </c>
      <c r="FI19" s="887">
        <f t="shared" si="82"/>
        <v>1153.0712707066168</v>
      </c>
    </row>
    <row r="20" spans="1:167" x14ac:dyDescent="0.3">
      <c r="A20" t="s">
        <v>293</v>
      </c>
      <c r="DZ20" s="866">
        <f>DZ21-DZ18-DZ19</f>
        <v>14</v>
      </c>
      <c r="EA20" s="866">
        <f t="shared" ref="EA20:EC20" si="83">EA21-EA18-EA19</f>
        <v>12</v>
      </c>
      <c r="EB20" s="866">
        <f t="shared" si="83"/>
        <v>24</v>
      </c>
      <c r="EC20" s="866">
        <f t="shared" si="83"/>
        <v>23</v>
      </c>
      <c r="ED20" s="941">
        <f>SUM(DZ20:EC20)</f>
        <v>73</v>
      </c>
      <c r="EE20" s="866">
        <f>EE21-EE18-EE19</f>
        <v>37</v>
      </c>
      <c r="EF20" s="866">
        <f t="shared" ref="EF20" si="84">EF21-EF18-EF19</f>
        <v>13</v>
      </c>
      <c r="EG20" s="866">
        <f t="shared" ref="EG20:EH20" si="85">EG21-EG18-EG19</f>
        <v>1</v>
      </c>
      <c r="EH20" s="866">
        <f t="shared" si="85"/>
        <v>0</v>
      </c>
      <c r="EI20" s="941">
        <f>SUM(EE20:EH20)</f>
        <v>51</v>
      </c>
      <c r="EJ20" s="866">
        <f t="shared" ref="EJ20:EK20" si="86">EJ21-EJ18-EJ19</f>
        <v>0</v>
      </c>
      <c r="EK20" s="866">
        <f t="shared" si="86"/>
        <v>1</v>
      </c>
      <c r="EL20" s="866">
        <f t="shared" ref="EL20:EM20" si="87">EL21-EL18-EL19</f>
        <v>1</v>
      </c>
      <c r="EM20" s="866">
        <f t="shared" si="87"/>
        <v>-1</v>
      </c>
      <c r="EN20" s="941">
        <f>SUM(EJ20:EM20)</f>
        <v>1</v>
      </c>
      <c r="EO20" s="866">
        <f t="shared" ref="EO20:EP20" si="88">EO21-EO18-EO19</f>
        <v>1</v>
      </c>
      <c r="EP20" s="866">
        <f t="shared" si="88"/>
        <v>0</v>
      </c>
      <c r="EQ20" s="866">
        <f t="shared" ref="EQ20:ER20" si="89">EQ21-EQ18-EQ19</f>
        <v>0</v>
      </c>
      <c r="ER20" s="866">
        <f t="shared" si="89"/>
        <v>1</v>
      </c>
      <c r="ES20" s="941">
        <f>SUM(EO20:ER20)</f>
        <v>2</v>
      </c>
      <c r="ET20" s="866">
        <f t="shared" ref="ET20:EU20" si="90">ET21-ET18-ET19</f>
        <v>1</v>
      </c>
      <c r="EU20" s="866">
        <f t="shared" si="90"/>
        <v>1</v>
      </c>
      <c r="EV20" s="866">
        <f t="shared" ref="EV20:EW20" si="91">EV21-EV18-EV19</f>
        <v>0</v>
      </c>
      <c r="EW20" s="866">
        <f t="shared" si="91"/>
        <v>1</v>
      </c>
      <c r="EX20" s="941">
        <f>SUM(ET20:EW20)</f>
        <v>3</v>
      </c>
      <c r="EY20" s="866">
        <v>0</v>
      </c>
      <c r="EZ20" s="866">
        <v>0</v>
      </c>
      <c r="FA20" s="866">
        <v>0</v>
      </c>
      <c r="FB20" s="866">
        <v>0</v>
      </c>
      <c r="FC20" s="941">
        <f>SUM(EY20:FB20)</f>
        <v>0</v>
      </c>
      <c r="FD20" s="866">
        <f t="shared" ref="FD20:FI20" si="92">FC20</f>
        <v>0</v>
      </c>
      <c r="FE20" s="866">
        <f t="shared" si="92"/>
        <v>0</v>
      </c>
      <c r="FF20" s="866">
        <f t="shared" si="92"/>
        <v>0</v>
      </c>
      <c r="FG20" s="866">
        <f t="shared" si="92"/>
        <v>0</v>
      </c>
      <c r="FH20" s="866">
        <f t="shared" si="92"/>
        <v>0</v>
      </c>
      <c r="FI20" s="866">
        <f t="shared" si="92"/>
        <v>0</v>
      </c>
    </row>
    <row r="21" spans="1:167" x14ac:dyDescent="0.3">
      <c r="A21" s="90" t="s">
        <v>294</v>
      </c>
      <c r="DZ21" s="916">
        <f>DZ12-DZ30</f>
        <v>1102</v>
      </c>
      <c r="EA21" s="916">
        <f>EA12-EA30</f>
        <v>1051</v>
      </c>
      <c r="EB21" s="916">
        <f>EB12-EB30</f>
        <v>1036</v>
      </c>
      <c r="EC21" s="916">
        <f>EC12-EC30</f>
        <v>1002</v>
      </c>
      <c r="ED21" s="916">
        <f>SUM(ED18:ED19)</f>
        <v>4118</v>
      </c>
      <c r="EE21" s="916">
        <f>EE12-EE30</f>
        <v>1006</v>
      </c>
      <c r="EF21" s="916">
        <f>EF12-EF30</f>
        <v>983</v>
      </c>
      <c r="EG21" s="916">
        <f>EG12-EG30</f>
        <v>989</v>
      </c>
      <c r="EH21" s="916">
        <f>EH12-EH30</f>
        <v>958</v>
      </c>
      <c r="EI21" s="916">
        <f t="shared" ref="EI21:EN21" si="93">SUM(EI18:EI19)</f>
        <v>3885</v>
      </c>
      <c r="EJ21" s="916">
        <f>EJ12-EJ30</f>
        <v>938</v>
      </c>
      <c r="EK21" s="916">
        <f>EK12-EK30</f>
        <v>924</v>
      </c>
      <c r="EL21" s="916">
        <f>EL12-EL30</f>
        <v>936</v>
      </c>
      <c r="EM21" s="916">
        <f>EM12-EM30</f>
        <v>909</v>
      </c>
      <c r="EN21" s="916">
        <f t="shared" si="93"/>
        <v>3706</v>
      </c>
      <c r="EO21" s="916">
        <f>EO12-EO30</f>
        <v>921</v>
      </c>
      <c r="EP21" s="916">
        <f>EP12-EP30</f>
        <v>916</v>
      </c>
      <c r="EQ21" s="916">
        <f>EQ12-EQ30</f>
        <v>910</v>
      </c>
      <c r="ER21" s="916">
        <f>ER12-ER30</f>
        <v>877</v>
      </c>
      <c r="ES21" s="916">
        <f>SUM(ES18:ES20)</f>
        <v>3624</v>
      </c>
      <c r="ET21" s="916">
        <f>ET12-ET30</f>
        <v>915</v>
      </c>
      <c r="EU21" s="916">
        <f>EU12-EU30</f>
        <v>920</v>
      </c>
      <c r="EV21" s="916">
        <f>EV12-EV30</f>
        <v>940</v>
      </c>
      <c r="EW21" s="916">
        <f>EW12-EW30</f>
        <v>911</v>
      </c>
      <c r="EX21" s="916">
        <f>SUM(EX18:EX20)</f>
        <v>3686</v>
      </c>
      <c r="EY21" s="916">
        <f t="shared" ref="EY21:FB21" si="94">SUM(EY18:EY20)</f>
        <v>913.61661986541014</v>
      </c>
      <c r="EZ21" s="916">
        <f t="shared" si="94"/>
        <v>903.86544801429477</v>
      </c>
      <c r="FA21" s="916">
        <f t="shared" si="94"/>
        <v>913.07458499517986</v>
      </c>
      <c r="FB21" s="916">
        <f t="shared" si="94"/>
        <v>873.81212933835195</v>
      </c>
      <c r="FC21" s="916">
        <f>SUM(FC18:FC20)</f>
        <v>3604.368782213237</v>
      </c>
      <c r="FD21" s="916">
        <f t="shared" ref="FD21:FI21" si="95">FD12-FD30</f>
        <v>3549.1844137590506</v>
      </c>
      <c r="FE21" s="916">
        <f t="shared" si="95"/>
        <v>3510.3886295258771</v>
      </c>
      <c r="FF21" s="916">
        <f t="shared" si="95"/>
        <v>3529.1921513832176</v>
      </c>
      <c r="FG21" s="916">
        <f t="shared" si="95"/>
        <v>3543.4598702876601</v>
      </c>
      <c r="FH21" s="916">
        <f t="shared" si="95"/>
        <v>3553.1709641514467</v>
      </c>
      <c r="FI21" s="916">
        <f t="shared" si="95"/>
        <v>3557.9042627071062</v>
      </c>
      <c r="FJ21" s="189">
        <f>+(FF21/ES21)^0.2-1</f>
        <v>-5.2878489902283832E-3</v>
      </c>
      <c r="FK21" s="189">
        <f>+(FI21/EI21)^0.1-1</f>
        <v>-8.7565662384909704E-3</v>
      </c>
    </row>
    <row r="22" spans="1:167" x14ac:dyDescent="0.3">
      <c r="A22" s="1158" t="s">
        <v>295</v>
      </c>
      <c r="EE22" s="1137">
        <f>EE18/DZ18-1</f>
        <v>-0.11663066954643631</v>
      </c>
      <c r="EF22" s="1137">
        <f t="shared" ref="EF22:EF23" si="96">EF18/EA18-1</f>
        <v>-6.0465116279069808E-2</v>
      </c>
      <c r="EG22" s="1137">
        <f t="shared" ref="EG22:EW23" si="97">EG18/EB18-1</f>
        <v>-5.3613053613053574E-2</v>
      </c>
      <c r="EH22" s="1137">
        <f t="shared" si="97"/>
        <v>-3.1325301204819245E-2</v>
      </c>
      <c r="EI22" s="1163">
        <f t="shared" ref="EI22:EI23" si="98">EI18/ED18-1</f>
        <v>-6.6781807714450192E-2</v>
      </c>
      <c r="EJ22" s="1137">
        <f t="shared" si="97"/>
        <v>-2.6894865525672329E-2</v>
      </c>
      <c r="EK22" s="1137">
        <f t="shared" si="97"/>
        <v>-2.7227722772277252E-2</v>
      </c>
      <c r="EL22" s="1137">
        <f t="shared" si="97"/>
        <v>2.2167487684729092E-2</v>
      </c>
      <c r="EM22" s="1137">
        <f t="shared" si="97"/>
        <v>-1.7412935323383061E-2</v>
      </c>
      <c r="EN22" s="1163">
        <f t="shared" ref="EN22:EN23" si="99">EN18/EI18-1</f>
        <v>-1.2338062924120874E-2</v>
      </c>
      <c r="EO22" s="1137">
        <f t="shared" si="97"/>
        <v>2.2613065326633208E-2</v>
      </c>
      <c r="EP22" s="1137">
        <f t="shared" si="97"/>
        <v>7.6335877862595325E-2</v>
      </c>
      <c r="EQ22" s="1137">
        <f t="shared" si="97"/>
        <v>4.0963855421686679E-2</v>
      </c>
      <c r="ER22" s="1137">
        <f t="shared" si="97"/>
        <v>2.7848101265822711E-2</v>
      </c>
      <c r="ES22" s="1163">
        <f t="shared" ref="ES22:ES23" si="100">ES18/EN18-1</f>
        <v>4.1848844472204938E-2</v>
      </c>
      <c r="ET22" s="1137">
        <f t="shared" si="97"/>
        <v>9.3366093366093361E-2</v>
      </c>
      <c r="EU22" s="1137">
        <f t="shared" si="97"/>
        <v>8.2742316784869985E-2</v>
      </c>
      <c r="EV22" s="1137">
        <f t="shared" si="97"/>
        <v>9.490740740740744E-2</v>
      </c>
      <c r="EW22" s="1137">
        <f t="shared" si="97"/>
        <v>0.11330049261083741</v>
      </c>
      <c r="EX22" s="1163">
        <f t="shared" ref="EX22:EX23" si="101">EX18/ES18-1</f>
        <v>9.592326139088736E-2</v>
      </c>
      <c r="EY22" s="1137">
        <f t="shared" ref="EY22:EY23" si="102">EY18/ET18-1</f>
        <v>6.6671160775008342E-2</v>
      </c>
      <c r="EZ22" s="1137">
        <f t="shared" ref="EZ22:EZ23" si="103">EZ18/EU18-1</f>
        <v>6.3218348202731534E-2</v>
      </c>
      <c r="FA22" s="1137">
        <f t="shared" ref="FA22:FA23" si="104">FA18/EV18-1</f>
        <v>5.9291015861489438E-2</v>
      </c>
      <c r="FB22" s="1137">
        <f t="shared" ref="FB22:FC23" si="105">FB18/EW18-1</f>
        <v>5.9592974031601464E-2</v>
      </c>
      <c r="FC22" s="1163">
        <f t="shared" si="105"/>
        <v>6.2146249883204607E-2</v>
      </c>
      <c r="FD22" s="1137">
        <f t="shared" ref="FD22:FI22" si="106">FD18/FC18-1</f>
        <v>7.8626289640570057E-2</v>
      </c>
      <c r="FE22" s="1137">
        <f t="shared" si="106"/>
        <v>3.8276338319122472E-2</v>
      </c>
      <c r="FF22" s="1137">
        <f t="shared" si="106"/>
        <v>3.3799004626314799E-2</v>
      </c>
      <c r="FG22" s="1137">
        <f t="shared" si="106"/>
        <v>2.7284029431994039E-2</v>
      </c>
      <c r="FH22" s="1137">
        <f t="shared" si="106"/>
        <v>2.2532462151600097E-2</v>
      </c>
      <c r="FI22" s="1137">
        <f t="shared" si="106"/>
        <v>1.8442938602690306E-2</v>
      </c>
    </row>
    <row r="23" spans="1:167" x14ac:dyDescent="0.3">
      <c r="A23" s="1158" t="s">
        <v>296</v>
      </c>
      <c r="EE23" s="1137">
        <f>EE19/DZ19-1</f>
        <v>-0.10399999999999998</v>
      </c>
      <c r="EF23" s="1137">
        <f t="shared" si="96"/>
        <v>-7.0607553366174081E-2</v>
      </c>
      <c r="EG23" s="1137">
        <f t="shared" si="97"/>
        <v>-1.7152658662092923E-3</v>
      </c>
      <c r="EH23" s="1137">
        <f t="shared" si="97"/>
        <v>-1.4184397163120588E-2</v>
      </c>
      <c r="EI23" s="1163">
        <f t="shared" si="98"/>
        <v>-4.9139017219655634E-2</v>
      </c>
      <c r="EJ23" s="1137">
        <f t="shared" si="97"/>
        <v>-3.5714285714285698E-2</v>
      </c>
      <c r="EK23" s="1137">
        <f t="shared" si="97"/>
        <v>-6.360424028268552E-2</v>
      </c>
      <c r="EL23" s="1137">
        <f t="shared" si="97"/>
        <v>-0.10652920962199308</v>
      </c>
      <c r="EM23" s="1137">
        <f t="shared" si="97"/>
        <v>-7.374100719424459E-2</v>
      </c>
      <c r="EN23" s="1163">
        <f t="shared" si="99"/>
        <v>-7.0229681978798641E-2</v>
      </c>
      <c r="EO23" s="1137">
        <f t="shared" si="97"/>
        <v>-5.0000000000000044E-2</v>
      </c>
      <c r="EP23" s="1137">
        <f t="shared" si="97"/>
        <v>-6.9811320754716966E-2</v>
      </c>
      <c r="EQ23" s="1137">
        <f t="shared" si="97"/>
        <v>-8.0769230769230815E-2</v>
      </c>
      <c r="ER23" s="1137">
        <f t="shared" si="97"/>
        <v>-8.737864077669899E-2</v>
      </c>
      <c r="ES23" s="1163">
        <f t="shared" si="100"/>
        <v>-7.1733966745843203E-2</v>
      </c>
      <c r="ET23" s="1137">
        <f t="shared" si="97"/>
        <v>-8.5769980506822607E-2</v>
      </c>
      <c r="EU23" s="1137">
        <f t="shared" si="97"/>
        <v>-6.4908722109533468E-2</v>
      </c>
      <c r="EV23" s="1137">
        <f t="shared" si="97"/>
        <v>-2.3012552301255207E-2</v>
      </c>
      <c r="EW23" s="1137">
        <f t="shared" si="97"/>
        <v>-2.5531914893617058E-2</v>
      </c>
      <c r="EX23" s="1163">
        <f t="shared" si="101"/>
        <v>-5.0665301944728736E-2</v>
      </c>
      <c r="EY23" s="1137">
        <f t="shared" si="102"/>
        <v>-6.4076858591617492E-2</v>
      </c>
      <c r="EZ23" s="1137">
        <f t="shared" si="103"/>
        <v>-9.563677974524154E-2</v>
      </c>
      <c r="FA23" s="1137">
        <f t="shared" si="104"/>
        <v>-0.11770891971585573</v>
      </c>
      <c r="FB23" s="1137">
        <f t="shared" si="105"/>
        <v>-0.13782509808718757</v>
      </c>
      <c r="FC23" s="1163">
        <f t="shared" si="105"/>
        <v>-0.1036304919532407</v>
      </c>
      <c r="FD23" s="1137">
        <f t="shared" ref="FD23:FI23" si="107">FD19/FC19-1</f>
        <v>-0.12499985309420825</v>
      </c>
      <c r="FE23" s="1137">
        <f t="shared" si="107"/>
        <v>-8.1761579483163649E-2</v>
      </c>
      <c r="FF23" s="1137">
        <f t="shared" si="107"/>
        <v>-4.0936662785377775E-2</v>
      </c>
      <c r="FG23" s="1137">
        <f t="shared" si="107"/>
        <v>-3.6732638211048663E-2</v>
      </c>
      <c r="FH23" s="1137">
        <f t="shared" si="107"/>
        <v>-3.4290799925142168E-2</v>
      </c>
      <c r="FI23" s="1137">
        <f t="shared" si="107"/>
        <v>-3.2566608456610635E-2</v>
      </c>
    </row>
    <row r="24" spans="1:167" x14ac:dyDescent="0.3">
      <c r="A24" s="1158" t="s">
        <v>297</v>
      </c>
      <c r="EE24" s="1137">
        <f t="shared" ref="EE24:EW24" si="108">EE21/DZ21-1</f>
        <v>-8.7114337568058087E-2</v>
      </c>
      <c r="EF24" s="1137">
        <f t="shared" si="108"/>
        <v>-6.4700285442435779E-2</v>
      </c>
      <c r="EG24" s="1137">
        <f t="shared" si="108"/>
        <v>-4.5366795366795332E-2</v>
      </c>
      <c r="EH24" s="1137">
        <f t="shared" si="108"/>
        <v>-4.3912175648702645E-2</v>
      </c>
      <c r="EI24" s="1163">
        <f t="shared" si="108"/>
        <v>-5.6580864497328798E-2</v>
      </c>
      <c r="EJ24" s="1137">
        <f t="shared" si="108"/>
        <v>-6.7594433399602361E-2</v>
      </c>
      <c r="EK24" s="1137">
        <f t="shared" si="108"/>
        <v>-6.0020345879959303E-2</v>
      </c>
      <c r="EL24" s="1137">
        <f t="shared" si="108"/>
        <v>-5.3589484327603687E-2</v>
      </c>
      <c r="EM24" s="1137">
        <f t="shared" si="108"/>
        <v>-5.1148225469728636E-2</v>
      </c>
      <c r="EN24" s="1163">
        <f t="shared" si="108"/>
        <v>-4.6074646074646064E-2</v>
      </c>
      <c r="EO24" s="1137">
        <f t="shared" si="108"/>
        <v>-1.8123667377398678E-2</v>
      </c>
      <c r="EP24" s="1137">
        <f t="shared" si="108"/>
        <v>-8.6580086580086979E-3</v>
      </c>
      <c r="EQ24" s="1137">
        <f t="shared" si="108"/>
        <v>-2.777777777777779E-2</v>
      </c>
      <c r="ER24" s="1137">
        <f t="shared" si="108"/>
        <v>-3.5203520352035222E-2</v>
      </c>
      <c r="ES24" s="1163">
        <f t="shared" ref="ES24" si="109">ES21/EN21-1</f>
        <v>-2.2126281705342699E-2</v>
      </c>
      <c r="ET24" s="1137">
        <f t="shared" si="108"/>
        <v>-6.514657980456029E-3</v>
      </c>
      <c r="EU24" s="1137">
        <f t="shared" si="108"/>
        <v>4.366812227074135E-3</v>
      </c>
      <c r="EV24" s="1137">
        <f t="shared" si="108"/>
        <v>3.2967032967033072E-2</v>
      </c>
      <c r="EW24" s="1137">
        <f t="shared" si="108"/>
        <v>3.8768529076396829E-2</v>
      </c>
      <c r="EX24" s="1163">
        <f t="shared" ref="EX24" si="110">EX21/ES21-1</f>
        <v>1.7108167770419458E-2</v>
      </c>
      <c r="EY24" s="1137">
        <f t="shared" ref="EY24" si="111">EY21/ET21-1</f>
        <v>-1.5118908574752732E-3</v>
      </c>
      <c r="EZ24" s="1137">
        <f t="shared" ref="EZ24" si="112">EZ21/EU21-1</f>
        <v>-1.7537556506201368E-2</v>
      </c>
      <c r="FA24" s="1137">
        <f t="shared" ref="FA24" si="113">FA21/EV21-1</f>
        <v>-2.8644058515766124E-2</v>
      </c>
      <c r="FB24" s="1137">
        <f t="shared" ref="FB24:FC24" si="114">FB21/EW21-1</f>
        <v>-4.0820933766902323E-2</v>
      </c>
      <c r="FC24" s="1163">
        <f t="shared" si="114"/>
        <v>-2.2146288059349706E-2</v>
      </c>
      <c r="FD24" s="1137">
        <f t="shared" ref="FD24:FI24" si="115">FD21/FC21-1</f>
        <v>-1.531041127825461E-2</v>
      </c>
      <c r="FE24" s="1137">
        <f t="shared" si="115"/>
        <v>-1.093090121853757E-2</v>
      </c>
      <c r="FF24" s="1137">
        <f t="shared" si="115"/>
        <v>5.3565356551077414E-3</v>
      </c>
      <c r="FG24" s="1137">
        <f t="shared" si="115"/>
        <v>4.0427719127875683E-3</v>
      </c>
      <c r="FH24" s="1137">
        <f t="shared" si="115"/>
        <v>2.7405683200238951E-3</v>
      </c>
      <c r="FI24" s="1137">
        <f t="shared" si="115"/>
        <v>1.3321336359590763E-3</v>
      </c>
    </row>
    <row r="25" spans="1:167" x14ac:dyDescent="0.3">
      <c r="A25" s="90"/>
      <c r="EO25"/>
      <c r="EP25"/>
      <c r="EQ25"/>
      <c r="ER25"/>
      <c r="ES25" s="90"/>
      <c r="EX25" s="90"/>
      <c r="FC25" s="90"/>
    </row>
    <row r="26" spans="1:167" x14ac:dyDescent="0.3">
      <c r="A26" s="48" t="s">
        <v>44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4"/>
      <c r="DZ26" s="1"/>
      <c r="EA26" s="1"/>
      <c r="EB26" s="1"/>
      <c r="EC26" s="1"/>
      <c r="ED26" s="58"/>
      <c r="EE26" s="59"/>
      <c r="EF26" s="59"/>
      <c r="EG26" s="59"/>
      <c r="EH26" s="59"/>
      <c r="EI26" s="58"/>
      <c r="EJ26" s="59"/>
      <c r="EK26" s="59"/>
      <c r="EL26" s="59"/>
      <c r="EM26" s="59"/>
      <c r="EN26" s="58"/>
      <c r="EO26" s="59"/>
      <c r="EP26" s="59"/>
      <c r="EQ26" s="59"/>
      <c r="ER26" s="59"/>
      <c r="ES26" s="58"/>
      <c r="ET26" s="59"/>
      <c r="EU26" s="1074"/>
      <c r="EV26" s="1074"/>
      <c r="EW26" s="1074"/>
      <c r="EX26" s="1074"/>
      <c r="EY26" s="1074"/>
      <c r="EZ26" s="1074"/>
      <c r="FA26" s="1074"/>
      <c r="FB26" s="1074"/>
      <c r="FC26" s="1074"/>
      <c r="FD26" s="1074"/>
      <c r="FE26" s="1074"/>
      <c r="FF26" s="1074"/>
      <c r="FG26" s="1074"/>
      <c r="FH26" s="1074"/>
      <c r="FI26" s="1074"/>
    </row>
    <row r="27" spans="1:167" x14ac:dyDescent="0.3">
      <c r="A27" s="27" t="s">
        <v>298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4"/>
      <c r="DZ27" s="44">
        <f>Inputs!DZ186</f>
        <v>271</v>
      </c>
      <c r="EA27" s="44">
        <f>Inputs!EA186</f>
        <v>289</v>
      </c>
      <c r="EB27" s="44">
        <f>Inputs!EB186</f>
        <v>269</v>
      </c>
      <c r="EC27" s="44">
        <f>Inputs!EC186</f>
        <v>283</v>
      </c>
      <c r="ED27" s="45">
        <f>SUM(DZ27:EC27)</f>
        <v>1112</v>
      </c>
      <c r="EE27" s="44">
        <f>Inputs!EE186</f>
        <v>275</v>
      </c>
      <c r="EF27" s="44">
        <f>Inputs!EF186</f>
        <v>278</v>
      </c>
      <c r="EG27" s="44">
        <f>Inputs!EG186</f>
        <v>278</v>
      </c>
      <c r="EH27" s="44">
        <f>Inputs!EH186</f>
        <v>273</v>
      </c>
      <c r="EI27" s="58">
        <f>SUM(EE27:EH27)</f>
        <v>1104</v>
      </c>
      <c r="EJ27" s="44">
        <f>Inputs!EJ186</f>
        <v>274</v>
      </c>
      <c r="EK27" s="44">
        <f>Inputs!EK186</f>
        <v>292</v>
      </c>
      <c r="EL27" s="44">
        <f>Inputs!EL186</f>
        <v>276</v>
      </c>
      <c r="EM27" s="44">
        <f>Inputs!EM186</f>
        <v>326</v>
      </c>
      <c r="EN27" s="58">
        <f>SUM(EJ27:EM27)</f>
        <v>1168</v>
      </c>
      <c r="EO27" s="44">
        <f>Inputs!EO186</f>
        <v>322</v>
      </c>
      <c r="EP27" s="44">
        <f>Inputs!EP186</f>
        <v>323</v>
      </c>
      <c r="EQ27" s="44">
        <f>Inputs!EQ186</f>
        <v>328</v>
      </c>
      <c r="ER27" s="44">
        <f>Inputs!ER186</f>
        <v>356</v>
      </c>
      <c r="ES27" s="58">
        <f>SUM(EO27:ER27)</f>
        <v>1329</v>
      </c>
      <c r="ET27" s="44">
        <f>Inputs!ET186</f>
        <v>360</v>
      </c>
      <c r="EU27" s="44">
        <f>Inputs!EU186</f>
        <v>382</v>
      </c>
      <c r="EV27" s="44">
        <f>Inputs!EV186</f>
        <v>394</v>
      </c>
      <c r="EW27" s="44">
        <f>Inputs!EW186</f>
        <v>438</v>
      </c>
      <c r="EX27" s="58">
        <f>SUM(ET27:EW27)</f>
        <v>1574</v>
      </c>
      <c r="EY27" s="1114">
        <f t="shared" ref="EY27:FB27" si="116">EY251</f>
        <v>420.03728234521168</v>
      </c>
      <c r="EZ27" s="1114">
        <f t="shared" si="116"/>
        <v>449.27700245445612</v>
      </c>
      <c r="FA27" s="1114">
        <f t="shared" si="116"/>
        <v>467.77270771395979</v>
      </c>
      <c r="FB27" s="1114">
        <f t="shared" si="116"/>
        <v>520.29262057353731</v>
      </c>
      <c r="FC27" s="58">
        <f>SUM(EY27:FB27)</f>
        <v>1857.3796130871649</v>
      </c>
      <c r="FD27" s="1114">
        <f t="shared" ref="FD27:FI27" si="117">FD251</f>
        <v>2189.7533312017049</v>
      </c>
      <c r="FE27" s="1114">
        <f t="shared" si="117"/>
        <v>2609.5517030539809</v>
      </c>
      <c r="FF27" s="1114">
        <f t="shared" si="117"/>
        <v>2995.2887098981591</v>
      </c>
      <c r="FG27" s="1114">
        <f t="shared" si="117"/>
        <v>3337.9018808996007</v>
      </c>
      <c r="FH27" s="1114">
        <f t="shared" si="117"/>
        <v>3645.9901683988751</v>
      </c>
      <c r="FI27" s="1114">
        <f t="shared" si="117"/>
        <v>3920.3137454806747</v>
      </c>
    </row>
    <row r="28" spans="1:167" x14ac:dyDescent="0.3">
      <c r="A28" s="27" t="s">
        <v>299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4"/>
      <c r="DZ28" s="44">
        <f>Inputs!DZ187</f>
        <v>333</v>
      </c>
      <c r="EA28" s="44">
        <f>Inputs!EA187</f>
        <v>319</v>
      </c>
      <c r="EB28" s="44">
        <f>Inputs!EB187</f>
        <v>322</v>
      </c>
      <c r="EC28" s="44">
        <f>Inputs!EC187</f>
        <v>319</v>
      </c>
      <c r="ED28" s="45">
        <f>SUM(DZ28:EC28)</f>
        <v>1293</v>
      </c>
      <c r="EE28" s="44">
        <f>Inputs!EE187</f>
        <v>311</v>
      </c>
      <c r="EF28" s="44">
        <f>Inputs!EF187</f>
        <v>272</v>
      </c>
      <c r="EG28" s="44">
        <f>Inputs!EG187</f>
        <v>227</v>
      </c>
      <c r="EH28" s="44">
        <f>Inputs!EH187</f>
        <v>228</v>
      </c>
      <c r="EI28" s="58">
        <f>SUM(EE28:EH28)</f>
        <v>1038</v>
      </c>
      <c r="EJ28" s="44">
        <f>Inputs!EJ187</f>
        <v>230</v>
      </c>
      <c r="EK28" s="44">
        <f>Inputs!EK187</f>
        <v>227</v>
      </c>
      <c r="EL28" s="44">
        <f>Inputs!EL187</f>
        <v>215</v>
      </c>
      <c r="EM28" s="44">
        <f>Inputs!EM187</f>
        <v>187</v>
      </c>
      <c r="EN28" s="58">
        <f>SUM(EJ28:EM28)</f>
        <v>859</v>
      </c>
      <c r="EO28" s="44">
        <f>Inputs!EO187</f>
        <v>176</v>
      </c>
      <c r="EP28" s="44">
        <f>Inputs!EP187</f>
        <v>189</v>
      </c>
      <c r="EQ28" s="44">
        <f>Inputs!EQ187</f>
        <v>183</v>
      </c>
      <c r="ER28" s="44">
        <f>Inputs!ER187</f>
        <v>177</v>
      </c>
      <c r="ES28" s="58">
        <f>SUM(EO28:ER28)</f>
        <v>725</v>
      </c>
      <c r="ET28" s="44">
        <f>Inputs!ET187</f>
        <v>172</v>
      </c>
      <c r="EU28" s="44">
        <f>Inputs!EU187</f>
        <v>165</v>
      </c>
      <c r="EV28" s="44">
        <f>Inputs!EV187</f>
        <v>137</v>
      </c>
      <c r="EW28" s="44">
        <f>Inputs!EW187</f>
        <v>142</v>
      </c>
      <c r="EX28" s="58">
        <f>SUM(ET28:EW28)</f>
        <v>616</v>
      </c>
      <c r="EY28" s="1114">
        <f t="shared" ref="EY28:FB28" si="118">EY388</f>
        <v>120.96944843777226</v>
      </c>
      <c r="EZ28" s="1114">
        <f t="shared" si="118"/>
        <v>130.39219694162244</v>
      </c>
      <c r="FA28" s="1114">
        <f t="shared" si="118"/>
        <v>114.98368321131204</v>
      </c>
      <c r="FB28" s="1114">
        <f t="shared" si="118"/>
        <v>128.72965523382271</v>
      </c>
      <c r="FC28" s="58">
        <f>SUM(EY28:FB28)</f>
        <v>495.07498382452945</v>
      </c>
      <c r="FD28" s="1114">
        <f t="shared" ref="FD28:FI28" si="119">FD388</f>
        <v>423.25970777455382</v>
      </c>
      <c r="FE28" s="1114">
        <f t="shared" si="119"/>
        <v>320.32462143251473</v>
      </c>
      <c r="FF28" s="1114">
        <f t="shared" si="119"/>
        <v>212.71511874907264</v>
      </c>
      <c r="FG28" s="1114">
        <f t="shared" si="119"/>
        <v>131.77756619485649</v>
      </c>
      <c r="FH28" s="1114">
        <f t="shared" si="119"/>
        <v>68.513022477321783</v>
      </c>
      <c r="FI28" s="1114">
        <f t="shared" si="119"/>
        <v>17.650943245839926</v>
      </c>
    </row>
    <row r="29" spans="1:167" x14ac:dyDescent="0.3">
      <c r="A29" s="27" t="s">
        <v>300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4"/>
      <c r="DZ29" s="44">
        <f>Inputs!DZ188</f>
        <v>83</v>
      </c>
      <c r="EA29" s="44">
        <f>Inputs!EA188</f>
        <v>95</v>
      </c>
      <c r="EB29" s="44">
        <f>Inputs!EB188</f>
        <v>100</v>
      </c>
      <c r="EC29" s="44">
        <f>Inputs!EC188</f>
        <v>92</v>
      </c>
      <c r="ED29" s="45">
        <f>SUM(DZ29:EC29)</f>
        <v>370</v>
      </c>
      <c r="EE29" s="44">
        <f>Inputs!EE188</f>
        <v>83</v>
      </c>
      <c r="EF29" s="44">
        <f>Inputs!EF188</f>
        <v>84</v>
      </c>
      <c r="EG29" s="44">
        <f>Inputs!EG188</f>
        <v>82</v>
      </c>
      <c r="EH29" s="44">
        <f>Inputs!EH188</f>
        <v>84</v>
      </c>
      <c r="EI29" s="58">
        <f>SUM(EE29:EH29)</f>
        <v>333</v>
      </c>
      <c r="EJ29" s="44">
        <f>Inputs!EJ188</f>
        <v>5</v>
      </c>
      <c r="EK29" s="44">
        <f>Inputs!EK188</f>
        <v>16</v>
      </c>
      <c r="EL29" s="44">
        <f>Inputs!EL188</f>
        <v>17</v>
      </c>
      <c r="EM29" s="44">
        <f>Inputs!EM188</f>
        <v>15</v>
      </c>
      <c r="EN29" s="58">
        <f>SUM(EJ29:EM29)</f>
        <v>53</v>
      </c>
      <c r="EO29" s="44">
        <f>Inputs!EO188</f>
        <v>21</v>
      </c>
      <c r="EP29" s="44">
        <f>Inputs!EP188</f>
        <v>21</v>
      </c>
      <c r="EQ29" s="44">
        <f>Inputs!EQ188</f>
        <v>15</v>
      </c>
      <c r="ER29" s="44">
        <f>Inputs!ER188</f>
        <v>16</v>
      </c>
      <c r="ES29" s="58">
        <f>SUM(EO29:ER29)</f>
        <v>73</v>
      </c>
      <c r="ET29" s="44">
        <f>Inputs!ET188</f>
        <v>15</v>
      </c>
      <c r="EU29" s="44">
        <f>Inputs!EU188</f>
        <v>13</v>
      </c>
      <c r="EV29" s="44">
        <f>Inputs!EV188</f>
        <v>18</v>
      </c>
      <c r="EW29" s="44">
        <f>Inputs!EW188</f>
        <v>15</v>
      </c>
      <c r="EX29" s="58">
        <f>SUM(ET29:EW29)</f>
        <v>61</v>
      </c>
      <c r="EY29" s="1114">
        <f t="shared" ref="EY29:FB29" si="120">EY11</f>
        <v>16</v>
      </c>
      <c r="EZ29" s="1114">
        <f t="shared" si="120"/>
        <v>14</v>
      </c>
      <c r="FA29" s="1114">
        <f t="shared" si="120"/>
        <v>18</v>
      </c>
      <c r="FB29" s="1114">
        <f t="shared" si="120"/>
        <v>16</v>
      </c>
      <c r="FC29" s="58">
        <f>SUM(EY29:FB29)</f>
        <v>64</v>
      </c>
      <c r="FD29" s="1114">
        <f t="shared" ref="FD29:FI29" si="121">FD11</f>
        <v>64</v>
      </c>
      <c r="FE29" s="1114">
        <f t="shared" si="121"/>
        <v>64</v>
      </c>
      <c r="FF29" s="1114">
        <f t="shared" si="121"/>
        <v>64</v>
      </c>
      <c r="FG29" s="1114">
        <f t="shared" si="121"/>
        <v>64</v>
      </c>
      <c r="FH29" s="1114">
        <f t="shared" si="121"/>
        <v>64</v>
      </c>
      <c r="FI29" s="1114">
        <f t="shared" si="121"/>
        <v>64</v>
      </c>
    </row>
    <row r="30" spans="1:167" x14ac:dyDescent="0.3">
      <c r="A30" s="48" t="s">
        <v>301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50"/>
      <c r="DV30" s="50"/>
      <c r="DW30" s="50"/>
      <c r="DX30" s="50"/>
      <c r="DY30" s="51"/>
      <c r="DZ30" s="50">
        <f t="shared" ref="DZ30:FI30" si="122">DZ12-DZ71</f>
        <v>687</v>
      </c>
      <c r="EA30" s="50">
        <f t="shared" si="122"/>
        <v>703</v>
      </c>
      <c r="EB30" s="50">
        <f t="shared" si="122"/>
        <v>691</v>
      </c>
      <c r="EC30" s="50">
        <f t="shared" si="122"/>
        <v>694</v>
      </c>
      <c r="ED30" s="50">
        <f t="shared" si="122"/>
        <v>2775</v>
      </c>
      <c r="EE30" s="50">
        <f t="shared" si="122"/>
        <v>669</v>
      </c>
      <c r="EF30" s="50">
        <f t="shared" si="122"/>
        <v>634</v>
      </c>
      <c r="EG30" s="50">
        <f t="shared" si="122"/>
        <v>587</v>
      </c>
      <c r="EH30" s="50">
        <f t="shared" si="122"/>
        <v>585</v>
      </c>
      <c r="EI30" s="50">
        <f t="shared" si="122"/>
        <v>2475</v>
      </c>
      <c r="EJ30" s="50">
        <f t="shared" ref="EJ30:EK30" si="123">EJ12-EJ71</f>
        <v>509</v>
      </c>
      <c r="EK30" s="50">
        <f t="shared" si="123"/>
        <v>535</v>
      </c>
      <c r="EL30" s="50">
        <f t="shared" ref="EL30:EM30" si="124">EL12-EL71</f>
        <v>508</v>
      </c>
      <c r="EM30" s="50">
        <f t="shared" si="124"/>
        <v>528</v>
      </c>
      <c r="EN30" s="50">
        <f t="shared" si="122"/>
        <v>2080</v>
      </c>
      <c r="EO30" s="50">
        <f t="shared" si="122"/>
        <v>519</v>
      </c>
      <c r="EP30" s="50">
        <f t="shared" ref="EP30:EQ30" si="125">EP12-EP71</f>
        <v>533</v>
      </c>
      <c r="EQ30" s="50">
        <f t="shared" si="125"/>
        <v>526</v>
      </c>
      <c r="ER30" s="50">
        <f t="shared" ref="ER30" si="126">ER12-ER71</f>
        <v>549</v>
      </c>
      <c r="ES30" s="50">
        <f t="shared" ref="ES30:ET30" si="127">ES12-ES71</f>
        <v>2127</v>
      </c>
      <c r="ET30" s="50">
        <f t="shared" si="127"/>
        <v>547</v>
      </c>
      <c r="EU30" s="50">
        <f t="shared" ref="EU30:EV30" si="128">EU12-EU71</f>
        <v>560</v>
      </c>
      <c r="EV30" s="50">
        <f t="shared" si="128"/>
        <v>549</v>
      </c>
      <c r="EW30" s="50">
        <f t="shared" ref="EW30" si="129">EW12-EW71</f>
        <v>595</v>
      </c>
      <c r="EX30" s="50">
        <f t="shared" ref="EX30" si="130">EX12-EX71</f>
        <v>2251</v>
      </c>
      <c r="EY30" s="50">
        <f t="shared" ref="EY30:FC30" si="131">EY12-EY71</f>
        <v>557.00673078298382</v>
      </c>
      <c r="EZ30" s="50">
        <f t="shared" si="131"/>
        <v>593.66919939607862</v>
      </c>
      <c r="FA30" s="50">
        <f t="shared" si="131"/>
        <v>600.75639092527183</v>
      </c>
      <c r="FB30" s="50">
        <f t="shared" si="131"/>
        <v>665.02227580736007</v>
      </c>
      <c r="FC30" s="50">
        <f t="shared" si="131"/>
        <v>2416.4545969116934</v>
      </c>
      <c r="FD30" s="50">
        <f t="shared" si="122"/>
        <v>2677.013038976258</v>
      </c>
      <c r="FE30" s="50">
        <f t="shared" si="122"/>
        <v>2993.8763244864958</v>
      </c>
      <c r="FF30" s="50">
        <f t="shared" si="122"/>
        <v>3272.0038286472327</v>
      </c>
      <c r="FG30" s="50">
        <f t="shared" si="122"/>
        <v>3533.6794470944569</v>
      </c>
      <c r="FH30" s="50">
        <f t="shared" si="122"/>
        <v>3778.5031908761962</v>
      </c>
      <c r="FI30" s="50">
        <f t="shared" si="122"/>
        <v>4001.9646887265139</v>
      </c>
      <c r="FJ30" s="189">
        <f>+(FF30/ES30)^0.2-1</f>
        <v>8.9956743432458852E-2</v>
      </c>
      <c r="FK30" s="189">
        <f>+(FI30/EI30)^0.1-1</f>
        <v>4.9227838435080162E-2</v>
      </c>
    </row>
    <row r="31" spans="1:167" x14ac:dyDescent="0.3">
      <c r="A31" s="46" t="s">
        <v>302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47"/>
      <c r="DV31" s="47"/>
      <c r="DW31" s="47"/>
      <c r="DX31" s="47"/>
      <c r="DY31" s="52"/>
      <c r="DZ31" s="47">
        <f t="shared" ref="DZ31:FI31" si="132">DZ27/DZ9</f>
        <v>0.37430939226519339</v>
      </c>
      <c r="EA31" s="47">
        <f t="shared" si="132"/>
        <v>0.40704225352112677</v>
      </c>
      <c r="EB31" s="47">
        <f t="shared" si="132"/>
        <v>0.39042089985486211</v>
      </c>
      <c r="EC31" s="47">
        <f t="shared" si="132"/>
        <v>0.41014492753623188</v>
      </c>
      <c r="ED31" s="52">
        <f t="shared" si="132"/>
        <v>0.3953075008887309</v>
      </c>
      <c r="EE31" s="47">
        <f t="shared" si="132"/>
        <v>0.4056047197640118</v>
      </c>
      <c r="EF31" s="47">
        <f t="shared" si="132"/>
        <v>0.4088235294117647</v>
      </c>
      <c r="EG31" s="47">
        <f t="shared" si="132"/>
        <v>0.4064327485380117</v>
      </c>
      <c r="EH31" s="47">
        <f t="shared" ref="EH31:EJ31" si="133">EH27/EH9</f>
        <v>0.40444444444444444</v>
      </c>
      <c r="EI31" s="52">
        <f>EI27/EI9</f>
        <v>0.40633051159366951</v>
      </c>
      <c r="EJ31" s="47">
        <f t="shared" si="133"/>
        <v>0.40773809523809523</v>
      </c>
      <c r="EK31" s="47">
        <f t="shared" ref="EK31:EL31" si="134">EK27/EK9</f>
        <v>0.42627737226277373</v>
      </c>
      <c r="EL31" s="47">
        <f t="shared" si="134"/>
        <v>0.39942112879884228</v>
      </c>
      <c r="EM31" s="47">
        <f t="shared" ref="EM31" si="135">EM27/EM9</f>
        <v>0.45214979195561722</v>
      </c>
      <c r="EN31" s="52">
        <f t="shared" si="132"/>
        <v>0.4218129288551824</v>
      </c>
      <c r="EO31" s="47">
        <f t="shared" si="132"/>
        <v>0.44170096021947874</v>
      </c>
      <c r="EP31" s="47">
        <f t="shared" ref="EP31:EQ31" si="136">EP27/EP9</f>
        <v>0.43297587131367293</v>
      </c>
      <c r="EQ31" s="47">
        <f t="shared" si="136"/>
        <v>0.43157894736842106</v>
      </c>
      <c r="ER31" s="47">
        <f t="shared" ref="ER31" si="137">ER27/ER9</f>
        <v>0.46719160104986879</v>
      </c>
      <c r="ES31" s="52">
        <f t="shared" ref="ES31:ET31" si="138">ES27/ES9</f>
        <v>0.44344344344344344</v>
      </c>
      <c r="ET31" s="47">
        <f t="shared" si="138"/>
        <v>0.44720496894409939</v>
      </c>
      <c r="EU31" s="47">
        <f t="shared" ref="EU31:EV31" si="139">EU27/EU9</f>
        <v>0.45476190476190476</v>
      </c>
      <c r="EV31" s="47">
        <f t="shared" si="139"/>
        <v>0.4544405997693195</v>
      </c>
      <c r="EW31" s="47">
        <f t="shared" ref="EW31" si="140">EW27/EW9</f>
        <v>0.49213483146067416</v>
      </c>
      <c r="EX31" s="52">
        <f t="shared" ref="EX31" si="141">EX27/EX9</f>
        <v>0.46266901822457379</v>
      </c>
      <c r="EY31" s="47">
        <f t="shared" ref="EY31:FC31" si="142">EY27/EY9</f>
        <v>0.4694696429215437</v>
      </c>
      <c r="EZ31" s="47">
        <f t="shared" si="142"/>
        <v>0.47987836293409442</v>
      </c>
      <c r="FA31" s="47">
        <f t="shared" si="142"/>
        <v>0.48282857831440124</v>
      </c>
      <c r="FB31" s="47">
        <f t="shared" si="142"/>
        <v>0.5206942607805487</v>
      </c>
      <c r="FC31" s="52">
        <f t="shared" si="142"/>
        <v>0.48891496321077549</v>
      </c>
      <c r="FD31" s="47">
        <f t="shared" si="132"/>
        <v>0.5111447857117577</v>
      </c>
      <c r="FE31" s="47">
        <f t="shared" si="132"/>
        <v>0.54547748958151099</v>
      </c>
      <c r="FF31" s="47">
        <f t="shared" si="132"/>
        <v>0.57127031939793227</v>
      </c>
      <c r="FG31" s="47">
        <f t="shared" si="132"/>
        <v>0.5910769601688215</v>
      </c>
      <c r="FH31" s="47">
        <f t="shared" si="132"/>
        <v>0.60692921288372803</v>
      </c>
      <c r="FI31" s="47">
        <f t="shared" si="132"/>
        <v>0.61979807080995009</v>
      </c>
    </row>
    <row r="32" spans="1:167" x14ac:dyDescent="0.3">
      <c r="A32" s="46" t="s">
        <v>303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47"/>
      <c r="DV32" s="47"/>
      <c r="DW32" s="47"/>
      <c r="DX32" s="47"/>
      <c r="DY32" s="52"/>
      <c r="DZ32" s="47">
        <f t="shared" ref="DZ32:FI32" si="143">DZ28/DZ10</f>
        <v>0.35538954108858056</v>
      </c>
      <c r="EA32" s="47">
        <f t="shared" si="143"/>
        <v>0.35016465422612514</v>
      </c>
      <c r="EB32" s="47">
        <f t="shared" si="143"/>
        <v>0.36220472440944884</v>
      </c>
      <c r="EC32" s="47">
        <f t="shared" si="143"/>
        <v>0.36793540945790082</v>
      </c>
      <c r="ED32" s="52">
        <f t="shared" si="143"/>
        <v>0.35876803551609321</v>
      </c>
      <c r="EE32" s="47">
        <f t="shared" si="143"/>
        <v>0.36289381563593931</v>
      </c>
      <c r="EF32" s="47">
        <f t="shared" si="143"/>
        <v>0.32613908872901681</v>
      </c>
      <c r="EG32" s="47">
        <f t="shared" si="143"/>
        <v>0.28059332509270707</v>
      </c>
      <c r="EH32" s="47">
        <f t="shared" ref="EH32:EJ32" si="144">EH28/EH10</f>
        <v>0.29081632653061223</v>
      </c>
      <c r="EI32" s="52">
        <f t="shared" si="143"/>
        <v>0.31607795371498171</v>
      </c>
      <c r="EJ32" s="47">
        <f t="shared" si="144"/>
        <v>0.29870129870129869</v>
      </c>
      <c r="EK32" s="47">
        <f t="shared" ref="EK32:EL32" si="145">EK28/EK10</f>
        <v>0.29986789960369881</v>
      </c>
      <c r="EL32" s="47">
        <f t="shared" si="145"/>
        <v>0.29251700680272108</v>
      </c>
      <c r="EM32" s="47">
        <f t="shared" ref="EM32" si="146">EM28/EM10</f>
        <v>0.26638176638176636</v>
      </c>
      <c r="EN32" s="52">
        <f t="shared" si="143"/>
        <v>0.28981106612685559</v>
      </c>
      <c r="EO32" s="47">
        <f t="shared" si="143"/>
        <v>0.25544267053701014</v>
      </c>
      <c r="EP32" s="47">
        <f t="shared" ref="EP32:EQ32" si="147">EP28/EP10</f>
        <v>0.27712609970674484</v>
      </c>
      <c r="EQ32" s="47">
        <f t="shared" si="147"/>
        <v>0.27685325264750377</v>
      </c>
      <c r="ER32" s="47">
        <f t="shared" ref="ER32" si="148">ER28/ER10</f>
        <v>0.27357032457496139</v>
      </c>
      <c r="ES32" s="52">
        <f t="shared" ref="ES32:ET32" si="149">ES28/ES10</f>
        <v>0.27062336692795819</v>
      </c>
      <c r="ET32" s="47">
        <f t="shared" si="149"/>
        <v>0.26833073322932915</v>
      </c>
      <c r="EU32" s="47">
        <f t="shared" ref="EU32:EV32" si="150">EU28/EU10</f>
        <v>0.26357827476038337</v>
      </c>
      <c r="EV32" s="47">
        <f t="shared" si="150"/>
        <v>0.22682119205298013</v>
      </c>
      <c r="EW32" s="47">
        <f t="shared" ref="EW32" si="151">EW28/EW10</f>
        <v>0.23666666666666666</v>
      </c>
      <c r="EX32" s="52">
        <f t="shared" ref="EX32" si="152">EX28/EX10</f>
        <v>0.24929178470254956</v>
      </c>
      <c r="EY32" s="47">
        <f t="shared" ref="EY32:FC32" si="153">EY28/EY10</f>
        <v>0.21604873872091307</v>
      </c>
      <c r="EZ32" s="47">
        <f t="shared" si="153"/>
        <v>0.23824470926091917</v>
      </c>
      <c r="FA32" s="47">
        <f t="shared" si="153"/>
        <v>0.218179719363327</v>
      </c>
      <c r="FB32" s="47">
        <f t="shared" si="153"/>
        <v>0.24585225181181231</v>
      </c>
      <c r="FC32" s="52">
        <f t="shared" si="153"/>
        <v>0.22943076742322313</v>
      </c>
      <c r="FD32" s="47">
        <f t="shared" si="143"/>
        <v>0.22535634133820051</v>
      </c>
      <c r="FE32" s="47">
        <f t="shared" si="143"/>
        <v>0.19339910006941599</v>
      </c>
      <c r="FF32" s="47">
        <f t="shared" si="143"/>
        <v>0.14238067652788514</v>
      </c>
      <c r="FG32" s="47">
        <f t="shared" si="143"/>
        <v>9.647061641178882E-2</v>
      </c>
      <c r="FH32" s="47">
        <f t="shared" si="143"/>
        <v>5.4358157673747777E-2</v>
      </c>
      <c r="FI32" s="47">
        <f t="shared" si="143"/>
        <v>1.5076969613695854E-2</v>
      </c>
    </row>
    <row r="33" spans="1:166" x14ac:dyDescent="0.3">
      <c r="A33" s="46" t="s">
        <v>304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47"/>
      <c r="DV33" s="47"/>
      <c r="DW33" s="47"/>
      <c r="DX33" s="47"/>
      <c r="DY33" s="52"/>
      <c r="DZ33" s="47">
        <f t="shared" ref="DZ33:FI33" si="154">DZ30/DZ12</f>
        <v>0.3840134153158189</v>
      </c>
      <c r="EA33" s="47">
        <f t="shared" si="154"/>
        <v>0.40079817559863168</v>
      </c>
      <c r="EB33" s="47">
        <f t="shared" si="154"/>
        <v>0.40011580775911987</v>
      </c>
      <c r="EC33" s="47">
        <f t="shared" si="154"/>
        <v>0.40919811320754718</v>
      </c>
      <c r="ED33" s="52">
        <f t="shared" si="154"/>
        <v>0.39836347975882858</v>
      </c>
      <c r="EE33" s="47">
        <f t="shared" si="154"/>
        <v>0.39940298507462685</v>
      </c>
      <c r="EF33" s="47">
        <f t="shared" si="154"/>
        <v>0.39208410636982066</v>
      </c>
      <c r="EG33" s="47">
        <f t="shared" si="154"/>
        <v>0.37246192893401014</v>
      </c>
      <c r="EH33" s="47">
        <f t="shared" ref="EH33:EJ33" si="155">EH30/EH12</f>
        <v>0.37913156189241737</v>
      </c>
      <c r="EI33" s="52">
        <f t="shared" si="154"/>
        <v>0.38605521759475903</v>
      </c>
      <c r="EJ33" s="47">
        <f t="shared" si="155"/>
        <v>0.35176226675881134</v>
      </c>
      <c r="EK33" s="47">
        <f t="shared" ref="EK33:EL33" si="156">EK30/EK12</f>
        <v>0.36668951336531869</v>
      </c>
      <c r="EL33" s="47">
        <f t="shared" si="156"/>
        <v>0.35180055401662053</v>
      </c>
      <c r="EM33" s="47">
        <f t="shared" ref="EM33" si="157">EM30/EM12</f>
        <v>0.36743215031315241</v>
      </c>
      <c r="EN33" s="52">
        <f t="shared" si="154"/>
        <v>0.35942630032832212</v>
      </c>
      <c r="EO33" s="47">
        <f t="shared" si="154"/>
        <v>0.36041666666666666</v>
      </c>
      <c r="EP33" s="47">
        <f t="shared" ref="EP33:EQ33" si="158">EP30/EP12</f>
        <v>0.36783988957902003</v>
      </c>
      <c r="EQ33" s="47">
        <f t="shared" si="158"/>
        <v>0.36629526462395545</v>
      </c>
      <c r="ER33" s="47">
        <f t="shared" ref="ER33" si="159">ER30/ER12</f>
        <v>0.38499298737727911</v>
      </c>
      <c r="ES33" s="52">
        <f t="shared" ref="ES33:ET33" si="160">ES30/ES12</f>
        <v>0.36984872196139801</v>
      </c>
      <c r="ET33" s="47">
        <f t="shared" si="160"/>
        <v>0.37414500683994528</v>
      </c>
      <c r="EU33" s="47">
        <f t="shared" ref="EU33:EV33" si="161">EU30/EU12</f>
        <v>0.3783783783783784</v>
      </c>
      <c r="EV33" s="47">
        <f t="shared" si="161"/>
        <v>0.36870382807253188</v>
      </c>
      <c r="EW33" s="47">
        <f t="shared" ref="EW33" si="162">EW30/EW12</f>
        <v>0.39508632138114208</v>
      </c>
      <c r="EX33" s="52">
        <f t="shared" ref="EX33" si="163">EX30/EX12</f>
        <v>0.37914771770254335</v>
      </c>
      <c r="EY33" s="47">
        <f t="shared" ref="EY33:FC33" si="164">EY30/EY12</f>
        <v>0.37875553284081948</v>
      </c>
      <c r="EZ33" s="47">
        <f t="shared" si="164"/>
        <v>0.39643102777133538</v>
      </c>
      <c r="FA33" s="47">
        <f t="shared" si="164"/>
        <v>0.39684509068787888</v>
      </c>
      <c r="FB33" s="47">
        <f t="shared" si="164"/>
        <v>0.4321597395948456</v>
      </c>
      <c r="FC33" s="52">
        <f t="shared" si="164"/>
        <v>0.40134952393552892</v>
      </c>
      <c r="FD33" s="47">
        <f t="shared" si="154"/>
        <v>0.42995954742813142</v>
      </c>
      <c r="FE33" s="47">
        <f t="shared" si="154"/>
        <v>0.46029433697033256</v>
      </c>
      <c r="FF33" s="47">
        <f t="shared" si="154"/>
        <v>0.48109241937071534</v>
      </c>
      <c r="FG33" s="47">
        <f t="shared" si="154"/>
        <v>0.49930901295321534</v>
      </c>
      <c r="FH33" s="47">
        <f t="shared" si="154"/>
        <v>0.51536703772972714</v>
      </c>
      <c r="FI33" s="47">
        <f t="shared" si="154"/>
        <v>0.5293695849010186</v>
      </c>
    </row>
    <row r="34" spans="1:166" x14ac:dyDescent="0.3">
      <c r="A34" s="46" t="s">
        <v>305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4"/>
      <c r="DZ34" s="47"/>
      <c r="EA34" s="47"/>
      <c r="EB34" s="47"/>
      <c r="EC34" s="47"/>
      <c r="ED34" s="52"/>
      <c r="EE34" s="47">
        <f>EE27/DZ27-1</f>
        <v>1.4760147601476037E-2</v>
      </c>
      <c r="EF34" s="47">
        <f t="shared" ref="EF34:EW34" si="165">EF27/EA27-1</f>
        <v>-3.8062283737024249E-2</v>
      </c>
      <c r="EG34" s="47">
        <f t="shared" si="165"/>
        <v>3.3457249070631967E-2</v>
      </c>
      <c r="EH34" s="47">
        <f t="shared" si="165"/>
        <v>-3.5335689045936425E-2</v>
      </c>
      <c r="EI34" s="52">
        <f t="shared" si="165"/>
        <v>-7.194244604316502E-3</v>
      </c>
      <c r="EJ34" s="47">
        <f t="shared" si="165"/>
        <v>-3.6363636363636598E-3</v>
      </c>
      <c r="EK34" s="47">
        <f t="shared" si="165"/>
        <v>5.0359712230215736E-2</v>
      </c>
      <c r="EL34" s="47">
        <f t="shared" si="165"/>
        <v>-7.194244604316502E-3</v>
      </c>
      <c r="EM34" s="47">
        <f t="shared" si="165"/>
        <v>0.19413919413919412</v>
      </c>
      <c r="EN34" s="52">
        <f t="shared" si="165"/>
        <v>5.7971014492753659E-2</v>
      </c>
      <c r="EO34" s="47">
        <f t="shared" si="165"/>
        <v>0.17518248175182483</v>
      </c>
      <c r="EP34" s="47">
        <f t="shared" si="165"/>
        <v>0.10616438356164393</v>
      </c>
      <c r="EQ34" s="47">
        <f t="shared" si="165"/>
        <v>0.18840579710144922</v>
      </c>
      <c r="ER34" s="47">
        <f t="shared" si="165"/>
        <v>9.2024539877300526E-2</v>
      </c>
      <c r="ES34" s="52">
        <f t="shared" ref="ES34:ES35" si="166">ES27/EN27-1</f>
        <v>0.13784246575342474</v>
      </c>
      <c r="ET34" s="47">
        <f t="shared" si="165"/>
        <v>0.11801242236024834</v>
      </c>
      <c r="EU34" s="47">
        <f t="shared" si="165"/>
        <v>0.18266253869969051</v>
      </c>
      <c r="EV34" s="47">
        <f t="shared" si="165"/>
        <v>0.20121951219512191</v>
      </c>
      <c r="EW34" s="47">
        <f t="shared" si="165"/>
        <v>0.2303370786516854</v>
      </c>
      <c r="EX34" s="52">
        <f t="shared" ref="EX34:EX35" si="167">EX27/ES27-1</f>
        <v>0.18434913468773506</v>
      </c>
      <c r="EY34" s="47">
        <f t="shared" ref="EY34:EY35" si="168">EY27/ET27-1</f>
        <v>0.166770228736699</v>
      </c>
      <c r="EZ34" s="47">
        <f t="shared" ref="EZ34:EZ35" si="169">EZ27/EU27-1</f>
        <v>0.17611780747239814</v>
      </c>
      <c r="FA34" s="47">
        <f t="shared" ref="FA34:FA35" si="170">FA27/EV27-1</f>
        <v>0.18724037490852741</v>
      </c>
      <c r="FB34" s="47">
        <f t="shared" ref="FB34:FC35" si="171">FB27/EW27-1</f>
        <v>0.18788269537337277</v>
      </c>
      <c r="FC34" s="52">
        <f t="shared" si="171"/>
        <v>0.18003787362589896</v>
      </c>
      <c r="FD34" s="47">
        <f t="shared" ref="FD34:FI34" si="172">FD27/FC27-1</f>
        <v>0.17894765064320861</v>
      </c>
      <c r="FE34" s="47">
        <f t="shared" si="172"/>
        <v>0.19171034740332904</v>
      </c>
      <c r="FF34" s="47">
        <f t="shared" si="172"/>
        <v>0.14781734594211993</v>
      </c>
      <c r="FG34" s="47">
        <f t="shared" si="172"/>
        <v>0.11438402243805412</v>
      </c>
      <c r="FH34" s="47">
        <f t="shared" si="172"/>
        <v>9.2299983190710533E-2</v>
      </c>
      <c r="FI34" s="47">
        <f t="shared" si="172"/>
        <v>7.5239801648249616E-2</v>
      </c>
    </row>
    <row r="35" spans="1:166" x14ac:dyDescent="0.3">
      <c r="A35" s="46" t="s">
        <v>306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4"/>
      <c r="DZ35" s="47"/>
      <c r="EA35" s="47"/>
      <c r="EB35" s="47"/>
      <c r="EC35" s="47"/>
      <c r="ED35" s="52"/>
      <c r="EE35" s="47">
        <f>EE28/DZ28-1</f>
        <v>-6.606606606606602E-2</v>
      </c>
      <c r="EF35" s="47">
        <f t="shared" ref="EF35:EW35" si="173">EF28/EA28-1</f>
        <v>-0.14733542319749215</v>
      </c>
      <c r="EG35" s="47">
        <f t="shared" si="173"/>
        <v>-0.29503105590062106</v>
      </c>
      <c r="EH35" s="47">
        <f t="shared" si="173"/>
        <v>-0.28526645768025083</v>
      </c>
      <c r="EI35" s="52">
        <f t="shared" si="173"/>
        <v>-0.19721577726218098</v>
      </c>
      <c r="EJ35" s="47">
        <f t="shared" si="173"/>
        <v>-0.26045016077170413</v>
      </c>
      <c r="EK35" s="47">
        <f t="shared" si="173"/>
        <v>-0.1654411764705882</v>
      </c>
      <c r="EL35" s="47">
        <f t="shared" si="173"/>
        <v>-5.2863436123347984E-2</v>
      </c>
      <c r="EM35" s="47">
        <f t="shared" si="173"/>
        <v>-0.17982456140350878</v>
      </c>
      <c r="EN35" s="52">
        <f t="shared" si="173"/>
        <v>-0.17244701348747593</v>
      </c>
      <c r="EO35" s="47">
        <f t="shared" si="173"/>
        <v>-0.23478260869565215</v>
      </c>
      <c r="EP35" s="47">
        <f t="shared" si="173"/>
        <v>-0.16740088105726869</v>
      </c>
      <c r="EQ35" s="47">
        <f t="shared" si="173"/>
        <v>-0.14883720930232558</v>
      </c>
      <c r="ER35" s="47">
        <f t="shared" si="173"/>
        <v>-5.3475935828876997E-2</v>
      </c>
      <c r="ES35" s="52">
        <f t="shared" si="166"/>
        <v>-0.15599534342258436</v>
      </c>
      <c r="ET35" s="47">
        <f t="shared" si="173"/>
        <v>-2.2727272727272707E-2</v>
      </c>
      <c r="EU35" s="47">
        <f t="shared" si="173"/>
        <v>-0.12698412698412698</v>
      </c>
      <c r="EV35" s="47">
        <f t="shared" si="173"/>
        <v>-0.25136612021857918</v>
      </c>
      <c r="EW35" s="47">
        <f t="shared" si="173"/>
        <v>-0.19774011299435024</v>
      </c>
      <c r="EX35" s="52">
        <f t="shared" si="167"/>
        <v>-0.15034482758620693</v>
      </c>
      <c r="EY35" s="47">
        <f t="shared" si="168"/>
        <v>-0.29668925326876594</v>
      </c>
      <c r="EZ35" s="47">
        <f t="shared" si="169"/>
        <v>-0.20974426095986398</v>
      </c>
      <c r="FA35" s="47">
        <f t="shared" si="170"/>
        <v>-0.16070304225319676</v>
      </c>
      <c r="FB35" s="47">
        <f t="shared" si="171"/>
        <v>-9.345313215617812E-2</v>
      </c>
      <c r="FC35" s="52">
        <f t="shared" si="171"/>
        <v>-0.1963068444406989</v>
      </c>
      <c r="FD35" s="47">
        <f t="shared" ref="FD35:FI35" si="174">FD28/FC28-1</f>
        <v>-0.14505939180200889</v>
      </c>
      <c r="FE35" s="47">
        <f t="shared" si="174"/>
        <v>-0.24319604359049152</v>
      </c>
      <c r="FF35" s="47">
        <f t="shared" si="174"/>
        <v>-0.33593890535858484</v>
      </c>
      <c r="FG35" s="47">
        <f t="shared" si="174"/>
        <v>-0.38049741377195367</v>
      </c>
      <c r="FH35" s="47">
        <f t="shared" si="174"/>
        <v>-0.48008584119687614</v>
      </c>
      <c r="FI35" s="47">
        <f t="shared" si="174"/>
        <v>-0.74237097404829144</v>
      </c>
    </row>
    <row r="36" spans="1:166" x14ac:dyDescent="0.3">
      <c r="A36" s="46" t="s">
        <v>307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4"/>
      <c r="DZ36" s="47" t="str">
        <f t="shared" ref="DZ36:EW36" si="175">+IFERROR(DZ30/DU30-1,"")</f>
        <v/>
      </c>
      <c r="EA36" s="47" t="str">
        <f t="shared" si="175"/>
        <v/>
      </c>
      <c r="EB36" s="47" t="str">
        <f t="shared" si="175"/>
        <v/>
      </c>
      <c r="EC36" s="47" t="str">
        <f t="shared" si="175"/>
        <v/>
      </c>
      <c r="ED36" s="52" t="str">
        <f t="shared" si="175"/>
        <v/>
      </c>
      <c r="EE36" s="47">
        <f t="shared" si="175"/>
        <v>-2.6200873362445365E-2</v>
      </c>
      <c r="EF36" s="47">
        <f t="shared" si="175"/>
        <v>-9.8150782361308697E-2</v>
      </c>
      <c r="EG36" s="47">
        <f t="shared" si="175"/>
        <v>-0.15050651230101297</v>
      </c>
      <c r="EH36" s="47">
        <f t="shared" si="175"/>
        <v>-0.15706051873198845</v>
      </c>
      <c r="EI36" s="52">
        <f t="shared" si="175"/>
        <v>-0.10810810810810811</v>
      </c>
      <c r="EJ36" s="47">
        <f t="shared" si="175"/>
        <v>-0.23916292974588937</v>
      </c>
      <c r="EK36" s="47">
        <f t="shared" si="175"/>
        <v>-0.15615141955835965</v>
      </c>
      <c r="EL36" s="47">
        <f t="shared" si="175"/>
        <v>-0.13458262350936967</v>
      </c>
      <c r="EM36" s="47">
        <f t="shared" si="175"/>
        <v>-9.7435897435897423E-2</v>
      </c>
      <c r="EN36" s="52">
        <f t="shared" si="175"/>
        <v>-0.15959595959595962</v>
      </c>
      <c r="EO36" s="47">
        <f t="shared" si="175"/>
        <v>1.9646365422396839E-2</v>
      </c>
      <c r="EP36" s="47">
        <f t="shared" si="175"/>
        <v>-3.7383177570093906E-3</v>
      </c>
      <c r="EQ36" s="47">
        <f t="shared" si="175"/>
        <v>3.5433070866141669E-2</v>
      </c>
      <c r="ER36" s="47">
        <f t="shared" si="175"/>
        <v>3.9772727272727293E-2</v>
      </c>
      <c r="ES36" s="52">
        <f t="shared" ref="ES36" si="176">+IFERROR(ES30/EN30-1,"")</f>
        <v>2.2596153846153877E-2</v>
      </c>
      <c r="ET36" s="47">
        <f t="shared" si="175"/>
        <v>5.3949903660886367E-2</v>
      </c>
      <c r="EU36" s="47">
        <f t="shared" si="175"/>
        <v>5.065666041275807E-2</v>
      </c>
      <c r="EV36" s="47">
        <f t="shared" si="175"/>
        <v>4.3726235741444963E-2</v>
      </c>
      <c r="EW36" s="47">
        <f t="shared" si="175"/>
        <v>8.3788706739526431E-2</v>
      </c>
      <c r="EX36" s="52">
        <f t="shared" ref="EX36" si="177">+IFERROR(EX30/ES30-1,"")</f>
        <v>5.8298072402444667E-2</v>
      </c>
      <c r="EY36" s="47">
        <f t="shared" ref="EY36" si="178">+IFERROR(EY30/ET30-1,"")</f>
        <v>1.8293840553901042E-2</v>
      </c>
      <c r="EZ36" s="47">
        <f t="shared" ref="EZ36" si="179">+IFERROR(EZ30/EU30-1,"")</f>
        <v>6.0123570350140376E-2</v>
      </c>
      <c r="FA36" s="47">
        <f t="shared" ref="FA36" si="180">+IFERROR(FA30/EV30-1,"")</f>
        <v>9.4273936111606282E-2</v>
      </c>
      <c r="FB36" s="47">
        <f t="shared" ref="FB36:FC36" si="181">+IFERROR(FB30/EW30-1,"")</f>
        <v>0.11768449715522711</v>
      </c>
      <c r="FC36" s="52">
        <f t="shared" si="181"/>
        <v>7.3502708534737282E-2</v>
      </c>
      <c r="FD36" s="47">
        <f t="shared" ref="FD36:FI36" si="182">+IFERROR(FD30/FC30-1,"")</f>
        <v>0.10782674849242624</v>
      </c>
      <c r="FE36" s="47">
        <f t="shared" si="182"/>
        <v>0.11836449090715395</v>
      </c>
      <c r="FF36" s="47">
        <f t="shared" si="182"/>
        <v>9.2898795413147495E-2</v>
      </c>
      <c r="FG36" s="47">
        <f t="shared" si="182"/>
        <v>7.9974117437206838E-2</v>
      </c>
      <c r="FH36" s="47">
        <f t="shared" si="182"/>
        <v>6.9282952075079729E-2</v>
      </c>
      <c r="FI36" s="47">
        <f t="shared" si="182"/>
        <v>5.9140216790050992E-2</v>
      </c>
    </row>
    <row r="37" spans="1:166" x14ac:dyDescent="0.3">
      <c r="A37" s="49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4"/>
      <c r="DZ37" s="1"/>
      <c r="EA37" s="1"/>
      <c r="EB37" s="1"/>
      <c r="EC37" s="1"/>
      <c r="ED37" s="4"/>
      <c r="EE37" s="1"/>
      <c r="EF37" s="1"/>
      <c r="EG37" s="1"/>
      <c r="EH37" s="1"/>
      <c r="EI37" s="4"/>
      <c r="EJ37" s="1"/>
      <c r="EK37" s="1"/>
      <c r="EL37" s="1"/>
      <c r="EM37" s="1"/>
      <c r="EN37" s="4"/>
      <c r="EO37" s="4"/>
      <c r="EP37" s="4"/>
      <c r="EQ37" s="4"/>
      <c r="ER37" s="4"/>
      <c r="ES37" s="1"/>
      <c r="ET37" s="4"/>
      <c r="EU37" s="4"/>
      <c r="EV37" s="4"/>
      <c r="EW37" s="4"/>
      <c r="EX37" s="1"/>
      <c r="EY37" s="4"/>
      <c r="EZ37" s="4"/>
      <c r="FA37" s="4"/>
      <c r="FB37" s="4"/>
      <c r="FC37" s="1"/>
      <c r="FD37" s="1"/>
      <c r="FE37" s="1"/>
      <c r="FF37" s="1"/>
      <c r="FG37" s="1"/>
      <c r="FH37" s="1"/>
      <c r="FI37" s="1"/>
    </row>
    <row r="38" spans="1:166" x14ac:dyDescent="0.3">
      <c r="A38" s="54" t="s">
        <v>46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</row>
    <row r="39" spans="1:166" x14ac:dyDescent="0.3">
      <c r="A39" s="90" t="s">
        <v>19</v>
      </c>
      <c r="ET39" s="90"/>
      <c r="EU39" s="90"/>
      <c r="EV39" s="90"/>
      <c r="EW39" s="90"/>
      <c r="EY39" s="90"/>
      <c r="EZ39" s="90"/>
      <c r="FA39" s="90"/>
      <c r="FB39" s="90"/>
    </row>
    <row r="40" spans="1:166" x14ac:dyDescent="0.3">
      <c r="A40" t="s">
        <v>20</v>
      </c>
      <c r="DZ40" s="885">
        <f t="shared" ref="DZ40:EC42" si="183">DZ199+DZ337</f>
        <v>382.779225</v>
      </c>
      <c r="EA40" s="885">
        <f t="shared" si="183"/>
        <v>385.52034000000003</v>
      </c>
      <c r="EB40" s="885">
        <f t="shared" si="183"/>
        <v>387.71291999999994</v>
      </c>
      <c r="EC40" s="885">
        <f t="shared" si="183"/>
        <v>395.48181</v>
      </c>
      <c r="ED40" s="1079">
        <f>+SUM(DZ40:EC40)</f>
        <v>1551.494295</v>
      </c>
      <c r="EE40" s="885">
        <f t="shared" ref="EE40:EG42" si="184">EE199+EE337</f>
        <v>400.26067499999999</v>
      </c>
      <c r="EF40" s="885">
        <f t="shared" si="184"/>
        <v>414.28289999999993</v>
      </c>
      <c r="EG40" s="885">
        <f t="shared" si="184"/>
        <v>417.34663499999999</v>
      </c>
      <c r="EH40" s="885">
        <f t="shared" ref="EH40:EJ40" si="185">EH199+EH337</f>
        <v>415.08333000000005</v>
      </c>
      <c r="EI40" s="1079">
        <f>+SUM(EE40:EH40)</f>
        <v>1646.97354</v>
      </c>
      <c r="EJ40" s="885">
        <f t="shared" si="185"/>
        <v>420.93863999999996</v>
      </c>
      <c r="EK40" s="885">
        <f t="shared" ref="EK40:EL40" si="186">EK199+EK337</f>
        <v>440.63338499999998</v>
      </c>
      <c r="EL40" s="885">
        <f t="shared" si="186"/>
        <v>446.60699999999997</v>
      </c>
      <c r="EM40" s="885">
        <f t="shared" ref="EM40" si="187">EM199+EM337</f>
        <v>439.38000000000005</v>
      </c>
      <c r="EN40" s="1079">
        <f>+SUM(EJ40:EM40)</f>
        <v>1747.559025</v>
      </c>
      <c r="EO40" s="885">
        <f t="shared" ref="EO40:EP40" si="188">EO199+EO337</f>
        <v>446.88504</v>
      </c>
      <c r="EP40" s="885">
        <f t="shared" si="188"/>
        <v>469.19583</v>
      </c>
      <c r="EQ40" s="885">
        <f t="shared" ref="EQ40:ER40" si="189">EQ199+EQ337</f>
        <v>487.72060499999998</v>
      </c>
      <c r="ER40" s="885">
        <f t="shared" si="189"/>
        <v>491.29236000000003</v>
      </c>
      <c r="ES40" s="1079">
        <f>+SUM(EO40:ER40)</f>
        <v>1895.0938350000001</v>
      </c>
      <c r="ET40" s="885">
        <f t="shared" ref="ET40" si="190">ET199+ET337</f>
        <v>509.72889000000009</v>
      </c>
      <c r="EU40" s="885">
        <f t="shared" ref="EU40:EU42" si="191">EU199+EU337</f>
        <v>523.87356</v>
      </c>
      <c r="EV40" s="885">
        <f t="shared" ref="EV40:EW40" si="192">EV199+EV337</f>
        <v>536.08338000000003</v>
      </c>
      <c r="EW40" s="885">
        <f t="shared" si="192"/>
        <v>555.14585999999997</v>
      </c>
      <c r="EX40" s="1079">
        <f>+SUM(ET40:EW40)</f>
        <v>2124.83169</v>
      </c>
      <c r="EY40" s="885">
        <f t="shared" ref="EY40:FB40" si="193">EY199+EY337</f>
        <v>573.0048442503263</v>
      </c>
      <c r="EZ40" s="885">
        <f t="shared" si="193"/>
        <v>591.88795296323497</v>
      </c>
      <c r="FA40" s="885">
        <f t="shared" si="193"/>
        <v>608.55430303556091</v>
      </c>
      <c r="FB40" s="885">
        <f t="shared" si="193"/>
        <v>633.429159832099</v>
      </c>
      <c r="FC40" s="1079">
        <f>+SUM(EY40:FB40)</f>
        <v>2406.8762600812211</v>
      </c>
      <c r="FD40" s="885">
        <f t="shared" ref="FD40:FI40" si="194">FD199+FD337</f>
        <v>2772.8653361679717</v>
      </c>
      <c r="FE40" s="885">
        <f t="shared" si="194"/>
        <v>3167.3861277490228</v>
      </c>
      <c r="FF40" s="885">
        <f t="shared" si="194"/>
        <v>3539.0646301641827</v>
      </c>
      <c r="FG40" s="885">
        <f t="shared" si="194"/>
        <v>3867.5333713379277</v>
      </c>
      <c r="FH40" s="885">
        <f t="shared" si="194"/>
        <v>4159.4434727267053</v>
      </c>
      <c r="FI40" s="885">
        <f t="shared" si="194"/>
        <v>4412.7686398271444</v>
      </c>
    </row>
    <row r="41" spans="1:166" x14ac:dyDescent="0.3">
      <c r="A41" t="s">
        <v>21</v>
      </c>
      <c r="DZ41" s="885">
        <f t="shared" si="183"/>
        <v>189.15551999999997</v>
      </c>
      <c r="EA41" s="885">
        <f t="shared" si="183"/>
        <v>176.92068</v>
      </c>
      <c r="EB41" s="885">
        <f t="shared" si="183"/>
        <v>166.32964499999997</v>
      </c>
      <c r="EC41" s="885">
        <f t="shared" si="183"/>
        <v>157.26242999999999</v>
      </c>
      <c r="ED41" s="1079">
        <f>+SUM(DZ41:EC41)</f>
        <v>689.66827499999999</v>
      </c>
      <c r="EE41" s="885">
        <f t="shared" si="184"/>
        <v>150.88261499999999</v>
      </c>
      <c r="EF41" s="885">
        <f t="shared" si="184"/>
        <v>145.75359</v>
      </c>
      <c r="EG41" s="885">
        <f t="shared" si="184"/>
        <v>138.31398000000002</v>
      </c>
      <c r="EH41" s="885">
        <f t="shared" ref="EH41:EJ41" si="195">EH200+EH338</f>
        <v>132.15633</v>
      </c>
      <c r="EI41" s="1079">
        <f>+SUM(EE41:EH41)</f>
        <v>567.10651500000006</v>
      </c>
      <c r="EJ41" s="885">
        <f t="shared" si="195"/>
        <v>127.35054</v>
      </c>
      <c r="EK41" s="885">
        <f t="shared" ref="EK41:EL41" si="196">EK200+EK338</f>
        <v>124.74431999999999</v>
      </c>
      <c r="EL41" s="885">
        <f t="shared" si="196"/>
        <v>117.460725</v>
      </c>
      <c r="EM41" s="885">
        <f t="shared" ref="EM41" si="197">EM200+EM338</f>
        <v>111.01582500000001</v>
      </c>
      <c r="EN41" s="1079">
        <f>+SUM(EJ41:EM41)</f>
        <v>480.57140999999996</v>
      </c>
      <c r="EO41" s="885">
        <f t="shared" ref="EO41:EP41" si="198">EO200+EO338</f>
        <v>109.645965</v>
      </c>
      <c r="EP41" s="885">
        <f t="shared" si="198"/>
        <v>104.77818000000001</v>
      </c>
      <c r="EQ41" s="885">
        <f t="shared" ref="EQ41:ER41" si="199">EQ200+EQ338</f>
        <v>97.200809999999976</v>
      </c>
      <c r="ER41" s="885">
        <f t="shared" si="199"/>
        <v>90.525750000000002</v>
      </c>
      <c r="ES41" s="1079">
        <f>+SUM(EO41:ER41)</f>
        <v>402.15070500000002</v>
      </c>
      <c r="ET41" s="885">
        <f t="shared" ref="ET41" si="200">ET200+ET338</f>
        <v>87.156630000000007</v>
      </c>
      <c r="EU41" s="885">
        <f t="shared" si="191"/>
        <v>81.821685000000016</v>
      </c>
      <c r="EV41" s="885">
        <f t="shared" ref="EV41:EW41" si="201">EV200+EV338</f>
        <v>75.824954999999989</v>
      </c>
      <c r="EW41" s="885">
        <f t="shared" si="201"/>
        <v>70.973970000000008</v>
      </c>
      <c r="EX41" s="1079">
        <f>+SUM(ET41:EW41)</f>
        <v>315.77724000000001</v>
      </c>
      <c r="EY41" s="885">
        <f t="shared" ref="EY41:FB41" si="202">EY200+EY338</f>
        <v>69.286284693252256</v>
      </c>
      <c r="EZ41" s="885">
        <f t="shared" si="202"/>
        <v>65.438057461979</v>
      </c>
      <c r="FA41" s="885">
        <f t="shared" si="202"/>
        <v>60.559804514637456</v>
      </c>
      <c r="FB41" s="885">
        <f t="shared" si="202"/>
        <v>56.629027759771041</v>
      </c>
      <c r="FC41" s="1079">
        <f>+SUM(EY41:FB41)</f>
        <v>251.91317442963975</v>
      </c>
      <c r="FD41" s="885">
        <f t="shared" ref="FD41:FI41" si="203">FD200+FD338</f>
        <v>197.83887563582894</v>
      </c>
      <c r="FE41" s="885">
        <f t="shared" si="203"/>
        <v>153.52288510876116</v>
      </c>
      <c r="FF41" s="885">
        <f t="shared" si="203"/>
        <v>119.81610263529966</v>
      </c>
      <c r="FG41" s="885">
        <f t="shared" si="203"/>
        <v>93.821133882064245</v>
      </c>
      <c r="FH41" s="885">
        <f t="shared" si="203"/>
        <v>73.607167119789324</v>
      </c>
      <c r="FI41" s="885">
        <f t="shared" si="203"/>
        <v>57.812180423491618</v>
      </c>
    </row>
    <row r="42" spans="1:166" x14ac:dyDescent="0.3">
      <c r="A42" t="s">
        <v>22</v>
      </c>
      <c r="DZ42" s="901">
        <f t="shared" si="183"/>
        <v>308.06525500000009</v>
      </c>
      <c r="EA42" s="901">
        <f t="shared" si="183"/>
        <v>296.55897999999991</v>
      </c>
      <c r="EB42" s="901">
        <f t="shared" si="183"/>
        <v>284.95743500000003</v>
      </c>
      <c r="EC42" s="901">
        <f t="shared" si="183"/>
        <v>285.25576000000001</v>
      </c>
      <c r="ED42" s="1111">
        <f>+SUM(DZ42:EC42)</f>
        <v>1174.83743</v>
      </c>
      <c r="EE42" s="901">
        <f t="shared" si="184"/>
        <v>268.85670999999996</v>
      </c>
      <c r="EF42" s="901">
        <f t="shared" si="184"/>
        <v>255.96351000000004</v>
      </c>
      <c r="EG42" s="901">
        <f t="shared" si="184"/>
        <v>244.33938499999999</v>
      </c>
      <c r="EH42" s="901">
        <f t="shared" ref="EH42:EJ42" si="204">EH201+EH339</f>
        <v>234.76033999999999</v>
      </c>
      <c r="EI42" s="1111">
        <f>+SUM(EE42:EH42)</f>
        <v>1003.9199450000001</v>
      </c>
      <c r="EJ42" s="901">
        <f t="shared" si="204"/>
        <v>227.71082000000001</v>
      </c>
      <c r="EK42" s="901">
        <f t="shared" ref="EK42:EL42" si="205">EK201+EK339</f>
        <v>225.62229500000001</v>
      </c>
      <c r="EL42" s="901">
        <f t="shared" si="205"/>
        <v>220.93227500000006</v>
      </c>
      <c r="EM42" s="901">
        <f t="shared" ref="EM42" si="206">EM201+EM339</f>
        <v>213.60417499999994</v>
      </c>
      <c r="EN42" s="1111">
        <f>+SUM(EJ42:EM42)</f>
        <v>887.86956499999997</v>
      </c>
      <c r="EO42" s="901">
        <f t="shared" ref="EO42:EP42" si="207">EO201+EO339</f>
        <v>204.46899500000001</v>
      </c>
      <c r="EP42" s="901">
        <f t="shared" si="207"/>
        <v>201.02598999999998</v>
      </c>
      <c r="EQ42" s="901">
        <f t="shared" ref="EQ42:ER42" si="208">EQ201+EQ339</f>
        <v>202.07858500000003</v>
      </c>
      <c r="ER42" s="901">
        <f t="shared" si="208"/>
        <v>192.18188999999995</v>
      </c>
      <c r="ES42" s="1111">
        <f>+SUM(EO42:ER42)</f>
        <v>799.75545999999997</v>
      </c>
      <c r="ET42" s="901">
        <f t="shared" ref="ET42" si="209">ET201+ET339</f>
        <v>190.11447999999993</v>
      </c>
      <c r="EU42" s="901">
        <f t="shared" si="191"/>
        <v>183.30475499999997</v>
      </c>
      <c r="EV42" s="901">
        <f t="shared" ref="EV42:EW42" si="210">EV201+EV339</f>
        <v>177.09166500000003</v>
      </c>
      <c r="EW42" s="901">
        <f t="shared" si="210"/>
        <v>171.88016999999996</v>
      </c>
      <c r="EX42" s="1111">
        <f>+SUM(ET42:EW42)</f>
        <v>722.3910699999999</v>
      </c>
      <c r="EY42" s="901">
        <f t="shared" ref="EY42:FB42" si="211">EY201+EY339</f>
        <v>156.53652380998432</v>
      </c>
      <c r="EZ42" s="901">
        <f t="shared" si="211"/>
        <v>151.63959991793706</v>
      </c>
      <c r="FA42" s="901">
        <f t="shared" si="211"/>
        <v>145.98626044039904</v>
      </c>
      <c r="FB42" s="901">
        <f t="shared" si="211"/>
        <v>141.58336044436004</v>
      </c>
      <c r="FC42" s="1111">
        <f>+SUM(EY42:FB42)</f>
        <v>595.74574461268048</v>
      </c>
      <c r="FD42" s="901">
        <f t="shared" ref="FD42:FI42" si="212">FD201+FD339</f>
        <v>493.85802786410704</v>
      </c>
      <c r="FE42" s="901">
        <f t="shared" si="212"/>
        <v>426.81580998570007</v>
      </c>
      <c r="FF42" s="901">
        <f t="shared" si="212"/>
        <v>390.39520210774793</v>
      </c>
      <c r="FG42" s="901">
        <f t="shared" si="212"/>
        <v>367.63014655101699</v>
      </c>
      <c r="FH42" s="901">
        <f t="shared" si="212"/>
        <v>352.47554230184409</v>
      </c>
      <c r="FI42" s="901">
        <f t="shared" si="212"/>
        <v>342.55501206700882</v>
      </c>
    </row>
    <row r="43" spans="1:166" x14ac:dyDescent="0.3">
      <c r="A43" s="90" t="s">
        <v>23</v>
      </c>
      <c r="DZ43" s="1151">
        <f>SUM(DZ40:DZ42)</f>
        <v>880.00000000000011</v>
      </c>
      <c r="EA43" s="1151">
        <f>SUM(EA40:EA42)</f>
        <v>858.99999999999989</v>
      </c>
      <c r="EB43" s="1151">
        <f>SUM(EB40:EB42)</f>
        <v>839</v>
      </c>
      <c r="EC43" s="1151">
        <f>SUM(EC40:EC42)</f>
        <v>838</v>
      </c>
      <c r="ED43" s="1079">
        <f t="shared" ref="ED43:ED49" si="213">SUM(DZ43:EC43)</f>
        <v>3416</v>
      </c>
      <c r="EE43" s="1151">
        <f t="shared" ref="EE43" si="214">SUM(EE40:EE42)</f>
        <v>820</v>
      </c>
      <c r="EF43" s="1151">
        <f t="shared" ref="EF43" si="215">SUM(EF40:EF42)</f>
        <v>816</v>
      </c>
      <c r="EG43" s="1151">
        <f t="shared" ref="EG43:EH43" si="216">SUM(EG40:EG42)</f>
        <v>800</v>
      </c>
      <c r="EH43" s="1151">
        <f t="shared" si="216"/>
        <v>782</v>
      </c>
      <c r="EI43" s="1079">
        <f t="shared" ref="EI43:EI49" si="217">SUM(EE43:EH43)</f>
        <v>3218</v>
      </c>
      <c r="EJ43" s="1151">
        <f t="shared" ref="EJ43:EK43" si="218">SUM(EJ40:EJ42)</f>
        <v>776</v>
      </c>
      <c r="EK43" s="1151">
        <f t="shared" si="218"/>
        <v>791</v>
      </c>
      <c r="EL43" s="1151">
        <f t="shared" ref="EL43:EM43" si="219">SUM(EL40:EL42)</f>
        <v>785</v>
      </c>
      <c r="EM43" s="1151">
        <f t="shared" si="219"/>
        <v>764</v>
      </c>
      <c r="EN43" s="1079">
        <f t="shared" ref="EN43:EN49" si="220">SUM(EJ43:EM43)</f>
        <v>3116</v>
      </c>
      <c r="EO43" s="1151">
        <f t="shared" ref="EO43:EP43" si="221">SUM(EO40:EO42)</f>
        <v>761</v>
      </c>
      <c r="EP43" s="1151">
        <f t="shared" si="221"/>
        <v>775</v>
      </c>
      <c r="EQ43" s="1151">
        <f t="shared" ref="EQ43:ER43" si="222">SUM(EQ40:EQ42)</f>
        <v>787</v>
      </c>
      <c r="ER43" s="1151">
        <f t="shared" si="222"/>
        <v>774</v>
      </c>
      <c r="ES43" s="1079">
        <f t="shared" ref="ES43:ES49" si="223">SUM(EO43:ER43)</f>
        <v>3097</v>
      </c>
      <c r="ET43" s="1151">
        <f t="shared" ref="ET43" si="224">SUM(ET40:ET42)</f>
        <v>787</v>
      </c>
      <c r="EU43" s="1151">
        <f t="shared" ref="EU43" si="225">SUM(EU40:EU42)</f>
        <v>789</v>
      </c>
      <c r="EV43" s="1151">
        <f t="shared" ref="EV43:EW43" si="226">SUM(EV40:EV42)</f>
        <v>789.00000000000011</v>
      </c>
      <c r="EW43" s="1151">
        <f t="shared" si="226"/>
        <v>798</v>
      </c>
      <c r="EX43" s="1079">
        <f t="shared" ref="EX43:EX49" si="227">SUM(ET43:EW43)</f>
        <v>3163</v>
      </c>
      <c r="EY43" s="1151">
        <f t="shared" ref="EY43:FB43" si="228">SUM(EY40:EY42)</f>
        <v>798.82765275356292</v>
      </c>
      <c r="EZ43" s="1151">
        <f t="shared" si="228"/>
        <v>808.96561034315107</v>
      </c>
      <c r="FA43" s="1151">
        <f t="shared" si="228"/>
        <v>815.10036799059742</v>
      </c>
      <c r="FB43" s="1151">
        <f t="shared" si="228"/>
        <v>831.64154803623001</v>
      </c>
      <c r="FC43" s="1079">
        <f t="shared" ref="FC43:FC49" si="229">SUM(EY43:FB43)</f>
        <v>3254.5351791235416</v>
      </c>
      <c r="FD43" s="1151">
        <f t="shared" ref="FD43" si="230">SUM(FD40:FD42)</f>
        <v>3464.5622396679078</v>
      </c>
      <c r="FE43" s="1151">
        <f t="shared" ref="FE43" si="231">SUM(FE40:FE42)</f>
        <v>3747.7248228434842</v>
      </c>
      <c r="FF43" s="1151">
        <f t="shared" ref="FF43" si="232">SUM(FF40:FF42)</f>
        <v>4049.2759349072303</v>
      </c>
      <c r="FG43" s="1151">
        <f t="shared" ref="FG43" si="233">SUM(FG40:FG42)</f>
        <v>4328.9846517710093</v>
      </c>
      <c r="FH43" s="1151">
        <f t="shared" ref="FH43" si="234">SUM(FH40:FH42)</f>
        <v>4585.5261821483391</v>
      </c>
      <c r="FI43" s="1151">
        <f t="shared" ref="FI43" si="235">SUM(FI40:FI42)</f>
        <v>4813.1358323176446</v>
      </c>
    </row>
    <row r="44" spans="1:166" x14ac:dyDescent="0.3">
      <c r="A44" t="s">
        <v>24</v>
      </c>
      <c r="DZ44" s="885">
        <f t="shared" ref="DZ44:EC45" si="236">DZ203+DZ341</f>
        <v>67.46624570499273</v>
      </c>
      <c r="EA44" s="885">
        <f t="shared" si="236"/>
        <v>65.75035108013671</v>
      </c>
      <c r="EB44" s="885">
        <f t="shared" si="236"/>
        <v>64.888547649374999</v>
      </c>
      <c r="EC44" s="885">
        <f t="shared" si="236"/>
        <v>65.004899062500002</v>
      </c>
      <c r="ED44" s="1079">
        <f t="shared" si="213"/>
        <v>263.11004349700443</v>
      </c>
      <c r="EE44" s="885">
        <f t="shared" ref="EE44:EG45" si="237">EE203+EE341</f>
        <v>61.672804499999998</v>
      </c>
      <c r="EF44" s="885">
        <f t="shared" si="237"/>
        <v>61.207440000000005</v>
      </c>
      <c r="EG44" s="885">
        <f t="shared" si="237"/>
        <v>60.125250000000001</v>
      </c>
      <c r="EH44" s="885">
        <f t="shared" ref="EH44:EJ44" si="238">EH203+EH341</f>
        <v>59.386109999999988</v>
      </c>
      <c r="EI44" s="1079">
        <f t="shared" si="217"/>
        <v>242.39160449999997</v>
      </c>
      <c r="EJ44" s="885">
        <f t="shared" si="238"/>
        <v>59.439525000000003</v>
      </c>
      <c r="EK44" s="885">
        <f t="shared" ref="EK44:EL44" si="239">EK203+EK341</f>
        <v>59.293064999999999</v>
      </c>
      <c r="EL44" s="885">
        <f t="shared" si="239"/>
        <v>60.266295</v>
      </c>
      <c r="EM44" s="885">
        <f t="shared" ref="EM44" si="240">EM203+EM341</f>
        <v>60.579569999999997</v>
      </c>
      <c r="EN44" s="1079">
        <f t="shared" si="220"/>
        <v>239.57845499999999</v>
      </c>
      <c r="EO44" s="885">
        <f t="shared" ref="EO44:EP44" si="241">EO203+EO341</f>
        <v>59.643569999999997</v>
      </c>
      <c r="EP44" s="885">
        <f t="shared" si="241"/>
        <v>59.631839999999997</v>
      </c>
      <c r="EQ44" s="885">
        <f t="shared" ref="EQ44:ER44" si="242">EQ203+EQ341</f>
        <v>58.748910000000009</v>
      </c>
      <c r="ER44" s="885">
        <f t="shared" si="242"/>
        <v>58.828319999999998</v>
      </c>
      <c r="ES44" s="1079">
        <f t="shared" si="223"/>
        <v>236.85263999999998</v>
      </c>
      <c r="ET44" s="885">
        <f t="shared" ref="ET44" si="243">ET203+ET341</f>
        <v>58.773330000000009</v>
      </c>
      <c r="EU44" s="885">
        <f t="shared" ref="EU44:EU45" si="244">EU203+EU341</f>
        <v>59.140619999999998</v>
      </c>
      <c r="EV44" s="885">
        <f t="shared" ref="EV44:EW44" si="245">EV203+EV341</f>
        <v>59.572739999999996</v>
      </c>
      <c r="EW44" s="885">
        <f t="shared" si="245"/>
        <v>60.30198</v>
      </c>
      <c r="EX44" s="1079">
        <f t="shared" si="227"/>
        <v>237.78867000000002</v>
      </c>
      <c r="EY44" s="885">
        <f t="shared" ref="EY44:FB44" si="246">EY203+EY341</f>
        <v>60.427871019831137</v>
      </c>
      <c r="EZ44" s="885">
        <f t="shared" si="246"/>
        <v>61.11669029222233</v>
      </c>
      <c r="FA44" s="885">
        <f t="shared" si="246"/>
        <v>62.087843579854393</v>
      </c>
      <c r="FB44" s="885">
        <f t="shared" si="246"/>
        <v>63.553413959481851</v>
      </c>
      <c r="FC44" s="1079">
        <f t="shared" si="229"/>
        <v>247.18581885138971</v>
      </c>
      <c r="FD44" s="885">
        <f t="shared" ref="FD44:FI44" si="247">FD203+FD341</f>
        <v>266.57718348215235</v>
      </c>
      <c r="FE44" s="885">
        <f t="shared" si="247"/>
        <v>291.57736368985638</v>
      </c>
      <c r="FF44" s="885">
        <f t="shared" si="247"/>
        <v>321.77680488488249</v>
      </c>
      <c r="FG44" s="885">
        <f t="shared" si="247"/>
        <v>356.48197490952299</v>
      </c>
      <c r="FH44" s="885">
        <f t="shared" si="247"/>
        <v>395.74611455110499</v>
      </c>
      <c r="FI44" s="885">
        <f t="shared" si="247"/>
        <v>439.73777693891213</v>
      </c>
    </row>
    <row r="45" spans="1:166" x14ac:dyDescent="0.3">
      <c r="A45" t="s">
        <v>308</v>
      </c>
      <c r="DZ45" s="885">
        <f t="shared" si="236"/>
        <v>713.53375429500727</v>
      </c>
      <c r="EA45" s="885">
        <f t="shared" si="236"/>
        <v>696.24964891986338</v>
      </c>
      <c r="EB45" s="885">
        <f t="shared" si="236"/>
        <v>674.11145235062497</v>
      </c>
      <c r="EC45" s="885">
        <f t="shared" si="236"/>
        <v>653.99510093749996</v>
      </c>
      <c r="ED45" s="1151">
        <f t="shared" si="213"/>
        <v>2737.8899565029956</v>
      </c>
      <c r="EE45" s="885">
        <f t="shared" si="237"/>
        <v>653.32719550000002</v>
      </c>
      <c r="EF45" s="885">
        <f t="shared" si="237"/>
        <v>636.79255999999998</v>
      </c>
      <c r="EG45" s="885">
        <f t="shared" si="237"/>
        <v>632.87474999999995</v>
      </c>
      <c r="EH45" s="885">
        <f t="shared" ref="EH45:EJ45" si="248">EH204+EH342</f>
        <v>617.61389000000008</v>
      </c>
      <c r="EI45" s="1151">
        <f t="shared" si="217"/>
        <v>2540.6083954999999</v>
      </c>
      <c r="EJ45" s="885">
        <f t="shared" si="248"/>
        <v>606.560475</v>
      </c>
      <c r="EK45" s="885">
        <f t="shared" ref="EK45:EL45" si="249">EK204+EK342</f>
        <v>591.70693499999993</v>
      </c>
      <c r="EL45" s="885">
        <f t="shared" si="249"/>
        <v>580.73370499999999</v>
      </c>
      <c r="EM45" s="885">
        <f t="shared" ref="EM45" si="250">EM204+EM342</f>
        <v>598.42043000000001</v>
      </c>
      <c r="EN45" s="1151">
        <f t="shared" si="220"/>
        <v>2377.4215450000002</v>
      </c>
      <c r="EO45" s="885">
        <f t="shared" ref="EO45:EP45" si="251">EO204+EO342</f>
        <v>597.35643000000005</v>
      </c>
      <c r="EP45" s="885">
        <f t="shared" si="251"/>
        <v>593.36815999999999</v>
      </c>
      <c r="EQ45" s="885">
        <f t="shared" ref="EQ45:ER45" si="252">EQ204+EQ342</f>
        <v>575.25108999999998</v>
      </c>
      <c r="ER45" s="885">
        <f t="shared" si="252"/>
        <v>576.17168000000004</v>
      </c>
      <c r="ES45" s="1151">
        <f t="shared" si="223"/>
        <v>2342.1473599999999</v>
      </c>
      <c r="ET45" s="885">
        <f t="shared" ref="ET45" si="253">ET204+ET342</f>
        <v>600.22667000000001</v>
      </c>
      <c r="EU45" s="885">
        <f t="shared" si="244"/>
        <v>617.85937999999999</v>
      </c>
      <c r="EV45" s="885">
        <f t="shared" ref="EV45:EW45" si="254">EV204+EV342</f>
        <v>622.42725999999993</v>
      </c>
      <c r="EW45" s="885">
        <f t="shared" si="254"/>
        <v>631.69802000000004</v>
      </c>
      <c r="EX45" s="1151">
        <f t="shared" si="227"/>
        <v>2472.2113300000001</v>
      </c>
      <c r="EY45" s="885">
        <f t="shared" ref="EY45:FB45" si="255">EY204+EY342</f>
        <v>595.36782687499999</v>
      </c>
      <c r="EZ45" s="885">
        <f t="shared" si="255"/>
        <v>613.45234677500002</v>
      </c>
      <c r="FA45" s="885">
        <f t="shared" si="255"/>
        <v>618.64276434999999</v>
      </c>
      <c r="FB45" s="885">
        <f t="shared" si="255"/>
        <v>627.63944315000003</v>
      </c>
      <c r="FC45" s="1151">
        <f t="shared" si="229"/>
        <v>2455.1023811499999</v>
      </c>
      <c r="FD45" s="885">
        <f t="shared" ref="FD45:FI45" si="256">FD204+FD342</f>
        <v>2431.0580295852496</v>
      </c>
      <c r="FE45" s="885">
        <f t="shared" si="256"/>
        <v>2400.9627674790318</v>
      </c>
      <c r="FF45" s="885">
        <f t="shared" si="256"/>
        <v>2366.1432402383371</v>
      </c>
      <c r="FG45" s="885">
        <f t="shared" si="256"/>
        <v>2327.6726907015855</v>
      </c>
      <c r="FH45" s="885">
        <f t="shared" si="256"/>
        <v>2286.4018583281991</v>
      </c>
      <c r="FI45" s="885">
        <f t="shared" si="256"/>
        <v>2242.9953421770638</v>
      </c>
    </row>
    <row r="46" spans="1:166" s="90" customFormat="1" x14ac:dyDescent="0.3">
      <c r="A46" s="90" t="s">
        <v>26</v>
      </c>
      <c r="DZ46" s="1153">
        <f>SUM(DZ44:DZ45)</f>
        <v>781</v>
      </c>
      <c r="EA46" s="1153">
        <f t="shared" ref="EA46:EC46" si="257">SUM(EA44:EA45)</f>
        <v>762.00000000000011</v>
      </c>
      <c r="EB46" s="1153">
        <f t="shared" si="257"/>
        <v>739</v>
      </c>
      <c r="EC46" s="1153">
        <f t="shared" si="257"/>
        <v>719</v>
      </c>
      <c r="ED46" s="1111">
        <f t="shared" si="213"/>
        <v>3001</v>
      </c>
      <c r="EE46" s="1153">
        <f t="shared" ref="EE46" si="258">SUM(EE44:EE45)</f>
        <v>715</v>
      </c>
      <c r="EF46" s="1153">
        <f t="shared" ref="EF46" si="259">SUM(EF44:EF45)</f>
        <v>698</v>
      </c>
      <c r="EG46" s="1153">
        <f t="shared" ref="EG46:EH46" si="260">SUM(EG44:EG45)</f>
        <v>693</v>
      </c>
      <c r="EH46" s="1153">
        <f t="shared" si="260"/>
        <v>677.00000000000011</v>
      </c>
      <c r="EI46" s="1111">
        <f t="shared" si="217"/>
        <v>2783</v>
      </c>
      <c r="EJ46" s="1153">
        <f t="shared" ref="EJ46:EK46" si="261">SUM(EJ44:EJ45)</f>
        <v>666</v>
      </c>
      <c r="EK46" s="1153">
        <f t="shared" si="261"/>
        <v>650.99999999999989</v>
      </c>
      <c r="EL46" s="1153">
        <f t="shared" ref="EL46:EM46" si="262">SUM(EL44:EL45)</f>
        <v>641</v>
      </c>
      <c r="EM46" s="1153">
        <f t="shared" si="262"/>
        <v>659</v>
      </c>
      <c r="EN46" s="1111">
        <f t="shared" si="220"/>
        <v>2617</v>
      </c>
      <c r="EO46" s="1153">
        <f t="shared" ref="EO46:EP46" si="263">SUM(EO44:EO45)</f>
        <v>657</v>
      </c>
      <c r="EP46" s="1153">
        <f t="shared" si="263"/>
        <v>653</v>
      </c>
      <c r="EQ46" s="1153">
        <f t="shared" ref="EQ46:ER46" si="264">SUM(EQ44:EQ45)</f>
        <v>634</v>
      </c>
      <c r="ER46" s="1153">
        <f t="shared" si="264"/>
        <v>635</v>
      </c>
      <c r="ES46" s="1111">
        <f t="shared" si="223"/>
        <v>2579</v>
      </c>
      <c r="ET46" s="1153">
        <f t="shared" ref="ET46" si="265">SUM(ET44:ET45)</f>
        <v>659</v>
      </c>
      <c r="EU46" s="1153">
        <f t="shared" ref="EU46" si="266">SUM(EU44:EU45)</f>
        <v>677</v>
      </c>
      <c r="EV46" s="1153">
        <f t="shared" ref="EV46:EW46" si="267">SUM(EV44:EV45)</f>
        <v>681.99999999999989</v>
      </c>
      <c r="EW46" s="1153">
        <f t="shared" si="267"/>
        <v>692</v>
      </c>
      <c r="EX46" s="1111">
        <f t="shared" si="227"/>
        <v>2710</v>
      </c>
      <c r="EY46" s="1153">
        <f t="shared" ref="EY46:FB46" si="268">SUM(EY44:EY45)</f>
        <v>655.79569789483116</v>
      </c>
      <c r="EZ46" s="1153">
        <f t="shared" si="268"/>
        <v>674.56903706722233</v>
      </c>
      <c r="FA46" s="1153">
        <f t="shared" si="268"/>
        <v>680.73060792985439</v>
      </c>
      <c r="FB46" s="1153">
        <f t="shared" si="268"/>
        <v>691.19285710948191</v>
      </c>
      <c r="FC46" s="1111">
        <f t="shared" si="229"/>
        <v>2702.2882000013897</v>
      </c>
      <c r="FD46" s="1153">
        <f t="shared" ref="FD46" si="269">SUM(FD44:FD45)</f>
        <v>2697.6352130674022</v>
      </c>
      <c r="FE46" s="1153">
        <f t="shared" ref="FE46" si="270">SUM(FE44:FE45)</f>
        <v>2692.5401311688884</v>
      </c>
      <c r="FF46" s="1153">
        <f t="shared" ref="FF46" si="271">SUM(FF44:FF45)</f>
        <v>2687.9200451232196</v>
      </c>
      <c r="FG46" s="1153">
        <f t="shared" ref="FG46" si="272">SUM(FG44:FG45)</f>
        <v>2684.1546656111086</v>
      </c>
      <c r="FH46" s="1153">
        <f t="shared" ref="FH46" si="273">SUM(FH44:FH45)</f>
        <v>2682.1479728793042</v>
      </c>
      <c r="FI46" s="1153">
        <f t="shared" ref="FI46" si="274">SUM(FI44:FI45)</f>
        <v>2682.733119115976</v>
      </c>
    </row>
    <row r="47" spans="1:166" x14ac:dyDescent="0.3">
      <c r="A47" s="90" t="s">
        <v>27</v>
      </c>
      <c r="DZ47" s="1151">
        <f>DZ43+DZ46</f>
        <v>1661</v>
      </c>
      <c r="EA47" s="1151">
        <f>EA43+EA46</f>
        <v>1621</v>
      </c>
      <c r="EB47" s="1151">
        <f>EB43+EB46</f>
        <v>1578</v>
      </c>
      <c r="EC47" s="1151">
        <f>EC43+EC46</f>
        <v>1557</v>
      </c>
      <c r="ED47" s="900">
        <f t="shared" si="213"/>
        <v>6417</v>
      </c>
      <c r="EE47" s="1151">
        <f t="shared" ref="EE47" si="275">EE43+EE46</f>
        <v>1535</v>
      </c>
      <c r="EF47" s="1151">
        <f t="shared" ref="EF47" si="276">EF43+EF46</f>
        <v>1514</v>
      </c>
      <c r="EG47" s="1151">
        <f t="shared" ref="EG47:EH47" si="277">EG43+EG46</f>
        <v>1493</v>
      </c>
      <c r="EH47" s="1151">
        <f t="shared" si="277"/>
        <v>1459</v>
      </c>
      <c r="EI47" s="900">
        <f t="shared" si="217"/>
        <v>6001</v>
      </c>
      <c r="EJ47" s="1151">
        <f t="shared" ref="EJ47:EK47" si="278">EJ43+EJ46</f>
        <v>1442</v>
      </c>
      <c r="EK47" s="1151">
        <f t="shared" si="278"/>
        <v>1442</v>
      </c>
      <c r="EL47" s="1151">
        <f t="shared" ref="EL47:EM47" si="279">EL43+EL46</f>
        <v>1426</v>
      </c>
      <c r="EM47" s="1151">
        <f t="shared" si="279"/>
        <v>1423</v>
      </c>
      <c r="EN47" s="900">
        <f t="shared" si="220"/>
        <v>5733</v>
      </c>
      <c r="EO47" s="1151">
        <f t="shared" ref="EO47:EP47" si="280">EO43+EO46</f>
        <v>1418</v>
      </c>
      <c r="EP47" s="1151">
        <f t="shared" si="280"/>
        <v>1428</v>
      </c>
      <c r="EQ47" s="1151">
        <f t="shared" ref="EQ47:ER47" si="281">EQ43+EQ46</f>
        <v>1421</v>
      </c>
      <c r="ER47" s="1151">
        <f t="shared" si="281"/>
        <v>1409</v>
      </c>
      <c r="ES47" s="900">
        <f t="shared" si="223"/>
        <v>5676</v>
      </c>
      <c r="ET47" s="1151">
        <f t="shared" ref="ET47" si="282">ET43+ET46</f>
        <v>1446</v>
      </c>
      <c r="EU47" s="1151">
        <f t="shared" ref="EU47" si="283">EU43+EU46</f>
        <v>1466</v>
      </c>
      <c r="EV47" s="1151">
        <f t="shared" ref="EV47:EW47" si="284">EV43+EV46</f>
        <v>1471</v>
      </c>
      <c r="EW47" s="1151">
        <f t="shared" si="284"/>
        <v>1490</v>
      </c>
      <c r="EX47" s="900">
        <f t="shared" si="227"/>
        <v>5873</v>
      </c>
      <c r="EY47" s="1151">
        <f t="shared" ref="EY47:FB47" si="285">EY43+EY46</f>
        <v>1454.6233506483941</v>
      </c>
      <c r="EZ47" s="1151">
        <f t="shared" si="285"/>
        <v>1483.5346474103735</v>
      </c>
      <c r="FA47" s="1151">
        <f t="shared" si="285"/>
        <v>1495.8309759204517</v>
      </c>
      <c r="FB47" s="1151">
        <f t="shared" si="285"/>
        <v>1522.834405145712</v>
      </c>
      <c r="FC47" s="900">
        <f t="shared" si="229"/>
        <v>5956.8233791249313</v>
      </c>
      <c r="FD47" s="1151">
        <f t="shared" ref="FD47" si="286">FD43+FD46</f>
        <v>6162.1974527353104</v>
      </c>
      <c r="FE47" s="1151">
        <f t="shared" ref="FE47" si="287">FE43+FE46</f>
        <v>6440.264954012373</v>
      </c>
      <c r="FF47" s="1151">
        <f t="shared" ref="FF47" si="288">FF43+FF46</f>
        <v>6737.1959800304503</v>
      </c>
      <c r="FG47" s="1151">
        <f t="shared" ref="FG47" si="289">FG43+FG46</f>
        <v>7013.139317382118</v>
      </c>
      <c r="FH47" s="1151">
        <f t="shared" ref="FH47" si="290">FH43+FH46</f>
        <v>7267.6741550276438</v>
      </c>
      <c r="FI47" s="1151">
        <f t="shared" ref="FI47" si="291">FI43+FI46</f>
        <v>7495.8689514336202</v>
      </c>
    </row>
    <row r="48" spans="1:166" x14ac:dyDescent="0.3">
      <c r="A48" t="s">
        <v>28</v>
      </c>
      <c r="DZ48" s="1110">
        <f>Inputs!DZ172</f>
        <v>128</v>
      </c>
      <c r="EA48" s="1110">
        <f>Inputs!EA172</f>
        <v>133</v>
      </c>
      <c r="EB48" s="1110">
        <f>Inputs!EB172</f>
        <v>149</v>
      </c>
      <c r="EC48" s="1110">
        <f>Inputs!EC172</f>
        <v>139</v>
      </c>
      <c r="ED48" s="1111">
        <f t="shared" si="213"/>
        <v>549</v>
      </c>
      <c r="EE48" s="1110">
        <f>Inputs!EE172</f>
        <v>140</v>
      </c>
      <c r="EF48" s="1110">
        <f>Inputs!EF172</f>
        <v>103</v>
      </c>
      <c r="EG48" s="1110">
        <f>Inputs!EG172</f>
        <v>83</v>
      </c>
      <c r="EH48" s="1110">
        <f>Inputs!EH172</f>
        <v>84</v>
      </c>
      <c r="EI48" s="1111">
        <f t="shared" si="217"/>
        <v>410</v>
      </c>
      <c r="EJ48" s="1110">
        <f>Inputs!EJ172</f>
        <v>5</v>
      </c>
      <c r="EK48" s="1110">
        <f>Inputs!EK172</f>
        <v>17</v>
      </c>
      <c r="EL48" s="1110">
        <f>Inputs!EL172</f>
        <v>18</v>
      </c>
      <c r="EM48" s="1110">
        <f>Inputs!EM172</f>
        <v>14</v>
      </c>
      <c r="EN48" s="1153">
        <f>SUM(EJ48:EM48)</f>
        <v>54</v>
      </c>
      <c r="EO48" s="1110">
        <f>Inputs!EO172</f>
        <v>22</v>
      </c>
      <c r="EP48" s="1110">
        <f>Inputs!EP172</f>
        <v>21</v>
      </c>
      <c r="EQ48" s="1110">
        <f>Inputs!EQ172</f>
        <v>15</v>
      </c>
      <c r="ER48" s="1110">
        <f>Inputs!ER172</f>
        <v>17</v>
      </c>
      <c r="ES48" s="1153">
        <f>SUM(EO48:ER48)</f>
        <v>75</v>
      </c>
      <c r="ET48" s="1110">
        <f>Inputs!ET172</f>
        <v>16</v>
      </c>
      <c r="EU48" s="945">
        <f t="shared" ref="EU48" si="292">EU11</f>
        <v>14</v>
      </c>
      <c r="EV48" s="945">
        <f t="shared" ref="EV48:EW48" si="293">EV11</f>
        <v>18</v>
      </c>
      <c r="EW48" s="945">
        <f t="shared" si="293"/>
        <v>16</v>
      </c>
      <c r="EX48" s="1153">
        <f>SUM(ET48:EW48)</f>
        <v>64</v>
      </c>
      <c r="EY48" s="945">
        <f t="shared" ref="EY48:FB48" si="294">EY11</f>
        <v>16</v>
      </c>
      <c r="EZ48" s="945">
        <f t="shared" si="294"/>
        <v>14</v>
      </c>
      <c r="FA48" s="945">
        <f t="shared" si="294"/>
        <v>18</v>
      </c>
      <c r="FB48" s="945">
        <f t="shared" si="294"/>
        <v>16</v>
      </c>
      <c r="FC48" s="1153">
        <f>SUM(EY48:FB48)</f>
        <v>64</v>
      </c>
      <c r="FD48" s="945">
        <f t="shared" ref="FD48:FI48" si="295">FD11</f>
        <v>64</v>
      </c>
      <c r="FE48" s="945">
        <f t="shared" si="295"/>
        <v>64</v>
      </c>
      <c r="FF48" s="945">
        <f t="shared" si="295"/>
        <v>64</v>
      </c>
      <c r="FG48" s="945">
        <f t="shared" si="295"/>
        <v>64</v>
      </c>
      <c r="FH48" s="945">
        <f t="shared" si="295"/>
        <v>64</v>
      </c>
      <c r="FI48" s="945">
        <f t="shared" si="295"/>
        <v>64</v>
      </c>
    </row>
    <row r="49" spans="1:166" x14ac:dyDescent="0.3">
      <c r="A49" s="90" t="s">
        <v>19</v>
      </c>
      <c r="DZ49" s="1151">
        <f>SUM(DZ47:DZ48)</f>
        <v>1789</v>
      </c>
      <c r="EA49" s="1151">
        <f>SUM(EA47:EA48)</f>
        <v>1754</v>
      </c>
      <c r="EB49" s="1151">
        <f>SUM(EB47:EB48)</f>
        <v>1727</v>
      </c>
      <c r="EC49" s="1151">
        <f>SUM(EC47:EC48)</f>
        <v>1696</v>
      </c>
      <c r="ED49" s="900">
        <f t="shared" si="213"/>
        <v>6966</v>
      </c>
      <c r="EE49" s="1151">
        <f t="shared" ref="EE49:EG49" si="296">SUM(EE47:EE48)</f>
        <v>1675</v>
      </c>
      <c r="EF49" s="1151">
        <f t="shared" si="296"/>
        <v>1617</v>
      </c>
      <c r="EG49" s="1151">
        <f t="shared" si="296"/>
        <v>1576</v>
      </c>
      <c r="EH49" s="1151">
        <f t="shared" ref="EH49:EJ49" si="297">SUM(EH47:EH48)</f>
        <v>1543</v>
      </c>
      <c r="EI49" s="900">
        <f t="shared" si="217"/>
        <v>6411</v>
      </c>
      <c r="EJ49" s="1151">
        <f t="shared" si="297"/>
        <v>1447</v>
      </c>
      <c r="EK49" s="1151">
        <f t="shared" ref="EK49:EL49" si="298">SUM(EK47:EK48)</f>
        <v>1459</v>
      </c>
      <c r="EL49" s="1151">
        <f t="shared" si="298"/>
        <v>1444</v>
      </c>
      <c r="EM49" s="1151">
        <f t="shared" ref="EM49" si="299">SUM(EM47:EM48)</f>
        <v>1437</v>
      </c>
      <c r="EN49" s="900">
        <f t="shared" si="220"/>
        <v>5787</v>
      </c>
      <c r="EO49" s="1151">
        <f t="shared" ref="EO49:EP49" si="300">SUM(EO47:EO48)</f>
        <v>1440</v>
      </c>
      <c r="EP49" s="1151">
        <f t="shared" si="300"/>
        <v>1449</v>
      </c>
      <c r="EQ49" s="1151">
        <f t="shared" ref="EQ49:ER49" si="301">SUM(EQ47:EQ48)</f>
        <v>1436</v>
      </c>
      <c r="ER49" s="1151">
        <f t="shared" si="301"/>
        <v>1426</v>
      </c>
      <c r="ES49" s="900">
        <f t="shared" si="223"/>
        <v>5751</v>
      </c>
      <c r="ET49" s="1151">
        <f t="shared" ref="ET49" si="302">SUM(ET47:ET48)</f>
        <v>1462</v>
      </c>
      <c r="EU49" s="1151">
        <f t="shared" ref="EU49" si="303">SUM(EU47:EU48)</f>
        <v>1480</v>
      </c>
      <c r="EV49" s="1151">
        <f t="shared" ref="EV49:EW49" si="304">SUM(EV47:EV48)</f>
        <v>1489</v>
      </c>
      <c r="EW49" s="1151">
        <f t="shared" si="304"/>
        <v>1506</v>
      </c>
      <c r="EX49" s="900">
        <f t="shared" si="227"/>
        <v>5937</v>
      </c>
      <c r="EY49" s="1151">
        <f t="shared" ref="EY49:FB49" si="305">SUM(EY47:EY48)</f>
        <v>1470.6233506483941</v>
      </c>
      <c r="EZ49" s="1151">
        <f t="shared" si="305"/>
        <v>1497.5346474103735</v>
      </c>
      <c r="FA49" s="1151">
        <f t="shared" si="305"/>
        <v>1513.8309759204517</v>
      </c>
      <c r="FB49" s="1151">
        <f t="shared" si="305"/>
        <v>1538.834405145712</v>
      </c>
      <c r="FC49" s="900">
        <f t="shared" si="229"/>
        <v>6020.8233791249313</v>
      </c>
      <c r="FD49" s="1151">
        <f t="shared" ref="FD49:FI49" si="306">SUM(FD47:FD48)</f>
        <v>6226.1974527353104</v>
      </c>
      <c r="FE49" s="1151">
        <f t="shared" si="306"/>
        <v>6504.264954012373</v>
      </c>
      <c r="FF49" s="1151">
        <f t="shared" si="306"/>
        <v>6801.1959800304503</v>
      </c>
      <c r="FG49" s="1151">
        <f t="shared" si="306"/>
        <v>7077.139317382118</v>
      </c>
      <c r="FH49" s="1151">
        <f t="shared" si="306"/>
        <v>7331.6741550276438</v>
      </c>
      <c r="FI49" s="1151">
        <f t="shared" si="306"/>
        <v>7559.8689514336202</v>
      </c>
    </row>
    <row r="50" spans="1:166" s="94" customFormat="1" x14ac:dyDescent="0.3">
      <c r="A50" s="1158" t="s">
        <v>309</v>
      </c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13"/>
      <c r="DZ50" s="33"/>
      <c r="EA50" s="33"/>
      <c r="EB50" s="33"/>
      <c r="EC50" s="33"/>
      <c r="ED50" s="1200"/>
      <c r="EE50" s="1137">
        <f>EE43/DZ43-1</f>
        <v>-6.8181818181818343E-2</v>
      </c>
      <c r="EF50" s="1137">
        <f t="shared" ref="EF50" si="307">EF43/EA43-1</f>
        <v>-5.0058207217694828E-2</v>
      </c>
      <c r="EG50" s="1137">
        <f t="shared" ref="EG50:ET50" si="308">EG43/EB43-1</f>
        <v>-4.6483909415971358E-2</v>
      </c>
      <c r="EH50" s="1137">
        <f t="shared" si="308"/>
        <v>-6.6825775656324637E-2</v>
      </c>
      <c r="EI50" s="1163">
        <f t="shared" ref="EI50" si="309">EI43/ED43-1</f>
        <v>-5.7962529274004693E-2</v>
      </c>
      <c r="EJ50" s="1137">
        <f t="shared" si="308"/>
        <v>-5.3658536585365901E-2</v>
      </c>
      <c r="EK50" s="1137">
        <f t="shared" si="308"/>
        <v>-3.0637254901960786E-2</v>
      </c>
      <c r="EL50" s="1137">
        <f t="shared" si="308"/>
        <v>-1.8750000000000044E-2</v>
      </c>
      <c r="EM50" s="1137">
        <f t="shared" si="308"/>
        <v>-2.3017902813299185E-2</v>
      </c>
      <c r="EN50" s="1163">
        <f t="shared" ref="EN50" si="310">EN43/EI43-1</f>
        <v>-3.1696706028589205E-2</v>
      </c>
      <c r="EO50" s="1137">
        <f t="shared" si="308"/>
        <v>-1.9329896907216537E-2</v>
      </c>
      <c r="EP50" s="1137">
        <f t="shared" si="308"/>
        <v>-2.0227560050568916E-2</v>
      </c>
      <c r="EQ50" s="1137">
        <f t="shared" si="308"/>
        <v>2.5477707006369421E-3</v>
      </c>
      <c r="ER50" s="1137">
        <f t="shared" si="308"/>
        <v>1.308900523560208E-2</v>
      </c>
      <c r="ES50" s="1163">
        <f t="shared" ref="ES50" si="311">ES43/EN43-1</f>
        <v>-6.0975609756097615E-3</v>
      </c>
      <c r="ET50" s="1137">
        <f t="shared" si="308"/>
        <v>3.4165571616294299E-2</v>
      </c>
      <c r="EU50" s="1137">
        <f t="shared" ref="EU50:EW50" si="312">EU43/EP43-1</f>
        <v>1.806451612903226E-2</v>
      </c>
      <c r="EV50" s="1137">
        <f t="shared" si="312"/>
        <v>2.5412960609911828E-3</v>
      </c>
      <c r="EW50" s="1137">
        <f t="shared" si="312"/>
        <v>3.1007751937984551E-2</v>
      </c>
      <c r="EX50" s="1163">
        <f t="shared" ref="EX50" si="313">EX43/ES43-1</f>
        <v>2.131094607684858E-2</v>
      </c>
      <c r="EY50" s="1137">
        <f t="shared" ref="EY50" si="314">EY43/ET43-1</f>
        <v>1.5028783676700019E-2</v>
      </c>
      <c r="EZ50" s="1137">
        <f t="shared" ref="EZ50" si="315">EZ43/EU43-1</f>
        <v>2.5304956074969631E-2</v>
      </c>
      <c r="FA50" s="1137">
        <f t="shared" ref="FA50" si="316">FA43/EV43-1</f>
        <v>3.3080314310009351E-2</v>
      </c>
      <c r="FB50" s="1137">
        <f t="shared" ref="FB50:FC50" si="317">FB43/EW43-1</f>
        <v>4.2157328366203117E-2</v>
      </c>
      <c r="FC50" s="1163">
        <f t="shared" si="317"/>
        <v>2.8939354765583847E-2</v>
      </c>
      <c r="FD50" s="1137">
        <f t="shared" ref="FD50" si="318">FD43/FC43-1</f>
        <v>6.4533658106263658E-2</v>
      </c>
      <c r="FE50" s="1137">
        <f t="shared" ref="FE50" si="319">FE43/FD43-1</f>
        <v>8.1731128952879928E-2</v>
      </c>
      <c r="FF50" s="1137">
        <f t="shared" ref="FF50" si="320">FF43/FE43-1</f>
        <v>8.0462447569710438E-2</v>
      </c>
      <c r="FG50" s="1137">
        <f t="shared" ref="FG50" si="321">FG43/FF43-1</f>
        <v>6.9076230259469185E-2</v>
      </c>
      <c r="FH50" s="1137">
        <f t="shared" ref="FH50" si="322">FH43/FG43-1</f>
        <v>5.9261362886185553E-2</v>
      </c>
      <c r="FI50" s="1137">
        <f t="shared" ref="FI50" si="323">FI43/FH43-1</f>
        <v>4.96365392166771E-2</v>
      </c>
    </row>
    <row r="51" spans="1:166" s="94" customFormat="1" x14ac:dyDescent="0.3">
      <c r="A51" s="1158" t="s">
        <v>310</v>
      </c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13"/>
      <c r="DZ51" s="33"/>
      <c r="EA51" s="33"/>
      <c r="EB51" s="33"/>
      <c r="EC51" s="33"/>
      <c r="ED51" s="1200"/>
      <c r="EE51" s="1137">
        <f t="shared" ref="EE51" si="324">EE46/DZ46-1</f>
        <v>-8.4507042253521125E-2</v>
      </c>
      <c r="EF51" s="1137">
        <f t="shared" ref="EF51" si="325">EF46/EA46-1</f>
        <v>-8.3989501312336068E-2</v>
      </c>
      <c r="EG51" s="1137">
        <f t="shared" ref="EG51:ET51" si="326">EG46/EB46-1</f>
        <v>-6.224627875507438E-2</v>
      </c>
      <c r="EH51" s="1137">
        <f t="shared" si="326"/>
        <v>-5.841446453407495E-2</v>
      </c>
      <c r="EI51" s="1163">
        <f t="shared" ref="EI51" si="327">EI46/ED46-1</f>
        <v>-7.2642452515828015E-2</v>
      </c>
      <c r="EJ51" s="1137">
        <f t="shared" si="326"/>
        <v>-6.853146853146852E-2</v>
      </c>
      <c r="EK51" s="1137">
        <f t="shared" si="326"/>
        <v>-6.7335243553008794E-2</v>
      </c>
      <c r="EL51" s="1137">
        <f t="shared" si="326"/>
        <v>-7.5036075036075012E-2</v>
      </c>
      <c r="EM51" s="1137">
        <f t="shared" si="326"/>
        <v>-2.6587887740029736E-2</v>
      </c>
      <c r="EN51" s="1163">
        <f t="shared" ref="EN51" si="328">EN46/EI46-1</f>
        <v>-5.964786201940353E-2</v>
      </c>
      <c r="EO51" s="1137">
        <f t="shared" si="326"/>
        <v>-1.3513513513513487E-2</v>
      </c>
      <c r="EP51" s="1137">
        <f t="shared" si="326"/>
        <v>3.0721966205840001E-3</v>
      </c>
      <c r="EQ51" s="1137">
        <f t="shared" si="326"/>
        <v>-1.0920436817472678E-2</v>
      </c>
      <c r="ER51" s="1137">
        <f t="shared" si="326"/>
        <v>-3.6418816388467334E-2</v>
      </c>
      <c r="ES51" s="1163">
        <f t="shared" ref="ES51" si="329">ES46/EN46-1</f>
        <v>-1.4520443255636173E-2</v>
      </c>
      <c r="ET51" s="1137">
        <f t="shared" si="326"/>
        <v>3.0441400304415112E-3</v>
      </c>
      <c r="EU51" s="1137">
        <f t="shared" ref="EU51:EW51" si="330">EU46/EP46-1</f>
        <v>3.6753445635528292E-2</v>
      </c>
      <c r="EV51" s="1137">
        <f t="shared" si="330"/>
        <v>7.5709779179810477E-2</v>
      </c>
      <c r="EW51" s="1137">
        <f t="shared" si="330"/>
        <v>8.9763779527558984E-2</v>
      </c>
      <c r="EX51" s="1163">
        <f t="shared" ref="EX51" si="331">EX46/ES46-1</f>
        <v>5.0794881737107334E-2</v>
      </c>
      <c r="EY51" s="1137">
        <f t="shared" ref="EY51" si="332">EY46/ET46-1</f>
        <v>-4.8623704175551063E-3</v>
      </c>
      <c r="EZ51" s="1137">
        <f t="shared" ref="EZ51" si="333">EZ46/EU46-1</f>
        <v>-3.5907871976036398E-3</v>
      </c>
      <c r="FA51" s="1137">
        <f t="shared" ref="FA51" si="334">FA46/EV46-1</f>
        <v>-1.861278695228008E-3</v>
      </c>
      <c r="FB51" s="1137">
        <f t="shared" ref="FB51:FC51" si="335">FB46/EW46-1</f>
        <v>-1.1663914602862979E-3</v>
      </c>
      <c r="FC51" s="1163">
        <f t="shared" si="335"/>
        <v>-2.8456826563137971E-3</v>
      </c>
      <c r="FD51" s="1137">
        <f t="shared" ref="FD51" si="336">FD46/FC46-1</f>
        <v>-1.7218692417726444E-3</v>
      </c>
      <c r="FE51" s="1137">
        <f t="shared" ref="FE51" si="337">FE46/FD46-1</f>
        <v>-1.8887216009908503E-3</v>
      </c>
      <c r="FF51" s="1137">
        <f t="shared" ref="FF51" si="338">FF46/FE46-1</f>
        <v>-1.7158838199611282E-3</v>
      </c>
      <c r="FG51" s="1137">
        <f t="shared" ref="FG51" si="339">FG46/FF46-1</f>
        <v>-1.4008524989210791E-3</v>
      </c>
      <c r="FH51" s="1137">
        <f t="shared" ref="FH51" si="340">FH46/FG46-1</f>
        <v>-7.4760696822495643E-4</v>
      </c>
      <c r="FI51" s="1137">
        <f t="shared" ref="FI51" si="341">FI46/FH46-1</f>
        <v>2.1816329396751044E-4</v>
      </c>
    </row>
    <row r="52" spans="1:166" s="94" customFormat="1" x14ac:dyDescent="0.3">
      <c r="A52" s="1158" t="s">
        <v>289</v>
      </c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13"/>
      <c r="DZ52" s="33"/>
      <c r="EA52" s="33"/>
      <c r="EB52" s="33"/>
      <c r="EC52" s="33"/>
      <c r="ED52" s="1200"/>
      <c r="EE52" s="1137">
        <f t="shared" ref="EE52" si="342">EE49/DZ49-1</f>
        <v>-6.3722750139742823E-2</v>
      </c>
      <c r="EF52" s="1137">
        <f t="shared" ref="EF52" si="343">EF49/EA49-1</f>
        <v>-7.8107183580387707E-2</v>
      </c>
      <c r="EG52" s="1137">
        <f t="shared" ref="EG52:ET52" si="344">EG49/EB49-1</f>
        <v>-8.7434858135495119E-2</v>
      </c>
      <c r="EH52" s="1137">
        <f t="shared" si="344"/>
        <v>-9.0212264150943411E-2</v>
      </c>
      <c r="EI52" s="1163">
        <f t="shared" ref="EI52" si="345">EI49/ED49-1</f>
        <v>-7.9672695951765737E-2</v>
      </c>
      <c r="EJ52" s="1137">
        <f t="shared" si="344"/>
        <v>-0.13611940298507463</v>
      </c>
      <c r="EK52" s="1137">
        <f t="shared" si="344"/>
        <v>-9.7711811997526321E-2</v>
      </c>
      <c r="EL52" s="1137">
        <f t="shared" si="344"/>
        <v>-8.3756345177664948E-2</v>
      </c>
      <c r="EM52" s="1137">
        <f t="shared" si="344"/>
        <v>-6.8697342838626052E-2</v>
      </c>
      <c r="EN52" s="1163">
        <f t="shared" ref="EN52" si="346">EN49/EI49-1</f>
        <v>-9.7332709405708928E-2</v>
      </c>
      <c r="EO52" s="1137">
        <f t="shared" si="344"/>
        <v>-4.8375950241880128E-3</v>
      </c>
      <c r="EP52" s="1137">
        <f t="shared" si="344"/>
        <v>-6.8540095956134417E-3</v>
      </c>
      <c r="EQ52" s="1137">
        <f t="shared" si="344"/>
        <v>-5.5401662049860967E-3</v>
      </c>
      <c r="ER52" s="1137">
        <f t="shared" si="344"/>
        <v>-7.6548364648573175E-3</v>
      </c>
      <c r="ES52" s="1163">
        <f t="shared" ref="ES52" si="347">ES49/EN49-1</f>
        <v>-6.2208398133748455E-3</v>
      </c>
      <c r="ET52" s="1137">
        <f t="shared" si="344"/>
        <v>1.5277777777777724E-2</v>
      </c>
      <c r="EU52" s="1137">
        <f t="shared" ref="EU52:EW52" si="348">EU49/EP49-1</f>
        <v>2.1394064872325647E-2</v>
      </c>
      <c r="EV52" s="1137">
        <f t="shared" si="348"/>
        <v>3.6908077994429078E-2</v>
      </c>
      <c r="EW52" s="1137">
        <f t="shared" si="348"/>
        <v>5.6100981767180924E-2</v>
      </c>
      <c r="EX52" s="1163">
        <f t="shared" ref="EX52" si="349">EX49/ES49-1</f>
        <v>3.234220135628596E-2</v>
      </c>
      <c r="EY52" s="1137">
        <f t="shared" ref="EY52" si="350">EY49/ET49-1</f>
        <v>5.898324656904208E-3</v>
      </c>
      <c r="EZ52" s="1137">
        <f t="shared" ref="EZ52" si="351">EZ49/EU49-1</f>
        <v>1.1847734736738946E-2</v>
      </c>
      <c r="FA52" s="1137">
        <f t="shared" ref="FA52" si="352">FA49/EV49-1</f>
        <v>1.6676276642344945E-2</v>
      </c>
      <c r="FB52" s="1137">
        <f t="shared" ref="FB52:FC52" si="353">FB49/EW49-1</f>
        <v>2.1802393855054447E-2</v>
      </c>
      <c r="FC52" s="1163">
        <f t="shared" si="353"/>
        <v>1.4118810699836892E-2</v>
      </c>
      <c r="FD52" s="1137">
        <f t="shared" ref="FD52" si="354">FD49/FC49-1</f>
        <v>3.4110629174481488E-2</v>
      </c>
      <c r="FE52" s="1137">
        <f t="shared" ref="FE52" si="355">FE49/FD49-1</f>
        <v>4.4660887064367216E-2</v>
      </c>
      <c r="FF52" s="1137">
        <f t="shared" ref="FF52" si="356">FF49/FE49-1</f>
        <v>4.5651742067319256E-2</v>
      </c>
      <c r="FG52" s="1137">
        <f t="shared" ref="FG52" si="357">FG49/FF49-1</f>
        <v>4.0572766637204438E-2</v>
      </c>
      <c r="FH52" s="1137">
        <f t="shared" ref="FH52" si="358">FH49/FG49-1</f>
        <v>3.5965780272314785E-2</v>
      </c>
      <c r="FI52" s="1137">
        <f t="shared" ref="FI52" si="359">FI49/FH49-1</f>
        <v>3.1124514207917064E-2</v>
      </c>
    </row>
    <row r="53" spans="1:166" s="94" customFormat="1" x14ac:dyDescent="0.3">
      <c r="A53" s="1158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13"/>
      <c r="DZ53" s="33"/>
      <c r="EA53" s="33"/>
      <c r="EB53" s="33"/>
      <c r="EC53" s="33"/>
      <c r="ED53" s="1200"/>
      <c r="EE53" s="1137"/>
      <c r="EF53" s="1137"/>
      <c r="EG53" s="1137"/>
      <c r="EH53" s="1137"/>
      <c r="EI53" s="1163"/>
      <c r="EJ53" s="1137"/>
      <c r="EK53" s="1137"/>
      <c r="EL53" s="1137"/>
      <c r="EM53" s="1137"/>
      <c r="EN53" s="1163"/>
      <c r="EO53" s="1137"/>
      <c r="EP53" s="1137"/>
      <c r="EQ53" s="1137"/>
      <c r="ER53" s="1137"/>
      <c r="ES53" s="1163"/>
      <c r="ET53" s="1137"/>
      <c r="EU53" s="1137"/>
      <c r="EV53" s="1137"/>
      <c r="EW53" s="1137"/>
      <c r="EX53" s="1163"/>
      <c r="EY53" s="1137"/>
      <c r="EZ53" s="1137"/>
      <c r="FA53" s="1137"/>
      <c r="FB53" s="1137"/>
      <c r="FC53" s="1163"/>
      <c r="FD53" s="1137"/>
      <c r="FE53" s="1137"/>
      <c r="FF53" s="1137"/>
      <c r="FG53" s="1137"/>
      <c r="FH53" s="1137"/>
      <c r="FI53" s="1137"/>
    </row>
    <row r="54" spans="1:166" x14ac:dyDescent="0.3">
      <c r="A54" s="4" t="s">
        <v>19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44">
        <f>+Inputs!DU47</f>
        <v>2101</v>
      </c>
      <c r="DV54" s="44">
        <f>+Inputs!DV47</f>
        <v>2067</v>
      </c>
      <c r="DW54" s="44">
        <f>+Inputs!DW47</f>
        <v>1997</v>
      </c>
      <c r="DX54" s="44">
        <f>+Inputs!DX47</f>
        <v>1942</v>
      </c>
      <c r="DY54" s="45">
        <f>+SUM(DU54:DX54)</f>
        <v>8107</v>
      </c>
      <c r="DZ54" s="363">
        <f>DZ49</f>
        <v>1789</v>
      </c>
      <c r="EA54" s="363">
        <f t="shared" ref="EA54:EC54" si="360">EA49</f>
        <v>1754</v>
      </c>
      <c r="EB54" s="363">
        <f t="shared" si="360"/>
        <v>1727</v>
      </c>
      <c r="EC54" s="363">
        <f t="shared" si="360"/>
        <v>1696</v>
      </c>
      <c r="ED54" s="45">
        <f>+SUM(DZ54:EC54)</f>
        <v>6966</v>
      </c>
      <c r="EE54" s="44">
        <f>+Inputs!EE47</f>
        <v>1676</v>
      </c>
      <c r="EF54" s="44">
        <f>+Inputs!EF47</f>
        <v>1616</v>
      </c>
      <c r="EG54" s="44">
        <f>+Inputs!EG47</f>
        <v>1576</v>
      </c>
      <c r="EH54" s="44">
        <f>+Inputs!EH47</f>
        <v>1543</v>
      </c>
      <c r="EI54" s="45">
        <f>+SUM(EE54:EH54)</f>
        <v>6411</v>
      </c>
      <c r="EJ54" s="44">
        <f>+Inputs!EJ47</f>
        <v>1447</v>
      </c>
      <c r="EK54" s="44">
        <f>+Inputs!EK47</f>
        <v>1459</v>
      </c>
      <c r="EL54" s="44">
        <f>+Inputs!EL47</f>
        <v>1444</v>
      </c>
      <c r="EM54" s="44">
        <f>+Inputs!EM47</f>
        <v>1437</v>
      </c>
      <c r="EN54" s="45">
        <f>+SUM(EJ54:EM54)</f>
        <v>5787</v>
      </c>
      <c r="EO54" s="44">
        <f>+Inputs!EO47</f>
        <v>1440</v>
      </c>
      <c r="EP54" s="44">
        <f>+Inputs!EP47</f>
        <v>1449</v>
      </c>
      <c r="EQ54" s="44">
        <f>+Inputs!EQ47</f>
        <v>1436</v>
      </c>
      <c r="ER54" s="44">
        <f>+Inputs!ER47</f>
        <v>1426</v>
      </c>
      <c r="ES54" s="45">
        <f>+SUM(EO54:ER54)</f>
        <v>5751</v>
      </c>
      <c r="ET54" s="44">
        <f>+Inputs!ET47</f>
        <v>1462</v>
      </c>
      <c r="EU54" s="44">
        <f>+Inputs!EU47</f>
        <v>1480</v>
      </c>
      <c r="EV54" s="44">
        <f>+Inputs!EV47</f>
        <v>1489</v>
      </c>
      <c r="EW54" s="44">
        <f>+Inputs!EW47</f>
        <v>1506</v>
      </c>
      <c r="EX54" s="45">
        <f>+SUM(ET54:EW54)</f>
        <v>5937</v>
      </c>
      <c r="EY54" s="59">
        <f t="shared" ref="EY54:FB54" si="361">EY12</f>
        <v>1470.6233506483941</v>
      </c>
      <c r="EZ54" s="59">
        <f t="shared" si="361"/>
        <v>1497.5346474103733</v>
      </c>
      <c r="FA54" s="59">
        <f t="shared" si="361"/>
        <v>1513.8309759204517</v>
      </c>
      <c r="FB54" s="59">
        <f t="shared" si="361"/>
        <v>1538.834405145712</v>
      </c>
      <c r="FC54" s="45">
        <f>+SUM(EY54:FB54)</f>
        <v>6020.8233791249313</v>
      </c>
      <c r="FD54" s="59">
        <f t="shared" ref="FD54:FI54" si="362">FD12</f>
        <v>6226.1974527353086</v>
      </c>
      <c r="FE54" s="59">
        <f t="shared" si="362"/>
        <v>6504.264954012373</v>
      </c>
      <c r="FF54" s="59">
        <f t="shared" si="362"/>
        <v>6801.1959800304503</v>
      </c>
      <c r="FG54" s="59">
        <f t="shared" si="362"/>
        <v>7077.139317382117</v>
      </c>
      <c r="FH54" s="59">
        <f t="shared" si="362"/>
        <v>7331.6741550276429</v>
      </c>
      <c r="FI54" s="59">
        <f t="shared" si="362"/>
        <v>7559.8689514336202</v>
      </c>
      <c r="FJ54" s="189">
        <f>+(FF54/ES54)^0.2-1</f>
        <v>3.4113920601426262E-2</v>
      </c>
    </row>
    <row r="55" spans="1:166" x14ac:dyDescent="0.3">
      <c r="A55" s="46" t="s">
        <v>29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4"/>
      <c r="DZ55" s="47"/>
      <c r="EA55" s="47"/>
      <c r="EB55" s="47"/>
      <c r="EC55" s="47"/>
      <c r="ED55" s="52"/>
      <c r="EE55" s="47">
        <f t="shared" ref="EE55:EF55" si="363">+IFERROR(EE54/DZ54-1,"")</f>
        <v>-6.3163778647288948E-2</v>
      </c>
      <c r="EF55" s="47">
        <f t="shared" si="363"/>
        <v>-7.8677309007981755E-2</v>
      </c>
      <c r="EG55" s="47">
        <f t="shared" ref="EG55:EW55" si="364">+IFERROR(EG54/EB54-1,"")</f>
        <v>-8.7434858135495119E-2</v>
      </c>
      <c r="EH55" s="47">
        <f t="shared" si="364"/>
        <v>-9.0212264150943411E-2</v>
      </c>
      <c r="EI55" s="52">
        <f t="shared" si="364"/>
        <v>-7.9672695951765737E-2</v>
      </c>
      <c r="EJ55" s="47">
        <f t="shared" si="364"/>
        <v>-0.13663484486873512</v>
      </c>
      <c r="EK55" s="47">
        <f t="shared" si="364"/>
        <v>-9.7153465346534684E-2</v>
      </c>
      <c r="EL55" s="47">
        <f t="shared" si="364"/>
        <v>-8.3756345177664948E-2</v>
      </c>
      <c r="EM55" s="47">
        <f t="shared" si="364"/>
        <v>-6.8697342838626052E-2</v>
      </c>
      <c r="EN55" s="52">
        <f t="shared" si="364"/>
        <v>-9.7332709405708928E-2</v>
      </c>
      <c r="EO55" s="47">
        <f t="shared" si="364"/>
        <v>-4.8375950241880128E-3</v>
      </c>
      <c r="EP55" s="47">
        <f t="shared" si="364"/>
        <v>-6.8540095956134417E-3</v>
      </c>
      <c r="EQ55" s="47">
        <f t="shared" si="364"/>
        <v>-5.5401662049860967E-3</v>
      </c>
      <c r="ER55" s="47">
        <f t="shared" si="364"/>
        <v>-7.6548364648573175E-3</v>
      </c>
      <c r="ES55" s="52">
        <f t="shared" ref="ES55" si="365">+IFERROR(ES54/EN54-1,"")</f>
        <v>-6.2208398133748455E-3</v>
      </c>
      <c r="ET55" s="47">
        <f t="shared" si="364"/>
        <v>1.5277777777777724E-2</v>
      </c>
      <c r="EU55" s="47">
        <f t="shared" si="364"/>
        <v>2.1394064872325647E-2</v>
      </c>
      <c r="EV55" s="47">
        <f t="shared" si="364"/>
        <v>3.6908077994429078E-2</v>
      </c>
      <c r="EW55" s="47">
        <f t="shared" si="364"/>
        <v>5.6100981767180924E-2</v>
      </c>
      <c r="EX55" s="52">
        <f t="shared" ref="EX55" si="366">+IFERROR(EX54/ES54-1,"")</f>
        <v>3.234220135628596E-2</v>
      </c>
      <c r="EY55" s="47">
        <f t="shared" ref="EY55" si="367">+IFERROR(EY54/ET54-1,"")</f>
        <v>5.898324656904208E-3</v>
      </c>
      <c r="EZ55" s="47">
        <f t="shared" ref="EZ55" si="368">+IFERROR(EZ54/EU54-1,"")</f>
        <v>1.1847734736738724E-2</v>
      </c>
      <c r="FA55" s="47">
        <f t="shared" ref="FA55" si="369">+IFERROR(FA54/EV54-1,"")</f>
        <v>1.6676276642344945E-2</v>
      </c>
      <c r="FB55" s="47">
        <f t="shared" ref="FB55:FC55" si="370">+IFERROR(FB54/EW54-1,"")</f>
        <v>2.1802393855054447E-2</v>
      </c>
      <c r="FC55" s="52">
        <f t="shared" si="370"/>
        <v>1.4118810699836892E-2</v>
      </c>
      <c r="FD55" s="47">
        <f t="shared" ref="FD55:FI55" si="371">+IFERROR(FD54/FC54-1,"")</f>
        <v>3.4110629174481266E-2</v>
      </c>
      <c r="FE55" s="47">
        <f t="shared" si="371"/>
        <v>4.4660887064367438E-2</v>
      </c>
      <c r="FF55" s="47">
        <f t="shared" si="371"/>
        <v>4.5651742067319256E-2</v>
      </c>
      <c r="FG55" s="47">
        <f t="shared" si="371"/>
        <v>4.0572766637204216E-2</v>
      </c>
      <c r="FH55" s="47">
        <f t="shared" si="371"/>
        <v>3.5965780272314785E-2</v>
      </c>
      <c r="FI55" s="47">
        <f t="shared" si="371"/>
        <v>3.1124514207917287E-2</v>
      </c>
    </row>
    <row r="56" spans="1:166" x14ac:dyDescent="0.3">
      <c r="A56" s="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4"/>
      <c r="DZ56" s="1"/>
      <c r="EA56" s="1"/>
      <c r="EB56" s="1"/>
      <c r="EC56" s="1"/>
      <c r="ED56" s="4"/>
      <c r="EE56" s="1"/>
      <c r="EF56" s="1"/>
      <c r="EG56" s="1"/>
      <c r="EH56" s="1"/>
      <c r="EI56" s="4"/>
      <c r="EJ56" s="1"/>
      <c r="EK56" s="1"/>
      <c r="EL56" s="1"/>
      <c r="EM56" s="1"/>
      <c r="EN56" s="4"/>
      <c r="EO56" s="1"/>
      <c r="EP56" s="1"/>
      <c r="EQ56" s="1"/>
      <c r="ER56" s="1"/>
      <c r="ES56" s="4"/>
      <c r="ET56" s="1"/>
      <c r="EU56" s="1"/>
      <c r="EV56" s="1"/>
      <c r="EW56" s="1"/>
      <c r="EX56" s="4"/>
      <c r="EY56" s="1"/>
      <c r="EZ56" s="1"/>
      <c r="FA56" s="1"/>
      <c r="FB56" s="1"/>
      <c r="FC56" s="4"/>
      <c r="FD56" s="1"/>
      <c r="FE56" s="1"/>
      <c r="FF56" s="1"/>
      <c r="FG56" s="1"/>
      <c r="FH56" s="1"/>
      <c r="FI56" s="1"/>
    </row>
    <row r="57" spans="1:166" x14ac:dyDescent="0.3">
      <c r="A57" s="30" t="s">
        <v>311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44"/>
      <c r="DV57" s="44"/>
      <c r="DW57" s="44"/>
      <c r="DX57" s="44"/>
      <c r="DY57" s="45"/>
      <c r="DZ57" s="44">
        <f>Inputs!DZ181</f>
        <v>170</v>
      </c>
      <c r="EA57" s="44">
        <f>Inputs!EA181</f>
        <v>155</v>
      </c>
      <c r="EB57" s="44">
        <f>Inputs!EB181</f>
        <v>136</v>
      </c>
      <c r="EC57" s="44">
        <f>Inputs!EC181</f>
        <v>116</v>
      </c>
      <c r="ED57" s="45">
        <f>+SUM(DZ57:EC57)</f>
        <v>577</v>
      </c>
      <c r="EE57" s="44">
        <f>Inputs!EE181</f>
        <v>111</v>
      </c>
      <c r="EF57" s="44">
        <f>Inputs!EF181</f>
        <v>108</v>
      </c>
      <c r="EG57" s="44">
        <f>Inputs!EG181</f>
        <v>95</v>
      </c>
      <c r="EH57" s="44">
        <f>Inputs!EH181</f>
        <v>93</v>
      </c>
      <c r="EI57" s="45">
        <f>SUM(EE57:EH57)</f>
        <v>407</v>
      </c>
      <c r="EJ57" s="44">
        <f>Inputs!EJ181</f>
        <v>92</v>
      </c>
      <c r="EK57" s="44">
        <f>Inputs!EK181</f>
        <v>87</v>
      </c>
      <c r="EL57" s="44">
        <f>Inputs!EL181</f>
        <v>81</v>
      </c>
      <c r="EM57" s="44">
        <f>Inputs!EM181</f>
        <v>76</v>
      </c>
      <c r="EN57" s="45">
        <f>SUM(EJ57:EM57)</f>
        <v>336</v>
      </c>
      <c r="EO57" s="44">
        <f>Inputs!EO181</f>
        <v>76</v>
      </c>
      <c r="EP57" s="44">
        <f>Inputs!EP181</f>
        <v>71</v>
      </c>
      <c r="EQ57" s="44">
        <f>Inputs!EQ181</f>
        <v>65</v>
      </c>
      <c r="ER57" s="44">
        <f>Inputs!ER181</f>
        <v>61</v>
      </c>
      <c r="ES57" s="45">
        <f>SUM(EO57:ER57)</f>
        <v>273</v>
      </c>
      <c r="ET57" s="44">
        <f>Inputs!ET181</f>
        <v>61</v>
      </c>
      <c r="EU57" s="44">
        <f>Inputs!EU181</f>
        <v>57</v>
      </c>
      <c r="EV57" s="44">
        <f>Inputs!EV181</f>
        <v>53</v>
      </c>
      <c r="EW57" s="44">
        <f>Inputs!EW181</f>
        <v>47</v>
      </c>
      <c r="EX57" s="45">
        <f>SUM(ET57:EW57)</f>
        <v>218</v>
      </c>
      <c r="EY57" s="59">
        <f t="shared" ref="EY57:FB57" si="372">EY67</f>
        <v>49.687399261702026</v>
      </c>
      <c r="EZ57" s="59">
        <f t="shared" si="372"/>
        <v>46.686441301633643</v>
      </c>
      <c r="FA57" s="59">
        <f t="shared" si="372"/>
        <v>43.254997888725207</v>
      </c>
      <c r="FB57" s="59">
        <f t="shared" si="372"/>
        <v>38.400289902459981</v>
      </c>
      <c r="FC57" s="45">
        <f>SUM(EY57:FB57)</f>
        <v>178.02912835452085</v>
      </c>
      <c r="FD57" s="59">
        <f t="shared" ref="FD57:FI57" si="373">FD67</f>
        <v>142.61633023532823</v>
      </c>
      <c r="FE57" s="59">
        <f t="shared" si="373"/>
        <v>112.59424568469657</v>
      </c>
      <c r="FF57" s="59">
        <f t="shared" si="373"/>
        <v>89.338150118245863</v>
      </c>
      <c r="FG57" s="59">
        <f t="shared" si="373"/>
        <v>71.07400611300136</v>
      </c>
      <c r="FH57" s="59">
        <f t="shared" si="373"/>
        <v>56.613182578264407</v>
      </c>
      <c r="FI57" s="59">
        <f t="shared" si="373"/>
        <v>45.111788397872537</v>
      </c>
      <c r="FJ57" s="189">
        <f>+(FF57/ES57)^0.2-1</f>
        <v>-0.20021204053279673</v>
      </c>
    </row>
    <row r="58" spans="1:166" x14ac:dyDescent="0.3">
      <c r="A58" s="30" t="s">
        <v>312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44">
        <f>+Inputs!DU537+Inputs!DU536</f>
        <v>794</v>
      </c>
      <c r="DV58" s="44">
        <f>+Inputs!DV537+Inputs!DV536</f>
        <v>763</v>
      </c>
      <c r="DW58" s="44">
        <f>+Inputs!DW537+Inputs!DW536</f>
        <v>771</v>
      </c>
      <c r="DX58" s="44">
        <f>+Inputs!DX537+Inputs!DX536</f>
        <v>729</v>
      </c>
      <c r="DY58" s="45">
        <f>+SUM(DU58:DX58)</f>
        <v>3057</v>
      </c>
      <c r="DZ58" s="44">
        <f>Inputs!DZ182</f>
        <v>583</v>
      </c>
      <c r="EA58" s="44">
        <f>Inputs!EA182</f>
        <v>580</v>
      </c>
      <c r="EB58" s="44">
        <f>Inputs!EB182</f>
        <v>582</v>
      </c>
      <c r="EC58" s="44">
        <f>Inputs!EC182</f>
        <v>570</v>
      </c>
      <c r="ED58" s="45">
        <f>+SUM(DZ58:EC58)</f>
        <v>2315</v>
      </c>
      <c r="EE58" s="44">
        <f>Inputs!EE182</f>
        <v>567</v>
      </c>
      <c r="EF58" s="44">
        <f>Inputs!EF182</f>
        <v>537</v>
      </c>
      <c r="EG58" s="44">
        <f>Inputs!EG182</f>
        <v>540</v>
      </c>
      <c r="EH58" s="44">
        <f>Inputs!EH182</f>
        <v>505</v>
      </c>
      <c r="EI58" s="45">
        <f>+SUM(EE58:EH58)</f>
        <v>2149</v>
      </c>
      <c r="EJ58" s="44">
        <f>Inputs!EJ182</f>
        <v>460</v>
      </c>
      <c r="EK58" s="44">
        <f>Inputs!EK182</f>
        <v>451</v>
      </c>
      <c r="EL58" s="44">
        <f>Inputs!EL182</f>
        <v>459</v>
      </c>
      <c r="EM58" s="44">
        <f>Inputs!EM182</f>
        <v>442</v>
      </c>
      <c r="EN58" s="45">
        <f>+SUM(EJ58:EM58)</f>
        <v>1812</v>
      </c>
      <c r="EO58" s="44">
        <f>Inputs!EO182</f>
        <v>467</v>
      </c>
      <c r="EP58" s="44">
        <f>Inputs!EP182</f>
        <v>460</v>
      </c>
      <c r="EQ58" s="44">
        <f>Inputs!EQ182</f>
        <v>482</v>
      </c>
      <c r="ER58" s="44">
        <f>Inputs!ER182</f>
        <v>453</v>
      </c>
      <c r="ES58" s="45">
        <f>+SUM(EO58:ER58)</f>
        <v>1862</v>
      </c>
      <c r="ET58" s="44">
        <f>Inputs!ET182</f>
        <v>453</v>
      </c>
      <c r="EU58" s="44">
        <f>Inputs!EU182</f>
        <v>453</v>
      </c>
      <c r="EV58" s="44">
        <f>Inputs!EV182</f>
        <v>477</v>
      </c>
      <c r="EW58" s="44">
        <f>Inputs!EW182</f>
        <v>461</v>
      </c>
      <c r="EX58" s="45">
        <f>+SUM(ET58:EW58)</f>
        <v>1844</v>
      </c>
      <c r="EY58" s="59">
        <f t="shared" ref="EY58:FB59" si="374">+EY68</f>
        <v>451.88812767857144</v>
      </c>
      <c r="EZ58" s="59">
        <f t="shared" si="374"/>
        <v>452.78652375000001</v>
      </c>
      <c r="FA58" s="59">
        <f t="shared" si="374"/>
        <v>477.60161625000001</v>
      </c>
      <c r="FB58" s="59">
        <f t="shared" si="374"/>
        <v>460.77887665048536</v>
      </c>
      <c r="FC58" s="45">
        <f>+SUM(EY58:FB58)</f>
        <v>1843.0551443290569</v>
      </c>
      <c r="FD58" s="59">
        <f t="shared" ref="FD58:FI58" si="375">+FD68</f>
        <v>1836.7371602313126</v>
      </c>
      <c r="FE58" s="59">
        <f t="shared" si="375"/>
        <v>1831.0983771494023</v>
      </c>
      <c r="FF58" s="59">
        <f t="shared" si="375"/>
        <v>1825.4769051315534</v>
      </c>
      <c r="FG58" s="59">
        <f t="shared" si="375"/>
        <v>1819.8726910327989</v>
      </c>
      <c r="FH58" s="59">
        <f t="shared" si="375"/>
        <v>1814.2856818713281</v>
      </c>
      <c r="FI58" s="59">
        <f t="shared" si="375"/>
        <v>1808.7158248279827</v>
      </c>
      <c r="FJ58" s="189">
        <f>+(FF58/ES58)^0.2-1</f>
        <v>-3.9541433215189992E-3</v>
      </c>
    </row>
    <row r="59" spans="1:166" x14ac:dyDescent="0.3">
      <c r="A59" s="30" t="s">
        <v>42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44">
        <f>+Inputs!DU538</f>
        <v>434</v>
      </c>
      <c r="DV59" s="44">
        <f>+Inputs!DV538</f>
        <v>422</v>
      </c>
      <c r="DW59" s="44">
        <f>+Inputs!DW538</f>
        <v>422</v>
      </c>
      <c r="DX59" s="44">
        <f>+Inputs!DX538</f>
        <v>439</v>
      </c>
      <c r="DY59" s="45">
        <f>+SUM(DU59:DX59)</f>
        <v>1717</v>
      </c>
      <c r="DZ59" s="44">
        <f>Inputs!DZ183</f>
        <v>349</v>
      </c>
      <c r="EA59" s="44">
        <f>Inputs!EA183</f>
        <v>316</v>
      </c>
      <c r="EB59" s="44">
        <f>Inputs!EB183</f>
        <v>318</v>
      </c>
      <c r="EC59" s="44">
        <f>Inputs!EC183</f>
        <v>316</v>
      </c>
      <c r="ED59" s="45">
        <f>+SUM(DZ59:EC59)</f>
        <v>1299</v>
      </c>
      <c r="EE59" s="44">
        <f>Inputs!EE183</f>
        <v>328</v>
      </c>
      <c r="EF59" s="44">
        <f>Inputs!EF183</f>
        <v>338</v>
      </c>
      <c r="EG59" s="44">
        <f>Inputs!EG183</f>
        <v>354</v>
      </c>
      <c r="EH59" s="44">
        <f>Inputs!EH183</f>
        <v>360</v>
      </c>
      <c r="EI59" s="45">
        <f>+SUM(EE59:EH59)</f>
        <v>1380</v>
      </c>
      <c r="EJ59" s="44">
        <f>Inputs!EJ183</f>
        <v>386</v>
      </c>
      <c r="EK59" s="44">
        <f>Inputs!EK183</f>
        <v>386</v>
      </c>
      <c r="EL59" s="44">
        <f>Inputs!EL183</f>
        <v>396</v>
      </c>
      <c r="EM59" s="44">
        <f>Inputs!EM183</f>
        <v>391</v>
      </c>
      <c r="EN59" s="45">
        <f>+SUM(EJ59:EM59)</f>
        <v>1559</v>
      </c>
      <c r="EO59" s="44">
        <f>Inputs!EO183</f>
        <v>378</v>
      </c>
      <c r="EP59" s="44">
        <f>Inputs!EP183</f>
        <v>385</v>
      </c>
      <c r="EQ59" s="44">
        <f>Inputs!EQ183</f>
        <v>363</v>
      </c>
      <c r="ER59" s="44">
        <f>Inputs!ER183</f>
        <v>363</v>
      </c>
      <c r="ES59" s="45">
        <f>+SUM(EO59:ER59)</f>
        <v>1489</v>
      </c>
      <c r="ET59" s="44">
        <f>Inputs!ET183</f>
        <v>401</v>
      </c>
      <c r="EU59" s="44">
        <f>Inputs!EU183</f>
        <v>410</v>
      </c>
      <c r="EV59" s="44">
        <f>Inputs!EV183</f>
        <v>410</v>
      </c>
      <c r="EW59" s="44">
        <f>Inputs!EW183</f>
        <v>403</v>
      </c>
      <c r="EX59" s="45">
        <f>+SUM(ET59:EW59)</f>
        <v>1624</v>
      </c>
      <c r="EY59" s="59">
        <f t="shared" si="374"/>
        <v>412.04109292513681</v>
      </c>
      <c r="EZ59" s="59">
        <f t="shared" si="374"/>
        <v>404.39248296266101</v>
      </c>
      <c r="FA59" s="59">
        <f t="shared" si="374"/>
        <v>392.2179708564546</v>
      </c>
      <c r="FB59" s="59">
        <f t="shared" si="374"/>
        <v>374.63296278540656</v>
      </c>
      <c r="FC59" s="45">
        <f>+SUM(EY59:FB59)</f>
        <v>1583.2845095296589</v>
      </c>
      <c r="FD59" s="59">
        <f t="shared" ref="FD59:FI59" si="376">+FD69</f>
        <v>1569.8309232924096</v>
      </c>
      <c r="FE59" s="59">
        <f t="shared" si="376"/>
        <v>1566.6960066917784</v>
      </c>
      <c r="FF59" s="59">
        <f t="shared" si="376"/>
        <v>1614.3770961334185</v>
      </c>
      <c r="FG59" s="59">
        <f t="shared" si="376"/>
        <v>1652.5131731418599</v>
      </c>
      <c r="FH59" s="59">
        <f t="shared" si="376"/>
        <v>1682.2720997018541</v>
      </c>
      <c r="FI59" s="59">
        <f t="shared" si="376"/>
        <v>1704.0766494812508</v>
      </c>
      <c r="FJ59" s="189">
        <f>+(FF59/ES59)^0.2-1</f>
        <v>1.6300309722603989E-2</v>
      </c>
    </row>
    <row r="60" spans="1:166" x14ac:dyDescent="0.3">
      <c r="A60" s="48" t="s">
        <v>43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858">
        <f>+SUM(DU58:DU59)</f>
        <v>1228</v>
      </c>
      <c r="DV60" s="858">
        <f>+SUM(DV58:DV59)</f>
        <v>1185</v>
      </c>
      <c r="DW60" s="858">
        <f>+SUM(DW58:DW59)</f>
        <v>1193</v>
      </c>
      <c r="DX60" s="858">
        <f>+SUM(DX58:DX59)</f>
        <v>1168</v>
      </c>
      <c r="DY60" s="858">
        <f>+SUM(DU60:DX60)</f>
        <v>4774</v>
      </c>
      <c r="DZ60" s="858">
        <f>SUM(DZ57:DZ59)</f>
        <v>1102</v>
      </c>
      <c r="EA60" s="858">
        <f>SUM(EA57:EA59)</f>
        <v>1051</v>
      </c>
      <c r="EB60" s="858">
        <f>SUM(EB57:EB59)</f>
        <v>1036</v>
      </c>
      <c r="EC60" s="858">
        <f>SUM(EC57:EC59)</f>
        <v>1002</v>
      </c>
      <c r="ED60" s="858">
        <f>+SUM(DZ60:EC60)</f>
        <v>4191</v>
      </c>
      <c r="EE60" s="858">
        <f>SUM(EE57:EE59)</f>
        <v>1006</v>
      </c>
      <c r="EF60" s="858">
        <f>SUM(EF57:EF59)</f>
        <v>983</v>
      </c>
      <c r="EG60" s="858">
        <f>SUM(EG57:EG59)</f>
        <v>989</v>
      </c>
      <c r="EH60" s="858">
        <f>SUM(EH57:EH59)</f>
        <v>958</v>
      </c>
      <c r="EI60" s="858">
        <f>+SUM(EE60:EH60)</f>
        <v>3936</v>
      </c>
      <c r="EJ60" s="858">
        <f>SUM(EJ57:EJ59)</f>
        <v>938</v>
      </c>
      <c r="EK60" s="858">
        <f>SUM(EK57:EK59)</f>
        <v>924</v>
      </c>
      <c r="EL60" s="858">
        <f>SUM(EL57:EL59)</f>
        <v>936</v>
      </c>
      <c r="EM60" s="858">
        <f>SUM(EM57:EM59)</f>
        <v>909</v>
      </c>
      <c r="EN60" s="858">
        <f>+SUM(EJ60:EM60)</f>
        <v>3707</v>
      </c>
      <c r="EO60" s="858">
        <f>SUM(EO57:EO59)</f>
        <v>921</v>
      </c>
      <c r="EP60" s="858">
        <f>SUM(EP57:EP59)</f>
        <v>916</v>
      </c>
      <c r="EQ60" s="858">
        <f>SUM(EQ57:EQ59)</f>
        <v>910</v>
      </c>
      <c r="ER60" s="858">
        <f>SUM(ER57:ER59)</f>
        <v>877</v>
      </c>
      <c r="ES60" s="858">
        <f>+SUM(EO60:ER60)</f>
        <v>3624</v>
      </c>
      <c r="ET60" s="858">
        <f>SUM(ET57:ET59)</f>
        <v>915</v>
      </c>
      <c r="EU60" s="858">
        <f>SUM(EU57:EU59)</f>
        <v>920</v>
      </c>
      <c r="EV60" s="858">
        <f>SUM(EV57:EV59)</f>
        <v>940</v>
      </c>
      <c r="EW60" s="858">
        <f>SUM(EW57:EW59)</f>
        <v>911</v>
      </c>
      <c r="EX60" s="858">
        <f>+SUM(ET60:EW60)</f>
        <v>3686</v>
      </c>
      <c r="EY60" s="858">
        <f t="shared" ref="EY60:FB60" si="377">SUM(EY57:EY59)</f>
        <v>913.61661986541026</v>
      </c>
      <c r="EZ60" s="858">
        <f t="shared" si="377"/>
        <v>903.86544801429466</v>
      </c>
      <c r="FA60" s="858">
        <f t="shared" si="377"/>
        <v>913.07458499517986</v>
      </c>
      <c r="FB60" s="858">
        <f t="shared" si="377"/>
        <v>873.81212933835195</v>
      </c>
      <c r="FC60" s="858">
        <f>+SUM(EY60:FB60)</f>
        <v>3604.368782213237</v>
      </c>
      <c r="FD60" s="858">
        <f t="shared" ref="FD60:FI60" si="378">SUM(FD57:FD59)</f>
        <v>3549.1844137590506</v>
      </c>
      <c r="FE60" s="858">
        <f t="shared" si="378"/>
        <v>3510.3886295258771</v>
      </c>
      <c r="FF60" s="858">
        <f t="shared" si="378"/>
        <v>3529.1921513832176</v>
      </c>
      <c r="FG60" s="858">
        <f t="shared" si="378"/>
        <v>3543.4598702876601</v>
      </c>
      <c r="FH60" s="858">
        <f t="shared" si="378"/>
        <v>3553.1709641514467</v>
      </c>
      <c r="FI60" s="858">
        <f t="shared" si="378"/>
        <v>3557.9042627071058</v>
      </c>
      <c r="FJ60" s="189">
        <f>+(FF60/ES60)^0.2-1</f>
        <v>-5.2878489902283832E-3</v>
      </c>
    </row>
    <row r="61" spans="1:166" x14ac:dyDescent="0.3">
      <c r="A61" s="49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4"/>
      <c r="DZ61" s="1"/>
      <c r="EA61" s="1"/>
      <c r="EB61" s="1"/>
      <c r="EC61" s="1"/>
      <c r="ED61" s="4"/>
      <c r="EE61" s="1"/>
      <c r="EF61" s="1"/>
      <c r="EG61" s="1"/>
      <c r="EH61" s="1"/>
      <c r="EI61" s="4"/>
      <c r="EJ61" s="1"/>
      <c r="EK61" s="1"/>
      <c r="EL61" s="1"/>
      <c r="EM61" s="1"/>
      <c r="EN61" s="4"/>
      <c r="EO61" s="1"/>
      <c r="EP61" s="1"/>
      <c r="EQ61" s="1"/>
      <c r="ER61" s="1"/>
      <c r="ES61" s="4"/>
      <c r="ET61" s="1"/>
      <c r="EU61" s="1"/>
      <c r="EV61" s="1"/>
      <c r="EW61" s="1"/>
      <c r="EX61" s="4"/>
      <c r="EY61" s="1"/>
      <c r="EZ61" s="1"/>
      <c r="FA61" s="1"/>
      <c r="FB61" s="1"/>
      <c r="FC61" s="4"/>
      <c r="FD61" s="1"/>
      <c r="FE61" s="1"/>
      <c r="FF61" s="1"/>
      <c r="FG61" s="1"/>
      <c r="FH61" s="1"/>
      <c r="FI61" s="1"/>
    </row>
    <row r="62" spans="1:166" x14ac:dyDescent="0.3">
      <c r="A62" s="48" t="s">
        <v>44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50">
        <f>+DU54-DU60</f>
        <v>873</v>
      </c>
      <c r="DV62" s="50">
        <f>+DV54-DV60</f>
        <v>882</v>
      </c>
      <c r="DW62" s="50">
        <f>+DW54-DW60</f>
        <v>804</v>
      </c>
      <c r="DX62" s="50">
        <f>+DX54-DX60</f>
        <v>774</v>
      </c>
      <c r="DY62" s="50">
        <f>+SUM(DU62:DX62)</f>
        <v>3333</v>
      </c>
      <c r="DZ62" s="50">
        <f>+DZ54-DZ60</f>
        <v>687</v>
      </c>
      <c r="EA62" s="50">
        <f>+EA54-EA60</f>
        <v>703</v>
      </c>
      <c r="EB62" s="50">
        <f>+EB54-EB60</f>
        <v>691</v>
      </c>
      <c r="EC62" s="50">
        <f>+EC54-EC60</f>
        <v>694</v>
      </c>
      <c r="ED62" s="50">
        <f>+SUM(DZ62:EC62)</f>
        <v>2775</v>
      </c>
      <c r="EE62" s="50">
        <f>+EE54-EE60</f>
        <v>670</v>
      </c>
      <c r="EF62" s="50">
        <f>+EF54-EF60</f>
        <v>633</v>
      </c>
      <c r="EG62" s="50">
        <f>+EG54-EG60</f>
        <v>587</v>
      </c>
      <c r="EH62" s="50">
        <f>+EH54-EH60</f>
        <v>585</v>
      </c>
      <c r="EI62" s="50">
        <f>+SUM(EE62:EH62)</f>
        <v>2475</v>
      </c>
      <c r="EJ62" s="50">
        <f>+EJ54-EJ60</f>
        <v>509</v>
      </c>
      <c r="EK62" s="50">
        <f>+EK54-EK60</f>
        <v>535</v>
      </c>
      <c r="EL62" s="50">
        <f>+EL54-EL60</f>
        <v>508</v>
      </c>
      <c r="EM62" s="50">
        <f>+EM54-EM60</f>
        <v>528</v>
      </c>
      <c r="EN62" s="50">
        <f>+SUM(EJ62:EM62)</f>
        <v>2080</v>
      </c>
      <c r="EO62" s="50">
        <f>+EO54-EO60</f>
        <v>519</v>
      </c>
      <c r="EP62" s="50">
        <f>+EP54-EP60</f>
        <v>533</v>
      </c>
      <c r="EQ62" s="50">
        <f>+EQ54-EQ60</f>
        <v>526</v>
      </c>
      <c r="ER62" s="50">
        <f>+ER54-ER60</f>
        <v>549</v>
      </c>
      <c r="ES62" s="50">
        <f>+SUM(EO62:ER62)</f>
        <v>2127</v>
      </c>
      <c r="ET62" s="50">
        <f>+ET54-ET60</f>
        <v>547</v>
      </c>
      <c r="EU62" s="50">
        <f>+EU54-EU60</f>
        <v>560</v>
      </c>
      <c r="EV62" s="50">
        <f>+EV54-EV60</f>
        <v>549</v>
      </c>
      <c r="EW62" s="50">
        <f>+EW54-EW60</f>
        <v>595</v>
      </c>
      <c r="EX62" s="50">
        <f>+SUM(ET62:EW62)</f>
        <v>2251</v>
      </c>
      <c r="EY62" s="50">
        <f t="shared" ref="EY62:FB62" si="379">+EY54-EY60</f>
        <v>557.00673078298382</v>
      </c>
      <c r="EZ62" s="50">
        <f t="shared" si="379"/>
        <v>593.66919939607862</v>
      </c>
      <c r="FA62" s="50">
        <f t="shared" si="379"/>
        <v>600.75639092527183</v>
      </c>
      <c r="FB62" s="50">
        <f t="shared" si="379"/>
        <v>665.02227580736007</v>
      </c>
      <c r="FC62" s="50">
        <f>+SUM(EY62:FB62)</f>
        <v>2416.4545969116944</v>
      </c>
      <c r="FD62" s="50">
        <f t="shared" ref="FD62:FI62" si="380">+FD54-FD60</f>
        <v>2677.013038976258</v>
      </c>
      <c r="FE62" s="50">
        <f t="shared" si="380"/>
        <v>2993.8763244864958</v>
      </c>
      <c r="FF62" s="50">
        <f t="shared" si="380"/>
        <v>3272.0038286472327</v>
      </c>
      <c r="FG62" s="50">
        <f t="shared" si="380"/>
        <v>3533.6794470944569</v>
      </c>
      <c r="FH62" s="50">
        <f t="shared" si="380"/>
        <v>3778.5031908761962</v>
      </c>
      <c r="FI62" s="50">
        <f t="shared" si="380"/>
        <v>4001.9646887265144</v>
      </c>
      <c r="FJ62" s="189">
        <f>+(FF62/ES62)^0.2-1</f>
        <v>8.9956743432458852E-2</v>
      </c>
    </row>
    <row r="63" spans="1:166" x14ac:dyDescent="0.3">
      <c r="A63" s="46" t="s">
        <v>45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47">
        <f t="shared" ref="DU63:FI63" si="381">+DU62/DU54</f>
        <v>0.41551642075202283</v>
      </c>
      <c r="DV63" s="47">
        <f t="shared" si="381"/>
        <v>0.42670537010159654</v>
      </c>
      <c r="DW63" s="47">
        <f t="shared" si="381"/>
        <v>0.40260390585878819</v>
      </c>
      <c r="DX63" s="47">
        <f t="shared" si="381"/>
        <v>0.39855818743563337</v>
      </c>
      <c r="DY63" s="52">
        <f t="shared" si="381"/>
        <v>0.41112618724559025</v>
      </c>
      <c r="DZ63" s="47">
        <f t="shared" si="381"/>
        <v>0.3840134153158189</v>
      </c>
      <c r="EA63" s="47">
        <f t="shared" si="381"/>
        <v>0.40079817559863168</v>
      </c>
      <c r="EB63" s="47">
        <f t="shared" si="381"/>
        <v>0.40011580775911987</v>
      </c>
      <c r="EC63" s="47">
        <f t="shared" si="381"/>
        <v>0.40919811320754718</v>
      </c>
      <c r="ED63" s="52">
        <f t="shared" si="381"/>
        <v>0.39836347975882858</v>
      </c>
      <c r="EE63" s="47">
        <f t="shared" si="381"/>
        <v>0.3997613365155131</v>
      </c>
      <c r="EF63" s="47">
        <f t="shared" si="381"/>
        <v>0.39170792079207922</v>
      </c>
      <c r="EG63" s="47">
        <f t="shared" si="381"/>
        <v>0.37246192893401014</v>
      </c>
      <c r="EH63" s="47">
        <f t="shared" si="381"/>
        <v>0.37913156189241737</v>
      </c>
      <c r="EI63" s="52">
        <f t="shared" si="381"/>
        <v>0.38605521759475903</v>
      </c>
      <c r="EJ63" s="47">
        <f t="shared" ref="EJ63:EK63" si="382">+EJ62/EJ54</f>
        <v>0.35176226675881134</v>
      </c>
      <c r="EK63" s="47">
        <f t="shared" si="382"/>
        <v>0.36668951336531869</v>
      </c>
      <c r="EL63" s="47">
        <f t="shared" ref="EL63:EM63" si="383">+EL62/EL54</f>
        <v>0.35180055401662053</v>
      </c>
      <c r="EM63" s="47">
        <f t="shared" si="383"/>
        <v>0.36743215031315241</v>
      </c>
      <c r="EN63" s="52">
        <f t="shared" si="381"/>
        <v>0.35942630032832212</v>
      </c>
      <c r="EO63" s="47">
        <f t="shared" si="381"/>
        <v>0.36041666666666666</v>
      </c>
      <c r="EP63" s="47">
        <f t="shared" ref="EP63:EQ63" si="384">+EP62/EP54</f>
        <v>0.36783988957902003</v>
      </c>
      <c r="EQ63" s="47">
        <f t="shared" si="384"/>
        <v>0.36629526462395545</v>
      </c>
      <c r="ER63" s="47">
        <f t="shared" ref="ER63" si="385">+ER62/ER54</f>
        <v>0.38499298737727911</v>
      </c>
      <c r="ES63" s="52">
        <f t="shared" ref="ES63:ET63" si="386">+ES62/ES54</f>
        <v>0.36984872196139801</v>
      </c>
      <c r="ET63" s="47">
        <f t="shared" si="386"/>
        <v>0.37414500683994528</v>
      </c>
      <c r="EU63" s="47">
        <f t="shared" ref="EU63:EV63" si="387">+EU62/EU54</f>
        <v>0.3783783783783784</v>
      </c>
      <c r="EV63" s="47">
        <f t="shared" si="387"/>
        <v>0.36870382807253188</v>
      </c>
      <c r="EW63" s="47">
        <f t="shared" ref="EW63" si="388">+EW62/EW54</f>
        <v>0.39508632138114208</v>
      </c>
      <c r="EX63" s="52">
        <f t="shared" ref="EX63" si="389">+EX62/EX54</f>
        <v>0.37914771770254335</v>
      </c>
      <c r="EY63" s="47">
        <f t="shared" ref="EY63:FC63" si="390">+EY62/EY54</f>
        <v>0.37875553284081948</v>
      </c>
      <c r="EZ63" s="47">
        <f t="shared" si="390"/>
        <v>0.39643102777133538</v>
      </c>
      <c r="FA63" s="47">
        <f t="shared" si="390"/>
        <v>0.39684509068787888</v>
      </c>
      <c r="FB63" s="47">
        <f t="shared" si="390"/>
        <v>0.4321597395948456</v>
      </c>
      <c r="FC63" s="52">
        <f t="shared" si="390"/>
        <v>0.40134952393552903</v>
      </c>
      <c r="FD63" s="47">
        <f t="shared" si="381"/>
        <v>0.42995954742813142</v>
      </c>
      <c r="FE63" s="47">
        <f t="shared" si="381"/>
        <v>0.46029433697033256</v>
      </c>
      <c r="FF63" s="47">
        <f t="shared" si="381"/>
        <v>0.48109241937071534</v>
      </c>
      <c r="FG63" s="47">
        <f t="shared" si="381"/>
        <v>0.49930901295321534</v>
      </c>
      <c r="FH63" s="47">
        <f t="shared" si="381"/>
        <v>0.51536703772972714</v>
      </c>
      <c r="FI63" s="47">
        <f t="shared" si="381"/>
        <v>0.5293695849010186</v>
      </c>
    </row>
    <row r="64" spans="1:166" x14ac:dyDescent="0.3">
      <c r="A64" s="46" t="s">
        <v>29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4"/>
      <c r="DZ64" s="47"/>
      <c r="EA64" s="47"/>
      <c r="EB64" s="47"/>
      <c r="EC64" s="47"/>
      <c r="ED64" s="52"/>
      <c r="EE64" s="47">
        <f t="shared" ref="EE64:EW64" si="391">+IFERROR(EE62/DZ62-1,"")</f>
        <v>-2.4745269286754024E-2</v>
      </c>
      <c r="EF64" s="47">
        <f t="shared" si="391"/>
        <v>-9.9573257467994281E-2</v>
      </c>
      <c r="EG64" s="47">
        <f t="shared" si="391"/>
        <v>-0.15050651230101297</v>
      </c>
      <c r="EH64" s="47">
        <f t="shared" si="391"/>
        <v>-0.15706051873198845</v>
      </c>
      <c r="EI64" s="52">
        <f t="shared" si="391"/>
        <v>-0.10810810810810811</v>
      </c>
      <c r="EJ64" s="47">
        <f t="shared" si="391"/>
        <v>-0.24029850746268655</v>
      </c>
      <c r="EK64" s="47">
        <f t="shared" si="391"/>
        <v>-0.15481832543443919</v>
      </c>
      <c r="EL64" s="47">
        <f t="shared" si="391"/>
        <v>-0.13458262350936967</v>
      </c>
      <c r="EM64" s="47">
        <f t="shared" si="391"/>
        <v>-9.7435897435897423E-2</v>
      </c>
      <c r="EN64" s="52">
        <f>+IFERROR(EN62/EI62-1,"")</f>
        <v>-0.15959595959595962</v>
      </c>
      <c r="EO64" s="47">
        <f t="shared" si="391"/>
        <v>1.9646365422396839E-2</v>
      </c>
      <c r="EP64" s="47">
        <f t="shared" si="391"/>
        <v>-3.7383177570093906E-3</v>
      </c>
      <c r="EQ64" s="47">
        <f t="shared" si="391"/>
        <v>3.5433070866141669E-2</v>
      </c>
      <c r="ER64" s="47">
        <f t="shared" si="391"/>
        <v>3.9772727272727293E-2</v>
      </c>
      <c r="ES64" s="52">
        <f>+IFERROR(ES62/EN62-1,"")</f>
        <v>2.2596153846153877E-2</v>
      </c>
      <c r="ET64" s="47">
        <f t="shared" si="391"/>
        <v>5.3949903660886367E-2</v>
      </c>
      <c r="EU64" s="47">
        <f t="shared" si="391"/>
        <v>5.065666041275807E-2</v>
      </c>
      <c r="EV64" s="47">
        <f t="shared" si="391"/>
        <v>4.3726235741444963E-2</v>
      </c>
      <c r="EW64" s="47">
        <f t="shared" si="391"/>
        <v>8.3788706739526431E-2</v>
      </c>
      <c r="EX64" s="52">
        <f>+IFERROR(EX62/ES62-1,"")</f>
        <v>5.8298072402444667E-2</v>
      </c>
      <c r="EY64" s="47">
        <f t="shared" ref="EY64" si="392">+IFERROR(EY62/ET62-1,"")</f>
        <v>1.8293840553901042E-2</v>
      </c>
      <c r="EZ64" s="47">
        <f t="shared" ref="EZ64" si="393">+IFERROR(EZ62/EU62-1,"")</f>
        <v>6.0123570350140376E-2</v>
      </c>
      <c r="FA64" s="47">
        <f t="shared" ref="FA64" si="394">+IFERROR(FA62/EV62-1,"")</f>
        <v>9.4273936111606282E-2</v>
      </c>
      <c r="FB64" s="47">
        <f t="shared" ref="FB64" si="395">+IFERROR(FB62/EW62-1,"")</f>
        <v>0.11768449715522711</v>
      </c>
      <c r="FC64" s="52">
        <f>+IFERROR(FC62/EX62-1,"")</f>
        <v>7.3502708534737504E-2</v>
      </c>
      <c r="FD64" s="47">
        <f t="shared" ref="FD64:FI64" si="396">+IFERROR(FD62/FC62-1,"")</f>
        <v>0.10782674849242579</v>
      </c>
      <c r="FE64" s="47">
        <f t="shared" si="396"/>
        <v>0.11836449090715395</v>
      </c>
      <c r="FF64" s="47">
        <f t="shared" si="396"/>
        <v>9.2898795413147495E-2</v>
      </c>
      <c r="FG64" s="47">
        <f t="shared" si="396"/>
        <v>7.9974117437206838E-2</v>
      </c>
      <c r="FH64" s="47">
        <f t="shared" si="396"/>
        <v>6.9282952075079729E-2</v>
      </c>
      <c r="FI64" s="47">
        <f t="shared" si="396"/>
        <v>5.9140216790051214E-2</v>
      </c>
    </row>
    <row r="65" spans="1:167" x14ac:dyDescent="0.3">
      <c r="A65" s="49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4"/>
      <c r="DZ65" s="1"/>
      <c r="EA65" s="1"/>
      <c r="EB65" s="1"/>
      <c r="EC65" s="1"/>
      <c r="ED65" s="4"/>
      <c r="EE65" s="1"/>
      <c r="EF65" s="1"/>
      <c r="EG65" s="1"/>
      <c r="EH65" s="1"/>
      <c r="EI65" s="4"/>
      <c r="EJ65" s="1"/>
      <c r="EK65" s="1"/>
      <c r="EL65" s="1"/>
      <c r="EM65" s="1"/>
      <c r="EN65" s="4"/>
      <c r="EO65" s="4"/>
      <c r="EP65" s="4"/>
      <c r="EQ65" s="4"/>
      <c r="ER65" s="4"/>
      <c r="ES65" s="1"/>
      <c r="ET65" s="4"/>
      <c r="EU65" s="4"/>
      <c r="EV65" s="4"/>
      <c r="EW65" s="4"/>
      <c r="EX65" s="1"/>
      <c r="EY65" s="4"/>
      <c r="EZ65" s="4"/>
      <c r="FA65" s="4"/>
      <c r="FB65" s="4"/>
      <c r="FC65" s="1"/>
      <c r="FD65" s="1"/>
      <c r="FE65" s="1"/>
      <c r="FF65" s="1"/>
      <c r="FG65" s="1"/>
      <c r="FH65" s="1"/>
      <c r="FI65" s="1"/>
    </row>
    <row r="66" spans="1:167" x14ac:dyDescent="0.3">
      <c r="A66" s="54" t="s">
        <v>313</v>
      </c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4"/>
      <c r="DF66" s="54"/>
      <c r="DG66" s="54"/>
      <c r="DH66" s="54"/>
      <c r="DI66" s="54"/>
      <c r="DJ66" s="54"/>
      <c r="DK66" s="54"/>
      <c r="DL66" s="54"/>
      <c r="DM66" s="54"/>
      <c r="DN66" s="54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4"/>
      <c r="DZ66" s="54"/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  <c r="EP66" s="54"/>
      <c r="EQ66" s="54"/>
      <c r="ER66" s="54"/>
      <c r="ES66" s="54"/>
      <c r="ET66" s="54"/>
      <c r="EU66" s="54"/>
      <c r="EV66" s="54"/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4"/>
      <c r="FI66" s="54"/>
      <c r="FJ66" s="54"/>
    </row>
    <row r="67" spans="1:167" x14ac:dyDescent="0.3">
      <c r="A67" s="30" t="s">
        <v>40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44"/>
      <c r="DV67" s="44"/>
      <c r="DW67" s="44"/>
      <c r="DX67" s="44"/>
      <c r="DY67" s="45"/>
      <c r="DZ67" s="363">
        <f>DZ483</f>
        <v>170</v>
      </c>
      <c r="EA67" s="363">
        <f>EA483</f>
        <v>155</v>
      </c>
      <c r="EB67" s="363">
        <f>EB483</f>
        <v>136</v>
      </c>
      <c r="EC67" s="363">
        <f>EC483</f>
        <v>116</v>
      </c>
      <c r="ED67" s="1154">
        <f>SUM(DZ67:EC67)</f>
        <v>577</v>
      </c>
      <c r="EE67" s="363">
        <f>EE483</f>
        <v>111</v>
      </c>
      <c r="EF67" s="363">
        <f>EF483</f>
        <v>108</v>
      </c>
      <c r="EG67" s="363">
        <f>EG483</f>
        <v>95</v>
      </c>
      <c r="EH67" s="363">
        <f>EH483</f>
        <v>93</v>
      </c>
      <c r="EI67" s="1154">
        <f>SUM(EE67:EH67)</f>
        <v>407</v>
      </c>
      <c r="EJ67" s="363">
        <f>EJ483</f>
        <v>92</v>
      </c>
      <c r="EK67" s="363">
        <f>EK483</f>
        <v>87</v>
      </c>
      <c r="EL67" s="363">
        <f>EL483</f>
        <v>81</v>
      </c>
      <c r="EM67" s="363">
        <f>EM483</f>
        <v>76</v>
      </c>
      <c r="EN67" s="1154">
        <f>SUM(EJ67:EM67)</f>
        <v>336</v>
      </c>
      <c r="EO67" s="363">
        <f>EO483</f>
        <v>76</v>
      </c>
      <c r="EP67" s="363">
        <f>EP483</f>
        <v>71</v>
      </c>
      <c r="EQ67" s="363">
        <f>EQ483</f>
        <v>65</v>
      </c>
      <c r="ER67" s="363">
        <f>ER483</f>
        <v>61</v>
      </c>
      <c r="ES67" s="1154">
        <f>SUM(EO67:ER67)</f>
        <v>273</v>
      </c>
      <c r="ET67" s="363">
        <f>ET483</f>
        <v>61</v>
      </c>
      <c r="EU67" s="363">
        <f>EU483</f>
        <v>57</v>
      </c>
      <c r="EV67" s="363">
        <f>EV483</f>
        <v>53</v>
      </c>
      <c r="EW67" s="363">
        <f>EW483</f>
        <v>47</v>
      </c>
      <c r="EX67" s="1154">
        <f>SUM(ET67:EW67)</f>
        <v>218</v>
      </c>
      <c r="EY67" s="363">
        <f t="shared" ref="EY67:FB67" si="397">EY483</f>
        <v>49.687399261702026</v>
      </c>
      <c r="EZ67" s="363">
        <f t="shared" si="397"/>
        <v>46.686441301633643</v>
      </c>
      <c r="FA67" s="363">
        <f t="shared" si="397"/>
        <v>43.254997888725207</v>
      </c>
      <c r="FB67" s="363">
        <f t="shared" si="397"/>
        <v>38.400289902459981</v>
      </c>
      <c r="FC67" s="1154">
        <f>SUM(EY67:FB67)</f>
        <v>178.02912835452085</v>
      </c>
      <c r="FD67" s="363">
        <f t="shared" ref="FD67:FI67" si="398">FD483</f>
        <v>142.61633023532823</v>
      </c>
      <c r="FE67" s="363">
        <f t="shared" si="398"/>
        <v>112.59424568469657</v>
      </c>
      <c r="FF67" s="363">
        <f t="shared" si="398"/>
        <v>89.338150118245863</v>
      </c>
      <c r="FG67" s="363">
        <f t="shared" si="398"/>
        <v>71.07400611300136</v>
      </c>
      <c r="FH67" s="363">
        <f t="shared" si="398"/>
        <v>56.613182578264407</v>
      </c>
      <c r="FI67" s="363">
        <f t="shared" si="398"/>
        <v>45.111788397872537</v>
      </c>
      <c r="FJ67" s="189">
        <f>+(FF67/ES67)^0.2-1</f>
        <v>-0.20021204053279673</v>
      </c>
      <c r="FK67" s="189">
        <f t="shared" ref="FK67" si="399">+(FI67/EI67)^0.1-1</f>
        <v>-0.19745468553924672</v>
      </c>
    </row>
    <row r="68" spans="1:167" x14ac:dyDescent="0.3">
      <c r="A68" s="30" t="s">
        <v>312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44"/>
      <c r="DV68" s="44"/>
      <c r="DW68" s="44"/>
      <c r="DX68" s="44"/>
      <c r="DY68" s="45"/>
      <c r="DZ68" s="44">
        <f>Inputs!DZ182</f>
        <v>583</v>
      </c>
      <c r="EA68" s="44">
        <f>Inputs!EA182</f>
        <v>580</v>
      </c>
      <c r="EB68" s="44">
        <f>Inputs!EB182</f>
        <v>582</v>
      </c>
      <c r="EC68" s="44">
        <f>Inputs!EC182</f>
        <v>570</v>
      </c>
      <c r="ED68" s="45">
        <f>+SUM(DZ68:EC68)</f>
        <v>2315</v>
      </c>
      <c r="EE68" s="44">
        <f>Inputs!EE182</f>
        <v>567</v>
      </c>
      <c r="EF68" s="44">
        <f>Inputs!EF182</f>
        <v>537</v>
      </c>
      <c r="EG68" s="44">
        <f>Inputs!EG182</f>
        <v>540</v>
      </c>
      <c r="EH68" s="44">
        <f>Inputs!EH182</f>
        <v>505</v>
      </c>
      <c r="EI68" s="45">
        <f>+SUM(EE68:EH68)</f>
        <v>2149</v>
      </c>
      <c r="EJ68" s="44">
        <f>Inputs!EJ182</f>
        <v>460</v>
      </c>
      <c r="EK68" s="44">
        <f>Inputs!EK182</f>
        <v>451</v>
      </c>
      <c r="EL68" s="44">
        <f>Inputs!EL182</f>
        <v>459</v>
      </c>
      <c r="EM68" s="44">
        <f>Inputs!EM182</f>
        <v>442</v>
      </c>
      <c r="EN68" s="45">
        <f>+SUM(EJ68:EM68)</f>
        <v>1812</v>
      </c>
      <c r="EO68" s="44">
        <f>Inputs!EO182</f>
        <v>467</v>
      </c>
      <c r="EP68" s="44">
        <f>Inputs!EP182</f>
        <v>460</v>
      </c>
      <c r="EQ68" s="44">
        <f>Inputs!EQ182</f>
        <v>482</v>
      </c>
      <c r="ER68" s="44">
        <f>Inputs!ER182</f>
        <v>453</v>
      </c>
      <c r="ES68" s="45">
        <f>+SUM(EO68:ER68)</f>
        <v>1862</v>
      </c>
      <c r="ET68" s="44">
        <f>Inputs!ET182</f>
        <v>453</v>
      </c>
      <c r="EU68" s="44">
        <f>Inputs!EU182</f>
        <v>453</v>
      </c>
      <c r="EV68" s="44">
        <f>Inputs!EV182</f>
        <v>477</v>
      </c>
      <c r="EW68" s="44">
        <f>Inputs!EW182</f>
        <v>461</v>
      </c>
      <c r="EX68" s="45">
        <f>+SUM(ET68:EW68)</f>
        <v>1844</v>
      </c>
      <c r="EY68" s="59">
        <f t="shared" ref="EY68:FB68" si="400">EY76*EY108*3/1000</f>
        <v>451.88812767857144</v>
      </c>
      <c r="EZ68" s="59">
        <f t="shared" si="400"/>
        <v>452.78652375000001</v>
      </c>
      <c r="FA68" s="59">
        <f t="shared" si="400"/>
        <v>477.60161625000001</v>
      </c>
      <c r="FB68" s="59">
        <f t="shared" si="400"/>
        <v>460.77887665048536</v>
      </c>
      <c r="FC68" s="45">
        <f>+SUM(EY68:FB68)</f>
        <v>1843.0551443290569</v>
      </c>
      <c r="FD68" s="59">
        <f t="shared" ref="FD68:FI68" si="401">FD76*FD108*12/1000</f>
        <v>1836.7371602313126</v>
      </c>
      <c r="FE68" s="59">
        <f t="shared" si="401"/>
        <v>1831.0983771494023</v>
      </c>
      <c r="FF68" s="59">
        <f t="shared" si="401"/>
        <v>1825.4769051315534</v>
      </c>
      <c r="FG68" s="59">
        <f t="shared" si="401"/>
        <v>1819.8726910327989</v>
      </c>
      <c r="FH68" s="59">
        <f t="shared" si="401"/>
        <v>1814.2856818713281</v>
      </c>
      <c r="FI68" s="59">
        <f t="shared" si="401"/>
        <v>1808.7158248279827</v>
      </c>
      <c r="FJ68" s="189">
        <f>+(FF68/ES68)^0.2-1</f>
        <v>-3.9541433215189992E-3</v>
      </c>
      <c r="FK68" s="189">
        <f t="shared" ref="FK68:FK71" si="402">+(FI68/EI68)^0.1-1</f>
        <v>-1.7090817620669441E-2</v>
      </c>
    </row>
    <row r="69" spans="1:167" x14ac:dyDescent="0.3">
      <c r="A69" s="30" t="s">
        <v>42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44"/>
      <c r="DV69" s="44"/>
      <c r="DW69" s="44"/>
      <c r="DX69" s="44"/>
      <c r="DY69" s="45"/>
      <c r="DZ69" s="161">
        <f>+Inputs!DZ183</f>
        <v>349</v>
      </c>
      <c r="EA69" s="161">
        <f>+Inputs!EA183</f>
        <v>316</v>
      </c>
      <c r="EB69" s="161">
        <f>+Inputs!EB183</f>
        <v>318</v>
      </c>
      <c r="EC69" s="161">
        <f>+Inputs!EC183</f>
        <v>316</v>
      </c>
      <c r="ED69" s="160">
        <f>+SUM(DZ69:EC69)</f>
        <v>1299</v>
      </c>
      <c r="EE69" s="161">
        <f>+Inputs!EE183</f>
        <v>328</v>
      </c>
      <c r="EF69" s="161">
        <f>+Inputs!EF183</f>
        <v>338</v>
      </c>
      <c r="EG69" s="161">
        <f>+Inputs!EG183</f>
        <v>354</v>
      </c>
      <c r="EH69" s="161">
        <f>+Inputs!EH183</f>
        <v>360</v>
      </c>
      <c r="EI69" s="160">
        <f>+SUM(EE69:EH69)</f>
        <v>1380</v>
      </c>
      <c r="EJ69" s="161">
        <f>+Inputs!EJ183</f>
        <v>386</v>
      </c>
      <c r="EK69" s="161">
        <f>+Inputs!EK183</f>
        <v>386</v>
      </c>
      <c r="EL69" s="161">
        <f>+Inputs!EL183</f>
        <v>396</v>
      </c>
      <c r="EM69" s="161">
        <f>+Inputs!EM183</f>
        <v>391</v>
      </c>
      <c r="EN69" s="160">
        <f>+SUM(EJ69:EM69)</f>
        <v>1559</v>
      </c>
      <c r="EO69" s="161">
        <f>+Inputs!EO183</f>
        <v>378</v>
      </c>
      <c r="EP69" s="161">
        <f>+Inputs!EP183</f>
        <v>385</v>
      </c>
      <c r="EQ69" s="161">
        <f>+Inputs!EQ183</f>
        <v>363</v>
      </c>
      <c r="ER69" s="161">
        <f>+Inputs!ER183</f>
        <v>363</v>
      </c>
      <c r="ES69" s="160">
        <f>+SUM(EO69:ER69)</f>
        <v>1489</v>
      </c>
      <c r="ET69" s="161">
        <f>+Inputs!ET183</f>
        <v>401</v>
      </c>
      <c r="EU69" s="161">
        <f>+Inputs!EU183</f>
        <v>410</v>
      </c>
      <c r="EV69" s="161">
        <f>+Inputs!EV183</f>
        <v>410</v>
      </c>
      <c r="EW69" s="161">
        <f>+Inputs!EW183</f>
        <v>403</v>
      </c>
      <c r="EX69" s="160">
        <f>+SUM(ET69:EW69)</f>
        <v>1624</v>
      </c>
      <c r="EY69" s="157">
        <f t="shared" ref="EY69:FB69" si="403">EY70-EY68</f>
        <v>412.04109292513681</v>
      </c>
      <c r="EZ69" s="157">
        <f t="shared" si="403"/>
        <v>404.39248296266101</v>
      </c>
      <c r="FA69" s="157">
        <f t="shared" si="403"/>
        <v>392.2179708564546</v>
      </c>
      <c r="FB69" s="157">
        <f t="shared" si="403"/>
        <v>374.63296278540656</v>
      </c>
      <c r="FC69" s="160">
        <f>+SUM(EY69:FB69)</f>
        <v>1583.2845095296589</v>
      </c>
      <c r="FD69" s="157">
        <f t="shared" ref="FD69:FI69" si="404">FD70-FD68</f>
        <v>1569.8309232924096</v>
      </c>
      <c r="FE69" s="157">
        <f t="shared" si="404"/>
        <v>1566.6960066917784</v>
      </c>
      <c r="FF69" s="157">
        <f t="shared" si="404"/>
        <v>1614.3770961334185</v>
      </c>
      <c r="FG69" s="157">
        <f t="shared" si="404"/>
        <v>1652.5131731418599</v>
      </c>
      <c r="FH69" s="157">
        <f t="shared" si="404"/>
        <v>1682.2720997018541</v>
      </c>
      <c r="FI69" s="157">
        <f t="shared" si="404"/>
        <v>1704.0766494812508</v>
      </c>
      <c r="FJ69" s="189">
        <f>+(FF69/ES69)^0.2-1</f>
        <v>1.6300309722603989E-2</v>
      </c>
      <c r="FK69" s="189">
        <f t="shared" si="402"/>
        <v>2.1318041862723014E-2</v>
      </c>
    </row>
    <row r="70" spans="1:167" x14ac:dyDescent="0.3">
      <c r="A70" s="29" t="s">
        <v>314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53"/>
      <c r="DV70" s="53"/>
      <c r="DW70" s="53"/>
      <c r="DX70" s="53"/>
      <c r="DY70" s="45"/>
      <c r="DZ70" s="1154">
        <f>SUM(DZ68:DZ69)</f>
        <v>932</v>
      </c>
      <c r="EA70" s="1154">
        <f>SUM(EA68:EA69)</f>
        <v>896</v>
      </c>
      <c r="EB70" s="1154">
        <f>SUM(EB68:EB69)</f>
        <v>900</v>
      </c>
      <c r="EC70" s="1154">
        <f>SUM(EC68:EC69)</f>
        <v>886</v>
      </c>
      <c r="ED70" s="45">
        <f>SUM(DZ70:EC70)</f>
        <v>3614</v>
      </c>
      <c r="EE70" s="1154">
        <f>SUM(EE68:EE69)</f>
        <v>895</v>
      </c>
      <c r="EF70" s="1154">
        <f>SUM(EF68:EF69)</f>
        <v>875</v>
      </c>
      <c r="EG70" s="1154">
        <f>SUM(EG68:EG69)</f>
        <v>894</v>
      </c>
      <c r="EH70" s="1154">
        <f>SUM(EH68:EH69)</f>
        <v>865</v>
      </c>
      <c r="EI70" s="45">
        <f>SUM(EE70:EH70)</f>
        <v>3529</v>
      </c>
      <c r="EJ70" s="1154">
        <f>SUM(EJ68:EJ69)</f>
        <v>846</v>
      </c>
      <c r="EK70" s="1154">
        <f>SUM(EK68:EK69)</f>
        <v>837</v>
      </c>
      <c r="EL70" s="1154">
        <f>SUM(EL68:EL69)</f>
        <v>855</v>
      </c>
      <c r="EM70" s="1154">
        <f>SUM(EM68:EM69)</f>
        <v>833</v>
      </c>
      <c r="EN70" s="45">
        <f>SUM(EJ70:EM70)</f>
        <v>3371</v>
      </c>
      <c r="EO70" s="1154">
        <f>SUM(EO68:EO69)</f>
        <v>845</v>
      </c>
      <c r="EP70" s="1154">
        <f>SUM(EP68:EP69)</f>
        <v>845</v>
      </c>
      <c r="EQ70" s="1154">
        <f>SUM(EQ68:EQ69)</f>
        <v>845</v>
      </c>
      <c r="ER70" s="1154">
        <f>SUM(ER68:ER69)</f>
        <v>816</v>
      </c>
      <c r="ES70" s="45">
        <f>SUM(EO70:ER70)</f>
        <v>3351</v>
      </c>
      <c r="ET70" s="1154">
        <f>SUM(ET68:ET69)</f>
        <v>854</v>
      </c>
      <c r="EU70" s="1154">
        <f>SUM(EU68:EU69)</f>
        <v>863</v>
      </c>
      <c r="EV70" s="1154">
        <f>SUM(EV68:EV69)</f>
        <v>887</v>
      </c>
      <c r="EW70" s="1154">
        <f>SUM(EW68:EW69)</f>
        <v>864</v>
      </c>
      <c r="EX70" s="45">
        <f>SUM(ET70:EW70)</f>
        <v>3468</v>
      </c>
      <c r="EY70" s="1154">
        <f t="shared" ref="EY70:FB70" si="405">EY510</f>
        <v>863.92922060370825</v>
      </c>
      <c r="EZ70" s="1154">
        <f t="shared" si="405"/>
        <v>857.17900671266102</v>
      </c>
      <c r="FA70" s="1154">
        <f t="shared" si="405"/>
        <v>869.81958710645461</v>
      </c>
      <c r="FB70" s="1154">
        <f t="shared" si="405"/>
        <v>835.41183943589192</v>
      </c>
      <c r="FC70" s="45">
        <f>SUM(EY70:FB70)</f>
        <v>3426.3396538587158</v>
      </c>
      <c r="FD70" s="1154">
        <f t="shared" ref="FD70:FI70" si="406">FD510</f>
        <v>3406.5680835237222</v>
      </c>
      <c r="FE70" s="1154">
        <f t="shared" si="406"/>
        <v>3397.7943838411807</v>
      </c>
      <c r="FF70" s="1154">
        <f t="shared" si="406"/>
        <v>3439.8540012649719</v>
      </c>
      <c r="FG70" s="1154">
        <f t="shared" si="406"/>
        <v>3472.3858641746588</v>
      </c>
      <c r="FH70" s="1154">
        <f t="shared" si="406"/>
        <v>3496.5577815731822</v>
      </c>
      <c r="FI70" s="1154">
        <f t="shared" si="406"/>
        <v>3512.7924743092335</v>
      </c>
      <c r="FJ70" s="189">
        <f>+(FF70/ES70)^0.2-1</f>
        <v>5.247765585155939E-3</v>
      </c>
      <c r="FK70" s="189">
        <f t="shared" si="402"/>
        <v>-4.602187460993612E-4</v>
      </c>
    </row>
    <row r="71" spans="1:167" x14ac:dyDescent="0.3">
      <c r="A71" s="48" t="s">
        <v>43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58"/>
      <c r="DV71" s="58"/>
      <c r="DW71" s="58"/>
      <c r="DX71" s="58"/>
      <c r="DY71" s="45"/>
      <c r="DZ71" s="1783">
        <f>DZ67+DZ70</f>
        <v>1102</v>
      </c>
      <c r="EA71" s="1783">
        <f>EA67+EA70</f>
        <v>1051</v>
      </c>
      <c r="EB71" s="1783">
        <f>EB67+EB70</f>
        <v>1036</v>
      </c>
      <c r="EC71" s="1783">
        <f>EC67+EC70</f>
        <v>1002</v>
      </c>
      <c r="ED71" s="858">
        <f>+SUM(DZ71:EC71)</f>
        <v>4191</v>
      </c>
      <c r="EE71" s="1783">
        <f>EE67+EE70</f>
        <v>1006</v>
      </c>
      <c r="EF71" s="1783">
        <f>EF67+EF70</f>
        <v>983</v>
      </c>
      <c r="EG71" s="1783">
        <f>EG67+EG70</f>
        <v>989</v>
      </c>
      <c r="EH71" s="1783">
        <f>EH67+EH70</f>
        <v>958</v>
      </c>
      <c r="EI71" s="858">
        <f>+SUM(EE71:EH71)</f>
        <v>3936</v>
      </c>
      <c r="EJ71" s="1783">
        <f>EJ67+EJ70</f>
        <v>938</v>
      </c>
      <c r="EK71" s="1783">
        <f>EK67+EK70</f>
        <v>924</v>
      </c>
      <c r="EL71" s="1783">
        <f>EL67+EL70</f>
        <v>936</v>
      </c>
      <c r="EM71" s="1783">
        <f>EM67+EM70</f>
        <v>909</v>
      </c>
      <c r="EN71" s="858">
        <f>+SUM(EJ71:EM71)</f>
        <v>3707</v>
      </c>
      <c r="EO71" s="1783">
        <f>EO67+EO70</f>
        <v>921</v>
      </c>
      <c r="EP71" s="1783">
        <f>EP67+EP70</f>
        <v>916</v>
      </c>
      <c r="EQ71" s="1783">
        <f>EQ67+EQ70</f>
        <v>910</v>
      </c>
      <c r="ER71" s="1783">
        <f>ER67+ER70</f>
        <v>877</v>
      </c>
      <c r="ES71" s="858">
        <f>+SUM(EO71:ER71)</f>
        <v>3624</v>
      </c>
      <c r="ET71" s="1783">
        <f>ET67+ET70</f>
        <v>915</v>
      </c>
      <c r="EU71" s="1783">
        <f>EU67+EU70</f>
        <v>920</v>
      </c>
      <c r="EV71" s="1783">
        <f>EV67+EV70</f>
        <v>940</v>
      </c>
      <c r="EW71" s="1783">
        <f>EW67+EW70</f>
        <v>911</v>
      </c>
      <c r="EX71" s="858">
        <f>+SUM(ET71:EW71)</f>
        <v>3686</v>
      </c>
      <c r="EY71" s="1783">
        <f t="shared" ref="EY71:FB71" si="407">EY67+EY70</f>
        <v>913.61661986541026</v>
      </c>
      <c r="EZ71" s="1783">
        <f t="shared" si="407"/>
        <v>903.86544801429466</v>
      </c>
      <c r="FA71" s="1783">
        <f t="shared" si="407"/>
        <v>913.07458499517986</v>
      </c>
      <c r="FB71" s="1783">
        <f t="shared" si="407"/>
        <v>873.81212933835195</v>
      </c>
      <c r="FC71" s="858">
        <f>+SUM(EY71:FB71)</f>
        <v>3604.368782213237</v>
      </c>
      <c r="FD71" s="1783">
        <f t="shared" ref="FD71:FI71" si="408">FD67+FD70</f>
        <v>3549.1844137590506</v>
      </c>
      <c r="FE71" s="1783">
        <f t="shared" si="408"/>
        <v>3510.3886295258771</v>
      </c>
      <c r="FF71" s="1783">
        <f t="shared" si="408"/>
        <v>3529.1921513832176</v>
      </c>
      <c r="FG71" s="1783">
        <f t="shared" si="408"/>
        <v>3543.4598702876601</v>
      </c>
      <c r="FH71" s="1783">
        <f t="shared" si="408"/>
        <v>3553.1709641514467</v>
      </c>
      <c r="FI71" s="1783">
        <f t="shared" si="408"/>
        <v>3557.9042627071062</v>
      </c>
      <c r="FJ71" s="189">
        <f>+(FF71/ES71)^0.2-1</f>
        <v>-5.2878489902283832E-3</v>
      </c>
      <c r="FK71" s="189">
        <f t="shared" si="402"/>
        <v>-1.0048502811231041E-2</v>
      </c>
    </row>
    <row r="72" spans="1:167" s="94" customFormat="1" x14ac:dyDescent="0.3">
      <c r="A72" s="1158" t="s">
        <v>315</v>
      </c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13"/>
      <c r="DZ72" s="1159">
        <f>DZ67/DZ452*1000/3</f>
        <v>95.398428731762053</v>
      </c>
      <c r="EA72" s="1159">
        <f>EA67/EA452*1000/3</f>
        <v>92.344355078939529</v>
      </c>
      <c r="EB72" s="1159">
        <f>EB67/EB452*1000/3</f>
        <v>86.845466155810982</v>
      </c>
      <c r="EC72" s="1159">
        <f>EC67/EC452*1000/3</f>
        <v>79.725085910652922</v>
      </c>
      <c r="ED72" s="1164">
        <f>ED67/ED452*1000/12</f>
        <v>89.022602792563461</v>
      </c>
      <c r="EE72" s="1159">
        <f>EE67/EE452*1000/3</f>
        <v>81.677704194260485</v>
      </c>
      <c r="EF72" s="1159">
        <f>EF67/EF452*1000/3</f>
        <v>85.106382978723403</v>
      </c>
      <c r="EG72" s="1159">
        <f>EG67/EG452*1000/3</f>
        <v>79.664570230607964</v>
      </c>
      <c r="EH72" s="1159">
        <f>EH67/EH452*1000/3</f>
        <v>82.228116710875327</v>
      </c>
      <c r="EI72" s="1164">
        <f>EI67/EI452*1000/12</f>
        <v>82.197313945269102</v>
      </c>
      <c r="EJ72" s="1159">
        <f>EJ67/EJ452*1000/3</f>
        <v>85.303662494204914</v>
      </c>
      <c r="EK72" s="1159">
        <f>EK67/EK452*1000/3</f>
        <v>85.043988269794724</v>
      </c>
      <c r="EL72" s="1159">
        <f>EL67/EL452*1000/3</f>
        <v>84.243369734789397</v>
      </c>
      <c r="EM72" s="1159">
        <f>EM67/EM452*1000/3</f>
        <v>83.885209713024281</v>
      </c>
      <c r="EN72" s="1164">
        <f>EN67/EN452*1000/12</f>
        <v>84.656084656084644</v>
      </c>
      <c r="EO72" s="1159">
        <f>EO67/EO452*1000/3</f>
        <v>88.8888888888889</v>
      </c>
      <c r="EP72" s="1159">
        <f>EP67/EP452*1000/3</f>
        <v>89.139987445072208</v>
      </c>
      <c r="EQ72" s="1159">
        <f>EQ67/EQ452*1000/3</f>
        <v>88.255261371350983</v>
      </c>
      <c r="ER72" s="1159">
        <f>ER67/ER452*1000/3</f>
        <v>88.791848617176129</v>
      </c>
      <c r="ES72" s="1164">
        <f t="shared" ref="ES72:FI72" si="409">ES67/ES452*1000/12</f>
        <v>88.780487804878064</v>
      </c>
      <c r="ET72" s="1159">
        <f>ET67/ET452*1000/3</f>
        <v>94.794094794094789</v>
      </c>
      <c r="EU72" s="1159">
        <f>EU67/EU452*1000/3</f>
        <v>95</v>
      </c>
      <c r="EV72" s="1159">
        <f>EV67/EV452*1000/3</f>
        <v>94.982078853046616</v>
      </c>
      <c r="EW72" s="1159">
        <f>EW67/EW452*1000/3</f>
        <v>90.558766859344885</v>
      </c>
      <c r="EX72" s="1164">
        <f t="shared" ref="EX72" si="410">EX67/EX452*1000/12</f>
        <v>93.945270415858658</v>
      </c>
      <c r="EY72" s="1159">
        <f t="shared" ref="EY72:FB72" si="411">EY67/EY452*1000/3</f>
        <v>101.98624938196288</v>
      </c>
      <c r="EZ72" s="1159">
        <f t="shared" si="411"/>
        <v>102.28230177358934</v>
      </c>
      <c r="FA72" s="1159">
        <f t="shared" si="411"/>
        <v>102.30043950092448</v>
      </c>
      <c r="FB72" s="1159">
        <f t="shared" si="411"/>
        <v>97.957729696808869</v>
      </c>
      <c r="FC72" s="1164">
        <f t="shared" ref="FC72" si="412">FC67/FC452*1000/12</f>
        <v>101.2405832117128</v>
      </c>
      <c r="FD72" s="1159">
        <f t="shared" si="409"/>
        <v>108.91965671173425</v>
      </c>
      <c r="FE72" s="1159">
        <f t="shared" si="409"/>
        <v>117.00593424997548</v>
      </c>
      <c r="FF72" s="1159">
        <f t="shared" si="409"/>
        <v>125.52100894294239</v>
      </c>
      <c r="FG72" s="1159">
        <f t="shared" si="409"/>
        <v>134.4876189416606</v>
      </c>
      <c r="FH72" s="1159">
        <f t="shared" si="409"/>
        <v>143.9297081502875</v>
      </c>
      <c r="FI72" s="1159">
        <f t="shared" si="409"/>
        <v>153.87249016449493</v>
      </c>
    </row>
    <row r="73" spans="1:167" s="94" customFormat="1" x14ac:dyDescent="0.3">
      <c r="A73" s="1158" t="s">
        <v>316</v>
      </c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13"/>
      <c r="DZ73" s="1159"/>
      <c r="EA73" s="1159"/>
      <c r="EB73" s="1159"/>
      <c r="EC73" s="1159"/>
      <c r="ED73" s="1164"/>
      <c r="EE73" s="1137">
        <f>EE72/DZ72-1</f>
        <v>-0.14382547721075178</v>
      </c>
      <c r="EF73" s="1137">
        <f>EF72/EA72-1</f>
        <v>-7.838023335621136E-2</v>
      </c>
      <c r="EG73" s="1137">
        <f>EG72/EB72-1</f>
        <v>-8.2685904550499512E-2</v>
      </c>
      <c r="EH73" s="1137">
        <f>EH72/EC72-1</f>
        <v>3.1395774261410381E-2</v>
      </c>
      <c r="EI73" s="199">
        <f>+EI72/ED72-1</f>
        <v>-7.666916752814279E-2</v>
      </c>
      <c r="EJ73" s="1137">
        <f>EJ72/EE72-1</f>
        <v>4.4393489456076463E-2</v>
      </c>
      <c r="EK73" s="1137">
        <f>EK72/EF72-1</f>
        <v>-7.3313782991202281E-4</v>
      </c>
      <c r="EL73" s="1137">
        <f>EL72/EG72-1</f>
        <v>5.7475983249856366E-2</v>
      </c>
      <c r="EM73" s="1137">
        <f>EM72/EH72-1</f>
        <v>2.0152389090650091E-2</v>
      </c>
      <c r="EN73" s="199">
        <f>+EN72/EI72-1</f>
        <v>2.9913029913029909E-2</v>
      </c>
      <c r="EO73" s="1137">
        <f>EO72/EJ72-1</f>
        <v>4.202898550724643E-2</v>
      </c>
      <c r="EP73" s="1137">
        <f>EP72/EK72-1</f>
        <v>4.8163300647228402E-2</v>
      </c>
      <c r="EQ73" s="1137">
        <f>EQ72/EL72-1</f>
        <v>4.7622639611777373E-2</v>
      </c>
      <c r="ER73" s="1137">
        <f>ER72/EM72-1</f>
        <v>5.8492300620547111E-2</v>
      </c>
      <c r="ES73" s="199">
        <f>+ES72/EN72-1</f>
        <v>4.8719512195122272E-2</v>
      </c>
      <c r="ET73" s="1137">
        <f>ET72/EO72-1</f>
        <v>6.6433566433566238E-2</v>
      </c>
      <c r="EU73" s="1137">
        <f>EU72/EP72-1</f>
        <v>6.573943661971815E-2</v>
      </c>
      <c r="EV73" s="1137">
        <f>EV72/EQ72-1</f>
        <v>7.6220016542597469E-2</v>
      </c>
      <c r="EW73" s="1137">
        <f>EW72/ER72-1</f>
        <v>1.989955462901527E-2</v>
      </c>
      <c r="EX73" s="199">
        <f>+EX72/ES72-1</f>
        <v>5.8174749189616515E-2</v>
      </c>
      <c r="EY73" s="1137">
        <f t="shared" ref="EY73" si="413">EY72/ET72-1</f>
        <v>7.5871335693329822E-2</v>
      </c>
      <c r="EZ73" s="1137">
        <f t="shared" ref="EZ73" si="414">EZ72/EU72-1</f>
        <v>7.6655808143045734E-2</v>
      </c>
      <c r="FA73" s="1137">
        <f t="shared" ref="FA73" si="415">FA72/EV72-1</f>
        <v>7.7049910217280138E-2</v>
      </c>
      <c r="FB73" s="1137">
        <f t="shared" ref="FB73" si="416">FB72/EW72-1</f>
        <v>8.1703440694549156E-2</v>
      </c>
      <c r="FC73" s="199">
        <f>+FC72/EX72-1</f>
        <v>7.7654923590731784E-2</v>
      </c>
      <c r="FD73" s="199">
        <f t="shared" ref="FD73:FI73" si="417">+FD72/FC72-1</f>
        <v>7.5849755665305496E-2</v>
      </c>
      <c r="FE73" s="199">
        <f t="shared" si="417"/>
        <v>7.4240754904711936E-2</v>
      </c>
      <c r="FF73" s="199">
        <f t="shared" si="417"/>
        <v>7.2774725038945443E-2</v>
      </c>
      <c r="FG73" s="199">
        <f t="shared" si="417"/>
        <v>7.1435133243663795E-2</v>
      </c>
      <c r="FH73" s="199">
        <f t="shared" si="417"/>
        <v>7.020786956398406E-2</v>
      </c>
      <c r="FI73" s="199">
        <f t="shared" si="417"/>
        <v>6.9080818282667877E-2</v>
      </c>
    </row>
    <row r="74" spans="1:167" s="94" customFormat="1" x14ac:dyDescent="0.3">
      <c r="A74" s="1158" t="s">
        <v>317</v>
      </c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13"/>
      <c r="DZ74" s="1160">
        <f>DZ70/DZ108*1000/3</f>
        <v>20.438596491228072</v>
      </c>
      <c r="EA74" s="1160">
        <f>EA70/EA108*1000/3</f>
        <v>19.649122807017545</v>
      </c>
      <c r="EB74" s="1160">
        <f>EB70/EB108*1000/3</f>
        <v>19.736842105263158</v>
      </c>
      <c r="EC74" s="1160">
        <f>EC70/EC108*1000/3</f>
        <v>19.429824561403507</v>
      </c>
      <c r="ED74" s="1165">
        <f>ED70/ED108*1000/12</f>
        <v>19.813596491228072</v>
      </c>
      <c r="EE74" s="1160">
        <f>EE70/EE108*1000/3</f>
        <v>19.62719298245614</v>
      </c>
      <c r="EF74" s="1160">
        <f>EF70/EF108*1000/3</f>
        <v>19.125683060109292</v>
      </c>
      <c r="EG74" s="1160">
        <f>EG70/EG108*1000/3</f>
        <v>19.477124183006534</v>
      </c>
      <c r="EH74" s="1160">
        <f>EH70/EH108*1000/3</f>
        <v>18.845315904139433</v>
      </c>
      <c r="EI74" s="1165">
        <f>EI70/EI108*1000/12</f>
        <v>19.268359268359269</v>
      </c>
      <c r="EJ74" s="1160">
        <f>EJ70/EJ108*1000/3</f>
        <v>18.43137254901961</v>
      </c>
      <c r="EK74" s="1160">
        <f>EK70/EK108*1000/3</f>
        <v>18.235294117647058</v>
      </c>
      <c r="EL74" s="1160">
        <f>EL70/EL108*1000/3</f>
        <v>18.627450980392158</v>
      </c>
      <c r="EM74" s="1160">
        <f>EM70/EM108*1000/3</f>
        <v>18.089033659066232</v>
      </c>
      <c r="EN74" s="1165">
        <f t="shared" ref="EN74:FI74" si="418">EN70/EN108*1000/12</f>
        <v>18.345578231292517</v>
      </c>
      <c r="EO74" s="1160">
        <f>EO70/EO108*1000/3</f>
        <v>18.29004329004329</v>
      </c>
      <c r="EP74" s="1160">
        <f>EP70/EP108*1000/3</f>
        <v>18.29004329004329</v>
      </c>
      <c r="EQ74" s="1160">
        <f>EQ70/EQ108*1000/3</f>
        <v>18.29004329004329</v>
      </c>
      <c r="ER74" s="1160">
        <f>ER70/ER108*1000/3</f>
        <v>17.662337662337663</v>
      </c>
      <c r="ES74" s="1165">
        <f t="shared" ref="ES74" si="419">ES70/ES108*1000/12</f>
        <v>18.133116883116884</v>
      </c>
      <c r="ET74" s="1160">
        <f>ET70/ET108*1000/3</f>
        <v>18.484848484848488</v>
      </c>
      <c r="EU74" s="1160">
        <f>EU70/EU108*1000/3</f>
        <v>18.679653679653679</v>
      </c>
      <c r="EV74" s="1160">
        <f>EV70/EV108*1000/3</f>
        <v>19.1991341991342</v>
      </c>
      <c r="EW74" s="1160">
        <f>EW70/EW108*1000/3</f>
        <v>18.640776699029129</v>
      </c>
      <c r="EX74" s="1165">
        <f t="shared" ref="EX74" si="420">EX70/EX108*1000/12</f>
        <v>18.751013787510136</v>
      </c>
      <c r="EY74" s="1160">
        <f t="shared" ref="EY74:FB74" si="421">EY70/EY108*1000/3</f>
        <v>18.55831974595592</v>
      </c>
      <c r="EZ74" s="1160">
        <f t="shared" si="421"/>
        <v>18.376781630757659</v>
      </c>
      <c r="FA74" s="1160">
        <f t="shared" si="421"/>
        <v>18.615512337345695</v>
      </c>
      <c r="FB74" s="1160">
        <f t="shared" si="421"/>
        <v>17.852311069780239</v>
      </c>
      <c r="FC74" s="1165">
        <f t="shared" ref="FC74" si="422">FC70/FC108*1000/12</f>
        <v>18.350339744115345</v>
      </c>
      <c r="FD74" s="1160">
        <f t="shared" si="418"/>
        <v>18.124134713688171</v>
      </c>
      <c r="FE74" s="1160">
        <f t="shared" si="418"/>
        <v>17.951793008977138</v>
      </c>
      <c r="FF74" s="1160">
        <f t="shared" si="418"/>
        <v>18.047675652951458</v>
      </c>
      <c r="FG74" s="1160">
        <f t="shared" si="418"/>
        <v>18.091716610422274</v>
      </c>
      <c r="FH74" s="1160">
        <f t="shared" si="418"/>
        <v>18.091019246394218</v>
      </c>
      <c r="FI74" s="1160">
        <f t="shared" si="418"/>
        <v>18.048676021817379</v>
      </c>
    </row>
    <row r="75" spans="1:167" s="94" customFormat="1" x14ac:dyDescent="0.3">
      <c r="A75" s="1158" t="s">
        <v>318</v>
      </c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13"/>
      <c r="DZ75" s="33"/>
      <c r="EA75" s="33"/>
      <c r="EB75" s="33"/>
      <c r="EC75" s="33"/>
      <c r="ED75" s="1200"/>
      <c r="EE75" s="1137">
        <f t="shared" ref="EE75:EW75" si="423">EE74/DZ74-1</f>
        <v>-3.9699570815450724E-2</v>
      </c>
      <c r="EF75" s="1137">
        <f t="shared" si="423"/>
        <v>-2.6639344262294973E-2</v>
      </c>
      <c r="EG75" s="1137">
        <f t="shared" si="423"/>
        <v>-1.3159041394335547E-2</v>
      </c>
      <c r="EH75" s="1137">
        <f t="shared" si="423"/>
        <v>-3.0083064075893673E-2</v>
      </c>
      <c r="EI75" s="1163">
        <f t="shared" si="423"/>
        <v>-2.751833687085492E-2</v>
      </c>
      <c r="EJ75" s="1137">
        <f t="shared" si="423"/>
        <v>-6.0926717055537205E-2</v>
      </c>
      <c r="EK75" s="1137">
        <f t="shared" si="423"/>
        <v>-4.6554621848739708E-2</v>
      </c>
      <c r="EL75" s="1137">
        <f t="shared" si="423"/>
        <v>-4.3624161073825385E-2</v>
      </c>
      <c r="EM75" s="1137">
        <f t="shared" si="423"/>
        <v>-4.0131046299260009E-2</v>
      </c>
      <c r="EN75" s="1163">
        <f t="shared" si="423"/>
        <v>-4.7891002249582204E-2</v>
      </c>
      <c r="EO75" s="1137">
        <f t="shared" si="423"/>
        <v>-7.6678640508428542E-3</v>
      </c>
      <c r="EP75" s="1137">
        <f t="shared" si="423"/>
        <v>3.0023739701159347E-3</v>
      </c>
      <c r="EQ75" s="1137">
        <f t="shared" si="423"/>
        <v>-1.8113465481886637E-2</v>
      </c>
      <c r="ER75" s="1137">
        <f t="shared" si="423"/>
        <v>-2.3588656241717354E-2</v>
      </c>
      <c r="ES75" s="1163">
        <f t="shared" ref="ES75" si="424">ES74/EN74-1</f>
        <v>-1.1581065774925126E-2</v>
      </c>
      <c r="ET75" s="1137">
        <f t="shared" si="423"/>
        <v>1.0650887573964596E-2</v>
      </c>
      <c r="EU75" s="1137">
        <f t="shared" si="423"/>
        <v>2.130177514792897E-2</v>
      </c>
      <c r="EV75" s="1137">
        <f t="shared" si="423"/>
        <v>4.9704142011834485E-2</v>
      </c>
      <c r="EW75" s="1137">
        <f t="shared" si="423"/>
        <v>5.5396916047972589E-2</v>
      </c>
      <c r="EX75" s="1163">
        <f t="shared" ref="EX75" si="425">EX74/ES74-1</f>
        <v>3.4075603680057576E-2</v>
      </c>
      <c r="EY75" s="1137">
        <f t="shared" ref="EY75" si="426">EY74/ET74-1</f>
        <v>3.9746747812217098E-3</v>
      </c>
      <c r="EZ75" s="1137">
        <f t="shared" ref="EZ75" si="427">EZ74/EU74-1</f>
        <v>-1.6214007716102152E-2</v>
      </c>
      <c r="FA75" s="1137">
        <f t="shared" ref="FA75" si="428">FA74/EV74-1</f>
        <v>-3.0398342744790252E-2</v>
      </c>
      <c r="FB75" s="1137">
        <f t="shared" ref="FB75:FC75" si="429">FB74/EW74-1</f>
        <v>-4.2297895735747715E-2</v>
      </c>
      <c r="FC75" s="1163">
        <f t="shared" si="429"/>
        <v>-2.1368126968242973E-2</v>
      </c>
      <c r="FD75" s="1137">
        <f t="shared" ref="FD75:FI75" si="430">FD74/FC74-1</f>
        <v>-1.2327021383880088E-2</v>
      </c>
      <c r="FE75" s="1137">
        <f t="shared" si="430"/>
        <v>-9.5089618033391554E-3</v>
      </c>
      <c r="FF75" s="1137">
        <f t="shared" si="430"/>
        <v>5.3411179555364896E-3</v>
      </c>
      <c r="FG75" s="1137">
        <f t="shared" si="430"/>
        <v>2.4402564805410254E-3</v>
      </c>
      <c r="FH75" s="1137">
        <f t="shared" si="430"/>
        <v>-3.8546039774600693E-5</v>
      </c>
      <c r="FI75" s="1137">
        <f t="shared" si="430"/>
        <v>-2.34056600129251E-3</v>
      </c>
    </row>
    <row r="76" spans="1:167" s="94" customFormat="1" x14ac:dyDescent="0.3">
      <c r="A76" s="1158" t="s">
        <v>319</v>
      </c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13"/>
      <c r="DZ76" s="1160">
        <f>DZ68/DZ108*1000/3</f>
        <v>12.785087719298247</v>
      </c>
      <c r="EA76" s="1160">
        <f>EA68/EA108*1000/3</f>
        <v>12.719298245614034</v>
      </c>
      <c r="EB76" s="1160">
        <f>EB68/EB108*1000/3</f>
        <v>12.763157894736842</v>
      </c>
      <c r="EC76" s="1160">
        <f>EC68/EC108*1000/3</f>
        <v>12.5</v>
      </c>
      <c r="ED76" s="1165">
        <f>ED68/ED108*1000/12</f>
        <v>12.691885964912281</v>
      </c>
      <c r="EE76" s="1160">
        <f>EE68/EE108*1000/3</f>
        <v>12.434210526315788</v>
      </c>
      <c r="EF76" s="1160">
        <f>EF68/EF108*1000/3</f>
        <v>11.737704918032788</v>
      </c>
      <c r="EG76" s="1160">
        <f>EG68/EG108*1000/3</f>
        <v>11.764705882352942</v>
      </c>
      <c r="EH76" s="1160">
        <f>EH68/EH108*1000/3</f>
        <v>11.002178649237473</v>
      </c>
      <c r="EI76" s="1165">
        <f>EI68/EI108*1000/12</f>
        <v>11.733551733551733</v>
      </c>
      <c r="EJ76" s="1160">
        <f>EJ68/EJ108*1000/3</f>
        <v>10.021786492374728</v>
      </c>
      <c r="EK76" s="1160">
        <f>EK68/EK108*1000/3</f>
        <v>9.8257080610021799</v>
      </c>
      <c r="EL76" s="1160">
        <f>EL68/EL108*1000/3</f>
        <v>10</v>
      </c>
      <c r="EM76" s="1160">
        <f>EM68/EM108*1000/3</f>
        <v>9.5982627578718773</v>
      </c>
      <c r="EN76" s="1165">
        <f>EN68/EN108*1000/12</f>
        <v>9.8612244897959176</v>
      </c>
      <c r="EO76" s="1160">
        <f>EO68/EO108*1000/3</f>
        <v>10.108225108225108</v>
      </c>
      <c r="EP76" s="1160">
        <f>EP68/EP108*1000/3</f>
        <v>9.9567099567099557</v>
      </c>
      <c r="EQ76" s="1160">
        <f>EQ68/EQ108*1000/3</f>
        <v>10.432900432900434</v>
      </c>
      <c r="ER76" s="1160">
        <f>ER68/ER108*1000/3</f>
        <v>9.8051948051948052</v>
      </c>
      <c r="ES76" s="1165">
        <f>ES68/ES108*1000/12</f>
        <v>10.075757575757576</v>
      </c>
      <c r="ET76" s="1160">
        <f>ET68/ET108*1000/3</f>
        <v>9.8051948051948052</v>
      </c>
      <c r="EU76" s="1160">
        <f>EU68/EU108*1000/3</f>
        <v>9.8051948051948052</v>
      </c>
      <c r="EV76" s="1160">
        <f>EV68/EV108*1000/3</f>
        <v>10.324675324675324</v>
      </c>
      <c r="EW76" s="1160">
        <f>EW68/EW108*1000/3</f>
        <v>9.9460625674217908</v>
      </c>
      <c r="EX76" s="1165">
        <f>EX68/EX108*1000/12</f>
        <v>9.9702622330359549</v>
      </c>
      <c r="EY76" s="1160">
        <f t="shared" ref="EY76" si="431">ET76*(1+EY77)</f>
        <v>9.7071428571428573</v>
      </c>
      <c r="EZ76" s="1160">
        <f t="shared" ref="EZ76" si="432">EU76*(1+EZ77)</f>
        <v>9.7071428571428573</v>
      </c>
      <c r="FA76" s="1160">
        <f t="shared" ref="FA76" si="433">EV76*(1+FA77)</f>
        <v>10.221428571428572</v>
      </c>
      <c r="FB76" s="1160">
        <f t="shared" ref="FB76" si="434">EW76*(1+FB77)</f>
        <v>9.8466019417475721</v>
      </c>
      <c r="FC76" s="1165">
        <f>FC68/FC108*1000/12</f>
        <v>9.8707925898383007</v>
      </c>
      <c r="FD76" s="1159">
        <f t="shared" ref="FD76:FI76" si="435">FC76*(1+FD77)</f>
        <v>9.7720846639399177</v>
      </c>
      <c r="FE76" s="1159">
        <f t="shared" si="435"/>
        <v>9.6743638173005184</v>
      </c>
      <c r="FF76" s="1159">
        <f t="shared" si="435"/>
        <v>9.5776201791275124</v>
      </c>
      <c r="FG76" s="1159">
        <f t="shared" si="435"/>
        <v>9.4818439773362364</v>
      </c>
      <c r="FH76" s="1159">
        <f t="shared" si="435"/>
        <v>9.3870255375628737</v>
      </c>
      <c r="FI76" s="1159">
        <f t="shared" si="435"/>
        <v>9.2931552821872447</v>
      </c>
    </row>
    <row r="77" spans="1:167" s="94" customFormat="1" x14ac:dyDescent="0.3">
      <c r="A77" s="1158" t="s">
        <v>320</v>
      </c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13"/>
      <c r="DZ77" s="33"/>
      <c r="EA77" s="33"/>
      <c r="EB77" s="33"/>
      <c r="EC77" s="33"/>
      <c r="ED77" s="1200"/>
      <c r="EE77" s="1137">
        <f t="shared" ref="EE77:EW77" si="436">EE76/DZ76-1</f>
        <v>-2.7444253859348455E-2</v>
      </c>
      <c r="EF77" s="1137">
        <f t="shared" si="436"/>
        <v>-7.7173544375353176E-2</v>
      </c>
      <c r="EG77" s="1137">
        <f t="shared" si="436"/>
        <v>-7.8229229836264347E-2</v>
      </c>
      <c r="EH77" s="1137">
        <f t="shared" si="436"/>
        <v>-0.11982570806100212</v>
      </c>
      <c r="EI77" s="1163">
        <f t="shared" si="436"/>
        <v>-7.550763015125872E-2</v>
      </c>
      <c r="EJ77" s="1137">
        <f t="shared" si="436"/>
        <v>-0.19401505458150325</v>
      </c>
      <c r="EK77" s="1137">
        <f t="shared" si="436"/>
        <v>-0.16289358698165801</v>
      </c>
      <c r="EL77" s="1137">
        <f t="shared" si="436"/>
        <v>-0.15000000000000002</v>
      </c>
      <c r="EM77" s="1137">
        <f t="shared" si="436"/>
        <v>-0.12760344438352644</v>
      </c>
      <c r="EN77" s="1163">
        <f>EN76/EI76-1</f>
        <v>-0.15957037445038513</v>
      </c>
      <c r="EO77" s="1137">
        <f t="shared" si="436"/>
        <v>8.6250705815922313E-3</v>
      </c>
      <c r="EP77" s="1137">
        <f t="shared" si="436"/>
        <v>1.3332565438995303E-2</v>
      </c>
      <c r="EQ77" s="1137">
        <f t="shared" si="436"/>
        <v>4.3290043290043378E-2</v>
      </c>
      <c r="ER77" s="1137">
        <f t="shared" si="436"/>
        <v>2.155932302991137E-2</v>
      </c>
      <c r="ES77" s="1163">
        <f>ES76/EN76-1</f>
        <v>2.1755217740317301E-2</v>
      </c>
      <c r="ET77" s="1137">
        <f t="shared" si="436"/>
        <v>-2.9978586723768741E-2</v>
      </c>
      <c r="EU77" s="1137">
        <f t="shared" si="436"/>
        <v>-1.5217391304347738E-2</v>
      </c>
      <c r="EV77" s="1137">
        <f t="shared" si="436"/>
        <v>-1.0373443983402675E-2</v>
      </c>
      <c r="EW77" s="1137">
        <f t="shared" si="436"/>
        <v>1.4366645948977297E-2</v>
      </c>
      <c r="EX77" s="1163">
        <f>EX76/ES76-1</f>
        <v>-1.0470214465604477E-2</v>
      </c>
      <c r="EY77" s="1112">
        <v>-0.01</v>
      </c>
      <c r="EZ77" s="1112">
        <v>-0.01</v>
      </c>
      <c r="FA77" s="1112">
        <v>-0.01</v>
      </c>
      <c r="FB77" s="1112">
        <v>-0.01</v>
      </c>
      <c r="FC77" s="1163">
        <f>FC76/EX76-1</f>
        <v>-9.9766325972918679E-3</v>
      </c>
      <c r="FD77" s="1112">
        <v>-0.01</v>
      </c>
      <c r="FE77" s="1112">
        <v>-0.01</v>
      </c>
      <c r="FF77" s="1112">
        <v>-0.01</v>
      </c>
      <c r="FG77" s="1112">
        <v>-0.01</v>
      </c>
      <c r="FH77" s="1112">
        <v>-0.01</v>
      </c>
      <c r="FI77" s="1112">
        <v>-0.01</v>
      </c>
    </row>
    <row r="78" spans="1:167" s="94" customFormat="1" x14ac:dyDescent="0.3">
      <c r="A78" s="1158" t="s">
        <v>321</v>
      </c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13"/>
      <c r="DZ78" s="33"/>
      <c r="EA78" s="33"/>
      <c r="EB78" s="33"/>
      <c r="EC78" s="33"/>
      <c r="ED78" s="1200"/>
      <c r="EE78" s="1137">
        <f t="shared" ref="EE78:EW78" si="437">EE69/DZ69-1</f>
        <v>-6.017191977077363E-2</v>
      </c>
      <c r="EF78" s="1137">
        <f t="shared" si="437"/>
        <v>6.9620253164556889E-2</v>
      </c>
      <c r="EG78" s="1137">
        <f t="shared" si="437"/>
        <v>0.1132075471698113</v>
      </c>
      <c r="EH78" s="1137">
        <f t="shared" si="437"/>
        <v>0.139240506329114</v>
      </c>
      <c r="EI78" s="1163">
        <f t="shared" si="437"/>
        <v>6.2355658198614217E-2</v>
      </c>
      <c r="EJ78" s="1137">
        <f t="shared" si="437"/>
        <v>0.17682926829268286</v>
      </c>
      <c r="EK78" s="1137">
        <f t="shared" si="437"/>
        <v>0.14201183431952669</v>
      </c>
      <c r="EL78" s="1137">
        <f t="shared" si="437"/>
        <v>0.11864406779661008</v>
      </c>
      <c r="EM78" s="1137">
        <f t="shared" si="437"/>
        <v>8.6111111111111027E-2</v>
      </c>
      <c r="EN78" s="1163">
        <f t="shared" si="437"/>
        <v>0.12971014492753619</v>
      </c>
      <c r="EO78" s="1137">
        <f t="shared" si="437"/>
        <v>-2.0725388601036232E-2</v>
      </c>
      <c r="EP78" s="1137">
        <f t="shared" si="437"/>
        <v>-2.5906735751295429E-3</v>
      </c>
      <c r="EQ78" s="1137">
        <f t="shared" si="437"/>
        <v>-8.333333333333337E-2</v>
      </c>
      <c r="ER78" s="1137">
        <f t="shared" si="437"/>
        <v>-7.1611253196930957E-2</v>
      </c>
      <c r="ES78" s="1163">
        <f t="shared" ref="ES78" si="438">ES69/EN69-1</f>
        <v>-4.4900577293136679E-2</v>
      </c>
      <c r="ET78" s="1137">
        <f t="shared" si="437"/>
        <v>6.0846560846560926E-2</v>
      </c>
      <c r="EU78" s="1137">
        <f t="shared" si="437"/>
        <v>6.4935064935064846E-2</v>
      </c>
      <c r="EV78" s="1137">
        <f t="shared" si="437"/>
        <v>0.12947658402203865</v>
      </c>
      <c r="EW78" s="1137">
        <f t="shared" si="437"/>
        <v>0.11019283746556474</v>
      </c>
      <c r="EX78" s="1163">
        <f t="shared" ref="EX78" si="439">EX69/ES69-1</f>
        <v>9.0664875755540608E-2</v>
      </c>
      <c r="EY78" s="1137">
        <f t="shared" ref="EY78" si="440">EY69/ET69-1</f>
        <v>2.7533897568919663E-2</v>
      </c>
      <c r="EZ78" s="1137">
        <f t="shared" ref="EZ78" si="441">EZ69/EU69-1</f>
        <v>-1.367687082277802E-2</v>
      </c>
      <c r="FA78" s="1137">
        <f t="shared" ref="FA78" si="442">FA69/EV69-1</f>
        <v>-4.3370802789135077E-2</v>
      </c>
      <c r="FB78" s="1137">
        <f t="shared" ref="FB78:FC78" si="443">FB69/EW69-1</f>
        <v>-7.0389670507675972E-2</v>
      </c>
      <c r="FC78" s="1163">
        <f t="shared" si="443"/>
        <v>-2.5071114821638596E-2</v>
      </c>
      <c r="FD78" s="195">
        <f t="shared" ref="FD78:FI78" si="444">FD69/FC69-1</f>
        <v>-8.4972638564156933E-3</v>
      </c>
      <c r="FE78" s="195">
        <f t="shared" si="444"/>
        <v>-1.9969772248187301E-3</v>
      </c>
      <c r="FF78" s="195">
        <f t="shared" si="444"/>
        <v>3.0434167980247118E-2</v>
      </c>
      <c r="FG78" s="195">
        <f t="shared" si="444"/>
        <v>2.3622781257105707E-2</v>
      </c>
      <c r="FH78" s="195">
        <f t="shared" si="444"/>
        <v>1.8008284014713549E-2</v>
      </c>
      <c r="FI78" s="195">
        <f t="shared" si="444"/>
        <v>1.2961369200179318E-2</v>
      </c>
    </row>
    <row r="79" spans="1:167" s="94" customFormat="1" x14ac:dyDescent="0.3">
      <c r="A79" s="1158" t="s">
        <v>322</v>
      </c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13"/>
      <c r="DZ79" s="33"/>
      <c r="EA79" s="33"/>
      <c r="EB79" s="33"/>
      <c r="EC79" s="33"/>
      <c r="ED79" s="1200"/>
      <c r="EE79" s="1137">
        <f t="shared" ref="EE79:EW79" si="445">EE71/DZ71-1</f>
        <v>-8.7114337568058087E-2</v>
      </c>
      <c r="EF79" s="1137">
        <f t="shared" si="445"/>
        <v>-6.4700285442435779E-2</v>
      </c>
      <c r="EG79" s="1137">
        <f t="shared" si="445"/>
        <v>-4.5366795366795332E-2</v>
      </c>
      <c r="EH79" s="1137">
        <f t="shared" si="445"/>
        <v>-4.3912175648702645E-2</v>
      </c>
      <c r="EI79" s="1163">
        <f t="shared" si="445"/>
        <v>-6.0844667143879705E-2</v>
      </c>
      <c r="EJ79" s="1137">
        <f t="shared" si="445"/>
        <v>-6.7594433399602361E-2</v>
      </c>
      <c r="EK79" s="1137">
        <f t="shared" si="445"/>
        <v>-6.0020345879959303E-2</v>
      </c>
      <c r="EL79" s="1137">
        <f t="shared" si="445"/>
        <v>-5.3589484327603687E-2</v>
      </c>
      <c r="EM79" s="1137">
        <f t="shared" si="445"/>
        <v>-5.1148225469728636E-2</v>
      </c>
      <c r="EN79" s="1163">
        <f t="shared" si="445"/>
        <v>-5.8180894308943132E-2</v>
      </c>
      <c r="EO79" s="1137">
        <f t="shared" si="445"/>
        <v>-1.8123667377398678E-2</v>
      </c>
      <c r="EP79" s="1137">
        <f t="shared" si="445"/>
        <v>-8.6580086580086979E-3</v>
      </c>
      <c r="EQ79" s="1137">
        <f t="shared" si="445"/>
        <v>-2.777777777777779E-2</v>
      </c>
      <c r="ER79" s="1137">
        <f t="shared" si="445"/>
        <v>-3.5203520352035222E-2</v>
      </c>
      <c r="ES79" s="1163">
        <f t="shared" ref="ES79" si="446">ES71/EN71-1</f>
        <v>-2.2390072835176689E-2</v>
      </c>
      <c r="ET79" s="1137">
        <f t="shared" si="445"/>
        <v>-6.514657980456029E-3</v>
      </c>
      <c r="EU79" s="1137">
        <f t="shared" si="445"/>
        <v>4.366812227074135E-3</v>
      </c>
      <c r="EV79" s="1137">
        <f t="shared" si="445"/>
        <v>3.2967032967033072E-2</v>
      </c>
      <c r="EW79" s="1137">
        <f t="shared" si="445"/>
        <v>3.8768529076396829E-2</v>
      </c>
      <c r="EX79" s="1163">
        <f t="shared" ref="EX79" si="447">EX71/ES71-1</f>
        <v>1.7108167770419458E-2</v>
      </c>
      <c r="EY79" s="1137">
        <f t="shared" ref="EY79" si="448">EY71/ET71-1</f>
        <v>-1.5118908574751622E-3</v>
      </c>
      <c r="EZ79" s="1137">
        <f t="shared" ref="EZ79" si="449">EZ71/EU71-1</f>
        <v>-1.7537556506201479E-2</v>
      </c>
      <c r="FA79" s="1137">
        <f t="shared" ref="FA79" si="450">FA71/EV71-1</f>
        <v>-2.8644058515766124E-2</v>
      </c>
      <c r="FB79" s="1137">
        <f t="shared" ref="FB79:FC79" si="451">FB71/EW71-1</f>
        <v>-4.0820933766902323E-2</v>
      </c>
      <c r="FC79" s="1163">
        <f t="shared" si="451"/>
        <v>-2.2146288059349706E-2</v>
      </c>
      <c r="FD79" s="1137">
        <f t="shared" ref="FD79:FI79" si="452">FD71/FC71-1</f>
        <v>-1.531041127825461E-2</v>
      </c>
      <c r="FE79" s="1137">
        <f t="shared" si="452"/>
        <v>-1.093090121853757E-2</v>
      </c>
      <c r="FF79" s="1137">
        <f t="shared" si="452"/>
        <v>5.3565356551077414E-3</v>
      </c>
      <c r="FG79" s="1137">
        <f t="shared" si="452"/>
        <v>4.0427719127875683E-3</v>
      </c>
      <c r="FH79" s="1137">
        <f t="shared" si="452"/>
        <v>2.7405683200238951E-3</v>
      </c>
      <c r="FI79" s="1137">
        <f t="shared" si="452"/>
        <v>1.3321336359590763E-3</v>
      </c>
    </row>
    <row r="80" spans="1:167" x14ac:dyDescent="0.3">
      <c r="A80" s="1158" t="s">
        <v>323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4"/>
      <c r="DZ80" s="1"/>
      <c r="EA80" s="1"/>
      <c r="EB80" s="1"/>
      <c r="EC80" s="1"/>
      <c r="ED80" s="58"/>
      <c r="EE80" s="1300">
        <f t="shared" ref="EE80:EW80" si="453">EE70/DZ70-1</f>
        <v>-3.9699570815450613E-2</v>
      </c>
      <c r="EF80" s="1300">
        <f t="shared" si="453"/>
        <v>-2.34375E-2</v>
      </c>
      <c r="EG80" s="1300">
        <f t="shared" si="453"/>
        <v>-6.6666666666667096E-3</v>
      </c>
      <c r="EH80" s="1300">
        <f t="shared" si="453"/>
        <v>-2.3702031602708784E-2</v>
      </c>
      <c r="EI80" s="1301">
        <f t="shared" si="453"/>
        <v>-2.3519645821804103E-2</v>
      </c>
      <c r="EJ80" s="1300">
        <f t="shared" si="453"/>
        <v>-5.4748603351955305E-2</v>
      </c>
      <c r="EK80" s="1300">
        <f t="shared" si="453"/>
        <v>-4.3428571428571483E-2</v>
      </c>
      <c r="EL80" s="1300">
        <f t="shared" si="453"/>
        <v>-4.3624161073825496E-2</v>
      </c>
      <c r="EM80" s="1300">
        <f t="shared" si="453"/>
        <v>-3.6994219653179172E-2</v>
      </c>
      <c r="EN80" s="1301">
        <f t="shared" si="453"/>
        <v>-4.4771890053839636E-2</v>
      </c>
      <c r="EO80" s="1300">
        <f t="shared" si="453"/>
        <v>-1.1820330969266601E-3</v>
      </c>
      <c r="EP80" s="1300">
        <f t="shared" si="453"/>
        <v>9.5579450418159517E-3</v>
      </c>
      <c r="EQ80" s="1300">
        <f t="shared" si="453"/>
        <v>-1.1695906432748537E-2</v>
      </c>
      <c r="ER80" s="1300">
        <f t="shared" si="453"/>
        <v>-2.0408163265306145E-2</v>
      </c>
      <c r="ES80" s="1301">
        <f>ES70/EN70-1</f>
        <v>-5.932957579353304E-3</v>
      </c>
      <c r="ET80" s="1300">
        <f t="shared" si="453"/>
        <v>1.0650887573964596E-2</v>
      </c>
      <c r="EU80" s="1300">
        <f t="shared" si="453"/>
        <v>2.130177514792897E-2</v>
      </c>
      <c r="EV80" s="1300">
        <f t="shared" si="453"/>
        <v>4.9704142011834263E-2</v>
      </c>
      <c r="EW80" s="1300">
        <f t="shared" si="453"/>
        <v>5.8823529411764719E-2</v>
      </c>
      <c r="EX80" s="1301">
        <f>EX70/ES70-1</f>
        <v>3.4914950760966956E-2</v>
      </c>
      <c r="EY80" s="1300">
        <f t="shared" ref="EY80" si="454">EY70/ET70-1</f>
        <v>1.1626722018393654E-2</v>
      </c>
      <c r="EZ80" s="1300">
        <f t="shared" ref="EZ80" si="455">EZ70/EU70-1</f>
        <v>-6.7450675403696314E-3</v>
      </c>
      <c r="FA80" s="1300">
        <f t="shared" ref="FA80" si="456">FA70/EV70-1</f>
        <v>-1.9369123893512308E-2</v>
      </c>
      <c r="FB80" s="1300">
        <f t="shared" ref="FB80" si="457">FB70/EW70-1</f>
        <v>-3.3088148801051043E-2</v>
      </c>
      <c r="FC80" s="1301">
        <f>FC70/EX70-1</f>
        <v>-1.2012787237971279E-2</v>
      </c>
      <c r="FD80" s="1300">
        <f t="shared" ref="FD80:FI80" si="458">FD70/FC70-1</f>
        <v>-5.7704642074019041E-3</v>
      </c>
      <c r="FE80" s="1300">
        <f t="shared" si="458"/>
        <v>-2.5755245359623258E-3</v>
      </c>
      <c r="FF80" s="1300">
        <f t="shared" si="458"/>
        <v>1.2378505781224902E-2</v>
      </c>
      <c r="FG80" s="1300">
        <f t="shared" si="458"/>
        <v>9.4573382759046698E-3</v>
      </c>
      <c r="FH80" s="1300">
        <f t="shared" si="458"/>
        <v>6.9611841379468853E-3</v>
      </c>
      <c r="FI80" s="1300">
        <f t="shared" si="458"/>
        <v>4.643050036698293E-3</v>
      </c>
    </row>
    <row r="81" spans="1:166" x14ac:dyDescent="0.3">
      <c r="A81" s="54" t="s">
        <v>324</v>
      </c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4"/>
      <c r="CO81" s="54"/>
      <c r="CP81" s="54"/>
      <c r="CQ81" s="54"/>
      <c r="CR81" s="54"/>
      <c r="CS81" s="54"/>
      <c r="CT81" s="54"/>
      <c r="CU81" s="54"/>
      <c r="CV81" s="54"/>
      <c r="CW81" s="54"/>
      <c r="CX81" s="54"/>
      <c r="CY81" s="54"/>
      <c r="CZ81" s="54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</row>
    <row r="82" spans="1:166" x14ac:dyDescent="0.3">
      <c r="A82" s="60" t="s">
        <v>325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135">
        <f>DV82</f>
        <v>3223</v>
      </c>
      <c r="DV82" s="1135">
        <f>DW82</f>
        <v>3223</v>
      </c>
      <c r="DW82" s="1135">
        <f>DX82</f>
        <v>3223</v>
      </c>
      <c r="DX82" s="1075">
        <f>DX90-DX86</f>
        <v>3223</v>
      </c>
      <c r="DY82" s="1075">
        <f t="shared" ref="DY82:EW82" si="459">DX82</f>
        <v>3223</v>
      </c>
      <c r="DZ82" s="1075">
        <f t="shared" si="459"/>
        <v>3223</v>
      </c>
      <c r="EA82" s="1075">
        <f t="shared" si="459"/>
        <v>3223</v>
      </c>
      <c r="EB82" s="1075">
        <f t="shared" si="459"/>
        <v>3223</v>
      </c>
      <c r="EC82" s="1075">
        <f t="shared" si="459"/>
        <v>3223</v>
      </c>
      <c r="ED82" s="1075">
        <f t="shared" si="459"/>
        <v>3223</v>
      </c>
      <c r="EE82" s="1075">
        <f t="shared" si="459"/>
        <v>3223</v>
      </c>
      <c r="EF82" s="1075">
        <f t="shared" si="459"/>
        <v>3223</v>
      </c>
      <c r="EG82" s="1075">
        <f t="shared" si="459"/>
        <v>3223</v>
      </c>
      <c r="EH82" s="1075">
        <f t="shared" si="459"/>
        <v>3223</v>
      </c>
      <c r="EI82" s="1075">
        <f t="shared" si="459"/>
        <v>3223</v>
      </c>
      <c r="EJ82" s="1075">
        <f t="shared" si="459"/>
        <v>3223</v>
      </c>
      <c r="EK82" s="1075">
        <f t="shared" si="459"/>
        <v>3223</v>
      </c>
      <c r="EL82" s="1075">
        <f t="shared" si="459"/>
        <v>3223</v>
      </c>
      <c r="EM82" s="1075">
        <f t="shared" si="459"/>
        <v>3223</v>
      </c>
      <c r="EN82" s="1075">
        <f t="shared" si="459"/>
        <v>3223</v>
      </c>
      <c r="EO82" s="1075">
        <f t="shared" si="459"/>
        <v>3223</v>
      </c>
      <c r="EP82" s="1075">
        <f t="shared" si="459"/>
        <v>3223</v>
      </c>
      <c r="EQ82" s="1075">
        <f t="shared" si="459"/>
        <v>3223</v>
      </c>
      <c r="ER82" s="1075">
        <f t="shared" si="459"/>
        <v>3223</v>
      </c>
      <c r="ES82" s="1075">
        <f t="shared" ref="ES82" si="460">ER82</f>
        <v>3223</v>
      </c>
      <c r="ET82" s="1075">
        <f t="shared" si="459"/>
        <v>3223</v>
      </c>
      <c r="EU82" s="1075">
        <f t="shared" si="459"/>
        <v>3223</v>
      </c>
      <c r="EV82" s="1075">
        <f t="shared" si="459"/>
        <v>3223</v>
      </c>
      <c r="EW82" s="1075">
        <f t="shared" si="459"/>
        <v>3223</v>
      </c>
      <c r="EX82" s="1075">
        <f t="shared" ref="EX82" si="461">EW82</f>
        <v>3223</v>
      </c>
      <c r="EY82" s="1115">
        <f t="shared" ref="EY82" si="462">ET82*(1+EY84)</f>
        <v>3223</v>
      </c>
      <c r="EZ82" s="1115">
        <f t="shared" ref="EZ82" si="463">EU82*(1+EZ84)</f>
        <v>3223</v>
      </c>
      <c r="FA82" s="1115">
        <f t="shared" ref="FA82" si="464">EV82*(1+FA84)</f>
        <v>3223</v>
      </c>
      <c r="FB82" s="1115">
        <f t="shared" ref="FB82" si="465">EW82*(1+FB84)</f>
        <v>3223</v>
      </c>
      <c r="FC82" s="1075">
        <f t="shared" ref="FC82" si="466">FB82</f>
        <v>3223</v>
      </c>
      <c r="FD82" s="1115">
        <f t="shared" ref="FD82:FI82" si="467">FC82*(1+FD84)</f>
        <v>3223</v>
      </c>
      <c r="FE82" s="1115">
        <f t="shared" si="467"/>
        <v>3223</v>
      </c>
      <c r="FF82" s="1115">
        <f t="shared" si="467"/>
        <v>3223</v>
      </c>
      <c r="FG82" s="1115">
        <f t="shared" si="467"/>
        <v>3223</v>
      </c>
      <c r="FH82" s="1115">
        <f t="shared" si="467"/>
        <v>3223</v>
      </c>
      <c r="FI82" s="1115">
        <f t="shared" si="467"/>
        <v>3223</v>
      </c>
    </row>
    <row r="83" spans="1:166" x14ac:dyDescent="0.3">
      <c r="A83" s="70" t="s">
        <v>326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136">
        <v>0</v>
      </c>
      <c r="DV83" s="1136">
        <f>DV82-DU82</f>
        <v>0</v>
      </c>
      <c r="DW83" s="1136">
        <f>DW82-DV82</f>
        <v>0</v>
      </c>
      <c r="DX83" s="1136">
        <f>DX82-DW82</f>
        <v>0</v>
      </c>
      <c r="DY83" s="1201">
        <f>SUM(DU83:DX83)</f>
        <v>0</v>
      </c>
      <c r="DZ83" s="1136">
        <f>DZ82-DY82</f>
        <v>0</v>
      </c>
      <c r="EA83" s="1136">
        <f>EA82-DZ82</f>
        <v>0</v>
      </c>
      <c r="EB83" s="1136">
        <f>EB82-EA82</f>
        <v>0</v>
      </c>
      <c r="EC83" s="1136">
        <f>EC82-EB82</f>
        <v>0</v>
      </c>
      <c r="ED83" s="1201">
        <f>SUM(DZ83:EC83)</f>
        <v>0</v>
      </c>
      <c r="EE83" s="1136">
        <f>EE82-ED82</f>
        <v>0</v>
      </c>
      <c r="EF83" s="1136">
        <f>EF82-EE82</f>
        <v>0</v>
      </c>
      <c r="EG83" s="1136">
        <f>EG82-EF82</f>
        <v>0</v>
      </c>
      <c r="EH83" s="1136">
        <f>EH82-EG82</f>
        <v>0</v>
      </c>
      <c r="EI83" s="1201">
        <f>SUM(EE83:EH83)</f>
        <v>0</v>
      </c>
      <c r="EJ83" s="1136">
        <f>EJ82-EI82</f>
        <v>0</v>
      </c>
      <c r="EK83" s="1136">
        <f>EK82-EJ82</f>
        <v>0</v>
      </c>
      <c r="EL83" s="1136">
        <f>EL82-EK82</f>
        <v>0</v>
      </c>
      <c r="EM83" s="1136">
        <f>EM82-EL82</f>
        <v>0</v>
      </c>
      <c r="EN83" s="1201">
        <f>SUM(EJ83:EM83)</f>
        <v>0</v>
      </c>
      <c r="EO83" s="1136">
        <f>EO82-EN82</f>
        <v>0</v>
      </c>
      <c r="EP83" s="1136">
        <f>EP82-EO82</f>
        <v>0</v>
      </c>
      <c r="EQ83" s="1136">
        <f>EQ82-EP82</f>
        <v>0</v>
      </c>
      <c r="ER83" s="1136">
        <f>ER82-EQ82</f>
        <v>0</v>
      </c>
      <c r="ES83" s="1201">
        <f>SUM(EO83:ER83)</f>
        <v>0</v>
      </c>
      <c r="ET83" s="1136">
        <f>ET82-ES82</f>
        <v>0</v>
      </c>
      <c r="EU83" s="1136">
        <f>EU82-ET82</f>
        <v>0</v>
      </c>
      <c r="EV83" s="1136">
        <f>EV82-EU82</f>
        <v>0</v>
      </c>
      <c r="EW83" s="1136">
        <f>EW82-EV82</f>
        <v>0</v>
      </c>
      <c r="EX83" s="1201">
        <f>SUM(ET83:EW83)</f>
        <v>0</v>
      </c>
      <c r="EY83" s="1136">
        <f t="shared" ref="EY83" si="468">EY82-ET82</f>
        <v>0</v>
      </c>
      <c r="EZ83" s="1136">
        <f t="shared" ref="EZ83" si="469">EZ82-EU82</f>
        <v>0</v>
      </c>
      <c r="FA83" s="1136">
        <f t="shared" ref="FA83" si="470">FA82-EV82</f>
        <v>0</v>
      </c>
      <c r="FB83" s="1136">
        <f t="shared" ref="FB83" si="471">FB82-EW82</f>
        <v>0</v>
      </c>
      <c r="FC83" s="1201">
        <f>SUM(EY83:FB83)</f>
        <v>0</v>
      </c>
      <c r="FD83" s="1136">
        <f t="shared" ref="FD83:FI83" si="472">FD82-FC82</f>
        <v>0</v>
      </c>
      <c r="FE83" s="1136">
        <f t="shared" si="472"/>
        <v>0</v>
      </c>
      <c r="FF83" s="1136">
        <f t="shared" si="472"/>
        <v>0</v>
      </c>
      <c r="FG83" s="1136">
        <f t="shared" si="472"/>
        <v>0</v>
      </c>
      <c r="FH83" s="1136">
        <f t="shared" si="472"/>
        <v>0</v>
      </c>
      <c r="FI83" s="1136">
        <f t="shared" si="472"/>
        <v>0</v>
      </c>
    </row>
    <row r="84" spans="1:166" x14ac:dyDescent="0.3">
      <c r="A84" s="61" t="s">
        <v>29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136"/>
      <c r="DV84" s="1136"/>
      <c r="DW84" s="1136"/>
      <c r="DX84" s="1136"/>
      <c r="DY84" s="1201"/>
      <c r="DZ84" s="1137">
        <f>DZ82/DU82-1</f>
        <v>0</v>
      </c>
      <c r="EA84" s="1137">
        <f t="shared" ref="EA84:EW84" si="473">EA82/DV82-1</f>
        <v>0</v>
      </c>
      <c r="EB84" s="1137">
        <f t="shared" si="473"/>
        <v>0</v>
      </c>
      <c r="EC84" s="1137">
        <f t="shared" si="473"/>
        <v>0</v>
      </c>
      <c r="ED84" s="1163">
        <f t="shared" si="473"/>
        <v>0</v>
      </c>
      <c r="EE84" s="1137">
        <f t="shared" si="473"/>
        <v>0</v>
      </c>
      <c r="EF84" s="1137">
        <f t="shared" si="473"/>
        <v>0</v>
      </c>
      <c r="EG84" s="1137">
        <f t="shared" si="473"/>
        <v>0</v>
      </c>
      <c r="EH84" s="1137">
        <f t="shared" si="473"/>
        <v>0</v>
      </c>
      <c r="EI84" s="1163">
        <f t="shared" si="473"/>
        <v>0</v>
      </c>
      <c r="EJ84" s="1137">
        <f t="shared" si="473"/>
        <v>0</v>
      </c>
      <c r="EK84" s="1137">
        <f t="shared" si="473"/>
        <v>0</v>
      </c>
      <c r="EL84" s="1137">
        <f t="shared" si="473"/>
        <v>0</v>
      </c>
      <c r="EM84" s="1137">
        <f t="shared" si="473"/>
        <v>0</v>
      </c>
      <c r="EN84" s="1163">
        <f t="shared" si="473"/>
        <v>0</v>
      </c>
      <c r="EO84" s="1137">
        <f t="shared" si="473"/>
        <v>0</v>
      </c>
      <c r="EP84" s="1137">
        <f t="shared" si="473"/>
        <v>0</v>
      </c>
      <c r="EQ84" s="1137">
        <f t="shared" si="473"/>
        <v>0</v>
      </c>
      <c r="ER84" s="1137">
        <f t="shared" si="473"/>
        <v>0</v>
      </c>
      <c r="ES84" s="1163">
        <f t="shared" ref="ES84" si="474">ES82/EN82-1</f>
        <v>0</v>
      </c>
      <c r="ET84" s="1137">
        <f t="shared" si="473"/>
        <v>0</v>
      </c>
      <c r="EU84" s="1137">
        <f t="shared" si="473"/>
        <v>0</v>
      </c>
      <c r="EV84" s="1137">
        <f t="shared" si="473"/>
        <v>0</v>
      </c>
      <c r="EW84" s="1137">
        <f t="shared" si="473"/>
        <v>0</v>
      </c>
      <c r="EX84" s="1163">
        <f t="shared" ref="EX84" si="475">EX82/ES82-1</f>
        <v>0</v>
      </c>
      <c r="EY84" s="364">
        <v>0</v>
      </c>
      <c r="EZ84" s="364">
        <v>0</v>
      </c>
      <c r="FA84" s="364">
        <v>0</v>
      </c>
      <c r="FB84" s="364">
        <v>0</v>
      </c>
      <c r="FC84" s="1163">
        <f t="shared" ref="FC84" si="476">FC82/EX82-1</f>
        <v>0</v>
      </c>
      <c r="FD84" s="364">
        <v>0</v>
      </c>
      <c r="FE84" s="364">
        <v>0</v>
      </c>
      <c r="FF84" s="364">
        <v>0</v>
      </c>
      <c r="FG84" s="364">
        <v>0</v>
      </c>
      <c r="FH84" s="364">
        <v>0</v>
      </c>
      <c r="FI84" s="364">
        <v>0</v>
      </c>
    </row>
    <row r="85" spans="1:166" x14ac:dyDescent="0.3">
      <c r="A85" s="55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4"/>
      <c r="DZ85" s="1"/>
      <c r="EA85" s="1"/>
      <c r="EB85" s="1"/>
      <c r="EC85" s="1"/>
      <c r="ED85" s="4"/>
      <c r="EE85" s="1"/>
      <c r="EF85" s="1"/>
      <c r="EG85" s="1"/>
      <c r="EH85" s="1"/>
      <c r="EI85" s="4"/>
      <c r="EJ85" s="1"/>
      <c r="EK85" s="1"/>
      <c r="EL85" s="1"/>
      <c r="EM85" s="1"/>
      <c r="EN85" s="4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59"/>
    </row>
    <row r="86" spans="1:166" x14ac:dyDescent="0.3">
      <c r="A86" s="60" t="s">
        <v>327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075">
        <v>0</v>
      </c>
      <c r="DV86" s="1075">
        <v>0</v>
      </c>
      <c r="DW86" s="1075">
        <v>0</v>
      </c>
      <c r="DX86" s="1075">
        <v>0</v>
      </c>
      <c r="DY86" s="1075">
        <f>DX86</f>
        <v>0</v>
      </c>
      <c r="DZ86" s="1075">
        <f>DY86+DZ87</f>
        <v>9</v>
      </c>
      <c r="EA86" s="1075">
        <f>DZ86+EA87</f>
        <v>17</v>
      </c>
      <c r="EB86" s="1075">
        <f>EA86+EB87</f>
        <v>26</v>
      </c>
      <c r="EC86" s="1075">
        <f>EB86+EC87</f>
        <v>86</v>
      </c>
      <c r="ED86" s="1075">
        <f>EC86</f>
        <v>86</v>
      </c>
      <c r="EE86" s="1075">
        <f>ED86+EE87</f>
        <v>190</v>
      </c>
      <c r="EF86" s="1075">
        <f>EE86+EF87</f>
        <v>347</v>
      </c>
      <c r="EG86" s="1075">
        <f>EF86+EG87</f>
        <v>532</v>
      </c>
      <c r="EH86" s="1075">
        <f>EG86+EH87</f>
        <v>724</v>
      </c>
      <c r="EI86" s="1075">
        <f>EH86</f>
        <v>724</v>
      </c>
      <c r="EJ86" s="1075">
        <f>EI86+EJ87</f>
        <v>935</v>
      </c>
      <c r="EK86" s="1075">
        <f>EJ86+EK87</f>
        <v>1216</v>
      </c>
      <c r="EL86" s="1075">
        <f>EK86+EL87</f>
        <v>1567</v>
      </c>
      <c r="EM86" s="1075">
        <f>EL86+EM87</f>
        <v>1948</v>
      </c>
      <c r="EN86" s="1075">
        <f>EM86</f>
        <v>1948</v>
      </c>
      <c r="EO86" s="1075">
        <f>EN86+EO87</f>
        <v>2287</v>
      </c>
      <c r="EP86" s="1075">
        <f>EO86+EP87</f>
        <v>2603</v>
      </c>
      <c r="EQ86" s="1075">
        <f>EP86+EQ87</f>
        <v>2935</v>
      </c>
      <c r="ER86" s="1075">
        <f>EQ86+ER87</f>
        <v>3268</v>
      </c>
      <c r="ES86" s="1075">
        <f>ER86</f>
        <v>3268</v>
      </c>
      <c r="ET86" s="1075">
        <f>ES86+ET87</f>
        <v>3590</v>
      </c>
      <c r="EU86" s="1075">
        <f>ET86+EU87</f>
        <v>3978</v>
      </c>
      <c r="EV86" s="1075">
        <f>EU86+EV87</f>
        <v>4359</v>
      </c>
      <c r="EW86" s="1075">
        <f>EV86+EW87</f>
        <v>4600</v>
      </c>
      <c r="EX86" s="1075">
        <f>EW86</f>
        <v>4600</v>
      </c>
      <c r="EY86" s="1075">
        <f t="shared" ref="EY86" si="477">EX86+EY87</f>
        <v>4914.2642642642641</v>
      </c>
      <c r="EZ86" s="1075">
        <f t="shared" ref="EZ86" si="478">EY86+EZ87</f>
        <v>5292.9429429429429</v>
      </c>
      <c r="FA86" s="1075">
        <f t="shared" ref="FA86" si="479">EZ86+FA87</f>
        <v>5664.7897897897901</v>
      </c>
      <c r="FB86" s="1075">
        <f t="shared" ref="FB86" si="480">FA86+FB87</f>
        <v>5900</v>
      </c>
      <c r="FC86" s="1075">
        <f>FB86</f>
        <v>5900</v>
      </c>
      <c r="FD86" s="1075">
        <f t="shared" ref="FD86:FI86" si="481">FC86+FD87</f>
        <v>6800</v>
      </c>
      <c r="FE86" s="1075">
        <f t="shared" si="481"/>
        <v>6900.23</v>
      </c>
      <c r="FF86" s="1075">
        <f t="shared" si="481"/>
        <v>7001.4622999999992</v>
      </c>
      <c r="FG86" s="1075">
        <f t="shared" si="481"/>
        <v>7103.7069229999988</v>
      </c>
      <c r="FH86" s="1075">
        <f t="shared" si="481"/>
        <v>7206.9739922299987</v>
      </c>
      <c r="FI86" s="1075">
        <f t="shared" si="481"/>
        <v>7311.2737321522991</v>
      </c>
    </row>
    <row r="87" spans="1:166" x14ac:dyDescent="0.3">
      <c r="A87" s="70" t="s">
        <v>326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136">
        <v>0</v>
      </c>
      <c r="DV87" s="1136">
        <f>DV86-DU86</f>
        <v>0</v>
      </c>
      <c r="DW87" s="1136">
        <f>DW86-DV86</f>
        <v>0</v>
      </c>
      <c r="DX87" s="1136">
        <f>DX86-DW86</f>
        <v>0</v>
      </c>
      <c r="DY87" s="1201">
        <f>SUM(DU87:DX87)</f>
        <v>0</v>
      </c>
      <c r="DZ87" s="455">
        <f>Inputs!DZ551</f>
        <v>9</v>
      </c>
      <c r="EA87" s="455">
        <f>Inputs!EA551</f>
        <v>8</v>
      </c>
      <c r="EB87" s="455">
        <f>Inputs!EB551</f>
        <v>9</v>
      </c>
      <c r="EC87" s="455">
        <f>Inputs!EC551</f>
        <v>60</v>
      </c>
      <c r="ED87" s="824">
        <f>SUM(DZ87:EC87)</f>
        <v>86</v>
      </c>
      <c r="EE87" s="455">
        <f>Inputs!EE354</f>
        <v>104</v>
      </c>
      <c r="EF87" s="455">
        <f>Inputs!EF354</f>
        <v>157</v>
      </c>
      <c r="EG87" s="455">
        <f>Inputs!EG354</f>
        <v>185</v>
      </c>
      <c r="EH87" s="455">
        <f>Inputs!EH354</f>
        <v>192</v>
      </c>
      <c r="EI87" s="938">
        <f>SUM(EE87:EH87)</f>
        <v>638</v>
      </c>
      <c r="EJ87" s="455">
        <f>Inputs!EJ354</f>
        <v>211</v>
      </c>
      <c r="EK87" s="455">
        <f>Inputs!EK354</f>
        <v>281</v>
      </c>
      <c r="EL87" s="455">
        <f>Inputs!EL354</f>
        <v>351</v>
      </c>
      <c r="EM87" s="455">
        <f>Inputs!EM354</f>
        <v>381</v>
      </c>
      <c r="EN87" s="938">
        <f>SUM(EJ87:EM87)</f>
        <v>1224</v>
      </c>
      <c r="EO87" s="455">
        <f>Inputs!EO354</f>
        <v>339</v>
      </c>
      <c r="EP87" s="455">
        <f>Inputs!EP354</f>
        <v>316</v>
      </c>
      <c r="EQ87" s="455">
        <f>Inputs!EQ354</f>
        <v>332</v>
      </c>
      <c r="ER87" s="455">
        <f>Inputs!ER354</f>
        <v>333</v>
      </c>
      <c r="ES87" s="938">
        <f>SUM(EO87:ER87)</f>
        <v>1320</v>
      </c>
      <c r="ET87" s="455">
        <f>Inputs!ET354</f>
        <v>322</v>
      </c>
      <c r="EU87" s="455">
        <f>Inputs!EU354</f>
        <v>388</v>
      </c>
      <c r="EV87" s="455">
        <f>Inputs!EV354</f>
        <v>381</v>
      </c>
      <c r="EW87" s="455">
        <f>Inputs!EW354</f>
        <v>241</v>
      </c>
      <c r="EX87" s="907">
        <f>SUM(ET87:EW87)</f>
        <v>1332</v>
      </c>
      <c r="EY87" s="118">
        <f>ET87/$EX$87*1300</f>
        <v>314.26426426426423</v>
      </c>
      <c r="EZ87" s="118">
        <f t="shared" ref="EZ87:FB87" si="482">EU87/$EX$87*1300</f>
        <v>378.67867867867864</v>
      </c>
      <c r="FA87" s="118">
        <f t="shared" si="482"/>
        <v>371.84684684684686</v>
      </c>
      <c r="FB87" s="118">
        <f t="shared" si="482"/>
        <v>235.21021021021022</v>
      </c>
      <c r="FC87" s="907">
        <f>SUM(EY87:FB87)</f>
        <v>1300</v>
      </c>
      <c r="FD87" s="118">
        <v>900</v>
      </c>
      <c r="FE87" s="118">
        <f t="shared" ref="FE87:FF87" si="483">FD90*0.01</f>
        <v>100.23</v>
      </c>
      <c r="FF87" s="118">
        <f t="shared" si="483"/>
        <v>101.2323</v>
      </c>
      <c r="FG87" s="118">
        <f>FF90*0.01</f>
        <v>102.24462299999999</v>
      </c>
      <c r="FH87" s="118">
        <f t="shared" ref="FH87:FI87" si="484">FG90*0.01</f>
        <v>103.26706922999998</v>
      </c>
      <c r="FI87" s="118">
        <f t="shared" si="484"/>
        <v>104.29973992229999</v>
      </c>
    </row>
    <row r="88" spans="1:166" x14ac:dyDescent="0.3">
      <c r="A88" s="61" t="s">
        <v>29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136"/>
      <c r="DV88" s="1136"/>
      <c r="DW88" s="1136"/>
      <c r="DX88" s="1136"/>
      <c r="DY88" s="1201"/>
      <c r="DZ88" s="1137"/>
      <c r="EA88" s="1137"/>
      <c r="EB88" s="1137"/>
      <c r="EC88" s="1137"/>
      <c r="ED88" s="1163"/>
      <c r="EE88" s="1137">
        <f t="shared" ref="EE88:EW88" si="485">EE86/DZ86-1</f>
        <v>20.111111111111111</v>
      </c>
      <c r="EF88" s="1137">
        <f t="shared" si="485"/>
        <v>19.411764705882351</v>
      </c>
      <c r="EG88" s="1137">
        <f t="shared" si="485"/>
        <v>19.46153846153846</v>
      </c>
      <c r="EH88" s="1137">
        <f t="shared" si="485"/>
        <v>7.4186046511627914</v>
      </c>
      <c r="EI88" s="1163">
        <f t="shared" si="485"/>
        <v>7.4186046511627914</v>
      </c>
      <c r="EJ88" s="1137">
        <f t="shared" si="485"/>
        <v>3.9210526315789478</v>
      </c>
      <c r="EK88" s="1137">
        <f t="shared" si="485"/>
        <v>2.5043227665706054</v>
      </c>
      <c r="EL88" s="1137">
        <f t="shared" si="485"/>
        <v>1.9454887218045114</v>
      </c>
      <c r="EM88" s="1137">
        <f t="shared" si="485"/>
        <v>1.6906077348066297</v>
      </c>
      <c r="EN88" s="1163">
        <f t="shared" si="485"/>
        <v>1.6906077348066297</v>
      </c>
      <c r="EO88" s="1137">
        <f t="shared" si="485"/>
        <v>1.4459893048128341</v>
      </c>
      <c r="EP88" s="1137">
        <f t="shared" si="485"/>
        <v>1.140625</v>
      </c>
      <c r="EQ88" s="1137">
        <f t="shared" si="485"/>
        <v>0.87300574345883852</v>
      </c>
      <c r="ER88" s="1137">
        <f t="shared" si="485"/>
        <v>0.67761806981519501</v>
      </c>
      <c r="ES88" s="1138">
        <f>ES86/EN86-1</f>
        <v>0.67761806981519501</v>
      </c>
      <c r="ET88" s="1137">
        <f t="shared" si="485"/>
        <v>0.56974202011368602</v>
      </c>
      <c r="EU88" s="1137">
        <f t="shared" si="485"/>
        <v>0.52823665001920861</v>
      </c>
      <c r="EV88" s="1137">
        <f t="shared" si="485"/>
        <v>0.48517887563884154</v>
      </c>
      <c r="EW88" s="1137">
        <f t="shared" si="485"/>
        <v>0.40758873929008566</v>
      </c>
      <c r="EX88" s="1138">
        <f>EX86/ES86-1</f>
        <v>0.40758873929008566</v>
      </c>
      <c r="EY88" s="1137">
        <f t="shared" ref="EY88" si="486">EY86/ET86-1</f>
        <v>0.3688758396279288</v>
      </c>
      <c r="EZ88" s="1137">
        <f t="shared" ref="EZ88" si="487">EZ86/EU86-1</f>
        <v>0.3305537815341737</v>
      </c>
      <c r="FA88" s="1137">
        <f t="shared" ref="FA88" si="488">FA86/EV86-1</f>
        <v>0.29956177788249372</v>
      </c>
      <c r="FB88" s="1137">
        <f t="shared" ref="FB88" si="489">FB86/EW86-1</f>
        <v>0.28260869565217384</v>
      </c>
      <c r="FC88" s="1138">
        <f>FC86/EX86-1</f>
        <v>0.28260869565217384</v>
      </c>
      <c r="FD88" s="1138">
        <f t="shared" ref="FD88:FI88" si="490">FD86/FC86-1</f>
        <v>0.15254237288135597</v>
      </c>
      <c r="FE88" s="1138">
        <f t="shared" si="490"/>
        <v>1.4739705882352849E-2</v>
      </c>
      <c r="FF88" s="1138">
        <f t="shared" si="490"/>
        <v>1.4670858797460218E-2</v>
      </c>
      <c r="FG88" s="1138">
        <f t="shared" si="490"/>
        <v>1.4603324079885294E-2</v>
      </c>
      <c r="FH88" s="1138">
        <f t="shared" si="490"/>
        <v>1.4537067808308324E-2</v>
      </c>
      <c r="FI88" s="1138">
        <f t="shared" si="490"/>
        <v>1.4472057209412581E-2</v>
      </c>
    </row>
    <row r="89" spans="1:166" x14ac:dyDescent="0.3">
      <c r="A89" s="55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4"/>
      <c r="DZ89" s="1"/>
      <c r="EA89" s="1"/>
      <c r="EB89" s="1"/>
      <c r="EC89" s="1"/>
      <c r="ED89" s="4"/>
      <c r="EE89" s="1"/>
      <c r="EF89" s="1"/>
      <c r="EG89" s="1"/>
      <c r="EH89" s="1"/>
      <c r="EI89" s="4"/>
      <c r="EJ89" s="1"/>
      <c r="EK89" s="1"/>
      <c r="EL89" s="1"/>
      <c r="EM89" s="1"/>
      <c r="EN89" s="4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59"/>
    </row>
    <row r="90" spans="1:166" x14ac:dyDescent="0.3">
      <c r="A90" s="60" t="s">
        <v>328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58">
        <f t="shared" ref="DU90:DW91" si="491">DU82+DU86</f>
        <v>3223</v>
      </c>
      <c r="DV90" s="58">
        <f t="shared" si="491"/>
        <v>3223</v>
      </c>
      <c r="DW90" s="58">
        <f t="shared" si="491"/>
        <v>3223</v>
      </c>
      <c r="DX90" s="58">
        <f>DZ90-DZ91</f>
        <v>3223</v>
      </c>
      <c r="DY90" s="58">
        <f>DX90</f>
        <v>3223</v>
      </c>
      <c r="DZ90" s="58">
        <f>EA90-EA91</f>
        <v>3232</v>
      </c>
      <c r="EA90" s="58">
        <f>EB90-EB91</f>
        <v>3240</v>
      </c>
      <c r="EB90" s="58">
        <f>EC90-EC91</f>
        <v>3249</v>
      </c>
      <c r="EC90" s="58">
        <f>EE90-EE91</f>
        <v>3309</v>
      </c>
      <c r="ED90" s="58">
        <f>EC90</f>
        <v>3309</v>
      </c>
      <c r="EE90" s="58">
        <f>EF90-EF91</f>
        <v>3413</v>
      </c>
      <c r="EF90" s="53">
        <f>Inputs!EF350*1000-30</f>
        <v>3570</v>
      </c>
      <c r="EG90" s="1115">
        <f>EG82+EG86</f>
        <v>3755</v>
      </c>
      <c r="EH90" s="1115">
        <f>EH82+EH86</f>
        <v>3947</v>
      </c>
      <c r="EI90" s="1115">
        <f>EH90</f>
        <v>3947</v>
      </c>
      <c r="EJ90" s="1115">
        <f>EJ82+EJ86</f>
        <v>4158</v>
      </c>
      <c r="EK90" s="1115">
        <f>EK82+EK86</f>
        <v>4439</v>
      </c>
      <c r="EL90" s="1115">
        <f>EL82+EL86</f>
        <v>4790</v>
      </c>
      <c r="EM90" s="1115">
        <f>EM82+EM86</f>
        <v>5171</v>
      </c>
      <c r="EN90" s="1115">
        <f>EM90</f>
        <v>5171</v>
      </c>
      <c r="EO90" s="1115">
        <f>EO82+EO86</f>
        <v>5510</v>
      </c>
      <c r="EP90" s="1115">
        <f>EP82+EP86</f>
        <v>5826</v>
      </c>
      <c r="EQ90" s="1115">
        <f>EQ82+EQ86</f>
        <v>6158</v>
      </c>
      <c r="ER90" s="1115">
        <f>ER82+ER86</f>
        <v>6491</v>
      </c>
      <c r="ES90" s="1115">
        <f>ER90</f>
        <v>6491</v>
      </c>
      <c r="ET90" s="1115">
        <f>ET82+ET86</f>
        <v>6813</v>
      </c>
      <c r="EU90" s="1115">
        <f>EU82+EU86</f>
        <v>7201</v>
      </c>
      <c r="EV90" s="1115">
        <f>EV82+EV86</f>
        <v>7582</v>
      </c>
      <c r="EW90" s="1115">
        <f>EW82+EW86</f>
        <v>7823</v>
      </c>
      <c r="EX90" s="1115">
        <f>EW90</f>
        <v>7823</v>
      </c>
      <c r="EY90" s="1115">
        <f t="shared" ref="EY90:FB90" si="492">EY82+EY86</f>
        <v>8137.2642642642641</v>
      </c>
      <c r="EZ90" s="1115">
        <f t="shared" si="492"/>
        <v>8515.9429429429438</v>
      </c>
      <c r="FA90" s="1115">
        <f t="shared" si="492"/>
        <v>8887.7897897897892</v>
      </c>
      <c r="FB90" s="1115">
        <f t="shared" si="492"/>
        <v>9123</v>
      </c>
      <c r="FC90" s="1115">
        <f>FB90</f>
        <v>9123</v>
      </c>
      <c r="FD90" s="1115">
        <f t="shared" ref="FD90:FI90" si="493">FD82+FD86</f>
        <v>10023</v>
      </c>
      <c r="FE90" s="1115">
        <f t="shared" si="493"/>
        <v>10123.23</v>
      </c>
      <c r="FF90" s="1115">
        <f t="shared" si="493"/>
        <v>10224.462299999999</v>
      </c>
      <c r="FG90" s="1115">
        <f t="shared" si="493"/>
        <v>10326.706922999998</v>
      </c>
      <c r="FH90" s="1115">
        <f t="shared" si="493"/>
        <v>10429.97399223</v>
      </c>
      <c r="FI90" s="1115">
        <f t="shared" si="493"/>
        <v>10534.273732152298</v>
      </c>
    </row>
    <row r="91" spans="1:166" x14ac:dyDescent="0.3">
      <c r="A91" s="70" t="s">
        <v>326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136">
        <f t="shared" si="491"/>
        <v>0</v>
      </c>
      <c r="DV91" s="1136">
        <f t="shared" si="491"/>
        <v>0</v>
      </c>
      <c r="DW91" s="1136">
        <f t="shared" si="491"/>
        <v>0</v>
      </c>
      <c r="DX91" s="1136">
        <f>DX83+DX87</f>
        <v>0</v>
      </c>
      <c r="DY91" s="1201">
        <f>SUM(DU91:DX91)</f>
        <v>0</v>
      </c>
      <c r="DZ91" s="62">
        <f>DZ87</f>
        <v>9</v>
      </c>
      <c r="EA91" s="62">
        <f>EA87</f>
        <v>8</v>
      </c>
      <c r="EB91" s="62">
        <f>EB87</f>
        <v>9</v>
      </c>
      <c r="EC91" s="62">
        <f>EC87</f>
        <v>60</v>
      </c>
      <c r="ED91" s="824">
        <f>SUM(DZ91:EC91)</f>
        <v>86</v>
      </c>
      <c r="EE91" s="62">
        <f>EE87</f>
        <v>104</v>
      </c>
      <c r="EF91" s="62">
        <f>EF87</f>
        <v>157</v>
      </c>
      <c r="EG91" s="1136">
        <f>EG90-EF90</f>
        <v>185</v>
      </c>
      <c r="EH91" s="1136">
        <f>EH90-EG90</f>
        <v>192</v>
      </c>
      <c r="EI91" s="824">
        <f>SUM(EE91:EH91)</f>
        <v>638</v>
      </c>
      <c r="EJ91" s="1136">
        <f>EJ90-EI90</f>
        <v>211</v>
      </c>
      <c r="EK91" s="1136">
        <f>EK90-EJ90</f>
        <v>281</v>
      </c>
      <c r="EL91" s="1136">
        <f>EL90-EK90</f>
        <v>351</v>
      </c>
      <c r="EM91" s="1136">
        <f>EM90-EL90</f>
        <v>381</v>
      </c>
      <c r="EN91" s="1200">
        <f>SUM(EJ91:EM91)</f>
        <v>1224</v>
      </c>
      <c r="EO91" s="1136">
        <f>EO90-EN90</f>
        <v>339</v>
      </c>
      <c r="EP91" s="1136">
        <f>EP90-EO90</f>
        <v>316</v>
      </c>
      <c r="EQ91" s="1136">
        <f>EQ90-EP90</f>
        <v>332</v>
      </c>
      <c r="ER91" s="1136">
        <f>ER90-EQ90</f>
        <v>333</v>
      </c>
      <c r="ES91" s="1200">
        <f>SUM(EO91:ER91)</f>
        <v>1320</v>
      </c>
      <c r="ET91" s="1136">
        <f>ET90-ES90</f>
        <v>322</v>
      </c>
      <c r="EU91" s="1136">
        <f>EU90-ET90</f>
        <v>388</v>
      </c>
      <c r="EV91" s="1136">
        <f>EV90-EU90</f>
        <v>381</v>
      </c>
      <c r="EW91" s="1136">
        <f>EW90-EV90</f>
        <v>241</v>
      </c>
      <c r="EX91" s="1200">
        <f>SUM(ET91:EW91)</f>
        <v>1332</v>
      </c>
      <c r="EY91" s="1136">
        <f t="shared" ref="EY91" si="494">EY90-EX90</f>
        <v>314.26426426426406</v>
      </c>
      <c r="EZ91" s="1136">
        <f t="shared" ref="EZ91" si="495">EZ90-EY90</f>
        <v>378.67867867867972</v>
      </c>
      <c r="FA91" s="1136">
        <f t="shared" ref="FA91" si="496">FA90-EZ90</f>
        <v>371.84684684684544</v>
      </c>
      <c r="FB91" s="1136">
        <f t="shared" ref="FB91" si="497">FB90-FA90</f>
        <v>235.21021021021079</v>
      </c>
      <c r="FC91" s="1200">
        <f>SUM(EY91:FB91)</f>
        <v>1300</v>
      </c>
      <c r="FD91" s="1136">
        <f t="shared" ref="FD91:FI91" si="498">FD90-FC90</f>
        <v>900</v>
      </c>
      <c r="FE91" s="1136">
        <f t="shared" si="498"/>
        <v>100.22999999999956</v>
      </c>
      <c r="FF91" s="1136">
        <f t="shared" si="498"/>
        <v>101.23229999999967</v>
      </c>
      <c r="FG91" s="1136">
        <f t="shared" si="498"/>
        <v>102.24462299999868</v>
      </c>
      <c r="FH91" s="1136">
        <f t="shared" si="498"/>
        <v>103.26706923000165</v>
      </c>
      <c r="FI91" s="1136">
        <f t="shared" si="498"/>
        <v>104.29973992229861</v>
      </c>
    </row>
    <row r="92" spans="1:166" x14ac:dyDescent="0.3">
      <c r="A92" s="61" t="s">
        <v>29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136"/>
      <c r="DV92" s="1136"/>
      <c r="DW92" s="1136"/>
      <c r="DX92" s="1136"/>
      <c r="DY92" s="1201"/>
      <c r="DZ92" s="1137"/>
      <c r="EA92" s="1137"/>
      <c r="EB92" s="1137"/>
      <c r="EC92" s="1137"/>
      <c r="ED92" s="1163"/>
      <c r="EE92" s="1137">
        <f t="shared" ref="EE92:EW92" si="499">EE90/DZ90-1</f>
        <v>5.6002475247524774E-2</v>
      </c>
      <c r="EF92" s="1137">
        <f t="shared" si="499"/>
        <v>0.10185185185185186</v>
      </c>
      <c r="EG92" s="1137">
        <f t="shared" si="499"/>
        <v>0.15574022776238849</v>
      </c>
      <c r="EH92" s="1137">
        <f t="shared" si="499"/>
        <v>0.19280749471139313</v>
      </c>
      <c r="EI92" s="1163">
        <f t="shared" si="499"/>
        <v>0.19280749471139313</v>
      </c>
      <c r="EJ92" s="1137">
        <f t="shared" si="499"/>
        <v>0.21828303545268102</v>
      </c>
      <c r="EK92" s="1137">
        <f t="shared" si="499"/>
        <v>0.24341736694677873</v>
      </c>
      <c r="EL92" s="1137">
        <f t="shared" si="499"/>
        <v>0.27563249001331558</v>
      </c>
      <c r="EM92" s="1137">
        <f t="shared" si="499"/>
        <v>0.31010894350139351</v>
      </c>
      <c r="EN92" s="1163">
        <f t="shared" si="499"/>
        <v>0.31010894350139351</v>
      </c>
      <c r="EO92" s="1137">
        <f t="shared" si="499"/>
        <v>0.3251563251563252</v>
      </c>
      <c r="EP92" s="1137">
        <f t="shared" si="499"/>
        <v>0.31245776075692722</v>
      </c>
      <c r="EQ92" s="1137">
        <f t="shared" si="499"/>
        <v>0.28559498956158658</v>
      </c>
      <c r="ER92" s="1137">
        <f t="shared" si="499"/>
        <v>0.25526977373815507</v>
      </c>
      <c r="ES92" s="1163">
        <f t="shared" ref="ES92" si="500">ES90/EN90-1</f>
        <v>0.25526977373815507</v>
      </c>
      <c r="ET92" s="1137">
        <f t="shared" si="499"/>
        <v>0.23647912885662437</v>
      </c>
      <c r="EU92" s="1137">
        <f t="shared" si="499"/>
        <v>0.23601098523858566</v>
      </c>
      <c r="EV92" s="1137">
        <f t="shared" si="499"/>
        <v>0.23124391036050662</v>
      </c>
      <c r="EW92" s="1137">
        <f t="shared" si="499"/>
        <v>0.20520720998305353</v>
      </c>
      <c r="EX92" s="1163">
        <f t="shared" ref="EX92" si="501">EX90/ES90-1</f>
        <v>0.20520720998305353</v>
      </c>
      <c r="EY92" s="1137">
        <f t="shared" ref="EY92" si="502">EY90/ET90-1</f>
        <v>0.19437314901867953</v>
      </c>
      <c r="EZ92" s="1137">
        <f t="shared" ref="EZ92" si="503">EZ90/EU90-1</f>
        <v>0.18260560240840773</v>
      </c>
      <c r="FA92" s="1137">
        <f t="shared" ref="FA92" si="504">FA90/EV90-1</f>
        <v>0.17222234104323264</v>
      </c>
      <c r="FB92" s="1137">
        <f t="shared" ref="FB92:FC92" si="505">FB90/EW90-1</f>
        <v>0.16617665857088082</v>
      </c>
      <c r="FC92" s="1163">
        <f t="shared" si="505"/>
        <v>0.16617665857088082</v>
      </c>
      <c r="FD92" s="1138">
        <f t="shared" ref="FD92:FI92" si="506">FD90/FC90-1</f>
        <v>9.8651759289707375E-2</v>
      </c>
      <c r="FE92" s="1138">
        <f t="shared" si="506"/>
        <v>1.0000000000000009E-2</v>
      </c>
      <c r="FF92" s="1138">
        <f t="shared" si="506"/>
        <v>1.0000000000000009E-2</v>
      </c>
      <c r="FG92" s="1138">
        <f t="shared" si="506"/>
        <v>9.9999999999997868E-3</v>
      </c>
      <c r="FH92" s="1138">
        <f t="shared" si="506"/>
        <v>1.0000000000000231E-2</v>
      </c>
      <c r="FI92" s="1138">
        <f t="shared" si="506"/>
        <v>9.9999999999997868E-3</v>
      </c>
    </row>
    <row r="93" spans="1:166" x14ac:dyDescent="0.3">
      <c r="A93" s="55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4"/>
      <c r="DZ93" s="1"/>
      <c r="EA93" s="1"/>
      <c r="EB93" s="1"/>
      <c r="EC93" s="1"/>
      <c r="ED93" s="4"/>
      <c r="EE93" s="1"/>
      <c r="EF93" s="1"/>
      <c r="EG93" s="1"/>
      <c r="EH93" s="1"/>
      <c r="EI93" s="4"/>
      <c r="EJ93" s="1"/>
      <c r="EK93" s="1"/>
      <c r="EL93" s="1"/>
      <c r="EM93" s="1"/>
      <c r="EN93" s="4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59"/>
    </row>
    <row r="94" spans="1:166" x14ac:dyDescent="0.3">
      <c r="A94" s="60" t="s">
        <v>329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58">
        <f>DU99-DU90</f>
        <v>11977</v>
      </c>
      <c r="DV94" s="58">
        <f t="shared" ref="DV94:EG94" si="507">DV99-DV90</f>
        <v>11977</v>
      </c>
      <c r="DW94" s="58">
        <f t="shared" si="507"/>
        <v>11977</v>
      </c>
      <c r="DX94" s="58">
        <f t="shared" si="507"/>
        <v>11977</v>
      </c>
      <c r="DY94" s="58">
        <f>DX94</f>
        <v>11977</v>
      </c>
      <c r="DZ94" s="58">
        <f t="shared" si="507"/>
        <v>11968</v>
      </c>
      <c r="EA94" s="58">
        <f t="shared" si="507"/>
        <v>11960</v>
      </c>
      <c r="EB94" s="58">
        <f t="shared" si="507"/>
        <v>11951</v>
      </c>
      <c r="EC94" s="58">
        <f t="shared" si="507"/>
        <v>11891</v>
      </c>
      <c r="ED94" s="58">
        <f>EC94</f>
        <v>11891</v>
      </c>
      <c r="EE94" s="58">
        <f t="shared" si="507"/>
        <v>11787</v>
      </c>
      <c r="EF94" s="58">
        <f t="shared" si="507"/>
        <v>11730</v>
      </c>
      <c r="EG94" s="58">
        <f t="shared" si="507"/>
        <v>11545</v>
      </c>
      <c r="EH94" s="58">
        <f t="shared" ref="EH94:EJ94" si="508">EH99-EH90</f>
        <v>11353</v>
      </c>
      <c r="EI94" s="1115">
        <f>EH94</f>
        <v>11353</v>
      </c>
      <c r="EJ94" s="58">
        <f t="shared" si="508"/>
        <v>11142</v>
      </c>
      <c r="EK94" s="58">
        <f t="shared" ref="EK94:EL94" si="509">EK99-EK90</f>
        <v>10861</v>
      </c>
      <c r="EL94" s="58">
        <f t="shared" si="509"/>
        <v>10510</v>
      </c>
      <c r="EM94" s="58">
        <f t="shared" ref="EM94" si="510">EM99-EM90</f>
        <v>10229</v>
      </c>
      <c r="EN94" s="1115">
        <f>EM94</f>
        <v>10229</v>
      </c>
      <c r="EO94" s="58">
        <f t="shared" ref="EO94:EP94" si="511">EO99-EO90</f>
        <v>9890</v>
      </c>
      <c r="EP94" s="58">
        <f t="shared" si="511"/>
        <v>9574</v>
      </c>
      <c r="EQ94" s="58">
        <f t="shared" ref="EQ94:ER94" si="512">EQ99-EQ90</f>
        <v>9242</v>
      </c>
      <c r="ER94" s="58">
        <f t="shared" si="512"/>
        <v>8909</v>
      </c>
      <c r="ES94" s="1115">
        <f>ER94</f>
        <v>8909</v>
      </c>
      <c r="ET94" s="58">
        <f t="shared" ref="ET94:EU94" si="513">ET99-ET90</f>
        <v>8587</v>
      </c>
      <c r="EU94" s="58">
        <f t="shared" si="513"/>
        <v>8199</v>
      </c>
      <c r="EV94" s="58">
        <f t="shared" ref="EV94:EW94" si="514">EV99-EV90</f>
        <v>7818</v>
      </c>
      <c r="EW94" s="58">
        <f t="shared" si="514"/>
        <v>7677</v>
      </c>
      <c r="EX94" s="1115">
        <f>EW94</f>
        <v>7677</v>
      </c>
      <c r="EY94" s="1115">
        <f t="shared" ref="EY94:FB94" si="515">EY99-EY90</f>
        <v>7397.4857357357359</v>
      </c>
      <c r="EZ94" s="1115">
        <f t="shared" si="515"/>
        <v>7045.7570570570551</v>
      </c>
      <c r="FA94" s="1115">
        <f t="shared" si="515"/>
        <v>6700.8602102102122</v>
      </c>
      <c r="FB94" s="1115">
        <f t="shared" si="515"/>
        <v>6485.4999999999982</v>
      </c>
      <c r="FC94" s="1115">
        <f>FB94</f>
        <v>6485.4999999999982</v>
      </c>
      <c r="FD94" s="1115">
        <f t="shared" ref="FD94:FI94" si="516">FD99-FD90</f>
        <v>5694.7594999999965</v>
      </c>
      <c r="FE94" s="1115">
        <f t="shared" si="516"/>
        <v>5704.5538164999944</v>
      </c>
      <c r="FF94" s="1115">
        <f t="shared" si="516"/>
        <v>5714.116003215493</v>
      </c>
      <c r="FG94" s="1115">
        <f t="shared" si="516"/>
        <v>5723.4414283380011</v>
      </c>
      <c r="FH94" s="1115">
        <f t="shared" si="516"/>
        <v>5732.5253975673641</v>
      </c>
      <c r="FI94" s="1115">
        <f t="shared" si="516"/>
        <v>5741.3631533736461</v>
      </c>
    </row>
    <row r="95" spans="1:166" x14ac:dyDescent="0.3">
      <c r="A95" s="70" t="s">
        <v>326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074">
        <v>0</v>
      </c>
      <c r="DV95" s="1074">
        <f>DV94-DU94-DV96</f>
        <v>0</v>
      </c>
      <c r="DW95" s="1074">
        <f>DW94-DV94-DW96</f>
        <v>0</v>
      </c>
      <c r="DX95" s="1074">
        <f>DX94-DW94-DX96</f>
        <v>0</v>
      </c>
      <c r="DY95" s="1115">
        <f>SUM(DU95:DX95)</f>
        <v>0</v>
      </c>
      <c r="DZ95" s="1074">
        <f>DZ94-DY94-DZ96</f>
        <v>0</v>
      </c>
      <c r="EA95" s="1074">
        <f>EA94-DZ94-EA96</f>
        <v>0</v>
      </c>
      <c r="EB95" s="1074">
        <f>EB94-EA94-EB96</f>
        <v>0</v>
      </c>
      <c r="EC95" s="1074">
        <f>EC94-EB94-EC96</f>
        <v>0</v>
      </c>
      <c r="ED95" s="1115">
        <f>SUM(DZ95:EC95)</f>
        <v>0</v>
      </c>
      <c r="EE95" s="1074">
        <f>EE94-ED94-EE96</f>
        <v>0</v>
      </c>
      <c r="EF95" s="1074">
        <f>EF94-EE94-EF96</f>
        <v>100</v>
      </c>
      <c r="EG95" s="1074">
        <f>EG94-EF94-EG96</f>
        <v>0</v>
      </c>
      <c r="EH95" s="1074">
        <f>EH94-EG94-EH96</f>
        <v>0</v>
      </c>
      <c r="EI95" s="1115">
        <f>SUM(EE95:EH95)</f>
        <v>100</v>
      </c>
      <c r="EJ95" s="1074">
        <f>EJ94-EI94-EJ96</f>
        <v>0</v>
      </c>
      <c r="EK95" s="1074">
        <f>EK94-EJ94-EK96</f>
        <v>0</v>
      </c>
      <c r="EL95" s="1074">
        <f>EL94-EK94-EL96</f>
        <v>0</v>
      </c>
      <c r="EM95" s="1074">
        <f>EM94-EL94-EM96</f>
        <v>100</v>
      </c>
      <c r="EN95" s="1115">
        <f>SUM(EJ95:EM95)</f>
        <v>100</v>
      </c>
      <c r="EO95" s="1074">
        <f>EO94-EN94-EO96</f>
        <v>0</v>
      </c>
      <c r="EP95" s="1074">
        <f>EP94-EO94-EP96</f>
        <v>0</v>
      </c>
      <c r="EQ95" s="1074">
        <f>EQ94-EP94-EQ96</f>
        <v>0</v>
      </c>
      <c r="ER95" s="1074">
        <f>ER94-EQ94-ER96</f>
        <v>0</v>
      </c>
      <c r="ES95" s="1115">
        <f>SUM(EO95:ER95)</f>
        <v>0</v>
      </c>
      <c r="ET95" s="1074">
        <f>ET94-ES94-ET96</f>
        <v>0</v>
      </c>
      <c r="EU95" s="1074">
        <f>EU94-ET94-EU96</f>
        <v>0</v>
      </c>
      <c r="EV95" s="1074">
        <f>EV94-EU94-EV96</f>
        <v>0</v>
      </c>
      <c r="EW95" s="1074">
        <f>EW94-EV94-EW96</f>
        <v>100</v>
      </c>
      <c r="EX95" s="1115">
        <f>SUM(ET95:EW95)</f>
        <v>100</v>
      </c>
      <c r="EY95" s="1074">
        <f t="shared" ref="EY95" si="517">EY94-EX94-EY96</f>
        <v>34.750000000000171</v>
      </c>
      <c r="EZ95" s="1074">
        <f t="shared" ref="EZ95" si="518">EZ94-EY94-EZ96</f>
        <v>26.949999999997829</v>
      </c>
      <c r="FA95" s="1074">
        <f t="shared" ref="FA95" si="519">FA94-EZ94-FA96</f>
        <v>26.950000000003968</v>
      </c>
      <c r="FB95" s="1074">
        <f t="shared" ref="FB95" si="520">FB94-FA94-FB96</f>
        <v>19.849999999996157</v>
      </c>
      <c r="FC95" s="1115">
        <f>SUM(EY95:FB95)</f>
        <v>108.49999999999812</v>
      </c>
      <c r="FD95" s="1074">
        <f t="shared" ref="FD95" si="521">FD94-FC94-FD96</f>
        <v>109.2594999999983</v>
      </c>
      <c r="FE95" s="1074">
        <f t="shared" ref="FE95" si="522">FE94-FD94-FE96</f>
        <v>110.02431649999788</v>
      </c>
      <c r="FF95" s="1074">
        <f t="shared" ref="FF95" si="523">FF94-FE94-FF96</f>
        <v>110.79448671549868</v>
      </c>
      <c r="FG95" s="1074">
        <f t="shared" ref="FG95" si="524">FG94-FF94-FG96</f>
        <v>111.57004812250801</v>
      </c>
      <c r="FH95" s="1074">
        <f t="shared" ref="FH95" si="525">FH94-FG94-FH96</f>
        <v>112.35103845936297</v>
      </c>
      <c r="FI95" s="1074">
        <f t="shared" ref="FI95" si="526">FI94-FH94-FI96</f>
        <v>113.13749572858207</v>
      </c>
    </row>
    <row r="96" spans="1:166" x14ac:dyDescent="0.3">
      <c r="A96" s="70" t="s">
        <v>330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074">
        <f>-DU87</f>
        <v>0</v>
      </c>
      <c r="DV96" s="1074">
        <f>-DV87</f>
        <v>0</v>
      </c>
      <c r="DW96" s="1074">
        <f>-DW87</f>
        <v>0</v>
      </c>
      <c r="DX96" s="1074">
        <f>-DX87</f>
        <v>0</v>
      </c>
      <c r="DY96" s="1115">
        <f>SUM(DU96:DX96)</f>
        <v>0</v>
      </c>
      <c r="DZ96" s="1074">
        <f>-DZ87</f>
        <v>-9</v>
      </c>
      <c r="EA96" s="1074">
        <f>-EA87</f>
        <v>-8</v>
      </c>
      <c r="EB96" s="1074">
        <f>-EB87</f>
        <v>-9</v>
      </c>
      <c r="EC96" s="1074">
        <f>-EC87</f>
        <v>-60</v>
      </c>
      <c r="ED96" s="1115">
        <f>SUM(DZ96:EC96)</f>
        <v>-86</v>
      </c>
      <c r="EE96" s="1074">
        <f>-EE87</f>
        <v>-104</v>
      </c>
      <c r="EF96" s="1074">
        <f>-EF87</f>
        <v>-157</v>
      </c>
      <c r="EG96" s="1074">
        <f>-EG87</f>
        <v>-185</v>
      </c>
      <c r="EH96" s="1074">
        <f>-EH87</f>
        <v>-192</v>
      </c>
      <c r="EI96" s="1115">
        <f>SUM(EE96:EH96)</f>
        <v>-638</v>
      </c>
      <c r="EJ96" s="1074">
        <f>-EJ87</f>
        <v>-211</v>
      </c>
      <c r="EK96" s="1074">
        <f>-EK87</f>
        <v>-281</v>
      </c>
      <c r="EL96" s="1074">
        <f>-EL87</f>
        <v>-351</v>
      </c>
      <c r="EM96" s="1074">
        <f>-EM87</f>
        <v>-381</v>
      </c>
      <c r="EN96" s="1115">
        <f>SUM(EJ96:EM96)</f>
        <v>-1224</v>
      </c>
      <c r="EO96" s="1074">
        <f>-EO87</f>
        <v>-339</v>
      </c>
      <c r="EP96" s="1074">
        <f>-EP87</f>
        <v>-316</v>
      </c>
      <c r="EQ96" s="1074">
        <f>-EQ87</f>
        <v>-332</v>
      </c>
      <c r="ER96" s="1074">
        <f>-ER87</f>
        <v>-333</v>
      </c>
      <c r="ES96" s="1115">
        <f>SUM(EO96:ER96)</f>
        <v>-1320</v>
      </c>
      <c r="ET96" s="1074">
        <f>-ET87</f>
        <v>-322</v>
      </c>
      <c r="EU96" s="1074">
        <f>-EU87</f>
        <v>-388</v>
      </c>
      <c r="EV96" s="1074">
        <f>-EV87</f>
        <v>-381</v>
      </c>
      <c r="EW96" s="1074">
        <f>-EW87</f>
        <v>-241</v>
      </c>
      <c r="EX96" s="1115">
        <f>SUM(ET96:EW96)</f>
        <v>-1332</v>
      </c>
      <c r="EY96" s="1074">
        <f t="shared" ref="EY96:FB96" si="527">-EY87</f>
        <v>-314.26426426426423</v>
      </c>
      <c r="EZ96" s="1074">
        <f t="shared" si="527"/>
        <v>-378.67867867867864</v>
      </c>
      <c r="FA96" s="1074">
        <f t="shared" si="527"/>
        <v>-371.84684684684686</v>
      </c>
      <c r="FB96" s="1074">
        <f t="shared" si="527"/>
        <v>-235.21021021021022</v>
      </c>
      <c r="FC96" s="1115">
        <f>SUM(EY96:FB96)</f>
        <v>-1300</v>
      </c>
      <c r="FD96" s="1074">
        <f t="shared" ref="FD96:FI96" si="528">-FD87</f>
        <v>-900</v>
      </c>
      <c r="FE96" s="1074">
        <f t="shared" si="528"/>
        <v>-100.23</v>
      </c>
      <c r="FF96" s="1074">
        <f t="shared" si="528"/>
        <v>-101.2323</v>
      </c>
      <c r="FG96" s="1074">
        <f t="shared" si="528"/>
        <v>-102.24462299999999</v>
      </c>
      <c r="FH96" s="1074">
        <f t="shared" si="528"/>
        <v>-103.26706922999998</v>
      </c>
      <c r="FI96" s="1074">
        <f t="shared" si="528"/>
        <v>-104.29973992229999</v>
      </c>
    </row>
    <row r="97" spans="1:166" x14ac:dyDescent="0.3">
      <c r="A97" s="61" t="s">
        <v>29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136"/>
      <c r="DV97" s="1136"/>
      <c r="DW97" s="1136"/>
      <c r="DX97" s="1136"/>
      <c r="DY97" s="1201"/>
      <c r="DZ97" s="1137"/>
      <c r="EA97" s="1137"/>
      <c r="EB97" s="1137"/>
      <c r="EC97" s="1137"/>
      <c r="ED97" s="1163"/>
      <c r="EE97" s="1137">
        <f>EE94/DZ94-1</f>
        <v>-1.512366310160429E-2</v>
      </c>
      <c r="EF97" s="1137">
        <f t="shared" ref="EF97:EW97" si="529">EF94/EA94-1</f>
        <v>-1.9230769230769273E-2</v>
      </c>
      <c r="EG97" s="1137">
        <f t="shared" si="529"/>
        <v>-3.3972052547903919E-2</v>
      </c>
      <c r="EH97" s="1137">
        <f t="shared" si="529"/>
        <v>-4.5244302413590121E-2</v>
      </c>
      <c r="EI97" s="1163">
        <f t="shared" si="529"/>
        <v>-4.5244302413590121E-2</v>
      </c>
      <c r="EJ97" s="1137">
        <f t="shared" si="529"/>
        <v>-5.4721303130567556E-2</v>
      </c>
      <c r="EK97" s="1137">
        <f t="shared" si="529"/>
        <v>-7.4083546462063055E-2</v>
      </c>
      <c r="EL97" s="1137">
        <f t="shared" si="529"/>
        <v>-8.9649198787353779E-2</v>
      </c>
      <c r="EM97" s="1137">
        <f t="shared" si="529"/>
        <v>-9.9004668369593984E-2</v>
      </c>
      <c r="EN97" s="1163">
        <f t="shared" si="529"/>
        <v>-9.9004668369593984E-2</v>
      </c>
      <c r="EO97" s="1137">
        <f t="shared" si="529"/>
        <v>-0.1123676180218991</v>
      </c>
      <c r="EP97" s="1137">
        <f t="shared" si="529"/>
        <v>-0.11849737593223464</v>
      </c>
      <c r="EQ97" s="1137">
        <f t="shared" si="529"/>
        <v>-0.12064700285442431</v>
      </c>
      <c r="ER97" s="1137">
        <f t="shared" si="529"/>
        <v>-0.12904487242154661</v>
      </c>
      <c r="ES97" s="1163">
        <f t="shared" ref="ES97" si="530">ES94/EN94-1</f>
        <v>-0.12904487242154661</v>
      </c>
      <c r="ET97" s="1137">
        <f t="shared" si="529"/>
        <v>-0.13174924165824065</v>
      </c>
      <c r="EU97" s="1137">
        <f t="shared" si="529"/>
        <v>-0.14361813244203048</v>
      </c>
      <c r="EV97" s="1137">
        <f t="shared" si="529"/>
        <v>-0.1540792036355767</v>
      </c>
      <c r="EW97" s="1137">
        <f t="shared" si="529"/>
        <v>-0.13828712537883037</v>
      </c>
      <c r="EX97" s="1163">
        <f t="shared" ref="EX97" si="531">EX94/ES94-1</f>
        <v>-0.13828712537883037</v>
      </c>
      <c r="EY97" s="1137">
        <f t="shared" ref="EY97" si="532">EY94/ET94-1</f>
        <v>-0.13852501039527942</v>
      </c>
      <c r="EZ97" s="1137">
        <f t="shared" ref="EZ97" si="533">EZ94/EU94-1</f>
        <v>-0.14065653652188614</v>
      </c>
      <c r="FA97" s="1137">
        <f t="shared" ref="FA97" si="534">FA94/EV94-1</f>
        <v>-0.1428932962125592</v>
      </c>
      <c r="FB97" s="1137">
        <f t="shared" ref="FB97:FC97" si="535">FB94/EW94-1</f>
        <v>-0.15520385567278905</v>
      </c>
      <c r="FC97" s="1163">
        <f t="shared" si="535"/>
        <v>-0.15520385567278905</v>
      </c>
      <c r="FD97" s="1137">
        <f t="shared" ref="FD97:FI97" si="536">FD94/FC94-1</f>
        <v>-0.12192436974789944</v>
      </c>
      <c r="FE97" s="1137">
        <f t="shared" si="536"/>
        <v>1.7198823760684601E-3</v>
      </c>
      <c r="FF97" s="1137">
        <f t="shared" si="536"/>
        <v>1.6762374452214956E-3</v>
      </c>
      <c r="FG97" s="1137">
        <f t="shared" si="536"/>
        <v>1.6319978658572154E-3</v>
      </c>
      <c r="FH97" s="1137">
        <f t="shared" si="536"/>
        <v>1.5871516015497633E-3</v>
      </c>
      <c r="FI97" s="1137">
        <f t="shared" si="536"/>
        <v>1.5416862889141569E-3</v>
      </c>
    </row>
    <row r="98" spans="1:166" x14ac:dyDescent="0.3">
      <c r="A98" s="55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4"/>
      <c r="DZ98" s="1"/>
      <c r="EA98" s="1"/>
      <c r="EB98" s="1"/>
      <c r="EC98" s="1"/>
      <c r="ED98" s="4"/>
      <c r="EE98" s="1"/>
      <c r="EF98" s="1"/>
      <c r="EG98" s="1"/>
      <c r="EH98" s="1"/>
      <c r="EI98" s="4"/>
      <c r="EJ98" s="1"/>
      <c r="EK98" s="1"/>
      <c r="EL98" s="1"/>
      <c r="EM98" s="1"/>
      <c r="EN98" s="4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59"/>
    </row>
    <row r="99" spans="1:166" x14ac:dyDescent="0.3">
      <c r="A99" s="60" t="s">
        <v>331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075">
        <f t="shared" ref="DU99:ED99" si="537">DV99</f>
        <v>15200</v>
      </c>
      <c r="DV99" s="1075">
        <f t="shared" si="537"/>
        <v>15200</v>
      </c>
      <c r="DW99" s="1075">
        <f t="shared" si="537"/>
        <v>15200</v>
      </c>
      <c r="DX99" s="1075">
        <f t="shared" si="537"/>
        <v>15200</v>
      </c>
      <c r="DY99" s="1075">
        <f t="shared" si="537"/>
        <v>15200</v>
      </c>
      <c r="DZ99" s="1075">
        <f t="shared" si="537"/>
        <v>15200</v>
      </c>
      <c r="EA99" s="1075">
        <f t="shared" si="537"/>
        <v>15200</v>
      </c>
      <c r="EB99" s="1075">
        <f t="shared" si="537"/>
        <v>15200</v>
      </c>
      <c r="EC99" s="1075">
        <f t="shared" si="537"/>
        <v>15200</v>
      </c>
      <c r="ED99" s="1075">
        <f t="shared" si="537"/>
        <v>15200</v>
      </c>
      <c r="EE99" s="1233">
        <f>Inputs!EE352*1000</f>
        <v>15200</v>
      </c>
      <c r="EF99" s="1233">
        <f>Inputs!EF352*1000</f>
        <v>15300</v>
      </c>
      <c r="EG99" s="1233">
        <f>Inputs!EG352*1000</f>
        <v>15300</v>
      </c>
      <c r="EH99" s="1233">
        <f>Inputs!EH352*1000</f>
        <v>15300</v>
      </c>
      <c r="EI99" s="1075">
        <f>EH99</f>
        <v>15300</v>
      </c>
      <c r="EJ99" s="1233">
        <f>Inputs!EJ352*1000</f>
        <v>15300</v>
      </c>
      <c r="EK99" s="1233">
        <f>Inputs!EK352*1000</f>
        <v>15300</v>
      </c>
      <c r="EL99" s="1233">
        <f>Inputs!EL352*1000</f>
        <v>15300</v>
      </c>
      <c r="EM99" s="1233">
        <f>Inputs!EM352*1000</f>
        <v>15400</v>
      </c>
      <c r="EN99" s="1075">
        <f>EM99</f>
        <v>15400</v>
      </c>
      <c r="EO99" s="1233">
        <f>Inputs!EO352*1000</f>
        <v>15400</v>
      </c>
      <c r="EP99" s="1233">
        <f>Inputs!EP352*1000</f>
        <v>15400</v>
      </c>
      <c r="EQ99" s="1233">
        <f>Inputs!EQ352*1000</f>
        <v>15400</v>
      </c>
      <c r="ER99" s="1233">
        <f>Inputs!ER352*1000</f>
        <v>15400</v>
      </c>
      <c r="ES99" s="1075">
        <f>ER99</f>
        <v>15400</v>
      </c>
      <c r="ET99" s="1233">
        <f>Inputs!ET352*1000</f>
        <v>15400</v>
      </c>
      <c r="EU99" s="1233">
        <f>Inputs!EU352*1000</f>
        <v>15400</v>
      </c>
      <c r="EV99" s="1233">
        <f>Inputs!EV352*1000</f>
        <v>15400</v>
      </c>
      <c r="EW99" s="1233">
        <f>Inputs!EW352*1000</f>
        <v>15500</v>
      </c>
      <c r="EX99" s="1075">
        <f>EW99</f>
        <v>15500</v>
      </c>
      <c r="EY99" s="1075">
        <f t="shared" ref="EY99" si="538">ET99*(1+EY101)</f>
        <v>15534.75</v>
      </c>
      <c r="EZ99" s="1075">
        <f t="shared" ref="EZ99" si="539">EU99*(1+EZ101)</f>
        <v>15561.699999999999</v>
      </c>
      <c r="FA99" s="1075">
        <f t="shared" ref="FA99" si="540">EV99*(1+FA101)</f>
        <v>15588.650000000001</v>
      </c>
      <c r="FB99" s="1075">
        <f t="shared" ref="FB99" si="541">EW99*(1+FB101)</f>
        <v>15608.499999999998</v>
      </c>
      <c r="FC99" s="1075">
        <f>FB99</f>
        <v>15608.499999999998</v>
      </c>
      <c r="FD99" s="1075">
        <f t="shared" ref="FD99:FI99" si="542">FC99*(1+FD101)</f>
        <v>15717.759499999996</v>
      </c>
      <c r="FE99" s="1075">
        <f t="shared" si="542"/>
        <v>15827.783816499994</v>
      </c>
      <c r="FF99" s="1075">
        <f t="shared" si="542"/>
        <v>15938.578303215492</v>
      </c>
      <c r="FG99" s="1075">
        <f t="shared" si="542"/>
        <v>16050.148351337999</v>
      </c>
      <c r="FH99" s="1075">
        <f t="shared" si="542"/>
        <v>16162.499389797364</v>
      </c>
      <c r="FI99" s="1075">
        <f t="shared" si="542"/>
        <v>16275.636885525944</v>
      </c>
    </row>
    <row r="100" spans="1:166" x14ac:dyDescent="0.3">
      <c r="A100" s="70" t="s">
        <v>326</v>
      </c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114">
        <v>0</v>
      </c>
      <c r="DV100" s="1114">
        <f>DV99-DU99</f>
        <v>0</v>
      </c>
      <c r="DW100" s="1114">
        <f>DW99-DV99</f>
        <v>0</v>
      </c>
      <c r="DX100" s="1114">
        <f>DX99-DW99</f>
        <v>0</v>
      </c>
      <c r="DY100" s="1115">
        <f>SUM(DU100:DX100)</f>
        <v>0</v>
      </c>
      <c r="DZ100" s="1114">
        <f>DZ99-DY99</f>
        <v>0</v>
      </c>
      <c r="EA100" s="1114">
        <f>EA99-DZ99</f>
        <v>0</v>
      </c>
      <c r="EB100" s="1114">
        <f>EB99-EA99</f>
        <v>0</v>
      </c>
      <c r="EC100" s="1114">
        <f>EC99-EB99</f>
        <v>0</v>
      </c>
      <c r="ED100" s="1115">
        <f>SUM(DZ100:EC100)</f>
        <v>0</v>
      </c>
      <c r="EE100" s="1114">
        <f>EE99-ED99</f>
        <v>0</v>
      </c>
      <c r="EF100" s="1114">
        <f>EF99-EE99</f>
        <v>100</v>
      </c>
      <c r="EG100" s="1114">
        <f>EG99-EF99</f>
        <v>0</v>
      </c>
      <c r="EH100" s="1114">
        <f>EH99-EG99</f>
        <v>0</v>
      </c>
      <c r="EI100" s="1115">
        <f>SUM(EE100:EH100)</f>
        <v>100</v>
      </c>
      <c r="EJ100" s="1114">
        <f>EJ99-EI99</f>
        <v>0</v>
      </c>
      <c r="EK100" s="1114">
        <f>EK99-EJ99</f>
        <v>0</v>
      </c>
      <c r="EL100" s="1114">
        <f>EL99-EK99</f>
        <v>0</v>
      </c>
      <c r="EM100" s="1114">
        <f>EM99-EL99</f>
        <v>100</v>
      </c>
      <c r="EN100" s="1115">
        <f>SUM(EJ100:EM100)</f>
        <v>100</v>
      </c>
      <c r="EO100" s="1114">
        <f>EO99-EN99</f>
        <v>0</v>
      </c>
      <c r="EP100" s="1114">
        <f>EP99-EO99</f>
        <v>0</v>
      </c>
      <c r="EQ100" s="1114">
        <f>EQ99-EP99</f>
        <v>0</v>
      </c>
      <c r="ER100" s="1114">
        <f>ER99-EQ99</f>
        <v>0</v>
      </c>
      <c r="ES100" s="1115">
        <f>SUM(EO100:ER100)</f>
        <v>0</v>
      </c>
      <c r="ET100" s="1114">
        <f>ET99-ES99</f>
        <v>0</v>
      </c>
      <c r="EU100" s="1114">
        <f>EU99-ET99</f>
        <v>0</v>
      </c>
      <c r="EV100" s="1114">
        <f>EV99-EU99</f>
        <v>0</v>
      </c>
      <c r="EW100" s="1114">
        <f>EW99-EV99</f>
        <v>100</v>
      </c>
      <c r="EX100" s="1115">
        <f>SUM(ET100:EW100)</f>
        <v>100</v>
      </c>
      <c r="EY100" s="1114">
        <f t="shared" ref="EY100" si="543">EY99-EX99</f>
        <v>34.75</v>
      </c>
      <c r="EZ100" s="1114">
        <f t="shared" ref="EZ100" si="544">EZ99-EY99</f>
        <v>26.949999999998909</v>
      </c>
      <c r="FA100" s="1114">
        <f t="shared" ref="FA100" si="545">FA99-EZ99</f>
        <v>26.950000000002547</v>
      </c>
      <c r="FB100" s="1114">
        <f t="shared" ref="FB100" si="546">FB99-FA99</f>
        <v>19.849999999996726</v>
      </c>
      <c r="FC100" s="1115">
        <f>SUM(EY100:FB100)</f>
        <v>108.49999999999818</v>
      </c>
      <c r="FD100" s="1114">
        <f t="shared" ref="FD100:FI100" si="547">FD99-FC99</f>
        <v>109.2594999999983</v>
      </c>
      <c r="FE100" s="1114">
        <f t="shared" si="547"/>
        <v>110.02431649999744</v>
      </c>
      <c r="FF100" s="1114">
        <f t="shared" si="547"/>
        <v>110.79448671549835</v>
      </c>
      <c r="FG100" s="1114">
        <f t="shared" si="547"/>
        <v>111.57004812250671</v>
      </c>
      <c r="FH100" s="1114">
        <f t="shared" si="547"/>
        <v>112.35103845936464</v>
      </c>
      <c r="FI100" s="1114">
        <f t="shared" si="547"/>
        <v>113.13749572858069</v>
      </c>
    </row>
    <row r="101" spans="1:166" x14ac:dyDescent="0.3">
      <c r="A101" s="61" t="s">
        <v>29</v>
      </c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136"/>
      <c r="DV101" s="1136"/>
      <c r="DW101" s="1136"/>
      <c r="DX101" s="1136"/>
      <c r="DY101" s="1201"/>
      <c r="DZ101" s="1137">
        <f t="shared" ref="DZ101:EW101" si="548">DZ99/DU99-1</f>
        <v>0</v>
      </c>
      <c r="EA101" s="1137">
        <f t="shared" si="548"/>
        <v>0</v>
      </c>
      <c r="EB101" s="1137">
        <f t="shared" si="548"/>
        <v>0</v>
      </c>
      <c r="EC101" s="1137">
        <f t="shared" si="548"/>
        <v>0</v>
      </c>
      <c r="ED101" s="1163">
        <f t="shared" si="548"/>
        <v>0</v>
      </c>
      <c r="EE101" s="1137">
        <f t="shared" si="548"/>
        <v>0</v>
      </c>
      <c r="EF101" s="1137">
        <f t="shared" si="548"/>
        <v>6.5789473684210176E-3</v>
      </c>
      <c r="EG101" s="1137">
        <f t="shared" si="548"/>
        <v>6.5789473684210176E-3</v>
      </c>
      <c r="EH101" s="1137">
        <f t="shared" si="548"/>
        <v>6.5789473684210176E-3</v>
      </c>
      <c r="EI101" s="1163">
        <f t="shared" si="548"/>
        <v>6.5789473684210176E-3</v>
      </c>
      <c r="EJ101" s="1137">
        <f t="shared" si="548"/>
        <v>6.5789473684210176E-3</v>
      </c>
      <c r="EK101" s="1137">
        <f t="shared" si="548"/>
        <v>0</v>
      </c>
      <c r="EL101" s="1137">
        <f t="shared" si="548"/>
        <v>0</v>
      </c>
      <c r="EM101" s="1137">
        <f t="shared" si="548"/>
        <v>6.5359477124182774E-3</v>
      </c>
      <c r="EN101" s="1163">
        <f t="shared" si="548"/>
        <v>6.5359477124182774E-3</v>
      </c>
      <c r="EO101" s="1137">
        <f t="shared" si="548"/>
        <v>6.5359477124182774E-3</v>
      </c>
      <c r="EP101" s="1137">
        <f t="shared" si="548"/>
        <v>6.5359477124182774E-3</v>
      </c>
      <c r="EQ101" s="1137">
        <f t="shared" si="548"/>
        <v>6.5359477124182774E-3</v>
      </c>
      <c r="ER101" s="1137">
        <f t="shared" si="548"/>
        <v>0</v>
      </c>
      <c r="ES101" s="1163">
        <f t="shared" ref="ES101" si="549">ES99/EN99-1</f>
        <v>0</v>
      </c>
      <c r="ET101" s="1137">
        <f t="shared" si="548"/>
        <v>0</v>
      </c>
      <c r="EU101" s="1137">
        <f t="shared" si="548"/>
        <v>0</v>
      </c>
      <c r="EV101" s="1137">
        <f t="shared" si="548"/>
        <v>0</v>
      </c>
      <c r="EW101" s="1137">
        <f t="shared" si="548"/>
        <v>6.4935064935065512E-3</v>
      </c>
      <c r="EX101" s="1163">
        <f t="shared" ref="EX101" si="550">EX99/ES99-1</f>
        <v>6.4935064935065512E-3</v>
      </c>
      <c r="EY101" s="1270">
        <v>8.7500000000000008E-3</v>
      </c>
      <c r="EZ101" s="1270">
        <f>EY101+0.175%</f>
        <v>1.0500000000000001E-2</v>
      </c>
      <c r="FA101" s="1270">
        <f>EZ101+0.175%</f>
        <v>1.225E-2</v>
      </c>
      <c r="FB101" s="1270">
        <v>7.0000000000000001E-3</v>
      </c>
      <c r="FC101" s="1163">
        <f t="shared" ref="FC101" si="551">FC99/EX99-1</f>
        <v>6.9999999999998952E-3</v>
      </c>
      <c r="FD101" s="1270">
        <v>7.0000000000000001E-3</v>
      </c>
      <c r="FE101" s="1270">
        <v>7.0000000000000001E-3</v>
      </c>
      <c r="FF101" s="1270">
        <v>7.0000000000000001E-3</v>
      </c>
      <c r="FG101" s="1270">
        <v>7.0000000000000001E-3</v>
      </c>
      <c r="FH101" s="1270">
        <v>7.0000000000000001E-3</v>
      </c>
      <c r="FI101" s="1270">
        <v>7.0000000000000001E-3</v>
      </c>
    </row>
    <row r="102" spans="1:166" x14ac:dyDescent="0.3">
      <c r="A102" s="55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4"/>
      <c r="DZ102" s="1"/>
      <c r="EA102" s="1"/>
      <c r="EB102" s="1"/>
      <c r="EC102" s="1"/>
      <c r="ED102" s="4"/>
      <c r="EE102" s="1"/>
      <c r="EF102" s="1"/>
      <c r="EG102" s="1"/>
      <c r="EH102" s="1"/>
      <c r="EI102" s="4"/>
      <c r="EJ102" s="1"/>
      <c r="EK102" s="1"/>
      <c r="EL102" s="1"/>
      <c r="EM102" s="1"/>
      <c r="EN102" s="4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59"/>
    </row>
    <row r="103" spans="1:166" x14ac:dyDescent="0.3">
      <c r="A103" s="55" t="s">
        <v>332</v>
      </c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4"/>
      <c r="DZ103" s="1"/>
      <c r="EA103" s="1"/>
      <c r="EB103" s="1"/>
      <c r="EC103" s="1"/>
      <c r="ED103" s="4"/>
      <c r="EE103" s="1"/>
      <c r="EF103" s="1"/>
      <c r="EG103" s="1"/>
      <c r="EH103" s="1"/>
      <c r="EI103" s="4"/>
      <c r="EJ103" s="1"/>
      <c r="EK103" s="1"/>
      <c r="EL103" s="1"/>
      <c r="EM103" s="1"/>
      <c r="EN103" s="4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59"/>
    </row>
    <row r="104" spans="1:166" x14ac:dyDescent="0.3">
      <c r="A104" s="67" t="s">
        <v>325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114">
        <f>DU82</f>
        <v>3223</v>
      </c>
      <c r="DV104" s="1114">
        <f>AVERAGE(DU82:DV82)</f>
        <v>3223</v>
      </c>
      <c r="DW104" s="1114">
        <f t="shared" ref="DW104:DX104" si="552">AVERAGE(DV82:DW82)</f>
        <v>3223</v>
      </c>
      <c r="DX104" s="1114">
        <f t="shared" si="552"/>
        <v>3223</v>
      </c>
      <c r="DY104" s="1115">
        <f>AVERAGE(DU104:DX104)</f>
        <v>3223</v>
      </c>
      <c r="DZ104" s="1114">
        <f t="shared" ref="DZ104:EC104" si="553">AVERAGE(DY82:DZ82)</f>
        <v>3223</v>
      </c>
      <c r="EA104" s="1114">
        <f t="shared" si="553"/>
        <v>3223</v>
      </c>
      <c r="EB104" s="1114">
        <f t="shared" si="553"/>
        <v>3223</v>
      </c>
      <c r="EC104" s="1114">
        <f t="shared" si="553"/>
        <v>3223</v>
      </c>
      <c r="ED104" s="1115">
        <f>AVERAGE(DZ104:EC104)</f>
        <v>3223</v>
      </c>
      <c r="EE104" s="1114">
        <f t="shared" ref="EE104:EW104" si="554">AVERAGE(ED82:EE82)</f>
        <v>3223</v>
      </c>
      <c r="EF104" s="1114">
        <f t="shared" si="554"/>
        <v>3223</v>
      </c>
      <c r="EG104" s="1114">
        <f t="shared" si="554"/>
        <v>3223</v>
      </c>
      <c r="EH104" s="1114">
        <f t="shared" si="554"/>
        <v>3223</v>
      </c>
      <c r="EI104" s="1115">
        <f>AVERAGE(EE104:EH104)</f>
        <v>3223</v>
      </c>
      <c r="EJ104" s="1114">
        <f t="shared" si="554"/>
        <v>3223</v>
      </c>
      <c r="EK104" s="1114">
        <f t="shared" si="554"/>
        <v>3223</v>
      </c>
      <c r="EL104" s="1114">
        <f t="shared" si="554"/>
        <v>3223</v>
      </c>
      <c r="EM104" s="1114">
        <f t="shared" si="554"/>
        <v>3223</v>
      </c>
      <c r="EN104" s="1115">
        <f>AVERAGE(EJ104:EM104)</f>
        <v>3223</v>
      </c>
      <c r="EO104" s="1114">
        <f t="shared" si="554"/>
        <v>3223</v>
      </c>
      <c r="EP104" s="1114">
        <f t="shared" si="554"/>
        <v>3223</v>
      </c>
      <c r="EQ104" s="1114">
        <f t="shared" si="554"/>
        <v>3223</v>
      </c>
      <c r="ER104" s="1114">
        <f t="shared" si="554"/>
        <v>3223</v>
      </c>
      <c r="ES104" s="1115">
        <f>AVERAGE(EO104:ER104)</f>
        <v>3223</v>
      </c>
      <c r="ET104" s="1114">
        <f t="shared" si="554"/>
        <v>3223</v>
      </c>
      <c r="EU104" s="1114">
        <f t="shared" si="554"/>
        <v>3223</v>
      </c>
      <c r="EV104" s="1114">
        <f t="shared" si="554"/>
        <v>3223</v>
      </c>
      <c r="EW104" s="1114">
        <f t="shared" si="554"/>
        <v>3223</v>
      </c>
      <c r="EX104" s="1115">
        <f>AVERAGE(ET104:EW104)</f>
        <v>3223</v>
      </c>
      <c r="EY104" s="1114">
        <f t="shared" ref="EY104" si="555">AVERAGE(EX82:EY82)</f>
        <v>3223</v>
      </c>
      <c r="EZ104" s="1114">
        <f t="shared" ref="EZ104" si="556">AVERAGE(EY82:EZ82)</f>
        <v>3223</v>
      </c>
      <c r="FA104" s="1114">
        <f t="shared" ref="FA104" si="557">AVERAGE(EZ82:FA82)</f>
        <v>3223</v>
      </c>
      <c r="FB104" s="1114">
        <f t="shared" ref="FB104" si="558">AVERAGE(FA82:FB82)</f>
        <v>3223</v>
      </c>
      <c r="FC104" s="1115">
        <f>AVERAGE(EY104:FB104)</f>
        <v>3223</v>
      </c>
      <c r="FD104" s="1114">
        <f t="shared" ref="FD104:FI104" si="559">AVERAGE(FC82:FD82)</f>
        <v>3223</v>
      </c>
      <c r="FE104" s="1114">
        <f t="shared" si="559"/>
        <v>3223</v>
      </c>
      <c r="FF104" s="1114">
        <f t="shared" si="559"/>
        <v>3223</v>
      </c>
      <c r="FG104" s="1114">
        <f t="shared" si="559"/>
        <v>3223</v>
      </c>
      <c r="FH104" s="1114">
        <f t="shared" si="559"/>
        <v>3223</v>
      </c>
      <c r="FI104" s="1114">
        <f t="shared" si="559"/>
        <v>3223</v>
      </c>
    </row>
    <row r="105" spans="1:166" x14ac:dyDescent="0.3">
      <c r="A105" s="56" t="s">
        <v>327</v>
      </c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114">
        <f>DU86</f>
        <v>0</v>
      </c>
      <c r="DV105" s="1114">
        <f>AVERAGE(DU86:DV86)</f>
        <v>0</v>
      </c>
      <c r="DW105" s="1114">
        <f t="shared" ref="DW105:DX105" si="560">AVERAGE(DV86:DW86)</f>
        <v>0</v>
      </c>
      <c r="DX105" s="1114">
        <f t="shared" si="560"/>
        <v>0</v>
      </c>
      <c r="DY105" s="1115">
        <f t="shared" ref="DY105:DY108" si="561">AVERAGE(DU105:DX105)</f>
        <v>0</v>
      </c>
      <c r="DZ105" s="1114">
        <f t="shared" ref="DZ105:EC105" si="562">AVERAGE(DY86:DZ86)</f>
        <v>4.5</v>
      </c>
      <c r="EA105" s="1114">
        <f t="shared" si="562"/>
        <v>13</v>
      </c>
      <c r="EB105" s="1114">
        <f t="shared" si="562"/>
        <v>21.5</v>
      </c>
      <c r="EC105" s="1114">
        <f t="shared" si="562"/>
        <v>56</v>
      </c>
      <c r="ED105" s="1115">
        <f t="shared" ref="ED105:ED108" si="563">AVERAGE(DZ105:EC105)</f>
        <v>23.75</v>
      </c>
      <c r="EE105" s="1114">
        <f t="shared" ref="EE105:EW105" si="564">AVERAGE(ED86:EE86)</f>
        <v>138</v>
      </c>
      <c r="EF105" s="1114">
        <f t="shared" si="564"/>
        <v>268.5</v>
      </c>
      <c r="EG105" s="1114">
        <f t="shared" si="564"/>
        <v>439.5</v>
      </c>
      <c r="EH105" s="1114">
        <f t="shared" si="564"/>
        <v>628</v>
      </c>
      <c r="EI105" s="1115">
        <f t="shared" ref="EI105:EI108" si="565">AVERAGE(EE105:EH105)</f>
        <v>368.5</v>
      </c>
      <c r="EJ105" s="1114">
        <f t="shared" si="564"/>
        <v>829.5</v>
      </c>
      <c r="EK105" s="1114">
        <f t="shared" si="564"/>
        <v>1075.5</v>
      </c>
      <c r="EL105" s="1114">
        <f t="shared" si="564"/>
        <v>1391.5</v>
      </c>
      <c r="EM105" s="1114">
        <f t="shared" si="564"/>
        <v>1757.5</v>
      </c>
      <c r="EN105" s="1115">
        <f t="shared" ref="EN105:EN108" si="566">AVERAGE(EJ105:EM105)</f>
        <v>1263.5</v>
      </c>
      <c r="EO105" s="1114">
        <f t="shared" si="564"/>
        <v>2117.5</v>
      </c>
      <c r="EP105" s="1114">
        <f t="shared" si="564"/>
        <v>2445</v>
      </c>
      <c r="EQ105" s="1114">
        <f t="shared" si="564"/>
        <v>2769</v>
      </c>
      <c r="ER105" s="1114">
        <f t="shared" si="564"/>
        <v>3101.5</v>
      </c>
      <c r="ES105" s="1115">
        <f t="shared" ref="ES105:ES108" si="567">AVERAGE(EO105:ER105)</f>
        <v>2608.25</v>
      </c>
      <c r="ET105" s="1114">
        <f t="shared" si="564"/>
        <v>3429</v>
      </c>
      <c r="EU105" s="1114">
        <f t="shared" si="564"/>
        <v>3784</v>
      </c>
      <c r="EV105" s="1114">
        <f t="shared" si="564"/>
        <v>4168.5</v>
      </c>
      <c r="EW105" s="1114">
        <f t="shared" si="564"/>
        <v>4479.5</v>
      </c>
      <c r="EX105" s="1115">
        <f t="shared" ref="EX105:EX108" si="568">AVERAGE(ET105:EW105)</f>
        <v>3965.25</v>
      </c>
      <c r="EY105" s="1114">
        <f t="shared" ref="EY105" si="569">AVERAGE(EX86:EY86)</f>
        <v>4757.132132132132</v>
      </c>
      <c r="EZ105" s="1114">
        <f t="shared" ref="EZ105" si="570">AVERAGE(EY86:EZ86)</f>
        <v>5103.6036036036039</v>
      </c>
      <c r="FA105" s="1114">
        <f t="shared" ref="FA105" si="571">AVERAGE(EZ86:FA86)</f>
        <v>5478.8663663663665</v>
      </c>
      <c r="FB105" s="1114">
        <f t="shared" ref="FB105" si="572">AVERAGE(FA86:FB86)</f>
        <v>5782.3948948948946</v>
      </c>
      <c r="FC105" s="1115">
        <f t="shared" ref="FC105:FC108" si="573">AVERAGE(EY105:FB105)</f>
        <v>5280.4992492492493</v>
      </c>
      <c r="FD105" s="1114">
        <f t="shared" ref="FD105:FI105" si="574">AVERAGE(FC86:FD86)</f>
        <v>6350</v>
      </c>
      <c r="FE105" s="1114">
        <f t="shared" si="574"/>
        <v>6850.1149999999998</v>
      </c>
      <c r="FF105" s="1114">
        <f t="shared" si="574"/>
        <v>6950.8461499999994</v>
      </c>
      <c r="FG105" s="1114">
        <f t="shared" si="574"/>
        <v>7052.5846114999986</v>
      </c>
      <c r="FH105" s="1114">
        <f t="shared" si="574"/>
        <v>7155.3404576149987</v>
      </c>
      <c r="FI105" s="1114">
        <f t="shared" si="574"/>
        <v>7259.1238621911489</v>
      </c>
    </row>
    <row r="106" spans="1:166" x14ac:dyDescent="0.3">
      <c r="A106" s="56" t="s">
        <v>328</v>
      </c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114">
        <f>SUM(DU104:DU105)</f>
        <v>3223</v>
      </c>
      <c r="DV106" s="1114">
        <f>SUM(DV104:DV105)</f>
        <v>3223</v>
      </c>
      <c r="DW106" s="1114">
        <f t="shared" ref="DW106:DX106" si="575">SUM(DW104:DW105)</f>
        <v>3223</v>
      </c>
      <c r="DX106" s="1114">
        <f t="shared" si="575"/>
        <v>3223</v>
      </c>
      <c r="DY106" s="1115">
        <f t="shared" si="561"/>
        <v>3223</v>
      </c>
      <c r="DZ106" s="1114">
        <f t="shared" ref="DZ106:EC106" si="576">SUM(DZ104:DZ105)</f>
        <v>3227.5</v>
      </c>
      <c r="EA106" s="1114">
        <f t="shared" si="576"/>
        <v>3236</v>
      </c>
      <c r="EB106" s="1114">
        <f t="shared" si="576"/>
        <v>3244.5</v>
      </c>
      <c r="EC106" s="1114">
        <f t="shared" si="576"/>
        <v>3279</v>
      </c>
      <c r="ED106" s="1115">
        <f t="shared" si="563"/>
        <v>3246.75</v>
      </c>
      <c r="EE106" s="1114">
        <f t="shared" ref="EE106" si="577">SUM(EE104:EE105)</f>
        <v>3361</v>
      </c>
      <c r="EF106" s="1114">
        <f t="shared" ref="EF106" si="578">SUM(EF104:EF105)</f>
        <v>3491.5</v>
      </c>
      <c r="EG106" s="1114">
        <f t="shared" ref="EG106:EH106" si="579">SUM(EG104:EG105)</f>
        <v>3662.5</v>
      </c>
      <c r="EH106" s="1114">
        <f t="shared" si="579"/>
        <v>3851</v>
      </c>
      <c r="EI106" s="1115">
        <f t="shared" si="565"/>
        <v>3591.5</v>
      </c>
      <c r="EJ106" s="1114">
        <f t="shared" ref="EJ106:EK106" si="580">SUM(EJ104:EJ105)</f>
        <v>4052.5</v>
      </c>
      <c r="EK106" s="1114">
        <f t="shared" si="580"/>
        <v>4298.5</v>
      </c>
      <c r="EL106" s="1114">
        <f t="shared" ref="EL106:EM106" si="581">SUM(EL104:EL105)</f>
        <v>4614.5</v>
      </c>
      <c r="EM106" s="1114">
        <f t="shared" si="581"/>
        <v>4980.5</v>
      </c>
      <c r="EN106" s="1115">
        <f t="shared" si="566"/>
        <v>4486.5</v>
      </c>
      <c r="EO106" s="1114">
        <f t="shared" ref="EO106:EP106" si="582">SUM(EO104:EO105)</f>
        <v>5340.5</v>
      </c>
      <c r="EP106" s="1114">
        <f t="shared" si="582"/>
        <v>5668</v>
      </c>
      <c r="EQ106" s="1114">
        <f t="shared" ref="EQ106:ER106" si="583">SUM(EQ104:EQ105)</f>
        <v>5992</v>
      </c>
      <c r="ER106" s="1114">
        <f t="shared" si="583"/>
        <v>6324.5</v>
      </c>
      <c r="ES106" s="1115">
        <f t="shared" si="567"/>
        <v>5831.25</v>
      </c>
      <c r="ET106" s="1114">
        <f t="shared" ref="ET106:EU106" si="584">SUM(ET104:ET105)</f>
        <v>6652</v>
      </c>
      <c r="EU106" s="1114">
        <f t="shared" si="584"/>
        <v>7007</v>
      </c>
      <c r="EV106" s="1114">
        <f t="shared" ref="EV106:EW106" si="585">SUM(EV104:EV105)</f>
        <v>7391.5</v>
      </c>
      <c r="EW106" s="1114">
        <f t="shared" si="585"/>
        <v>7702.5</v>
      </c>
      <c r="EX106" s="1115">
        <f t="shared" si="568"/>
        <v>7188.25</v>
      </c>
      <c r="EY106" s="1114">
        <f t="shared" ref="EY106:FB106" si="586">SUM(EY104:EY105)</f>
        <v>7980.132132132132</v>
      </c>
      <c r="EZ106" s="1114">
        <f t="shared" si="586"/>
        <v>8326.6036036036039</v>
      </c>
      <c r="FA106" s="1114">
        <f t="shared" si="586"/>
        <v>8701.8663663663665</v>
      </c>
      <c r="FB106" s="1114">
        <f t="shared" si="586"/>
        <v>9005.3948948948946</v>
      </c>
      <c r="FC106" s="1115">
        <f t="shared" si="573"/>
        <v>8503.4992492492493</v>
      </c>
      <c r="FD106" s="1114">
        <f t="shared" ref="FD106" si="587">SUM(FD104:FD105)</f>
        <v>9573</v>
      </c>
      <c r="FE106" s="1114">
        <f t="shared" ref="FE106" si="588">SUM(FE104:FE105)</f>
        <v>10073.115</v>
      </c>
      <c r="FF106" s="1114">
        <f t="shared" ref="FF106" si="589">SUM(FF104:FF105)</f>
        <v>10173.846149999999</v>
      </c>
      <c r="FG106" s="1114">
        <f t="shared" ref="FG106" si="590">SUM(FG104:FG105)</f>
        <v>10275.584611499999</v>
      </c>
      <c r="FH106" s="1114">
        <f t="shared" ref="FH106" si="591">SUM(FH104:FH105)</f>
        <v>10378.340457614999</v>
      </c>
      <c r="FI106" s="1114">
        <f t="shared" ref="FI106" si="592">SUM(FI104:FI105)</f>
        <v>10482.123862191149</v>
      </c>
    </row>
    <row r="107" spans="1:166" x14ac:dyDescent="0.3">
      <c r="A107" s="56" t="s">
        <v>329</v>
      </c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59">
        <f>DU94</f>
        <v>11977</v>
      </c>
      <c r="DV107" s="59">
        <f>AVERAGE(DU94:DV94)</f>
        <v>11977</v>
      </c>
      <c r="DW107" s="59">
        <f t="shared" ref="DW107:DX107" si="593">AVERAGE(DV94:DW94)</f>
        <v>11977</v>
      </c>
      <c r="DX107" s="59">
        <f t="shared" si="593"/>
        <v>11977</v>
      </c>
      <c r="DY107" s="1115">
        <f t="shared" si="561"/>
        <v>11977</v>
      </c>
      <c r="DZ107" s="59">
        <f t="shared" ref="DZ107:EC107" si="594">AVERAGE(DY94:DZ94)</f>
        <v>11972.5</v>
      </c>
      <c r="EA107" s="59">
        <f t="shared" si="594"/>
        <v>11964</v>
      </c>
      <c r="EB107" s="59">
        <f t="shared" si="594"/>
        <v>11955.5</v>
      </c>
      <c r="EC107" s="59">
        <f t="shared" si="594"/>
        <v>11921</v>
      </c>
      <c r="ED107" s="1115">
        <f t="shared" si="563"/>
        <v>11953.25</v>
      </c>
      <c r="EE107" s="59">
        <f t="shared" ref="EE107:EW107" si="595">AVERAGE(ED94:EE94)</f>
        <v>11839</v>
      </c>
      <c r="EF107" s="59">
        <f t="shared" si="595"/>
        <v>11758.5</v>
      </c>
      <c r="EG107" s="59">
        <f t="shared" si="595"/>
        <v>11637.5</v>
      </c>
      <c r="EH107" s="59">
        <f t="shared" si="595"/>
        <v>11449</v>
      </c>
      <c r="EI107" s="1115">
        <f t="shared" si="565"/>
        <v>11671</v>
      </c>
      <c r="EJ107" s="59">
        <f t="shared" si="595"/>
        <v>11247.5</v>
      </c>
      <c r="EK107" s="59">
        <f t="shared" si="595"/>
        <v>11001.5</v>
      </c>
      <c r="EL107" s="59">
        <f t="shared" si="595"/>
        <v>10685.5</v>
      </c>
      <c r="EM107" s="59">
        <f t="shared" si="595"/>
        <v>10369.5</v>
      </c>
      <c r="EN107" s="1115">
        <f t="shared" si="566"/>
        <v>10826</v>
      </c>
      <c r="EO107" s="59">
        <f t="shared" si="595"/>
        <v>10059.5</v>
      </c>
      <c r="EP107" s="59">
        <f t="shared" si="595"/>
        <v>9732</v>
      </c>
      <c r="EQ107" s="59">
        <f t="shared" si="595"/>
        <v>9408</v>
      </c>
      <c r="ER107" s="59">
        <f t="shared" si="595"/>
        <v>9075.5</v>
      </c>
      <c r="ES107" s="1115">
        <f t="shared" si="567"/>
        <v>9568.75</v>
      </c>
      <c r="ET107" s="59">
        <f t="shared" si="595"/>
        <v>8748</v>
      </c>
      <c r="EU107" s="59">
        <f t="shared" si="595"/>
        <v>8393</v>
      </c>
      <c r="EV107" s="59">
        <f t="shared" si="595"/>
        <v>8008.5</v>
      </c>
      <c r="EW107" s="59">
        <f t="shared" si="595"/>
        <v>7747.5</v>
      </c>
      <c r="EX107" s="1115">
        <f t="shared" si="568"/>
        <v>8224.25</v>
      </c>
      <c r="EY107" s="59">
        <f t="shared" ref="EY107" si="596">AVERAGE(EX94:EY94)</f>
        <v>7537.242867867868</v>
      </c>
      <c r="EZ107" s="59">
        <f t="shared" ref="EZ107" si="597">AVERAGE(EY94:EZ94)</f>
        <v>7221.6213963963955</v>
      </c>
      <c r="FA107" s="59">
        <f t="shared" ref="FA107" si="598">AVERAGE(EZ94:FA94)</f>
        <v>6873.3086336336337</v>
      </c>
      <c r="FB107" s="59">
        <f t="shared" ref="FB107" si="599">AVERAGE(FA94:FB94)</f>
        <v>6593.1801051051052</v>
      </c>
      <c r="FC107" s="1115">
        <f t="shared" si="573"/>
        <v>7056.3382507507504</v>
      </c>
      <c r="FD107" s="59">
        <f t="shared" ref="FD107:FI107" si="600">AVERAGE(FC94:FD94)</f>
        <v>6090.1297499999973</v>
      </c>
      <c r="FE107" s="59">
        <f t="shared" si="600"/>
        <v>5699.6566582499954</v>
      </c>
      <c r="FF107" s="59">
        <f t="shared" si="600"/>
        <v>5709.3349098577437</v>
      </c>
      <c r="FG107" s="59">
        <f t="shared" si="600"/>
        <v>5718.778715776747</v>
      </c>
      <c r="FH107" s="59">
        <f t="shared" si="600"/>
        <v>5727.9834129526826</v>
      </c>
      <c r="FI107" s="59">
        <f t="shared" si="600"/>
        <v>5736.9442754705051</v>
      </c>
    </row>
    <row r="108" spans="1:166" x14ac:dyDescent="0.3">
      <c r="A108" s="56" t="s">
        <v>331</v>
      </c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114">
        <f>DU106+DU107</f>
        <v>15200</v>
      </c>
      <c r="DV108" s="1114">
        <f>DV106+DV107</f>
        <v>15200</v>
      </c>
      <c r="DW108" s="1114">
        <f t="shared" ref="DW108:DX108" si="601">DW106+DW107</f>
        <v>15200</v>
      </c>
      <c r="DX108" s="1114">
        <f t="shared" si="601"/>
        <v>15200</v>
      </c>
      <c r="DY108" s="1115">
        <f t="shared" si="561"/>
        <v>15200</v>
      </c>
      <c r="DZ108" s="1114">
        <f t="shared" ref="DZ108:EC108" si="602">DZ106+DZ107</f>
        <v>15200</v>
      </c>
      <c r="EA108" s="1114">
        <f t="shared" si="602"/>
        <v>15200</v>
      </c>
      <c r="EB108" s="1114">
        <f t="shared" si="602"/>
        <v>15200</v>
      </c>
      <c r="EC108" s="1114">
        <f t="shared" si="602"/>
        <v>15200</v>
      </c>
      <c r="ED108" s="1115">
        <f t="shared" si="563"/>
        <v>15200</v>
      </c>
      <c r="EE108" s="1114">
        <f t="shared" ref="EE108" si="603">EE106+EE107</f>
        <v>15200</v>
      </c>
      <c r="EF108" s="1114">
        <f t="shared" ref="EF108" si="604">EF106+EF107</f>
        <v>15250</v>
      </c>
      <c r="EG108" s="1114">
        <f t="shared" ref="EG108:EH108" si="605">EG106+EG107</f>
        <v>15300</v>
      </c>
      <c r="EH108" s="1114">
        <f t="shared" si="605"/>
        <v>15300</v>
      </c>
      <c r="EI108" s="1115">
        <f t="shared" si="565"/>
        <v>15262.5</v>
      </c>
      <c r="EJ108" s="1114">
        <f t="shared" ref="EJ108:EK108" si="606">EJ106+EJ107</f>
        <v>15300</v>
      </c>
      <c r="EK108" s="1114">
        <f t="shared" si="606"/>
        <v>15300</v>
      </c>
      <c r="EL108" s="1114">
        <f t="shared" ref="EL108:EM108" si="607">EL106+EL107</f>
        <v>15300</v>
      </c>
      <c r="EM108" s="1114">
        <f t="shared" si="607"/>
        <v>15350</v>
      </c>
      <c r="EN108" s="1115">
        <f t="shared" si="566"/>
        <v>15312.5</v>
      </c>
      <c r="EO108" s="1114">
        <f t="shared" ref="EO108:EP108" si="608">EO106+EO107</f>
        <v>15400</v>
      </c>
      <c r="EP108" s="1114">
        <f t="shared" si="608"/>
        <v>15400</v>
      </c>
      <c r="EQ108" s="1114">
        <f t="shared" ref="EQ108:ER108" si="609">EQ106+EQ107</f>
        <v>15400</v>
      </c>
      <c r="ER108" s="1114">
        <f t="shared" si="609"/>
        <v>15400</v>
      </c>
      <c r="ES108" s="1115">
        <f t="shared" si="567"/>
        <v>15400</v>
      </c>
      <c r="ET108" s="1114">
        <f t="shared" ref="ET108:EU108" si="610">ET106+ET107</f>
        <v>15400</v>
      </c>
      <c r="EU108" s="1114">
        <f t="shared" si="610"/>
        <v>15400</v>
      </c>
      <c r="EV108" s="1114">
        <f t="shared" ref="EV108:EW108" si="611">EV106+EV107</f>
        <v>15400</v>
      </c>
      <c r="EW108" s="1114">
        <f t="shared" si="611"/>
        <v>15450</v>
      </c>
      <c r="EX108" s="1115">
        <f t="shared" si="568"/>
        <v>15412.5</v>
      </c>
      <c r="EY108" s="1114">
        <f t="shared" ref="EY108:FB108" si="612">EY106+EY107</f>
        <v>15517.375</v>
      </c>
      <c r="EZ108" s="1114">
        <f t="shared" si="612"/>
        <v>15548.224999999999</v>
      </c>
      <c r="FA108" s="1114">
        <f t="shared" si="612"/>
        <v>15575.174999999999</v>
      </c>
      <c r="FB108" s="1114">
        <f t="shared" si="612"/>
        <v>15598.575000000001</v>
      </c>
      <c r="FC108" s="1115">
        <f t="shared" si="573"/>
        <v>15559.837499999998</v>
      </c>
      <c r="FD108" s="1114">
        <f t="shared" ref="FD108" si="613">FD106+FD107</f>
        <v>15663.129749999996</v>
      </c>
      <c r="FE108" s="1114">
        <f t="shared" ref="FE108" si="614">FE106+FE107</f>
        <v>15772.771658249996</v>
      </c>
      <c r="FF108" s="1114">
        <f t="shared" ref="FF108" si="615">FF106+FF107</f>
        <v>15883.181059857743</v>
      </c>
      <c r="FG108" s="1114">
        <f t="shared" ref="FG108" si="616">FG106+FG107</f>
        <v>15994.363327276746</v>
      </c>
      <c r="FH108" s="1114">
        <f t="shared" ref="FH108" si="617">FH106+FH107</f>
        <v>16106.323870567681</v>
      </c>
      <c r="FI108" s="1114">
        <f t="shared" ref="FI108" si="618">FI106+FI107</f>
        <v>16219.068137661654</v>
      </c>
    </row>
    <row r="109" spans="1:166" x14ac:dyDescent="0.3">
      <c r="A109" s="55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4"/>
      <c r="DZ109" s="1"/>
      <c r="EA109" s="1"/>
      <c r="EB109" s="1"/>
      <c r="EC109" s="1"/>
      <c r="ED109" s="4"/>
      <c r="EE109" s="1"/>
      <c r="EF109" s="1"/>
      <c r="EG109" s="1"/>
      <c r="EH109" s="1"/>
      <c r="EI109" s="4"/>
      <c r="EJ109" s="1"/>
      <c r="EK109" s="1"/>
      <c r="EL109" s="1"/>
      <c r="EM109" s="1"/>
      <c r="EN109" s="4"/>
      <c r="EO109" s="4"/>
      <c r="EP109" s="4"/>
      <c r="EQ109" s="4"/>
      <c r="ER109" s="4"/>
      <c r="ES109" s="1"/>
      <c r="ET109" s="4"/>
      <c r="EU109" s="4"/>
      <c r="EV109" s="4"/>
      <c r="EW109" s="4"/>
      <c r="EX109" s="1"/>
      <c r="EY109" s="4"/>
      <c r="EZ109" s="4"/>
      <c r="FA109" s="4"/>
      <c r="FB109" s="4"/>
      <c r="FC109" s="1"/>
      <c r="FD109" s="1"/>
      <c r="FE109" s="1"/>
      <c r="FF109" s="1"/>
      <c r="FG109" s="1"/>
      <c r="FH109" s="1"/>
      <c r="FI109" s="59"/>
    </row>
    <row r="110" spans="1:166" x14ac:dyDescent="0.3">
      <c r="A110" s="54" t="s">
        <v>333</v>
      </c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4"/>
      <c r="CO110" s="54"/>
      <c r="CP110" s="54"/>
      <c r="CQ110" s="54"/>
      <c r="CR110" s="54"/>
      <c r="CS110" s="54"/>
      <c r="CT110" s="54"/>
      <c r="CU110" s="54"/>
      <c r="CV110" s="54"/>
      <c r="CW110" s="54"/>
      <c r="CX110" s="54"/>
      <c r="CY110" s="54"/>
      <c r="CZ110" s="54"/>
      <c r="DA110" s="54"/>
      <c r="DB110" s="54"/>
      <c r="DC110" s="54"/>
      <c r="DD110" s="54"/>
      <c r="DE110" s="54"/>
      <c r="DF110" s="54"/>
      <c r="DG110" s="54"/>
      <c r="DH110" s="54"/>
      <c r="DI110" s="54"/>
      <c r="DJ110" s="54"/>
      <c r="DK110" s="54"/>
      <c r="DL110" s="54"/>
      <c r="DM110" s="54"/>
      <c r="DN110" s="54"/>
      <c r="DO110" s="54"/>
      <c r="DP110" s="54"/>
      <c r="DQ110" s="54"/>
      <c r="DR110" s="54"/>
      <c r="DS110" s="54"/>
      <c r="DT110" s="54"/>
      <c r="DU110" s="54"/>
      <c r="DV110" s="54"/>
      <c r="DW110" s="54"/>
      <c r="DX110" s="54"/>
      <c r="DY110" s="54"/>
      <c r="DZ110" s="54"/>
      <c r="EA110" s="54"/>
      <c r="EB110" s="54"/>
      <c r="EC110" s="54"/>
      <c r="ED110" s="54"/>
      <c r="EE110" s="54"/>
      <c r="EF110" s="54"/>
      <c r="EG110" s="54"/>
      <c r="EH110" s="54"/>
      <c r="EI110" s="54"/>
      <c r="EJ110" s="54"/>
      <c r="EK110" s="54"/>
      <c r="EL110" s="54"/>
      <c r="EM110" s="54"/>
      <c r="EN110" s="54"/>
      <c r="EO110" s="54"/>
      <c r="EP110" s="54"/>
      <c r="EQ110" s="54"/>
      <c r="ER110" s="54"/>
      <c r="ES110" s="54"/>
      <c r="ET110" s="54"/>
      <c r="EU110" s="54"/>
      <c r="EV110" s="54"/>
      <c r="EW110" s="54"/>
      <c r="EX110" s="54"/>
      <c r="EY110" s="54"/>
      <c r="EZ110" s="54"/>
      <c r="FA110" s="54"/>
      <c r="FB110" s="54"/>
      <c r="FC110" s="54"/>
      <c r="FD110" s="54"/>
      <c r="FE110" s="54"/>
      <c r="FF110" s="54"/>
      <c r="FG110" s="54"/>
      <c r="FH110" s="54"/>
      <c r="FI110" s="54"/>
      <c r="FJ110" s="54"/>
    </row>
    <row r="111" spans="1:166" x14ac:dyDescent="0.3">
      <c r="A111" s="55" t="s">
        <v>334</v>
      </c>
      <c r="EA111" s="108"/>
      <c r="EB111" s="108"/>
      <c r="EC111" s="108"/>
      <c r="ED111" s="538"/>
      <c r="EE111" s="108"/>
      <c r="EF111" s="108"/>
      <c r="EG111" s="108"/>
      <c r="EH111" s="108"/>
      <c r="EI111" s="538"/>
      <c r="EJ111" s="108"/>
      <c r="EK111" s="108"/>
      <c r="EL111" s="108"/>
      <c r="EM111" s="108"/>
      <c r="EN111" s="538"/>
      <c r="EO111" s="538"/>
      <c r="EP111" s="538"/>
      <c r="EQ111" s="538"/>
      <c r="ER111" s="538"/>
      <c r="ES111" s="108"/>
      <c r="ET111" s="538"/>
      <c r="EU111" s="538"/>
      <c r="EV111" s="538"/>
      <c r="EW111" s="538"/>
      <c r="EX111" s="108"/>
      <c r="EY111" s="538"/>
      <c r="EZ111" s="538"/>
      <c r="FA111" s="538"/>
      <c r="FB111" s="538"/>
      <c r="FC111" s="108"/>
      <c r="FD111" s="108"/>
      <c r="FE111" s="108"/>
      <c r="FF111" s="108"/>
      <c r="FG111" s="108"/>
      <c r="FH111" s="108"/>
      <c r="FI111" s="108"/>
    </row>
    <row r="112" spans="1:166" x14ac:dyDescent="0.3">
      <c r="A112" s="63" t="s">
        <v>335</v>
      </c>
      <c r="DU112" s="76">
        <f>+DU115-DU117</f>
        <v>1218</v>
      </c>
      <c r="DV112" s="76">
        <f>+DU115</f>
        <v>1211</v>
      </c>
      <c r="DW112" s="76">
        <f t="shared" ref="DW112:EE112" si="619">+DV115</f>
        <v>1201</v>
      </c>
      <c r="DX112" s="76">
        <f t="shared" si="619"/>
        <v>1201</v>
      </c>
      <c r="DY112" s="85">
        <f>+DU112</f>
        <v>1218</v>
      </c>
      <c r="DZ112" s="76">
        <f t="shared" si="619"/>
        <v>1205</v>
      </c>
      <c r="EA112" s="120">
        <f t="shared" si="619"/>
        <v>1215</v>
      </c>
      <c r="EB112" s="120">
        <f t="shared" si="619"/>
        <v>1223</v>
      </c>
      <c r="EC112" s="120">
        <f t="shared" si="619"/>
        <v>1229</v>
      </c>
      <c r="ED112" s="121">
        <f>+DZ112</f>
        <v>1205</v>
      </c>
      <c r="EE112" s="120">
        <f t="shared" si="619"/>
        <v>1238</v>
      </c>
      <c r="EF112" s="120">
        <f>+EE115</f>
        <v>1251</v>
      </c>
      <c r="EG112" s="120">
        <f>+EF115</f>
        <v>1263</v>
      </c>
      <c r="EH112" s="120">
        <f>+EG115</f>
        <v>1292</v>
      </c>
      <c r="EI112" s="121">
        <f>+EE112</f>
        <v>1238</v>
      </c>
      <c r="EJ112" s="120">
        <f>+EI115</f>
        <v>1336</v>
      </c>
      <c r="EK112" s="120">
        <f>+EJ115</f>
        <v>1388</v>
      </c>
      <c r="EL112" s="120">
        <f>+EK115</f>
        <v>1438</v>
      </c>
      <c r="EM112" s="120">
        <f>+EL115</f>
        <v>1502</v>
      </c>
      <c r="EN112" s="121">
        <f>+EJ112</f>
        <v>1336</v>
      </c>
      <c r="EO112" s="120">
        <f>+EN115</f>
        <v>1575</v>
      </c>
      <c r="EP112" s="120">
        <f>+EO115</f>
        <v>1659</v>
      </c>
      <c r="EQ112" s="120">
        <f>+EP115</f>
        <v>1722</v>
      </c>
      <c r="ER112" s="120">
        <f>+EQ115</f>
        <v>1797</v>
      </c>
      <c r="ES112" s="121">
        <f>+EO112</f>
        <v>1575</v>
      </c>
      <c r="ET112" s="120">
        <f>+ES115</f>
        <v>1878</v>
      </c>
      <c r="EU112" s="120">
        <f>+ET115</f>
        <v>1963</v>
      </c>
      <c r="EV112" s="120">
        <f>+EU115</f>
        <v>2053</v>
      </c>
      <c r="EW112" s="120">
        <f>+EV115</f>
        <v>2157</v>
      </c>
      <c r="EX112" s="121">
        <f>+ET112</f>
        <v>1878</v>
      </c>
      <c r="EY112" s="120">
        <f t="shared" ref="EY112" si="620">+EX115</f>
        <v>2249</v>
      </c>
      <c r="EZ112" s="120">
        <f t="shared" ref="EZ112" si="621">+EY115</f>
        <v>2356.6917566895963</v>
      </c>
      <c r="FA112" s="120">
        <f t="shared" ref="FA112" si="622">+EZ115</f>
        <v>2463.6226605888755</v>
      </c>
      <c r="FB112" s="120">
        <f t="shared" ref="FB112" si="623">+FA115</f>
        <v>2580.4655444675518</v>
      </c>
      <c r="FC112" s="121">
        <f>+EY112</f>
        <v>2249</v>
      </c>
      <c r="FD112" s="120">
        <f t="shared" ref="FD112:FI112" si="624">+FC115</f>
        <v>2702.2388610217558</v>
      </c>
      <c r="FE112" s="120">
        <f t="shared" si="624"/>
        <v>3183.9855180066493</v>
      </c>
      <c r="FF112" s="120">
        <f t="shared" si="624"/>
        <v>3603.7155306006016</v>
      </c>
      <c r="FG112" s="120">
        <f t="shared" si="624"/>
        <v>3913.6593195111532</v>
      </c>
      <c r="FH112" s="120">
        <f t="shared" si="624"/>
        <v>4146.4920361528466</v>
      </c>
      <c r="FI112" s="120">
        <f t="shared" si="624"/>
        <v>4309.6225586526334</v>
      </c>
      <c r="FJ112" s="189">
        <f>+(FF112/ES112)^0.2-1</f>
        <v>0.1800325543809782</v>
      </c>
    </row>
    <row r="113" spans="1:169" x14ac:dyDescent="0.3">
      <c r="A113" s="63" t="s">
        <v>336</v>
      </c>
      <c r="DU113" s="76">
        <f>+DU115-DU114-DU112</f>
        <v>92.754200000000083</v>
      </c>
      <c r="DV113" s="76">
        <f>+DV115-DV114-DV112</f>
        <v>90.270800000000008</v>
      </c>
      <c r="DW113" s="76">
        <f>+DW115-DW114-DW112</f>
        <v>95.119200000000092</v>
      </c>
      <c r="DX113" s="76">
        <f>+DX115-DX114-DX112</f>
        <v>83.626299999999901</v>
      </c>
      <c r="DY113" s="85">
        <f>+SUM(DU113:DX113)</f>
        <v>361.77050000000008</v>
      </c>
      <c r="DZ113" s="76">
        <f>+DZ115-DZ114-DZ112</f>
        <v>80.131000000000085</v>
      </c>
      <c r="EA113" s="120">
        <f>+EA115-EA114-EA112</f>
        <v>63.403999999999996</v>
      </c>
      <c r="EB113" s="120">
        <f>+EB115-EB114-EB112</f>
        <v>72.041999999999916</v>
      </c>
      <c r="EC113" s="120">
        <f>+EC115-EC114-EC112</f>
        <v>66.517200000000003</v>
      </c>
      <c r="ED113" s="121">
        <f>+SUM(DZ113:EC113)</f>
        <v>282.0942</v>
      </c>
      <c r="EE113" s="120">
        <f>+EE115-EE114-EE112</f>
        <v>65.367400000000089</v>
      </c>
      <c r="EF113" s="120">
        <f>+EF115-EF114-EF112</f>
        <v>69.420900000000074</v>
      </c>
      <c r="EG113" s="120">
        <f>+EG115-EG114-EG112</f>
        <v>88.108400000000074</v>
      </c>
      <c r="EH113" s="120">
        <f>+EH115-EH114-EH112</f>
        <v>95.163199999999961</v>
      </c>
      <c r="EI113" s="121">
        <f>+SUM(EE113:EH113)</f>
        <v>318.0599000000002</v>
      </c>
      <c r="EJ113" s="120">
        <f>+EJ115-EJ114-EJ112</f>
        <v>99.695200000000114</v>
      </c>
      <c r="EK113" s="120">
        <f>+EK115-EK114-EK112</f>
        <v>109.54520000000002</v>
      </c>
      <c r="EL113" s="120">
        <f>+EL115-EL114-EL112</f>
        <v>133.02399999999989</v>
      </c>
      <c r="EM113" s="120">
        <f>+EM115-EM114-EM112</f>
        <v>132.47919999999999</v>
      </c>
      <c r="EN113" s="121">
        <f>+SUM(EJ113:EM113)</f>
        <v>474.74360000000001</v>
      </c>
      <c r="EO113" s="120">
        <f>+EO115-EO114-EO112</f>
        <v>140.70000000000005</v>
      </c>
      <c r="EP113" s="120">
        <f>+EP115-EP114-EP112</f>
        <v>133.17570000000001</v>
      </c>
      <c r="EQ113" s="120">
        <f>+EQ115-EQ114-EQ112</f>
        <v>150.9402</v>
      </c>
      <c r="ER113" s="120">
        <f>+ER115-ER114-ER112</f>
        <v>145.69200000000001</v>
      </c>
      <c r="ES113" s="121">
        <f>+SUM(EO113:ER113)</f>
        <v>570.50790000000006</v>
      </c>
      <c r="ET113" s="120">
        <f>+ET115-ET114-ET112</f>
        <v>154.86159999999995</v>
      </c>
      <c r="EU113" s="120">
        <f>+EU115-EU114-EU112</f>
        <v>172.44599999999991</v>
      </c>
      <c r="EV113" s="120">
        <f>+EV115-EV114-EV112</f>
        <v>195.76909999999998</v>
      </c>
      <c r="EW113" s="120">
        <f>+EW115-EW114-EW112</f>
        <v>176.77010000000018</v>
      </c>
      <c r="EX113" s="121">
        <f>+SUM(ET113:EW113)</f>
        <v>699.84680000000003</v>
      </c>
      <c r="EY113" s="120">
        <f t="shared" ref="EY113:FB113" si="625">EY106*EY118</f>
        <v>191.35455668959634</v>
      </c>
      <c r="EZ113" s="120">
        <f t="shared" si="625"/>
        <v>204.92214714243278</v>
      </c>
      <c r="FA113" s="120">
        <f t="shared" si="625"/>
        <v>225.86557747771596</v>
      </c>
      <c r="FB113" s="120">
        <f t="shared" si="625"/>
        <v>222.17148949280312</v>
      </c>
      <c r="FC113" s="121">
        <f>+SUM(EY113:FB113)</f>
        <v>844.31377080254811</v>
      </c>
      <c r="FD113" s="120">
        <f t="shared" ref="FD113:FI113" si="626">FD106*FD118</f>
        <v>921.98952763454338</v>
      </c>
      <c r="FE113" s="120">
        <f t="shared" si="626"/>
        <v>941.05163944831088</v>
      </c>
      <c r="FF113" s="120">
        <f t="shared" si="626"/>
        <v>902.93904805065415</v>
      </c>
      <c r="FG113" s="120">
        <f t="shared" si="626"/>
        <v>880.04954318257001</v>
      </c>
      <c r="FH113" s="120">
        <f t="shared" si="626"/>
        <v>848.85178687674772</v>
      </c>
      <c r="FI113" s="120">
        <f t="shared" si="626"/>
        <v>814.47328950823953</v>
      </c>
      <c r="FJ113" s="189">
        <f>+(FF113/ES113)^0.2-1</f>
        <v>9.6173640410061934E-2</v>
      </c>
    </row>
    <row r="114" spans="1:169" x14ac:dyDescent="0.3">
      <c r="A114" s="63" t="s">
        <v>337</v>
      </c>
      <c r="DU114" s="76">
        <f>+DU119*DU112*-3</f>
        <v>-99.754200000000012</v>
      </c>
      <c r="DV114" s="76">
        <f>+DV119*DV112*-3</f>
        <v>-100.27080000000001</v>
      </c>
      <c r="DW114" s="76">
        <f>+DW119*DW112*-3</f>
        <v>-95.119199999999992</v>
      </c>
      <c r="DX114" s="76">
        <f>+DX119*DX112*-3</f>
        <v>-79.626300000000001</v>
      </c>
      <c r="DY114" s="85">
        <f>+SUM(DU114:DX114)</f>
        <v>-374.77050000000003</v>
      </c>
      <c r="DZ114" s="76">
        <f>+DZ119*DZ112*-3</f>
        <v>-70.131</v>
      </c>
      <c r="EA114" s="120">
        <f>+EA119*EA112*-3</f>
        <v>-55.403999999999996</v>
      </c>
      <c r="EB114" s="120">
        <f>+EB119*EB112*-3</f>
        <v>-66.042000000000002</v>
      </c>
      <c r="EC114" s="120">
        <f>+EC119*EC112*-3</f>
        <v>-57.517200000000003</v>
      </c>
      <c r="ED114" s="121">
        <f>+SUM(DZ114:EC114)</f>
        <v>-249.0942</v>
      </c>
      <c r="EE114" s="120">
        <f>+EE119*EE112*-3</f>
        <v>-52.367400000000004</v>
      </c>
      <c r="EF114" s="120">
        <f>+EF119*EF112*-3</f>
        <v>-57.420900000000003</v>
      </c>
      <c r="EG114" s="120">
        <f>+EG119*EG112*-3</f>
        <v>-59.108400000000003</v>
      </c>
      <c r="EH114" s="120">
        <f>+EH119*EH112*-3</f>
        <v>-51.163200000000003</v>
      </c>
      <c r="EI114" s="121">
        <f>+SUM(EE114:EH114)</f>
        <v>-220.05990000000003</v>
      </c>
      <c r="EJ114" s="120">
        <f>+EJ119*EJ112*-3</f>
        <v>-47.6952</v>
      </c>
      <c r="EK114" s="120">
        <f>+EK119*EK112*-3</f>
        <v>-59.545200000000008</v>
      </c>
      <c r="EL114" s="120">
        <f>+EL119*EL112*-3</f>
        <v>-69.024000000000001</v>
      </c>
      <c r="EM114" s="120">
        <f>+EM119*EM112*-3</f>
        <v>-59.479199999999999</v>
      </c>
      <c r="EN114" s="121">
        <f>+SUM(EJ114:EM114)</f>
        <v>-235.74360000000001</v>
      </c>
      <c r="EO114" s="120">
        <f>+EO119*EO112*-3</f>
        <v>-56.7</v>
      </c>
      <c r="EP114" s="120">
        <f>+EP119*EP112*-3</f>
        <v>-70.175700000000006</v>
      </c>
      <c r="EQ114" s="120">
        <f>+EQ119*EQ112*-3</f>
        <v>-75.94019999999999</v>
      </c>
      <c r="ER114" s="120">
        <f>+ER119*ER112*-3</f>
        <v>-64.692000000000007</v>
      </c>
      <c r="ES114" s="121">
        <f>+SUM(EO114:ER114)</f>
        <v>-267.50790000000001</v>
      </c>
      <c r="ET114" s="120">
        <f>+ET119*ET112*-3</f>
        <v>-69.861599999999996</v>
      </c>
      <c r="EU114" s="120">
        <f>+EU119*EU112*-3</f>
        <v>-82.445999999999998</v>
      </c>
      <c r="EV114" s="120">
        <f>+EV119*EV112*-3</f>
        <v>-91.769100000000009</v>
      </c>
      <c r="EW114" s="120">
        <f>+EW119*EW112*-3</f>
        <v>-84.770100000000014</v>
      </c>
      <c r="EX114" s="121">
        <f>+SUM(ET114:EW114)</f>
        <v>-328.84680000000003</v>
      </c>
      <c r="EY114" s="120">
        <f t="shared" ref="EY114:FB114" si="627">+EY119*EY112*-3</f>
        <v>-83.662800000000004</v>
      </c>
      <c r="EZ114" s="120">
        <f t="shared" si="627"/>
        <v>-97.99124324315342</v>
      </c>
      <c r="FA114" s="120">
        <f t="shared" si="627"/>
        <v>-109.02269359903951</v>
      </c>
      <c r="FB114" s="120">
        <f t="shared" si="627"/>
        <v>-100.39817293859903</v>
      </c>
      <c r="FC114" s="121">
        <f>+SUM(EY114:FB114)</f>
        <v>-391.07490978079193</v>
      </c>
      <c r="FD114" s="120">
        <f t="shared" ref="FD114:FI114" si="628">+FD119*FD112*-12</f>
        <v>-440.24287064964977</v>
      </c>
      <c r="FE114" s="120">
        <f t="shared" si="628"/>
        <v>-521.32162685435833</v>
      </c>
      <c r="FF114" s="120">
        <f t="shared" si="628"/>
        <v>-592.99525914010292</v>
      </c>
      <c r="FG114" s="120">
        <f t="shared" si="628"/>
        <v>-647.21682654087658</v>
      </c>
      <c r="FH114" s="120">
        <f t="shared" si="628"/>
        <v>-685.72126437696068</v>
      </c>
      <c r="FI114" s="120">
        <f t="shared" si="628"/>
        <v>-712.69878348750376</v>
      </c>
      <c r="FJ114" s="189">
        <f>+(FF114/ES114)^0.2-1</f>
        <v>0.17258118646659137</v>
      </c>
    </row>
    <row r="115" spans="1:169" x14ac:dyDescent="0.3">
      <c r="A115" s="64" t="s">
        <v>338</v>
      </c>
      <c r="DU115" s="855">
        <f>Inputs!DU365</f>
        <v>1211</v>
      </c>
      <c r="DV115" s="855">
        <f>Inputs!DV365</f>
        <v>1201</v>
      </c>
      <c r="DW115" s="855">
        <f>Inputs!DW365</f>
        <v>1201</v>
      </c>
      <c r="DX115" s="855">
        <f>Inputs!DX365</f>
        <v>1205</v>
      </c>
      <c r="DY115" s="850">
        <f>+DX115</f>
        <v>1205</v>
      </c>
      <c r="DZ115" s="855">
        <f>Inputs!DZ365</f>
        <v>1215</v>
      </c>
      <c r="EA115" s="855">
        <f>Inputs!EA365</f>
        <v>1223</v>
      </c>
      <c r="EB115" s="855">
        <f>Inputs!EB365</f>
        <v>1229</v>
      </c>
      <c r="EC115" s="855">
        <f>Inputs!EC365</f>
        <v>1238</v>
      </c>
      <c r="ED115" s="1026">
        <f>+EC115</f>
        <v>1238</v>
      </c>
      <c r="EE115" s="855">
        <f>Inputs!EE365</f>
        <v>1251</v>
      </c>
      <c r="EF115" s="855">
        <f>Inputs!EF365</f>
        <v>1263</v>
      </c>
      <c r="EG115" s="855">
        <f>Inputs!EG365</f>
        <v>1292</v>
      </c>
      <c r="EH115" s="855">
        <f>Inputs!EH365</f>
        <v>1336</v>
      </c>
      <c r="EI115" s="1795">
        <f>+EH115</f>
        <v>1336</v>
      </c>
      <c r="EJ115" s="855">
        <f>Inputs!EJ365</f>
        <v>1388</v>
      </c>
      <c r="EK115" s="855">
        <f>Inputs!EK365</f>
        <v>1438</v>
      </c>
      <c r="EL115" s="855">
        <f>Inputs!EL365</f>
        <v>1502</v>
      </c>
      <c r="EM115" s="855">
        <f>Inputs!EM365</f>
        <v>1575</v>
      </c>
      <c r="EN115" s="1795">
        <f>+EM115</f>
        <v>1575</v>
      </c>
      <c r="EO115" s="855">
        <f>Inputs!EO365</f>
        <v>1659</v>
      </c>
      <c r="EP115" s="855">
        <f>Inputs!EP365</f>
        <v>1722</v>
      </c>
      <c r="EQ115" s="855">
        <f>Inputs!EQ365</f>
        <v>1797</v>
      </c>
      <c r="ER115" s="855">
        <f>Inputs!ER365</f>
        <v>1878</v>
      </c>
      <c r="ES115" s="1795">
        <f>+ER115</f>
        <v>1878</v>
      </c>
      <c r="ET115" s="855">
        <f>Inputs!ET365</f>
        <v>1963</v>
      </c>
      <c r="EU115" s="855">
        <f>Inputs!EU365</f>
        <v>2053</v>
      </c>
      <c r="EV115" s="855">
        <f>Inputs!EV365</f>
        <v>2157</v>
      </c>
      <c r="EW115" s="855">
        <f>Inputs!EW365</f>
        <v>2249</v>
      </c>
      <c r="EX115" s="1795">
        <f>+EW115</f>
        <v>2249</v>
      </c>
      <c r="EY115" s="1796">
        <f t="shared" ref="EY115:FB115" si="629">SUM(EY112:EY114)</f>
        <v>2356.6917566895963</v>
      </c>
      <c r="EZ115" s="1796">
        <f t="shared" si="629"/>
        <v>2463.6226605888755</v>
      </c>
      <c r="FA115" s="1796">
        <f t="shared" si="629"/>
        <v>2580.4655444675518</v>
      </c>
      <c r="FB115" s="1796">
        <f t="shared" si="629"/>
        <v>2702.2388610217558</v>
      </c>
      <c r="FC115" s="1795">
        <f>+FB115</f>
        <v>2702.2388610217558</v>
      </c>
      <c r="FD115" s="1796">
        <f t="shared" ref="FD115:FI115" si="630">SUM(FD112:FD114)</f>
        <v>3183.9855180066493</v>
      </c>
      <c r="FE115" s="1796">
        <f t="shared" si="630"/>
        <v>3603.7155306006016</v>
      </c>
      <c r="FF115" s="1796">
        <f t="shared" si="630"/>
        <v>3913.6593195111532</v>
      </c>
      <c r="FG115" s="1796">
        <f t="shared" si="630"/>
        <v>4146.4920361528466</v>
      </c>
      <c r="FH115" s="1796">
        <f t="shared" si="630"/>
        <v>4309.6225586526334</v>
      </c>
      <c r="FI115" s="1796">
        <f t="shared" si="630"/>
        <v>4411.3970646733696</v>
      </c>
      <c r="FJ115" s="189">
        <f>+(FF115/ES115)^0.2-1</f>
        <v>0.15818380010048494</v>
      </c>
      <c r="FK115" s="98"/>
      <c r="FM115">
        <f>ET115/ET397</f>
        <v>0.71799561082662766</v>
      </c>
    </row>
    <row r="116" spans="1:169" x14ac:dyDescent="0.3">
      <c r="A116" s="61" t="s">
        <v>339</v>
      </c>
      <c r="DZ116" s="83">
        <f t="shared" ref="DZ116:EW116" si="631">+DZ115/DU115-1</f>
        <v>3.303055326176807E-3</v>
      </c>
      <c r="EA116" s="122">
        <f t="shared" si="631"/>
        <v>1.8318068276436339E-2</v>
      </c>
      <c r="EB116" s="122">
        <f t="shared" si="631"/>
        <v>2.3313905079100694E-2</v>
      </c>
      <c r="EC116" s="122">
        <f t="shared" si="631"/>
        <v>2.7385892116182475E-2</v>
      </c>
      <c r="ED116" s="123">
        <f t="shared" si="631"/>
        <v>2.7385892116182475E-2</v>
      </c>
      <c r="EE116" s="122">
        <f t="shared" si="631"/>
        <v>2.9629629629629672E-2</v>
      </c>
      <c r="EF116" s="122">
        <f t="shared" si="631"/>
        <v>3.2706459525756237E-2</v>
      </c>
      <c r="EG116" s="122">
        <f t="shared" si="631"/>
        <v>5.1261187957689192E-2</v>
      </c>
      <c r="EH116" s="122">
        <f t="shared" si="631"/>
        <v>7.9159935379644608E-2</v>
      </c>
      <c r="EI116" s="123">
        <f t="shared" si="631"/>
        <v>7.9159935379644608E-2</v>
      </c>
      <c r="EJ116" s="122">
        <f t="shared" si="631"/>
        <v>0.10951239008792957</v>
      </c>
      <c r="EK116" s="122">
        <f t="shared" si="631"/>
        <v>0.13855898653998411</v>
      </c>
      <c r="EL116" s="122">
        <f t="shared" si="631"/>
        <v>0.16253869969040258</v>
      </c>
      <c r="EM116" s="122">
        <f t="shared" si="631"/>
        <v>0.17889221556886237</v>
      </c>
      <c r="EN116" s="123">
        <f>+EN115/EI115-1</f>
        <v>0.17889221556886237</v>
      </c>
      <c r="EO116" s="122">
        <f t="shared" si="631"/>
        <v>0.19524495677233422</v>
      </c>
      <c r="EP116" s="122">
        <f t="shared" si="631"/>
        <v>0.1974965229485397</v>
      </c>
      <c r="EQ116" s="122">
        <f t="shared" si="631"/>
        <v>0.19640479360852203</v>
      </c>
      <c r="ER116" s="122">
        <f t="shared" si="631"/>
        <v>0.19238095238095232</v>
      </c>
      <c r="ES116" s="123">
        <f>+ES115/EN115-1</f>
        <v>0.19238095238095232</v>
      </c>
      <c r="ET116" s="122">
        <f t="shared" si="631"/>
        <v>0.18324291742013266</v>
      </c>
      <c r="EU116" s="122">
        <f t="shared" si="631"/>
        <v>0.19221835075493621</v>
      </c>
      <c r="EV116" s="122">
        <f t="shared" si="631"/>
        <v>0.20033388981636069</v>
      </c>
      <c r="EW116" s="122">
        <f t="shared" si="631"/>
        <v>0.19755058572949946</v>
      </c>
      <c r="EX116" s="123">
        <f>+EX115/ES115-1</f>
        <v>0.19755058572949946</v>
      </c>
      <c r="EY116" s="122">
        <f t="shared" ref="EY116" si="632">+EY115/ET115-1</f>
        <v>0.20055616744248406</v>
      </c>
      <c r="EZ116" s="122">
        <f t="shared" ref="EZ116" si="633">+EZ115/EU115-1</f>
        <v>0.20001103779292517</v>
      </c>
      <c r="FA116" s="122">
        <f t="shared" ref="FA116" si="634">+FA115/EV115-1</f>
        <v>0.19632153197383029</v>
      </c>
      <c r="FB116" s="122">
        <f t="shared" ref="FB116" si="635">+FB115/EW115-1</f>
        <v>0.20152906225956246</v>
      </c>
      <c r="FC116" s="123">
        <f>+FC115/EX115-1</f>
        <v>0.20152906225956246</v>
      </c>
      <c r="FD116" s="122">
        <f t="shared" ref="FD116:FI116" si="636">+FD115/FC115-1</f>
        <v>0.17827685921248948</v>
      </c>
      <c r="FE116" s="122">
        <f t="shared" si="636"/>
        <v>0.13182535228889058</v>
      </c>
      <c r="FF116" s="122">
        <f t="shared" si="636"/>
        <v>8.6006730075860238E-2</v>
      </c>
      <c r="FG116" s="122">
        <f t="shared" si="636"/>
        <v>5.9492331251453034E-2</v>
      </c>
      <c r="FH116" s="122">
        <f t="shared" si="636"/>
        <v>3.9341814979377387E-2</v>
      </c>
      <c r="FI116" s="122">
        <f t="shared" si="636"/>
        <v>2.3615642584847496E-2</v>
      </c>
    </row>
    <row r="117" spans="1:169" x14ac:dyDescent="0.3">
      <c r="A117" s="65" t="s">
        <v>340</v>
      </c>
      <c r="DU117" s="80">
        <f>Inputs!DU370</f>
        <v>-7</v>
      </c>
      <c r="DV117" s="825">
        <f>+DV115-DU115</f>
        <v>-10</v>
      </c>
      <c r="DW117" s="825">
        <f>+DW115-DV115</f>
        <v>0</v>
      </c>
      <c r="DX117" s="825">
        <f>+DX115-DW115</f>
        <v>4</v>
      </c>
      <c r="DY117" s="86">
        <f>+SUM(DU117:DX117)</f>
        <v>-13</v>
      </c>
      <c r="DZ117" s="825">
        <f>+DZ115-DY115</f>
        <v>10</v>
      </c>
      <c r="EA117" s="825">
        <f>+EA115-DZ115</f>
        <v>8</v>
      </c>
      <c r="EB117" s="825">
        <f t="shared" ref="EB117:EW117" si="637">+EB115-EA115</f>
        <v>6</v>
      </c>
      <c r="EC117" s="825">
        <f t="shared" si="637"/>
        <v>9</v>
      </c>
      <c r="ED117" s="125">
        <f>+SUM(DZ117:EC117)</f>
        <v>33</v>
      </c>
      <c r="EE117" s="825">
        <f t="shared" si="637"/>
        <v>13</v>
      </c>
      <c r="EF117" s="825">
        <f t="shared" si="637"/>
        <v>12</v>
      </c>
      <c r="EG117" s="825">
        <f t="shared" si="637"/>
        <v>29</v>
      </c>
      <c r="EH117" s="825">
        <f t="shared" si="637"/>
        <v>44</v>
      </c>
      <c r="EI117" s="125">
        <f>+SUM(EE117:EH117)</f>
        <v>98</v>
      </c>
      <c r="EJ117" s="825">
        <f t="shared" si="637"/>
        <v>52</v>
      </c>
      <c r="EK117" s="825">
        <f t="shared" si="637"/>
        <v>50</v>
      </c>
      <c r="EL117" s="825">
        <f t="shared" si="637"/>
        <v>64</v>
      </c>
      <c r="EM117" s="825">
        <f t="shared" si="637"/>
        <v>73</v>
      </c>
      <c r="EN117" s="125">
        <f>+SUM(EJ117:EM117)</f>
        <v>239</v>
      </c>
      <c r="EO117" s="825">
        <f t="shared" si="637"/>
        <v>84</v>
      </c>
      <c r="EP117" s="825">
        <f t="shared" si="637"/>
        <v>63</v>
      </c>
      <c r="EQ117" s="825">
        <f t="shared" si="637"/>
        <v>75</v>
      </c>
      <c r="ER117" s="825">
        <f t="shared" si="637"/>
        <v>81</v>
      </c>
      <c r="ES117" s="125">
        <f>+SUM(EO117:ER117)</f>
        <v>303</v>
      </c>
      <c r="ET117" s="825">
        <f t="shared" si="637"/>
        <v>85</v>
      </c>
      <c r="EU117" s="825">
        <f t="shared" si="637"/>
        <v>90</v>
      </c>
      <c r="EV117" s="825">
        <f t="shared" si="637"/>
        <v>104</v>
      </c>
      <c r="EW117" s="825">
        <f t="shared" si="637"/>
        <v>92</v>
      </c>
      <c r="EX117" s="125">
        <f>+SUM(ET117:EW117)</f>
        <v>371</v>
      </c>
      <c r="EY117" s="825">
        <f t="shared" ref="EY117" si="638">+EY115-EX115</f>
        <v>107.69175668959633</v>
      </c>
      <c r="EZ117" s="825">
        <f t="shared" ref="EZ117" si="639">+EZ115-EY115</f>
        <v>106.9309038992792</v>
      </c>
      <c r="FA117" s="825">
        <f t="shared" ref="FA117" si="640">+FA115-EZ115</f>
        <v>116.84288387867628</v>
      </c>
      <c r="FB117" s="825">
        <f t="shared" ref="FB117" si="641">+FB115-FA115</f>
        <v>121.77331655420403</v>
      </c>
      <c r="FC117" s="125">
        <f>+SUM(EY117:FB117)</f>
        <v>453.23886102175584</v>
      </c>
      <c r="FD117" s="124">
        <f t="shared" ref="FD117:FI117" si="642">+FD115-FC115</f>
        <v>481.74665698489343</v>
      </c>
      <c r="FE117" s="124">
        <f t="shared" si="642"/>
        <v>419.73001259395232</v>
      </c>
      <c r="FF117" s="124">
        <f t="shared" si="642"/>
        <v>309.94378891055158</v>
      </c>
      <c r="FG117" s="124">
        <f t="shared" si="642"/>
        <v>232.83271664169342</v>
      </c>
      <c r="FH117" s="124">
        <f t="shared" si="642"/>
        <v>163.13052249978682</v>
      </c>
      <c r="FI117" s="124">
        <f t="shared" si="642"/>
        <v>101.77450602073623</v>
      </c>
      <c r="FJ117" s="189"/>
    </row>
    <row r="118" spans="1:169" x14ac:dyDescent="0.3">
      <c r="A118" s="65" t="s">
        <v>341</v>
      </c>
      <c r="DU118" s="75">
        <f>+DU113/DU106</f>
        <v>2.8778839590443712E-2</v>
      </c>
      <c r="DV118" s="75">
        <f t="shared" ref="DV118:EI118" si="643">+DV113/DV106</f>
        <v>2.8008315234253803E-2</v>
      </c>
      <c r="DW118" s="75">
        <f t="shared" si="643"/>
        <v>2.9512627986348152E-2</v>
      </c>
      <c r="DX118" s="75">
        <f t="shared" si="643"/>
        <v>2.5946726652187373E-2</v>
      </c>
      <c r="DY118" s="84">
        <f t="shared" si="643"/>
        <v>0.11224650946323304</v>
      </c>
      <c r="DZ118" s="75">
        <f>+DZ113/DZ106</f>
        <v>2.4827575522850531E-2</v>
      </c>
      <c r="EA118" s="75">
        <f t="shared" si="643"/>
        <v>1.9593325092707045E-2</v>
      </c>
      <c r="EB118" s="75">
        <f t="shared" si="643"/>
        <v>2.2204345815996274E-2</v>
      </c>
      <c r="EC118" s="75">
        <f t="shared" si="643"/>
        <v>2.0285818847209515E-2</v>
      </c>
      <c r="ED118" s="84">
        <f t="shared" si="643"/>
        <v>8.688510048510048E-2</v>
      </c>
      <c r="EE118" s="75">
        <f>+EE113/EE106</f>
        <v>1.9448795001487679E-2</v>
      </c>
      <c r="EF118" s="75">
        <f t="shared" si="643"/>
        <v>1.9882829729342709E-2</v>
      </c>
      <c r="EG118" s="75">
        <f t="shared" si="643"/>
        <v>2.4056901023890805E-2</v>
      </c>
      <c r="EH118" s="75">
        <f t="shared" ref="EH118:EJ118" si="644">+EH113/EH106</f>
        <v>2.471129576733315E-2</v>
      </c>
      <c r="EI118" s="84">
        <f t="shared" si="643"/>
        <v>8.85590700264514E-2</v>
      </c>
      <c r="EJ118" s="75">
        <f t="shared" si="644"/>
        <v>2.4600913016656414E-2</v>
      </c>
      <c r="EK118" s="75">
        <f t="shared" ref="EK118:EL118" si="645">+EK113/EK106</f>
        <v>2.5484517855065725E-2</v>
      </c>
      <c r="EL118" s="75">
        <f t="shared" si="645"/>
        <v>2.8827391916784025E-2</v>
      </c>
      <c r="EM118" s="75">
        <f t="shared" ref="EM118" si="646">+EM113/EM106</f>
        <v>2.6599578355586788E-2</v>
      </c>
      <c r="EN118" s="84">
        <f t="shared" ref="EN118:EO118" si="647">+EN113/EN106</f>
        <v>0.10581602585534382</v>
      </c>
      <c r="EO118" s="75">
        <f t="shared" si="647"/>
        <v>2.6345847767063016E-2</v>
      </c>
      <c r="EP118" s="75">
        <f t="shared" ref="EP118:EQ118" si="648">+EP113/EP106</f>
        <v>2.3496065631616093E-2</v>
      </c>
      <c r="EQ118" s="75">
        <f t="shared" si="648"/>
        <v>2.5190287049399199E-2</v>
      </c>
      <c r="ER118" s="75">
        <f t="shared" ref="ER118" si="649">+ER113/ER106</f>
        <v>2.3036129338287612E-2</v>
      </c>
      <c r="ES118" s="84">
        <f t="shared" ref="ES118:ET118" si="650">+ES113/ES106</f>
        <v>9.7836295819935706E-2</v>
      </c>
      <c r="ET118" s="75">
        <f t="shared" si="650"/>
        <v>2.3280457005411898E-2</v>
      </c>
      <c r="EU118" s="75">
        <f t="shared" ref="EU118:EV118" si="651">+EU113/EU106</f>
        <v>2.4610532324818028E-2</v>
      </c>
      <c r="EV118" s="75">
        <f t="shared" si="651"/>
        <v>2.6485706554826488E-2</v>
      </c>
      <c r="EW118" s="75">
        <f t="shared" ref="EW118" si="652">+EW113/EW106</f>
        <v>2.2949704641350235E-2</v>
      </c>
      <c r="EX118" s="84">
        <f t="shared" ref="EX118" si="653">+EX113/EX106</f>
        <v>9.7359830278579626E-2</v>
      </c>
      <c r="EY118" s="940">
        <f>ET118*1.03</f>
        <v>2.3978870715574255E-2</v>
      </c>
      <c r="EZ118" s="940">
        <f>EU118</f>
        <v>2.4610532324818028E-2</v>
      </c>
      <c r="FA118" s="940">
        <f>EV118*0.98</f>
        <v>2.5955992423729958E-2</v>
      </c>
      <c r="FB118" s="940">
        <f>EW118*1.075</f>
        <v>2.46709324894515E-2</v>
      </c>
      <c r="FC118" s="84">
        <f t="shared" ref="FC118" si="654">+FC113/FC106</f>
        <v>9.929015644672283E-2</v>
      </c>
      <c r="FD118" s="940">
        <f>FC118*0.97</f>
        <v>9.6311451753321148E-2</v>
      </c>
      <c r="FE118" s="940">
        <f>FD118*0.97</f>
        <v>9.3422108200721513E-2</v>
      </c>
      <c r="FF118" s="940">
        <f>FE118*0.95</f>
        <v>8.8751002790685429E-2</v>
      </c>
      <c r="FG118" s="940">
        <f>FF118*0.965</f>
        <v>8.5644717693011435E-2</v>
      </c>
      <c r="FH118" s="940">
        <f>FG118*0.955</f>
        <v>8.1790705396825911E-2</v>
      </c>
      <c r="FI118" s="940">
        <f>FH118*0.95</f>
        <v>7.7701170126984617E-2</v>
      </c>
    </row>
    <row r="119" spans="1:169" x14ac:dyDescent="0.3">
      <c r="A119" s="65" t="s">
        <v>342</v>
      </c>
      <c r="DU119" s="826">
        <f>Inputs!DU416</f>
        <v>2.7300000000000001E-2</v>
      </c>
      <c r="DV119" s="826">
        <f>Inputs!DV416</f>
        <v>2.76E-2</v>
      </c>
      <c r="DW119" s="826">
        <f>Inputs!DW416</f>
        <v>2.64E-2</v>
      </c>
      <c r="DX119" s="826">
        <f>Inputs!DX416</f>
        <v>2.2100000000000002E-2</v>
      </c>
      <c r="DY119" s="92">
        <f>+DY114/AVERAGE(DU112:DX112)/-12</f>
        <v>2.5858724901676674E-2</v>
      </c>
      <c r="DZ119" s="826">
        <f>Inputs!DZ416</f>
        <v>1.9400000000000001E-2</v>
      </c>
      <c r="EA119" s="826">
        <f>Inputs!EA416</f>
        <v>1.52E-2</v>
      </c>
      <c r="EB119" s="826">
        <f>Inputs!EB416</f>
        <v>1.7999999999999999E-2</v>
      </c>
      <c r="EC119" s="826">
        <f>Inputs!EC416</f>
        <v>1.5599999999999999E-2</v>
      </c>
      <c r="ED119" s="129">
        <f>+ED114/AVERAGE(DZ112:EC112)/-12</f>
        <v>1.7042569786535306E-2</v>
      </c>
      <c r="EE119" s="826">
        <f>Inputs!EE416</f>
        <v>1.41E-2</v>
      </c>
      <c r="EF119" s="826">
        <f>Inputs!EF416</f>
        <v>1.5299999999999999E-2</v>
      </c>
      <c r="EG119" s="826">
        <f>Inputs!EG416</f>
        <v>1.5599999999999999E-2</v>
      </c>
      <c r="EH119" s="826">
        <f>Inputs!EH416</f>
        <v>1.32E-2</v>
      </c>
      <c r="EI119" s="129">
        <f>+EI114/AVERAGE(EE112:EH112)/-12</f>
        <v>1.4542684377478195E-2</v>
      </c>
      <c r="EJ119" s="826">
        <f>Inputs!EJ416</f>
        <v>1.1900000000000001E-2</v>
      </c>
      <c r="EK119" s="826">
        <f>Inputs!EK416</f>
        <v>1.43E-2</v>
      </c>
      <c r="EL119" s="826">
        <f>Inputs!EL416</f>
        <v>1.6E-2</v>
      </c>
      <c r="EM119" s="826">
        <f>Inputs!EM416</f>
        <v>1.32E-2</v>
      </c>
      <c r="EN119" s="129">
        <f>+EN114/AVERAGE(EJ112:EM112)/-12</f>
        <v>1.3873799435028249E-2</v>
      </c>
      <c r="EO119" s="826">
        <f>Inputs!EO416</f>
        <v>1.2E-2</v>
      </c>
      <c r="EP119" s="826">
        <f>Inputs!EP416</f>
        <v>1.41E-2</v>
      </c>
      <c r="EQ119" s="826">
        <f>Inputs!EQ416</f>
        <v>1.47E-2</v>
      </c>
      <c r="ER119" s="826">
        <f>Inputs!ER416</f>
        <v>1.2E-2</v>
      </c>
      <c r="ES119" s="129">
        <f>+ES114/AVERAGE(EO112:ER112)/-12</f>
        <v>1.3204398045313195E-2</v>
      </c>
      <c r="ET119" s="826">
        <f>Inputs!ET416</f>
        <v>1.24E-2</v>
      </c>
      <c r="EU119" s="826">
        <f>Inputs!EU416</f>
        <v>1.4E-2</v>
      </c>
      <c r="EV119" s="826">
        <f>Inputs!EV416</f>
        <v>1.49E-2</v>
      </c>
      <c r="EW119" s="826">
        <f>Inputs!EW416</f>
        <v>1.3100000000000001E-2</v>
      </c>
      <c r="EX119" s="129">
        <f>+EX114/AVERAGE(ET112:EW112)/-12</f>
        <v>1.361515339709353E-2</v>
      </c>
      <c r="EY119" s="128">
        <f>ET119</f>
        <v>1.24E-2</v>
      </c>
      <c r="EZ119" s="128">
        <f>EU119*0.99</f>
        <v>1.3860000000000001E-2</v>
      </c>
      <c r="FA119" s="128">
        <f>EV119*0.99</f>
        <v>1.4751E-2</v>
      </c>
      <c r="FB119" s="128">
        <f>EW119*0.99</f>
        <v>1.2969E-2</v>
      </c>
      <c r="FC119" s="129">
        <f>+FC114/AVERAGE(EY112:FB112)/-12</f>
        <v>1.3508940491600292E-2</v>
      </c>
      <c r="FD119" s="128">
        <f t="shared" ref="FD119:FG119" si="655">+FC119*1.005</f>
        <v>1.3576485194058293E-2</v>
      </c>
      <c r="FE119" s="128">
        <f t="shared" si="655"/>
        <v>1.3644367620028583E-2</v>
      </c>
      <c r="FF119" s="128">
        <f t="shared" si="655"/>
        <v>1.3712589458128725E-2</v>
      </c>
      <c r="FG119" s="128">
        <f t="shared" si="655"/>
        <v>1.3781152405419368E-2</v>
      </c>
      <c r="FH119" s="128">
        <f>+FG119</f>
        <v>1.3781152405419368E-2</v>
      </c>
      <c r="FI119" s="128">
        <f>+FH119</f>
        <v>1.3781152405419368E-2</v>
      </c>
    </row>
    <row r="120" spans="1:169" x14ac:dyDescent="0.3">
      <c r="A120" s="65" t="s">
        <v>210</v>
      </c>
      <c r="DU120" s="88">
        <f t="shared" ref="DU120:FI120" si="656">+DU115/DU90</f>
        <v>0.37573689109525288</v>
      </c>
      <c r="DV120" s="88">
        <f t="shared" si="656"/>
        <v>0.37263419174681972</v>
      </c>
      <c r="DW120" s="88">
        <f t="shared" si="656"/>
        <v>0.37263419174681972</v>
      </c>
      <c r="DX120" s="88">
        <f t="shared" si="656"/>
        <v>0.37387527148619298</v>
      </c>
      <c r="DY120" s="89">
        <f t="shared" si="656"/>
        <v>0.37387527148619298</v>
      </c>
      <c r="DZ120" s="88">
        <f t="shared" si="656"/>
        <v>0.37592821782178215</v>
      </c>
      <c r="EA120" s="88">
        <f t="shared" si="656"/>
        <v>0.37746913580246916</v>
      </c>
      <c r="EB120" s="130">
        <f t="shared" si="656"/>
        <v>0.37827023699599877</v>
      </c>
      <c r="EC120" s="130">
        <f t="shared" si="656"/>
        <v>0.37413115744938047</v>
      </c>
      <c r="ED120" s="131">
        <f t="shared" si="656"/>
        <v>0.37413115744938047</v>
      </c>
      <c r="EE120" s="130">
        <f t="shared" si="656"/>
        <v>0.36653970114268969</v>
      </c>
      <c r="EF120" s="130">
        <f t="shared" si="656"/>
        <v>0.35378151260504204</v>
      </c>
      <c r="EG120" s="130">
        <f t="shared" si="656"/>
        <v>0.34407456724367508</v>
      </c>
      <c r="EH120" s="130">
        <f t="shared" ref="EH120:EJ120" si="657">+EH115/EH90</f>
        <v>0.33848492525969093</v>
      </c>
      <c r="EI120" s="131">
        <f t="shared" si="656"/>
        <v>0.33848492525969093</v>
      </c>
      <c r="EJ120" s="130">
        <f t="shared" si="657"/>
        <v>0.33381433381433384</v>
      </c>
      <c r="EK120" s="130">
        <f t="shared" ref="EK120:EL120" si="658">+EK115/EK90</f>
        <v>0.32394683487271908</v>
      </c>
      <c r="EL120" s="130">
        <f t="shared" si="658"/>
        <v>0.31356993736951982</v>
      </c>
      <c r="EM120" s="130">
        <f t="shared" ref="EM120" si="659">+EM115/EM90</f>
        <v>0.30458325275575326</v>
      </c>
      <c r="EN120" s="131">
        <f t="shared" si="656"/>
        <v>0.30458325275575326</v>
      </c>
      <c r="EO120" s="130">
        <f t="shared" si="656"/>
        <v>0.30108892921960073</v>
      </c>
      <c r="EP120" s="130">
        <f t="shared" ref="EP120:EQ120" si="660">+EP115/EP90</f>
        <v>0.29557157569515963</v>
      </c>
      <c r="EQ120" s="130">
        <f t="shared" si="660"/>
        <v>0.29181552452094833</v>
      </c>
      <c r="ER120" s="130">
        <f t="shared" ref="ER120" si="661">+ER115/ER90</f>
        <v>0.28932367894007088</v>
      </c>
      <c r="ES120" s="131">
        <f t="shared" ref="ES120:ET120" si="662">+ES115/ES90</f>
        <v>0.28932367894007088</v>
      </c>
      <c r="ET120" s="130">
        <f t="shared" si="662"/>
        <v>0.28812564215470426</v>
      </c>
      <c r="EU120" s="130">
        <f t="shared" ref="EU120:EV120" si="663">+EU115/EU90</f>
        <v>0.28509929176503263</v>
      </c>
      <c r="EV120" s="130">
        <f t="shared" si="663"/>
        <v>0.28448958058559748</v>
      </c>
      <c r="EW120" s="130">
        <f t="shared" ref="EW120" si="664">+EW115/EW90</f>
        <v>0.28748561932762368</v>
      </c>
      <c r="EX120" s="131">
        <f t="shared" ref="EX120" si="665">+EX115/EX90</f>
        <v>0.28748561932762368</v>
      </c>
      <c r="EY120" s="130">
        <f t="shared" ref="EY120:FC120" si="666">+EY115/EY90</f>
        <v>0.28961720796500123</v>
      </c>
      <c r="EZ120" s="130">
        <f t="shared" si="666"/>
        <v>0.28929534604625895</v>
      </c>
      <c r="FA120" s="130">
        <f t="shared" si="666"/>
        <v>0.29033827368779208</v>
      </c>
      <c r="FB120" s="130">
        <f t="shared" si="666"/>
        <v>0.29620068628979018</v>
      </c>
      <c r="FC120" s="131">
        <f t="shared" si="666"/>
        <v>0.29620068628979018</v>
      </c>
      <c r="FD120" s="130">
        <f t="shared" si="656"/>
        <v>0.3176679155947969</v>
      </c>
      <c r="FE120" s="130">
        <f t="shared" si="656"/>
        <v>0.35598475294946391</v>
      </c>
      <c r="FF120" s="130">
        <f t="shared" si="656"/>
        <v>0.38277409654208938</v>
      </c>
      <c r="FG120" s="130">
        <f t="shared" si="656"/>
        <v>0.40153091078024461</v>
      </c>
      <c r="FH120" s="130">
        <f t="shared" si="656"/>
        <v>0.41319590651550675</v>
      </c>
      <c r="FI120" s="130">
        <f t="shared" si="656"/>
        <v>0.41876613204089014</v>
      </c>
    </row>
    <row r="121" spans="1:169" x14ac:dyDescent="0.3">
      <c r="A121" s="65"/>
      <c r="EA121" s="76"/>
      <c r="EE121" s="74"/>
      <c r="EF121" s="74"/>
      <c r="EG121" s="74"/>
      <c r="EH121" s="74"/>
      <c r="EJ121" s="74"/>
      <c r="EK121" s="74"/>
      <c r="EL121" s="74"/>
      <c r="EM121" s="74"/>
      <c r="EN121" s="92"/>
      <c r="EO121" s="74"/>
      <c r="EP121" s="74"/>
      <c r="EQ121" s="74"/>
      <c r="ER121" s="74"/>
      <c r="ES121" s="74"/>
      <c r="ET121" s="74"/>
      <c r="EU121" s="74"/>
      <c r="EV121" s="74"/>
      <c r="EW121" s="74"/>
      <c r="EX121" s="74"/>
      <c r="EY121" s="74"/>
      <c r="EZ121" s="74"/>
      <c r="FA121" s="74"/>
      <c r="FB121" s="74"/>
      <c r="FC121" s="74"/>
      <c r="FD121" s="74"/>
      <c r="FE121" s="74"/>
      <c r="FF121" s="74"/>
      <c r="FG121" s="74"/>
      <c r="FH121" s="74"/>
      <c r="FI121" s="74"/>
    </row>
    <row r="122" spans="1:169" s="108" customFormat="1" x14ac:dyDescent="0.3">
      <c r="A122" s="78" t="s">
        <v>343</v>
      </c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119"/>
      <c r="AR122" s="119"/>
      <c r="AS122" s="119"/>
      <c r="AT122" s="119"/>
      <c r="AU122" s="119"/>
      <c r="AV122" s="119"/>
      <c r="AW122" s="119"/>
      <c r="AX122" s="119"/>
      <c r="AY122" s="119"/>
      <c r="AZ122" s="119"/>
      <c r="BA122" s="119"/>
      <c r="BB122" s="119"/>
      <c r="BC122" s="119"/>
      <c r="BD122" s="119"/>
      <c r="BE122" s="119"/>
      <c r="BF122" s="119"/>
      <c r="BG122" s="119"/>
      <c r="BH122" s="119"/>
      <c r="BI122" s="119"/>
      <c r="BJ122" s="119"/>
      <c r="BK122" s="119"/>
      <c r="BL122" s="119"/>
      <c r="BM122" s="119"/>
      <c r="BN122" s="119"/>
      <c r="BO122" s="119"/>
      <c r="BP122" s="119"/>
      <c r="BQ122" s="119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19"/>
      <c r="CB122" s="119"/>
      <c r="CC122" s="119"/>
      <c r="CD122" s="119"/>
      <c r="CE122" s="119"/>
      <c r="CF122" s="119"/>
      <c r="CG122" s="119"/>
      <c r="CH122" s="119"/>
      <c r="CI122" s="119"/>
      <c r="CJ122" s="119"/>
      <c r="CK122" s="119"/>
      <c r="CL122" s="119"/>
      <c r="CM122" s="119"/>
      <c r="CN122" s="119"/>
      <c r="CO122" s="119"/>
      <c r="CP122" s="119"/>
      <c r="CQ122" s="119"/>
      <c r="CR122" s="119"/>
      <c r="CS122" s="119"/>
      <c r="CT122" s="119"/>
      <c r="CU122" s="119"/>
      <c r="CV122" s="119"/>
      <c r="CW122" s="119"/>
      <c r="CX122" s="119"/>
      <c r="CY122" s="119"/>
      <c r="CZ122" s="119"/>
      <c r="DA122" s="119"/>
      <c r="DB122" s="119"/>
      <c r="DC122" s="119"/>
      <c r="DD122" s="119"/>
      <c r="DE122" s="119"/>
      <c r="DF122" s="119"/>
      <c r="DG122" s="119"/>
      <c r="DH122" s="119"/>
      <c r="DI122" s="119"/>
      <c r="DJ122" s="119"/>
      <c r="DK122" s="119"/>
      <c r="DL122" s="119"/>
      <c r="DM122" s="119"/>
      <c r="DN122" s="119"/>
      <c r="DO122" s="119"/>
      <c r="DP122" s="119"/>
      <c r="DQ122" s="119"/>
      <c r="DR122" s="119"/>
      <c r="DS122" s="119"/>
      <c r="DT122" s="119"/>
      <c r="DU122" s="119"/>
      <c r="DV122" s="119"/>
      <c r="DW122" s="119"/>
      <c r="DX122" s="119"/>
      <c r="DY122" s="1202"/>
      <c r="DZ122" s="119"/>
      <c r="EA122" s="119"/>
      <c r="EB122" s="119"/>
      <c r="EC122" s="119"/>
      <c r="ED122" s="1202"/>
      <c r="EE122" s="119"/>
      <c r="EF122" s="119"/>
      <c r="EG122" s="119"/>
      <c r="EH122" s="119"/>
      <c r="EI122" s="1202"/>
      <c r="EJ122" s="119"/>
      <c r="EK122" s="119"/>
      <c r="EL122" s="119"/>
      <c r="EM122" s="119"/>
      <c r="EN122" s="1202"/>
      <c r="EO122" s="119"/>
      <c r="EP122" s="119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19"/>
      <c r="FA122" s="119"/>
      <c r="FB122" s="119"/>
      <c r="FC122" s="119"/>
      <c r="FD122" s="119"/>
      <c r="FE122" s="119"/>
      <c r="FF122" s="119"/>
      <c r="FG122" s="119"/>
      <c r="FH122" s="119"/>
      <c r="FI122" s="119"/>
    </row>
    <row r="123" spans="1:169" s="108" customFormat="1" x14ac:dyDescent="0.3">
      <c r="A123" s="63" t="s">
        <v>344</v>
      </c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119"/>
      <c r="AR123" s="119"/>
      <c r="AS123" s="119"/>
      <c r="AT123" s="119"/>
      <c r="AU123" s="119"/>
      <c r="AV123" s="119"/>
      <c r="AW123" s="119"/>
      <c r="AX123" s="119"/>
      <c r="AY123" s="119"/>
      <c r="AZ123" s="119"/>
      <c r="BA123" s="119"/>
      <c r="BB123" s="119"/>
      <c r="BC123" s="119"/>
      <c r="BD123" s="119"/>
      <c r="BE123" s="119"/>
      <c r="BF123" s="119"/>
      <c r="BG123" s="119"/>
      <c r="BH123" s="119"/>
      <c r="BI123" s="119"/>
      <c r="BJ123" s="119"/>
      <c r="BK123" s="119"/>
      <c r="BL123" s="119"/>
      <c r="BM123" s="119"/>
      <c r="BN123" s="119"/>
      <c r="BO123" s="119"/>
      <c r="BP123" s="119"/>
      <c r="BQ123" s="119"/>
      <c r="BR123" s="119"/>
      <c r="BS123" s="119"/>
      <c r="BT123" s="119"/>
      <c r="BU123" s="119"/>
      <c r="BV123" s="119"/>
      <c r="BW123" s="119"/>
      <c r="BX123" s="119"/>
      <c r="BY123" s="119"/>
      <c r="BZ123" s="119"/>
      <c r="CA123" s="119"/>
      <c r="CB123" s="119"/>
      <c r="CC123" s="119"/>
      <c r="CD123" s="119"/>
      <c r="CE123" s="119"/>
      <c r="CF123" s="119"/>
      <c r="CG123" s="119"/>
      <c r="CH123" s="119"/>
      <c r="CI123" s="119"/>
      <c r="CJ123" s="119"/>
      <c r="CK123" s="119"/>
      <c r="CL123" s="119"/>
      <c r="CM123" s="119"/>
      <c r="CN123" s="119"/>
      <c r="CO123" s="119"/>
      <c r="CP123" s="119"/>
      <c r="CQ123" s="119"/>
      <c r="CR123" s="119"/>
      <c r="CS123" s="119"/>
      <c r="CT123" s="119"/>
      <c r="CU123" s="119"/>
      <c r="CV123" s="119"/>
      <c r="CW123" s="119"/>
      <c r="CX123" s="119"/>
      <c r="CY123" s="119"/>
      <c r="CZ123" s="119"/>
      <c r="DA123" s="119"/>
      <c r="DB123" s="119"/>
      <c r="DC123" s="119"/>
      <c r="DD123" s="119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59">
        <v>694.30474272444167</v>
      </c>
      <c r="DV123" s="56">
        <f>+DU126</f>
        <v>649.33835274988496</v>
      </c>
      <c r="DW123" s="56">
        <f>+DV126</f>
        <v>607.64086809139405</v>
      </c>
      <c r="DX123" s="56">
        <f>+DW126</f>
        <v>559.72253300523982</v>
      </c>
      <c r="DY123" s="60">
        <f>+DU123</f>
        <v>694.30474272444167</v>
      </c>
      <c r="DZ123" s="56">
        <f>DZ126-DZ128</f>
        <v>519</v>
      </c>
      <c r="EA123" s="56">
        <f>+DZ126</f>
        <v>489</v>
      </c>
      <c r="EB123" s="56">
        <f>+EA126</f>
        <v>461</v>
      </c>
      <c r="EC123" s="56">
        <f>+EB126</f>
        <v>426</v>
      </c>
      <c r="ED123" s="60">
        <f>+DZ123</f>
        <v>519</v>
      </c>
      <c r="EE123" s="56">
        <f>+ED126</f>
        <v>400</v>
      </c>
      <c r="EF123" s="56">
        <f>+EE126</f>
        <v>373</v>
      </c>
      <c r="EG123" s="56">
        <f>+EF126</f>
        <v>349</v>
      </c>
      <c r="EH123" s="56">
        <f>+EG126</f>
        <v>329</v>
      </c>
      <c r="EI123" s="60">
        <f>+EE123</f>
        <v>400</v>
      </c>
      <c r="EJ123" s="56">
        <f>+EI126</f>
        <v>315</v>
      </c>
      <c r="EK123" s="56">
        <f>+EJ126</f>
        <v>302</v>
      </c>
      <c r="EL123" s="56">
        <f>+EK126</f>
        <v>283</v>
      </c>
      <c r="EM123" s="56">
        <f>+EL126</f>
        <v>270</v>
      </c>
      <c r="EN123" s="60">
        <f>+EJ123</f>
        <v>315</v>
      </c>
      <c r="EO123" s="56">
        <f>+EN126</f>
        <v>259</v>
      </c>
      <c r="EP123" s="56">
        <f>+EO126</f>
        <v>244</v>
      </c>
      <c r="EQ123" s="56">
        <f>+EP126</f>
        <v>230</v>
      </c>
      <c r="ER123" s="56">
        <f>+EQ126</f>
        <v>215</v>
      </c>
      <c r="ES123" s="60">
        <f>+EO123</f>
        <v>259</v>
      </c>
      <c r="ET123" s="56">
        <f>+ES126</f>
        <v>203</v>
      </c>
      <c r="EU123" s="56">
        <f>+ET126</f>
        <v>193</v>
      </c>
      <c r="EV123" s="56">
        <f>+EU126</f>
        <v>180</v>
      </c>
      <c r="EW123" s="56">
        <f>+EV126</f>
        <v>167</v>
      </c>
      <c r="EX123" s="60">
        <f>+ET123</f>
        <v>203</v>
      </c>
      <c r="EY123" s="56">
        <f t="shared" ref="EY123" si="667">+EX126</f>
        <v>156</v>
      </c>
      <c r="EZ123" s="56">
        <f t="shared" ref="EZ123" si="668">+EY126</f>
        <v>148.3152709359606</v>
      </c>
      <c r="FA123" s="56">
        <f t="shared" ref="FA123" si="669">+EZ126</f>
        <v>138.32512315270935</v>
      </c>
      <c r="FB123" s="56">
        <f t="shared" ref="FB123" si="670">+FA126</f>
        <v>128.33497536945814</v>
      </c>
      <c r="FC123" s="60">
        <f>+EY123</f>
        <v>156</v>
      </c>
      <c r="FD123" s="56">
        <f t="shared" ref="FD123:FI123" si="671">+FC126</f>
        <v>119.88177339901479</v>
      </c>
      <c r="FE123" s="56">
        <f t="shared" si="671"/>
        <v>89.548296415145643</v>
      </c>
      <c r="FF123" s="56">
        <f t="shared" si="671"/>
        <v>66.890046447383355</v>
      </c>
      <c r="FG123" s="56">
        <f t="shared" si="671"/>
        <v>49.964974129606674</v>
      </c>
      <c r="FH123" s="56">
        <f t="shared" si="671"/>
        <v>37.322423475009018</v>
      </c>
      <c r="FI123" s="56">
        <f t="shared" si="671"/>
        <v>27.878795462489911</v>
      </c>
      <c r="FJ123" s="1068">
        <f>+(FF123/ES123)^0.2-1</f>
        <v>-0.2371970802867206</v>
      </c>
    </row>
    <row r="124" spans="1:169" s="108" customFormat="1" x14ac:dyDescent="0.3">
      <c r="A124" s="63" t="s">
        <v>336</v>
      </c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119"/>
      <c r="AR124" s="119"/>
      <c r="AS124" s="119"/>
      <c r="AT124" s="119"/>
      <c r="AU124" s="119"/>
      <c r="AV124" s="119"/>
      <c r="AW124" s="119"/>
      <c r="AX124" s="119"/>
      <c r="AY124" s="119"/>
      <c r="AZ124" s="119"/>
      <c r="BA124" s="119"/>
      <c r="BB124" s="119"/>
      <c r="BC124" s="119"/>
      <c r="BD124" s="119"/>
      <c r="BE124" s="119"/>
      <c r="BF124" s="119"/>
      <c r="BG124" s="119"/>
      <c r="BH124" s="119"/>
      <c r="BI124" s="119"/>
      <c r="BJ124" s="119"/>
      <c r="BK124" s="119"/>
      <c r="BL124" s="119"/>
      <c r="BM124" s="119"/>
      <c r="BN124" s="119"/>
      <c r="BO124" s="119"/>
      <c r="BP124" s="119"/>
      <c r="BQ124" s="119"/>
      <c r="BR124" s="119"/>
      <c r="BS124" s="119"/>
      <c r="BT124" s="119"/>
      <c r="BU124" s="119"/>
      <c r="BV124" s="119"/>
      <c r="BW124" s="119"/>
      <c r="BX124" s="119"/>
      <c r="BY124" s="119"/>
      <c r="BZ124" s="119"/>
      <c r="CA124" s="119"/>
      <c r="CB124" s="119"/>
      <c r="CC124" s="119"/>
      <c r="CD124" s="119"/>
      <c r="CE124" s="119"/>
      <c r="CF124" s="119"/>
      <c r="CG124" s="119"/>
      <c r="CH124" s="119"/>
      <c r="CI124" s="119"/>
      <c r="CJ124" s="119"/>
      <c r="CK124" s="119"/>
      <c r="CL124" s="119"/>
      <c r="CM124" s="119"/>
      <c r="CN124" s="119"/>
      <c r="CO124" s="119"/>
      <c r="CP124" s="119"/>
      <c r="CQ124" s="119"/>
      <c r="CR124" s="119"/>
      <c r="CS124" s="119"/>
      <c r="CT124" s="119"/>
      <c r="CU124" s="119"/>
      <c r="CV124" s="119"/>
      <c r="CW124" s="119"/>
      <c r="CX124" s="119"/>
      <c r="CY124" s="119"/>
      <c r="CZ124" s="119"/>
      <c r="DA124" s="119"/>
      <c r="DB124" s="119"/>
      <c r="DC124" s="119"/>
      <c r="DD124" s="119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56">
        <f>+DU129*AVERAGE(DT90:DU90)</f>
        <v>17.521036870642952</v>
      </c>
      <c r="DV124" s="56">
        <f>+DV129*AVERAGE(DU90:DV90)</f>
        <v>16.742967088998753</v>
      </c>
      <c r="DW124" s="56">
        <f>+DW129*AVERAGE(DV90:DW90)</f>
        <v>6.7693430420712062</v>
      </c>
      <c r="DX124" s="56">
        <f>+DX129*AVERAGE(DW90:DX90)</f>
        <v>12.735715462031081</v>
      </c>
      <c r="DY124" s="60">
        <f>+SUM(DU124:DX124)</f>
        <v>53.769062463743992</v>
      </c>
      <c r="DZ124" s="56">
        <f>+DZ126-DZ125-DZ123</f>
        <v>16.710000000000036</v>
      </c>
      <c r="EA124" s="56">
        <f>+EA126-EA125-EA123</f>
        <v>16.009999999999991</v>
      </c>
      <c r="EB124" s="56">
        <f>+EB126-EB125-EB123</f>
        <v>6.4900000000000091</v>
      </c>
      <c r="EC124" s="56">
        <f>+EC126-EC125-EC123</f>
        <v>12.339999999999975</v>
      </c>
      <c r="ED124" s="60">
        <f>+SUM(DZ124:EC124)</f>
        <v>51.550000000000011</v>
      </c>
      <c r="EE124" s="56">
        <f>+EE126-EE125-EE123</f>
        <v>9</v>
      </c>
      <c r="EF124" s="56">
        <f>+EF126-EF125-EF123</f>
        <v>9.5699999999999932</v>
      </c>
      <c r="EG124" s="56">
        <f>+EG129*EG106</f>
        <v>0</v>
      </c>
      <c r="EH124" s="56">
        <f>+EH129*EH106</f>
        <v>0</v>
      </c>
      <c r="EI124" s="60">
        <f>+SUM(EE124:EH124)</f>
        <v>18.569999999999993</v>
      </c>
      <c r="EJ124" s="56">
        <f>+EJ129*EJ106</f>
        <v>0</v>
      </c>
      <c r="EK124" s="56">
        <f>+EK129*EK106</f>
        <v>0</v>
      </c>
      <c r="EL124" s="56">
        <f>+EL129*EL106</f>
        <v>0</v>
      </c>
      <c r="EM124" s="56">
        <f>+EM129*EM106</f>
        <v>0</v>
      </c>
      <c r="EN124" s="60">
        <f>+SUM(EJ124:EM124)</f>
        <v>0</v>
      </c>
      <c r="EO124" s="56">
        <f>+EO129*EO106</f>
        <v>0</v>
      </c>
      <c r="EP124" s="56">
        <f>+EP129*EP106</f>
        <v>0</v>
      </c>
      <c r="EQ124" s="56">
        <f>+EQ129*EQ106</f>
        <v>0</v>
      </c>
      <c r="ER124" s="56">
        <f>+ER129*ER106</f>
        <v>0</v>
      </c>
      <c r="ES124" s="60">
        <f>+SUM(EO124:ER124)</f>
        <v>0</v>
      </c>
      <c r="ET124" s="56">
        <f>+ET129*ET106</f>
        <v>0</v>
      </c>
      <c r="EU124" s="56">
        <f>+EU129*EU106</f>
        <v>0</v>
      </c>
      <c r="EV124" s="56">
        <f>+EV129*EV106</f>
        <v>0</v>
      </c>
      <c r="EW124" s="56">
        <f>+EW129*EW106</f>
        <v>0</v>
      </c>
      <c r="EX124" s="60">
        <f>+SUM(ET124:EW124)</f>
        <v>0</v>
      </c>
      <c r="EY124" s="56">
        <f t="shared" ref="EY124:FB124" si="672">+EY129*EY106</f>
        <v>0</v>
      </c>
      <c r="EZ124" s="56">
        <f t="shared" si="672"/>
        <v>0</v>
      </c>
      <c r="FA124" s="56">
        <f t="shared" si="672"/>
        <v>0</v>
      </c>
      <c r="FB124" s="56">
        <f t="shared" si="672"/>
        <v>0</v>
      </c>
      <c r="FC124" s="60">
        <f>+SUM(EY124:FB124)</f>
        <v>0</v>
      </c>
      <c r="FD124" s="56">
        <f t="shared" ref="FD124:FI124" si="673">+FD129*FD106</f>
        <v>0</v>
      </c>
      <c r="FE124" s="56">
        <f t="shared" si="673"/>
        <v>0</v>
      </c>
      <c r="FF124" s="56">
        <f t="shared" si="673"/>
        <v>0</v>
      </c>
      <c r="FG124" s="56">
        <f t="shared" si="673"/>
        <v>0</v>
      </c>
      <c r="FH124" s="56">
        <f t="shared" si="673"/>
        <v>0</v>
      </c>
      <c r="FI124" s="56">
        <f t="shared" si="673"/>
        <v>0</v>
      </c>
      <c r="FJ124" s="1068" t="e">
        <f>+(FF124/ES124)^0.2-1</f>
        <v>#DIV/0!</v>
      </c>
    </row>
    <row r="125" spans="1:169" s="108" customFormat="1" x14ac:dyDescent="0.3">
      <c r="A125" s="63" t="s">
        <v>337</v>
      </c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119"/>
      <c r="AR125" s="119"/>
      <c r="AS125" s="119"/>
      <c r="AT125" s="119"/>
      <c r="AU125" s="119"/>
      <c r="AV125" s="119"/>
      <c r="AW125" s="119"/>
      <c r="AX125" s="119"/>
      <c r="AY125" s="119"/>
      <c r="AZ125" s="119"/>
      <c r="BA125" s="119"/>
      <c r="BB125" s="119"/>
      <c r="BC125" s="119"/>
      <c r="BD125" s="119"/>
      <c r="BE125" s="119"/>
      <c r="BF125" s="119"/>
      <c r="BG125" s="119"/>
      <c r="BH125" s="119"/>
      <c r="BI125" s="119"/>
      <c r="BJ125" s="119"/>
      <c r="BK125" s="119"/>
      <c r="BL125" s="119"/>
      <c r="BM125" s="119"/>
      <c r="BN125" s="119"/>
      <c r="BO125" s="119"/>
      <c r="BP125" s="119"/>
      <c r="BQ125" s="119"/>
      <c r="BR125" s="119"/>
      <c r="BS125" s="119"/>
      <c r="BT125" s="119"/>
      <c r="BU125" s="119"/>
      <c r="BV125" s="119"/>
      <c r="BW125" s="119"/>
      <c r="BX125" s="119"/>
      <c r="BY125" s="119"/>
      <c r="BZ125" s="119"/>
      <c r="CA125" s="119"/>
      <c r="CB125" s="119"/>
      <c r="CC125" s="119"/>
      <c r="CD125" s="119"/>
      <c r="CE125" s="119"/>
      <c r="CF125" s="119"/>
      <c r="CG125" s="119"/>
      <c r="CH125" s="119"/>
      <c r="CI125" s="119"/>
      <c r="CJ125" s="119"/>
      <c r="CK125" s="119"/>
      <c r="CL125" s="119"/>
      <c r="CM125" s="119"/>
      <c r="CN125" s="119"/>
      <c r="CO125" s="119"/>
      <c r="CP125" s="119"/>
      <c r="CQ125" s="119"/>
      <c r="CR125" s="119"/>
      <c r="CS125" s="119"/>
      <c r="CT125" s="119"/>
      <c r="CU125" s="119"/>
      <c r="CV125" s="119"/>
      <c r="CW125" s="119"/>
      <c r="CX125" s="119"/>
      <c r="CY125" s="119"/>
      <c r="CZ125" s="119"/>
      <c r="DA125" s="119"/>
      <c r="DB125" s="119"/>
      <c r="DC125" s="119"/>
      <c r="DD125" s="119"/>
      <c r="DE125" s="119"/>
      <c r="DF125" s="119"/>
      <c r="DG125" s="119"/>
      <c r="DH125" s="119"/>
      <c r="DI125" s="119"/>
      <c r="DJ125" s="119"/>
      <c r="DK125" s="119"/>
      <c r="DL125" s="119"/>
      <c r="DM125" s="119"/>
      <c r="DN125" s="119"/>
      <c r="DO125" s="119"/>
      <c r="DP125" s="119"/>
      <c r="DQ125" s="119"/>
      <c r="DR125" s="119"/>
      <c r="DS125" s="119"/>
      <c r="DT125" s="119"/>
      <c r="DU125" s="56">
        <f>+DU123*DU130*-3</f>
        <v>-62.487426845199749</v>
      </c>
      <c r="DV125" s="56">
        <f>+DV123*DV130*-3</f>
        <v>-58.440451747489647</v>
      </c>
      <c r="DW125" s="56">
        <f>+DW123*DW130*-3</f>
        <v>-54.687678128225464</v>
      </c>
      <c r="DX125" s="56">
        <f>+DX123*DX130*-3</f>
        <v>-50.375027970471585</v>
      </c>
      <c r="DY125" s="60">
        <f>+SUM(DU125:DX125)</f>
        <v>-225.99058469138646</v>
      </c>
      <c r="DZ125" s="56">
        <f>+DZ123*DZ130*-3</f>
        <v>-46.71</v>
      </c>
      <c r="EA125" s="56">
        <f>+EA123*EA130*-3</f>
        <v>-44.01</v>
      </c>
      <c r="EB125" s="56">
        <f>+EB123*EB130*-3</f>
        <v>-41.49</v>
      </c>
      <c r="EC125" s="56">
        <f>+EC123*EC130*-3</f>
        <v>-38.339999999999996</v>
      </c>
      <c r="ED125" s="60">
        <f>+SUM(DZ125:EC125)</f>
        <v>-170.55</v>
      </c>
      <c r="EE125" s="56">
        <f>+EE123*EE130*-3</f>
        <v>-36.000000000000007</v>
      </c>
      <c r="EF125" s="56">
        <f>+EF123*EF130*-3</f>
        <v>-33.570000000000007</v>
      </c>
      <c r="EG125" s="56">
        <f>EG126-EG123-EG124</f>
        <v>-20</v>
      </c>
      <c r="EH125" s="56">
        <f>EH126-EH123-EH124</f>
        <v>-14</v>
      </c>
      <c r="EI125" s="60">
        <f>+SUM(EE125:EH125)</f>
        <v>-103.57000000000002</v>
      </c>
      <c r="EJ125" s="56">
        <f>EJ126-EJ123-EJ124</f>
        <v>-13</v>
      </c>
      <c r="EK125" s="56">
        <f>EK126-EK123-EK124</f>
        <v>-19</v>
      </c>
      <c r="EL125" s="56">
        <f>EL126-EL123-EL124</f>
        <v>-13</v>
      </c>
      <c r="EM125" s="56">
        <f>EM126-EM123-EM124</f>
        <v>-11</v>
      </c>
      <c r="EN125" s="60">
        <f>+SUM(EJ125:EM125)</f>
        <v>-56</v>
      </c>
      <c r="EO125" s="56">
        <f>EO126-EO123-EO124</f>
        <v>-15</v>
      </c>
      <c r="EP125" s="56">
        <f>EP126-EP123-EP124</f>
        <v>-14</v>
      </c>
      <c r="EQ125" s="56">
        <f>EQ126-EQ123-EQ124</f>
        <v>-15</v>
      </c>
      <c r="ER125" s="56">
        <f>ER126-ER123-ER124</f>
        <v>-12</v>
      </c>
      <c r="ES125" s="60">
        <f>+SUM(EO125:ER125)</f>
        <v>-56</v>
      </c>
      <c r="ET125" s="56">
        <f>ET126-ET123-ET124</f>
        <v>-10</v>
      </c>
      <c r="EU125" s="56">
        <f>EU126-EU123-EU124</f>
        <v>-13</v>
      </c>
      <c r="EV125" s="56">
        <f>EV126-EV123-EV124</f>
        <v>-13</v>
      </c>
      <c r="EW125" s="56">
        <f>EW126-EW123-EW124</f>
        <v>-11</v>
      </c>
      <c r="EX125" s="60">
        <f>+SUM(ET125:EW125)</f>
        <v>-47</v>
      </c>
      <c r="EY125" s="56">
        <f t="shared" ref="EY125:FB125" si="674">+EY123*EY130*-3</f>
        <v>-7.6847290640394093</v>
      </c>
      <c r="EZ125" s="56">
        <f t="shared" si="674"/>
        <v>-9.9901477832512331</v>
      </c>
      <c r="FA125" s="56">
        <f t="shared" si="674"/>
        <v>-9.9901477832512295</v>
      </c>
      <c r="FB125" s="56">
        <f t="shared" si="674"/>
        <v>-8.4532019704433505</v>
      </c>
      <c r="FC125" s="60">
        <f>+SUM(EY125:FB125)</f>
        <v>-36.118226600985224</v>
      </c>
      <c r="FD125" s="56">
        <f t="shared" ref="FD125:FI125" si="675">+FD123*FD130*-12</f>
        <v>-30.333476983869154</v>
      </c>
      <c r="FE125" s="56">
        <f t="shared" si="675"/>
        <v>-22.658249967762295</v>
      </c>
      <c r="FF125" s="56">
        <f t="shared" si="675"/>
        <v>-16.925072317776678</v>
      </c>
      <c r="FG125" s="56">
        <f t="shared" si="675"/>
        <v>-12.642550654597652</v>
      </c>
      <c r="FH125" s="56">
        <f t="shared" si="675"/>
        <v>-9.4436280125191061</v>
      </c>
      <c r="FI125" s="56">
        <f t="shared" si="675"/>
        <v>-7.0541232125815672</v>
      </c>
      <c r="FJ125" s="1068">
        <f>+(FF125/ES125)^0.2-1</f>
        <v>-0.21283005989991788</v>
      </c>
    </row>
    <row r="126" spans="1:169" s="108" customFormat="1" x14ac:dyDescent="0.3">
      <c r="A126" s="64" t="s">
        <v>345</v>
      </c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119"/>
      <c r="AR126" s="119"/>
      <c r="AS126" s="119"/>
      <c r="AT126" s="119"/>
      <c r="AU126" s="119"/>
      <c r="AV126" s="119"/>
      <c r="AW126" s="119"/>
      <c r="AX126" s="119"/>
      <c r="AY126" s="119"/>
      <c r="AZ126" s="119"/>
      <c r="BA126" s="119"/>
      <c r="BB126" s="119"/>
      <c r="BC126" s="119"/>
      <c r="BD126" s="119"/>
      <c r="BE126" s="119"/>
      <c r="BF126" s="119"/>
      <c r="BG126" s="119"/>
      <c r="BH126" s="119"/>
      <c r="BI126" s="119"/>
      <c r="BJ126" s="119"/>
      <c r="BK126" s="119"/>
      <c r="BL126" s="119"/>
      <c r="BM126" s="119"/>
      <c r="BN126" s="119"/>
      <c r="BO126" s="119"/>
      <c r="BP126" s="119"/>
      <c r="BQ126" s="119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19"/>
      <c r="CB126" s="119"/>
      <c r="CC126" s="119"/>
      <c r="CD126" s="119"/>
      <c r="CE126" s="119"/>
      <c r="CF126" s="119"/>
      <c r="CG126" s="119"/>
      <c r="CH126" s="119"/>
      <c r="CI126" s="119"/>
      <c r="CJ126" s="119"/>
      <c r="CK126" s="119"/>
      <c r="CL126" s="119"/>
      <c r="CM126" s="119"/>
      <c r="CN126" s="119"/>
      <c r="CO126" s="119"/>
      <c r="CP126" s="119"/>
      <c r="CQ126" s="119"/>
      <c r="CR126" s="119"/>
      <c r="CS126" s="119"/>
      <c r="CT126" s="119"/>
      <c r="CU126" s="119"/>
      <c r="CV126" s="119"/>
      <c r="CW126" s="119"/>
      <c r="CX126" s="119"/>
      <c r="CY126" s="119"/>
      <c r="CZ126" s="119"/>
      <c r="DA126" s="119"/>
      <c r="DB126" s="119"/>
      <c r="DC126" s="119"/>
      <c r="DD126" s="119"/>
      <c r="DE126" s="119"/>
      <c r="DF126" s="119"/>
      <c r="DG126" s="119"/>
      <c r="DH126" s="119"/>
      <c r="DI126" s="119"/>
      <c r="DJ126" s="119"/>
      <c r="DK126" s="119"/>
      <c r="DL126" s="119"/>
      <c r="DM126" s="119"/>
      <c r="DN126" s="119"/>
      <c r="DO126" s="119"/>
      <c r="DP126" s="119"/>
      <c r="DQ126" s="119"/>
      <c r="DR126" s="119"/>
      <c r="DS126" s="119"/>
      <c r="DT126" s="119"/>
      <c r="DU126" s="1796">
        <f>SUM(DU123:DU125)</f>
        <v>649.33835274988496</v>
      </c>
      <c r="DV126" s="1796">
        <f>SUM(DV123:DV125)</f>
        <v>607.64086809139405</v>
      </c>
      <c r="DW126" s="1796">
        <f>SUM(DW123:DW125)</f>
        <v>559.72253300523982</v>
      </c>
      <c r="DX126" s="1796">
        <f>SUM(DX123:DX125)</f>
        <v>522.0832204967993</v>
      </c>
      <c r="DY126" s="1797">
        <f>+DX126</f>
        <v>522.0832204967993</v>
      </c>
      <c r="DZ126" s="1798">
        <f>Inputs!DZ405</f>
        <v>489</v>
      </c>
      <c r="EA126" s="1798">
        <f>Inputs!EA405</f>
        <v>461</v>
      </c>
      <c r="EB126" s="1798">
        <f>Inputs!EB405</f>
        <v>426</v>
      </c>
      <c r="EC126" s="1798">
        <f>Inputs!EC405</f>
        <v>400</v>
      </c>
      <c r="ED126" s="1797">
        <f>+EC126</f>
        <v>400</v>
      </c>
      <c r="EE126" s="1798">
        <f>Inputs!EE405</f>
        <v>373</v>
      </c>
      <c r="EF126" s="1798">
        <f>Inputs!EF405</f>
        <v>349</v>
      </c>
      <c r="EG126" s="1798">
        <f>Inputs!EG405</f>
        <v>329</v>
      </c>
      <c r="EH126" s="1798">
        <f>Inputs!EH405</f>
        <v>315</v>
      </c>
      <c r="EI126" s="1797">
        <f>+EH126</f>
        <v>315</v>
      </c>
      <c r="EJ126" s="1798">
        <f>Inputs!EJ405</f>
        <v>302</v>
      </c>
      <c r="EK126" s="1798">
        <f>Inputs!EK405</f>
        <v>283</v>
      </c>
      <c r="EL126" s="1798">
        <f>Inputs!EL405</f>
        <v>270</v>
      </c>
      <c r="EM126" s="1798">
        <f>Inputs!EM405</f>
        <v>259</v>
      </c>
      <c r="EN126" s="1797">
        <f>+EM126</f>
        <v>259</v>
      </c>
      <c r="EO126" s="1798">
        <f>Inputs!EO405</f>
        <v>244</v>
      </c>
      <c r="EP126" s="1798">
        <f>Inputs!EP405</f>
        <v>230</v>
      </c>
      <c r="EQ126" s="1798">
        <f>Inputs!EQ405</f>
        <v>215</v>
      </c>
      <c r="ER126" s="1798">
        <f>Inputs!ER405</f>
        <v>203</v>
      </c>
      <c r="ES126" s="1797">
        <f>+ER126</f>
        <v>203</v>
      </c>
      <c r="ET126" s="1798">
        <f>Inputs!ET405</f>
        <v>193</v>
      </c>
      <c r="EU126" s="1798">
        <f>Inputs!EU405</f>
        <v>180</v>
      </c>
      <c r="EV126" s="1798">
        <f>Inputs!EV405</f>
        <v>167</v>
      </c>
      <c r="EW126" s="1798">
        <f>Inputs!EW405</f>
        <v>156</v>
      </c>
      <c r="EX126" s="1797">
        <f>+EW126</f>
        <v>156</v>
      </c>
      <c r="EY126" s="1795">
        <f t="shared" ref="EY126:FB126" si="676">+EY123+EY124+EY125</f>
        <v>148.3152709359606</v>
      </c>
      <c r="EZ126" s="1795">
        <f t="shared" si="676"/>
        <v>138.32512315270935</v>
      </c>
      <c r="FA126" s="1795">
        <f t="shared" si="676"/>
        <v>128.33497536945814</v>
      </c>
      <c r="FB126" s="1795">
        <f t="shared" si="676"/>
        <v>119.88177339901479</v>
      </c>
      <c r="FC126" s="1797">
        <f>+FB126</f>
        <v>119.88177339901479</v>
      </c>
      <c r="FD126" s="1795">
        <f t="shared" ref="FD126:FH126" si="677">+FD123+FD124+FD125</f>
        <v>89.548296415145643</v>
      </c>
      <c r="FE126" s="1795">
        <f t="shared" si="677"/>
        <v>66.890046447383355</v>
      </c>
      <c r="FF126" s="1795">
        <f t="shared" si="677"/>
        <v>49.964974129606674</v>
      </c>
      <c r="FG126" s="1795">
        <f t="shared" si="677"/>
        <v>37.322423475009018</v>
      </c>
      <c r="FH126" s="1795">
        <f t="shared" si="677"/>
        <v>27.878795462489911</v>
      </c>
      <c r="FI126" s="1795">
        <f>+FI123+FI124+FI125</f>
        <v>20.824672249908346</v>
      </c>
      <c r="FJ126" s="1068">
        <f>+(FF126/ES126)^0.2-1</f>
        <v>-0.24450094439734071</v>
      </c>
    </row>
    <row r="127" spans="1:169" s="108" customFormat="1" x14ac:dyDescent="0.3">
      <c r="A127" s="61" t="s">
        <v>339</v>
      </c>
      <c r="DY127" s="538"/>
      <c r="DZ127" s="122">
        <f t="shared" ref="DZ127:EW127" si="678">+DZ126/DU126-1</f>
        <v>-0.2469257392095624</v>
      </c>
      <c r="EA127" s="122">
        <f t="shared" si="678"/>
        <v>-0.24132818543294243</v>
      </c>
      <c r="EB127" s="122">
        <f t="shared" si="678"/>
        <v>-0.23890861117786732</v>
      </c>
      <c r="EC127" s="122">
        <f t="shared" si="678"/>
        <v>-0.23383862132291555</v>
      </c>
      <c r="ED127" s="123">
        <f t="shared" si="678"/>
        <v>-0.23383862132291555</v>
      </c>
      <c r="EE127" s="122">
        <f t="shared" si="678"/>
        <v>-0.23721881390593047</v>
      </c>
      <c r="EF127" s="122">
        <f t="shared" si="678"/>
        <v>-0.24295010845986986</v>
      </c>
      <c r="EG127" s="122">
        <f t="shared" si="678"/>
        <v>-0.22769953051643188</v>
      </c>
      <c r="EH127" s="122">
        <f t="shared" si="678"/>
        <v>-0.21250000000000002</v>
      </c>
      <c r="EI127" s="123">
        <f t="shared" si="678"/>
        <v>-0.21250000000000002</v>
      </c>
      <c r="EJ127" s="122">
        <f t="shared" si="678"/>
        <v>-0.19034852546916892</v>
      </c>
      <c r="EK127" s="122">
        <f t="shared" si="678"/>
        <v>-0.18911174785100282</v>
      </c>
      <c r="EL127" s="122">
        <f t="shared" si="678"/>
        <v>-0.17933130699088151</v>
      </c>
      <c r="EM127" s="122">
        <f t="shared" si="678"/>
        <v>-0.17777777777777781</v>
      </c>
      <c r="EN127" s="123">
        <f t="shared" si="678"/>
        <v>-0.17777777777777781</v>
      </c>
      <c r="EO127" s="122">
        <f t="shared" si="678"/>
        <v>-0.19205298013245031</v>
      </c>
      <c r="EP127" s="122">
        <f t="shared" si="678"/>
        <v>-0.1872791519434629</v>
      </c>
      <c r="EQ127" s="122">
        <f t="shared" si="678"/>
        <v>-0.20370370370370372</v>
      </c>
      <c r="ER127" s="122">
        <f t="shared" si="678"/>
        <v>-0.21621621621621623</v>
      </c>
      <c r="ES127" s="123">
        <f t="shared" ref="ES127" si="679">+ES126/EN126-1</f>
        <v>-0.21621621621621623</v>
      </c>
      <c r="ET127" s="122">
        <f t="shared" si="678"/>
        <v>-0.20901639344262291</v>
      </c>
      <c r="EU127" s="122">
        <f t="shared" si="678"/>
        <v>-0.21739130434782605</v>
      </c>
      <c r="EV127" s="122">
        <f t="shared" si="678"/>
        <v>-0.22325581395348837</v>
      </c>
      <c r="EW127" s="122">
        <f t="shared" si="678"/>
        <v>-0.23152709359605916</v>
      </c>
      <c r="EX127" s="123">
        <f t="shared" ref="EX127" si="680">+EX126/ES126-1</f>
        <v>-0.23152709359605916</v>
      </c>
      <c r="EY127" s="122">
        <f t="shared" ref="EY127" si="681">+EY126/ET126-1</f>
        <v>-0.23152709359605905</v>
      </c>
      <c r="EZ127" s="122">
        <f t="shared" ref="EZ127" si="682">+EZ126/EU126-1</f>
        <v>-0.23152709359605916</v>
      </c>
      <c r="FA127" s="122">
        <f t="shared" ref="FA127" si="683">+FA126/EV126-1</f>
        <v>-0.23152709359605905</v>
      </c>
      <c r="FB127" s="122">
        <f t="shared" ref="FB127:FC127" si="684">+FB126/EW126-1</f>
        <v>-0.23152709359605905</v>
      </c>
      <c r="FC127" s="123">
        <f t="shared" si="684"/>
        <v>-0.23152709359605905</v>
      </c>
      <c r="FD127" s="122">
        <f t="shared" ref="FD127:FI127" si="685">+FD126/FC126-1</f>
        <v>-0.25302826379542387</v>
      </c>
      <c r="FE127" s="122">
        <f t="shared" si="685"/>
        <v>-0.25302826379542398</v>
      </c>
      <c r="FF127" s="122">
        <f t="shared" si="685"/>
        <v>-0.25302826379542398</v>
      </c>
      <c r="FG127" s="122">
        <f t="shared" si="685"/>
        <v>-0.25302826379542409</v>
      </c>
      <c r="FH127" s="122">
        <f t="shared" si="685"/>
        <v>-0.25302826379542398</v>
      </c>
      <c r="FI127" s="122">
        <f t="shared" si="685"/>
        <v>-0.25302826379542398</v>
      </c>
    </row>
    <row r="128" spans="1:169" s="108" customFormat="1" x14ac:dyDescent="0.3">
      <c r="A128" s="65" t="s">
        <v>340</v>
      </c>
      <c r="DU128" s="124">
        <f>DU126-DU123</f>
        <v>-44.966389974556705</v>
      </c>
      <c r="DV128" s="124">
        <f>+DV126-DU126</f>
        <v>-41.697484658490907</v>
      </c>
      <c r="DW128" s="124">
        <f>+DW126-DV126</f>
        <v>-47.918335086154229</v>
      </c>
      <c r="DX128" s="124">
        <f>+DX126-DW126</f>
        <v>-37.639312508440526</v>
      </c>
      <c r="DY128" s="125">
        <f>SUM(DU128:DX128)</f>
        <v>-172.22152222764237</v>
      </c>
      <c r="DZ128" s="1105">
        <f>Inputs!DZ410</f>
        <v>-30</v>
      </c>
      <c r="EA128" s="1105">
        <f>Inputs!EA410</f>
        <v>-29</v>
      </c>
      <c r="EB128" s="1105">
        <f>Inputs!EB410</f>
        <v>-34</v>
      </c>
      <c r="EC128" s="1105">
        <f>Inputs!EC410</f>
        <v>-27</v>
      </c>
      <c r="ED128" s="125">
        <f>+SUM(DZ128:EC128)</f>
        <v>-120</v>
      </c>
      <c r="EE128" s="1105">
        <f>Inputs!EE410</f>
        <v>-27</v>
      </c>
      <c r="EF128" s="1105">
        <f>Inputs!EF410</f>
        <v>-24</v>
      </c>
      <c r="EG128" s="1105">
        <f>Inputs!EG410</f>
        <v>-20</v>
      </c>
      <c r="EH128" s="1105">
        <f>Inputs!EH410</f>
        <v>-14</v>
      </c>
      <c r="EI128" s="125">
        <f>+SUM(EE128:EH128)</f>
        <v>-85</v>
      </c>
      <c r="EJ128" s="1105">
        <f>Inputs!EJ410</f>
        <v>-13</v>
      </c>
      <c r="EK128" s="1105">
        <f>Inputs!EK410</f>
        <v>-19</v>
      </c>
      <c r="EL128" s="1105">
        <f>Inputs!EL410</f>
        <v>-13</v>
      </c>
      <c r="EM128" s="1105">
        <f>Inputs!EM410</f>
        <v>-11</v>
      </c>
      <c r="EN128" s="125">
        <f>+SUM(EJ128:EM128)</f>
        <v>-56</v>
      </c>
      <c r="EO128" s="1105">
        <f>Inputs!EO410</f>
        <v>-15</v>
      </c>
      <c r="EP128" s="1105">
        <f>Inputs!EP410</f>
        <v>-14</v>
      </c>
      <c r="EQ128" s="1105">
        <f>Inputs!EQ410</f>
        <v>-15</v>
      </c>
      <c r="ER128" s="1105">
        <f>Inputs!ER410</f>
        <v>-12</v>
      </c>
      <c r="ES128" s="125">
        <f>+SUM(EO128:ER128)</f>
        <v>-56</v>
      </c>
      <c r="ET128" s="1105">
        <f>Inputs!ET410</f>
        <v>-10</v>
      </c>
      <c r="EU128" s="1105">
        <f>Inputs!EU410</f>
        <v>-13</v>
      </c>
      <c r="EV128" s="1105">
        <f>Inputs!EV410</f>
        <v>-13</v>
      </c>
      <c r="EW128" s="1105">
        <f>Inputs!EW410</f>
        <v>-11</v>
      </c>
      <c r="EX128" s="125">
        <f>+SUM(ET128:EW128)</f>
        <v>-47</v>
      </c>
      <c r="EY128" s="124">
        <f t="shared" ref="EY128" si="686">+EY126-EX126</f>
        <v>-7.6847290640394021</v>
      </c>
      <c r="EZ128" s="124">
        <f t="shared" ref="EZ128" si="687">+EZ126-EY126</f>
        <v>-9.9901477832512455</v>
      </c>
      <c r="FA128" s="124">
        <f t="shared" ref="FA128" si="688">+FA126-EZ126</f>
        <v>-9.9901477832512171</v>
      </c>
      <c r="FB128" s="124">
        <f t="shared" ref="FB128" si="689">+FB126-FA126</f>
        <v>-8.4532019704433452</v>
      </c>
      <c r="FC128" s="125">
        <f>+SUM(EY128:FB128)</f>
        <v>-36.11822660098521</v>
      </c>
      <c r="FD128" s="124">
        <f t="shared" ref="FD128:FI128" si="690">+FD126-FC126</f>
        <v>-30.333476983869147</v>
      </c>
      <c r="FE128" s="124">
        <f t="shared" si="690"/>
        <v>-22.658249967762288</v>
      </c>
      <c r="FF128" s="124">
        <f t="shared" si="690"/>
        <v>-16.925072317776682</v>
      </c>
      <c r="FG128" s="124">
        <f t="shared" si="690"/>
        <v>-12.642550654597656</v>
      </c>
      <c r="FH128" s="124">
        <f t="shared" si="690"/>
        <v>-9.4436280125191061</v>
      </c>
      <c r="FI128" s="124">
        <f t="shared" si="690"/>
        <v>-7.0541232125815654</v>
      </c>
      <c r="FK128" s="1069" t="s">
        <v>346</v>
      </c>
    </row>
    <row r="129" spans="1:165" s="108" customFormat="1" x14ac:dyDescent="0.3">
      <c r="A129" s="65" t="s">
        <v>341</v>
      </c>
      <c r="DU129" s="122">
        <f>DZ129*1.05</f>
        <v>5.4362509682416849E-3</v>
      </c>
      <c r="DV129" s="122">
        <f>EA129*1.05</f>
        <v>5.194839307787389E-3</v>
      </c>
      <c r="DW129" s="122">
        <f>EB129*1.05</f>
        <v>2.100323624595472E-3</v>
      </c>
      <c r="DX129" s="122">
        <f>EC129*1.05</f>
        <v>3.951509606587366E-3</v>
      </c>
      <c r="DY129" s="123">
        <f t="shared" ref="DY129:EF129" si="691">+DY124/DY106</f>
        <v>1.6682923507211914E-2</v>
      </c>
      <c r="DZ129" s="122">
        <f t="shared" si="691"/>
        <v>5.1773818745158903E-3</v>
      </c>
      <c r="EA129" s="122">
        <f t="shared" si="691"/>
        <v>4.9474660074165606E-3</v>
      </c>
      <c r="EB129" s="122">
        <f t="shared" si="691"/>
        <v>2.0003082139004496E-3</v>
      </c>
      <c r="EC129" s="122">
        <f t="shared" si="691"/>
        <v>3.7633424824641583E-3</v>
      </c>
      <c r="ED129" s="123">
        <f t="shared" si="691"/>
        <v>1.5877415877415882E-2</v>
      </c>
      <c r="EE129" s="122">
        <f t="shared" si="691"/>
        <v>2.6777744718833678E-3</v>
      </c>
      <c r="EF129" s="122">
        <f t="shared" si="691"/>
        <v>2.7409422884147193E-3</v>
      </c>
      <c r="EG129" s="694">
        <v>0</v>
      </c>
      <c r="EH129" s="694">
        <v>0</v>
      </c>
      <c r="EI129" s="123">
        <f>+EI124/EI106</f>
        <v>5.1705415564527336E-3</v>
      </c>
      <c r="EJ129" s="694">
        <v>0</v>
      </c>
      <c r="EK129" s="694">
        <v>0</v>
      </c>
      <c r="EL129" s="694">
        <v>0</v>
      </c>
      <c r="EM129" s="694">
        <v>0</v>
      </c>
      <c r="EN129" s="123">
        <f>+EN124/EN106</f>
        <v>0</v>
      </c>
      <c r="EO129" s="694">
        <v>0</v>
      </c>
      <c r="EP129" s="694">
        <v>0</v>
      </c>
      <c r="EQ129" s="694">
        <v>0</v>
      </c>
      <c r="ER129" s="694">
        <v>0</v>
      </c>
      <c r="ES129" s="123">
        <f>+ES124/ES106</f>
        <v>0</v>
      </c>
      <c r="ET129" s="694">
        <v>0</v>
      </c>
      <c r="EU129" s="694">
        <v>0</v>
      </c>
      <c r="EV129" s="694">
        <v>0</v>
      </c>
      <c r="EW129" s="694">
        <v>0</v>
      </c>
      <c r="EX129" s="123">
        <f>+EX124/EX106</f>
        <v>0</v>
      </c>
      <c r="EY129" s="694">
        <v>0</v>
      </c>
      <c r="EZ129" s="694">
        <v>0</v>
      </c>
      <c r="FA129" s="694">
        <v>0</v>
      </c>
      <c r="FB129" s="694">
        <v>0</v>
      </c>
      <c r="FC129" s="123">
        <f>+FC124/FC106</f>
        <v>0</v>
      </c>
      <c r="FD129" s="694">
        <f t="shared" ref="FD129:FI129" si="692">FC129*0.95</f>
        <v>0</v>
      </c>
      <c r="FE129" s="694">
        <f t="shared" si="692"/>
        <v>0</v>
      </c>
      <c r="FF129" s="694">
        <f t="shared" si="692"/>
        <v>0</v>
      </c>
      <c r="FG129" s="694">
        <f t="shared" si="692"/>
        <v>0</v>
      </c>
      <c r="FH129" s="694">
        <f t="shared" si="692"/>
        <v>0</v>
      </c>
      <c r="FI129" s="694">
        <f t="shared" si="692"/>
        <v>0</v>
      </c>
    </row>
    <row r="130" spans="1:165" s="108" customFormat="1" x14ac:dyDescent="0.3">
      <c r="A130" s="65" t="s">
        <v>342</v>
      </c>
      <c r="DU130" s="694">
        <v>0.03</v>
      </c>
      <c r="DV130" s="694">
        <f>+DU130</f>
        <v>0.03</v>
      </c>
      <c r="DW130" s="694">
        <f>+DV130</f>
        <v>0.03</v>
      </c>
      <c r="DX130" s="694">
        <f>+DW130</f>
        <v>0.03</v>
      </c>
      <c r="DY130" s="123">
        <f>+DY125/AVERAGE(DU123:DX123)/-12</f>
        <v>3.0000000000000002E-2</v>
      </c>
      <c r="DZ130" s="694">
        <v>0.03</v>
      </c>
      <c r="EA130" s="694">
        <f>+DZ130</f>
        <v>0.03</v>
      </c>
      <c r="EB130" s="694">
        <f>+EA130</f>
        <v>0.03</v>
      </c>
      <c r="EC130" s="694">
        <f>+EB130</f>
        <v>0.03</v>
      </c>
      <c r="ED130" s="123">
        <f>+ED125/AVERAGE(DZ123:EC123)/-12</f>
        <v>3.0000000000000002E-2</v>
      </c>
      <c r="EE130" s="694">
        <f>+ED130</f>
        <v>3.0000000000000002E-2</v>
      </c>
      <c r="EF130" s="694">
        <f>+EE130</f>
        <v>3.0000000000000002E-2</v>
      </c>
      <c r="EG130" s="1106">
        <f>-EG125/EG123/3</f>
        <v>1.9102196752626553E-2</v>
      </c>
      <c r="EH130" s="1106">
        <f>-EH125/EH123/3</f>
        <v>1.4184397163120567E-2</v>
      </c>
      <c r="EI130" s="123">
        <f>+EI125/AVERAGE(EE123:EH123)/-12</f>
        <v>2.3792786583965084E-2</v>
      </c>
      <c r="EJ130" s="1106">
        <f>-EJ125/EJ123/3</f>
        <v>1.3756613756613757E-2</v>
      </c>
      <c r="EK130" s="1106">
        <f>-EK125/EK123/3</f>
        <v>2.097130242825607E-2</v>
      </c>
      <c r="EL130" s="1106">
        <f>-EL125/EL123/3</f>
        <v>1.5312131919905771E-2</v>
      </c>
      <c r="EM130" s="1106">
        <f>-EM125/EM123/3</f>
        <v>1.3580246913580249E-2</v>
      </c>
      <c r="EN130" s="123">
        <f>+EN125/AVERAGE(EJ123:EM123)/-12</f>
        <v>1.5954415954415956E-2</v>
      </c>
      <c r="EO130" s="1106">
        <f>-EO125/EO123/3</f>
        <v>1.9305019305019305E-2</v>
      </c>
      <c r="EP130" s="1106">
        <f>-EP125/EP123/3</f>
        <v>1.912568306010929E-2</v>
      </c>
      <c r="EQ130" s="1106">
        <f>-EQ125/EQ123/3</f>
        <v>2.1739130434782608E-2</v>
      </c>
      <c r="ER130" s="1106">
        <f>-ER125/ER123/3</f>
        <v>1.8604651162790697E-2</v>
      </c>
      <c r="ES130" s="123">
        <f>+ES125/AVERAGE(EO123:ER123)/-12</f>
        <v>1.969057665260197E-2</v>
      </c>
      <c r="ET130" s="1106">
        <f>-ET125/ET123/3</f>
        <v>1.6420361247947456E-2</v>
      </c>
      <c r="EU130" s="1106">
        <f>-EU125/EU123/3</f>
        <v>2.2452504317789293E-2</v>
      </c>
      <c r="EV130" s="1106">
        <f>-EV125/EV123/3</f>
        <v>2.4074074074074071E-2</v>
      </c>
      <c r="EW130" s="1106">
        <f>-EW125/EW123/3</f>
        <v>2.1956087824351298E-2</v>
      </c>
      <c r="EX130" s="123">
        <f>+EX125/AVERAGE(ET123:EW123)/-12</f>
        <v>2.1085688649618666E-2</v>
      </c>
      <c r="EY130" s="694">
        <f t="shared" ref="EY130:FB130" si="693">+ET130</f>
        <v>1.6420361247947456E-2</v>
      </c>
      <c r="EZ130" s="694">
        <f t="shared" si="693"/>
        <v>2.2452504317789293E-2</v>
      </c>
      <c r="FA130" s="694">
        <f t="shared" si="693"/>
        <v>2.4074074074074071E-2</v>
      </c>
      <c r="FB130" s="694">
        <f t="shared" si="693"/>
        <v>2.1956087824351298E-2</v>
      </c>
      <c r="FC130" s="123">
        <f>+FC125/AVERAGE(EY123:FB123)/-12</f>
        <v>2.1085688649618666E-2</v>
      </c>
      <c r="FD130" s="694">
        <f t="shared" ref="FD130:FI130" si="694">+FC130</f>
        <v>2.1085688649618666E-2</v>
      </c>
      <c r="FE130" s="694">
        <f t="shared" si="694"/>
        <v>2.1085688649618666E-2</v>
      </c>
      <c r="FF130" s="694">
        <f t="shared" si="694"/>
        <v>2.1085688649618666E-2</v>
      </c>
      <c r="FG130" s="694">
        <f t="shared" si="694"/>
        <v>2.1085688649618666E-2</v>
      </c>
      <c r="FH130" s="694">
        <f t="shared" si="694"/>
        <v>2.1085688649618666E-2</v>
      </c>
      <c r="FI130" s="694">
        <f t="shared" si="694"/>
        <v>2.1085688649618666E-2</v>
      </c>
    </row>
    <row r="131" spans="1:165" s="108" customFormat="1" x14ac:dyDescent="0.3">
      <c r="A131" s="65" t="s">
        <v>347</v>
      </c>
      <c r="DU131" s="126">
        <f t="shared" ref="DU131:FI131" si="695">+DU126/DU90</f>
        <v>0.20147016839897144</v>
      </c>
      <c r="DV131" s="126">
        <f t="shared" si="695"/>
        <v>0.18853269255085139</v>
      </c>
      <c r="DW131" s="126">
        <f t="shared" si="695"/>
        <v>0.17366507384587027</v>
      </c>
      <c r="DX131" s="126">
        <f t="shared" si="695"/>
        <v>0.16198672680632928</v>
      </c>
      <c r="DY131" s="127">
        <f t="shared" si="695"/>
        <v>0.16198672680632928</v>
      </c>
      <c r="DZ131" s="126">
        <f t="shared" si="695"/>
        <v>0.15129950495049505</v>
      </c>
      <c r="EA131" s="126">
        <f t="shared" si="695"/>
        <v>0.14228395061728394</v>
      </c>
      <c r="EB131" s="126">
        <f t="shared" si="695"/>
        <v>0.13111726685133887</v>
      </c>
      <c r="EC131" s="126">
        <f t="shared" si="695"/>
        <v>0.12088244182532487</v>
      </c>
      <c r="ED131" s="127">
        <f t="shared" si="695"/>
        <v>0.12088244182532487</v>
      </c>
      <c r="EE131" s="126">
        <f t="shared" si="695"/>
        <v>0.10928801640785232</v>
      </c>
      <c r="EF131" s="126">
        <f t="shared" si="695"/>
        <v>9.7759103641456582E-2</v>
      </c>
      <c r="EG131" s="126">
        <f t="shared" si="695"/>
        <v>8.7616511318242343E-2</v>
      </c>
      <c r="EH131" s="126">
        <f t="shared" si="695"/>
        <v>7.9807448695211558E-2</v>
      </c>
      <c r="EI131" s="127">
        <f t="shared" si="695"/>
        <v>7.9807448695211558E-2</v>
      </c>
      <c r="EJ131" s="126">
        <f t="shared" si="695"/>
        <v>7.263107263107263E-2</v>
      </c>
      <c r="EK131" s="126">
        <f t="shared" si="695"/>
        <v>6.3753097544492002E-2</v>
      </c>
      <c r="EL131" s="126">
        <f t="shared" si="695"/>
        <v>5.6367432150313153E-2</v>
      </c>
      <c r="EM131" s="126">
        <f t="shared" si="695"/>
        <v>5.0087023786501643E-2</v>
      </c>
      <c r="EN131" s="127">
        <f t="shared" si="695"/>
        <v>5.0087023786501643E-2</v>
      </c>
      <c r="EO131" s="126">
        <f t="shared" si="695"/>
        <v>4.4283121597096187E-2</v>
      </c>
      <c r="EP131" s="126">
        <f t="shared" ref="EP131:EQ131" si="696">+EP126/EP90</f>
        <v>3.9478201167181599E-2</v>
      </c>
      <c r="EQ131" s="126">
        <f t="shared" si="696"/>
        <v>3.4913933095160769E-2</v>
      </c>
      <c r="ER131" s="126">
        <f t="shared" ref="ER131" si="697">+ER126/ER90</f>
        <v>3.12740717917116E-2</v>
      </c>
      <c r="ES131" s="127">
        <f t="shared" si="695"/>
        <v>3.12740717917116E-2</v>
      </c>
      <c r="ET131" s="126">
        <f t="shared" ref="ET131:EU131" si="698">+ET126/ET90</f>
        <v>2.83281960956994E-2</v>
      </c>
      <c r="EU131" s="126">
        <f t="shared" si="698"/>
        <v>2.4996528259963895E-2</v>
      </c>
      <c r="EV131" s="126">
        <f t="shared" ref="EV131:EW131" si="699">+EV126/EV90</f>
        <v>2.2025850699024005E-2</v>
      </c>
      <c r="EW131" s="126">
        <f t="shared" si="699"/>
        <v>1.9941199028505687E-2</v>
      </c>
      <c r="EX131" s="127">
        <f t="shared" ref="EX131" si="700">+EX126/EX90</f>
        <v>1.9941199028505687E-2</v>
      </c>
      <c r="EY131" s="126">
        <f t="shared" ref="EY131:FC131" si="701">+EY126/EY90</f>
        <v>1.822667497568E-2</v>
      </c>
      <c r="EZ131" s="126">
        <f t="shared" si="701"/>
        <v>1.6243077728384462E-2</v>
      </c>
      <c r="FA131" s="126">
        <f t="shared" si="701"/>
        <v>1.4439470150035296E-2</v>
      </c>
      <c r="FB131" s="126">
        <f t="shared" si="701"/>
        <v>1.3140608725092052E-2</v>
      </c>
      <c r="FC131" s="127">
        <f t="shared" si="701"/>
        <v>1.3140608725092052E-2</v>
      </c>
      <c r="FD131" s="126">
        <f t="shared" si="695"/>
        <v>8.9342807956844898E-3</v>
      </c>
      <c r="FE131" s="126">
        <f t="shared" si="695"/>
        <v>6.6075794432590542E-3</v>
      </c>
      <c r="FF131" s="126">
        <f t="shared" si="695"/>
        <v>4.8868070186543384E-3</v>
      </c>
      <c r="FG131" s="126">
        <f t="shared" si="695"/>
        <v>3.6141650724959792E-3</v>
      </c>
      <c r="FH131" s="126">
        <f t="shared" si="695"/>
        <v>2.6729496625071867E-3</v>
      </c>
      <c r="FI131" s="126">
        <f t="shared" si="695"/>
        <v>1.9768493566241874E-3</v>
      </c>
    </row>
    <row r="132" spans="1:165" s="108" customFormat="1" x14ac:dyDescent="0.3">
      <c r="A132" s="65" t="s">
        <v>348</v>
      </c>
      <c r="DU132" s="126">
        <f>DU126/DU115</f>
        <v>0.5362001261353303</v>
      </c>
      <c r="DV132" s="126">
        <f t="shared" ref="DV132:FI132" si="702">DV126/DV115</f>
        <v>0.50594576860232643</v>
      </c>
      <c r="DW132" s="126">
        <f t="shared" si="702"/>
        <v>0.46604707161135706</v>
      </c>
      <c r="DX132" s="126">
        <f t="shared" si="702"/>
        <v>0.43326408339983347</v>
      </c>
      <c r="DY132" s="127">
        <f t="shared" si="702"/>
        <v>0.43326408339983347</v>
      </c>
      <c r="DZ132" s="126">
        <f t="shared" si="702"/>
        <v>0.40246913580246912</v>
      </c>
      <c r="EA132" s="126">
        <f t="shared" si="702"/>
        <v>0.37694194603434178</v>
      </c>
      <c r="EB132" s="126">
        <f t="shared" si="702"/>
        <v>0.34662327095199347</v>
      </c>
      <c r="EC132" s="126">
        <f t="shared" si="702"/>
        <v>0.32310177705977383</v>
      </c>
      <c r="ED132" s="127">
        <f t="shared" si="702"/>
        <v>0.32310177705977383</v>
      </c>
      <c r="EE132" s="126">
        <f t="shared" si="702"/>
        <v>0.29816147082334132</v>
      </c>
      <c r="EF132" s="126">
        <f t="shared" si="702"/>
        <v>0.276326207442597</v>
      </c>
      <c r="EG132" s="126">
        <f t="shared" si="702"/>
        <v>0.25464396284829721</v>
      </c>
      <c r="EH132" s="126">
        <f t="shared" si="702"/>
        <v>0.23577844311377247</v>
      </c>
      <c r="EI132" s="127">
        <f t="shared" si="702"/>
        <v>0.23577844311377247</v>
      </c>
      <c r="EJ132" s="126">
        <f t="shared" si="702"/>
        <v>0.21757925072046108</v>
      </c>
      <c r="EK132" s="126">
        <f t="shared" si="702"/>
        <v>0.19680111265646733</v>
      </c>
      <c r="EL132" s="126">
        <f t="shared" si="702"/>
        <v>0.17976031957390146</v>
      </c>
      <c r="EM132" s="126">
        <f t="shared" si="702"/>
        <v>0.16444444444444445</v>
      </c>
      <c r="EN132" s="127">
        <f t="shared" si="702"/>
        <v>0.16444444444444445</v>
      </c>
      <c r="EO132" s="126">
        <f t="shared" si="702"/>
        <v>0.14707655213984328</v>
      </c>
      <c r="EP132" s="126">
        <f t="shared" si="702"/>
        <v>0.13356562137049943</v>
      </c>
      <c r="EQ132" s="126">
        <f t="shared" ref="EQ132:ER132" si="703">EQ126/EQ115</f>
        <v>0.1196438508625487</v>
      </c>
      <c r="ER132" s="126">
        <f t="shared" si="703"/>
        <v>0.1080937167199148</v>
      </c>
      <c r="ES132" s="127">
        <f t="shared" si="702"/>
        <v>0.1080937167199148</v>
      </c>
      <c r="ET132" s="126">
        <f t="shared" ref="ET132:EU132" si="704">ET126/ET115</f>
        <v>9.8318899643402957E-2</v>
      </c>
      <c r="EU132" s="126">
        <f t="shared" si="704"/>
        <v>8.7676570871894788E-2</v>
      </c>
      <c r="EV132" s="126">
        <f t="shared" ref="EV132:EW132" si="705">EV126/EV115</f>
        <v>7.7422345850718596E-2</v>
      </c>
      <c r="EW132" s="126">
        <f t="shared" si="705"/>
        <v>6.9364161849710976E-2</v>
      </c>
      <c r="EX132" s="127">
        <f t="shared" ref="EX132" si="706">EX126/EX115</f>
        <v>6.9364161849710976E-2</v>
      </c>
      <c r="EY132" s="126">
        <f t="shared" ref="EY132:FC132" si="707">EY126/EY115</f>
        <v>6.2933674085700733E-2</v>
      </c>
      <c r="EZ132" s="126">
        <f t="shared" si="707"/>
        <v>5.6147041251701155E-2</v>
      </c>
      <c r="FA132" s="126">
        <f t="shared" si="707"/>
        <v>4.9733264466407946E-2</v>
      </c>
      <c r="FB132" s="126">
        <f t="shared" si="707"/>
        <v>4.4363869948079185E-2</v>
      </c>
      <c r="FC132" s="127">
        <f t="shared" si="707"/>
        <v>4.4363869948079185E-2</v>
      </c>
      <c r="FD132" s="126">
        <f t="shared" si="702"/>
        <v>2.8124592875412267E-2</v>
      </c>
      <c r="FE132" s="126">
        <f t="shared" si="702"/>
        <v>1.8561411376506552E-2</v>
      </c>
      <c r="FF132" s="126">
        <f t="shared" si="702"/>
        <v>1.2766817459177231E-2</v>
      </c>
      <c r="FG132" s="126">
        <f t="shared" si="702"/>
        <v>9.0009635010988957E-3</v>
      </c>
      <c r="FH132" s="126">
        <f t="shared" si="702"/>
        <v>6.4689645283474611E-3</v>
      </c>
      <c r="FI132" s="126">
        <f t="shared" si="702"/>
        <v>4.7206524247552072E-3</v>
      </c>
    </row>
    <row r="133" spans="1:165" s="108" customFormat="1" x14ac:dyDescent="0.3">
      <c r="A133" s="65"/>
      <c r="DU133" s="126"/>
      <c r="DV133" s="126"/>
      <c r="DW133" s="126"/>
      <c r="DX133" s="126"/>
      <c r="DY133" s="127"/>
      <c r="DZ133" s="126"/>
      <c r="EA133" s="126"/>
      <c r="EB133" s="126"/>
      <c r="EC133" s="126"/>
      <c r="ED133" s="127"/>
      <c r="EE133" s="126"/>
      <c r="EF133" s="126"/>
      <c r="EG133" s="126"/>
      <c r="EH133" s="126"/>
      <c r="EI133" s="127"/>
      <c r="EJ133" s="126"/>
      <c r="EK133" s="126"/>
      <c r="EL133" s="126"/>
      <c r="EM133" s="126"/>
      <c r="EN133" s="127"/>
      <c r="EO133" s="126"/>
      <c r="EP133" s="126"/>
      <c r="EQ133" s="126"/>
      <c r="ER133" s="126"/>
      <c r="ES133" s="126"/>
      <c r="ET133" s="126"/>
      <c r="EU133" s="126"/>
      <c r="EV133" s="126"/>
      <c r="EW133" s="126"/>
      <c r="EX133" s="126"/>
      <c r="EY133" s="126"/>
      <c r="EZ133" s="126"/>
      <c r="FA133" s="126"/>
      <c r="FB133" s="126"/>
      <c r="FC133" s="126"/>
      <c r="FD133" s="126"/>
      <c r="FE133" s="126"/>
      <c r="FF133" s="126"/>
      <c r="FG133" s="126"/>
      <c r="FH133" s="126"/>
      <c r="FI133" s="126"/>
    </row>
    <row r="134" spans="1:165" x14ac:dyDescent="0.3">
      <c r="A134" s="68" t="s">
        <v>349</v>
      </c>
      <c r="EO134"/>
      <c r="EP134"/>
      <c r="EQ134"/>
      <c r="ER134"/>
    </row>
    <row r="135" spans="1:165" x14ac:dyDescent="0.3">
      <c r="A135" s="67" t="s">
        <v>350</v>
      </c>
      <c r="DU135" s="76">
        <f>+DU138-DU140</f>
        <v>99.266607214649042</v>
      </c>
      <c r="DV135" s="76">
        <f>+DU138</f>
        <v>99.266607214649042</v>
      </c>
      <c r="DW135" s="76">
        <f>+DV138</f>
        <v>99.350366373999023</v>
      </c>
      <c r="DX135" s="76">
        <f>+DW138</f>
        <v>98.436273204101568</v>
      </c>
      <c r="DY135" s="85">
        <f>+DU135</f>
        <v>99.266607214649042</v>
      </c>
      <c r="DZ135" s="76">
        <f>+DY138</f>
        <v>98.524382773437495</v>
      </c>
      <c r="EA135" s="76">
        <f>+DZ138</f>
        <v>97.614751562500004</v>
      </c>
      <c r="EB135" s="76">
        <f>+EA138</f>
        <v>96.707437499999997</v>
      </c>
      <c r="EC135" s="76">
        <f>+EB138</f>
        <v>97.802499999999995</v>
      </c>
      <c r="ED135" s="85">
        <f>+DZ135</f>
        <v>98.524382773437495</v>
      </c>
      <c r="EE135" s="76">
        <f>+ED138</f>
        <v>98.9</v>
      </c>
      <c r="EF135" s="76">
        <f>+EE138</f>
        <v>99</v>
      </c>
      <c r="EG135" s="76">
        <f>+EF138</f>
        <v>100</v>
      </c>
      <c r="EH135" s="76">
        <f>+EG138</f>
        <v>100</v>
      </c>
      <c r="EI135" s="85">
        <f>+EE135</f>
        <v>98.9</v>
      </c>
      <c r="EJ135" s="76">
        <f>+EI138</f>
        <v>101</v>
      </c>
      <c r="EK135" s="76">
        <f>+EJ138</f>
        <v>104</v>
      </c>
      <c r="EL135" s="76">
        <f>+EK138</f>
        <v>108</v>
      </c>
      <c r="EM135" s="76">
        <f>+EL138</f>
        <v>110</v>
      </c>
      <c r="EN135" s="85">
        <f>+EJ135</f>
        <v>101</v>
      </c>
      <c r="EO135" s="76">
        <f>+EN138</f>
        <v>114</v>
      </c>
      <c r="EP135" s="76">
        <f>+EO138</f>
        <v>118</v>
      </c>
      <c r="EQ135" s="76">
        <f>+EP138</f>
        <v>122</v>
      </c>
      <c r="ER135" s="76">
        <f>+EQ138</f>
        <v>126</v>
      </c>
      <c r="ES135" s="85">
        <f>+EO135</f>
        <v>114</v>
      </c>
      <c r="ET135" s="76">
        <f>+ES138</f>
        <v>129</v>
      </c>
      <c r="EU135" s="76">
        <f>+ET138</f>
        <v>132</v>
      </c>
      <c r="EV135" s="76">
        <f>+EU138</f>
        <v>134</v>
      </c>
      <c r="EW135" s="76">
        <f>+EV138</f>
        <v>138</v>
      </c>
      <c r="EX135" s="85">
        <f>+ET135</f>
        <v>129</v>
      </c>
      <c r="EY135" s="76">
        <f t="shared" ref="EY135" si="708">+EX138</f>
        <v>143</v>
      </c>
      <c r="EZ135" s="76">
        <f t="shared" ref="EZ135" si="709">+EY138</f>
        <v>147.55088138141747</v>
      </c>
      <c r="FA135" s="76">
        <f t="shared" ref="FA135" si="710">+EZ138</f>
        <v>150.72040787618391</v>
      </c>
      <c r="FB135" s="76">
        <f t="shared" ref="FB135" si="711">+FA138</f>
        <v>156.33651561759376</v>
      </c>
      <c r="FC135" s="85">
        <f>+EY135</f>
        <v>143</v>
      </c>
      <c r="FD135" s="76">
        <f t="shared" ref="FD135:FI135" si="712">+FC138</f>
        <v>162.98835875308487</v>
      </c>
      <c r="FE135" s="76">
        <f t="shared" si="712"/>
        <v>187.58914365004199</v>
      </c>
      <c r="FF135" s="76">
        <f t="shared" si="712"/>
        <v>213.54339308519684</v>
      </c>
      <c r="FG135" s="76">
        <f t="shared" si="712"/>
        <v>240.11231387097365</v>
      </c>
      <c r="FH135" s="76">
        <f t="shared" si="712"/>
        <v>267.61157418273967</v>
      </c>
      <c r="FI135" s="76">
        <f t="shared" si="712"/>
        <v>296.34098580542775</v>
      </c>
    </row>
    <row r="136" spans="1:165" x14ac:dyDescent="0.3">
      <c r="A136" s="67" t="s">
        <v>351</v>
      </c>
      <c r="DU136" s="76">
        <f>+DU138-DU137-DU135</f>
        <v>6.9387358443039631</v>
      </c>
      <c r="DV136" s="76">
        <f>+DV138-DV137-DV135</f>
        <v>7.1713949144759255</v>
      </c>
      <c r="DW136" s="76">
        <f>+DW138-DW137-DW135</f>
        <v>6.3285485387670661</v>
      </c>
      <c r="DX136" s="76">
        <f>+DX138-DX137-DX135</f>
        <v>6.4372491910004754</v>
      </c>
      <c r="DY136" s="85">
        <f>+SUM(DU136:DX136)</f>
        <v>26.87592848854743</v>
      </c>
      <c r="DZ136" s="76">
        <f>+DZ138-DZ137-DZ135</f>
        <v>5.740764626269538</v>
      </c>
      <c r="EA136" s="76">
        <f>+EA138-EA137-EA135</f>
        <v>4.9202866057812429</v>
      </c>
      <c r="EB136" s="76">
        <f>+EB138-EB137-EB135</f>
        <v>5.795043962500003</v>
      </c>
      <c r="EC136" s="76">
        <f>+EC138-EC137-EC135</f>
        <v>5.2932272500000153</v>
      </c>
      <c r="ED136" s="85">
        <f>+SUM(DZ136:EC136)</f>
        <v>21.749322444550799</v>
      </c>
      <c r="EE136" s="76">
        <f>+EE138-EE137-EE135</f>
        <v>3.957099999999997</v>
      </c>
      <c r="EF136" s="76">
        <f>+EF138-EF137-EF135</f>
        <v>4.5936999999999983</v>
      </c>
      <c r="EG136" s="76">
        <f>+EG138-EG137-EG135</f>
        <v>3.8100000000000023</v>
      </c>
      <c r="EH136" s="76">
        <f>+EH138-EH137-EH135</f>
        <v>4.8400000000000034</v>
      </c>
      <c r="EI136" s="85">
        <f>+SUM(EE136:EH136)</f>
        <v>17.200800000000001</v>
      </c>
      <c r="EJ136" s="76">
        <f>+EJ138-EJ137-EJ135</f>
        <v>6.7571999999999974</v>
      </c>
      <c r="EK136" s="76">
        <f>+EK138-EK137-EK135</f>
        <v>7.9624000000000024</v>
      </c>
      <c r="EL136" s="76">
        <f>+EL138-EL137-EL135</f>
        <v>6.3415999999999997</v>
      </c>
      <c r="EM136" s="76">
        <f>+EM138-EM137-EM135</f>
        <v>8.3230000000000075</v>
      </c>
      <c r="EN136" s="85">
        <f>+SUM(EJ136:EM136)</f>
        <v>29.384200000000007</v>
      </c>
      <c r="EO136" s="76">
        <f>+EO138-EO137-EO135</f>
        <v>8.8906000000000063</v>
      </c>
      <c r="EP136" s="76">
        <f>+EP138-EP137-EP135</f>
        <v>8.566599999999994</v>
      </c>
      <c r="EQ136" s="76">
        <f>+EQ138-EQ137-EQ135</f>
        <v>8.5383999999999958</v>
      </c>
      <c r="ER136" s="76">
        <f>+ER138-ER137-ER135</f>
        <v>7.4225999999999885</v>
      </c>
      <c r="ES136" s="85">
        <f>+SUM(EO136:ER136)</f>
        <v>33.418199999999985</v>
      </c>
      <c r="ET136" s="76">
        <f>+ET138-ET137-ET135</f>
        <v>8.1083999999999889</v>
      </c>
      <c r="EU136" s="76">
        <f>+EU138-EU137-EU135</f>
        <v>7.1876000000000033</v>
      </c>
      <c r="EV136" s="76">
        <f>+EV138-EV137-EV135</f>
        <v>10.030000000000001</v>
      </c>
      <c r="EW136" s="76">
        <f>+EW138-EW137-EW135</f>
        <v>10.423399999999987</v>
      </c>
      <c r="EX136" s="85">
        <f>+SUM(ET136:EW136)</f>
        <v>35.74939999999998</v>
      </c>
      <c r="EY136" s="76">
        <f t="shared" ref="EY136:FB136" si="713">+EY141*EY106</f>
        <v>10.213681381417484</v>
      </c>
      <c r="EZ136" s="76">
        <f t="shared" si="713"/>
        <v>8.968276133056138</v>
      </c>
      <c r="FA136" s="76">
        <f t="shared" si="713"/>
        <v>12.398526095838111</v>
      </c>
      <c r="FB136" s="76">
        <f t="shared" si="713"/>
        <v>12.795868199262538</v>
      </c>
      <c r="FC136" s="85">
        <f>+SUM(EY136:FB136)</f>
        <v>44.376351809574274</v>
      </c>
      <c r="FD136" s="76">
        <f t="shared" ref="FD136:FI136" si="714">+FD141*FD106</f>
        <v>51.206588429854243</v>
      </c>
      <c r="FE136" s="76">
        <f t="shared" si="714"/>
        <v>56.575822282687852</v>
      </c>
      <c r="FF136" s="76">
        <f t="shared" si="714"/>
        <v>61.427199043428331</v>
      </c>
      <c r="FG136" s="76">
        <f t="shared" si="714"/>
        <v>66.6945813614023</v>
      </c>
      <c r="FH136" s="76">
        <f t="shared" si="714"/>
        <v>72.413641713142539</v>
      </c>
      <c r="FI136" s="76">
        <f t="shared" si="714"/>
        <v>78.623111490044508</v>
      </c>
    </row>
    <row r="137" spans="1:165" x14ac:dyDescent="0.3">
      <c r="A137" s="67" t="s">
        <v>337</v>
      </c>
      <c r="DU137" s="76">
        <f>+DU142*DU135*-3</f>
        <v>-6.9387358443039684</v>
      </c>
      <c r="DV137" s="76">
        <f>+DV142*DV135*-3</f>
        <v>-7.087635755125941</v>
      </c>
      <c r="DW137" s="76">
        <f>+DW142*DW135*-3</f>
        <v>-7.2426417086645278</v>
      </c>
      <c r="DX137" s="76">
        <f>+DX142*DX135*-3</f>
        <v>-6.3491396216645501</v>
      </c>
      <c r="DY137" s="85">
        <f>+SUM(DU137:DX137)</f>
        <v>-27.618152929758985</v>
      </c>
      <c r="DZ137" s="76">
        <f>+DZ142*DZ135*-3</f>
        <v>-6.6503958372070304</v>
      </c>
      <c r="EA137" s="76">
        <f>+EA142*EA135*-3</f>
        <v>-5.8276006682812511</v>
      </c>
      <c r="EB137" s="76">
        <f>+EB142*EB135*-3</f>
        <v>-4.6999814624999994</v>
      </c>
      <c r="EC137" s="76">
        <f>+EC142*EC135*-3</f>
        <v>-4.19572725</v>
      </c>
      <c r="ED137" s="85">
        <f>+SUM(DZ137:EC137)</f>
        <v>-21.373705217988281</v>
      </c>
      <c r="EE137" s="76">
        <f>+EE142*EE135*-3</f>
        <v>-3.8571</v>
      </c>
      <c r="EF137" s="76">
        <f>+EF142*EF135*-3</f>
        <v>-3.5937000000000001</v>
      </c>
      <c r="EG137" s="76">
        <f>+EG142*EG135*-3</f>
        <v>-3.81</v>
      </c>
      <c r="EH137" s="76">
        <f>+EH142*EH135*-3</f>
        <v>-3.84</v>
      </c>
      <c r="EI137" s="85">
        <f>+SUM(EE137:EH137)</f>
        <v>-15.1008</v>
      </c>
      <c r="EJ137" s="76">
        <f>+EJ142*EJ135*-3</f>
        <v>-3.7572000000000001</v>
      </c>
      <c r="EK137" s="76">
        <f>+EK142*EK135*-3</f>
        <v>-3.9623999999999997</v>
      </c>
      <c r="EL137" s="76">
        <f>+EL142*EL135*-3</f>
        <v>-4.3415999999999997</v>
      </c>
      <c r="EM137" s="76">
        <f>+EM142*EM135*-3</f>
        <v>-4.3230000000000004</v>
      </c>
      <c r="EN137" s="85">
        <f>+SUM(EJ137:EM137)</f>
        <v>-16.3842</v>
      </c>
      <c r="EO137" s="76">
        <f>+EO142*EO135*-3</f>
        <v>-4.8906000000000001</v>
      </c>
      <c r="EP137" s="76">
        <f>+EP142*EP135*-3</f>
        <v>-4.5666000000000002</v>
      </c>
      <c r="EQ137" s="76">
        <f>+EQ142*EQ135*-3</f>
        <v>-4.5383999999999993</v>
      </c>
      <c r="ER137" s="76">
        <f>+ER142*ER135*-3</f>
        <v>-4.4226000000000001</v>
      </c>
      <c r="ES137" s="85">
        <f>+SUM(EO137:ER137)</f>
        <v>-18.418199999999999</v>
      </c>
      <c r="ET137" s="76">
        <f>+ET142*ET135*-3</f>
        <v>-5.1084000000000005</v>
      </c>
      <c r="EU137" s="76">
        <f>+EU142*EU135*-3</f>
        <v>-5.1875999999999998</v>
      </c>
      <c r="EV137" s="76">
        <f>+EV142*EV135*-3</f>
        <v>-6.0299999999999994</v>
      </c>
      <c r="EW137" s="76">
        <f>+EW142*EW135*-3</f>
        <v>-5.4234</v>
      </c>
      <c r="EX137" s="85">
        <f>+SUM(ET137:EW137)</f>
        <v>-21.749400000000001</v>
      </c>
      <c r="EY137" s="76">
        <f t="shared" ref="EY137:FB137" si="715">+EY142*EY135*-3</f>
        <v>-5.6627999999999998</v>
      </c>
      <c r="EZ137" s="76">
        <f t="shared" si="715"/>
        <v>-5.7987496382897064</v>
      </c>
      <c r="FA137" s="76">
        <f t="shared" si="715"/>
        <v>-6.7824183544282768</v>
      </c>
      <c r="FB137" s="76">
        <f t="shared" si="715"/>
        <v>-6.1440250637714344</v>
      </c>
      <c r="FC137" s="85">
        <f>+SUM(EY137:FB137)</f>
        <v>-24.387993056489417</v>
      </c>
      <c r="FD137" s="76">
        <f t="shared" ref="FD137:FI137" si="716">+FD142*FD135*-12</f>
        <v>-26.60580353289712</v>
      </c>
      <c r="FE137" s="76">
        <f t="shared" si="716"/>
        <v>-30.62157284753301</v>
      </c>
      <c r="FF137" s="76">
        <f t="shared" si="716"/>
        <v>-34.858278257651548</v>
      </c>
      <c r="FG137" s="76">
        <f t="shared" si="716"/>
        <v>-39.195321049636256</v>
      </c>
      <c r="FH137" s="76">
        <f t="shared" si="716"/>
        <v>-43.684230090454449</v>
      </c>
      <c r="FI137" s="76">
        <f t="shared" si="716"/>
        <v>-48.373945890384256</v>
      </c>
    </row>
    <row r="138" spans="1:165" x14ac:dyDescent="0.3">
      <c r="A138" s="64" t="s">
        <v>352</v>
      </c>
      <c r="DU138" s="1080">
        <f>Inputs!DU385</f>
        <v>99.266607214649042</v>
      </c>
      <c r="DV138" s="1080">
        <f>Inputs!DV385</f>
        <v>99.350366373999023</v>
      </c>
      <c r="DW138" s="1080">
        <f>Inputs!DW385</f>
        <v>98.436273204101568</v>
      </c>
      <c r="DX138" s="1080">
        <f>Inputs!DX385</f>
        <v>98.524382773437495</v>
      </c>
      <c r="DY138" s="803">
        <f>+DX138</f>
        <v>98.524382773437495</v>
      </c>
      <c r="DZ138" s="1080">
        <f>Inputs!DZ385</f>
        <v>97.614751562500004</v>
      </c>
      <c r="EA138" s="1080">
        <f>Inputs!EA385</f>
        <v>96.707437499999997</v>
      </c>
      <c r="EB138" s="1080">
        <f>Inputs!EB385</f>
        <v>97.802499999999995</v>
      </c>
      <c r="EC138" s="1080">
        <f>Inputs!EC385</f>
        <v>98.9</v>
      </c>
      <c r="ED138" s="803">
        <f>+EC138</f>
        <v>98.9</v>
      </c>
      <c r="EE138" s="1080">
        <f>Inputs!EE385</f>
        <v>99</v>
      </c>
      <c r="EF138" s="1080">
        <f>Inputs!EF385</f>
        <v>100</v>
      </c>
      <c r="EG138" s="1080">
        <f>Inputs!EG385</f>
        <v>100</v>
      </c>
      <c r="EH138" s="1080">
        <f>Inputs!EH385</f>
        <v>101</v>
      </c>
      <c r="EI138" s="803">
        <f>+EH138</f>
        <v>101</v>
      </c>
      <c r="EJ138" s="1080">
        <f>Inputs!EJ385</f>
        <v>104</v>
      </c>
      <c r="EK138" s="1080">
        <f>Inputs!EK385</f>
        <v>108</v>
      </c>
      <c r="EL138" s="1080">
        <f>Inputs!EL385</f>
        <v>110</v>
      </c>
      <c r="EM138" s="1080">
        <f>Inputs!EM385</f>
        <v>114</v>
      </c>
      <c r="EN138" s="803">
        <f>+EM138</f>
        <v>114</v>
      </c>
      <c r="EO138" s="1080">
        <f>Inputs!EO385</f>
        <v>118</v>
      </c>
      <c r="EP138" s="1080">
        <f>Inputs!EP385</f>
        <v>122</v>
      </c>
      <c r="EQ138" s="1080">
        <f>Inputs!EQ385</f>
        <v>126</v>
      </c>
      <c r="ER138" s="1080">
        <f>Inputs!ER385</f>
        <v>129</v>
      </c>
      <c r="ES138" s="803">
        <f>+ER138</f>
        <v>129</v>
      </c>
      <c r="ET138" s="1080">
        <f>Inputs!ET385</f>
        <v>132</v>
      </c>
      <c r="EU138" s="1080">
        <f>Inputs!EU385</f>
        <v>134</v>
      </c>
      <c r="EV138" s="1080">
        <f>Inputs!EV385</f>
        <v>138</v>
      </c>
      <c r="EW138" s="1080">
        <f>Inputs!EW385</f>
        <v>143</v>
      </c>
      <c r="EX138" s="803">
        <f>+EW138</f>
        <v>143</v>
      </c>
      <c r="EY138" s="804">
        <f t="shared" ref="EY138:FB138" si="717">+SUM(EY135:EY137)</f>
        <v>147.55088138141747</v>
      </c>
      <c r="EZ138" s="804">
        <f t="shared" si="717"/>
        <v>150.72040787618391</v>
      </c>
      <c r="FA138" s="804">
        <f t="shared" si="717"/>
        <v>156.33651561759376</v>
      </c>
      <c r="FB138" s="804">
        <f t="shared" si="717"/>
        <v>162.98835875308487</v>
      </c>
      <c r="FC138" s="803">
        <f>+FB138</f>
        <v>162.98835875308487</v>
      </c>
      <c r="FD138" s="804">
        <f t="shared" ref="FD138:FI138" si="718">+SUM(FD135:FD137)</f>
        <v>187.58914365004199</v>
      </c>
      <c r="FE138" s="804">
        <f t="shared" si="718"/>
        <v>213.54339308519684</v>
      </c>
      <c r="FF138" s="804">
        <f t="shared" si="718"/>
        <v>240.11231387097365</v>
      </c>
      <c r="FG138" s="804">
        <f t="shared" si="718"/>
        <v>267.61157418273967</v>
      </c>
      <c r="FH138" s="804">
        <f t="shared" si="718"/>
        <v>296.34098580542775</v>
      </c>
      <c r="FI138" s="804">
        <f t="shared" si="718"/>
        <v>326.59015140508797</v>
      </c>
    </row>
    <row r="139" spans="1:165" x14ac:dyDescent="0.3">
      <c r="A139" s="69" t="s">
        <v>339</v>
      </c>
      <c r="DU139" s="79"/>
      <c r="DZ139" s="83">
        <f t="shared" ref="DZ139:EW139" si="719">+DZ138/DU138-1</f>
        <v>-1.6640597462721285E-2</v>
      </c>
      <c r="EA139" s="83">
        <f t="shared" si="719"/>
        <v>-2.660210495902815E-2</v>
      </c>
      <c r="EB139" s="83">
        <f t="shared" si="719"/>
        <v>-6.4384112022148887E-3</v>
      </c>
      <c r="EC139" s="83">
        <f t="shared" si="719"/>
        <v>3.8124291265673182E-3</v>
      </c>
      <c r="ED139" s="91">
        <f t="shared" si="719"/>
        <v>3.8124291265673182E-3</v>
      </c>
      <c r="EE139" s="83">
        <f t="shared" si="719"/>
        <v>1.4190974369412412E-2</v>
      </c>
      <c r="EF139" s="83">
        <f t="shared" si="719"/>
        <v>3.404663162541155E-2</v>
      </c>
      <c r="EG139" s="83">
        <f t="shared" si="719"/>
        <v>2.2468750798803727E-2</v>
      </c>
      <c r="EH139" s="83">
        <f t="shared" si="719"/>
        <v>2.123356926188058E-2</v>
      </c>
      <c r="EI139" s="91">
        <f t="shared" si="719"/>
        <v>2.123356926188058E-2</v>
      </c>
      <c r="EJ139" s="83">
        <f t="shared" si="719"/>
        <v>5.0505050505050608E-2</v>
      </c>
      <c r="EK139" s="83">
        <f t="shared" si="719"/>
        <v>8.0000000000000071E-2</v>
      </c>
      <c r="EL139" s="83">
        <f t="shared" si="719"/>
        <v>0.10000000000000009</v>
      </c>
      <c r="EM139" s="83">
        <f t="shared" si="719"/>
        <v>0.12871287128712861</v>
      </c>
      <c r="EN139" s="91">
        <f>+EN138/EI138-1</f>
        <v>0.12871287128712861</v>
      </c>
      <c r="EO139" s="83">
        <f t="shared" si="719"/>
        <v>0.13461538461538458</v>
      </c>
      <c r="EP139" s="83">
        <f t="shared" si="719"/>
        <v>0.12962962962962954</v>
      </c>
      <c r="EQ139" s="83">
        <f t="shared" si="719"/>
        <v>0.1454545454545455</v>
      </c>
      <c r="ER139" s="83">
        <f t="shared" si="719"/>
        <v>0.13157894736842102</v>
      </c>
      <c r="ES139" s="91">
        <f>+ES138/EN138-1</f>
        <v>0.13157894736842102</v>
      </c>
      <c r="ET139" s="83">
        <f t="shared" si="719"/>
        <v>0.11864406779661008</v>
      </c>
      <c r="EU139" s="83">
        <f t="shared" si="719"/>
        <v>9.8360655737705027E-2</v>
      </c>
      <c r="EV139" s="83">
        <f t="shared" si="719"/>
        <v>9.5238095238095344E-2</v>
      </c>
      <c r="EW139" s="83">
        <f t="shared" si="719"/>
        <v>0.10852713178294571</v>
      </c>
      <c r="EX139" s="91">
        <f>+EX138/ES138-1</f>
        <v>0.10852713178294571</v>
      </c>
      <c r="EY139" s="83">
        <f t="shared" ref="EY139" si="720">+EY138/ET138-1</f>
        <v>0.11780970743498087</v>
      </c>
      <c r="EZ139" s="83">
        <f t="shared" ref="EZ139" si="721">+EZ138/EU138-1</f>
        <v>0.12477916325510385</v>
      </c>
      <c r="FA139" s="83">
        <f t="shared" ref="FA139" si="722">+FA138/EV138-1</f>
        <v>0.13287330157676647</v>
      </c>
      <c r="FB139" s="83">
        <f t="shared" ref="FB139" si="723">+FB138/EW138-1</f>
        <v>0.13977873253905493</v>
      </c>
      <c r="FC139" s="91">
        <f>+FC138/EX138-1</f>
        <v>0.13977873253905493</v>
      </c>
      <c r="FD139" s="83">
        <f t="shared" ref="FD139:FI139" si="724">+FD138/FC138-1</f>
        <v>0.15093584035793306</v>
      </c>
      <c r="FE139" s="83">
        <f t="shared" si="724"/>
        <v>0.13835688425324832</v>
      </c>
      <c r="FF139" s="83">
        <f t="shared" si="724"/>
        <v>0.12441930608069285</v>
      </c>
      <c r="FG139" s="83">
        <f t="shared" si="724"/>
        <v>0.11452665574887178</v>
      </c>
      <c r="FH139" s="83">
        <f t="shared" si="724"/>
        <v>0.10735489191909942</v>
      </c>
      <c r="FI139" s="83">
        <f t="shared" si="724"/>
        <v>0.10207553814213632</v>
      </c>
    </row>
    <row r="140" spans="1:165" x14ac:dyDescent="0.3">
      <c r="A140" s="65" t="s">
        <v>340</v>
      </c>
      <c r="DU140" s="80">
        <f>Inputs!DU390</f>
        <v>0</v>
      </c>
      <c r="DV140" s="77">
        <f>+DV138-DU138</f>
        <v>8.3759159349980905E-2</v>
      </c>
      <c r="DW140" s="77">
        <f>+DW138-DV138</f>
        <v>-0.91409316989745548</v>
      </c>
      <c r="DX140" s="77">
        <f>+DX138-DW138</f>
        <v>8.8109569335927063E-2</v>
      </c>
      <c r="DY140" s="86">
        <f>+SUM(DU140:DX140)</f>
        <v>-0.74222444121154751</v>
      </c>
      <c r="DZ140" s="77">
        <f>+DZ138-DY138</f>
        <v>-0.90963121093749066</v>
      </c>
      <c r="EA140" s="77">
        <f>+EA138-DZ138</f>
        <v>-0.90731406250000646</v>
      </c>
      <c r="EB140" s="77">
        <f>+EB138-EA138</f>
        <v>1.0950624999999974</v>
      </c>
      <c r="EC140" s="77">
        <f>+EC138-EB138</f>
        <v>1.0975000000000108</v>
      </c>
      <c r="ED140" s="86">
        <f>+SUM(DZ140:EC140)</f>
        <v>0.37561722656251106</v>
      </c>
      <c r="EE140" s="77">
        <f>+EE138-ED138</f>
        <v>9.9999999999994316E-2</v>
      </c>
      <c r="EF140" s="77">
        <f>+EF138-EE138</f>
        <v>1</v>
      </c>
      <c r="EG140" s="77">
        <f>+EG138-EF138</f>
        <v>0</v>
      </c>
      <c r="EH140" s="77">
        <f>+EH138-EG138</f>
        <v>1</v>
      </c>
      <c r="EI140" s="86">
        <f>+SUM(EE140:EH140)</f>
        <v>2.0999999999999943</v>
      </c>
      <c r="EJ140" s="77">
        <f>+EJ138-EI138</f>
        <v>3</v>
      </c>
      <c r="EK140" s="77">
        <f>+EK138-EJ138</f>
        <v>4</v>
      </c>
      <c r="EL140" s="77">
        <f>+EL138-EK138</f>
        <v>2</v>
      </c>
      <c r="EM140" s="77">
        <f>+EM138-EL138</f>
        <v>4</v>
      </c>
      <c r="EN140" s="86">
        <f>+SUM(EJ140:EM140)</f>
        <v>13</v>
      </c>
      <c r="EO140" s="77">
        <f>+EO138-EN138</f>
        <v>4</v>
      </c>
      <c r="EP140" s="77">
        <f>+EP138-EO138</f>
        <v>4</v>
      </c>
      <c r="EQ140" s="77">
        <f>+EQ138-EP138</f>
        <v>4</v>
      </c>
      <c r="ER140" s="77">
        <f>+ER138-EQ138</f>
        <v>3</v>
      </c>
      <c r="ES140" s="86">
        <f>+SUM(EO140:ER140)</f>
        <v>15</v>
      </c>
      <c r="ET140" s="77">
        <f>+ET138-ES138</f>
        <v>3</v>
      </c>
      <c r="EU140" s="77">
        <f>+EU138-ET138</f>
        <v>2</v>
      </c>
      <c r="EV140" s="77">
        <f>+EV138-EU138</f>
        <v>4</v>
      </c>
      <c r="EW140" s="77">
        <f>+EW138-EV138</f>
        <v>5</v>
      </c>
      <c r="EX140" s="86">
        <f>+SUM(ET140:EW140)</f>
        <v>14</v>
      </c>
      <c r="EY140" s="77">
        <f t="shared" ref="EY140" si="725">+EY138-EX138</f>
        <v>4.5508813814174687</v>
      </c>
      <c r="EZ140" s="77">
        <f t="shared" ref="EZ140" si="726">+EZ138-EY138</f>
        <v>3.1695264947664441</v>
      </c>
      <c r="FA140" s="77">
        <f t="shared" ref="FA140" si="727">+FA138-EZ138</f>
        <v>5.6161077414098486</v>
      </c>
      <c r="FB140" s="77">
        <f t="shared" ref="FB140" si="728">+FB138-FA138</f>
        <v>6.6518431354911058</v>
      </c>
      <c r="FC140" s="86">
        <f>+SUM(EY140:FB140)</f>
        <v>19.988358753084867</v>
      </c>
      <c r="FD140" s="77">
        <f t="shared" ref="FD140:FI140" si="729">+FD138-FC138</f>
        <v>24.600784896957123</v>
      </c>
      <c r="FE140" s="77">
        <f t="shared" si="729"/>
        <v>25.95424943515485</v>
      </c>
      <c r="FF140" s="77">
        <f t="shared" si="729"/>
        <v>26.568920785776811</v>
      </c>
      <c r="FG140" s="77">
        <f t="shared" si="729"/>
        <v>27.499260311766022</v>
      </c>
      <c r="FH140" s="77">
        <f t="shared" si="729"/>
        <v>28.729411622688076</v>
      </c>
      <c r="FI140" s="77">
        <f t="shared" si="729"/>
        <v>30.249165599660216</v>
      </c>
    </row>
    <row r="141" spans="1:165" x14ac:dyDescent="0.3">
      <c r="A141" s="65" t="s">
        <v>341</v>
      </c>
      <c r="DU141" s="96"/>
      <c r="DV141" s="83">
        <f t="shared" ref="DV141:EO141" si="730">+DV136/DV106</f>
        <v>2.2250682328501165E-3</v>
      </c>
      <c r="DW141" s="83">
        <f t="shared" si="730"/>
        <v>1.9635583427760057E-3</v>
      </c>
      <c r="DX141" s="83">
        <f t="shared" si="730"/>
        <v>1.9972848870618912E-3</v>
      </c>
      <c r="DY141" s="91">
        <f t="shared" si="730"/>
        <v>8.3387925809951698E-3</v>
      </c>
      <c r="DZ141" s="83">
        <f t="shared" si="730"/>
        <v>1.7787032149557051E-3</v>
      </c>
      <c r="EA141" s="83">
        <f t="shared" si="730"/>
        <v>1.5204841179793705E-3</v>
      </c>
      <c r="EB141" s="83">
        <f t="shared" si="730"/>
        <v>1.7861131029434437E-3</v>
      </c>
      <c r="EC141" s="83">
        <f t="shared" si="730"/>
        <v>1.6142809545593216E-3</v>
      </c>
      <c r="ED141" s="91">
        <f t="shared" si="730"/>
        <v>6.698798011719658E-3</v>
      </c>
      <c r="EE141" s="83">
        <f t="shared" si="730"/>
        <v>1.1773579291877408E-3</v>
      </c>
      <c r="EF141" s="83">
        <f t="shared" si="730"/>
        <v>1.3156809394243157E-3</v>
      </c>
      <c r="EG141" s="83">
        <f t="shared" si="730"/>
        <v>1.0402730375426628E-3</v>
      </c>
      <c r="EH141" s="83">
        <f t="shared" si="730"/>
        <v>1.2568164113217356E-3</v>
      </c>
      <c r="EI141" s="91">
        <f t="shared" si="730"/>
        <v>4.7893080885423921E-3</v>
      </c>
      <c r="EJ141" s="83">
        <f t="shared" si="730"/>
        <v>1.667415175817396E-3</v>
      </c>
      <c r="EK141" s="83">
        <f t="shared" si="730"/>
        <v>1.852367104804002E-3</v>
      </c>
      <c r="EL141" s="83">
        <f t="shared" si="730"/>
        <v>1.3742767363744716E-3</v>
      </c>
      <c r="EM141" s="83">
        <f t="shared" si="730"/>
        <v>1.671117357695012E-3</v>
      </c>
      <c r="EN141" s="91">
        <f t="shared" si="730"/>
        <v>6.5494706341245974E-3</v>
      </c>
      <c r="EO141" s="83">
        <f t="shared" si="730"/>
        <v>1.6647504915270118E-3</v>
      </c>
      <c r="EP141" s="83">
        <f t="shared" ref="EP141:EQ141" si="731">+EP136/EP106</f>
        <v>1.5113973182780511E-3</v>
      </c>
      <c r="EQ141" s="83">
        <f t="shared" si="731"/>
        <v>1.4249666221628832E-3</v>
      </c>
      <c r="ER141" s="83">
        <f t="shared" ref="ER141" si="732">+ER136/ER106</f>
        <v>1.1736263736263719E-3</v>
      </c>
      <c r="ES141" s="91">
        <f>+ES136/ES106</f>
        <v>5.7308810289389044E-3</v>
      </c>
      <c r="ET141" s="83">
        <f t="shared" ref="ET141:EU141" si="733">+ET136/ET106</f>
        <v>1.2189416716776892E-3</v>
      </c>
      <c r="EU141" s="83">
        <f t="shared" si="733"/>
        <v>1.0257742257742263E-3</v>
      </c>
      <c r="EV141" s="83">
        <f t="shared" ref="EV141:EW141" si="734">+EV136/EV106</f>
        <v>1.3569640803625788E-3</v>
      </c>
      <c r="EW141" s="83">
        <f t="shared" si="734"/>
        <v>1.3532489451476776E-3</v>
      </c>
      <c r="EX141" s="91">
        <f>+EX136/EX106</f>
        <v>4.9733106110666685E-3</v>
      </c>
      <c r="EY141" s="376">
        <f>ET141*1.05</f>
        <v>1.2798887552615738E-3</v>
      </c>
      <c r="EZ141" s="376">
        <f t="shared" ref="EZ141:FB141" si="735">EU141*1.05</f>
        <v>1.0770629370629376E-3</v>
      </c>
      <c r="FA141" s="376">
        <f t="shared" si="735"/>
        <v>1.4248122843807077E-3</v>
      </c>
      <c r="FB141" s="376">
        <f t="shared" si="735"/>
        <v>1.4209113924050615E-3</v>
      </c>
      <c r="FC141" s="91">
        <f>+FC136/FC106</f>
        <v>5.2185988977998844E-3</v>
      </c>
      <c r="FD141" s="376">
        <f t="shared" ref="FD141" si="736">FC141*1.025</f>
        <v>5.3490638702448808E-3</v>
      </c>
      <c r="FE141" s="376">
        <f>FD141*1.05</f>
        <v>5.6165170637571251E-3</v>
      </c>
      <c r="FF141" s="376">
        <f>FE141*1.075</f>
        <v>6.0377558435389094E-3</v>
      </c>
      <c r="FG141" s="376">
        <f t="shared" ref="FG141:FI141" si="737">FF141*1.075</f>
        <v>6.4905875318043271E-3</v>
      </c>
      <c r="FH141" s="376">
        <f t="shared" si="737"/>
        <v>6.9773815966896512E-3</v>
      </c>
      <c r="FI141" s="376">
        <f t="shared" si="737"/>
        <v>7.5006852164413744E-3</v>
      </c>
    </row>
    <row r="142" spans="1:165" x14ac:dyDescent="0.3">
      <c r="A142" s="65" t="s">
        <v>342</v>
      </c>
      <c r="DU142" s="1235">
        <f>Inputs!DU420</f>
        <v>2.3300000000000001E-2</v>
      </c>
      <c r="DV142" s="1235">
        <f>Inputs!DV420</f>
        <v>2.3800000000000002E-2</v>
      </c>
      <c r="DW142" s="1235">
        <f>Inputs!DW420</f>
        <v>2.4299999999999999E-2</v>
      </c>
      <c r="DX142" s="1235">
        <f>Inputs!DX420</f>
        <v>2.1499999999999998E-2</v>
      </c>
      <c r="DY142" s="1236">
        <f>+DY137/AVERAGE(DU135:DX135)/-12</f>
        <v>2.3228841259147381E-2</v>
      </c>
      <c r="DZ142" s="1235">
        <f>Inputs!DZ420</f>
        <v>2.2499999999999999E-2</v>
      </c>
      <c r="EA142" s="1235">
        <f>Inputs!EA420</f>
        <v>1.9900000000000001E-2</v>
      </c>
      <c r="EB142" s="1235">
        <f>Inputs!EB420</f>
        <v>1.6199999999999999E-2</v>
      </c>
      <c r="EC142" s="1235">
        <f>Inputs!EC420</f>
        <v>1.43E-2</v>
      </c>
      <c r="ED142" s="1236">
        <f>+ED137/AVERAGE(DZ135:EC135)/-12</f>
        <v>1.8237771236759081E-2</v>
      </c>
      <c r="EE142" s="1235">
        <f>Inputs!EE424</f>
        <v>1.2999999999999999E-2</v>
      </c>
      <c r="EF142" s="1235">
        <f>Inputs!EF424</f>
        <v>1.21E-2</v>
      </c>
      <c r="EG142" s="1235">
        <f>Inputs!EG424</f>
        <v>1.2699999999999999E-2</v>
      </c>
      <c r="EH142" s="1235">
        <f>Inputs!EH424</f>
        <v>1.2800000000000001E-2</v>
      </c>
      <c r="EI142" s="1236">
        <f>+EI137/AVERAGE(EE135:EH135)/-12</f>
        <v>1.2650414677054536E-2</v>
      </c>
      <c r="EJ142" s="1235">
        <f>Inputs!EJ424</f>
        <v>1.24E-2</v>
      </c>
      <c r="EK142" s="1235">
        <f>Inputs!EK424</f>
        <v>1.2699999999999999E-2</v>
      </c>
      <c r="EL142" s="1235">
        <f>Inputs!EL424</f>
        <v>1.34E-2</v>
      </c>
      <c r="EM142" s="1235">
        <f>Inputs!EM424</f>
        <v>1.3100000000000001E-2</v>
      </c>
      <c r="EN142" s="1236">
        <f>+EN137/AVERAGE(EJ135:EM135)/-12</f>
        <v>1.2911111111111111E-2</v>
      </c>
      <c r="EO142" s="1235">
        <f>Inputs!EO424</f>
        <v>1.43E-2</v>
      </c>
      <c r="EP142" s="1235">
        <f>Inputs!EP424</f>
        <v>1.29E-2</v>
      </c>
      <c r="EQ142" s="1235">
        <f>Inputs!EQ424</f>
        <v>1.24E-2</v>
      </c>
      <c r="ER142" s="1235">
        <f>Inputs!ER424</f>
        <v>1.17E-2</v>
      </c>
      <c r="ES142" s="1236">
        <f>+ES137/AVERAGE(EO135:ER135)/-12</f>
        <v>1.2790416666666665E-2</v>
      </c>
      <c r="ET142" s="1235">
        <f>Inputs!ET424</f>
        <v>1.32E-2</v>
      </c>
      <c r="EU142" s="1235">
        <f>Inputs!EU424</f>
        <v>1.3100000000000001E-2</v>
      </c>
      <c r="EV142" s="1235">
        <f>Inputs!EV424</f>
        <v>1.4999999999999999E-2</v>
      </c>
      <c r="EW142" s="1235">
        <f>Inputs!EW424</f>
        <v>1.3100000000000001E-2</v>
      </c>
      <c r="EX142" s="1236">
        <f>+EX137/AVERAGE(ET135:EW135)/-12</f>
        <v>1.360187617260788E-2</v>
      </c>
      <c r="EY142" s="1186">
        <f t="shared" ref="EY142" si="738">+ET142</f>
        <v>1.32E-2</v>
      </c>
      <c r="EZ142" s="1186">
        <f t="shared" ref="EZ142" si="739">+EU142</f>
        <v>1.3100000000000001E-2</v>
      </c>
      <c r="FA142" s="1186">
        <f t="shared" ref="FA142" si="740">+EV142</f>
        <v>1.4999999999999999E-2</v>
      </c>
      <c r="FB142" s="1186">
        <f t="shared" ref="FB142" si="741">+EW142</f>
        <v>1.3100000000000001E-2</v>
      </c>
      <c r="FC142" s="1236">
        <f>+FC137/AVERAGE(EY135:FB135)/-12</f>
        <v>1.3603120562536063E-2</v>
      </c>
      <c r="FD142" s="1186">
        <f t="shared" ref="FD142:FI142" si="742">+FC142</f>
        <v>1.3603120562536063E-2</v>
      </c>
      <c r="FE142" s="1186">
        <f t="shared" si="742"/>
        <v>1.3603120562536063E-2</v>
      </c>
      <c r="FF142" s="1186">
        <f t="shared" si="742"/>
        <v>1.3603120562536063E-2</v>
      </c>
      <c r="FG142" s="1186">
        <f t="shared" si="742"/>
        <v>1.3603120562536063E-2</v>
      </c>
      <c r="FH142" s="1186">
        <f t="shared" si="742"/>
        <v>1.3603120562536063E-2</v>
      </c>
      <c r="FI142" s="1186">
        <f t="shared" si="742"/>
        <v>1.3603120562536063E-2</v>
      </c>
    </row>
    <row r="143" spans="1:165" x14ac:dyDescent="0.3">
      <c r="A143" s="65" t="s">
        <v>210</v>
      </c>
      <c r="DU143" s="75">
        <f t="shared" ref="DU143:FI143" si="743">+DU138/DU90</f>
        <v>3.079944375260597E-2</v>
      </c>
      <c r="DV143" s="75">
        <f t="shared" si="743"/>
        <v>3.082543170152002E-2</v>
      </c>
      <c r="DW143" s="75">
        <f t="shared" si="743"/>
        <v>3.0541816073255217E-2</v>
      </c>
      <c r="DX143" s="75">
        <f t="shared" si="743"/>
        <v>3.0569153823592148E-2</v>
      </c>
      <c r="DY143" s="84">
        <f t="shared" si="743"/>
        <v>3.0569153823592148E-2</v>
      </c>
      <c r="DZ143" s="75">
        <f t="shared" si="743"/>
        <v>3.0202584023050743E-2</v>
      </c>
      <c r="EA143" s="75">
        <f t="shared" si="743"/>
        <v>2.9847974537037036E-2</v>
      </c>
      <c r="EB143" s="75">
        <f t="shared" si="743"/>
        <v>3.0102339181286547E-2</v>
      </c>
      <c r="EC143" s="75">
        <f t="shared" si="743"/>
        <v>2.9888183741311577E-2</v>
      </c>
      <c r="ED143" s="84">
        <f t="shared" si="743"/>
        <v>2.9888183741311577E-2</v>
      </c>
      <c r="EE143" s="75">
        <f t="shared" si="743"/>
        <v>2.9006738939349547E-2</v>
      </c>
      <c r="EF143" s="75">
        <f t="shared" si="743"/>
        <v>2.8011204481792718E-2</v>
      </c>
      <c r="EG143" s="75">
        <f t="shared" si="743"/>
        <v>2.6631158455392809E-2</v>
      </c>
      <c r="EH143" s="75">
        <f t="shared" si="743"/>
        <v>2.5589054978464656E-2</v>
      </c>
      <c r="EI143" s="84">
        <f t="shared" si="743"/>
        <v>2.5589054978464656E-2</v>
      </c>
      <c r="EJ143" s="75">
        <f t="shared" si="743"/>
        <v>2.5012025012025013E-2</v>
      </c>
      <c r="EK143" s="75">
        <f t="shared" si="743"/>
        <v>2.4329804009912144E-2</v>
      </c>
      <c r="EL143" s="75">
        <f t="shared" si="743"/>
        <v>2.2964509394572025E-2</v>
      </c>
      <c r="EM143" s="75">
        <f t="shared" si="743"/>
        <v>2.2046025913749757E-2</v>
      </c>
      <c r="EN143" s="84">
        <f t="shared" si="743"/>
        <v>2.2046025913749757E-2</v>
      </c>
      <c r="EO143" s="75">
        <f t="shared" si="743"/>
        <v>2.1415607985480943E-2</v>
      </c>
      <c r="EP143" s="75">
        <f t="shared" ref="EP143:EQ143" si="744">+EP138/EP90</f>
        <v>2.0940611053896326E-2</v>
      </c>
      <c r="EQ143" s="75">
        <f t="shared" si="744"/>
        <v>2.0461188697629102E-2</v>
      </c>
      <c r="ER143" s="75">
        <f t="shared" ref="ER143" si="745">+ER138/ER90</f>
        <v>1.9873671237097521E-2</v>
      </c>
      <c r="ES143" s="84">
        <f t="shared" si="743"/>
        <v>1.9873671237097521E-2</v>
      </c>
      <c r="ET143" s="75">
        <f t="shared" ref="ET143:EU143" si="746">+ET138/ET90</f>
        <v>1.9374724790841038E-2</v>
      </c>
      <c r="EU143" s="75">
        <f t="shared" si="746"/>
        <v>1.8608526593528678E-2</v>
      </c>
      <c r="EV143" s="75">
        <f t="shared" ref="EV143:EW143" si="747">+EV138/EV90</f>
        <v>1.8201002374043786E-2</v>
      </c>
      <c r="EW143" s="75">
        <f t="shared" si="747"/>
        <v>1.8279432442796881E-2</v>
      </c>
      <c r="EX143" s="84">
        <f t="shared" ref="EX143" si="748">+EX138/EX90</f>
        <v>1.8279432442796881E-2</v>
      </c>
      <c r="EY143" s="75">
        <f t="shared" ref="EY143:FC143" si="749">+EY138/EY90</f>
        <v>1.8132738054164495E-2</v>
      </c>
      <c r="EZ143" s="75">
        <f t="shared" si="749"/>
        <v>1.7698616452225535E-2</v>
      </c>
      <c r="FA143" s="75">
        <f t="shared" si="749"/>
        <v>1.7590032990788297E-2</v>
      </c>
      <c r="FB143" s="75">
        <f t="shared" si="749"/>
        <v>1.7865653705259769E-2</v>
      </c>
      <c r="FC143" s="84">
        <f t="shared" si="749"/>
        <v>1.7865653705259769E-2</v>
      </c>
      <c r="FD143" s="75">
        <f t="shared" si="743"/>
        <v>1.8715867868905715E-2</v>
      </c>
      <c r="FE143" s="75">
        <f t="shared" si="743"/>
        <v>2.1094393102319798E-2</v>
      </c>
      <c r="FF143" s="75">
        <f t="shared" si="743"/>
        <v>2.3484101835944338E-2</v>
      </c>
      <c r="FG143" s="75">
        <f t="shared" si="743"/>
        <v>2.5914512358892063E-2</v>
      </c>
      <c r="FH143" s="75">
        <f t="shared" si="743"/>
        <v>2.8412437655759487E-2</v>
      </c>
      <c r="FI143" s="75">
        <f t="shared" si="743"/>
        <v>3.1002626256832713E-2</v>
      </c>
    </row>
    <row r="144" spans="1:165" x14ac:dyDescent="0.3">
      <c r="A144" s="65"/>
      <c r="EO144"/>
      <c r="EP144"/>
      <c r="EQ144"/>
      <c r="ER144"/>
    </row>
    <row r="145" spans="1:165" x14ac:dyDescent="0.3">
      <c r="A145" s="64" t="s">
        <v>353</v>
      </c>
      <c r="EA145" s="76"/>
      <c r="EE145" s="74"/>
      <c r="EF145" s="74"/>
      <c r="EG145" s="74"/>
      <c r="EH145" s="74"/>
      <c r="EJ145" s="74"/>
      <c r="EK145" s="74"/>
      <c r="EL145" s="74"/>
      <c r="EM145" s="74"/>
      <c r="EN145" s="92"/>
      <c r="EO145" s="74"/>
      <c r="EP145" s="74"/>
      <c r="EQ145" s="74"/>
      <c r="ER145" s="74"/>
      <c r="ES145" s="74"/>
      <c r="ET145" s="74"/>
      <c r="EU145" s="74"/>
      <c r="EV145" s="74"/>
      <c r="EW145" s="74"/>
      <c r="EX145" s="74"/>
      <c r="EY145" s="74"/>
      <c r="EZ145" s="74"/>
      <c r="FA145" s="74"/>
      <c r="FB145" s="74"/>
      <c r="FC145" s="74"/>
      <c r="FD145" s="74"/>
      <c r="FE145" s="74"/>
      <c r="FF145" s="74"/>
      <c r="FG145" s="74"/>
      <c r="FH145" s="74"/>
      <c r="FI145" s="74"/>
    </row>
    <row r="146" spans="1:165" s="90" customFormat="1" x14ac:dyDescent="0.3">
      <c r="A146" s="67" t="s">
        <v>350</v>
      </c>
      <c r="DZ146" s="900"/>
      <c r="EA146" s="1062">
        <f>DZ149</f>
        <v>1311.761</v>
      </c>
      <c r="EB146" s="1062">
        <f t="shared" ref="EB146:EW146" si="750">EA149</f>
        <v>1314.9839999999999</v>
      </c>
      <c r="EC146" s="1062">
        <f t="shared" si="750"/>
        <v>1321.4299999999998</v>
      </c>
      <c r="ED146" s="887"/>
      <c r="EE146" s="1062">
        <f t="shared" si="750"/>
        <v>1327.876</v>
      </c>
      <c r="EF146" s="1062">
        <f t="shared" si="750"/>
        <v>1331.0989999999999</v>
      </c>
      <c r="EG146" s="1062">
        <f t="shared" si="750"/>
        <v>1327.876</v>
      </c>
      <c r="EH146" s="1062">
        <f t="shared" si="750"/>
        <v>1337.5449999999998</v>
      </c>
      <c r="EI146" s="916">
        <f>EE146</f>
        <v>1327.876</v>
      </c>
      <c r="EJ146" s="1062">
        <f t="shared" si="750"/>
        <v>1350.4369999999999</v>
      </c>
      <c r="EK146" s="1062">
        <f t="shared" si="750"/>
        <v>1366.5519999999999</v>
      </c>
      <c r="EL146" s="1062">
        <f t="shared" si="750"/>
        <v>1372.998</v>
      </c>
      <c r="EM146" s="1062">
        <f t="shared" si="750"/>
        <v>1382.6669999999999</v>
      </c>
      <c r="EN146" s="916">
        <f>EJ146</f>
        <v>1350.4369999999999</v>
      </c>
      <c r="EO146" s="1062">
        <f t="shared" si="750"/>
        <v>1392.336</v>
      </c>
      <c r="EP146" s="1062">
        <f t="shared" si="750"/>
        <v>1402.0049999999999</v>
      </c>
      <c r="EQ146" s="1062">
        <f t="shared" si="750"/>
        <v>1398.7819999999999</v>
      </c>
      <c r="ER146" s="1062">
        <f t="shared" si="750"/>
        <v>1414.8969999999999</v>
      </c>
      <c r="ES146" s="916">
        <f>EO146</f>
        <v>1392.336</v>
      </c>
      <c r="ET146" s="1062">
        <f t="shared" si="750"/>
        <v>1434.2350000000001</v>
      </c>
      <c r="EU146" s="1062">
        <f t="shared" si="750"/>
        <v>1447.127</v>
      </c>
      <c r="EV146" s="1062">
        <f t="shared" si="750"/>
        <v>1460.019</v>
      </c>
      <c r="EW146" s="1062">
        <f t="shared" si="750"/>
        <v>1472.9110000000001</v>
      </c>
      <c r="EX146" s="916">
        <f>ET146</f>
        <v>1434.2350000000001</v>
      </c>
      <c r="EY146" s="1062">
        <f t="shared" ref="EY146" si="751">EX149</f>
        <v>1489.0260000000001</v>
      </c>
      <c r="EZ146" s="1062">
        <f t="shared" ref="EZ146" si="752">EY149</f>
        <v>1493.8605</v>
      </c>
      <c r="FA146" s="1062">
        <f t="shared" ref="FA146" si="753">EZ149</f>
        <v>1498.6950000000002</v>
      </c>
      <c r="FB146" s="1062">
        <f t="shared" ref="FB146" si="754">FA149</f>
        <v>1503.5295000000001</v>
      </c>
      <c r="FC146" s="916">
        <f>EY146</f>
        <v>1489.0260000000001</v>
      </c>
      <c r="FD146" s="1062">
        <f t="shared" ref="FD146" si="755">FC149</f>
        <v>1508.364</v>
      </c>
      <c r="FE146" s="1062">
        <f t="shared" ref="FE146" si="756">FD149</f>
        <v>1514.8100000000002</v>
      </c>
      <c r="FF146" s="1062">
        <f t="shared" ref="FF146" si="757">FE149</f>
        <v>1521.2560000000001</v>
      </c>
      <c r="FG146" s="1062">
        <f t="shared" ref="FG146" si="758">FF149</f>
        <v>1527.702</v>
      </c>
      <c r="FH146" s="1062">
        <f t="shared" ref="FH146" si="759">FG149</f>
        <v>1534.1480000000001</v>
      </c>
      <c r="FI146" s="1062">
        <f t="shared" ref="FI146" si="760">FH149</f>
        <v>1540.5940000000001</v>
      </c>
    </row>
    <row r="147" spans="1:165" x14ac:dyDescent="0.3">
      <c r="A147" s="67" t="s">
        <v>351</v>
      </c>
      <c r="DU147" s="134"/>
      <c r="DV147" s="134"/>
      <c r="DW147" s="134"/>
      <c r="DX147" s="134"/>
      <c r="DY147" s="85"/>
      <c r="DZ147" s="134"/>
      <c r="EA147" s="134">
        <f>EA151-EA148</f>
        <v>64.414774379049959</v>
      </c>
      <c r="EB147" s="134">
        <f t="shared" ref="EB147:EC147" si="761">EB151-EB148</f>
        <v>76.934784944416123</v>
      </c>
      <c r="EC147" s="134">
        <f t="shared" si="761"/>
        <v>67.909038738597246</v>
      </c>
      <c r="ED147" s="85"/>
      <c r="EE147" s="134">
        <f t="shared" ref="EE147:EH147" si="762">EE151-EE148</f>
        <v>59.067987779190631</v>
      </c>
      <c r="EF147" s="134">
        <f t="shared" si="762"/>
        <v>56.937350404000043</v>
      </c>
      <c r="EG147" s="134">
        <f t="shared" si="762"/>
        <v>70.966016374467955</v>
      </c>
      <c r="EH147" s="134">
        <f t="shared" si="762"/>
        <v>65.743476396551785</v>
      </c>
      <c r="EI147" s="85">
        <f>+SUM(EE147:EH147)</f>
        <v>252.71483095421041</v>
      </c>
      <c r="EJ147" s="134">
        <f t="shared" ref="EJ147" si="763">EJ151-EJ148</f>
        <v>64.467974738204589</v>
      </c>
      <c r="EK147" s="134">
        <f t="shared" ref="EK147" si="764">EK151-EK148</f>
        <v>64.613853750134197</v>
      </c>
      <c r="EL147" s="134">
        <f t="shared" ref="EL147" si="765">EL151-EL148</f>
        <v>74.824771066494051</v>
      </c>
      <c r="EM147" s="134">
        <f t="shared" ref="EM147" si="766">EM151-EM148</f>
        <v>64.394307982258155</v>
      </c>
      <c r="EN147" s="85">
        <f>+SUM(EJ147:EM147)</f>
        <v>268.30090753709101</v>
      </c>
      <c r="EO147" s="134">
        <f t="shared" ref="EO147" si="767">EO151-EO148</f>
        <v>60.441533831616219</v>
      </c>
      <c r="EP147" s="134">
        <f t="shared" ref="EP147:EQ147" si="768">EP151-EP148</f>
        <v>55.746655774620194</v>
      </c>
      <c r="EQ147" s="134">
        <f t="shared" si="768"/>
        <v>77.162731597180041</v>
      </c>
      <c r="ER147" s="134">
        <f t="shared" ref="ER147" si="769">ER151-ER148</f>
        <v>70.190855016224845</v>
      </c>
      <c r="ES147" s="85">
        <f>+SUM(EO147:ER147)</f>
        <v>263.54177621964129</v>
      </c>
      <c r="ET147" s="134">
        <f t="shared" ref="ET147:EU147" si="770">ET151-ET148</f>
        <v>66.466787219730776</v>
      </c>
      <c r="EU147" s="134">
        <f t="shared" si="770"/>
        <v>73.425149721813895</v>
      </c>
      <c r="EV147" s="134">
        <f t="shared" ref="EV147:EW147" si="771">EV151-EV148</f>
        <v>76.846506713717474</v>
      </c>
      <c r="EW147" s="134">
        <f t="shared" si="771"/>
        <v>72.716819729193929</v>
      </c>
      <c r="EX147" s="85">
        <f>+SUM(ET147:EW147)</f>
        <v>289.45526338445609</v>
      </c>
      <c r="EY147" s="134">
        <f t="shared" ref="EY147:FB147" si="772">EY151-EY148</f>
        <v>60.439910060869508</v>
      </c>
      <c r="EZ147" s="134">
        <f t="shared" si="772"/>
        <v>66.748536724612592</v>
      </c>
      <c r="FA147" s="134">
        <f t="shared" si="772"/>
        <v>71.220791972384973</v>
      </c>
      <c r="FB147" s="134">
        <f t="shared" si="772"/>
        <v>63.366075968786433</v>
      </c>
      <c r="FC147" s="85">
        <f>+SUM(EY147:FB147)</f>
        <v>261.77531472665351</v>
      </c>
      <c r="FD147" s="134">
        <f t="shared" ref="FD147:FI147" si="773">FD151-FD148</f>
        <v>252.21280296930178</v>
      </c>
      <c r="FE147" s="134">
        <f t="shared" si="773"/>
        <v>254.42777772803424</v>
      </c>
      <c r="FF147" s="134">
        <f t="shared" si="773"/>
        <v>256.65851635855114</v>
      </c>
      <c r="FG147" s="134">
        <f t="shared" si="773"/>
        <v>258.89926494863005</v>
      </c>
      <c r="FH147" s="134">
        <f t="shared" si="773"/>
        <v>259.95522391264888</v>
      </c>
      <c r="FI147" s="134">
        <f t="shared" si="773"/>
        <v>261.00817122125659</v>
      </c>
    </row>
    <row r="148" spans="1:165" x14ac:dyDescent="0.3">
      <c r="A148" s="67" t="s">
        <v>337</v>
      </c>
      <c r="DU148" s="134"/>
      <c r="DV148" s="134"/>
      <c r="DW148" s="134"/>
      <c r="DX148" s="134"/>
      <c r="DY148" s="85"/>
      <c r="DZ148" s="1404"/>
      <c r="EA148" s="1404">
        <f>-EA146*EA153*3</f>
        <v>-61.19177437905001</v>
      </c>
      <c r="EB148" s="1404">
        <f t="shared" ref="EB148:EC148" si="774">-EB146*EB153*3</f>
        <v>-70.48878494441621</v>
      </c>
      <c r="EC148" s="1404">
        <f t="shared" si="774"/>
        <v>-61.463038738597106</v>
      </c>
      <c r="ED148" s="100"/>
      <c r="EE148" s="1404">
        <f t="shared" ref="EE148:EH148" si="775">-EE146*EE153*3</f>
        <v>-55.844987779190674</v>
      </c>
      <c r="EF148" s="1404">
        <f t="shared" si="775"/>
        <v>-60.160350403999999</v>
      </c>
      <c r="EG148" s="1404">
        <f t="shared" si="775"/>
        <v>-61.297016374468086</v>
      </c>
      <c r="EH148" s="1404">
        <f t="shared" si="775"/>
        <v>-52.851476396551725</v>
      </c>
      <c r="EI148" s="100">
        <f>+SUM(EE148:EH148)</f>
        <v>-230.15383095421049</v>
      </c>
      <c r="EJ148" s="1404">
        <f t="shared" ref="EJ148:EM148" si="776">-EJ146*EJ153*3</f>
        <v>-48.35297473820458</v>
      </c>
      <c r="EK148" s="1404">
        <f t="shared" si="776"/>
        <v>-58.167853750134057</v>
      </c>
      <c r="EL148" s="1404">
        <f t="shared" si="776"/>
        <v>-65.155771066494182</v>
      </c>
      <c r="EM148" s="1404">
        <f t="shared" si="776"/>
        <v>-54.725307982258059</v>
      </c>
      <c r="EN148" s="100">
        <f>+SUM(EJ148:EM148)</f>
        <v>-226.40190753709089</v>
      </c>
      <c r="EO148" s="1404">
        <f t="shared" ref="EO148:EP148" si="777">-EO146*EO153*3</f>
        <v>-50.77253383161635</v>
      </c>
      <c r="EP148" s="1404">
        <f t="shared" si="777"/>
        <v>-58.969655774620151</v>
      </c>
      <c r="EQ148" s="1404">
        <f t="shared" ref="EQ148:ER148" si="778">-EQ146*EQ153*3</f>
        <v>-61.047731597180032</v>
      </c>
      <c r="ER148" s="1404">
        <f t="shared" si="778"/>
        <v>-50.852855016224659</v>
      </c>
      <c r="ES148" s="100">
        <f>+SUM(EO148:ER148)</f>
        <v>-221.64277621964121</v>
      </c>
      <c r="ET148" s="1404">
        <f t="shared" ref="ET148:EU148" si="779">-ET146*ET153*3</f>
        <v>-53.57478721973095</v>
      </c>
      <c r="EU148" s="1404">
        <f t="shared" si="779"/>
        <v>-60.533149721813842</v>
      </c>
      <c r="EV148" s="1404">
        <f t="shared" ref="EV148:EW148" si="780">-EV146*EV153*3</f>
        <v>-63.954506713717421</v>
      </c>
      <c r="EW148" s="1404">
        <f t="shared" si="780"/>
        <v>-56.601819729193913</v>
      </c>
      <c r="EX148" s="100">
        <f>+SUM(ET148:EW148)</f>
        <v>-234.66426338445612</v>
      </c>
      <c r="EY148" s="1404">
        <f t="shared" ref="EY148:FB148" si="781">-EY146*EY153*3</f>
        <v>-55.605410060869573</v>
      </c>
      <c r="EZ148" s="1404">
        <f t="shared" si="781"/>
        <v>-61.914036724612423</v>
      </c>
      <c r="FA148" s="1404">
        <f t="shared" si="781"/>
        <v>-66.386291972385038</v>
      </c>
      <c r="FB148" s="1404">
        <f t="shared" si="781"/>
        <v>-58.531575968786498</v>
      </c>
      <c r="FC148" s="100">
        <f>+SUM(EY148:FB148)</f>
        <v>-242.43731472665354</v>
      </c>
      <c r="FD148" s="1404">
        <f t="shared" ref="FD148:FI148" si="782">-FD146*FD153*12</f>
        <v>-245.76680296930164</v>
      </c>
      <c r="FE148" s="1404">
        <f t="shared" si="782"/>
        <v>-247.98177772803433</v>
      </c>
      <c r="FF148" s="1404">
        <f t="shared" si="782"/>
        <v>-250.21251635855123</v>
      </c>
      <c r="FG148" s="1404">
        <f t="shared" si="782"/>
        <v>-252.45326494862994</v>
      </c>
      <c r="FH148" s="1404">
        <f t="shared" si="782"/>
        <v>-253.50922391264893</v>
      </c>
      <c r="FI148" s="1404">
        <f t="shared" si="782"/>
        <v>-254.56217122125645</v>
      </c>
    </row>
    <row r="149" spans="1:165" x14ac:dyDescent="0.3">
      <c r="A149" s="64" t="s">
        <v>352</v>
      </c>
      <c r="DU149" s="134"/>
      <c r="DV149" s="134"/>
      <c r="DW149" s="134"/>
      <c r="DX149" s="134"/>
      <c r="DY149" s="85"/>
      <c r="DZ149" s="132">
        <f>DZ154*DZ82</f>
        <v>1311.761</v>
      </c>
      <c r="EA149" s="132">
        <f>EA154*EA82</f>
        <v>1314.9839999999999</v>
      </c>
      <c r="EB149" s="132">
        <f>EB154*EB82</f>
        <v>1321.4299999999998</v>
      </c>
      <c r="EC149" s="132">
        <f>EC154*EC82</f>
        <v>1327.876</v>
      </c>
      <c r="ED149" s="85">
        <f>EC149</f>
        <v>1327.876</v>
      </c>
      <c r="EE149" s="132">
        <f>EE154*EE82</f>
        <v>1331.0989999999999</v>
      </c>
      <c r="EF149" s="132">
        <f>EF154*EF82</f>
        <v>1327.876</v>
      </c>
      <c r="EG149" s="132">
        <f>EG154*EG82</f>
        <v>1337.5449999999998</v>
      </c>
      <c r="EH149" s="132">
        <f>EH154*EH82</f>
        <v>1350.4369999999999</v>
      </c>
      <c r="EI149" s="85">
        <f>EH149</f>
        <v>1350.4369999999999</v>
      </c>
      <c r="EJ149" s="132">
        <f>EJ154*EJ82</f>
        <v>1366.5519999999999</v>
      </c>
      <c r="EK149" s="132">
        <f>EK154*EK82</f>
        <v>1372.998</v>
      </c>
      <c r="EL149" s="132">
        <f>EL154*EL82</f>
        <v>1382.6669999999999</v>
      </c>
      <c r="EM149" s="132">
        <f>EM154*EM82</f>
        <v>1392.336</v>
      </c>
      <c r="EN149" s="85">
        <f>EM149</f>
        <v>1392.336</v>
      </c>
      <c r="EO149" s="132">
        <f>EO154*EO82</f>
        <v>1402.0049999999999</v>
      </c>
      <c r="EP149" s="132">
        <f>EP154*EP82</f>
        <v>1398.7819999999999</v>
      </c>
      <c r="EQ149" s="132">
        <f>EQ154*EQ82</f>
        <v>1414.8969999999999</v>
      </c>
      <c r="ER149" s="132">
        <f>ER154*ER82</f>
        <v>1434.2350000000001</v>
      </c>
      <c r="ES149" s="85">
        <f>ER149</f>
        <v>1434.2350000000001</v>
      </c>
      <c r="ET149" s="132">
        <f>ET154*ET82</f>
        <v>1447.127</v>
      </c>
      <c r="EU149" s="132">
        <f>EU154*EU82</f>
        <v>1460.019</v>
      </c>
      <c r="EV149" s="132">
        <f>EV154*EV82</f>
        <v>1472.9110000000001</v>
      </c>
      <c r="EW149" s="132">
        <f>EW154*EW82</f>
        <v>1489.0260000000001</v>
      </c>
      <c r="EX149" s="85">
        <f>EW149</f>
        <v>1489.0260000000001</v>
      </c>
      <c r="EY149" s="132">
        <f t="shared" ref="EY149:FB149" si="783">EY154*EY82</f>
        <v>1493.8605</v>
      </c>
      <c r="EZ149" s="132">
        <f t="shared" si="783"/>
        <v>1498.6950000000002</v>
      </c>
      <c r="FA149" s="132">
        <f t="shared" si="783"/>
        <v>1503.5295000000001</v>
      </c>
      <c r="FB149" s="132">
        <f t="shared" si="783"/>
        <v>1508.364</v>
      </c>
      <c r="FC149" s="85">
        <f>FB149</f>
        <v>1508.364</v>
      </c>
      <c r="FD149" s="132">
        <f t="shared" ref="FD149:FI149" si="784">FD154*FD82</f>
        <v>1514.8100000000002</v>
      </c>
      <c r="FE149" s="132">
        <f t="shared" si="784"/>
        <v>1521.2560000000001</v>
      </c>
      <c r="FF149" s="132">
        <f t="shared" si="784"/>
        <v>1527.702</v>
      </c>
      <c r="FG149" s="132">
        <f t="shared" si="784"/>
        <v>1534.1480000000001</v>
      </c>
      <c r="FH149" s="132">
        <f t="shared" si="784"/>
        <v>1540.5940000000001</v>
      </c>
      <c r="FI149" s="132">
        <f t="shared" si="784"/>
        <v>1547.0400000000002</v>
      </c>
    </row>
    <row r="150" spans="1:165" x14ac:dyDescent="0.3">
      <c r="A150" s="69" t="s">
        <v>339</v>
      </c>
      <c r="DU150" s="79"/>
      <c r="DZ150" s="83"/>
      <c r="EA150" s="83"/>
      <c r="EB150" s="83"/>
      <c r="EC150" s="83"/>
      <c r="ED150" s="91"/>
      <c r="EE150" s="83">
        <f>EE149/DZ149-1</f>
        <v>1.4742014742014753E-2</v>
      </c>
      <c r="EF150" s="83">
        <f t="shared" ref="EF150:EW150" si="785">EF149/EA149-1</f>
        <v>9.8039215686274161E-3</v>
      </c>
      <c r="EG150" s="83">
        <f t="shared" si="785"/>
        <v>1.2195121951219523E-2</v>
      </c>
      <c r="EH150" s="83">
        <f t="shared" si="785"/>
        <v>1.6990291262135804E-2</v>
      </c>
      <c r="EI150" s="91">
        <f t="shared" si="785"/>
        <v>1.6990291262135804E-2</v>
      </c>
      <c r="EJ150" s="83">
        <f t="shared" si="785"/>
        <v>2.6634382566586012E-2</v>
      </c>
      <c r="EK150" s="83">
        <f t="shared" si="785"/>
        <v>3.398058252427183E-2</v>
      </c>
      <c r="EL150" s="83">
        <f t="shared" si="785"/>
        <v>3.3734939759036298E-2</v>
      </c>
      <c r="EM150" s="83">
        <f t="shared" si="785"/>
        <v>3.1026252983293645E-2</v>
      </c>
      <c r="EN150" s="91">
        <f t="shared" si="785"/>
        <v>3.1026252983293645E-2</v>
      </c>
      <c r="EO150" s="83">
        <f t="shared" si="785"/>
        <v>2.5943396226415061E-2</v>
      </c>
      <c r="EP150" s="83">
        <f t="shared" si="785"/>
        <v>1.8779342723004522E-2</v>
      </c>
      <c r="EQ150" s="83">
        <f t="shared" si="785"/>
        <v>2.3310023310023409E-2</v>
      </c>
      <c r="ER150" s="83">
        <f t="shared" si="785"/>
        <v>3.0092592592592782E-2</v>
      </c>
      <c r="ES150" s="91">
        <f t="shared" si="785"/>
        <v>3.0092592592592782E-2</v>
      </c>
      <c r="ET150" s="83">
        <f t="shared" si="785"/>
        <v>3.218390804597715E-2</v>
      </c>
      <c r="EU150" s="83">
        <f t="shared" si="785"/>
        <v>4.377880184331806E-2</v>
      </c>
      <c r="EV150" s="83">
        <f t="shared" si="785"/>
        <v>4.1002277904328199E-2</v>
      </c>
      <c r="EW150" s="83">
        <f t="shared" si="785"/>
        <v>3.8202247191011285E-2</v>
      </c>
      <c r="EX150" s="91">
        <f t="shared" ref="EX150" si="786">EX149/ES149-1</f>
        <v>3.8202247191011285E-2</v>
      </c>
      <c r="EY150" s="83">
        <f t="shared" ref="EY150" si="787">EY149/ET149-1</f>
        <v>3.2293986636971139E-2</v>
      </c>
      <c r="EZ150" s="83">
        <f t="shared" ref="EZ150" si="788">EZ149/EU149-1</f>
        <v>2.6490066225165698E-2</v>
      </c>
      <c r="FA150" s="83">
        <f t="shared" ref="FA150" si="789">FA149/EV149-1</f>
        <v>2.0787746170678467E-2</v>
      </c>
      <c r="FB150" s="83">
        <f t="shared" ref="FB150:FC150" si="790">FB149/EW149-1</f>
        <v>1.298701298701288E-2</v>
      </c>
      <c r="FC150" s="91">
        <f t="shared" si="790"/>
        <v>1.298701298701288E-2</v>
      </c>
      <c r="FD150" s="83">
        <f t="shared" ref="FD150:FI150" si="791">FD149/FC149-1</f>
        <v>4.2735042735042583E-3</v>
      </c>
      <c r="FE150" s="83">
        <f t="shared" si="791"/>
        <v>4.2553191489360653E-3</v>
      </c>
      <c r="FF150" s="83">
        <f t="shared" si="791"/>
        <v>4.237288135593209E-3</v>
      </c>
      <c r="FG150" s="83">
        <f t="shared" si="791"/>
        <v>4.2194092827005925E-3</v>
      </c>
      <c r="FH150" s="83">
        <f t="shared" si="791"/>
        <v>4.2016806722688926E-3</v>
      </c>
      <c r="FI150" s="83">
        <f t="shared" si="791"/>
        <v>4.1841004184102193E-3</v>
      </c>
    </row>
    <row r="151" spans="1:165" x14ac:dyDescent="0.3">
      <c r="A151" s="65" t="s">
        <v>340</v>
      </c>
      <c r="DU151" s="134"/>
      <c r="DV151" s="77"/>
      <c r="DW151" s="77"/>
      <c r="DX151" s="77"/>
      <c r="DY151" s="86"/>
      <c r="DZ151" s="77"/>
      <c r="EA151" s="77">
        <f>EA149-EA146</f>
        <v>3.2229999999999563</v>
      </c>
      <c r="EB151" s="77">
        <f t="shared" ref="EB151:EP151" si="792">EB149-EB146</f>
        <v>6.4459999999999127</v>
      </c>
      <c r="EC151" s="77">
        <f t="shared" si="792"/>
        <v>6.4460000000001401</v>
      </c>
      <c r="ED151" s="77"/>
      <c r="EE151" s="77">
        <f t="shared" si="792"/>
        <v>3.2229999999999563</v>
      </c>
      <c r="EF151" s="77">
        <f t="shared" si="792"/>
        <v>-3.2229999999999563</v>
      </c>
      <c r="EG151" s="77">
        <f t="shared" si="792"/>
        <v>9.668999999999869</v>
      </c>
      <c r="EH151" s="77">
        <f t="shared" si="792"/>
        <v>12.892000000000053</v>
      </c>
      <c r="EI151" s="86">
        <f>+SUM(EE151:EH151)</f>
        <v>22.560999999999922</v>
      </c>
      <c r="EJ151" s="77">
        <f t="shared" si="792"/>
        <v>16.115000000000009</v>
      </c>
      <c r="EK151" s="77">
        <f t="shared" si="792"/>
        <v>6.4460000000001401</v>
      </c>
      <c r="EL151" s="77">
        <f t="shared" si="792"/>
        <v>9.668999999999869</v>
      </c>
      <c r="EM151" s="77">
        <f t="shared" si="792"/>
        <v>9.6690000000000964</v>
      </c>
      <c r="EN151" s="86">
        <f>+SUM(EJ151:EM151)</f>
        <v>41.899000000000115</v>
      </c>
      <c r="EO151" s="77">
        <f t="shared" si="792"/>
        <v>9.668999999999869</v>
      </c>
      <c r="EP151" s="77">
        <f t="shared" si="792"/>
        <v>-3.2229999999999563</v>
      </c>
      <c r="EQ151" s="77">
        <f t="shared" ref="EQ151:ER151" si="793">EQ149-EQ146</f>
        <v>16.115000000000009</v>
      </c>
      <c r="ER151" s="77">
        <f t="shared" si="793"/>
        <v>19.338000000000193</v>
      </c>
      <c r="ES151" s="86">
        <f>+SUM(EO151:ER151)</f>
        <v>41.899000000000115</v>
      </c>
      <c r="ET151" s="77">
        <f t="shared" ref="ET151:EU151" si="794">ET149-ET146</f>
        <v>12.891999999999825</v>
      </c>
      <c r="EU151" s="77">
        <f t="shared" si="794"/>
        <v>12.892000000000053</v>
      </c>
      <c r="EV151" s="77">
        <f t="shared" ref="EV151:EW151" si="795">EV149-EV146</f>
        <v>12.892000000000053</v>
      </c>
      <c r="EW151" s="77">
        <f t="shared" si="795"/>
        <v>16.115000000000009</v>
      </c>
      <c r="EX151" s="86">
        <f>+SUM(ET151:EW151)</f>
        <v>54.79099999999994</v>
      </c>
      <c r="EY151" s="77">
        <f t="shared" ref="EY151:FB151" si="796">EY149-EY146</f>
        <v>4.8344999999999345</v>
      </c>
      <c r="EZ151" s="77">
        <f t="shared" si="796"/>
        <v>4.8345000000001619</v>
      </c>
      <c r="FA151" s="77">
        <f t="shared" si="796"/>
        <v>4.8344999999999345</v>
      </c>
      <c r="FB151" s="77">
        <f t="shared" si="796"/>
        <v>4.8344999999999345</v>
      </c>
      <c r="FC151" s="86">
        <f>+SUM(EY151:FB151)</f>
        <v>19.337999999999965</v>
      </c>
      <c r="FD151" s="77">
        <f t="shared" ref="FD151:FI151" si="797">FD149-FD146</f>
        <v>6.4460000000001401</v>
      </c>
      <c r="FE151" s="77">
        <f t="shared" si="797"/>
        <v>6.4459999999999127</v>
      </c>
      <c r="FF151" s="77">
        <f t="shared" si="797"/>
        <v>6.4459999999999127</v>
      </c>
      <c r="FG151" s="77">
        <f t="shared" si="797"/>
        <v>6.4460000000001401</v>
      </c>
      <c r="FH151" s="77">
        <f t="shared" si="797"/>
        <v>6.4459999999999127</v>
      </c>
      <c r="FI151" s="77">
        <f t="shared" si="797"/>
        <v>6.4460000000001401</v>
      </c>
    </row>
    <row r="152" spans="1:165" x14ac:dyDescent="0.3">
      <c r="A152" s="65" t="s">
        <v>341</v>
      </c>
      <c r="DU152" s="96"/>
      <c r="DV152" s="83"/>
      <c r="DW152" s="83"/>
      <c r="DX152" s="83"/>
      <c r="DY152" s="91"/>
      <c r="DZ152" s="83"/>
      <c r="EA152" s="83">
        <f>EA147/EA104</f>
        <v>1.9985967849534582E-2</v>
      </c>
      <c r="EB152" s="83">
        <f t="shared" ref="EB152:EC152" si="798">EB147/EB104</f>
        <v>2.3870550711888341E-2</v>
      </c>
      <c r="EC152" s="83">
        <f t="shared" si="798"/>
        <v>2.1070133024696631E-2</v>
      </c>
      <c r="ED152" s="91"/>
      <c r="EE152" s="83">
        <f t="shared" ref="EE152:EP152" si="799">EE147/EE104</f>
        <v>1.8327020719575125E-2</v>
      </c>
      <c r="EF152" s="83">
        <f t="shared" si="799"/>
        <v>1.7665948000000015E-2</v>
      </c>
      <c r="EG152" s="83">
        <f t="shared" si="799"/>
        <v>2.2018621276595703E-2</v>
      </c>
      <c r="EH152" s="83">
        <f t="shared" si="799"/>
        <v>2.0398224137931052E-2</v>
      </c>
      <c r="EI152" s="91">
        <f t="shared" si="799"/>
        <v>7.8409814134101891E-2</v>
      </c>
      <c r="EJ152" s="83">
        <f t="shared" si="799"/>
        <v>2.0002474321503129E-2</v>
      </c>
      <c r="EK152" s="83">
        <f t="shared" si="799"/>
        <v>2.0047736193029537E-2</v>
      </c>
      <c r="EL152" s="83">
        <f t="shared" si="799"/>
        <v>2.3215876843466973E-2</v>
      </c>
      <c r="EM152" s="83">
        <f t="shared" si="799"/>
        <v>1.9979617741935511E-2</v>
      </c>
      <c r="EN152" s="91">
        <f t="shared" si="799"/>
        <v>8.3245705099935161E-2</v>
      </c>
      <c r="EO152" s="83">
        <f t="shared" si="799"/>
        <v>1.8753190763765505E-2</v>
      </c>
      <c r="EP152" s="83">
        <f t="shared" si="799"/>
        <v>1.7296511254924044E-2</v>
      </c>
      <c r="EQ152" s="83">
        <f t="shared" ref="EQ152:ET152" si="800">EQ147/EQ104</f>
        <v>2.3941275704989152E-2</v>
      </c>
      <c r="ER152" s="83">
        <f t="shared" si="800"/>
        <v>2.177811201248056E-2</v>
      </c>
      <c r="ES152" s="91">
        <f t="shared" si="800"/>
        <v>8.1769089736159262E-2</v>
      </c>
      <c r="ET152" s="83">
        <f t="shared" si="800"/>
        <v>2.0622645739910263E-2</v>
      </c>
      <c r="EU152" s="83">
        <f t="shared" ref="EU152:EV152" si="801">EU147/EU104</f>
        <v>2.2781616420047748E-2</v>
      </c>
      <c r="EV152" s="83">
        <f t="shared" si="801"/>
        <v>2.3843160631001389E-2</v>
      </c>
      <c r="EW152" s="83">
        <f t="shared" ref="EW152" si="802">EW147/EW104</f>
        <v>2.2561842919389986E-2</v>
      </c>
      <c r="EX152" s="91">
        <f t="shared" ref="EX152" si="803">EX147/EX104</f>
        <v>8.980926571034939E-2</v>
      </c>
      <c r="EY152" s="83">
        <f t="shared" ref="EY152:FC152" si="804">EY147/EY104</f>
        <v>1.8752686956521721E-2</v>
      </c>
      <c r="EZ152" s="83">
        <f t="shared" si="804"/>
        <v>2.0710064140432079E-2</v>
      </c>
      <c r="FA152" s="83">
        <f t="shared" si="804"/>
        <v>2.2097670484761085E-2</v>
      </c>
      <c r="FB152" s="83">
        <f t="shared" si="804"/>
        <v>1.9660588262111832E-2</v>
      </c>
      <c r="FC152" s="91">
        <f t="shared" si="804"/>
        <v>8.1221009843826714E-2</v>
      </c>
      <c r="FD152" s="83">
        <f t="shared" ref="FD152:FI152" si="805">FD147/FD104</f>
        <v>7.825404994393477E-2</v>
      </c>
      <c r="FE152" s="83">
        <f t="shared" si="805"/>
        <v>7.8941290018006274E-2</v>
      </c>
      <c r="FF152" s="83">
        <f t="shared" si="805"/>
        <v>7.9633421147549219E-2</v>
      </c>
      <c r="FG152" s="83">
        <f t="shared" si="805"/>
        <v>8.0328658066593256E-2</v>
      </c>
      <c r="FH152" s="83">
        <f t="shared" si="805"/>
        <v>8.0656290385556592E-2</v>
      </c>
      <c r="FI152" s="83">
        <f t="shared" si="805"/>
        <v>8.0982988278391746E-2</v>
      </c>
    </row>
    <row r="153" spans="1:165" x14ac:dyDescent="0.3">
      <c r="A153" s="65" t="s">
        <v>342</v>
      </c>
      <c r="DU153" s="1081"/>
      <c r="DV153" s="1081"/>
      <c r="DW153" s="1081"/>
      <c r="DX153" s="1081"/>
      <c r="DY153" s="91"/>
      <c r="DZ153" s="1081">
        <f t="shared" ref="DZ153:EP153" si="806">DZ175</f>
        <v>1.9634307536271638E-2</v>
      </c>
      <c r="EA153" s="1081">
        <f t="shared" si="806"/>
        <v>1.5549523218292054E-2</v>
      </c>
      <c r="EB153" s="1081">
        <f t="shared" si="806"/>
        <v>1.7868096986836904E-2</v>
      </c>
      <c r="EC153" s="1081">
        <f t="shared" si="806"/>
        <v>1.5504173190810237E-2</v>
      </c>
      <c r="ED153" s="1081">
        <f t="shared" si="806"/>
        <v>1.7131290187765481E-2</v>
      </c>
      <c r="EE153" s="1081">
        <f t="shared" si="806"/>
        <v>1.4018625177649789E-2</v>
      </c>
      <c r="EF153" s="1081">
        <f t="shared" si="806"/>
        <v>1.5065333333333333E-2</v>
      </c>
      <c r="EG153" s="1081">
        <f t="shared" si="806"/>
        <v>1.5387234042553192E-2</v>
      </c>
      <c r="EH153" s="1081">
        <f t="shared" si="806"/>
        <v>1.3171264367816094E-2</v>
      </c>
      <c r="EI153" s="1343">
        <f t="shared" si="806"/>
        <v>1.4404325695069739E-2</v>
      </c>
      <c r="EJ153" s="1081">
        <f t="shared" si="806"/>
        <v>1.1935142658315934E-2</v>
      </c>
      <c r="EK153" s="1081">
        <f t="shared" si="806"/>
        <v>1.4188471849865955E-2</v>
      </c>
      <c r="EL153" s="1081">
        <f t="shared" si="806"/>
        <v>1.5818369987063392E-2</v>
      </c>
      <c r="EM153" s="1081">
        <f t="shared" si="806"/>
        <v>1.3193176178660048E-2</v>
      </c>
      <c r="EN153" s="1343">
        <f t="shared" si="806"/>
        <v>1.3806899950714638E-2</v>
      </c>
      <c r="EO153" s="1081">
        <f t="shared" si="806"/>
        <v>1.2155239786856129E-2</v>
      </c>
      <c r="EP153" s="1081">
        <f t="shared" si="806"/>
        <v>1.4020315137872821E-2</v>
      </c>
      <c r="EQ153" s="1081">
        <f t="shared" ref="EQ153:EX153" si="807">EQ175</f>
        <v>1.4547830802603036E-2</v>
      </c>
      <c r="ER153" s="1081">
        <f t="shared" si="807"/>
        <v>1.1980343213728551E-2</v>
      </c>
      <c r="ES153" s="1343">
        <f t="shared" si="807"/>
        <v>1.3176925203926446E-2</v>
      </c>
      <c r="ET153" s="1081">
        <f t="shared" si="807"/>
        <v>1.2451420029895367E-2</v>
      </c>
      <c r="EU153" s="1081">
        <f t="shared" ref="EU153:EV153" si="808">EU175</f>
        <v>1.3943293556085918E-2</v>
      </c>
      <c r="EV153" s="1081">
        <f t="shared" si="808"/>
        <v>1.4601295534217346E-2</v>
      </c>
      <c r="EW153" s="1081">
        <f t="shared" ref="EW153" si="809">EW175</f>
        <v>1.2809513435003634E-2</v>
      </c>
      <c r="EX153" s="1343">
        <f t="shared" si="807"/>
        <v>1.3459001242621933E-2</v>
      </c>
      <c r="EY153" s="1081">
        <f t="shared" ref="EY153:FC153" si="810">EY175</f>
        <v>1.2447826086956522E-2</v>
      </c>
      <c r="EZ153" s="1081">
        <f t="shared" si="810"/>
        <v>1.381522052530171E-2</v>
      </c>
      <c r="FA153" s="1081">
        <f t="shared" si="810"/>
        <v>1.4765355186208674E-2</v>
      </c>
      <c r="FB153" s="1081">
        <f t="shared" si="810"/>
        <v>1.2976483216943087E-2</v>
      </c>
      <c r="FC153" s="1343">
        <f t="shared" si="810"/>
        <v>1.3514432890906021E-2</v>
      </c>
      <c r="FD153" s="1081">
        <f t="shared" ref="FD153:FI153" si="811">FD175</f>
        <v>1.3578000346142224E-2</v>
      </c>
      <c r="FE153" s="1081">
        <f t="shared" si="811"/>
        <v>1.3642072698228066E-2</v>
      </c>
      <c r="FF153" s="1081">
        <f t="shared" si="811"/>
        <v>1.3706465598084258E-2</v>
      </c>
      <c r="FG153" s="1081">
        <f t="shared" si="811"/>
        <v>1.377086112281878E-2</v>
      </c>
      <c r="FH153" s="1081">
        <f t="shared" si="811"/>
        <v>1.3770358961056826E-2</v>
      </c>
      <c r="FI153" s="1081">
        <f t="shared" si="811"/>
        <v>1.3769698095953921E-2</v>
      </c>
    </row>
    <row r="154" spans="1:165" x14ac:dyDescent="0.3">
      <c r="A154" s="65" t="s">
        <v>210</v>
      </c>
      <c r="DZ154" s="1297">
        <f>Inputs!DZ361</f>
        <v>0.40699999999999997</v>
      </c>
      <c r="EA154" s="1297">
        <f>Inputs!EA361</f>
        <v>0.40799999999999997</v>
      </c>
      <c r="EB154" s="1297">
        <f>Inputs!EB361</f>
        <v>0.41</v>
      </c>
      <c r="EC154" s="1297">
        <f>Inputs!EC361</f>
        <v>0.41199999999999998</v>
      </c>
      <c r="ED154" s="1298">
        <f>EC154</f>
        <v>0.41199999999999998</v>
      </c>
      <c r="EE154" s="1297">
        <f>Inputs!EE361</f>
        <v>0.41299999999999998</v>
      </c>
      <c r="EF154" s="1297">
        <f>Inputs!EF361</f>
        <v>0.41199999999999998</v>
      </c>
      <c r="EG154" s="1297">
        <f>Inputs!EG361</f>
        <v>0.41499999999999998</v>
      </c>
      <c r="EH154" s="1297">
        <f>Inputs!EH361</f>
        <v>0.41899999999999998</v>
      </c>
      <c r="EI154" s="1298">
        <f>EH154</f>
        <v>0.41899999999999998</v>
      </c>
      <c r="EJ154" s="1297">
        <f>Inputs!EJ361</f>
        <v>0.42399999999999999</v>
      </c>
      <c r="EK154" s="1297">
        <f>Inputs!EK361</f>
        <v>0.42599999999999999</v>
      </c>
      <c r="EL154" s="1297">
        <f>Inputs!EL361</f>
        <v>0.42899999999999999</v>
      </c>
      <c r="EM154" s="1297">
        <f>Inputs!EM361</f>
        <v>0.432</v>
      </c>
      <c r="EN154" s="1298">
        <f>EM154</f>
        <v>0.432</v>
      </c>
      <c r="EO154" s="1297">
        <f>Inputs!EO361</f>
        <v>0.435</v>
      </c>
      <c r="EP154" s="1297">
        <f>Inputs!EP361</f>
        <v>0.434</v>
      </c>
      <c r="EQ154" s="1297">
        <f>Inputs!EQ361</f>
        <v>0.439</v>
      </c>
      <c r="ER154" s="1297">
        <f>Inputs!ER361</f>
        <v>0.44500000000000001</v>
      </c>
      <c r="ES154" s="1298">
        <f>ER154</f>
        <v>0.44500000000000001</v>
      </c>
      <c r="ET154" s="1297">
        <f>Inputs!ET361</f>
        <v>0.44900000000000001</v>
      </c>
      <c r="EU154" s="1297">
        <f>Inputs!EU361</f>
        <v>0.45300000000000001</v>
      </c>
      <c r="EV154" s="1297">
        <f>Inputs!EV361</f>
        <v>0.45700000000000002</v>
      </c>
      <c r="EW154" s="1297">
        <f>Inputs!EW361</f>
        <v>0.46200000000000002</v>
      </c>
      <c r="EX154" s="1298">
        <f>EW154</f>
        <v>0.46200000000000002</v>
      </c>
      <c r="EY154" s="1472">
        <f>MIN(0.5,EX154+0.15%)</f>
        <v>0.46350000000000002</v>
      </c>
      <c r="EZ154" s="1472">
        <f t="shared" ref="EZ154:FB154" si="812">MIN(0.5,EY154+0.15%)</f>
        <v>0.46500000000000002</v>
      </c>
      <c r="FA154" s="1472">
        <f t="shared" si="812"/>
        <v>0.46650000000000003</v>
      </c>
      <c r="FB154" s="1472">
        <f t="shared" si="812"/>
        <v>0.46800000000000003</v>
      </c>
      <c r="FC154" s="1298">
        <f>FB154</f>
        <v>0.46800000000000003</v>
      </c>
      <c r="FD154" s="1472">
        <f>MIN(0.5,FC154+0.2%)</f>
        <v>0.47000000000000003</v>
      </c>
      <c r="FE154" s="1472">
        <f t="shared" ref="FE154:FI154" si="813">MIN(0.5,FD154+0.2%)</f>
        <v>0.47200000000000003</v>
      </c>
      <c r="FF154" s="1472">
        <f t="shared" si="813"/>
        <v>0.47400000000000003</v>
      </c>
      <c r="FG154" s="1472">
        <f t="shared" si="813"/>
        <v>0.47600000000000003</v>
      </c>
      <c r="FH154" s="1472">
        <f t="shared" si="813"/>
        <v>0.47800000000000004</v>
      </c>
      <c r="FI154" s="1472">
        <f t="shared" si="813"/>
        <v>0.48000000000000004</v>
      </c>
    </row>
    <row r="155" spans="1:165" x14ac:dyDescent="0.3">
      <c r="A155" s="65"/>
      <c r="DZ155" s="1297"/>
      <c r="EA155" s="1297"/>
      <c r="EB155" s="1297"/>
      <c r="EC155" s="1297"/>
      <c r="ED155" s="1298"/>
      <c r="EE155" s="1297"/>
      <c r="EF155" s="1297"/>
      <c r="EG155" s="1297"/>
      <c r="EH155" s="1297"/>
      <c r="EI155" s="1298"/>
      <c r="EJ155" s="1297"/>
      <c r="EK155" s="1297"/>
      <c r="EL155" s="1297"/>
      <c r="EM155" s="1297"/>
      <c r="EN155" s="1298"/>
      <c r="EO155" s="1297"/>
      <c r="EP155" s="1297"/>
      <c r="EQ155" s="74"/>
      <c r="ER155" s="74"/>
      <c r="ES155" s="1298"/>
      <c r="ET155" s="1297"/>
      <c r="EU155" s="1297"/>
      <c r="EV155" s="1297"/>
      <c r="EW155" s="1297"/>
      <c r="EX155" s="1298"/>
      <c r="EY155" s="74"/>
      <c r="EZ155" s="74"/>
      <c r="FA155" s="74"/>
      <c r="FB155" s="74"/>
      <c r="FC155" s="1298"/>
      <c r="FD155" s="1297"/>
      <c r="FE155" s="1297"/>
      <c r="FF155" s="1297"/>
      <c r="FG155" s="1297"/>
      <c r="FH155" s="1297"/>
      <c r="FI155" s="1297"/>
    </row>
    <row r="156" spans="1:165" x14ac:dyDescent="0.3">
      <c r="A156" s="64" t="s">
        <v>354</v>
      </c>
      <c r="DZ156" s="1297"/>
      <c r="EA156" s="1297"/>
      <c r="EB156" s="1297"/>
      <c r="EC156" s="1297"/>
      <c r="ED156" s="1298"/>
      <c r="EE156" s="1297"/>
      <c r="EF156" s="1297"/>
      <c r="EG156" s="1297"/>
      <c r="EH156" s="1297"/>
      <c r="EI156" s="1298"/>
      <c r="EJ156" s="1297"/>
      <c r="EK156" s="1297"/>
      <c r="EL156" s="1297"/>
      <c r="EM156" s="1297"/>
      <c r="EN156" s="1298"/>
      <c r="EO156" s="1297"/>
      <c r="EP156" s="1297"/>
      <c r="EQ156" s="74"/>
      <c r="ER156" s="74"/>
      <c r="ES156" s="1298"/>
      <c r="ET156" s="1297"/>
      <c r="EU156" s="1297"/>
      <c r="EV156" s="1297"/>
      <c r="EW156" s="1297"/>
      <c r="EX156" s="1298"/>
      <c r="EY156" s="74"/>
      <c r="EZ156" s="74"/>
      <c r="FA156" s="74"/>
      <c r="FB156" s="74"/>
      <c r="FC156" s="1298"/>
      <c r="FD156" s="1297"/>
      <c r="FE156" s="1297"/>
      <c r="FF156" s="1297"/>
      <c r="FG156" s="1297"/>
      <c r="FH156" s="1297"/>
      <c r="FI156" s="1297"/>
    </row>
    <row r="157" spans="1:165" s="90" customFormat="1" x14ac:dyDescent="0.3">
      <c r="A157" s="67" t="s">
        <v>350</v>
      </c>
      <c r="DZ157" s="1079"/>
      <c r="EA157" s="1405">
        <f>DZ160</f>
        <v>0.85375156250006512</v>
      </c>
      <c r="EB157" s="1405">
        <f t="shared" ref="EB157:EC157" si="814">EA160</f>
        <v>4.7234375000000455</v>
      </c>
      <c r="EC157" s="1405">
        <f t="shared" si="814"/>
        <v>5.3725000000001728</v>
      </c>
      <c r="ED157" s="887">
        <f>EC157</f>
        <v>5.3725000000001728</v>
      </c>
      <c r="EE157" s="1405">
        <f t="shared" ref="EE157:EW157" si="815">ED160</f>
        <v>9.0240000000001146</v>
      </c>
      <c r="EF157" s="1405">
        <f t="shared" si="815"/>
        <v>18.901000000000067</v>
      </c>
      <c r="EG157" s="1405">
        <f t="shared" si="815"/>
        <v>35.124000000000024</v>
      </c>
      <c r="EH157" s="1405">
        <f t="shared" si="815"/>
        <v>54.455000000000155</v>
      </c>
      <c r="EI157" s="887">
        <f>EH157</f>
        <v>54.455000000000155</v>
      </c>
      <c r="EJ157" s="1405">
        <f t="shared" si="815"/>
        <v>86.563000000000102</v>
      </c>
      <c r="EK157" s="1405">
        <f t="shared" si="815"/>
        <v>125.44800000000009</v>
      </c>
      <c r="EL157" s="1405">
        <f t="shared" si="815"/>
        <v>173.00199999999995</v>
      </c>
      <c r="EM157" s="1405">
        <f t="shared" si="815"/>
        <v>229.33300000000008</v>
      </c>
      <c r="EN157" s="887">
        <f>EM157</f>
        <v>229.33300000000008</v>
      </c>
      <c r="EO157" s="1405">
        <f t="shared" si="815"/>
        <v>296.66399999999999</v>
      </c>
      <c r="EP157" s="1405">
        <f t="shared" si="815"/>
        <v>374.99500000000012</v>
      </c>
      <c r="EQ157" s="1405">
        <f t="shared" si="815"/>
        <v>445.21800000000007</v>
      </c>
      <c r="ER157" s="1405">
        <f t="shared" si="815"/>
        <v>508.10300000000007</v>
      </c>
      <c r="ES157" s="887">
        <f>ER157</f>
        <v>508.10300000000007</v>
      </c>
      <c r="ET157" s="1405">
        <f t="shared" si="815"/>
        <v>572.76499999999987</v>
      </c>
      <c r="EU157" s="1405">
        <f t="shared" si="815"/>
        <v>647.87300000000005</v>
      </c>
      <c r="EV157" s="1405">
        <f t="shared" si="815"/>
        <v>726.98099999999999</v>
      </c>
      <c r="EW157" s="1405">
        <f t="shared" si="815"/>
        <v>822.08899999999994</v>
      </c>
      <c r="EX157" s="887">
        <f>EW157</f>
        <v>822.08899999999994</v>
      </c>
      <c r="EY157" s="1405">
        <f t="shared" ref="EY157" si="816">EX160</f>
        <v>902.97399999999993</v>
      </c>
      <c r="EZ157" s="1405">
        <f t="shared" ref="EZ157" si="817">EY160</f>
        <v>1010.382138071014</v>
      </c>
      <c r="FA157" s="1405">
        <f t="shared" ref="FA157" si="818">EZ160</f>
        <v>1115.6480684650592</v>
      </c>
      <c r="FB157" s="1405">
        <f t="shared" ref="FB157" si="819">FA160</f>
        <v>1233.2725600851454</v>
      </c>
      <c r="FC157" s="887">
        <f>FB157</f>
        <v>1233.2725600851454</v>
      </c>
      <c r="FD157" s="1405">
        <f t="shared" ref="FD157" si="820">FC160</f>
        <v>1356.8632197748407</v>
      </c>
      <c r="FE157" s="1405">
        <f t="shared" ref="FE157" si="821">FD160</f>
        <v>1856.764661656691</v>
      </c>
      <c r="FF157" s="1405">
        <f t="shared" ref="FF157" si="822">FE160</f>
        <v>2296.0029236857981</v>
      </c>
      <c r="FG157" s="1405">
        <f t="shared" ref="FG157" si="823">FF160</f>
        <v>2626.069633382127</v>
      </c>
      <c r="FH157" s="1405">
        <f t="shared" ref="FH157" si="824">FG160</f>
        <v>2879.9556103355862</v>
      </c>
      <c r="FI157" s="1405">
        <f t="shared" ref="FI157" si="825">FH160</f>
        <v>3065.3695444580608</v>
      </c>
    </row>
    <row r="158" spans="1:165" x14ac:dyDescent="0.3">
      <c r="A158" s="67" t="s">
        <v>351</v>
      </c>
      <c r="DU158" s="134"/>
      <c r="DV158" s="134"/>
      <c r="DW158" s="134"/>
      <c r="DX158" s="134"/>
      <c r="DY158" s="85"/>
      <c r="DZ158" s="134"/>
      <c r="EA158" s="134">
        <f>EA162-EA159</f>
        <v>0.89357785173130877</v>
      </c>
      <c r="EB158" s="134">
        <f t="shared" ref="EB158" si="826">EB162-EB159</f>
        <v>4.1228824555837704</v>
      </c>
      <c r="EC158" s="134">
        <f t="shared" ref="EC158" si="827">EC162-EC159</f>
        <v>0.89895101140301936</v>
      </c>
      <c r="ED158" s="85"/>
      <c r="EE158" s="134">
        <f t="shared" ref="EE158" si="828">EE162-EE159</f>
        <v>10.256512220809293</v>
      </c>
      <c r="EF158" s="134">
        <f t="shared" ref="EF158" si="829">EF162-EF159</f>
        <v>17.077249595999959</v>
      </c>
      <c r="EG158" s="134">
        <f t="shared" ref="EG158" si="830">EG162-EG159</f>
        <v>20.952383625532047</v>
      </c>
      <c r="EH158" s="134">
        <f t="shared" ref="EH158" si="831">EH162-EH159</f>
        <v>34.259723603448229</v>
      </c>
      <c r="EI158" s="85">
        <f>+SUM(EE158:EH158)</f>
        <v>82.545869045789516</v>
      </c>
      <c r="EJ158" s="134">
        <f t="shared" ref="EJ158" si="832">EJ162-EJ159</f>
        <v>41.984425261795401</v>
      </c>
      <c r="EK158" s="134">
        <f t="shared" ref="EK158" si="833">EK162-EK159</f>
        <v>52.893746249865814</v>
      </c>
      <c r="EL158" s="134">
        <f t="shared" ref="EL158" si="834">EL162-EL159</f>
        <v>64.540828933505949</v>
      </c>
      <c r="EM158" s="134">
        <f t="shared" ref="EM158" si="835">EM162-EM159</f>
        <v>76.407892017741844</v>
      </c>
      <c r="EN158" s="85">
        <f>+SUM(EJ158:EM158)</f>
        <v>235.82689246290903</v>
      </c>
      <c r="EO158" s="134">
        <f t="shared" ref="EO158" si="836">EO162-EO159</f>
        <v>89.149066168383797</v>
      </c>
      <c r="EP158" s="134">
        <f t="shared" ref="EP158:EQ158" si="837">EP162-EP159</f>
        <v>85.99564422537982</v>
      </c>
      <c r="EQ158" s="134">
        <f t="shared" si="837"/>
        <v>82.315868402819945</v>
      </c>
      <c r="ER158" s="134">
        <f t="shared" ref="ER158" si="838">ER162-ER159</f>
        <v>82.923744983775165</v>
      </c>
      <c r="ES158" s="85">
        <f>+SUM(EO158:ER158)</f>
        <v>340.38432378035873</v>
      </c>
      <c r="ET158" s="134">
        <f t="shared" ref="ET158:EU158" si="839">ET162-ET159</f>
        <v>96.503212780269223</v>
      </c>
      <c r="EU158" s="134">
        <f t="shared" si="839"/>
        <v>106.20845027818611</v>
      </c>
      <c r="EV158" s="134">
        <f t="shared" ref="EV158:EW158" si="840">EV162-EV159</f>
        <v>126.95259328628254</v>
      </c>
      <c r="EW158" s="134">
        <f t="shared" si="840"/>
        <v>112.4766802708061</v>
      </c>
      <c r="EX158" s="85">
        <f>+SUM(ET158:EW158)</f>
        <v>442.14093661554398</v>
      </c>
      <c r="EY158" s="134">
        <f t="shared" ref="EY158:FB158" si="841">EY162-EY159</f>
        <v>141.12832801014446</v>
      </c>
      <c r="EZ158" s="134">
        <f t="shared" si="841"/>
        <v>147.14188655087588</v>
      </c>
      <c r="FA158" s="134">
        <f t="shared" si="841"/>
        <v>167.04331160116899</v>
      </c>
      <c r="FB158" s="134">
        <f t="shared" si="841"/>
        <v>171.60128172327921</v>
      </c>
      <c r="FC158" s="85">
        <f>+SUM(EY158:FB158)</f>
        <v>626.91480788546846</v>
      </c>
      <c r="FD158" s="134">
        <f t="shared" ref="FD158:FI158" si="842">FD162-FD159</f>
        <v>720.98331309509558</v>
      </c>
      <c r="FE158" s="134">
        <f t="shared" si="842"/>
        <v>743.19968400296409</v>
      </c>
      <c r="FF158" s="134">
        <f t="shared" si="842"/>
        <v>707.7077307355321</v>
      </c>
      <c r="FG158" s="134">
        <f t="shared" si="842"/>
        <v>687.84485959534209</v>
      </c>
      <c r="FH158" s="134">
        <f t="shared" si="842"/>
        <v>661.31020467724079</v>
      </c>
      <c r="FI158" s="134">
        <f t="shared" si="842"/>
        <v>632.0882297770288</v>
      </c>
    </row>
    <row r="159" spans="1:165" x14ac:dyDescent="0.3">
      <c r="A159" s="67" t="s">
        <v>337</v>
      </c>
      <c r="DU159" s="134"/>
      <c r="DV159" s="134"/>
      <c r="DW159" s="134"/>
      <c r="DX159" s="134"/>
      <c r="DY159" s="85"/>
      <c r="DZ159" s="1404"/>
      <c r="EA159" s="1404">
        <f>-EA157*EA164*3</f>
        <v>-3.982628923124365E-2</v>
      </c>
      <c r="EB159" s="1404">
        <f t="shared" ref="EB159:EC159" si="843">-EB157*EB164*3</f>
        <v>-0.25319651808378973</v>
      </c>
      <c r="EC159" s="1404">
        <f t="shared" si="843"/>
        <v>-0.24988851140289203</v>
      </c>
      <c r="ED159" s="100"/>
      <c r="EE159" s="1404">
        <f t="shared" ref="EE159:EH159" si="844">-EE157*EE164*3</f>
        <v>-0.37951222080933988</v>
      </c>
      <c r="EF159" s="1404">
        <f t="shared" si="844"/>
        <v>-0.85424959600000305</v>
      </c>
      <c r="EG159" s="1404">
        <f t="shared" si="844"/>
        <v>-1.6213836255319158</v>
      </c>
      <c r="EH159" s="1404">
        <f t="shared" si="844"/>
        <v>-2.1517236034482825</v>
      </c>
      <c r="EI159" s="100">
        <f>+SUM(EE159:EH159)</f>
        <v>-5.0068690457895411</v>
      </c>
      <c r="EJ159" s="1404">
        <f t="shared" ref="EJ159:EM159" si="845">-EJ157*EJ164*3</f>
        <v>-3.0994252617954103</v>
      </c>
      <c r="EK159" s="1404">
        <f t="shared" si="845"/>
        <v>-5.3397462498659571</v>
      </c>
      <c r="EL159" s="1404">
        <f t="shared" si="845"/>
        <v>-8.2098289335058219</v>
      </c>
      <c r="EM159" s="1404">
        <f t="shared" si="845"/>
        <v>-9.0768920177419368</v>
      </c>
      <c r="EN159" s="100">
        <f>+SUM(EJ159:EM159)</f>
        <v>-25.725892462909126</v>
      </c>
      <c r="EO159" s="1404">
        <f t="shared" ref="EO159:EP159" si="846">-EO157*EO164*3</f>
        <v>-10.818066168383659</v>
      </c>
      <c r="EP159" s="1404">
        <f t="shared" si="846"/>
        <v>-15.77264422537986</v>
      </c>
      <c r="EQ159" s="1404">
        <f t="shared" ref="EQ159:ER159" si="847">-EQ157*EQ164*3</f>
        <v>-19.430868402819957</v>
      </c>
      <c r="ER159" s="1404">
        <f t="shared" si="847"/>
        <v>-18.261744983775358</v>
      </c>
      <c r="ES159" s="100">
        <f>+SUM(EO159:ER159)</f>
        <v>-64.283323780358842</v>
      </c>
      <c r="ET159" s="1404">
        <f t="shared" ref="ET159:EU159" si="848">-ET157*ET164*3</f>
        <v>-21.395212780269055</v>
      </c>
      <c r="EU159" s="1404">
        <f t="shared" si="848"/>
        <v>-27.100450278186155</v>
      </c>
      <c r="EV159" s="1404">
        <f t="shared" ref="EV159:EW159" si="849">-EV157*EV164*3</f>
        <v>-31.844593286282581</v>
      </c>
      <c r="EW159" s="1404">
        <f t="shared" si="849"/>
        <v>-31.591680270806108</v>
      </c>
      <c r="EX159" s="100">
        <f>+SUM(ET159:EW159)</f>
        <v>-111.93193661554389</v>
      </c>
      <c r="EY159" s="1404">
        <f t="shared" ref="EY159:FB159" si="850">-EY157*EY164*3</f>
        <v>-33.720189939130435</v>
      </c>
      <c r="EZ159" s="1404">
        <f t="shared" si="850"/>
        <v>-41.875956156830696</v>
      </c>
      <c r="FA159" s="1404">
        <f t="shared" si="850"/>
        <v>-49.418819981082748</v>
      </c>
      <c r="FB159" s="1404">
        <f t="shared" si="850"/>
        <v>-48.010622033583971</v>
      </c>
      <c r="FC159" s="100">
        <f>+SUM(EY159:FB159)</f>
        <v>-173.02558811062784</v>
      </c>
      <c r="FD159" s="1404">
        <f t="shared" ref="FD159:FI159" si="851">-FD157*FD164*12</f>
        <v>-221.08187121324528</v>
      </c>
      <c r="FE159" s="1404">
        <f t="shared" si="851"/>
        <v>-303.961421973857</v>
      </c>
      <c r="FF159" s="1404">
        <f t="shared" si="851"/>
        <v>-377.64102103920322</v>
      </c>
      <c r="FG159" s="1404">
        <f t="shared" si="851"/>
        <v>-433.95888264188284</v>
      </c>
      <c r="FH159" s="1404">
        <f t="shared" si="851"/>
        <v>-475.89627055476626</v>
      </c>
      <c r="FI159" s="1404">
        <f t="shared" si="851"/>
        <v>-506.51055815663159</v>
      </c>
    </row>
    <row r="160" spans="1:165" x14ac:dyDescent="0.3">
      <c r="A160" s="64" t="s">
        <v>352</v>
      </c>
      <c r="DU160" s="134"/>
      <c r="DV160" s="134"/>
      <c r="DW160" s="134"/>
      <c r="DX160" s="134"/>
      <c r="DY160" s="85"/>
      <c r="DZ160" s="132">
        <f>DZ171-DZ149</f>
        <v>0.85375156250006512</v>
      </c>
      <c r="EA160" s="132">
        <f t="shared" ref="EA160:EC160" si="852">EA171-EA149</f>
        <v>4.7234375000000455</v>
      </c>
      <c r="EB160" s="132">
        <f t="shared" si="852"/>
        <v>5.3725000000001728</v>
      </c>
      <c r="EC160" s="132">
        <f t="shared" si="852"/>
        <v>9.0240000000001146</v>
      </c>
      <c r="ED160" s="85">
        <f>EC160</f>
        <v>9.0240000000001146</v>
      </c>
      <c r="EE160" s="132">
        <f>EE171-EE149</f>
        <v>18.901000000000067</v>
      </c>
      <c r="EF160" s="132">
        <f t="shared" ref="EF160:EH160" si="853">EF171-EF149</f>
        <v>35.124000000000024</v>
      </c>
      <c r="EG160" s="132">
        <f t="shared" si="853"/>
        <v>54.455000000000155</v>
      </c>
      <c r="EH160" s="132">
        <f t="shared" si="853"/>
        <v>86.563000000000102</v>
      </c>
      <c r="EI160" s="85">
        <f>EH160</f>
        <v>86.563000000000102</v>
      </c>
      <c r="EJ160" s="132">
        <f>EJ171-EJ149</f>
        <v>125.44800000000009</v>
      </c>
      <c r="EK160" s="132">
        <f t="shared" ref="EK160:EM160" si="854">EK171-EK149</f>
        <v>173.00199999999995</v>
      </c>
      <c r="EL160" s="132">
        <f t="shared" si="854"/>
        <v>229.33300000000008</v>
      </c>
      <c r="EM160" s="132">
        <f t="shared" si="854"/>
        <v>296.66399999999999</v>
      </c>
      <c r="EN160" s="85">
        <f>EM160</f>
        <v>296.66399999999999</v>
      </c>
      <c r="EO160" s="132">
        <f>EO171-EO149</f>
        <v>374.99500000000012</v>
      </c>
      <c r="EP160" s="132">
        <f t="shared" ref="EP160:EQ160" si="855">EP171-EP149</f>
        <v>445.21800000000007</v>
      </c>
      <c r="EQ160" s="132">
        <f t="shared" si="855"/>
        <v>508.10300000000007</v>
      </c>
      <c r="ER160" s="132">
        <f t="shared" ref="ER160" si="856">ER171-ER149</f>
        <v>572.76499999999987</v>
      </c>
      <c r="ES160" s="85">
        <f>ER160</f>
        <v>572.76499999999987</v>
      </c>
      <c r="ET160" s="132">
        <f>ET171-ET149</f>
        <v>647.87300000000005</v>
      </c>
      <c r="EU160" s="132">
        <f>EU171-EU149</f>
        <v>726.98099999999999</v>
      </c>
      <c r="EV160" s="132">
        <f>EV171-EV149</f>
        <v>822.08899999999994</v>
      </c>
      <c r="EW160" s="132">
        <f>EW171-EW149</f>
        <v>902.97399999999993</v>
      </c>
      <c r="EX160" s="85">
        <f>EW160</f>
        <v>902.97399999999993</v>
      </c>
      <c r="EY160" s="132">
        <f t="shared" ref="EY160:FB160" si="857">EY171-EY149</f>
        <v>1010.382138071014</v>
      </c>
      <c r="EZ160" s="132">
        <f t="shared" si="857"/>
        <v>1115.6480684650592</v>
      </c>
      <c r="FA160" s="132">
        <f t="shared" si="857"/>
        <v>1233.2725600851454</v>
      </c>
      <c r="FB160" s="132">
        <f t="shared" si="857"/>
        <v>1356.8632197748407</v>
      </c>
      <c r="FC160" s="85">
        <f>FB160</f>
        <v>1356.8632197748407</v>
      </c>
      <c r="FD160" s="132">
        <f t="shared" ref="FD160:FI160" si="858">FD171-FD149</f>
        <v>1856.764661656691</v>
      </c>
      <c r="FE160" s="132">
        <f t="shared" si="858"/>
        <v>2296.0029236857981</v>
      </c>
      <c r="FF160" s="132">
        <f t="shared" si="858"/>
        <v>2626.069633382127</v>
      </c>
      <c r="FG160" s="132">
        <f t="shared" si="858"/>
        <v>2879.9556103355862</v>
      </c>
      <c r="FH160" s="132">
        <f t="shared" si="858"/>
        <v>3065.3695444580608</v>
      </c>
      <c r="FI160" s="132">
        <f t="shared" si="858"/>
        <v>3190.947216078458</v>
      </c>
    </row>
    <row r="161" spans="1:165" x14ac:dyDescent="0.3">
      <c r="A161" s="69" t="s">
        <v>339</v>
      </c>
      <c r="DU161" s="79"/>
      <c r="DZ161" s="83"/>
      <c r="EA161" s="83"/>
      <c r="EB161" s="83"/>
      <c r="EC161" s="83"/>
      <c r="ED161" s="91"/>
      <c r="EE161" s="83">
        <f>EE160/DZ160-1</f>
        <v>21.138758896852533</v>
      </c>
      <c r="EF161" s="83">
        <f t="shared" ref="EF161" si="859">EF160/EA160-1</f>
        <v>6.4361098246774064</v>
      </c>
      <c r="EG161" s="83">
        <f t="shared" ref="EG161" si="860">EG160/EB160-1</f>
        <v>9.1358771521635003</v>
      </c>
      <c r="EH161" s="83">
        <f t="shared" ref="EH161" si="861">EH160/EC160-1</f>
        <v>8.5925310283686844</v>
      </c>
      <c r="EI161" s="91">
        <f t="shared" ref="EI161" si="862">EI160/ED160-1</f>
        <v>8.5925310283686844</v>
      </c>
      <c r="EJ161" s="83">
        <f t="shared" ref="EJ161" si="863">EJ160/EE160-1</f>
        <v>5.637109147664126</v>
      </c>
      <c r="EK161" s="83">
        <f t="shared" ref="EK161" si="864">EK160/EF160-1</f>
        <v>3.9254640701514587</v>
      </c>
      <c r="EL161" s="83">
        <f t="shared" ref="EL161" si="865">EL160/EG160-1</f>
        <v>3.2114222752731507</v>
      </c>
      <c r="EM161" s="83">
        <f t="shared" ref="EM161" si="866">EM160/EH160-1</f>
        <v>2.4271455471737307</v>
      </c>
      <c r="EN161" s="91">
        <f t="shared" ref="EN161" si="867">EN160/EI160-1</f>
        <v>2.4271455471737307</v>
      </c>
      <c r="EO161" s="83">
        <f t="shared" ref="EO161" si="868">EO160/EJ160-1</f>
        <v>1.9892465403992081</v>
      </c>
      <c r="EP161" s="83">
        <f t="shared" ref="EP161:EW161" si="869">EP160/EK160-1</f>
        <v>1.5734846995988496</v>
      </c>
      <c r="EQ161" s="83">
        <f t="shared" si="869"/>
        <v>1.2155686272799811</v>
      </c>
      <c r="ER161" s="83">
        <f t="shared" si="869"/>
        <v>0.9306858938057867</v>
      </c>
      <c r="ES161" s="91">
        <f t="shared" si="869"/>
        <v>0.9306858938057867</v>
      </c>
      <c r="ET161" s="83">
        <f t="shared" si="869"/>
        <v>0.72768436912492129</v>
      </c>
      <c r="EU161" s="83">
        <f t="shared" si="869"/>
        <v>0.63286524803579347</v>
      </c>
      <c r="EV161" s="83">
        <f t="shared" si="869"/>
        <v>0.61795738265666578</v>
      </c>
      <c r="EW161" s="83">
        <f t="shared" si="869"/>
        <v>0.57651741988424599</v>
      </c>
      <c r="EX161" s="91">
        <f t="shared" ref="EX161" si="870">EX160/ES160-1</f>
        <v>0.57651741988424599</v>
      </c>
      <c r="EY161" s="83">
        <f t="shared" ref="EY161" si="871">EY160/ET160-1</f>
        <v>0.5595373446200318</v>
      </c>
      <c r="EZ161" s="83">
        <f t="shared" ref="EZ161" si="872">EZ160/EU160-1</f>
        <v>0.53463167326939653</v>
      </c>
      <c r="FA161" s="83">
        <f t="shared" ref="FA161" si="873">FA160/EV160-1</f>
        <v>0.50016915453818922</v>
      </c>
      <c r="FB161" s="83">
        <f t="shared" ref="FB161:FC161" si="874">FB160/EW160-1</f>
        <v>0.50266034213038324</v>
      </c>
      <c r="FC161" s="91">
        <f t="shared" si="874"/>
        <v>0.50266034213038324</v>
      </c>
      <c r="FD161" s="83">
        <f t="shared" ref="FD161:FI161" si="875">FD160/FC160-1</f>
        <v>0.3684243441758297</v>
      </c>
      <c r="FE161" s="83">
        <f t="shared" si="875"/>
        <v>0.23656108450340629</v>
      </c>
      <c r="FF161" s="83">
        <f t="shared" si="875"/>
        <v>0.14375709468456122</v>
      </c>
      <c r="FG161" s="83">
        <f t="shared" si="875"/>
        <v>9.6679072681891576E-2</v>
      </c>
      <c r="FH161" s="83">
        <f t="shared" si="875"/>
        <v>6.4380830543728118E-2</v>
      </c>
      <c r="FI161" s="83">
        <f t="shared" si="875"/>
        <v>4.0966568565095729E-2</v>
      </c>
    </row>
    <row r="162" spans="1:165" x14ac:dyDescent="0.3">
      <c r="A162" s="65" t="s">
        <v>340</v>
      </c>
      <c r="DU162" s="134"/>
      <c r="DV162" s="77"/>
      <c r="DW162" s="77"/>
      <c r="DX162" s="77"/>
      <c r="DY162" s="86"/>
      <c r="DZ162" s="77"/>
      <c r="EA162" s="77">
        <f>EA157-DZ157</f>
        <v>0.85375156250006512</v>
      </c>
      <c r="EB162" s="77">
        <f>EB157-EA157</f>
        <v>3.8696859374999804</v>
      </c>
      <c r="EC162" s="77">
        <f>EC157-EB157</f>
        <v>0.64906250000012733</v>
      </c>
      <c r="ED162" s="77"/>
      <c r="EE162" s="77">
        <f>EE160-EE157</f>
        <v>9.8769999999999527</v>
      </c>
      <c r="EF162" s="77">
        <f t="shared" ref="EF162:EH162" si="876">EF160-EF157</f>
        <v>16.222999999999956</v>
      </c>
      <c r="EG162" s="77">
        <f t="shared" si="876"/>
        <v>19.331000000000131</v>
      </c>
      <c r="EH162" s="77">
        <f t="shared" si="876"/>
        <v>32.107999999999947</v>
      </c>
      <c r="EI162" s="86">
        <f>+SUM(EE162:EH162)</f>
        <v>77.538999999999987</v>
      </c>
      <c r="EJ162" s="77">
        <f>EJ160-EJ157</f>
        <v>38.884999999999991</v>
      </c>
      <c r="EK162" s="77">
        <f t="shared" ref="EK162:EM162" si="877">EK160-EK157</f>
        <v>47.55399999999986</v>
      </c>
      <c r="EL162" s="77">
        <f t="shared" si="877"/>
        <v>56.331000000000131</v>
      </c>
      <c r="EM162" s="77">
        <f t="shared" si="877"/>
        <v>67.330999999999904</v>
      </c>
      <c r="EN162" s="86">
        <f>+SUM(EJ162:EM162)</f>
        <v>210.10099999999989</v>
      </c>
      <c r="EO162" s="77">
        <f>EO160-EO157</f>
        <v>78.331000000000131</v>
      </c>
      <c r="EP162" s="77">
        <f t="shared" ref="EP162:ER162" si="878">EP160-EP157</f>
        <v>70.222999999999956</v>
      </c>
      <c r="EQ162" s="77">
        <f t="shared" si="878"/>
        <v>62.884999999999991</v>
      </c>
      <c r="ER162" s="77">
        <f t="shared" si="878"/>
        <v>64.661999999999807</v>
      </c>
      <c r="ES162" s="86">
        <f>+SUM(EO162:ER162)</f>
        <v>276.10099999999989</v>
      </c>
      <c r="ET162" s="77">
        <f>ET160-ET157</f>
        <v>75.108000000000175</v>
      </c>
      <c r="EU162" s="77">
        <f>EU160-EU157</f>
        <v>79.107999999999947</v>
      </c>
      <c r="EV162" s="77">
        <f>EV160-EV157</f>
        <v>95.107999999999947</v>
      </c>
      <c r="EW162" s="77">
        <f>EW160-EW157</f>
        <v>80.884999999999991</v>
      </c>
      <c r="EX162" s="86">
        <f>+SUM(ET162:EW162)</f>
        <v>330.20900000000006</v>
      </c>
      <c r="EY162" s="77">
        <f t="shared" ref="EY162:FB162" si="879">EY160-EY157</f>
        <v>107.40813807101404</v>
      </c>
      <c r="EZ162" s="77">
        <f t="shared" si="879"/>
        <v>105.2659303940452</v>
      </c>
      <c r="FA162" s="77">
        <f t="shared" si="879"/>
        <v>117.62449162008625</v>
      </c>
      <c r="FB162" s="77">
        <f t="shared" si="879"/>
        <v>123.59065968969526</v>
      </c>
      <c r="FC162" s="86">
        <f>+SUM(EY162:FB162)</f>
        <v>453.88921977484074</v>
      </c>
      <c r="FD162" s="77">
        <f t="shared" ref="FD162:FI162" si="880">FD160-FD157</f>
        <v>499.90144188185036</v>
      </c>
      <c r="FE162" s="77">
        <f t="shared" si="880"/>
        <v>439.23826202910709</v>
      </c>
      <c r="FF162" s="77">
        <f t="shared" si="880"/>
        <v>330.06670969632887</v>
      </c>
      <c r="FG162" s="77">
        <f t="shared" si="880"/>
        <v>253.88597695345925</v>
      </c>
      <c r="FH162" s="77">
        <f t="shared" si="880"/>
        <v>185.41393412247453</v>
      </c>
      <c r="FI162" s="77">
        <f t="shared" si="880"/>
        <v>125.57767162039727</v>
      </c>
    </row>
    <row r="163" spans="1:165" x14ac:dyDescent="0.3">
      <c r="A163" s="65" t="s">
        <v>341</v>
      </c>
      <c r="DU163" s="96"/>
      <c r="DV163" s="83"/>
      <c r="DW163" s="83"/>
      <c r="DX163" s="83"/>
      <c r="DY163" s="91"/>
      <c r="DZ163" s="83"/>
      <c r="EA163" s="83">
        <f>EA158/EA105</f>
        <v>6.8736757825485287E-2</v>
      </c>
      <c r="EB163" s="83">
        <f t="shared" ref="EB163:EC163" si="881">EB158/EB105</f>
        <v>0.19176197467831491</v>
      </c>
      <c r="EC163" s="83">
        <f t="shared" si="881"/>
        <v>1.6052696632196776E-2</v>
      </c>
      <c r="ED163" s="91"/>
      <c r="EE163" s="83">
        <f t="shared" ref="EE163:EP163" si="882">EE158/EE105</f>
        <v>7.4322552324705027E-2</v>
      </c>
      <c r="EF163" s="83">
        <f t="shared" si="882"/>
        <v>6.3602419351955153E-2</v>
      </c>
      <c r="EG163" s="83">
        <f t="shared" si="882"/>
        <v>4.7673227816910232E-2</v>
      </c>
      <c r="EH163" s="83">
        <f t="shared" si="882"/>
        <v>5.4553700005490813E-2</v>
      </c>
      <c r="EI163" s="91">
        <f t="shared" si="882"/>
        <v>0.22400507203742068</v>
      </c>
      <c r="EJ163" s="83">
        <f t="shared" si="882"/>
        <v>5.0614135336703316E-2</v>
      </c>
      <c r="EK163" s="83">
        <f t="shared" si="882"/>
        <v>4.9180610181186253E-2</v>
      </c>
      <c r="EL163" s="83">
        <f t="shared" si="882"/>
        <v>4.638219829932156E-2</v>
      </c>
      <c r="EM163" s="83">
        <f t="shared" si="882"/>
        <v>4.347532973982466E-2</v>
      </c>
      <c r="EN163" s="91">
        <f t="shared" si="882"/>
        <v>0.18664573997855879</v>
      </c>
      <c r="EO163" s="83">
        <f t="shared" si="882"/>
        <v>4.2101093822141111E-2</v>
      </c>
      <c r="EP163" s="83">
        <f t="shared" si="882"/>
        <v>3.5172042627967207E-2</v>
      </c>
      <c r="EQ163" s="83">
        <f t="shared" ref="EQ163:ET163" si="883">EQ158/EQ105</f>
        <v>2.9727652005352094E-2</v>
      </c>
      <c r="ER163" s="83">
        <f t="shared" si="883"/>
        <v>2.6736658063445162E-2</v>
      </c>
      <c r="ES163" s="91">
        <f t="shared" si="883"/>
        <v>0.13050295170338683</v>
      </c>
      <c r="ET163" s="83">
        <f t="shared" si="883"/>
        <v>2.814325248768423E-2</v>
      </c>
      <c r="EU163" s="83">
        <f t="shared" ref="EU163:EV163" si="884">EU158/EU105</f>
        <v>2.8067772272247913E-2</v>
      </c>
      <c r="EV163" s="83">
        <f t="shared" si="884"/>
        <v>3.0455222090987773E-2</v>
      </c>
      <c r="EW163" s="83">
        <f t="shared" ref="EW163" si="885">EW158/EW105</f>
        <v>2.5109204212703674E-2</v>
      </c>
      <c r="EX163" s="91">
        <f t="shared" ref="EX163" si="886">EX158/EX105</f>
        <v>0.11150392449796204</v>
      </c>
      <c r="EY163" s="83">
        <f t="shared" ref="EY163:FC163" si="887">EY158/EY105</f>
        <v>2.9666682381363912E-2</v>
      </c>
      <c r="EZ163" s="83">
        <f t="shared" si="887"/>
        <v>2.8830978653393156E-2</v>
      </c>
      <c r="FA163" s="83">
        <f t="shared" si="887"/>
        <v>3.0488663243661777E-2</v>
      </c>
      <c r="FB163" s="83">
        <f t="shared" si="887"/>
        <v>2.9676506852685018E-2</v>
      </c>
      <c r="FC163" s="91">
        <f t="shared" si="887"/>
        <v>0.11872263933653614</v>
      </c>
      <c r="FD163" s="83">
        <f t="shared" ref="FD163:FI163" si="888">FD158/FD105</f>
        <v>0.1135406792275741</v>
      </c>
      <c r="FE163" s="83">
        <f t="shared" si="888"/>
        <v>0.10849448279378728</v>
      </c>
      <c r="FF163" s="83">
        <f t="shared" si="888"/>
        <v>0.10181605454402586</v>
      </c>
      <c r="FG163" s="83">
        <f t="shared" si="888"/>
        <v>9.7530890799060674E-2</v>
      </c>
      <c r="FH163" s="83">
        <f t="shared" si="888"/>
        <v>9.2421906210409327E-2</v>
      </c>
      <c r="FI163" s="83">
        <f t="shared" si="888"/>
        <v>8.7075002683069599E-2</v>
      </c>
    </row>
    <row r="164" spans="1:165" x14ac:dyDescent="0.3">
      <c r="A164" s="65" t="s">
        <v>342</v>
      </c>
      <c r="DU164" s="1081"/>
      <c r="DV164" s="1081"/>
      <c r="DW164" s="1081"/>
      <c r="DX164" s="1081"/>
      <c r="DY164" s="91"/>
      <c r="DZ164" s="1081">
        <f t="shared" ref="DZ164:EP164" si="889">DZ153</f>
        <v>1.9634307536271638E-2</v>
      </c>
      <c r="EA164" s="1081">
        <f t="shared" si="889"/>
        <v>1.5549523218292054E-2</v>
      </c>
      <c r="EB164" s="1081">
        <f t="shared" si="889"/>
        <v>1.7868096986836904E-2</v>
      </c>
      <c r="EC164" s="1081">
        <f t="shared" si="889"/>
        <v>1.5504173190810237E-2</v>
      </c>
      <c r="ED164" s="1081">
        <f t="shared" si="889"/>
        <v>1.7131290187765481E-2</v>
      </c>
      <c r="EE164" s="1081">
        <f t="shared" si="889"/>
        <v>1.4018625177649789E-2</v>
      </c>
      <c r="EF164" s="1081">
        <f t="shared" si="889"/>
        <v>1.5065333333333333E-2</v>
      </c>
      <c r="EG164" s="1081">
        <f t="shared" si="889"/>
        <v>1.5387234042553192E-2</v>
      </c>
      <c r="EH164" s="1081">
        <f t="shared" si="889"/>
        <v>1.3171264367816094E-2</v>
      </c>
      <c r="EI164" s="1343">
        <f t="shared" si="889"/>
        <v>1.4404325695069739E-2</v>
      </c>
      <c r="EJ164" s="1081">
        <f t="shared" si="889"/>
        <v>1.1935142658315934E-2</v>
      </c>
      <c r="EK164" s="1081">
        <f t="shared" si="889"/>
        <v>1.4188471849865955E-2</v>
      </c>
      <c r="EL164" s="1081">
        <f t="shared" si="889"/>
        <v>1.5818369987063392E-2</v>
      </c>
      <c r="EM164" s="1081">
        <f t="shared" si="889"/>
        <v>1.3193176178660048E-2</v>
      </c>
      <c r="EN164" s="1081">
        <f t="shared" si="889"/>
        <v>1.3806899950714638E-2</v>
      </c>
      <c r="EO164" s="1081">
        <f t="shared" si="889"/>
        <v>1.2155239786856129E-2</v>
      </c>
      <c r="EP164" s="1081">
        <f t="shared" si="889"/>
        <v>1.4020315137872821E-2</v>
      </c>
      <c r="EQ164" s="1081">
        <f t="shared" ref="EQ164:ET164" si="890">EQ153</f>
        <v>1.4547830802603036E-2</v>
      </c>
      <c r="ER164" s="1081">
        <f t="shared" si="890"/>
        <v>1.1980343213728551E-2</v>
      </c>
      <c r="ES164" s="1343">
        <f t="shared" si="890"/>
        <v>1.3176925203926446E-2</v>
      </c>
      <c r="ET164" s="1081">
        <f t="shared" si="890"/>
        <v>1.2451420029895367E-2</v>
      </c>
      <c r="EU164" s="1081">
        <f t="shared" ref="EU164:EV164" si="891">EU153</f>
        <v>1.3943293556085918E-2</v>
      </c>
      <c r="EV164" s="1081">
        <f t="shared" si="891"/>
        <v>1.4601295534217346E-2</v>
      </c>
      <c r="EW164" s="1081">
        <f t="shared" ref="EW164" si="892">EW153</f>
        <v>1.2809513435003634E-2</v>
      </c>
      <c r="EX164" s="1343">
        <f t="shared" ref="EX164" si="893">EX153</f>
        <v>1.3459001242621933E-2</v>
      </c>
      <c r="EY164" s="1081">
        <f t="shared" ref="EY164:FC164" si="894">EY153</f>
        <v>1.2447826086956522E-2</v>
      </c>
      <c r="EZ164" s="1081">
        <f t="shared" si="894"/>
        <v>1.381522052530171E-2</v>
      </c>
      <c r="FA164" s="1081">
        <f t="shared" si="894"/>
        <v>1.4765355186208674E-2</v>
      </c>
      <c r="FB164" s="1081">
        <f t="shared" si="894"/>
        <v>1.2976483216943087E-2</v>
      </c>
      <c r="FC164" s="1343">
        <f t="shared" si="894"/>
        <v>1.3514432890906021E-2</v>
      </c>
      <c r="FD164" s="1081">
        <f t="shared" ref="FD164:FI164" si="895">FD153</f>
        <v>1.3578000346142224E-2</v>
      </c>
      <c r="FE164" s="1081">
        <f t="shared" si="895"/>
        <v>1.3642072698228066E-2</v>
      </c>
      <c r="FF164" s="1081">
        <f t="shared" si="895"/>
        <v>1.3706465598084258E-2</v>
      </c>
      <c r="FG164" s="1081">
        <f t="shared" si="895"/>
        <v>1.377086112281878E-2</v>
      </c>
      <c r="FH164" s="1081">
        <f t="shared" si="895"/>
        <v>1.3770358961056826E-2</v>
      </c>
      <c r="FI164" s="1081">
        <f t="shared" si="895"/>
        <v>1.3769698095953921E-2</v>
      </c>
    </row>
    <row r="165" spans="1:165" x14ac:dyDescent="0.3">
      <c r="A165" s="65" t="s">
        <v>210</v>
      </c>
      <c r="DU165" s="1081"/>
      <c r="DV165" s="1081"/>
      <c r="DW165" s="1081"/>
      <c r="DX165" s="1081"/>
      <c r="DY165" s="91"/>
      <c r="DZ165" s="1081">
        <f>DZ160/DZ86</f>
        <v>9.4861284722229461E-2</v>
      </c>
      <c r="EA165" s="1081">
        <f t="shared" ref="EA165:EP165" si="896">EA160/EA86</f>
        <v>0.277849264705885</v>
      </c>
      <c r="EB165" s="1081">
        <f t="shared" si="896"/>
        <v>0.20663461538462202</v>
      </c>
      <c r="EC165" s="1081">
        <f t="shared" si="896"/>
        <v>0.10493023255814087</v>
      </c>
      <c r="ED165" s="1081">
        <f t="shared" si="896"/>
        <v>0.10493023255814087</v>
      </c>
      <c r="EE165" s="1081">
        <f t="shared" si="896"/>
        <v>9.9478947368421403E-2</v>
      </c>
      <c r="EF165" s="1081">
        <f t="shared" si="896"/>
        <v>0.10122190201729113</v>
      </c>
      <c r="EG165" s="1081">
        <f t="shared" si="896"/>
        <v>0.10235902255639127</v>
      </c>
      <c r="EH165" s="1081">
        <f t="shared" si="896"/>
        <v>0.11956215469613274</v>
      </c>
      <c r="EI165" s="1081">
        <f t="shared" si="896"/>
        <v>0.11956215469613274</v>
      </c>
      <c r="EJ165" s="1081">
        <f t="shared" si="896"/>
        <v>0.13416898395721935</v>
      </c>
      <c r="EK165" s="1081">
        <f t="shared" si="896"/>
        <v>0.14227138157894734</v>
      </c>
      <c r="EL165" s="1081">
        <f t="shared" si="896"/>
        <v>0.14635162731333765</v>
      </c>
      <c r="EM165" s="1081">
        <f t="shared" si="896"/>
        <v>0.15229158110882957</v>
      </c>
      <c r="EN165" s="1081">
        <f t="shared" si="896"/>
        <v>0.15229158110882957</v>
      </c>
      <c r="EO165" s="1081">
        <f t="shared" si="896"/>
        <v>0.16396808045474426</v>
      </c>
      <c r="EP165" s="1081">
        <f t="shared" si="896"/>
        <v>0.17104033807145605</v>
      </c>
      <c r="EQ165" s="1081">
        <f t="shared" ref="EQ165:ET165" si="897">EQ160/EQ86</f>
        <v>0.17311856899488928</v>
      </c>
      <c r="ER165" s="1081">
        <f t="shared" si="897"/>
        <v>0.17526468788249691</v>
      </c>
      <c r="ES165" s="1343">
        <f t="shared" si="897"/>
        <v>0.17526468788249691</v>
      </c>
      <c r="ET165" s="1081">
        <f t="shared" si="897"/>
        <v>0.18046601671309193</v>
      </c>
      <c r="EU165" s="1081">
        <f t="shared" ref="EU165:EV165" si="898">EU160/EU86</f>
        <v>0.18275037707390648</v>
      </c>
      <c r="EV165" s="1081">
        <f t="shared" si="898"/>
        <v>0.18859577884835971</v>
      </c>
      <c r="EW165" s="1081">
        <f t="shared" ref="EW165" si="899">EW160/EW86</f>
        <v>0.19629869565217389</v>
      </c>
      <c r="EX165" s="1343">
        <f t="shared" ref="EX165" si="900">EX160/EX86</f>
        <v>0.19629869565217389</v>
      </c>
      <c r="EY165" s="1081">
        <f t="shared" ref="EY165:FC165" si="901">EY160/EY86</f>
        <v>0.20560191388532961</v>
      </c>
      <c r="EZ165" s="1081">
        <f t="shared" si="901"/>
        <v>0.21078029377825577</v>
      </c>
      <c r="FA165" s="1081">
        <f t="shared" si="901"/>
        <v>0.21770844212224685</v>
      </c>
      <c r="FB165" s="1081">
        <f t="shared" si="901"/>
        <v>0.22997681691098995</v>
      </c>
      <c r="FC165" s="1343">
        <f t="shared" si="901"/>
        <v>0.22997681691098995</v>
      </c>
      <c r="FD165" s="1081">
        <f t="shared" ref="FD165:FI165" si="902">FD160/FD86</f>
        <v>0.27305362671421929</v>
      </c>
      <c r="FE165" s="1081">
        <f t="shared" si="902"/>
        <v>0.33274295547913596</v>
      </c>
      <c r="FF165" s="1081">
        <f t="shared" si="902"/>
        <v>0.37507445171591186</v>
      </c>
      <c r="FG165" s="1081">
        <f t="shared" si="902"/>
        <v>0.40541588237699128</v>
      </c>
      <c r="FH165" s="1081">
        <f t="shared" si="902"/>
        <v>0.42533378749013179</v>
      </c>
      <c r="FI165" s="1081">
        <f t="shared" si="902"/>
        <v>0.43644203909995094</v>
      </c>
    </row>
    <row r="166" spans="1:165" x14ac:dyDescent="0.3">
      <c r="A166" s="65"/>
      <c r="DU166" s="1081"/>
      <c r="DV166" s="1081"/>
      <c r="DW166" s="1081"/>
      <c r="DX166" s="1081"/>
      <c r="DY166" s="91"/>
      <c r="DZ166" s="1081"/>
      <c r="EA166" s="1081"/>
      <c r="EB166" s="1081"/>
      <c r="EC166" s="1081"/>
      <c r="ED166" s="1081"/>
      <c r="EE166" s="1081"/>
      <c r="EF166" s="1081"/>
      <c r="EG166" s="1081"/>
      <c r="EH166" s="1081"/>
      <c r="EI166" s="1343"/>
      <c r="EJ166" s="1081"/>
      <c r="EK166" s="1081"/>
      <c r="EL166" s="1081"/>
      <c r="EM166" s="1081"/>
      <c r="EN166" s="1081"/>
      <c r="EO166" s="1081"/>
      <c r="EP166" s="1081"/>
      <c r="EQ166" s="1081"/>
      <c r="ER166" s="1081"/>
      <c r="ES166" s="91"/>
      <c r="ET166" s="1081"/>
      <c r="EU166" s="1081"/>
      <c r="EV166" s="1081"/>
      <c r="EW166" s="1081"/>
      <c r="EX166" s="1081"/>
      <c r="EY166" s="1081"/>
      <c r="EZ166" s="1081"/>
      <c r="FA166" s="1081"/>
      <c r="FB166" s="1081"/>
      <c r="FC166" s="1081"/>
      <c r="FD166" s="1081"/>
      <c r="FE166" s="1081"/>
      <c r="FF166" s="1081"/>
      <c r="FG166" s="1081"/>
      <c r="FH166" s="1081"/>
      <c r="FI166" s="1081"/>
    </row>
    <row r="167" spans="1:165" x14ac:dyDescent="0.3">
      <c r="A167" s="68" t="s">
        <v>355</v>
      </c>
      <c r="EO167"/>
      <c r="EP167"/>
      <c r="EQ167"/>
      <c r="ER167"/>
      <c r="EV167" s="890"/>
      <c r="EW167" s="890"/>
    </row>
    <row r="168" spans="1:165" x14ac:dyDescent="0.3">
      <c r="A168" s="67" t="s">
        <v>350</v>
      </c>
      <c r="DU168" s="134">
        <f t="shared" ref="DU168:DX171" si="903">DU112+DU135</f>
        <v>1317.266607214649</v>
      </c>
      <c r="DV168" s="134">
        <f t="shared" si="903"/>
        <v>1310.266607214649</v>
      </c>
      <c r="DW168" s="134">
        <f t="shared" si="903"/>
        <v>1300.3503663739991</v>
      </c>
      <c r="DX168" s="134">
        <f t="shared" si="903"/>
        <v>1299.4362732041016</v>
      </c>
      <c r="DY168" s="85">
        <f>+DU168</f>
        <v>1317.266607214649</v>
      </c>
      <c r="DZ168" s="134">
        <f t="shared" ref="DZ168:EC171" si="904">DZ112+DZ135</f>
        <v>1303.5243827734375</v>
      </c>
      <c r="EA168" s="134">
        <f t="shared" si="904"/>
        <v>1312.6147515625</v>
      </c>
      <c r="EB168" s="134">
        <f t="shared" si="904"/>
        <v>1319.7074375</v>
      </c>
      <c r="EC168" s="134">
        <f t="shared" si="904"/>
        <v>1326.8025</v>
      </c>
      <c r="ED168" s="85">
        <f>+DZ168</f>
        <v>1303.5243827734375</v>
      </c>
      <c r="EE168" s="134">
        <f t="shared" ref="EE168:EH171" si="905">EE112+EE135</f>
        <v>1336.9</v>
      </c>
      <c r="EF168" s="134">
        <f t="shared" si="905"/>
        <v>1350</v>
      </c>
      <c r="EG168" s="134">
        <f t="shared" si="905"/>
        <v>1363</v>
      </c>
      <c r="EH168" s="134">
        <f t="shared" si="905"/>
        <v>1392</v>
      </c>
      <c r="EI168" s="85">
        <f>+EE168</f>
        <v>1336.9</v>
      </c>
      <c r="EJ168" s="134">
        <f t="shared" ref="EJ168:EM171" si="906">EJ112+EJ135</f>
        <v>1437</v>
      </c>
      <c r="EK168" s="134">
        <f t="shared" si="906"/>
        <v>1492</v>
      </c>
      <c r="EL168" s="134">
        <f t="shared" si="906"/>
        <v>1546</v>
      </c>
      <c r="EM168" s="134">
        <f t="shared" si="906"/>
        <v>1612</v>
      </c>
      <c r="EN168" s="85">
        <f>+EJ168</f>
        <v>1437</v>
      </c>
      <c r="EO168" s="134">
        <f t="shared" ref="EO168:EP171" si="907">EO112+EO135</f>
        <v>1689</v>
      </c>
      <c r="EP168" s="134">
        <f t="shared" si="907"/>
        <v>1777</v>
      </c>
      <c r="EQ168" s="134">
        <f t="shared" ref="EQ168:ER168" si="908">EQ112+EQ135</f>
        <v>1844</v>
      </c>
      <c r="ER168" s="134">
        <f t="shared" si="908"/>
        <v>1923</v>
      </c>
      <c r="ES168" s="85">
        <f>+EO168</f>
        <v>1689</v>
      </c>
      <c r="ET168" s="134">
        <f t="shared" ref="ET168:EU168" si="909">ET112+ET135</f>
        <v>2007</v>
      </c>
      <c r="EU168" s="134">
        <f t="shared" si="909"/>
        <v>2095</v>
      </c>
      <c r="EV168" s="134">
        <f t="shared" ref="EV168:EW168" si="910">EV112+EV135</f>
        <v>2187</v>
      </c>
      <c r="EW168" s="134">
        <f t="shared" si="910"/>
        <v>2295</v>
      </c>
      <c r="EX168" s="85">
        <f>+ET168</f>
        <v>2007</v>
      </c>
      <c r="EY168" s="134">
        <f t="shared" ref="EY168:FB168" si="911">EY112+EY135</f>
        <v>2392</v>
      </c>
      <c r="EZ168" s="134">
        <f t="shared" si="911"/>
        <v>2504.242638071014</v>
      </c>
      <c r="FA168" s="134">
        <f t="shared" si="911"/>
        <v>2614.3430684650593</v>
      </c>
      <c r="FB168" s="134">
        <f t="shared" si="911"/>
        <v>2736.8020600851455</v>
      </c>
      <c r="FC168" s="85">
        <f>+EY168</f>
        <v>2392</v>
      </c>
      <c r="FD168" s="134">
        <f t="shared" ref="FD168:FI171" si="912">FD112+FD135</f>
        <v>2865.2272197748407</v>
      </c>
      <c r="FE168" s="134">
        <f t="shared" si="912"/>
        <v>3371.5746616566912</v>
      </c>
      <c r="FF168" s="134">
        <f t="shared" si="912"/>
        <v>3817.2589236857984</v>
      </c>
      <c r="FG168" s="134">
        <f t="shared" si="912"/>
        <v>4153.7716333821272</v>
      </c>
      <c r="FH168" s="134">
        <f t="shared" si="912"/>
        <v>4414.1036103355864</v>
      </c>
      <c r="FI168" s="134">
        <f t="shared" si="912"/>
        <v>4605.9635444580608</v>
      </c>
    </row>
    <row r="169" spans="1:165" x14ac:dyDescent="0.3">
      <c r="A169" s="67" t="s">
        <v>351</v>
      </c>
      <c r="DU169" s="134">
        <f t="shared" si="903"/>
        <v>99.692935844304046</v>
      </c>
      <c r="DV169" s="134">
        <f t="shared" si="903"/>
        <v>97.442194914475934</v>
      </c>
      <c r="DW169" s="134">
        <f t="shared" si="903"/>
        <v>101.44774853876716</v>
      </c>
      <c r="DX169" s="134">
        <f t="shared" si="903"/>
        <v>90.063549191000376</v>
      </c>
      <c r="DY169" s="85">
        <f>+SUM(DU169:DX169)</f>
        <v>388.64642848854754</v>
      </c>
      <c r="DZ169" s="134">
        <f t="shared" si="904"/>
        <v>85.871764626269623</v>
      </c>
      <c r="EA169" s="134">
        <f t="shared" si="904"/>
        <v>68.324286605781239</v>
      </c>
      <c r="EB169" s="134">
        <f t="shared" si="904"/>
        <v>77.837043962499919</v>
      </c>
      <c r="EC169" s="134">
        <f t="shared" si="904"/>
        <v>71.810427250000018</v>
      </c>
      <c r="ED169" s="85">
        <f>+SUM(DZ169:EC169)</f>
        <v>303.84352244455084</v>
      </c>
      <c r="EE169" s="134">
        <f t="shared" si="905"/>
        <v>69.324500000000086</v>
      </c>
      <c r="EF169" s="134">
        <f t="shared" si="905"/>
        <v>74.014600000000073</v>
      </c>
      <c r="EG169" s="134">
        <f t="shared" si="905"/>
        <v>91.918400000000076</v>
      </c>
      <c r="EH169" s="134">
        <f t="shared" si="905"/>
        <v>100.00319999999996</v>
      </c>
      <c r="EI169" s="85">
        <f>+SUM(EE169:EH169)</f>
        <v>335.26070000000016</v>
      </c>
      <c r="EJ169" s="134">
        <f t="shared" si="906"/>
        <v>106.45240000000011</v>
      </c>
      <c r="EK169" s="134">
        <f t="shared" si="906"/>
        <v>117.50760000000002</v>
      </c>
      <c r="EL169" s="134">
        <f t="shared" si="906"/>
        <v>139.36559999999989</v>
      </c>
      <c r="EM169" s="134">
        <f t="shared" si="906"/>
        <v>140.8022</v>
      </c>
      <c r="EN169" s="85">
        <f>+SUM(EJ169:EM169)</f>
        <v>504.12779999999998</v>
      </c>
      <c r="EO169" s="134">
        <f t="shared" si="907"/>
        <v>149.59060000000005</v>
      </c>
      <c r="EP169" s="134">
        <f t="shared" si="907"/>
        <v>141.7423</v>
      </c>
      <c r="EQ169" s="134">
        <f t="shared" ref="EQ169:ER169" si="913">EQ113+EQ136</f>
        <v>159.4786</v>
      </c>
      <c r="ER169" s="134">
        <f t="shared" si="913"/>
        <v>153.1146</v>
      </c>
      <c r="ES169" s="85">
        <f>+SUM(EO169:ER169)</f>
        <v>603.92610000000002</v>
      </c>
      <c r="ET169" s="134">
        <f t="shared" ref="ET169:EU169" si="914">ET113+ET136</f>
        <v>162.96999999999994</v>
      </c>
      <c r="EU169" s="134">
        <f t="shared" si="914"/>
        <v>179.63359999999992</v>
      </c>
      <c r="EV169" s="134">
        <f t="shared" ref="EV169:EW169" si="915">EV113+EV136</f>
        <v>205.79909999999998</v>
      </c>
      <c r="EW169" s="134">
        <f t="shared" si="915"/>
        <v>187.19350000000017</v>
      </c>
      <c r="EX169" s="85">
        <f>+SUM(ET169:EW169)</f>
        <v>735.59620000000007</v>
      </c>
      <c r="EY169" s="134">
        <f t="shared" ref="EY169:FB169" si="916">EY113+EY136</f>
        <v>201.56823807101381</v>
      </c>
      <c r="EZ169" s="134">
        <f t="shared" si="916"/>
        <v>213.89042327548893</v>
      </c>
      <c r="FA169" s="134">
        <f t="shared" si="916"/>
        <v>238.26410357355408</v>
      </c>
      <c r="FB169" s="134">
        <f t="shared" si="916"/>
        <v>234.96735769206566</v>
      </c>
      <c r="FC169" s="85">
        <f>+SUM(EY169:FB169)</f>
        <v>888.69012261212242</v>
      </c>
      <c r="FD169" s="134">
        <f t="shared" si="912"/>
        <v>973.19611606439764</v>
      </c>
      <c r="FE169" s="134">
        <f t="shared" si="912"/>
        <v>997.62746173099868</v>
      </c>
      <c r="FF169" s="134">
        <f t="shared" si="912"/>
        <v>964.3662470940825</v>
      </c>
      <c r="FG169" s="134">
        <f t="shared" si="912"/>
        <v>946.74412454397225</v>
      </c>
      <c r="FH169" s="134">
        <f t="shared" si="912"/>
        <v>921.26542858989023</v>
      </c>
      <c r="FI169" s="134">
        <f t="shared" si="912"/>
        <v>893.09640099828403</v>
      </c>
    </row>
    <row r="170" spans="1:165" x14ac:dyDescent="0.3">
      <c r="A170" s="67" t="s">
        <v>337</v>
      </c>
      <c r="DU170" s="134">
        <f t="shared" si="903"/>
        <v>-106.69293584430397</v>
      </c>
      <c r="DV170" s="134">
        <f t="shared" si="903"/>
        <v>-107.35843575512595</v>
      </c>
      <c r="DW170" s="134">
        <f t="shared" si="903"/>
        <v>-102.36184170866451</v>
      </c>
      <c r="DX170" s="134">
        <f t="shared" si="903"/>
        <v>-85.975439621664549</v>
      </c>
      <c r="DY170" s="85">
        <f>+SUM(DU170:DX170)</f>
        <v>-402.38865292975902</v>
      </c>
      <c r="DZ170" s="134">
        <f t="shared" si="904"/>
        <v>-76.781395837207029</v>
      </c>
      <c r="EA170" s="134">
        <f t="shared" si="904"/>
        <v>-61.231600668281246</v>
      </c>
      <c r="EB170" s="134">
        <f t="shared" si="904"/>
        <v>-70.741981462500007</v>
      </c>
      <c r="EC170" s="134">
        <f t="shared" si="904"/>
        <v>-61.71292725</v>
      </c>
      <c r="ED170" s="85">
        <f>+SUM(DZ170:EC170)</f>
        <v>-270.46790521798829</v>
      </c>
      <c r="EE170" s="134">
        <f t="shared" si="905"/>
        <v>-56.224500000000006</v>
      </c>
      <c r="EF170" s="134">
        <f t="shared" si="905"/>
        <v>-61.014600000000002</v>
      </c>
      <c r="EG170" s="134">
        <f t="shared" si="905"/>
        <v>-62.918400000000005</v>
      </c>
      <c r="EH170" s="134">
        <f t="shared" si="905"/>
        <v>-55.003200000000007</v>
      </c>
      <c r="EI170" s="85">
        <f>+SUM(EE170:EH170)</f>
        <v>-235.16070000000002</v>
      </c>
      <c r="EJ170" s="134">
        <f t="shared" si="906"/>
        <v>-51.452399999999997</v>
      </c>
      <c r="EK170" s="134">
        <f t="shared" si="906"/>
        <v>-63.507600000000011</v>
      </c>
      <c r="EL170" s="134">
        <f t="shared" si="906"/>
        <v>-73.365600000000001</v>
      </c>
      <c r="EM170" s="134">
        <f t="shared" si="906"/>
        <v>-63.802199999999999</v>
      </c>
      <c r="EN170" s="85">
        <f>+SUM(EJ170:EM170)</f>
        <v>-252.12780000000001</v>
      </c>
      <c r="EO170" s="134">
        <f t="shared" si="907"/>
        <v>-61.590600000000002</v>
      </c>
      <c r="EP170" s="134">
        <f t="shared" si="907"/>
        <v>-74.7423</v>
      </c>
      <c r="EQ170" s="134">
        <f t="shared" ref="EQ170:ER170" si="917">EQ114+EQ137</f>
        <v>-80.478599999999986</v>
      </c>
      <c r="ER170" s="134">
        <f t="shared" si="917"/>
        <v>-69.11460000000001</v>
      </c>
      <c r="ES170" s="85">
        <f>+SUM(EO170:ER170)</f>
        <v>-285.92609999999996</v>
      </c>
      <c r="ET170" s="134">
        <f t="shared" ref="ET170:EU170" si="918">ET114+ET137</f>
        <v>-74.97</v>
      </c>
      <c r="EU170" s="134">
        <f t="shared" si="918"/>
        <v>-87.633600000000001</v>
      </c>
      <c r="EV170" s="134">
        <f>EV114+EV137+2</f>
        <v>-95.79910000000001</v>
      </c>
      <c r="EW170" s="134">
        <f>EW114+EW137+2</f>
        <v>-88.193500000000014</v>
      </c>
      <c r="EX170" s="85">
        <f>+SUM(ET170:EW170)</f>
        <v>-346.59620000000001</v>
      </c>
      <c r="EY170" s="134">
        <f t="shared" ref="EY170:FB170" si="919">EY114+EY137</f>
        <v>-89.325600000000009</v>
      </c>
      <c r="EZ170" s="134">
        <f t="shared" si="919"/>
        <v>-103.78999288144313</v>
      </c>
      <c r="FA170" s="134">
        <f t="shared" si="919"/>
        <v>-115.80511195346779</v>
      </c>
      <c r="FB170" s="134">
        <f t="shared" si="919"/>
        <v>-106.54219800237047</v>
      </c>
      <c r="FC170" s="85">
        <f>+SUM(EY170:FB170)</f>
        <v>-415.46290283728138</v>
      </c>
      <c r="FD170" s="134">
        <f t="shared" si="912"/>
        <v>-466.84867418254692</v>
      </c>
      <c r="FE170" s="134">
        <f t="shared" si="912"/>
        <v>-551.94319970189133</v>
      </c>
      <c r="FF170" s="134">
        <f t="shared" si="912"/>
        <v>-627.85353739775451</v>
      </c>
      <c r="FG170" s="134">
        <f t="shared" si="912"/>
        <v>-686.41214759051286</v>
      </c>
      <c r="FH170" s="134">
        <f t="shared" si="912"/>
        <v>-729.40549446741511</v>
      </c>
      <c r="FI170" s="134">
        <f t="shared" si="912"/>
        <v>-761.07272937788798</v>
      </c>
    </row>
    <row r="171" spans="1:165" x14ac:dyDescent="0.3">
      <c r="A171" s="64" t="s">
        <v>352</v>
      </c>
      <c r="DU171" s="1082">
        <f t="shared" si="903"/>
        <v>1310.266607214649</v>
      </c>
      <c r="DV171" s="1082">
        <f t="shared" si="903"/>
        <v>1300.3503663739991</v>
      </c>
      <c r="DW171" s="1082">
        <f t="shared" si="903"/>
        <v>1299.4362732041016</v>
      </c>
      <c r="DX171" s="1082">
        <f t="shared" si="903"/>
        <v>1303.5243827734375</v>
      </c>
      <c r="DY171" s="803">
        <f>+DX171</f>
        <v>1303.5243827734375</v>
      </c>
      <c r="DZ171" s="1082">
        <f t="shared" si="904"/>
        <v>1312.6147515625</v>
      </c>
      <c r="EA171" s="1082">
        <f t="shared" si="904"/>
        <v>1319.7074375</v>
      </c>
      <c r="EB171" s="1082">
        <f t="shared" si="904"/>
        <v>1326.8025</v>
      </c>
      <c r="EC171" s="1082">
        <f t="shared" si="904"/>
        <v>1336.9</v>
      </c>
      <c r="ED171" s="803">
        <f>+EC171</f>
        <v>1336.9</v>
      </c>
      <c r="EE171" s="1082">
        <f t="shared" si="905"/>
        <v>1350</v>
      </c>
      <c r="EF171" s="1082">
        <f t="shared" si="905"/>
        <v>1363</v>
      </c>
      <c r="EG171" s="1082">
        <f t="shared" si="905"/>
        <v>1392</v>
      </c>
      <c r="EH171" s="1082">
        <f t="shared" si="905"/>
        <v>1437</v>
      </c>
      <c r="EI171" s="803">
        <f>+EH171</f>
        <v>1437</v>
      </c>
      <c r="EJ171" s="1082">
        <f t="shared" si="906"/>
        <v>1492</v>
      </c>
      <c r="EK171" s="1082">
        <f t="shared" si="906"/>
        <v>1546</v>
      </c>
      <c r="EL171" s="1082">
        <f t="shared" si="906"/>
        <v>1612</v>
      </c>
      <c r="EM171" s="1082">
        <f t="shared" si="906"/>
        <v>1689</v>
      </c>
      <c r="EN171" s="803">
        <f>+EM171</f>
        <v>1689</v>
      </c>
      <c r="EO171" s="1082">
        <f t="shared" si="907"/>
        <v>1777</v>
      </c>
      <c r="EP171" s="1082">
        <f t="shared" si="907"/>
        <v>1844</v>
      </c>
      <c r="EQ171" s="1082">
        <f t="shared" ref="EQ171:ER171" si="920">EQ115+EQ138</f>
        <v>1923</v>
      </c>
      <c r="ER171" s="1082">
        <f t="shared" si="920"/>
        <v>2007</v>
      </c>
      <c r="ES171" s="803">
        <f>+ER171</f>
        <v>2007</v>
      </c>
      <c r="ET171" s="1082">
        <f t="shared" ref="ET171:EU171" si="921">ET115+ET138</f>
        <v>2095</v>
      </c>
      <c r="EU171" s="1082">
        <f t="shared" si="921"/>
        <v>2187</v>
      </c>
      <c r="EV171" s="1082">
        <f t="shared" ref="EV171:EW171" si="922">EV115+EV138</f>
        <v>2295</v>
      </c>
      <c r="EW171" s="1082">
        <f t="shared" si="922"/>
        <v>2392</v>
      </c>
      <c r="EX171" s="803">
        <f>+EW171</f>
        <v>2392</v>
      </c>
      <c r="EY171" s="1082">
        <f t="shared" ref="EY171:FB171" si="923">EY115+EY138</f>
        <v>2504.242638071014</v>
      </c>
      <c r="EZ171" s="1082">
        <f t="shared" si="923"/>
        <v>2614.3430684650593</v>
      </c>
      <c r="FA171" s="1082">
        <f t="shared" si="923"/>
        <v>2736.8020600851455</v>
      </c>
      <c r="FB171" s="1082">
        <f t="shared" si="923"/>
        <v>2865.2272197748407</v>
      </c>
      <c r="FC171" s="803">
        <f>+FB171</f>
        <v>2865.2272197748407</v>
      </c>
      <c r="FD171" s="1082">
        <f t="shared" si="912"/>
        <v>3371.5746616566912</v>
      </c>
      <c r="FE171" s="1082">
        <f t="shared" si="912"/>
        <v>3817.2589236857984</v>
      </c>
      <c r="FF171" s="1082">
        <f t="shared" si="912"/>
        <v>4153.7716333821272</v>
      </c>
      <c r="FG171" s="1082">
        <f t="shared" si="912"/>
        <v>4414.1036103355864</v>
      </c>
      <c r="FH171" s="1082">
        <f t="shared" si="912"/>
        <v>4605.9635444580608</v>
      </c>
      <c r="FI171" s="1082">
        <f t="shared" si="912"/>
        <v>4737.987216078458</v>
      </c>
    </row>
    <row r="172" spans="1:165" x14ac:dyDescent="0.3">
      <c r="A172" s="69" t="s">
        <v>339</v>
      </c>
      <c r="DU172" s="79"/>
      <c r="DZ172" s="83">
        <f t="shared" ref="DZ172:EW172" si="924">+DZ171/DU171-1</f>
        <v>1.7921118762560528E-3</v>
      </c>
      <c r="EA172" s="83">
        <f t="shared" si="924"/>
        <v>1.4886042736295568E-2</v>
      </c>
      <c r="EB172" s="83">
        <f t="shared" si="924"/>
        <v>2.1060076096244273E-2</v>
      </c>
      <c r="EC172" s="83">
        <f t="shared" si="924"/>
        <v>2.5604137266348026E-2</v>
      </c>
      <c r="ED172" s="91">
        <f t="shared" si="924"/>
        <v>2.5604137266348026E-2</v>
      </c>
      <c r="EE172" s="83">
        <f t="shared" si="924"/>
        <v>2.8481508678001477E-2</v>
      </c>
      <c r="EF172" s="83">
        <f t="shared" si="924"/>
        <v>3.2804666602479493E-2</v>
      </c>
      <c r="EG172" s="83">
        <f t="shared" si="924"/>
        <v>4.9138813048664076E-2</v>
      </c>
      <c r="EH172" s="83">
        <f t="shared" si="924"/>
        <v>7.4874710150347745E-2</v>
      </c>
      <c r="EI172" s="91">
        <f t="shared" si="924"/>
        <v>7.4874710150347745E-2</v>
      </c>
      <c r="EJ172" s="83">
        <f t="shared" si="924"/>
        <v>0.10518518518518527</v>
      </c>
      <c r="EK172" s="83">
        <f t="shared" si="924"/>
        <v>0.13426265590608955</v>
      </c>
      <c r="EL172" s="83">
        <f t="shared" si="924"/>
        <v>0.15804597701149414</v>
      </c>
      <c r="EM172" s="83">
        <f t="shared" si="924"/>
        <v>0.17536534446764085</v>
      </c>
      <c r="EN172" s="91">
        <f t="shared" si="924"/>
        <v>0.17536534446764085</v>
      </c>
      <c r="EO172" s="83">
        <f t="shared" si="924"/>
        <v>0.19101876675603213</v>
      </c>
      <c r="EP172" s="83">
        <f t="shared" si="924"/>
        <v>0.19275549805950831</v>
      </c>
      <c r="EQ172" s="83">
        <f t="shared" si="924"/>
        <v>0.19292803970223327</v>
      </c>
      <c r="ER172" s="83">
        <f t="shared" si="924"/>
        <v>0.18827708703374779</v>
      </c>
      <c r="ES172" s="91">
        <f t="shared" ref="ES172" si="925">+ES171/EN171-1</f>
        <v>0.18827708703374779</v>
      </c>
      <c r="ET172" s="83">
        <f t="shared" si="924"/>
        <v>0.17895329206527855</v>
      </c>
      <c r="EU172" s="83">
        <f t="shared" si="924"/>
        <v>0.18600867678958788</v>
      </c>
      <c r="EV172" s="83">
        <f t="shared" si="924"/>
        <v>0.1934477379095163</v>
      </c>
      <c r="EW172" s="83">
        <f t="shared" si="924"/>
        <v>0.19182859990034884</v>
      </c>
      <c r="EX172" s="91">
        <f t="shared" ref="EX172" si="926">+EX171/ES171-1</f>
        <v>0.19182859990034884</v>
      </c>
      <c r="EY172" s="83">
        <f t="shared" ref="EY172" si="927">+EY171/ET171-1</f>
        <v>0.1953425480052573</v>
      </c>
      <c r="EZ172" s="83">
        <f t="shared" ref="EZ172" si="928">+EZ171/EU171-1</f>
        <v>0.19540149449705502</v>
      </c>
      <c r="FA172" s="83">
        <f t="shared" ref="FA172" si="929">+FA171/EV171-1</f>
        <v>0.19250634426367985</v>
      </c>
      <c r="FB172" s="83">
        <f t="shared" ref="FB172:FC172" si="930">+FB171/EW171-1</f>
        <v>0.19783746646105382</v>
      </c>
      <c r="FC172" s="91">
        <f t="shared" si="930"/>
        <v>0.19783746646105382</v>
      </c>
      <c r="FD172" s="83">
        <f t="shared" ref="FD172:FI172" si="931">+FD171/FC171-1</f>
        <v>0.1767215662294459</v>
      </c>
      <c r="FE172" s="83">
        <f t="shared" si="931"/>
        <v>0.13218875651714357</v>
      </c>
      <c r="FF172" s="83">
        <f t="shared" si="931"/>
        <v>8.8155589239255816E-2</v>
      </c>
      <c r="FG172" s="83">
        <f t="shared" si="931"/>
        <v>6.2673637342332444E-2</v>
      </c>
      <c r="FH172" s="83">
        <f t="shared" si="931"/>
        <v>4.3465208581247694E-2</v>
      </c>
      <c r="FI172" s="83">
        <f t="shared" si="931"/>
        <v>2.8663637987158985E-2</v>
      </c>
    </row>
    <row r="173" spans="1:165" x14ac:dyDescent="0.3">
      <c r="A173" s="65" t="s">
        <v>340</v>
      </c>
      <c r="DU173" s="134">
        <f>DU117+DU140</f>
        <v>-7</v>
      </c>
      <c r="DV173" s="77">
        <f>+DV171-DU171</f>
        <v>-9.9162408406498344</v>
      </c>
      <c r="DW173" s="77">
        <f>+DW171-DV171</f>
        <v>-0.91409316989756917</v>
      </c>
      <c r="DX173" s="77">
        <f>+DX171-DW171</f>
        <v>4.0881095693359839</v>
      </c>
      <c r="DY173" s="86">
        <f>+SUM(DU173:DX173)</f>
        <v>-13.74222444121142</v>
      </c>
      <c r="DZ173" s="77">
        <f>+DZ171-DY171</f>
        <v>9.0903687890624951</v>
      </c>
      <c r="EA173" s="77">
        <f>+EA171-DZ171</f>
        <v>7.0926859374999367</v>
      </c>
      <c r="EB173" s="77">
        <f>+EB171-EA171</f>
        <v>7.09506250000004</v>
      </c>
      <c r="EC173" s="77">
        <f>+EC171-EB171</f>
        <v>10.097500000000082</v>
      </c>
      <c r="ED173" s="86">
        <f>+SUM(DZ173:EC173)</f>
        <v>33.375617226562554</v>
      </c>
      <c r="EE173" s="77">
        <f>+EE171-ED171</f>
        <v>13.099999999999909</v>
      </c>
      <c r="EF173" s="77">
        <f>+EF171-EE171</f>
        <v>13</v>
      </c>
      <c r="EG173" s="77">
        <f>+EG171-EF171</f>
        <v>29</v>
      </c>
      <c r="EH173" s="77">
        <f>+EH171-EG171</f>
        <v>45</v>
      </c>
      <c r="EI173" s="86">
        <f>+SUM(EE173:EH173)</f>
        <v>100.09999999999991</v>
      </c>
      <c r="EJ173" s="77">
        <f>+EJ171-EI171</f>
        <v>55</v>
      </c>
      <c r="EK173" s="77">
        <f>+EK171-EJ171</f>
        <v>54</v>
      </c>
      <c r="EL173" s="77">
        <f>+EL171-EK171</f>
        <v>66</v>
      </c>
      <c r="EM173" s="77">
        <f>+EM171-EL171</f>
        <v>77</v>
      </c>
      <c r="EN173" s="86">
        <f>+SUM(EJ173:EM173)</f>
        <v>252</v>
      </c>
      <c r="EO173" s="77">
        <f>+EO171-EN171</f>
        <v>88</v>
      </c>
      <c r="EP173" s="77">
        <f>+EP171-EO171</f>
        <v>67</v>
      </c>
      <c r="EQ173" s="77">
        <f>+EQ171-EP171</f>
        <v>79</v>
      </c>
      <c r="ER173" s="77">
        <f>+ER171-EQ171</f>
        <v>84</v>
      </c>
      <c r="ES173" s="86">
        <f>+SUM(EO173:ER173)</f>
        <v>318</v>
      </c>
      <c r="ET173" s="77">
        <f>+ET171-ES171</f>
        <v>88</v>
      </c>
      <c r="EU173" s="77">
        <f>+EU171-ET171</f>
        <v>92</v>
      </c>
      <c r="EV173" s="77">
        <f>+EV171-EU171</f>
        <v>108</v>
      </c>
      <c r="EW173" s="77">
        <f>+EW171-EV171</f>
        <v>97</v>
      </c>
      <c r="EX173" s="86">
        <f>+SUM(ET173:EW173)</f>
        <v>385</v>
      </c>
      <c r="EY173" s="77">
        <f t="shared" ref="EY173" si="932">+EY171-EX171</f>
        <v>112.24263807101397</v>
      </c>
      <c r="EZ173" s="77">
        <f t="shared" ref="EZ173" si="933">+EZ171-EY171</f>
        <v>110.10043039404536</v>
      </c>
      <c r="FA173" s="77">
        <f t="shared" ref="FA173" si="934">+FA171-EZ171</f>
        <v>122.45899162008618</v>
      </c>
      <c r="FB173" s="77">
        <f t="shared" ref="FB173" si="935">+FB171-FA171</f>
        <v>128.42515968969519</v>
      </c>
      <c r="FC173" s="86">
        <f>+SUM(EY173:FB173)</f>
        <v>473.22721977484071</v>
      </c>
      <c r="FD173" s="77">
        <f t="shared" ref="FD173:FI173" si="936">+FD171-FC171</f>
        <v>506.3474418818505</v>
      </c>
      <c r="FE173" s="77">
        <f t="shared" si="936"/>
        <v>445.68426202910723</v>
      </c>
      <c r="FF173" s="77">
        <f t="shared" si="936"/>
        <v>336.51270969632878</v>
      </c>
      <c r="FG173" s="77">
        <f t="shared" si="936"/>
        <v>260.33197695345916</v>
      </c>
      <c r="FH173" s="77">
        <f t="shared" si="936"/>
        <v>191.85993412247444</v>
      </c>
      <c r="FI173" s="77">
        <f t="shared" si="936"/>
        <v>132.02367162039718</v>
      </c>
    </row>
    <row r="174" spans="1:165" x14ac:dyDescent="0.3">
      <c r="A174" s="65" t="s">
        <v>341</v>
      </c>
      <c r="DU174" s="96"/>
      <c r="DV174" s="83">
        <f t="shared" ref="DV174:FI174" si="937">+DV169/DV106</f>
        <v>3.0233383467103921E-2</v>
      </c>
      <c r="DW174" s="83">
        <f t="shared" si="937"/>
        <v>3.1476186329124155E-2</v>
      </c>
      <c r="DX174" s="83">
        <f t="shared" si="937"/>
        <v>2.7944011539249265E-2</v>
      </c>
      <c r="DY174" s="91">
        <f t="shared" si="937"/>
        <v>0.12058530204422821</v>
      </c>
      <c r="DZ174" s="83">
        <f t="shared" si="937"/>
        <v>2.6606278737806233E-2</v>
      </c>
      <c r="EA174" s="83">
        <f t="shared" si="937"/>
        <v>2.1113809210686414E-2</v>
      </c>
      <c r="EB174" s="83">
        <f t="shared" si="937"/>
        <v>2.3990458918939719E-2</v>
      </c>
      <c r="EC174" s="83">
        <f t="shared" si="937"/>
        <v>2.1900099801768838E-2</v>
      </c>
      <c r="ED174" s="91">
        <f t="shared" si="937"/>
        <v>9.3583898496820153E-2</v>
      </c>
      <c r="EE174" s="83">
        <f t="shared" si="937"/>
        <v>2.062615293067542E-2</v>
      </c>
      <c r="EF174" s="83">
        <f t="shared" si="937"/>
        <v>2.1198510668767025E-2</v>
      </c>
      <c r="EG174" s="83">
        <f t="shared" si="937"/>
        <v>2.5097174061433469E-2</v>
      </c>
      <c r="EH174" s="83">
        <f t="shared" si="937"/>
        <v>2.5968112178654884E-2</v>
      </c>
      <c r="EI174" s="91">
        <f t="shared" si="937"/>
        <v>9.3348378114993774E-2</v>
      </c>
      <c r="EJ174" s="83">
        <f t="shared" si="937"/>
        <v>2.6268328192473808E-2</v>
      </c>
      <c r="EK174" s="83">
        <f t="shared" si="937"/>
        <v>2.7336884959869728E-2</v>
      </c>
      <c r="EL174" s="83">
        <f t="shared" si="937"/>
        <v>3.0201668653158497E-2</v>
      </c>
      <c r="EM174" s="83">
        <f t="shared" si="937"/>
        <v>2.82706957132818E-2</v>
      </c>
      <c r="EN174" s="91">
        <f t="shared" si="937"/>
        <v>0.11236549648946841</v>
      </c>
      <c r="EO174" s="83">
        <f t="shared" si="937"/>
        <v>2.8010598258590029E-2</v>
      </c>
      <c r="EP174" s="83">
        <f t="shared" si="937"/>
        <v>2.5007462949894144E-2</v>
      </c>
      <c r="EQ174" s="83">
        <f t="shared" ref="EQ174:ER174" si="938">+EQ169/EQ106</f>
        <v>2.6615253671562082E-2</v>
      </c>
      <c r="ER174" s="83">
        <f t="shared" si="938"/>
        <v>2.4209755711913986E-2</v>
      </c>
      <c r="ES174" s="91">
        <f t="shared" si="937"/>
        <v>0.10356717684887461</v>
      </c>
      <c r="ET174" s="83">
        <f t="shared" ref="ET174:EU174" si="939">+ET169/ET106</f>
        <v>2.4499398677089588E-2</v>
      </c>
      <c r="EU174" s="83">
        <f t="shared" si="939"/>
        <v>2.5636306550592253E-2</v>
      </c>
      <c r="EV174" s="83">
        <f t="shared" ref="EV174:EW174" si="940">+EV169/EV106</f>
        <v>2.7842670635189064E-2</v>
      </c>
      <c r="EW174" s="83">
        <f t="shared" si="940"/>
        <v>2.4302953586497911E-2</v>
      </c>
      <c r="EX174" s="91">
        <f t="shared" ref="EX174" si="941">+EX169/EX106</f>
        <v>0.1023331408896463</v>
      </c>
      <c r="EY174" s="83">
        <f t="shared" ref="EY174:FC174" si="942">+EY169/EY106</f>
        <v>2.5258759470835831E-2</v>
      </c>
      <c r="EZ174" s="83">
        <f t="shared" si="942"/>
        <v>2.5687595261880969E-2</v>
      </c>
      <c r="FA174" s="83">
        <f t="shared" si="942"/>
        <v>2.7380804708110669E-2</v>
      </c>
      <c r="FB174" s="83">
        <f t="shared" si="942"/>
        <v>2.609184388185656E-2</v>
      </c>
      <c r="FC174" s="91">
        <f t="shared" si="942"/>
        <v>0.10450875534452272</v>
      </c>
      <c r="FD174" s="83">
        <f t="shared" si="937"/>
        <v>0.10166051562356604</v>
      </c>
      <c r="FE174" s="83">
        <f t="shared" si="937"/>
        <v>9.9038625264478639E-2</v>
      </c>
      <c r="FF174" s="83">
        <f t="shared" si="937"/>
        <v>9.478875863422434E-2</v>
      </c>
      <c r="FG174" s="83">
        <f t="shared" si="937"/>
        <v>9.2135305224815764E-2</v>
      </c>
      <c r="FH174" s="83">
        <f t="shared" si="937"/>
        <v>8.8768086993515558E-2</v>
      </c>
      <c r="FI174" s="83">
        <f t="shared" si="937"/>
        <v>8.5201855343425989E-2</v>
      </c>
    </row>
    <row r="175" spans="1:165" x14ac:dyDescent="0.3">
      <c r="A175" s="65" t="s">
        <v>342</v>
      </c>
      <c r="DU175" s="1081">
        <f>-DU170/DU168/3</f>
        <v>2.6998567908209422E-2</v>
      </c>
      <c r="DV175" s="1081">
        <f>-DV170/DV168/3</f>
        <v>2.7312109653608942E-2</v>
      </c>
      <c r="DW175" s="1081">
        <f>-DW170/DW168/3</f>
        <v>2.6239554188793607E-2</v>
      </c>
      <c r="DX175" s="1081">
        <f>-DX170/DX168/3</f>
        <v>2.2054548164353743E-2</v>
      </c>
      <c r="DY175" s="91">
        <f>+DY170/AVERAGE(DU168:DX168)/-12</f>
        <v>2.5659334940784071E-2</v>
      </c>
      <c r="DZ175" s="1081">
        <f>-DZ170/DZ168/3</f>
        <v>1.9634307536271638E-2</v>
      </c>
      <c r="EA175" s="1081">
        <f>-EA170/EA168/3</f>
        <v>1.5549523218292054E-2</v>
      </c>
      <c r="EB175" s="1081">
        <f>-EB170/EB168/3</f>
        <v>1.7868096986836904E-2</v>
      </c>
      <c r="EC175" s="1081">
        <f>-EC170/EC168/3</f>
        <v>1.5504173190810237E-2</v>
      </c>
      <c r="ED175" s="91">
        <f>+ED170/AVERAGE(DZ168:EC168)/-12</f>
        <v>1.7131290187765481E-2</v>
      </c>
      <c r="EE175" s="1081">
        <f>-EE170/EE168/3</f>
        <v>1.4018625177649789E-2</v>
      </c>
      <c r="EF175" s="1081">
        <f>-EF170/EF168/3</f>
        <v>1.5065333333333333E-2</v>
      </c>
      <c r="EG175" s="1081">
        <f>-EG170/EG168/3</f>
        <v>1.5387234042553192E-2</v>
      </c>
      <c r="EH175" s="1081">
        <f>-EH170/EH168/3</f>
        <v>1.3171264367816094E-2</v>
      </c>
      <c r="EI175" s="91">
        <f>+EI170/AVERAGE(EE168:EH168)/-12</f>
        <v>1.4404325695069739E-2</v>
      </c>
      <c r="EJ175" s="1081">
        <f>-EJ170/EJ168/3</f>
        <v>1.1935142658315934E-2</v>
      </c>
      <c r="EK175" s="1081">
        <f>-EK170/EK168/3</f>
        <v>1.4188471849865955E-2</v>
      </c>
      <c r="EL175" s="1081">
        <f>-EL170/EL168/3</f>
        <v>1.5818369987063392E-2</v>
      </c>
      <c r="EM175" s="1081">
        <f>-EM170/EM168/3</f>
        <v>1.3193176178660048E-2</v>
      </c>
      <c r="EN175" s="91">
        <f>+EN170/AVERAGE(EJ168:EM168)/-12</f>
        <v>1.3806899950714638E-2</v>
      </c>
      <c r="EO175" s="1081">
        <f>-EO170/EO168/3</f>
        <v>1.2155239786856129E-2</v>
      </c>
      <c r="EP175" s="1247">
        <f>-EP170/EP168/3</f>
        <v>1.4020315137872821E-2</v>
      </c>
      <c r="EQ175" s="1247">
        <f>-EQ170/EQ168/3</f>
        <v>1.4547830802603036E-2</v>
      </c>
      <c r="ER175" s="1247">
        <f>-ER170/ER168/3</f>
        <v>1.1980343213728551E-2</v>
      </c>
      <c r="ES175" s="1236">
        <f>+ES170/AVERAGE(EO168:ER168)/-12</f>
        <v>1.3176925203926446E-2</v>
      </c>
      <c r="ET175" s="1247">
        <f>-ET170/ET168/3</f>
        <v>1.2451420029895367E-2</v>
      </c>
      <c r="EU175" s="1247">
        <f>-EU170/EU168/3</f>
        <v>1.3943293556085918E-2</v>
      </c>
      <c r="EV175" s="1247">
        <f>-EV170/EV168/3</f>
        <v>1.4601295534217346E-2</v>
      </c>
      <c r="EW175" s="1247">
        <f>-EW170/EW168/3</f>
        <v>1.2809513435003634E-2</v>
      </c>
      <c r="EX175" s="1236">
        <f>+EX170/AVERAGE(ET168:EW168)/-12</f>
        <v>1.3459001242621933E-2</v>
      </c>
      <c r="EY175" s="1247">
        <f t="shared" ref="EY175:FB175" si="943">-EY170/EY168/3</f>
        <v>1.2447826086956522E-2</v>
      </c>
      <c r="EZ175" s="1247">
        <f t="shared" si="943"/>
        <v>1.381522052530171E-2</v>
      </c>
      <c r="FA175" s="1247">
        <f t="shared" si="943"/>
        <v>1.4765355186208674E-2</v>
      </c>
      <c r="FB175" s="1247">
        <f t="shared" si="943"/>
        <v>1.2976483216943087E-2</v>
      </c>
      <c r="FC175" s="1236">
        <f>+FC170/AVERAGE(EY168:FB168)/-12</f>
        <v>1.3514432890906021E-2</v>
      </c>
      <c r="FD175" s="1081">
        <f t="shared" ref="FD175:FI175" si="944">-FD170/FD168/12</f>
        <v>1.3578000346142224E-2</v>
      </c>
      <c r="FE175" s="1081">
        <f t="shared" si="944"/>
        <v>1.3642072698228066E-2</v>
      </c>
      <c r="FF175" s="1081">
        <f t="shared" si="944"/>
        <v>1.3706465598084258E-2</v>
      </c>
      <c r="FG175" s="1081">
        <f t="shared" si="944"/>
        <v>1.377086112281878E-2</v>
      </c>
      <c r="FH175" s="1081">
        <f t="shared" si="944"/>
        <v>1.3770358961056826E-2</v>
      </c>
      <c r="FI175" s="1081">
        <f t="shared" si="944"/>
        <v>1.3769698095953921E-2</v>
      </c>
    </row>
    <row r="176" spans="1:165" x14ac:dyDescent="0.3">
      <c r="A176" s="65" t="s">
        <v>210</v>
      </c>
      <c r="DU176" s="75">
        <f t="shared" ref="DU176:FI176" si="945">+DU171/DU90</f>
        <v>0.40653633484785884</v>
      </c>
      <c r="DV176" s="75">
        <f t="shared" si="945"/>
        <v>0.4034596234483398</v>
      </c>
      <c r="DW176" s="75">
        <f t="shared" si="945"/>
        <v>0.40317600782007496</v>
      </c>
      <c r="DX176" s="75">
        <f t="shared" si="945"/>
        <v>0.40444442530978514</v>
      </c>
      <c r="DY176" s="84">
        <f t="shared" si="945"/>
        <v>0.40444442530978514</v>
      </c>
      <c r="DZ176" s="75">
        <f t="shared" si="945"/>
        <v>0.40613080184483291</v>
      </c>
      <c r="EA176" s="75">
        <f t="shared" si="945"/>
        <v>0.40731711033950618</v>
      </c>
      <c r="EB176" s="75">
        <f t="shared" si="945"/>
        <v>0.40837257617728534</v>
      </c>
      <c r="EC176" s="75">
        <f t="shared" si="945"/>
        <v>0.40401934119069211</v>
      </c>
      <c r="ED176" s="84">
        <f t="shared" si="945"/>
        <v>0.40401934119069211</v>
      </c>
      <c r="EE176" s="75">
        <f t="shared" si="945"/>
        <v>0.39554644008203926</v>
      </c>
      <c r="EF176" s="75">
        <f t="shared" si="945"/>
        <v>0.38179271708683471</v>
      </c>
      <c r="EG176" s="75">
        <f t="shared" si="945"/>
        <v>0.3707057256990679</v>
      </c>
      <c r="EH176" s="75">
        <f t="shared" si="945"/>
        <v>0.36407398023815557</v>
      </c>
      <c r="EI176" s="84">
        <f t="shared" si="945"/>
        <v>0.36407398023815557</v>
      </c>
      <c r="EJ176" s="75">
        <f t="shared" si="945"/>
        <v>0.35882635882635883</v>
      </c>
      <c r="EK176" s="75">
        <f t="shared" si="945"/>
        <v>0.34827663888263122</v>
      </c>
      <c r="EL176" s="75">
        <f t="shared" si="945"/>
        <v>0.33653444676409183</v>
      </c>
      <c r="EM176" s="75">
        <f t="shared" si="945"/>
        <v>0.32662927866950298</v>
      </c>
      <c r="EN176" s="84">
        <f t="shared" si="945"/>
        <v>0.32662927866950298</v>
      </c>
      <c r="EO176" s="75">
        <f t="shared" si="945"/>
        <v>0.32250453720508165</v>
      </c>
      <c r="EP176" s="75">
        <f t="shared" si="945"/>
        <v>0.31651218674905596</v>
      </c>
      <c r="EQ176" s="75">
        <f t="shared" ref="EQ176:ER176" si="946">+EQ171/EQ90</f>
        <v>0.31227671321857747</v>
      </c>
      <c r="ER176" s="75">
        <f t="shared" si="946"/>
        <v>0.30919735017716837</v>
      </c>
      <c r="ES176" s="84">
        <f t="shared" si="945"/>
        <v>0.30919735017716837</v>
      </c>
      <c r="ET176" s="75">
        <f t="shared" ref="ET176:EU176" si="947">+ET171/ET90</f>
        <v>0.30750036694554528</v>
      </c>
      <c r="EU176" s="75">
        <f t="shared" si="947"/>
        <v>0.30370781835856131</v>
      </c>
      <c r="EV176" s="75">
        <f t="shared" ref="EV176:EW176" si="948">+EV171/EV90</f>
        <v>0.30269058295964124</v>
      </c>
      <c r="EW176" s="75">
        <f t="shared" si="948"/>
        <v>0.30576505177042057</v>
      </c>
      <c r="EX176" s="84">
        <f t="shared" ref="EX176" si="949">+EX171/EX90</f>
        <v>0.30576505177042057</v>
      </c>
      <c r="EY176" s="75">
        <f t="shared" ref="EY176:FC176" si="950">+EY171/EY90</f>
        <v>0.30774994601916578</v>
      </c>
      <c r="EZ176" s="75">
        <f t="shared" si="950"/>
        <v>0.30699396249848443</v>
      </c>
      <c r="FA176" s="75">
        <f t="shared" si="950"/>
        <v>0.30792830667858034</v>
      </c>
      <c r="FB176" s="75">
        <f t="shared" si="950"/>
        <v>0.31406633999504996</v>
      </c>
      <c r="FC176" s="84">
        <f t="shared" si="950"/>
        <v>0.31406633999504996</v>
      </c>
      <c r="FD176" s="75">
        <f t="shared" si="945"/>
        <v>0.33638378346370262</v>
      </c>
      <c r="FE176" s="75">
        <f t="shared" si="945"/>
        <v>0.37707914605178372</v>
      </c>
      <c r="FF176" s="75">
        <f t="shared" si="945"/>
        <v>0.40625819837803379</v>
      </c>
      <c r="FG176" s="75">
        <f t="shared" si="945"/>
        <v>0.42744542313913669</v>
      </c>
      <c r="FH176" s="75">
        <f t="shared" si="945"/>
        <v>0.44160834417126621</v>
      </c>
      <c r="FI176" s="75">
        <f t="shared" si="945"/>
        <v>0.44976875829772289</v>
      </c>
    </row>
    <row r="177" spans="1:167" x14ac:dyDescent="0.3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70"/>
      <c r="BP177" s="70"/>
      <c r="BQ177" s="70"/>
      <c r="BR177" s="70"/>
      <c r="BS177" s="70"/>
      <c r="BT177" s="70"/>
      <c r="BU177" s="70"/>
      <c r="BV177" s="70"/>
      <c r="BW177" s="70"/>
      <c r="BX177" s="70"/>
      <c r="BY177" s="70"/>
      <c r="BZ177" s="70"/>
      <c r="CA177" s="70"/>
      <c r="CB177" s="70"/>
      <c r="CC177" s="70"/>
      <c r="CD177" s="70"/>
      <c r="CE177" s="70"/>
      <c r="CF177" s="70"/>
      <c r="CG177" s="70"/>
      <c r="CH177" s="70"/>
      <c r="CI177" s="70"/>
      <c r="CJ177" s="70"/>
      <c r="CK177" s="70"/>
      <c r="CL177" s="70"/>
      <c r="CM177" s="70"/>
      <c r="CN177" s="70"/>
      <c r="CO177" s="70"/>
      <c r="CP177" s="70"/>
      <c r="CQ177" s="70"/>
      <c r="CR177" s="70"/>
      <c r="CS177" s="70"/>
      <c r="CT177" s="70"/>
      <c r="CU177" s="70"/>
      <c r="CV177" s="70"/>
      <c r="CW177" s="70"/>
      <c r="CX177" s="70"/>
      <c r="CY177" s="70"/>
      <c r="CZ177" s="70"/>
      <c r="DA177" s="70"/>
      <c r="DB177" s="70"/>
      <c r="DC177" s="70"/>
      <c r="DD177" s="70"/>
      <c r="DE177" s="70"/>
      <c r="DF177" s="70"/>
      <c r="DG177" s="70"/>
      <c r="DH177" s="70"/>
      <c r="DI177" s="70"/>
      <c r="DJ177" s="70"/>
      <c r="DK177" s="70"/>
      <c r="DL177" s="70"/>
      <c r="DM177" s="70"/>
      <c r="DN177" s="70"/>
      <c r="DO177" s="70"/>
      <c r="DP177" s="70"/>
      <c r="DQ177" s="70"/>
      <c r="DR177" s="70"/>
      <c r="DS177" s="70"/>
      <c r="DT177" s="70"/>
      <c r="DU177" s="70"/>
      <c r="DV177" s="70"/>
      <c r="DW177" s="70"/>
      <c r="DX177" s="70"/>
      <c r="DY177" s="55"/>
      <c r="DZ177" s="70"/>
      <c r="EA177" s="70"/>
      <c r="EB177" s="70"/>
      <c r="EC177" s="70"/>
      <c r="ED177" s="55"/>
      <c r="EE177" s="70"/>
      <c r="EF177" s="70"/>
      <c r="EG177" s="70"/>
      <c r="EH177" s="70"/>
      <c r="EI177" s="55"/>
      <c r="EJ177" s="70"/>
      <c r="EK177" s="70"/>
      <c r="EL177" s="70"/>
      <c r="EM177" s="70"/>
      <c r="EN177" s="55"/>
      <c r="EO177" s="55"/>
      <c r="EP177" s="55"/>
      <c r="EQ177" s="55"/>
      <c r="ER177" s="55"/>
      <c r="ES177" s="70"/>
      <c r="ET177" s="55"/>
      <c r="EU177" s="55"/>
      <c r="EV177" s="55"/>
      <c r="EW177" s="55"/>
      <c r="EX177" s="70"/>
      <c r="EY177" s="55"/>
      <c r="EZ177" s="55"/>
      <c r="FA177" s="55"/>
      <c r="FB177" s="55"/>
      <c r="FC177" s="70"/>
      <c r="FD177" s="70"/>
      <c r="FE177" s="70"/>
      <c r="FF177" s="70"/>
      <c r="FG177" s="70"/>
      <c r="FH177" s="70"/>
      <c r="FI177" s="70"/>
      <c r="FJ177" s="70"/>
    </row>
    <row r="178" spans="1:167" x14ac:dyDescent="0.3">
      <c r="A178" s="54" t="s">
        <v>356</v>
      </c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4"/>
      <c r="CO178" s="54"/>
      <c r="CP178" s="54"/>
      <c r="CQ178" s="54"/>
      <c r="CR178" s="54"/>
      <c r="CS178" s="54"/>
      <c r="CT178" s="54"/>
      <c r="CU178" s="54"/>
      <c r="CV178" s="54"/>
      <c r="CW178" s="54"/>
      <c r="CX178" s="54"/>
      <c r="CY178" s="54"/>
      <c r="CZ178" s="54"/>
      <c r="DA178" s="54"/>
      <c r="DB178" s="54"/>
      <c r="DC178" s="54"/>
      <c r="DD178" s="54"/>
      <c r="DE178" s="54"/>
      <c r="DF178" s="54"/>
      <c r="DG178" s="54"/>
      <c r="DH178" s="54"/>
      <c r="DI178" s="54"/>
      <c r="DJ178" s="54"/>
      <c r="DK178" s="54"/>
      <c r="DL178" s="54"/>
      <c r="DM178" s="54"/>
      <c r="DN178" s="54"/>
      <c r="DO178" s="54"/>
      <c r="DP178" s="54"/>
      <c r="DQ178" s="54"/>
      <c r="DR178" s="54"/>
      <c r="DS178" s="54"/>
      <c r="DT178" s="54"/>
      <c r="DU178" s="54"/>
      <c r="DV178" s="54"/>
      <c r="DW178" s="54"/>
      <c r="DX178" s="54"/>
      <c r="DY178" s="54"/>
      <c r="DZ178" s="54"/>
      <c r="EA178" s="54"/>
      <c r="EB178" s="54"/>
      <c r="EC178" s="54"/>
      <c r="ED178" s="54"/>
      <c r="EE178" s="54"/>
      <c r="EF178" s="54"/>
      <c r="EG178" s="54"/>
      <c r="EH178" s="54"/>
      <c r="EI178" s="54"/>
      <c r="EJ178" s="54"/>
      <c r="EK178" s="54"/>
      <c r="EL178" s="54"/>
      <c r="EM178" s="54"/>
      <c r="EN178" s="54"/>
      <c r="EO178" s="54"/>
      <c r="EP178" s="54"/>
      <c r="EQ178" s="54"/>
      <c r="ER178" s="54"/>
      <c r="ES178" s="54"/>
      <c r="ET178" s="54"/>
      <c r="EU178" s="54"/>
      <c r="EV178" s="54"/>
      <c r="EW178" s="54"/>
      <c r="EX178" s="54"/>
      <c r="EY178" s="54"/>
      <c r="EZ178" s="54"/>
      <c r="FA178" s="54"/>
      <c r="FB178" s="54"/>
      <c r="FC178" s="54"/>
      <c r="FD178" s="54"/>
      <c r="FE178" s="54"/>
      <c r="FF178" s="54"/>
      <c r="FG178" s="54"/>
      <c r="FH178" s="54"/>
      <c r="FI178" s="54"/>
      <c r="FJ178" s="54"/>
    </row>
    <row r="179" spans="1:167" x14ac:dyDescent="0.3">
      <c r="A179" s="55" t="s">
        <v>357</v>
      </c>
      <c r="ET179" s="90"/>
      <c r="EU179" s="90"/>
      <c r="EV179" s="90"/>
      <c r="EW179" s="90"/>
      <c r="EY179" s="90"/>
      <c r="EZ179" s="90"/>
      <c r="FA179" s="90"/>
      <c r="FB179" s="90"/>
    </row>
    <row r="180" spans="1:167" x14ac:dyDescent="0.3">
      <c r="A180" s="67" t="s">
        <v>358</v>
      </c>
      <c r="DU180" s="76">
        <f>+AVERAGE(DU115,DU112)</f>
        <v>1214.5</v>
      </c>
      <c r="DV180" s="76">
        <f>+AVERAGE(DV115,DV112)</f>
        <v>1206</v>
      </c>
      <c r="DW180" s="76">
        <f>+AVERAGE(DW115,DW112)</f>
        <v>1201</v>
      </c>
      <c r="DX180" s="76">
        <f>+AVERAGE(DX115,DX112)</f>
        <v>1203</v>
      </c>
      <c r="DY180" s="85">
        <f t="shared" ref="DY180:DY183" si="951">+AVERAGE(DU180:DX180)</f>
        <v>1206.125</v>
      </c>
      <c r="DZ180" s="76">
        <f>+AVERAGE(DZ115,DZ112)</f>
        <v>1210</v>
      </c>
      <c r="EA180" s="76">
        <f>+AVERAGE(EA115,EA112)</f>
        <v>1219</v>
      </c>
      <c r="EB180" s="76">
        <f>+AVERAGE(EB115,EB112)</f>
        <v>1226</v>
      </c>
      <c r="EC180" s="76">
        <f>+AVERAGE(EC115,EC112)</f>
        <v>1233.5</v>
      </c>
      <c r="ED180" s="85">
        <f t="shared" ref="ED180:ED181" si="952">+AVERAGE(DZ180:EC180)</f>
        <v>1222.125</v>
      </c>
      <c r="EE180" s="76">
        <f>+AVERAGE(EE115,EE112)</f>
        <v>1244.5</v>
      </c>
      <c r="EF180" s="76">
        <f>+AVERAGE(EF115,EF112)</f>
        <v>1257</v>
      </c>
      <c r="EG180" s="76">
        <f>+AVERAGE(EG115,EG112)</f>
        <v>1277.5</v>
      </c>
      <c r="EH180" s="76">
        <f>+AVERAGE(EH115,EH112)</f>
        <v>1314</v>
      </c>
      <c r="EI180" s="85">
        <f t="shared" ref="EI180:EI181" si="953">+AVERAGE(EE180:EH180)</f>
        <v>1273.25</v>
      </c>
      <c r="EJ180" s="76">
        <f>+AVERAGE(EJ115,EJ112)</f>
        <v>1362</v>
      </c>
      <c r="EK180" s="76">
        <f>+AVERAGE(EK115,EK112)</f>
        <v>1413</v>
      </c>
      <c r="EL180" s="76">
        <f>+AVERAGE(EL115,EL112)</f>
        <v>1470</v>
      </c>
      <c r="EM180" s="76">
        <f>+AVERAGE(EM115,EM112)</f>
        <v>1538.5</v>
      </c>
      <c r="EN180" s="85">
        <f t="shared" ref="EN180:EN182" si="954">+AVERAGE(EJ180:EM180)</f>
        <v>1445.875</v>
      </c>
      <c r="EO180" s="76">
        <f>+AVERAGE(EO115,EO112)</f>
        <v>1617</v>
      </c>
      <c r="EP180" s="76">
        <f>+AVERAGE(EP115,EP112)</f>
        <v>1690.5</v>
      </c>
      <c r="EQ180" s="76">
        <f>+AVERAGE(EQ115,EQ112)</f>
        <v>1759.5</v>
      </c>
      <c r="ER180" s="76">
        <f>+AVERAGE(ER115,ER112)</f>
        <v>1837.5</v>
      </c>
      <c r="ES180" s="85">
        <f t="shared" ref="ES180:ES182" si="955">+AVERAGE(EO180:ER180)</f>
        <v>1726.125</v>
      </c>
      <c r="ET180" s="76">
        <f>+AVERAGE(ET115,ET112)</f>
        <v>1920.5</v>
      </c>
      <c r="EU180" s="76">
        <f>+AVERAGE(EU115,EU112)</f>
        <v>2008</v>
      </c>
      <c r="EV180" s="76">
        <f>+AVERAGE(EV115,EV112)</f>
        <v>2105</v>
      </c>
      <c r="EW180" s="76">
        <f>+AVERAGE(EW115,EW112)</f>
        <v>2203</v>
      </c>
      <c r="EX180" s="85">
        <f t="shared" ref="EX180:EX182" si="956">+AVERAGE(ET180:EW180)</f>
        <v>2059.125</v>
      </c>
      <c r="EY180" s="76">
        <f t="shared" ref="EY180:FB180" si="957">+AVERAGE(EY115,EY112)</f>
        <v>2302.8458783447982</v>
      </c>
      <c r="EZ180" s="76">
        <f t="shared" si="957"/>
        <v>2410.1572086392362</v>
      </c>
      <c r="FA180" s="76">
        <f t="shared" si="957"/>
        <v>2522.0441025282134</v>
      </c>
      <c r="FB180" s="76">
        <f t="shared" si="957"/>
        <v>2641.3522027446538</v>
      </c>
      <c r="FC180" s="85">
        <f t="shared" ref="FC180:FC182" si="958">+AVERAGE(EY180:FB180)</f>
        <v>2469.0998480642252</v>
      </c>
      <c r="FD180" s="76">
        <f t="shared" ref="FD180:FI180" si="959">+AVERAGE(FD115,FD112)</f>
        <v>2943.1121895142023</v>
      </c>
      <c r="FE180" s="76">
        <f t="shared" si="959"/>
        <v>3393.8505243036252</v>
      </c>
      <c r="FF180" s="76">
        <f t="shared" si="959"/>
        <v>3758.6874250558776</v>
      </c>
      <c r="FG180" s="76">
        <f t="shared" si="959"/>
        <v>4030.0756778320001</v>
      </c>
      <c r="FH180" s="76">
        <f t="shared" si="959"/>
        <v>4228.05729740274</v>
      </c>
      <c r="FI180" s="76">
        <f t="shared" si="959"/>
        <v>4360.5098116630015</v>
      </c>
      <c r="FJ180" s="189">
        <f>+(FF180/ES180)^0.2-1</f>
        <v>0.16840335048399524</v>
      </c>
    </row>
    <row r="181" spans="1:167" x14ac:dyDescent="0.3">
      <c r="A181" s="67" t="s">
        <v>359</v>
      </c>
      <c r="DU181" s="76">
        <f>AVERAGE(DU123,DU126)</f>
        <v>671.82154773716331</v>
      </c>
      <c r="DV181" s="76">
        <f>AVERAGE(DV123,DV126)</f>
        <v>628.48961042063956</v>
      </c>
      <c r="DW181" s="76">
        <f>AVERAGE(DW123,DW126)</f>
        <v>583.68170054831694</v>
      </c>
      <c r="DX181" s="76">
        <f>AVERAGE(DX123,DX126)</f>
        <v>540.90287675101956</v>
      </c>
      <c r="DY181" s="85">
        <f t="shared" si="951"/>
        <v>606.22393386428485</v>
      </c>
      <c r="DZ181" s="76">
        <f>AVERAGE(DZ123,DZ126)</f>
        <v>504</v>
      </c>
      <c r="EA181" s="76">
        <f>AVERAGE(EA123,EA126)</f>
        <v>475</v>
      </c>
      <c r="EB181" s="76">
        <f>AVERAGE(EB123,EB126)</f>
        <v>443.5</v>
      </c>
      <c r="EC181" s="76">
        <f>AVERAGE(EC123,EC126)</f>
        <v>413</v>
      </c>
      <c r="ED181" s="85">
        <f t="shared" si="952"/>
        <v>458.875</v>
      </c>
      <c r="EE181" s="76">
        <f>AVERAGE(EE123,EE126)</f>
        <v>386.5</v>
      </c>
      <c r="EF181" s="76">
        <f>AVERAGE(EF123,EF126)</f>
        <v>361</v>
      </c>
      <c r="EG181" s="76">
        <f>AVERAGE(EG123,EG126)</f>
        <v>339</v>
      </c>
      <c r="EH181" s="76">
        <f>AVERAGE(EH123,EH126)</f>
        <v>322</v>
      </c>
      <c r="EI181" s="85">
        <f t="shared" si="953"/>
        <v>352.125</v>
      </c>
      <c r="EJ181" s="76">
        <f>AVERAGE(EJ123,EJ126)</f>
        <v>308.5</v>
      </c>
      <c r="EK181" s="76">
        <f>AVERAGE(EK123,EK126)</f>
        <v>292.5</v>
      </c>
      <c r="EL181" s="76">
        <f>AVERAGE(EL123,EL126)</f>
        <v>276.5</v>
      </c>
      <c r="EM181" s="76">
        <f>AVERAGE(EM123,EM126)</f>
        <v>264.5</v>
      </c>
      <c r="EN181" s="85">
        <f t="shared" si="954"/>
        <v>285.5</v>
      </c>
      <c r="EO181" s="76">
        <f>AVERAGE(EO123,EO126)</f>
        <v>251.5</v>
      </c>
      <c r="EP181" s="76">
        <f>AVERAGE(EP123,EP126)</f>
        <v>237</v>
      </c>
      <c r="EQ181" s="76">
        <f>AVERAGE(EQ123,EQ126)</f>
        <v>222.5</v>
      </c>
      <c r="ER181" s="76">
        <f>AVERAGE(ER123,ER126)</f>
        <v>209</v>
      </c>
      <c r="ES181" s="85">
        <f t="shared" si="955"/>
        <v>230</v>
      </c>
      <c r="ET181" s="76">
        <f>AVERAGE(ET123,ET126)</f>
        <v>198</v>
      </c>
      <c r="EU181" s="76">
        <f>AVERAGE(EU123,EU126)</f>
        <v>186.5</v>
      </c>
      <c r="EV181" s="76">
        <f>AVERAGE(EV123,EV126)</f>
        <v>173.5</v>
      </c>
      <c r="EW181" s="76">
        <f>AVERAGE(EW123,EW126)</f>
        <v>161.5</v>
      </c>
      <c r="EX181" s="85">
        <f t="shared" si="956"/>
        <v>179.875</v>
      </c>
      <c r="EY181" s="76">
        <f t="shared" ref="EY181:FB181" si="960">AVERAGE(EY123,EY126)</f>
        <v>152.1576354679803</v>
      </c>
      <c r="EZ181" s="76">
        <f t="shared" si="960"/>
        <v>143.32019704433498</v>
      </c>
      <c r="FA181" s="76">
        <f t="shared" si="960"/>
        <v>133.33004926108373</v>
      </c>
      <c r="FB181" s="76">
        <f t="shared" si="960"/>
        <v>124.10837438423647</v>
      </c>
      <c r="FC181" s="85">
        <f t="shared" si="958"/>
        <v>138.22906403940885</v>
      </c>
      <c r="FD181" s="76">
        <f t="shared" ref="FD181:FI181" si="961">AVERAGE(FD123,FD126)</f>
        <v>104.71503490708022</v>
      </c>
      <c r="FE181" s="76">
        <f t="shared" si="961"/>
        <v>78.219171431264499</v>
      </c>
      <c r="FF181" s="76">
        <f t="shared" si="961"/>
        <v>58.427510288495014</v>
      </c>
      <c r="FG181" s="76">
        <f t="shared" si="961"/>
        <v>43.643698802307846</v>
      </c>
      <c r="FH181" s="76">
        <f t="shared" si="961"/>
        <v>32.600609468749468</v>
      </c>
      <c r="FI181" s="76">
        <f t="shared" si="961"/>
        <v>24.351733856199129</v>
      </c>
      <c r="FJ181" s="189"/>
    </row>
    <row r="182" spans="1:167" x14ac:dyDescent="0.3">
      <c r="A182" s="67" t="s">
        <v>360</v>
      </c>
      <c r="DU182" s="76">
        <f>AVERAGE(DU135,DU138)</f>
        <v>99.266607214649042</v>
      </c>
      <c r="DV182" s="76">
        <f>AVERAGE(DV135,DV138)</f>
        <v>99.30848679432404</v>
      </c>
      <c r="DW182" s="76">
        <f>AVERAGE(DW135,DW138)</f>
        <v>98.893319789050295</v>
      </c>
      <c r="DX182" s="76">
        <f>AVERAGE(DX135,DX138)</f>
        <v>98.480327988769531</v>
      </c>
      <c r="DY182" s="85">
        <f t="shared" si="951"/>
        <v>98.987185446698234</v>
      </c>
      <c r="DZ182" s="76">
        <f>AVERAGE(DZ135,DZ138)</f>
        <v>98.069567167968756</v>
      </c>
      <c r="EA182" s="76">
        <f>AVERAGE(EA135,EA138)</f>
        <v>97.161094531250001</v>
      </c>
      <c r="EB182" s="76">
        <f>AVERAGE(EB135,EB138)</f>
        <v>97.254968749999989</v>
      </c>
      <c r="EC182" s="76">
        <f>AVERAGE(EC135,EC138)</f>
        <v>98.351249999999993</v>
      </c>
      <c r="ED182" s="85">
        <f>+AVERAGE(DZ182:EC182)</f>
        <v>97.709220112304692</v>
      </c>
      <c r="EE182" s="76">
        <f>AVERAGE(EE135,EE138)</f>
        <v>98.95</v>
      </c>
      <c r="EF182" s="76">
        <f>AVERAGE(EF135,EF138)</f>
        <v>99.5</v>
      </c>
      <c r="EG182" s="76">
        <f>AVERAGE(EG135,EG138)</f>
        <v>100</v>
      </c>
      <c r="EH182" s="76">
        <f>AVERAGE(EH135,EH138)</f>
        <v>100.5</v>
      </c>
      <c r="EI182" s="85">
        <f>+AVERAGE(EE182:EH182)</f>
        <v>99.737499999999997</v>
      </c>
      <c r="EJ182" s="76">
        <f>AVERAGE(EJ135,EJ138)</f>
        <v>102.5</v>
      </c>
      <c r="EK182" s="76">
        <f>AVERAGE(EK135,EK138)</f>
        <v>106</v>
      </c>
      <c r="EL182" s="76">
        <f>AVERAGE(EL135,EL138)</f>
        <v>109</v>
      </c>
      <c r="EM182" s="76">
        <f>AVERAGE(EM135,EM138)</f>
        <v>112</v>
      </c>
      <c r="EN182" s="85">
        <f t="shared" si="954"/>
        <v>107.375</v>
      </c>
      <c r="EO182" s="76">
        <f>AVERAGE(EO135,EO138)</f>
        <v>116</v>
      </c>
      <c r="EP182" s="76">
        <f>AVERAGE(EP135,EP138)</f>
        <v>120</v>
      </c>
      <c r="EQ182" s="76">
        <f>AVERAGE(EQ135,EQ138)</f>
        <v>124</v>
      </c>
      <c r="ER182" s="76">
        <f>AVERAGE(ER135,ER138)</f>
        <v>127.5</v>
      </c>
      <c r="ES182" s="85">
        <f t="shared" si="955"/>
        <v>121.875</v>
      </c>
      <c r="ET182" s="76">
        <f>AVERAGE(ET135,ET138)</f>
        <v>130.5</v>
      </c>
      <c r="EU182" s="76">
        <f>AVERAGE(EU135,EU138)</f>
        <v>133</v>
      </c>
      <c r="EV182" s="76">
        <f>AVERAGE(EV135,EV138)</f>
        <v>136</v>
      </c>
      <c r="EW182" s="76">
        <f>AVERAGE(EW135,EW138)</f>
        <v>140.5</v>
      </c>
      <c r="EX182" s="85">
        <f t="shared" si="956"/>
        <v>135</v>
      </c>
      <c r="EY182" s="76">
        <f t="shared" ref="EY182:FB182" si="962">AVERAGE(EY135,EY138)</f>
        <v>145.27544069070873</v>
      </c>
      <c r="EZ182" s="76">
        <f t="shared" si="962"/>
        <v>149.13564462880069</v>
      </c>
      <c r="FA182" s="76">
        <f t="shared" si="962"/>
        <v>153.52846174688884</v>
      </c>
      <c r="FB182" s="76">
        <f t="shared" si="962"/>
        <v>159.66243718533931</v>
      </c>
      <c r="FC182" s="85">
        <f t="shared" si="958"/>
        <v>151.90049606293439</v>
      </c>
      <c r="FD182" s="76">
        <f t="shared" ref="FD182:FI182" si="963">AVERAGE(FD135,FD138)</f>
        <v>175.28875120156343</v>
      </c>
      <c r="FE182" s="76">
        <f t="shared" si="963"/>
        <v>200.56626836761941</v>
      </c>
      <c r="FF182" s="76">
        <f t="shared" si="963"/>
        <v>226.82785347808525</v>
      </c>
      <c r="FG182" s="76">
        <f t="shared" si="963"/>
        <v>253.86194402685666</v>
      </c>
      <c r="FH182" s="76">
        <f t="shared" si="963"/>
        <v>281.97627999408371</v>
      </c>
      <c r="FI182" s="76">
        <f t="shared" si="963"/>
        <v>311.46556860525789</v>
      </c>
    </row>
    <row r="183" spans="1:167" s="108" customFormat="1" x14ac:dyDescent="0.3">
      <c r="A183" s="67" t="s">
        <v>355</v>
      </c>
      <c r="DU183" s="120">
        <f>DU180+DU182</f>
        <v>1313.766607214649</v>
      </c>
      <c r="DV183" s="120">
        <f t="shared" ref="DV183:DX183" si="964">DV180+DV182</f>
        <v>1305.3084867943239</v>
      </c>
      <c r="DW183" s="120">
        <f t="shared" si="964"/>
        <v>1299.8933197890503</v>
      </c>
      <c r="DX183" s="120">
        <f t="shared" si="964"/>
        <v>1301.4803279887694</v>
      </c>
      <c r="DY183" s="121">
        <f t="shared" si="951"/>
        <v>1305.112185446698</v>
      </c>
      <c r="DZ183" s="120">
        <f>DZ180+DZ182</f>
        <v>1308.0695671679687</v>
      </c>
      <c r="EA183" s="120">
        <f t="shared" ref="EA183" si="965">EA180+EA182</f>
        <v>1316.16109453125</v>
      </c>
      <c r="EB183" s="120">
        <f t="shared" ref="EB183" si="966">EB180+EB182</f>
        <v>1323.25496875</v>
      </c>
      <c r="EC183" s="120">
        <f t="shared" ref="EC183" si="967">EC180+EC182</f>
        <v>1331.8512499999999</v>
      </c>
      <c r="ED183" s="121">
        <f>+AVERAGE(DZ183:EC183)</f>
        <v>1319.8342201123046</v>
      </c>
      <c r="EE183" s="120">
        <f>EE180+EE182</f>
        <v>1343.45</v>
      </c>
      <c r="EF183" s="120">
        <f t="shared" ref="EF183" si="968">EF180+EF182</f>
        <v>1356.5</v>
      </c>
      <c r="EG183" s="120">
        <f t="shared" ref="EG183:EH183" si="969">EG180+EG182</f>
        <v>1377.5</v>
      </c>
      <c r="EH183" s="120">
        <f t="shared" si="969"/>
        <v>1414.5</v>
      </c>
      <c r="EI183" s="121">
        <f>+AVERAGE(EE183:EH183)</f>
        <v>1372.9875</v>
      </c>
      <c r="EJ183" s="120">
        <f t="shared" ref="EJ183:EK183" si="970">EJ180+EJ182</f>
        <v>1464.5</v>
      </c>
      <c r="EK183" s="120">
        <f t="shared" si="970"/>
        <v>1519</v>
      </c>
      <c r="EL183" s="120">
        <f t="shared" ref="EL183:EM183" si="971">EL180+EL182</f>
        <v>1579</v>
      </c>
      <c r="EM183" s="120">
        <f t="shared" si="971"/>
        <v>1650.5</v>
      </c>
      <c r="EN183" s="121">
        <f t="shared" ref="EN183:EO183" si="972">EN180+EN182</f>
        <v>1553.25</v>
      </c>
      <c r="EO183" s="120">
        <f t="shared" si="972"/>
        <v>1733</v>
      </c>
      <c r="EP183" s="120">
        <f t="shared" ref="EP183:EQ183" si="973">EP180+EP182</f>
        <v>1810.5</v>
      </c>
      <c r="EQ183" s="120">
        <f t="shared" si="973"/>
        <v>1883.5</v>
      </c>
      <c r="ER183" s="120">
        <f t="shared" ref="ER183" si="974">ER180+ER182</f>
        <v>1965</v>
      </c>
      <c r="ES183" s="121">
        <f t="shared" ref="ES183:ET183" si="975">ES180+ES182</f>
        <v>1848</v>
      </c>
      <c r="ET183" s="120">
        <f t="shared" si="975"/>
        <v>2051</v>
      </c>
      <c r="EU183" s="120">
        <f t="shared" ref="EU183:EV183" si="976">EU180+EU182</f>
        <v>2141</v>
      </c>
      <c r="EV183" s="120">
        <f t="shared" si="976"/>
        <v>2241</v>
      </c>
      <c r="EW183" s="120">
        <f t="shared" ref="EW183" si="977">EW180+EW182</f>
        <v>2343.5</v>
      </c>
      <c r="EX183" s="121">
        <f t="shared" ref="EX183" si="978">EX180+EX182</f>
        <v>2194.125</v>
      </c>
      <c r="EY183" s="120">
        <f t="shared" ref="EY183:FC183" si="979">EY180+EY182</f>
        <v>2448.121319035507</v>
      </c>
      <c r="EZ183" s="120">
        <f t="shared" si="979"/>
        <v>2559.2928532680367</v>
      </c>
      <c r="FA183" s="120">
        <f t="shared" si="979"/>
        <v>2675.5725642751022</v>
      </c>
      <c r="FB183" s="120">
        <f t="shared" si="979"/>
        <v>2801.0146399299933</v>
      </c>
      <c r="FC183" s="121">
        <f t="shared" si="979"/>
        <v>2621.0003441271597</v>
      </c>
      <c r="FD183" s="120">
        <f t="shared" ref="FD183" si="980">FD180+FD182</f>
        <v>3118.400940715766</v>
      </c>
      <c r="FE183" s="120">
        <f t="shared" ref="FE183" si="981">FE180+FE182</f>
        <v>3594.4167926712448</v>
      </c>
      <c r="FF183" s="120">
        <f t="shared" ref="FF183" si="982">FF180+FF182</f>
        <v>3985.5152785339628</v>
      </c>
      <c r="FG183" s="120">
        <f t="shared" ref="FG183" si="983">FG180+FG182</f>
        <v>4283.9376218588568</v>
      </c>
      <c r="FH183" s="120">
        <f t="shared" ref="FH183" si="984">FH180+FH182</f>
        <v>4510.0335773968236</v>
      </c>
      <c r="FI183" s="120">
        <f t="shared" ref="FI183" si="985">FI180+FI182</f>
        <v>4671.975380268259</v>
      </c>
    </row>
    <row r="184" spans="1:167" x14ac:dyDescent="0.3">
      <c r="A184" s="72"/>
      <c r="DZ184" s="84"/>
      <c r="EA184" s="84"/>
      <c r="EB184" s="84"/>
      <c r="EC184" s="84"/>
      <c r="ED184" s="84"/>
      <c r="EE184" s="84"/>
      <c r="EF184" s="84"/>
      <c r="EG184" s="84"/>
      <c r="EH184" s="84"/>
      <c r="EI184" s="84"/>
      <c r="EJ184" s="84"/>
      <c r="EK184" s="84"/>
      <c r="EL184" s="84"/>
      <c r="EM184" s="84"/>
      <c r="EO184" s="84"/>
      <c r="EP184" s="84"/>
      <c r="EQ184" s="84"/>
      <c r="ER184" s="84"/>
      <c r="ET184" s="84"/>
      <c r="EU184" s="84"/>
      <c r="EV184" s="84"/>
      <c r="EW184" s="84"/>
      <c r="EY184" s="84"/>
      <c r="EZ184" s="84"/>
      <c r="FA184" s="84"/>
      <c r="FB184" s="84"/>
      <c r="FI184" s="74"/>
    </row>
    <row r="185" spans="1:167" x14ac:dyDescent="0.3">
      <c r="A185" s="60" t="s">
        <v>361</v>
      </c>
      <c r="ED185" s="85"/>
      <c r="EE185" s="74"/>
      <c r="EO185"/>
      <c r="EP185"/>
      <c r="EQ185"/>
      <c r="ER185"/>
    </row>
    <row r="186" spans="1:167" x14ac:dyDescent="0.3">
      <c r="A186" s="56" t="s">
        <v>362</v>
      </c>
      <c r="DU186" s="828">
        <f>Inputs!DU429</f>
        <v>57.66</v>
      </c>
      <c r="DV186" s="828">
        <f>Inputs!DV429</f>
        <v>56.62</v>
      </c>
      <c r="DW186" s="828">
        <f>Inputs!DW429</f>
        <v>56.37</v>
      </c>
      <c r="DX186" s="828">
        <f>Inputs!DX429</f>
        <v>56.69</v>
      </c>
      <c r="DY186" s="102">
        <f>+DY199/DY180/12*1000</f>
        <v>56.837025598507608</v>
      </c>
      <c r="DZ186" s="828">
        <f>Inputs!DZ429</f>
        <v>56.8</v>
      </c>
      <c r="EA186" s="828">
        <f>Inputs!EA429</f>
        <v>56.92</v>
      </c>
      <c r="EB186" s="828">
        <f>Inputs!EB429</f>
        <v>57.58</v>
      </c>
      <c r="EC186" s="828">
        <f>Inputs!EC429</f>
        <v>59.72</v>
      </c>
      <c r="ED186" s="102">
        <f>+ED199/ED180/12*1000</f>
        <v>57.762336094916648</v>
      </c>
      <c r="EE186" s="828">
        <f>Inputs!EE429</f>
        <v>60.73</v>
      </c>
      <c r="EF186" s="828">
        <f>Inputs!EF429</f>
        <v>63.1</v>
      </c>
      <c r="EG186" s="828">
        <f>Inputs!EG429</f>
        <v>63.35</v>
      </c>
      <c r="EH186" s="828">
        <f>Inputs!EH429</f>
        <v>62.21</v>
      </c>
      <c r="EI186" s="102">
        <f>+EI199/EI180/12*1000</f>
        <v>62.353966228156288</v>
      </c>
      <c r="EJ186" s="828">
        <f>Inputs!EJ429</f>
        <v>62.1</v>
      </c>
      <c r="EK186" s="828">
        <f>Inputs!EK429</f>
        <v>63.35</v>
      </c>
      <c r="EL186" s="828">
        <f>Inputs!EL429</f>
        <v>62.97</v>
      </c>
      <c r="EM186" s="828">
        <f>Inputs!EM429</f>
        <v>61.2</v>
      </c>
      <c r="EN186" s="102">
        <f>+EN199/EN180/12*1000</f>
        <v>62.387109881559596</v>
      </c>
      <c r="EO186" s="828">
        <f>Inputs!EO429</f>
        <v>61.44</v>
      </c>
      <c r="EP186" s="828">
        <f>Inputs!EP429</f>
        <v>63.12</v>
      </c>
      <c r="EQ186" s="828">
        <f>Inputs!EQ429</f>
        <v>64.489999999999995</v>
      </c>
      <c r="ER186" s="828">
        <f>Inputs!ER429</f>
        <v>64.16</v>
      </c>
      <c r="ES186" s="1689">
        <f>Inputs!ES429</f>
        <v>63.39</v>
      </c>
      <c r="ET186" s="828">
        <f>Inputs!ET429</f>
        <v>65.180000000000007</v>
      </c>
      <c r="EU186" s="828">
        <f>Inputs!EU429</f>
        <v>65.319999999999993</v>
      </c>
      <c r="EV186" s="828">
        <f>Inputs!EV429</f>
        <v>65.400000000000006</v>
      </c>
      <c r="EW186" s="828">
        <f>Inputs!EW429</f>
        <v>65.98</v>
      </c>
      <c r="EX186" s="102">
        <f>+EX199/EX180/12*1000</f>
        <v>65.484330723001278</v>
      </c>
      <c r="EY186" s="101">
        <f t="shared" ref="EY186" si="986">+ET186*(1+EY187)</f>
        <v>67.461300000000008</v>
      </c>
      <c r="EZ186" s="101">
        <f t="shared" ref="EZ186" si="987">+EU186*(1+EZ187)</f>
        <v>67.606199999999987</v>
      </c>
      <c r="FA186" s="101">
        <f t="shared" ref="FA186" si="988">+EV186*(1+FA187)</f>
        <v>67.689000000000007</v>
      </c>
      <c r="FB186" s="101">
        <f t="shared" ref="FB186" si="989">+EW186*(1+FB187)</f>
        <v>68.289299999999997</v>
      </c>
      <c r="FC186" s="102">
        <f>+FC199/FC180/12*1000</f>
        <v>67.776246846721165</v>
      </c>
      <c r="FD186" s="101">
        <f t="shared" ref="FD186:FI186" si="990">+FC186*(1+FD187)</f>
        <v>70.148378793984961</v>
      </c>
      <c r="FE186" s="101">
        <f t="shared" si="990"/>
        <v>72.603534075189856</v>
      </c>
      <c r="FF186" s="101">
        <f t="shared" si="990"/>
        <v>75.14461846207702</v>
      </c>
      <c r="FG186" s="101">
        <f t="shared" si="990"/>
        <v>77.774639426825459</v>
      </c>
      <c r="FH186" s="101">
        <f t="shared" si="990"/>
        <v>80.496709701512259</v>
      </c>
      <c r="FI186" s="101">
        <f t="shared" si="990"/>
        <v>83.314050962152066</v>
      </c>
      <c r="FJ186" s="189">
        <f>+(FF186/ES186)^0.2-1</f>
        <v>3.4607033190139136E-2</v>
      </c>
      <c r="FK186" s="98"/>
    </row>
    <row r="187" spans="1:167" ht="12" customHeight="1" x14ac:dyDescent="0.3">
      <c r="A187" s="70" t="s">
        <v>363</v>
      </c>
      <c r="DZ187" s="375">
        <f t="shared" ref="DZ187:EW187" si="991">+DZ186/DU186-1</f>
        <v>-1.4915019077349934E-2</v>
      </c>
      <c r="EA187" s="375">
        <f t="shared" si="991"/>
        <v>5.298481102084196E-3</v>
      </c>
      <c r="EB187" s="375">
        <f t="shared" si="991"/>
        <v>2.1465318431789893E-2</v>
      </c>
      <c r="EC187" s="375">
        <f t="shared" si="991"/>
        <v>5.3448579996472123E-2</v>
      </c>
      <c r="ED187" s="84">
        <f t="shared" si="991"/>
        <v>1.6280065444405301E-2</v>
      </c>
      <c r="EE187" s="375">
        <f t="shared" si="991"/>
        <v>6.9190140845070358E-2</v>
      </c>
      <c r="EF187" s="375">
        <f t="shared" si="991"/>
        <v>0.1085734364019677</v>
      </c>
      <c r="EG187" s="375">
        <f t="shared" si="991"/>
        <v>0.10020840569642253</v>
      </c>
      <c r="EH187" s="375">
        <f t="shared" si="991"/>
        <v>4.1694574681848673E-2</v>
      </c>
      <c r="EI187" s="84">
        <f>+EI186/ED186-1</f>
        <v>7.9491766498061001E-2</v>
      </c>
      <c r="EJ187" s="375">
        <f t="shared" si="991"/>
        <v>2.2558867116746262E-2</v>
      </c>
      <c r="EK187" s="375">
        <f t="shared" si="991"/>
        <v>3.961965134706924E-3</v>
      </c>
      <c r="EL187" s="375">
        <f t="shared" si="991"/>
        <v>-5.9984214680347536E-3</v>
      </c>
      <c r="EM187" s="375">
        <f t="shared" si="991"/>
        <v>-1.6235331940202546E-2</v>
      </c>
      <c r="EN187" s="84">
        <f>+EN186/EI186-1</f>
        <v>5.3154042009184721E-4</v>
      </c>
      <c r="EO187" s="375">
        <f t="shared" si="991"/>
        <v>-1.0628019323671523E-2</v>
      </c>
      <c r="EP187" s="375">
        <f t="shared" si="991"/>
        <v>-3.6306235201263304E-3</v>
      </c>
      <c r="EQ187" s="375">
        <f t="shared" si="991"/>
        <v>2.4138478640622463E-2</v>
      </c>
      <c r="ER187" s="375">
        <f t="shared" si="991"/>
        <v>4.8366013071895253E-2</v>
      </c>
      <c r="ES187" s="84">
        <f>+ES186/EN186-1</f>
        <v>1.607527773516626E-2</v>
      </c>
      <c r="ET187" s="375">
        <f t="shared" si="991"/>
        <v>6.0872395833333481E-2</v>
      </c>
      <c r="EU187" s="375">
        <f t="shared" si="991"/>
        <v>3.4854245880861834E-2</v>
      </c>
      <c r="EV187" s="375">
        <f t="shared" si="991"/>
        <v>1.4110714839510097E-2</v>
      </c>
      <c r="EW187" s="375">
        <f t="shared" si="991"/>
        <v>2.8366583541147294E-2</v>
      </c>
      <c r="EX187" s="84">
        <f>+EX186/ES186-1</f>
        <v>3.3038818788472701E-2</v>
      </c>
      <c r="EY187" s="87">
        <v>3.5000000000000003E-2</v>
      </c>
      <c r="EZ187" s="87">
        <v>3.5000000000000003E-2</v>
      </c>
      <c r="FA187" s="87">
        <v>3.5000000000000003E-2</v>
      </c>
      <c r="FB187" s="87">
        <v>3.5000000000000003E-2</v>
      </c>
      <c r="FC187" s="84">
        <f>+FC186/EX186-1</f>
        <v>3.499945862491427E-2</v>
      </c>
      <c r="FD187" s="87">
        <f>FC187</f>
        <v>3.499945862491427E-2</v>
      </c>
      <c r="FE187" s="87">
        <f t="shared" ref="FE187:FI187" si="992">FD187</f>
        <v>3.499945862491427E-2</v>
      </c>
      <c r="FF187" s="87">
        <f t="shared" si="992"/>
        <v>3.499945862491427E-2</v>
      </c>
      <c r="FG187" s="87">
        <f t="shared" si="992"/>
        <v>3.499945862491427E-2</v>
      </c>
      <c r="FH187" s="87">
        <f t="shared" si="992"/>
        <v>3.499945862491427E-2</v>
      </c>
      <c r="FI187" s="87">
        <f t="shared" si="992"/>
        <v>3.499945862491427E-2</v>
      </c>
    </row>
    <row r="188" spans="1:167" x14ac:dyDescent="0.3">
      <c r="A188" s="56" t="s">
        <v>364</v>
      </c>
      <c r="DU188" s="828"/>
      <c r="DV188" s="828"/>
      <c r="DW188" s="828"/>
      <c r="DX188" s="828"/>
      <c r="DY188" s="102"/>
      <c r="DZ188" s="828">
        <f>Inputs!DZ438</f>
        <v>105.46</v>
      </c>
      <c r="EA188" s="828">
        <f>Inputs!EA438</f>
        <v>104.59</v>
      </c>
      <c r="EB188" s="828">
        <f>Inputs!EB438</f>
        <v>105.21</v>
      </c>
      <c r="EC188" s="828">
        <f>Inputs!EC438</f>
        <v>107.33</v>
      </c>
      <c r="ED188" s="102">
        <f>ED200/ED181/12*1000</f>
        <v>105.59521383819121</v>
      </c>
      <c r="EE188" s="828">
        <f>Inputs!EE438</f>
        <v>110.21</v>
      </c>
      <c r="EF188" s="828">
        <f>Inputs!EF438</f>
        <v>114.41</v>
      </c>
      <c r="EG188" s="828">
        <f>Inputs!EG438</f>
        <v>115.47</v>
      </c>
      <c r="EH188" s="828">
        <f>Inputs!EH438</f>
        <v>116.48</v>
      </c>
      <c r="EI188" s="102">
        <f>EI200/EI181/12*1000</f>
        <v>113.98584664536742</v>
      </c>
      <c r="EJ188" s="828">
        <f>Inputs!EJ438</f>
        <v>117.84</v>
      </c>
      <c r="EK188" s="828">
        <f>Inputs!EK438</f>
        <v>121.55</v>
      </c>
      <c r="EL188" s="828">
        <f>Inputs!EL438</f>
        <v>121.63</v>
      </c>
      <c r="EM188" s="828">
        <f>Inputs!EM438</f>
        <v>122.2</v>
      </c>
      <c r="EN188" s="102">
        <f>EN200/EN181/12*1000</f>
        <v>120.71769702276708</v>
      </c>
      <c r="EO188" s="828">
        <f>Inputs!EO438</f>
        <v>127.92</v>
      </c>
      <c r="EP188" s="828">
        <f>Inputs!EP438</f>
        <v>131.15</v>
      </c>
      <c r="EQ188" s="828">
        <f>Inputs!EQ438</f>
        <v>131.66</v>
      </c>
      <c r="ER188" s="828">
        <f>Inputs!ER438</f>
        <v>132.05000000000001</v>
      </c>
      <c r="ES188" s="102">
        <f>ES200/ES181/12*1000</f>
        <v>130.5948152173913</v>
      </c>
      <c r="ET188" s="828">
        <f>Inputs!ET438</f>
        <v>135.63</v>
      </c>
      <c r="EU188" s="828">
        <f>Inputs!EU438</f>
        <v>137.33000000000001</v>
      </c>
      <c r="EV188" s="828">
        <f>Inputs!EV438</f>
        <v>138.01</v>
      </c>
      <c r="EW188" s="828">
        <f>Inputs!EW438</f>
        <v>139.53</v>
      </c>
      <c r="EX188" s="102">
        <f>EX200/EX181/12*1000</f>
        <v>137.51996525364837</v>
      </c>
      <c r="EY188" s="101">
        <f t="shared" ref="EY188" si="993">+ET188*(1+EY189)</f>
        <v>142.82215458786808</v>
      </c>
      <c r="EZ188" s="101">
        <f t="shared" ref="EZ188" si="994">+EU188*(1+EZ189)</f>
        <v>144.61230177358937</v>
      </c>
      <c r="FA188" s="101">
        <f t="shared" ref="FA188" si="995">+EV188*(1+FA189)</f>
        <v>145.32836064787787</v>
      </c>
      <c r="FB188" s="101">
        <f t="shared" ref="FB188" si="996">+EW188*(1+FB189)</f>
        <v>146.92896283746396</v>
      </c>
      <c r="FC188" s="102">
        <f>FC200/FC181/12*1000</f>
        <v>144.81234045841492</v>
      </c>
      <c r="FD188" s="101">
        <f t="shared" ref="FD188:FI188" si="997">+FC188*(1+FD189)</f>
        <v>152.49141395843634</v>
      </c>
      <c r="FE188" s="101">
        <f t="shared" si="997"/>
        <v>160.5776914966776</v>
      </c>
      <c r="FF188" s="101">
        <f t="shared" si="997"/>
        <v>169.09276618964449</v>
      </c>
      <c r="FG188" s="101">
        <f t="shared" si="997"/>
        <v>178.05937618836276</v>
      </c>
      <c r="FH188" s="101">
        <f t="shared" si="997"/>
        <v>187.50146539698966</v>
      </c>
      <c r="FI188" s="101">
        <f t="shared" si="997"/>
        <v>197.44424741119707</v>
      </c>
      <c r="FJ188" s="189">
        <f>+(FF188/ES188)^0.2-1</f>
        <v>5.3027756306629037E-2</v>
      </c>
      <c r="FK188" s="98"/>
    </row>
    <row r="189" spans="1:167" ht="12" customHeight="1" x14ac:dyDescent="0.3">
      <c r="A189" s="70" t="s">
        <v>363</v>
      </c>
      <c r="DZ189" s="375"/>
      <c r="EA189" s="375"/>
      <c r="EB189" s="375"/>
      <c r="EC189" s="375"/>
      <c r="ED189" s="84"/>
      <c r="EE189" s="375">
        <f t="shared" ref="EE189:EW189" si="998">+EE188/DZ188-1</f>
        <v>4.5040773753081798E-2</v>
      </c>
      <c r="EF189" s="375">
        <f t="shared" si="998"/>
        <v>9.3890429295343747E-2</v>
      </c>
      <c r="EG189" s="375">
        <f t="shared" si="998"/>
        <v>9.7519247219846061E-2</v>
      </c>
      <c r="EH189" s="375">
        <f t="shared" si="998"/>
        <v>8.5251094754495549E-2</v>
      </c>
      <c r="EI189" s="84">
        <f t="shared" si="998"/>
        <v>7.9460351489354375E-2</v>
      </c>
      <c r="EJ189" s="375">
        <f t="shared" si="998"/>
        <v>6.9231467198983765E-2</v>
      </c>
      <c r="EK189" s="375">
        <f t="shared" si="998"/>
        <v>6.2407132243684993E-2</v>
      </c>
      <c r="EL189" s="375">
        <f t="shared" si="998"/>
        <v>5.334718974625452E-2</v>
      </c>
      <c r="EM189" s="375">
        <f t="shared" si="998"/>
        <v>4.9107142857142794E-2</v>
      </c>
      <c r="EN189" s="84">
        <f>+EN188/EI188-1</f>
        <v>5.9058651363478321E-2</v>
      </c>
      <c r="EO189" s="375">
        <f t="shared" si="998"/>
        <v>8.5539714867617134E-2</v>
      </c>
      <c r="EP189" s="375">
        <f t="shared" si="998"/>
        <v>7.8979843685726081E-2</v>
      </c>
      <c r="EQ189" s="375">
        <f t="shared" si="998"/>
        <v>8.2463208090109319E-2</v>
      </c>
      <c r="ER189" s="375">
        <f t="shared" si="998"/>
        <v>8.0605564648117856E-2</v>
      </c>
      <c r="ES189" s="84">
        <f>+ES188/EN188-1</f>
        <v>8.1819968722244729E-2</v>
      </c>
      <c r="ET189" s="375">
        <f t="shared" si="998"/>
        <v>6.0272045028142429E-2</v>
      </c>
      <c r="EU189" s="375">
        <f t="shared" si="998"/>
        <v>4.7121616469691263E-2</v>
      </c>
      <c r="EV189" s="375">
        <f t="shared" si="998"/>
        <v>4.8230290141273002E-2</v>
      </c>
      <c r="EW189" s="375">
        <f t="shared" si="998"/>
        <v>5.6645210147671321E-2</v>
      </c>
      <c r="EX189" s="84">
        <f>+EX188/ES188-1</f>
        <v>5.3027756306629037E-2</v>
      </c>
      <c r="EY189" s="87">
        <f>EX189</f>
        <v>5.3027756306629037E-2</v>
      </c>
      <c r="EZ189" s="87">
        <f>EY189</f>
        <v>5.3027756306629037E-2</v>
      </c>
      <c r="FA189" s="87">
        <f t="shared" ref="FA189:FB189" si="999">EZ189</f>
        <v>5.3027756306629037E-2</v>
      </c>
      <c r="FB189" s="87">
        <f t="shared" si="999"/>
        <v>5.3027756306629037E-2</v>
      </c>
      <c r="FC189" s="84">
        <f>+FC188/EX188-1</f>
        <v>5.3027756306629037E-2</v>
      </c>
      <c r="FD189" s="87">
        <f t="shared" ref="FD189:FI189" si="1000">FC189</f>
        <v>5.3027756306629037E-2</v>
      </c>
      <c r="FE189" s="87">
        <f t="shared" si="1000"/>
        <v>5.3027756306629037E-2</v>
      </c>
      <c r="FF189" s="87">
        <f t="shared" si="1000"/>
        <v>5.3027756306629037E-2</v>
      </c>
      <c r="FG189" s="87">
        <f t="shared" si="1000"/>
        <v>5.3027756306629037E-2</v>
      </c>
      <c r="FH189" s="87">
        <f t="shared" si="1000"/>
        <v>5.3027756306629037E-2</v>
      </c>
      <c r="FI189" s="87">
        <f t="shared" si="1000"/>
        <v>5.3027756306629037E-2</v>
      </c>
    </row>
    <row r="190" spans="1:167" s="108" customFormat="1" x14ac:dyDescent="0.3">
      <c r="A190" s="56" t="s">
        <v>365</v>
      </c>
      <c r="DU190" s="1070"/>
      <c r="DV190" s="1070"/>
      <c r="DW190" s="1071"/>
      <c r="DX190" s="1071"/>
      <c r="DY190" s="1072"/>
      <c r="DZ190" s="1143">
        <f>DZ201/DZ180*1000/3</f>
        <v>18.281123966942154</v>
      </c>
      <c r="EA190" s="1143">
        <f>EA201/EA180*1000/3</f>
        <v>16.89986601039103</v>
      </c>
      <c r="EB190" s="1143">
        <f>EB201/EB180*1000/3</f>
        <v>16.106268352365422</v>
      </c>
      <c r="EC190" s="1143">
        <f>EC201/EC180*1000/3</f>
        <v>17.301518713687347</v>
      </c>
      <c r="ED190" s="1072">
        <f>+ED201/ED180/12*1000</f>
        <v>17.144073846783272</v>
      </c>
      <c r="EE190" s="1143">
        <f>EE201/EE180*1000/3</f>
        <v>15.126838087585369</v>
      </c>
      <c r="EF190" s="1143">
        <f>EF201/EF180*1000/3</f>
        <v>13.562415804826315</v>
      </c>
      <c r="EG190" s="1143">
        <f>EG201/EG180*1000/3</f>
        <v>12.727497716894979</v>
      </c>
      <c r="EH190" s="1143">
        <f>EH201/EH180*1000/3</f>
        <v>11.985920852359209</v>
      </c>
      <c r="EI190" s="1072">
        <f>+EI201/EI180/12*1000</f>
        <v>13.328526408796387</v>
      </c>
      <c r="EJ190" s="1143">
        <f>EJ201/EJ180*1000/3</f>
        <v>10.81705335291239</v>
      </c>
      <c r="EK190" s="1143">
        <f>EK201/EK180*1000/3</f>
        <v>10.80425218211842</v>
      </c>
      <c r="EL190" s="1143">
        <f>EL201/EL180*1000/3</f>
        <v>10.297100907029494</v>
      </c>
      <c r="EM190" s="1143">
        <f>EM201/EM180*1000/3</f>
        <v>12.255595276784733</v>
      </c>
      <c r="EN190" s="1072">
        <f>+EN201/EN180/12*1000</f>
        <v>11.064443099622491</v>
      </c>
      <c r="EO190" s="1143">
        <f>EO201/EO180*1000/3</f>
        <v>11.016062667491241</v>
      </c>
      <c r="EP190" s="1143">
        <f>EP201/EP180*1000/3</f>
        <v>9.5907068914522267</v>
      </c>
      <c r="EQ190" s="1143">
        <f>EQ201/EQ180*1000/3</f>
        <v>9.6062299895803793</v>
      </c>
      <c r="ER190" s="1143">
        <f>ER201/ER180*1000/3</f>
        <v>8.6208888888888868</v>
      </c>
      <c r="ES190" s="1072">
        <f>+ES201/ES180/12*1000</f>
        <v>9.6703756004538093</v>
      </c>
      <c r="ET190" s="1143">
        <f>ET201/ET180*1000/3</f>
        <v>8.487583094680188</v>
      </c>
      <c r="EU190" s="1143">
        <f>EU201/EU180*1000/3</f>
        <v>8.7443866201859191</v>
      </c>
      <c r="EV190" s="1143">
        <f>EV201/EV180*1000/3</f>
        <v>8.2604584323040431</v>
      </c>
      <c r="EW190" s="1143">
        <f>EW201/EW180*1000/3</f>
        <v>8.0701914056589477</v>
      </c>
      <c r="EX190" s="1072">
        <f>+EX201/EX180/12*1000</f>
        <v>8.3805048665493</v>
      </c>
      <c r="EY190" s="1073">
        <f t="shared" ref="EY190:FB190" si="1001">+EY201/EY180/3*1000</f>
        <v>7.2937095079111298</v>
      </c>
      <c r="EZ190" s="1073">
        <f t="shared" si="1001"/>
        <v>7.506935300873228</v>
      </c>
      <c r="FA190" s="1073">
        <f t="shared" si="1001"/>
        <v>7.1042552741476328</v>
      </c>
      <c r="FB190" s="1073">
        <f t="shared" si="1001"/>
        <v>6.9356473445111844</v>
      </c>
      <c r="FC190" s="1072">
        <f>+FC201/FC180/12*1000</f>
        <v>7.2016038225420322</v>
      </c>
      <c r="FD190" s="1073">
        <f t="shared" ref="FD190:FI190" si="1002">+FD201/FD180/12*1000</f>
        <v>6.2071459854277826</v>
      </c>
      <c r="FE190" s="1073">
        <f t="shared" si="1002"/>
        <v>5.5154129120715396</v>
      </c>
      <c r="FF190" s="1073">
        <f t="shared" si="1002"/>
        <v>5.0905042665640297</v>
      </c>
      <c r="FG190" s="1073">
        <f t="shared" si="1002"/>
        <v>4.8424685709685189</v>
      </c>
      <c r="FH190" s="1073">
        <f t="shared" si="1002"/>
        <v>4.6986320536295354</v>
      </c>
      <c r="FI190" s="1073">
        <f t="shared" si="1002"/>
        <v>4.6295657767439859</v>
      </c>
      <c r="FJ190" s="1068">
        <f>+(FF190/ES190)^0.2-1</f>
        <v>-0.12044400587151582</v>
      </c>
    </row>
    <row r="191" spans="1:167" s="108" customFormat="1" x14ac:dyDescent="0.3">
      <c r="A191" s="70" t="s">
        <v>363</v>
      </c>
      <c r="DY191" s="538"/>
      <c r="DZ191" s="940"/>
      <c r="EA191" s="940"/>
      <c r="EB191" s="940"/>
      <c r="EC191" s="940"/>
      <c r="ED191" s="127"/>
      <c r="EE191" s="375">
        <f t="shared" ref="EE191:EW191" si="1003">+EE190/DZ190-1</f>
        <v>-0.17254332310533504</v>
      </c>
      <c r="EF191" s="375">
        <f t="shared" si="1003"/>
        <v>-0.19748382641096995</v>
      </c>
      <c r="EG191" s="375">
        <f t="shared" si="1003"/>
        <v>-0.20977985474669092</v>
      </c>
      <c r="EH191" s="375">
        <f t="shared" si="1003"/>
        <v>-0.30723302094416327</v>
      </c>
      <c r="EI191" s="127">
        <f t="shared" si="1003"/>
        <v>-0.22255780464354402</v>
      </c>
      <c r="EJ191" s="375">
        <f t="shared" si="1003"/>
        <v>-0.28490982118794739</v>
      </c>
      <c r="EK191" s="375">
        <f t="shared" si="1003"/>
        <v>-0.20336816555398463</v>
      </c>
      <c r="EL191" s="375">
        <f t="shared" si="1003"/>
        <v>-0.19095637366638696</v>
      </c>
      <c r="EM191" s="375">
        <f t="shared" si="1003"/>
        <v>2.2499266243064087E-2</v>
      </c>
      <c r="EN191" s="127">
        <f>+EN190/EI190-1</f>
        <v>-0.16986748870300294</v>
      </c>
      <c r="EO191" s="375">
        <f t="shared" si="1003"/>
        <v>1.8397738097988503E-2</v>
      </c>
      <c r="EP191" s="375">
        <f t="shared" si="1003"/>
        <v>-0.11232108157144571</v>
      </c>
      <c r="EQ191" s="375">
        <f t="shared" si="1003"/>
        <v>-6.7093730913861283E-2</v>
      </c>
      <c r="ER191" s="375">
        <f t="shared" si="1003"/>
        <v>-0.29657526262970846</v>
      </c>
      <c r="ES191" s="127">
        <f>+ES190/EN190-1</f>
        <v>-0.12599527031019264</v>
      </c>
      <c r="ET191" s="375">
        <f t="shared" si="1003"/>
        <v>-0.229526614828788</v>
      </c>
      <c r="EU191" s="375">
        <f t="shared" si="1003"/>
        <v>-8.8243784409738901E-2</v>
      </c>
      <c r="EV191" s="375">
        <f t="shared" si="1003"/>
        <v>-0.14009362244460721</v>
      </c>
      <c r="EW191" s="375">
        <f t="shared" si="1003"/>
        <v>-6.3879431730028524E-2</v>
      </c>
      <c r="EX191" s="127">
        <f>+EX190/ES190-1</f>
        <v>-0.13338372646497598</v>
      </c>
      <c r="EY191" s="126">
        <f t="shared" ref="EY191" si="1004">+EY190/ET190-1</f>
        <v>-0.14066119570803959</v>
      </c>
      <c r="EZ191" s="126">
        <f t="shared" ref="EZ191" si="1005">+EZ190/EU190-1</f>
        <v>-0.14151379314085966</v>
      </c>
      <c r="FA191" s="126">
        <f t="shared" ref="FA191" si="1006">+FA190/EV190-1</f>
        <v>-0.1399684009830332</v>
      </c>
      <c r="FB191" s="126">
        <f t="shared" ref="FB191" si="1007">+FB190/EW190-1</f>
        <v>-0.14058452942667543</v>
      </c>
      <c r="FC191" s="127">
        <f>+FC190/EX190-1</f>
        <v>-0.14067184051319381</v>
      </c>
      <c r="FD191" s="126">
        <f t="shared" ref="FD191:FI191" si="1008">+FD190/FC190-1</f>
        <v>-0.1380883844236831</v>
      </c>
      <c r="FE191" s="126">
        <f t="shared" si="1008"/>
        <v>-0.11144140559609705</v>
      </c>
      <c r="FF191" s="126">
        <f t="shared" si="1008"/>
        <v>-7.7040223874719538E-2</v>
      </c>
      <c r="FG191" s="126">
        <f t="shared" si="1008"/>
        <v>-4.8725171929367428E-2</v>
      </c>
      <c r="FH191" s="126">
        <f t="shared" si="1008"/>
        <v>-2.9703139056246997E-2</v>
      </c>
      <c r="FI191" s="126">
        <f t="shared" si="1008"/>
        <v>-1.4699230775518601E-2</v>
      </c>
    </row>
    <row r="192" spans="1:167" s="108" customFormat="1" x14ac:dyDescent="0.3">
      <c r="A192" s="56" t="s">
        <v>366</v>
      </c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 s="828"/>
      <c r="DV192" s="828"/>
      <c r="DW192" s="828"/>
      <c r="DX192" s="828"/>
      <c r="DY192" s="102"/>
      <c r="DZ192" s="1217">
        <f>DZ202/DZ180/3*1000</f>
        <v>119.00826446280992</v>
      </c>
      <c r="EA192" s="1217">
        <f>EA202/EA180/3*1000</f>
        <v>114.57478807765929</v>
      </c>
      <c r="EB192" s="1217">
        <f>EB202/EB180/3*1000</f>
        <v>111.74551386623165</v>
      </c>
      <c r="EC192" s="1217">
        <f>EC202/EC180/3*1000</f>
        <v>112.95770841778138</v>
      </c>
      <c r="ED192" s="1218">
        <f>ED202/ED180/12*1000</f>
        <v>114.55456684054414</v>
      </c>
      <c r="EE192" s="1217">
        <f>EE202/EE180/3*1000</f>
        <v>110.08437123342708</v>
      </c>
      <c r="EF192" s="1217">
        <f>EF202/EF180/3*1000</f>
        <v>109.52002121453195</v>
      </c>
      <c r="EG192" s="1217">
        <f>EG202/EG180/3*1000</f>
        <v>106.71885192433137</v>
      </c>
      <c r="EH192" s="1217">
        <f>EH202/EH180/3*1000</f>
        <v>102.73972602739727</v>
      </c>
      <c r="EI192" s="1218">
        <f>EI202/EI180/12*1000</f>
        <v>107.2059689770273</v>
      </c>
      <c r="EJ192" s="1217">
        <f>EJ202/EJ180/3*1000</f>
        <v>99.608418991678903</v>
      </c>
      <c r="EK192" s="1217">
        <f>EK202/EK180/3*1000</f>
        <v>99.315876385940086</v>
      </c>
      <c r="EL192" s="1217">
        <f>EL202/EL180/3*1000</f>
        <v>96.145124716553283</v>
      </c>
      <c r="EM192" s="1217">
        <f>EM202/EM180/3*1000</f>
        <v>94.464305059040186</v>
      </c>
      <c r="EN192" s="1218">
        <f t="shared" ref="EN192:FI192" si="1009">EN202/EN180/12*1000</f>
        <v>97.288262586092614</v>
      </c>
      <c r="EO192" s="1217">
        <f>EO202/EO180/3*1000</f>
        <v>92.352092352092356</v>
      </c>
      <c r="EP192" s="1217">
        <f>EP202/EP180/3*1000</f>
        <v>91.097308488612853</v>
      </c>
      <c r="EQ192" s="1217">
        <f>EQ202/EQ180/3*1000</f>
        <v>90.745476934735237</v>
      </c>
      <c r="ER192" s="1217">
        <f>ER202/ER180/3*1000</f>
        <v>87.800453514739232</v>
      </c>
      <c r="ES192" s="1218">
        <f t="shared" ref="ES192" si="1010">ES202/ES180/12*1000</f>
        <v>90.424119535568607</v>
      </c>
      <c r="ET192" s="1217">
        <f>ET202/ET180/3*1000</f>
        <v>87.650785385750225</v>
      </c>
      <c r="EU192" s="1217">
        <f>EU202/EU180/3*1000</f>
        <v>86.819389110225757</v>
      </c>
      <c r="EV192" s="1217">
        <f>EV202/EV180/3*1000</f>
        <v>85.035629453681707</v>
      </c>
      <c r="EW192" s="1217">
        <f>EW202/EW180/3*1000</f>
        <v>84.279013466485097</v>
      </c>
      <c r="EX192" s="1218">
        <f t="shared" ref="EX192" si="1011">EX202/EX180/12*1000</f>
        <v>85.877901212084424</v>
      </c>
      <c r="EY192" s="1217">
        <f t="shared" ref="EY192:FB192" si="1012">EY202/EY180/3*1000</f>
        <v>84.19180314611684</v>
      </c>
      <c r="EZ192" s="1217">
        <f t="shared" si="1012"/>
        <v>83.712517744032326</v>
      </c>
      <c r="FA192" s="1217">
        <f t="shared" si="1012"/>
        <v>82.476165126830239</v>
      </c>
      <c r="FB192" s="1217">
        <f t="shared" si="1012"/>
        <v>82.128651708045624</v>
      </c>
      <c r="FC192" s="1218">
        <f t="shared" ref="FC192" si="1013">FC202/FC180/12*1000</f>
        <v>83.084964805865027</v>
      </c>
      <c r="FD192" s="1217">
        <f t="shared" si="1009"/>
        <v>81.781122822388937</v>
      </c>
      <c r="FE192" s="1217">
        <f t="shared" si="1009"/>
        <v>81.819833013110326</v>
      </c>
      <c r="FF192" s="1217">
        <f t="shared" si="1009"/>
        <v>82.863611937505951</v>
      </c>
      <c r="FG192" s="1217">
        <f t="shared" si="1009"/>
        <v>84.545401758141494</v>
      </c>
      <c r="FH192" s="1217">
        <f t="shared" si="1009"/>
        <v>86.641079506136904</v>
      </c>
      <c r="FI192" s="1217">
        <f t="shared" si="1009"/>
        <v>89.046265275893916</v>
      </c>
      <c r="FJ192" s="1219">
        <f>+(FF192/ES192)^0.2-1</f>
        <v>-1.7311408337592482E-2</v>
      </c>
    </row>
    <row r="193" spans="1:167" s="108" customFormat="1" x14ac:dyDescent="0.3">
      <c r="A193" s="70" t="s">
        <v>363</v>
      </c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 s="90"/>
      <c r="DZ193" s="375"/>
      <c r="EA193" s="375"/>
      <c r="EB193" s="375"/>
      <c r="EC193" s="375"/>
      <c r="ED193" s="84"/>
      <c r="EE193" s="375">
        <f t="shared" ref="EE193:EW193" si="1014">+EE192/DZ192-1</f>
        <v>-7.4985491719119723E-2</v>
      </c>
      <c r="EF193" s="375">
        <f t="shared" si="1014"/>
        <v>-4.4117619137128083E-2</v>
      </c>
      <c r="EG193" s="375">
        <f t="shared" si="1014"/>
        <v>-4.4983120735545556E-2</v>
      </c>
      <c r="EH193" s="375">
        <f t="shared" si="1014"/>
        <v>-9.0458478075637339E-2</v>
      </c>
      <c r="EI193" s="84">
        <f t="shared" si="1014"/>
        <v>-6.4149322599646563E-2</v>
      </c>
      <c r="EJ193" s="375">
        <f t="shared" si="1014"/>
        <v>-9.5162938429602995E-2</v>
      </c>
      <c r="EK193" s="375">
        <f t="shared" si="1014"/>
        <v>-9.3171501570508242E-2</v>
      </c>
      <c r="EL193" s="375">
        <f t="shared" si="1014"/>
        <v>-9.9080218884619931E-2</v>
      </c>
      <c r="EM193" s="375">
        <f t="shared" si="1014"/>
        <v>-8.0547430758675542E-2</v>
      </c>
      <c r="EN193" s="84">
        <f>+EN192/EI192-1</f>
        <v>-9.2510766756465856E-2</v>
      </c>
      <c r="EO193" s="375">
        <f t="shared" si="1014"/>
        <v>-7.2848527393981843E-2</v>
      </c>
      <c r="EP193" s="375">
        <f t="shared" si="1014"/>
        <v>-8.275180360277945E-2</v>
      </c>
      <c r="EQ193" s="375">
        <f t="shared" si="1014"/>
        <v>-5.6161430938248991E-2</v>
      </c>
      <c r="ER193" s="375">
        <f t="shared" si="1014"/>
        <v>-7.0543593584222575E-2</v>
      </c>
      <c r="ES193" s="84">
        <f>+ES192/EN192-1</f>
        <v>-7.055468838750989E-2</v>
      </c>
      <c r="ET193" s="375">
        <f t="shared" si="1014"/>
        <v>-5.0906339494923403E-2</v>
      </c>
      <c r="EU193" s="375">
        <f t="shared" si="1014"/>
        <v>-4.6959887721840121E-2</v>
      </c>
      <c r="EV193" s="375">
        <f t="shared" si="1014"/>
        <v>-6.292156561323814E-2</v>
      </c>
      <c r="EW193" s="375">
        <f t="shared" si="1014"/>
        <v>-4.0107310466944046E-2</v>
      </c>
      <c r="EX193" s="84">
        <f>+EX192/ES192-1</f>
        <v>-5.0276611448739739E-2</v>
      </c>
      <c r="EY193" s="375">
        <f t="shared" ref="EY193" si="1015">+EY192/ET192-1</f>
        <v>-3.9463220145837141E-2</v>
      </c>
      <c r="EZ193" s="375">
        <f t="shared" ref="EZ193" si="1016">+EZ192/EU192-1</f>
        <v>-3.5785455277149603E-2</v>
      </c>
      <c r="FA193" s="375">
        <f t="shared" ref="FA193" si="1017">+FA192/EV192-1</f>
        <v>-3.0098728536437691E-2</v>
      </c>
      <c r="FB193" s="375">
        <f t="shared" ref="FB193" si="1018">+FB192/EW192-1</f>
        <v>-2.5514795083530495E-2</v>
      </c>
      <c r="FC193" s="84">
        <f>+FC192/EX192-1</f>
        <v>-3.2522178194853035E-2</v>
      </c>
      <c r="FD193" s="375">
        <f t="shared" ref="FD193:FI193" si="1019">+FD192/FC192-1</f>
        <v>-1.5692875197367284E-2</v>
      </c>
      <c r="FE193" s="375">
        <f t="shared" si="1019"/>
        <v>4.7333894895840167E-4</v>
      </c>
      <c r="FF193" s="375">
        <f t="shared" si="1019"/>
        <v>1.2757040511539142E-2</v>
      </c>
      <c r="FG193" s="375">
        <f t="shared" si="1019"/>
        <v>2.0295878749575946E-2</v>
      </c>
      <c r="FH193" s="375">
        <f t="shared" si="1019"/>
        <v>2.4787601743149867E-2</v>
      </c>
      <c r="FI193" s="375">
        <f t="shared" si="1019"/>
        <v>2.776033936173028E-2</v>
      </c>
      <c r="FJ193"/>
    </row>
    <row r="194" spans="1:167" x14ac:dyDescent="0.3">
      <c r="A194" s="56" t="s">
        <v>367</v>
      </c>
      <c r="DU194" s="828"/>
      <c r="DV194" s="828"/>
      <c r="DW194" s="828"/>
      <c r="DX194" s="828"/>
      <c r="DY194" s="102"/>
      <c r="DZ194" s="828">
        <f>Inputs!DZ442</f>
        <v>100.3</v>
      </c>
      <c r="EA194" s="828">
        <f>Inputs!EA442</f>
        <v>100.27</v>
      </c>
      <c r="EB194" s="828">
        <f>Inputs!EB442</f>
        <v>100.85</v>
      </c>
      <c r="EC194" s="828">
        <f>Inputs!EC442</f>
        <v>101.56</v>
      </c>
      <c r="ED194" s="102">
        <f>ED203/ED182*1000/12</f>
        <v>100.74647264295015</v>
      </c>
      <c r="EE194" s="828">
        <f>Inputs!EE447</f>
        <v>96.72</v>
      </c>
      <c r="EF194" s="828">
        <f>Inputs!EF447</f>
        <v>101.63</v>
      </c>
      <c r="EG194" s="828">
        <f>Inputs!EG447</f>
        <v>102.82</v>
      </c>
      <c r="EH194" s="828">
        <f>Inputs!EH447</f>
        <v>105.3</v>
      </c>
      <c r="EI194" s="102">
        <f>EI203/EI182*1000/12</f>
        <v>101.63498934703598</v>
      </c>
      <c r="EJ194" s="828">
        <f>Inputs!EJ447</f>
        <v>103.84</v>
      </c>
      <c r="EK194" s="828">
        <f>Inputs!EK447</f>
        <v>105.03</v>
      </c>
      <c r="EL194" s="828">
        <f>Inputs!EL447</f>
        <v>105.21</v>
      </c>
      <c r="EM194" s="828">
        <f>Inputs!EM447</f>
        <v>105.34</v>
      </c>
      <c r="EN194" s="102">
        <f>EN203/EN182*1000/12</f>
        <v>104.87252619324796</v>
      </c>
      <c r="EO194" s="828">
        <f>Inputs!EO447</f>
        <v>101.92</v>
      </c>
      <c r="EP194" s="828">
        <f>Inputs!EP447</f>
        <v>100.3</v>
      </c>
      <c r="EQ194" s="828">
        <f>Inputs!EQ447</f>
        <v>98.54</v>
      </c>
      <c r="ER194" s="828">
        <f>Inputs!ER447</f>
        <v>98.86</v>
      </c>
      <c r="ES194" s="102">
        <f>ES203/ES182*1000/12</f>
        <v>99.861189743589748</v>
      </c>
      <c r="ET194" s="828">
        <f>Inputs!ET447</f>
        <v>98.4</v>
      </c>
      <c r="EU194" s="828">
        <f>Inputs!EU447</f>
        <v>97.83</v>
      </c>
      <c r="EV194" s="828">
        <f>Inputs!EV447</f>
        <v>98.71</v>
      </c>
      <c r="EW194" s="828">
        <f>Inputs!EW447</f>
        <v>100.08</v>
      </c>
      <c r="EX194" s="102">
        <f>EX203/EX182*1000/12</f>
        <v>98.774796296296302</v>
      </c>
      <c r="EY194" s="101">
        <f t="shared" ref="EY194" si="1020">+ET194*(1+EY195)</f>
        <v>100.36800000000001</v>
      </c>
      <c r="EZ194" s="101">
        <f t="shared" ref="EZ194" si="1021">+EU194*(1+EZ195)</f>
        <v>99.786600000000007</v>
      </c>
      <c r="FA194" s="101">
        <f t="shared" ref="FA194" si="1022">+EV194*(1+FA195)</f>
        <v>100.68419999999999</v>
      </c>
      <c r="FB194" s="101">
        <f t="shared" ref="FB194" si="1023">+EW194*(1+FB195)</f>
        <v>102.08159999999999</v>
      </c>
      <c r="FC194" s="102">
        <f>FC203/FC182*1000/12</f>
        <v>100.75548357358957</v>
      </c>
      <c r="FD194" s="101">
        <f t="shared" ref="FD194:FI194" si="1024">+FC194*(1+FD195)</f>
        <v>102.77588869630024</v>
      </c>
      <c r="FE194" s="101">
        <f t="shared" si="1024"/>
        <v>104.83680810880531</v>
      </c>
      <c r="FF194" s="101">
        <f t="shared" si="1024"/>
        <v>106.93905422622842</v>
      </c>
      <c r="FG194" s="101">
        <f t="shared" si="1024"/>
        <v>109.08345575469411</v>
      </c>
      <c r="FH194" s="101">
        <f t="shared" si="1024"/>
        <v>111.27085801800415</v>
      </c>
      <c r="FI194" s="101">
        <f t="shared" si="1024"/>
        <v>113.50212329086435</v>
      </c>
      <c r="FJ194" s="189">
        <f>+(FF194/ES194)^0.2-1</f>
        <v>1.3789807532584852E-2</v>
      </c>
      <c r="FK194" s="98"/>
    </row>
    <row r="195" spans="1:167" ht="12" customHeight="1" x14ac:dyDescent="0.3">
      <c r="A195" s="70" t="s">
        <v>363</v>
      </c>
      <c r="DZ195" s="375"/>
      <c r="EA195" s="375"/>
      <c r="EB195" s="375"/>
      <c r="EC195" s="375"/>
      <c r="ED195" s="84"/>
      <c r="EE195" s="375">
        <f t="shared" ref="EE195:EW195" si="1025">+EE194/DZ194-1</f>
        <v>-3.5692921236291086E-2</v>
      </c>
      <c r="EF195" s="375">
        <f t="shared" si="1025"/>
        <v>1.3563378877031962E-2</v>
      </c>
      <c r="EG195" s="375">
        <f t="shared" si="1025"/>
        <v>1.9533961328705995E-2</v>
      </c>
      <c r="EH195" s="375">
        <f t="shared" si="1025"/>
        <v>3.6825521858999455E-2</v>
      </c>
      <c r="EI195" s="84">
        <f t="shared" si="1025"/>
        <v>8.8193331317392154E-3</v>
      </c>
      <c r="EJ195" s="375">
        <f t="shared" si="1025"/>
        <v>7.3614557485525367E-2</v>
      </c>
      <c r="EK195" s="375">
        <f t="shared" si="1025"/>
        <v>3.3454688576207925E-2</v>
      </c>
      <c r="EL195" s="375">
        <f t="shared" si="1025"/>
        <v>2.3244504960124424E-2</v>
      </c>
      <c r="EM195" s="375">
        <f t="shared" si="1025"/>
        <v>3.7986704653381054E-4</v>
      </c>
      <c r="EN195" s="84">
        <f>+EN194/EI194-1</f>
        <v>3.1854549963667544E-2</v>
      </c>
      <c r="EO195" s="375">
        <f t="shared" si="1025"/>
        <v>-1.8489984591679498E-2</v>
      </c>
      <c r="EP195" s="375">
        <f t="shared" si="1025"/>
        <v>-4.5034751975626008E-2</v>
      </c>
      <c r="EQ195" s="375">
        <f t="shared" si="1025"/>
        <v>-6.3397015492823727E-2</v>
      </c>
      <c r="ER195" s="375">
        <f t="shared" si="1025"/>
        <v>-6.1515093981393654E-2</v>
      </c>
      <c r="ES195" s="84">
        <f>+ES194/EN194-1</f>
        <v>-4.7785026560949406E-2</v>
      </c>
      <c r="ET195" s="375">
        <f t="shared" si="1025"/>
        <v>-3.4536891679748827E-2</v>
      </c>
      <c r="EU195" s="375">
        <f t="shared" si="1025"/>
        <v>-2.46261216350947E-2</v>
      </c>
      <c r="EV195" s="375">
        <f t="shared" si="1025"/>
        <v>1.7251877410187078E-3</v>
      </c>
      <c r="EW195" s="375">
        <f t="shared" si="1025"/>
        <v>1.2340683795265983E-2</v>
      </c>
      <c r="EX195" s="84">
        <f>+EX194/ES194-1</f>
        <v>-1.0879035690271044E-2</v>
      </c>
      <c r="EY195" s="87">
        <v>0.02</v>
      </c>
      <c r="EZ195" s="87">
        <v>0.02</v>
      </c>
      <c r="FA195" s="87">
        <v>0.02</v>
      </c>
      <c r="FB195" s="87">
        <v>0.02</v>
      </c>
      <c r="FC195" s="84">
        <f>+FC194/EX194-1</f>
        <v>2.0052557449491193E-2</v>
      </c>
      <c r="FD195" s="87">
        <f t="shared" ref="FD195:FI195" si="1026">FC195</f>
        <v>2.0052557449491193E-2</v>
      </c>
      <c r="FE195" s="940">
        <f t="shared" si="1026"/>
        <v>2.0052557449491193E-2</v>
      </c>
      <c r="FF195" s="940">
        <f t="shared" si="1026"/>
        <v>2.0052557449491193E-2</v>
      </c>
      <c r="FG195" s="940">
        <f t="shared" si="1026"/>
        <v>2.0052557449491193E-2</v>
      </c>
      <c r="FH195" s="940">
        <f t="shared" si="1026"/>
        <v>2.0052557449491193E-2</v>
      </c>
      <c r="FI195" s="940">
        <f t="shared" si="1026"/>
        <v>2.0052557449491193E-2</v>
      </c>
    </row>
    <row r="196" spans="1:167" x14ac:dyDescent="0.3">
      <c r="A196" s="70"/>
      <c r="DU196" s="76"/>
      <c r="DV196" s="76"/>
      <c r="DW196" s="76"/>
      <c r="DX196" s="76"/>
      <c r="DY196" s="121"/>
      <c r="DZ196" s="120"/>
      <c r="EA196" s="120"/>
      <c r="EB196" s="108"/>
      <c r="EC196" s="108"/>
      <c r="ED196" s="1203"/>
      <c r="EE196" s="108"/>
      <c r="EF196" s="108"/>
      <c r="EG196" s="108"/>
      <c r="EH196" s="108"/>
      <c r="EI196" s="121"/>
      <c r="EJ196" s="108"/>
      <c r="EK196" s="108"/>
      <c r="EL196" s="108"/>
      <c r="EM196" s="108"/>
      <c r="EN196" s="53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693"/>
      <c r="FH196" s="693"/>
      <c r="FI196" s="693"/>
    </row>
    <row r="197" spans="1:167" x14ac:dyDescent="0.3">
      <c r="A197" s="70"/>
      <c r="DU197" s="76"/>
      <c r="DV197" s="76"/>
      <c r="DW197" s="76"/>
      <c r="DX197" s="76"/>
      <c r="DY197" s="121"/>
      <c r="DZ197" s="120"/>
      <c r="EA197" s="120"/>
      <c r="EB197" s="108"/>
      <c r="EC197" s="108"/>
      <c r="ED197" s="1203"/>
      <c r="EE197" s="108"/>
      <c r="EF197" s="108"/>
      <c r="EG197" s="108"/>
      <c r="EH197" s="108"/>
      <c r="EI197" s="121"/>
      <c r="EJ197" s="108"/>
      <c r="EK197" s="108"/>
      <c r="EL197" s="108"/>
      <c r="EM197" s="108"/>
      <c r="EN197" s="53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693"/>
      <c r="FH197" s="693"/>
      <c r="FI197" s="693"/>
    </row>
    <row r="198" spans="1:167" x14ac:dyDescent="0.3">
      <c r="A198" s="90" t="s">
        <v>284</v>
      </c>
      <c r="EG198" s="146"/>
      <c r="EO198"/>
      <c r="EP198"/>
      <c r="EQ198"/>
      <c r="ER198"/>
      <c r="EU198" s="101"/>
      <c r="EV198" s="101"/>
      <c r="EW198" s="101"/>
    </row>
    <row r="199" spans="1:167" x14ac:dyDescent="0.3">
      <c r="A199" t="s">
        <v>368</v>
      </c>
      <c r="DU199" s="885">
        <f>DU186*DU180*3/1000</f>
        <v>210.08420999999996</v>
      </c>
      <c r="DV199" s="885">
        <f>DV186*DV180*3/1000</f>
        <v>204.85115999999999</v>
      </c>
      <c r="DW199" s="885">
        <f>DW186*DW180*3/1000</f>
        <v>203.10110999999998</v>
      </c>
      <c r="DX199" s="885">
        <f>DX186*DX180*3/1000</f>
        <v>204.59420999999998</v>
      </c>
      <c r="DY199" s="1079">
        <f>+SUM(DU199:DX199)</f>
        <v>822.63068999999984</v>
      </c>
      <c r="DZ199" s="885">
        <f>DZ186*DZ180*3/1000</f>
        <v>206.184</v>
      </c>
      <c r="EA199" s="885">
        <f>EA186*EA180*3/1000</f>
        <v>208.15644</v>
      </c>
      <c r="EB199" s="885">
        <f>EB186*EB180*3/1000</f>
        <v>211.77923999999999</v>
      </c>
      <c r="EC199" s="885">
        <f>EC186*EC180*3/1000</f>
        <v>220.99385999999998</v>
      </c>
      <c r="ED199" s="1079">
        <f>+SUM(DZ199:EC199)</f>
        <v>847.11354000000006</v>
      </c>
      <c r="EE199" s="885">
        <f>EE186*EE180*3/1000</f>
        <v>226.73545500000003</v>
      </c>
      <c r="EF199" s="885">
        <f>EF186*EF180*3/1000</f>
        <v>237.95009999999996</v>
      </c>
      <c r="EG199" s="885">
        <f>EG186*EG180*3/1000</f>
        <v>242.78887499999999</v>
      </c>
      <c r="EH199" s="885">
        <f>EH186*EH180*3/1000</f>
        <v>245.23182</v>
      </c>
      <c r="EI199" s="1079">
        <f>+SUM(EE199:EH199)</f>
        <v>952.70624999999995</v>
      </c>
      <c r="EJ199" s="885">
        <f>EJ186*EJ180*3/1000</f>
        <v>253.74059999999997</v>
      </c>
      <c r="EK199" s="885">
        <f>EK186*EK180*3/1000</f>
        <v>268.54065000000003</v>
      </c>
      <c r="EL199" s="885">
        <f>EL186*EL180*3/1000</f>
        <v>277.69769999999994</v>
      </c>
      <c r="EM199" s="885">
        <f>EM186*EM180*3/1000</f>
        <v>282.46860000000004</v>
      </c>
      <c r="EN199" s="1079">
        <f>+SUM(EJ199:EM199)</f>
        <v>1082.4475499999999</v>
      </c>
      <c r="EO199" s="885">
        <f>EO186*EO180*3/1000</f>
        <v>298.04543999999999</v>
      </c>
      <c r="EP199" s="885">
        <f>EP186*EP180*3/1000</f>
        <v>320.11308000000002</v>
      </c>
      <c r="EQ199" s="885">
        <f>EQ186*EQ180*3/1000</f>
        <v>340.41046499999999</v>
      </c>
      <c r="ER199" s="885">
        <f>ER186*ER180*3/1000</f>
        <v>353.68200000000002</v>
      </c>
      <c r="ES199" s="1079">
        <f>+SUM(EO199:ER199)</f>
        <v>1312.2509849999999</v>
      </c>
      <c r="ET199" s="885">
        <f>ET186*ET180*3/1000</f>
        <v>375.53457000000009</v>
      </c>
      <c r="EU199" s="885">
        <f>EU186*EU180*3/1000</f>
        <v>393.48768000000001</v>
      </c>
      <c r="EV199" s="885">
        <f>EV186*EV180*3/1000</f>
        <v>413.00099999999998</v>
      </c>
      <c r="EW199" s="885">
        <f>EW186*EW180*3/1000</f>
        <v>436.06182000000001</v>
      </c>
      <c r="EX199" s="1079">
        <f>+SUM(ET199:EW199)</f>
        <v>1618.0850700000001</v>
      </c>
      <c r="EY199" s="885">
        <f t="shared" ref="EY199:FB199" si="1027">EY186*EY180*3/1000</f>
        <v>466.05892995834586</v>
      </c>
      <c r="EZ199" s="885">
        <f t="shared" si="1027"/>
        <v>488.82471083611762</v>
      </c>
      <c r="FA199" s="885">
        <f t="shared" si="1027"/>
        <v>512.14392976809677</v>
      </c>
      <c r="FB199" s="885">
        <f t="shared" si="1027"/>
        <v>541.12827893667145</v>
      </c>
      <c r="FC199" s="1079">
        <f>+SUM(EY199:FB199)</f>
        <v>2008.1558494992316</v>
      </c>
      <c r="FD199" s="885">
        <f t="shared" ref="FD199:FI199" si="1028">FD186*FD180*12/1000</f>
        <v>2477.4545844388404</v>
      </c>
      <c r="FE199" s="885">
        <f t="shared" si="1028"/>
        <v>2956.8665062485506</v>
      </c>
      <c r="FF199" s="885">
        <f t="shared" si="1028"/>
        <v>3389.341589688368</v>
      </c>
      <c r="FG199" s="885">
        <f t="shared" si="1028"/>
        <v>3761.252192474436</v>
      </c>
      <c r="FH199" s="885">
        <f t="shared" si="1028"/>
        <v>4084.1364104446657</v>
      </c>
      <c r="FI199" s="885">
        <f t="shared" si="1028"/>
        <v>4359.5008400382649</v>
      </c>
    </row>
    <row r="200" spans="1:167" x14ac:dyDescent="0.3">
      <c r="A200" t="s">
        <v>369</v>
      </c>
      <c r="DZ200" s="885">
        <f>DZ188*DZ181*3/1000</f>
        <v>159.45551999999998</v>
      </c>
      <c r="EA200" s="885">
        <f>EA188*EA181*3/1000</f>
        <v>149.04075</v>
      </c>
      <c r="EB200" s="885">
        <f>EB188*EB181*3/1000</f>
        <v>139.98190499999998</v>
      </c>
      <c r="EC200" s="885">
        <f>EC188*EC181*3/1000</f>
        <v>132.98186999999999</v>
      </c>
      <c r="ED200" s="1079">
        <f>+SUM(DZ200:EC200)</f>
        <v>581.46004499999992</v>
      </c>
      <c r="EE200" s="885">
        <f>EE188*EE181*3/1000</f>
        <v>127.788495</v>
      </c>
      <c r="EF200" s="885">
        <f>EF188*EF181*3/1000</f>
        <v>123.90603</v>
      </c>
      <c r="EG200" s="885">
        <f>EG188*EG181*3/1000</f>
        <v>117.43299</v>
      </c>
      <c r="EH200" s="885">
        <f>EH188*EH181*3/1000</f>
        <v>112.51967999999999</v>
      </c>
      <c r="EI200" s="1079">
        <f>+SUM(EE200:EH200)</f>
        <v>481.64719500000001</v>
      </c>
      <c r="EJ200" s="885">
        <f>EJ188*EJ181*3/1000</f>
        <v>109.06092</v>
      </c>
      <c r="EK200" s="885">
        <f>EK188*EK181*3/1000</f>
        <v>106.66012499999999</v>
      </c>
      <c r="EL200" s="885">
        <f>EL188*EL181*3/1000</f>
        <v>100.89208499999999</v>
      </c>
      <c r="EM200" s="885">
        <f>EM188*EM181*3/1000</f>
        <v>96.965700000000012</v>
      </c>
      <c r="EN200" s="1079">
        <f>+SUM(EJ200:EM200)</f>
        <v>413.57883000000004</v>
      </c>
      <c r="EO200" s="885">
        <f>EO188*EO181*3/1000</f>
        <v>96.515640000000005</v>
      </c>
      <c r="EP200" s="885">
        <f>EP188*EP181*3/1000</f>
        <v>93.247650000000007</v>
      </c>
      <c r="EQ200" s="885">
        <f>EQ188*EQ181*3/1000</f>
        <v>87.883049999999983</v>
      </c>
      <c r="ER200" s="885">
        <f>ER188*ER181*3/1000</f>
        <v>82.795349999999999</v>
      </c>
      <c r="ES200" s="1079">
        <f>+SUM(EO200:ER200)</f>
        <v>360.44168999999999</v>
      </c>
      <c r="ET200" s="885">
        <f>ET188*ET181*3/1000</f>
        <v>80.564220000000006</v>
      </c>
      <c r="EU200" s="885">
        <f>EU188*EU181*3/1000</f>
        <v>76.836135000000013</v>
      </c>
      <c r="EV200" s="885">
        <f>EV188*EV181*3/1000</f>
        <v>71.834204999999983</v>
      </c>
      <c r="EW200" s="885">
        <f>EW188*EW181*3/1000</f>
        <v>67.602285000000009</v>
      </c>
      <c r="EX200" s="1079">
        <f>+SUM(ET200:EW200)</f>
        <v>296.83684499999998</v>
      </c>
      <c r="EY200" s="885">
        <f t="shared" ref="EY200:FB200" si="1029">EY188*EY181*3/1000</f>
        <v>65.194444003597084</v>
      </c>
      <c r="EZ200" s="885">
        <f t="shared" si="1029"/>
        <v>62.177590755676981</v>
      </c>
      <c r="FA200" s="885">
        <f t="shared" si="1029"/>
        <v>58.129912452642294</v>
      </c>
      <c r="FB200" s="885">
        <f t="shared" si="1029"/>
        <v>54.705344183158637</v>
      </c>
      <c r="FC200" s="1079">
        <f>+SUM(EY200:FB200)</f>
        <v>240.207291395075</v>
      </c>
      <c r="FD200" s="885">
        <f t="shared" ref="FD200:FI200" si="1030">FD188*FD181*12/1000</f>
        <v>191.61772482825216</v>
      </c>
      <c r="FE200" s="885">
        <f t="shared" si="1030"/>
        <v>150.72304775058396</v>
      </c>
      <c r="FF200" s="885">
        <f t="shared" si="1030"/>
        <v>118.55603203506642</v>
      </c>
      <c r="FG200" s="885">
        <f t="shared" si="1030"/>
        <v>93.25403739950076</v>
      </c>
      <c r="FH200" s="885">
        <f t="shared" si="1030"/>
        <v>73.351944578706025</v>
      </c>
      <c r="FI200" s="885">
        <f t="shared" si="1030"/>
        <v>57.697317172740064</v>
      </c>
    </row>
    <row r="201" spans="1:167" x14ac:dyDescent="0.3">
      <c r="A201" t="s">
        <v>370</v>
      </c>
      <c r="DZ201" s="901">
        <f>DZ202-DZ199-DZ200</f>
        <v>66.360480000000024</v>
      </c>
      <c r="EA201" s="901">
        <f>EA202-EA199-EA200</f>
        <v>61.802809999999994</v>
      </c>
      <c r="EB201" s="901">
        <f>EB202-EB199-EB200</f>
        <v>59.238855000000029</v>
      </c>
      <c r="EC201" s="901">
        <f>EC202-EC199-EC200</f>
        <v>64.02427000000003</v>
      </c>
      <c r="ED201" s="1111">
        <f>+SUM(DZ201:EC201)</f>
        <v>251.42641500000008</v>
      </c>
      <c r="EE201" s="901">
        <f>EE202-EE199-EE200</f>
        <v>56.476049999999972</v>
      </c>
      <c r="EF201" s="901">
        <f>EF202-EF199-EF200</f>
        <v>51.143870000000035</v>
      </c>
      <c r="EG201" s="901">
        <f>EG202-EG199-EG200</f>
        <v>48.778135000000006</v>
      </c>
      <c r="EH201" s="901">
        <f>EH202-EH199-EH200</f>
        <v>47.248500000000007</v>
      </c>
      <c r="EI201" s="1111">
        <f>+SUM(EE201:EH201)</f>
        <v>203.64655500000001</v>
      </c>
      <c r="EJ201" s="901">
        <f>EJ202-EJ199-EJ200</f>
        <v>44.198480000000032</v>
      </c>
      <c r="EK201" s="901">
        <f>EK202-EK199-EK200</f>
        <v>45.799224999999979</v>
      </c>
      <c r="EL201" s="901">
        <f>EL202-EL199-EL200</f>
        <v>45.410215000000065</v>
      </c>
      <c r="EM201" s="901">
        <f>EM202-EM199-EM200</f>
        <v>56.56569999999995</v>
      </c>
      <c r="EN201" s="1111">
        <f>+SUM(EJ201:EM201)</f>
        <v>191.97362000000004</v>
      </c>
      <c r="EO201" s="901">
        <f>EO202-EO199-EO200</f>
        <v>53.43892000000001</v>
      </c>
      <c r="EP201" s="901">
        <f>EP202-EP199-EP200</f>
        <v>48.639269999999968</v>
      </c>
      <c r="EQ201" s="901">
        <f>EQ202-EQ199-EQ200</f>
        <v>50.706485000000029</v>
      </c>
      <c r="ER201" s="901">
        <f>ER202-ER199-ER200</f>
        <v>47.522649999999985</v>
      </c>
      <c r="ES201" s="1111">
        <f>+SUM(EO201:ER201)</f>
        <v>200.30732499999999</v>
      </c>
      <c r="ET201" s="901">
        <f>ET202-ET199-ET200</f>
        <v>48.901209999999907</v>
      </c>
      <c r="EU201" s="901">
        <f>EU202-EU199-EU200</f>
        <v>52.676184999999975</v>
      </c>
      <c r="EV201" s="901">
        <f>EV202-EV199-EV200</f>
        <v>52.164795000000041</v>
      </c>
      <c r="EW201" s="901">
        <f>EW202-EW199-EW200</f>
        <v>53.335894999999979</v>
      </c>
      <c r="EX201" s="1111">
        <f>+SUM(ET201:EW201)</f>
        <v>207.07808499999993</v>
      </c>
      <c r="EY201" s="901">
        <f t="shared" ref="EY201" si="1031">ET201*(1+EY209)</f>
        <v>50.388866634412231</v>
      </c>
      <c r="EZ201" s="901">
        <f t="shared" ref="EZ201" si="1032">EU201*(1+EZ209)</f>
        <v>54.27868269056389</v>
      </c>
      <c r="FA201" s="901">
        <f t="shared" ref="FA201" si="1033">EV201*(1+FA209)</f>
        <v>53.751735351056979</v>
      </c>
      <c r="FB201" s="901">
        <f t="shared" ref="FB201" si="1034">EW201*(1+FB209)</f>
        <v>54.95846217265418</v>
      </c>
      <c r="FC201" s="1111">
        <f>+SUM(EY201:FB201)</f>
        <v>213.37774684868728</v>
      </c>
      <c r="FD201" s="901">
        <f t="shared" ref="FD201:FI201" si="1035">FC201*(1+FD209)</f>
        <v>219.21992414167985</v>
      </c>
      <c r="FE201" s="901">
        <f t="shared" si="1035"/>
        <v>224.62184404061972</v>
      </c>
      <c r="FF201" s="901">
        <f t="shared" si="1035"/>
        <v>229.60337248713012</v>
      </c>
      <c r="FG201" s="901">
        <f t="shared" si="1035"/>
        <v>234.18617770231333</v>
      </c>
      <c r="FH201" s="901">
        <f t="shared" si="1035"/>
        <v>238.39302650590537</v>
      </c>
      <c r="FI201" s="901">
        <f t="shared" si="1035"/>
        <v>242.24720391877676</v>
      </c>
    </row>
    <row r="202" spans="1:167" s="90" customFormat="1" x14ac:dyDescent="0.3">
      <c r="A202" s="90" t="s">
        <v>371</v>
      </c>
      <c r="DZ202" s="1109">
        <f>Inputs!DZ166</f>
        <v>432</v>
      </c>
      <c r="EA202" s="1109">
        <f>Inputs!EA166</f>
        <v>419</v>
      </c>
      <c r="EB202" s="1109">
        <f>Inputs!EB166</f>
        <v>411</v>
      </c>
      <c r="EC202" s="1109">
        <f>Inputs!EC166</f>
        <v>418</v>
      </c>
      <c r="ED202" s="1079">
        <f>SUM(DZ202:EC202)</f>
        <v>1680</v>
      </c>
      <c r="EE202" s="1109">
        <f>Inputs!EE166</f>
        <v>411</v>
      </c>
      <c r="EF202" s="1109">
        <f>Inputs!EF166</f>
        <v>413</v>
      </c>
      <c r="EG202" s="1109">
        <f>Inputs!EG166</f>
        <v>409</v>
      </c>
      <c r="EH202" s="1109">
        <f>Inputs!EH166</f>
        <v>405</v>
      </c>
      <c r="EI202" s="1079">
        <f>SUM(EE202:EH202)</f>
        <v>1638</v>
      </c>
      <c r="EJ202" s="1109">
        <f>Inputs!EJ166</f>
        <v>407</v>
      </c>
      <c r="EK202" s="1109">
        <f>Inputs!EK166</f>
        <v>421</v>
      </c>
      <c r="EL202" s="1109">
        <f>Inputs!EL166</f>
        <v>424</v>
      </c>
      <c r="EM202" s="1109">
        <f>Inputs!EM166</f>
        <v>436</v>
      </c>
      <c r="EN202" s="1079">
        <f>SUM(EJ202:EM202)</f>
        <v>1688</v>
      </c>
      <c r="EO202" s="1109">
        <f>Inputs!EO166</f>
        <v>448</v>
      </c>
      <c r="EP202" s="1109">
        <f>Inputs!EP166</f>
        <v>462</v>
      </c>
      <c r="EQ202" s="1109">
        <f>Inputs!EQ166</f>
        <v>479</v>
      </c>
      <c r="ER202" s="1109">
        <f>Inputs!ER166</f>
        <v>484</v>
      </c>
      <c r="ES202" s="1079">
        <f>SUM(EO202:ER202)</f>
        <v>1873</v>
      </c>
      <c r="ET202" s="1109">
        <f>Inputs!ET166</f>
        <v>505</v>
      </c>
      <c r="EU202" s="1109">
        <f>Inputs!EU166</f>
        <v>523</v>
      </c>
      <c r="EV202" s="1109">
        <f>Inputs!EV166</f>
        <v>537</v>
      </c>
      <c r="EW202" s="1109">
        <f>Inputs!EW166</f>
        <v>557</v>
      </c>
      <c r="EX202" s="1079">
        <f>SUM(ET202:EW202)</f>
        <v>2122</v>
      </c>
      <c r="EY202" s="900">
        <f t="shared" ref="EY202:FB202" si="1036">SUM(EY199:EY201)</f>
        <v>581.64224059635524</v>
      </c>
      <c r="EZ202" s="900">
        <f t="shared" si="1036"/>
        <v>605.28098428235842</v>
      </c>
      <c r="FA202" s="900">
        <f t="shared" si="1036"/>
        <v>624.02557757179602</v>
      </c>
      <c r="FB202" s="900">
        <f t="shared" si="1036"/>
        <v>650.79208529248433</v>
      </c>
      <c r="FC202" s="1079">
        <f>SUM(EY202:FB202)</f>
        <v>2461.7408877429939</v>
      </c>
      <c r="FD202" s="900">
        <f t="shared" ref="FD202:FI202" si="1037">SUM(FD199:FD201)</f>
        <v>2888.2922334087721</v>
      </c>
      <c r="FE202" s="900">
        <f t="shared" si="1037"/>
        <v>3332.2113980397544</v>
      </c>
      <c r="FF202" s="900">
        <f t="shared" si="1037"/>
        <v>3737.5009942105644</v>
      </c>
      <c r="FG202" s="900">
        <f t="shared" si="1037"/>
        <v>4088.6924075762499</v>
      </c>
      <c r="FH202" s="900">
        <f t="shared" si="1037"/>
        <v>4395.881381529277</v>
      </c>
      <c r="FI202" s="900">
        <f t="shared" si="1037"/>
        <v>4659.4453611297822</v>
      </c>
    </row>
    <row r="203" spans="1:167" x14ac:dyDescent="0.3">
      <c r="A203" t="s">
        <v>372</v>
      </c>
      <c r="DZ203" s="885">
        <f>DZ194*DZ182*3/1000</f>
        <v>29.509132760841801</v>
      </c>
      <c r="EA203" s="885">
        <f>EA194*EA182*3/1000</f>
        <v>29.227028845945309</v>
      </c>
      <c r="EB203" s="885">
        <f>EB194*EB182*3/1000</f>
        <v>29.424490795312497</v>
      </c>
      <c r="EC203" s="885">
        <f>EC194*EC182*3/1000</f>
        <v>29.965658850000001</v>
      </c>
      <c r="ED203" s="1079">
        <f>+SUM(DZ203:EC203)</f>
        <v>118.1263112520996</v>
      </c>
      <c r="EE203" s="885">
        <f>EE194*EE182*3/1000</f>
        <v>28.711331999999999</v>
      </c>
      <c r="EF203" s="885">
        <f>EF194*EF182*3/1000</f>
        <v>30.336555000000001</v>
      </c>
      <c r="EG203" s="885">
        <f>EG194*EG182*3/1000</f>
        <v>30.846</v>
      </c>
      <c r="EH203" s="885">
        <f>EH194*EH182*3/1000</f>
        <v>31.747949999999996</v>
      </c>
      <c r="EI203" s="1079">
        <f>+SUM(EE203:EH203)</f>
        <v>121.64183700000001</v>
      </c>
      <c r="EJ203" s="885">
        <f>EJ194*EJ182*3/1000</f>
        <v>31.930800000000001</v>
      </c>
      <c r="EK203" s="885">
        <f>EK194*EK182*3/1000</f>
        <v>33.399540000000002</v>
      </c>
      <c r="EL203" s="885">
        <f>EL194*EL182*3/1000</f>
        <v>34.403669999999998</v>
      </c>
      <c r="EM203" s="885">
        <f>EM194*EM182*3/1000</f>
        <v>35.394239999999996</v>
      </c>
      <c r="EN203" s="1079">
        <f>+SUM(EJ203:EM203)</f>
        <v>135.12825000000001</v>
      </c>
      <c r="EO203" s="885">
        <f>EO194*EO182*3/1000</f>
        <v>35.468159999999997</v>
      </c>
      <c r="EP203" s="885">
        <f>EP194*EP182*3/1000</f>
        <v>36.107999999999997</v>
      </c>
      <c r="EQ203" s="885">
        <f>EQ194*EQ182*3/1000</f>
        <v>36.656880000000008</v>
      </c>
      <c r="ER203" s="885">
        <f>ER194*ER182*3/1000</f>
        <v>37.813949999999998</v>
      </c>
      <c r="ES203" s="1079">
        <f>+SUM(EO203:ER203)</f>
        <v>146.04698999999999</v>
      </c>
      <c r="ET203" s="885">
        <f>ET194*ET182*3/1000</f>
        <v>38.523600000000009</v>
      </c>
      <c r="EU203" s="885">
        <f>EU194*EU182*3/1000</f>
        <v>39.034169999999996</v>
      </c>
      <c r="EV203" s="885">
        <f>EV194*EV182*3/1000</f>
        <v>40.273679999999999</v>
      </c>
      <c r="EW203" s="885">
        <f>EW194*EW182*3/1000</f>
        <v>42.183720000000001</v>
      </c>
      <c r="EX203" s="1079">
        <f>+SUM(ET203:EW203)</f>
        <v>160.01517000000001</v>
      </c>
      <c r="EY203" s="885">
        <f t="shared" ref="EY203:FB203" si="1038">EY194*EY182*3/1000</f>
        <v>43.743016293735174</v>
      </c>
      <c r="EZ203" s="885">
        <f t="shared" si="1038"/>
        <v>44.645216748948847</v>
      </c>
      <c r="FA203" s="885">
        <f t="shared" si="1038"/>
        <v>46.373671044648312</v>
      </c>
      <c r="FB203" s="885">
        <f t="shared" si="1038"/>
        <v>48.895791143336801</v>
      </c>
      <c r="FC203" s="1079">
        <f>+SUM(EY203:FB203)</f>
        <v>183.65769523066913</v>
      </c>
      <c r="FD203" s="885">
        <f t="shared" ref="FD203:FI203" si="1039">FD194*FD182*12/1000</f>
        <v>216.18548619846416</v>
      </c>
      <c r="FE203" s="885">
        <f t="shared" si="1039"/>
        <v>252.3207286794632</v>
      </c>
      <c r="FF203" s="885">
        <f t="shared" si="1039"/>
        <v>291.08107347734341</v>
      </c>
      <c r="FG203" s="885">
        <f t="shared" si="1039"/>
        <v>332.30565766865101</v>
      </c>
      <c r="FH203" s="885">
        <f t="shared" si="1039"/>
        <v>376.50891138800006</v>
      </c>
      <c r="FI203" s="885">
        <f t="shared" si="1039"/>
        <v>424.22404042431782</v>
      </c>
    </row>
    <row r="204" spans="1:167" x14ac:dyDescent="0.3">
      <c r="A204" t="s">
        <v>373</v>
      </c>
      <c r="DZ204" s="901">
        <f>DZ205-DZ203</f>
        <v>262.49086723915821</v>
      </c>
      <c r="EA204" s="901">
        <f>EA205-EA203</f>
        <v>261.77297115405469</v>
      </c>
      <c r="EB204" s="901">
        <f>EB205-EB203</f>
        <v>248.57550920468751</v>
      </c>
      <c r="EC204" s="901">
        <f>EC205-EC203</f>
        <v>242.03434114999999</v>
      </c>
      <c r="ED204" s="1111">
        <f>SUM(DZ204:EC204)</f>
        <v>1014.8736887479004</v>
      </c>
      <c r="EE204" s="901">
        <f>EE205-EE203</f>
        <v>238.288668</v>
      </c>
      <c r="EF204" s="901">
        <f>EF205-EF203</f>
        <v>236.663445</v>
      </c>
      <c r="EG204" s="901">
        <f>EG205-EG203</f>
        <v>244.154</v>
      </c>
      <c r="EH204" s="901">
        <f>EH205-EH203</f>
        <v>238.25205</v>
      </c>
      <c r="EI204" s="1111">
        <f>SUM(EE204:EH204)</f>
        <v>957.3581630000001</v>
      </c>
      <c r="EJ204" s="901">
        <f>EJ205-EJ203</f>
        <v>233.0692</v>
      </c>
      <c r="EK204" s="901">
        <f>EK205-EK203</f>
        <v>230.60046</v>
      </c>
      <c r="EL204" s="901">
        <f>EL205-EL203</f>
        <v>232.59632999999999</v>
      </c>
      <c r="EM204" s="901">
        <f>EM205-EM203</f>
        <v>249.60576</v>
      </c>
      <c r="EN204" s="1111">
        <f>SUM(EJ204:EM204)</f>
        <v>945.87175000000002</v>
      </c>
      <c r="EO204" s="901">
        <f>EO205-EO203</f>
        <v>245.53183999999999</v>
      </c>
      <c r="EP204" s="901">
        <f>EP205-EP203</f>
        <v>247.892</v>
      </c>
      <c r="EQ204" s="901">
        <f>EQ205-EQ203</f>
        <v>244.34312</v>
      </c>
      <c r="ER204" s="901">
        <f>ER205-ER203</f>
        <v>240.18604999999999</v>
      </c>
      <c r="ES204" s="1111">
        <f>SUM(EO204:ER204)</f>
        <v>977.95300999999995</v>
      </c>
      <c r="ET204" s="901">
        <f>ET205-ET203</f>
        <v>261.47640000000001</v>
      </c>
      <c r="EU204" s="901">
        <f>EU205-EU203</f>
        <v>277.96582999999998</v>
      </c>
      <c r="EV204" s="901">
        <f>EV205-EV203</f>
        <v>289.72631999999999</v>
      </c>
      <c r="EW204" s="901">
        <f>EW205-EW203</f>
        <v>290.81628000000001</v>
      </c>
      <c r="EX204" s="1111">
        <f>SUM(ET204:EW204)</f>
        <v>1119.9848299999999</v>
      </c>
      <c r="EY204" s="901">
        <f t="shared" ref="EY204" si="1040">ET204*(1+EY212)</f>
        <v>269.32069200000001</v>
      </c>
      <c r="EZ204" s="901">
        <f t="shared" ref="EZ204" si="1041">EU204*(1+EZ212)</f>
        <v>286.30480489999997</v>
      </c>
      <c r="FA204" s="901">
        <f t="shared" ref="FA204" si="1042">EV204*(1+FA212)</f>
        <v>298.41810959999998</v>
      </c>
      <c r="FB204" s="901">
        <f t="shared" ref="FB204" si="1043">EW204*(1+FB212)</f>
        <v>299.54076839999999</v>
      </c>
      <c r="FC204" s="1111">
        <f>SUM(EY204:FB204)</f>
        <v>1153.5843748999998</v>
      </c>
      <c r="FD204" s="901">
        <f t="shared" ref="FD204:FI204" si="1044">FC204*(1+FD212)</f>
        <v>1179.5400233352498</v>
      </c>
      <c r="FE204" s="901">
        <f t="shared" si="1044"/>
        <v>1199.4447612290321</v>
      </c>
      <c r="FF204" s="901">
        <f t="shared" si="1044"/>
        <v>1214.6252339883372</v>
      </c>
      <c r="FG204" s="901">
        <f t="shared" si="1044"/>
        <v>1226.1546844515858</v>
      </c>
      <c r="FH204" s="901">
        <f t="shared" si="1044"/>
        <v>1234.8838520781992</v>
      </c>
      <c r="FI204" s="901">
        <f t="shared" si="1044"/>
        <v>1241.4773359270639</v>
      </c>
    </row>
    <row r="205" spans="1:167" x14ac:dyDescent="0.3">
      <c r="A205" t="s">
        <v>374</v>
      </c>
      <c r="DZ205" s="1142">
        <f>Inputs!DZ167</f>
        <v>292</v>
      </c>
      <c r="EA205" s="1142">
        <f>Inputs!EA167</f>
        <v>291</v>
      </c>
      <c r="EB205" s="1142">
        <f>Inputs!EB167</f>
        <v>278</v>
      </c>
      <c r="EC205" s="1142">
        <f>Inputs!EC167</f>
        <v>272</v>
      </c>
      <c r="ED205" s="1111">
        <f>SUM(DZ205:EC205)</f>
        <v>1133</v>
      </c>
      <c r="EE205" s="1142">
        <f>Inputs!EE167</f>
        <v>267</v>
      </c>
      <c r="EF205" s="1142">
        <f>Inputs!EF167</f>
        <v>267</v>
      </c>
      <c r="EG205" s="1142">
        <f>Inputs!EG167</f>
        <v>275</v>
      </c>
      <c r="EH205" s="1142">
        <f>Inputs!EH167</f>
        <v>270</v>
      </c>
      <c r="EI205" s="1111">
        <f>SUM(EE205:EH205)</f>
        <v>1079</v>
      </c>
      <c r="EJ205" s="1142">
        <f>Inputs!EJ167</f>
        <v>265</v>
      </c>
      <c r="EK205" s="1142">
        <f>Inputs!EK167</f>
        <v>264</v>
      </c>
      <c r="EL205" s="1142">
        <f>Inputs!EL167</f>
        <v>267</v>
      </c>
      <c r="EM205" s="1142">
        <f>Inputs!EM167</f>
        <v>285</v>
      </c>
      <c r="EN205" s="1111">
        <f>SUM(EJ205:EM205)</f>
        <v>1081</v>
      </c>
      <c r="EO205" s="1142">
        <f>Inputs!EO167</f>
        <v>281</v>
      </c>
      <c r="EP205" s="1142">
        <f>Inputs!EP167</f>
        <v>284</v>
      </c>
      <c r="EQ205" s="1142">
        <f>Inputs!EQ167</f>
        <v>281</v>
      </c>
      <c r="ER205" s="1142">
        <f>Inputs!ER167</f>
        <v>278</v>
      </c>
      <c r="ES205" s="1111">
        <f>SUM(EO205:ER205)</f>
        <v>1124</v>
      </c>
      <c r="ET205" s="1142">
        <f>Inputs!ET167</f>
        <v>300</v>
      </c>
      <c r="EU205" s="1142">
        <f>Inputs!EU167</f>
        <v>317</v>
      </c>
      <c r="EV205" s="1142">
        <f>Inputs!EV167</f>
        <v>330</v>
      </c>
      <c r="EW205" s="1142">
        <f>Inputs!EW167</f>
        <v>333</v>
      </c>
      <c r="EX205" s="1111">
        <f>SUM(ET205:EW205)</f>
        <v>1280</v>
      </c>
      <c r="EY205" s="1111">
        <f t="shared" ref="EY205:FB205" si="1045">SUM(EY203:EY204)</f>
        <v>313.0637082937352</v>
      </c>
      <c r="EZ205" s="1111">
        <f t="shared" si="1045"/>
        <v>330.95002164894879</v>
      </c>
      <c r="FA205" s="1111">
        <f t="shared" si="1045"/>
        <v>344.79178064464827</v>
      </c>
      <c r="FB205" s="1111">
        <f t="shared" si="1045"/>
        <v>348.43655954333678</v>
      </c>
      <c r="FC205" s="1111">
        <f>SUM(EY205:FB205)</f>
        <v>1337.2420701306692</v>
      </c>
      <c r="FD205" s="1111">
        <f t="shared" ref="FD205:FI205" si="1046">SUM(FD203:FD204)</f>
        <v>1395.7255095337139</v>
      </c>
      <c r="FE205" s="1111">
        <f t="shared" si="1046"/>
        <v>1451.7654899084953</v>
      </c>
      <c r="FF205" s="1111">
        <f t="shared" si="1046"/>
        <v>1505.7063074656805</v>
      </c>
      <c r="FG205" s="1111">
        <f t="shared" si="1046"/>
        <v>1558.4603421202369</v>
      </c>
      <c r="FH205" s="1111">
        <f t="shared" si="1046"/>
        <v>1611.3927634661993</v>
      </c>
      <c r="FI205" s="1111">
        <f t="shared" si="1046"/>
        <v>1665.7013763513817</v>
      </c>
    </row>
    <row r="206" spans="1:167" s="90" customFormat="1" x14ac:dyDescent="0.3">
      <c r="A206" s="90" t="s">
        <v>375</v>
      </c>
      <c r="DZ206" s="1109">
        <f>Inputs!DZ168</f>
        <v>724</v>
      </c>
      <c r="EA206" s="1109">
        <f>Inputs!EA168</f>
        <v>710</v>
      </c>
      <c r="EB206" s="1109">
        <f>Inputs!EB168</f>
        <v>689</v>
      </c>
      <c r="EC206" s="1109">
        <f>Inputs!EC168</f>
        <v>690</v>
      </c>
      <c r="ED206" s="900">
        <f>SUM(DZ206:EC206)</f>
        <v>2813</v>
      </c>
      <c r="EE206" s="1109">
        <f>Inputs!EE168</f>
        <v>678</v>
      </c>
      <c r="EF206" s="1109">
        <f>Inputs!EF168</f>
        <v>680</v>
      </c>
      <c r="EG206" s="1109">
        <f>Inputs!EG168</f>
        <v>684</v>
      </c>
      <c r="EH206" s="1109">
        <f>Inputs!EH168</f>
        <v>675</v>
      </c>
      <c r="EI206" s="900">
        <f>SUM(EE206:EH206)</f>
        <v>2717</v>
      </c>
      <c r="EJ206" s="1109">
        <f>Inputs!EJ168</f>
        <v>672</v>
      </c>
      <c r="EK206" s="1109">
        <f>Inputs!EK168</f>
        <v>685</v>
      </c>
      <c r="EL206" s="1109">
        <f>Inputs!EL168</f>
        <v>691</v>
      </c>
      <c r="EM206" s="1109">
        <f>Inputs!EM168</f>
        <v>721</v>
      </c>
      <c r="EN206" s="900">
        <f>SUM(EJ206:EM206)</f>
        <v>2769</v>
      </c>
      <c r="EO206" s="1109">
        <f>Inputs!EO168</f>
        <v>729</v>
      </c>
      <c r="EP206" s="1109">
        <f>Inputs!EP168</f>
        <v>746</v>
      </c>
      <c r="EQ206" s="1109">
        <f>Inputs!EQ168</f>
        <v>760</v>
      </c>
      <c r="ER206" s="1109">
        <f>Inputs!ER168</f>
        <v>762</v>
      </c>
      <c r="ES206" s="900">
        <f>SUM(EO206:ER206)</f>
        <v>2997</v>
      </c>
      <c r="ET206" s="1109">
        <f>Inputs!ET168</f>
        <v>805</v>
      </c>
      <c r="EU206" s="1109">
        <f>Inputs!EU168</f>
        <v>840</v>
      </c>
      <c r="EV206" s="1109">
        <f>Inputs!EV168</f>
        <v>867</v>
      </c>
      <c r="EW206" s="1109">
        <f>Inputs!EW168</f>
        <v>890</v>
      </c>
      <c r="EX206" s="900">
        <f>SUM(ET206:EW206)</f>
        <v>3402</v>
      </c>
      <c r="EY206" s="900">
        <f t="shared" ref="EY206:FB206" si="1047">EY202+EY205</f>
        <v>894.70594889009044</v>
      </c>
      <c r="EZ206" s="900">
        <f t="shared" si="1047"/>
        <v>936.23100593130721</v>
      </c>
      <c r="FA206" s="900">
        <f t="shared" si="1047"/>
        <v>968.81735821644429</v>
      </c>
      <c r="FB206" s="900">
        <f t="shared" si="1047"/>
        <v>999.22864483582111</v>
      </c>
      <c r="FC206" s="900">
        <f>SUM(EY206:FB206)</f>
        <v>3798.9829578736626</v>
      </c>
      <c r="FD206" s="900">
        <f t="shared" ref="FD206:FI206" si="1048">FD202+FD205</f>
        <v>4284.0177429424857</v>
      </c>
      <c r="FE206" s="900">
        <f t="shared" si="1048"/>
        <v>4783.9768879482499</v>
      </c>
      <c r="FF206" s="900">
        <f t="shared" si="1048"/>
        <v>5243.2073016762452</v>
      </c>
      <c r="FG206" s="900">
        <f t="shared" si="1048"/>
        <v>5647.1527496964864</v>
      </c>
      <c r="FH206" s="900">
        <f t="shared" si="1048"/>
        <v>6007.2741449954765</v>
      </c>
      <c r="FI206" s="900">
        <f t="shared" si="1048"/>
        <v>6325.1467374811637</v>
      </c>
    </row>
    <row r="207" spans="1:167" s="94" customFormat="1" x14ac:dyDescent="0.3">
      <c r="A207" s="73" t="s">
        <v>376</v>
      </c>
      <c r="DY207" s="141"/>
      <c r="ED207" s="141"/>
      <c r="EE207" s="1168">
        <f t="shared" ref="EE207:EW214" si="1049">EE199/DZ199-1</f>
        <v>9.9675314282388738E-2</v>
      </c>
      <c r="EF207" s="1168">
        <f t="shared" si="1049"/>
        <v>0.14313109889850129</v>
      </c>
      <c r="EG207" s="1168">
        <f t="shared" si="1049"/>
        <v>0.14642433790960818</v>
      </c>
      <c r="EH207" s="1168">
        <f t="shared" si="1049"/>
        <v>0.10967707428613638</v>
      </c>
      <c r="EI207" s="1169">
        <f t="shared" si="1049"/>
        <v>0.12465000854548958</v>
      </c>
      <c r="EJ207" s="1168">
        <f t="shared" si="1049"/>
        <v>0.11910420009080602</v>
      </c>
      <c r="EK207" s="1168">
        <f t="shared" si="1049"/>
        <v>0.12855867679820299</v>
      </c>
      <c r="EL207" s="1168">
        <f t="shared" si="1049"/>
        <v>0.14378263831075433</v>
      </c>
      <c r="EM207" s="1168">
        <f t="shared" si="1049"/>
        <v>0.15184318250380402</v>
      </c>
      <c r="EN207" s="1169">
        <f t="shared" si="1049"/>
        <v>0.13618185038672714</v>
      </c>
      <c r="EO207" s="1168">
        <f t="shared" si="1049"/>
        <v>0.17460682287343854</v>
      </c>
      <c r="EP207" s="1168">
        <f t="shared" si="1049"/>
        <v>0.19204701411127134</v>
      </c>
      <c r="EQ207" s="1168">
        <f t="shared" si="1049"/>
        <v>0.22583105657699032</v>
      </c>
      <c r="ER207" s="1168">
        <f t="shared" si="1049"/>
        <v>0.25211085409139278</v>
      </c>
      <c r="ES207" s="1169">
        <f t="shared" ref="ES207:ES214" si="1050">ES199/EN199-1</f>
        <v>0.21229983383490514</v>
      </c>
      <c r="ET207" s="1168">
        <f t="shared" si="1049"/>
        <v>0.25999099331967668</v>
      </c>
      <c r="EU207" s="1168">
        <f t="shared" si="1049"/>
        <v>0.22921462628143763</v>
      </c>
      <c r="EV207" s="1168">
        <f t="shared" si="1049"/>
        <v>0.21324413454797875</v>
      </c>
      <c r="EW207" s="1168">
        <f t="shared" si="1049"/>
        <v>0.23292058968225682</v>
      </c>
      <c r="EX207" s="1169">
        <f t="shared" ref="EX207:EX214" si="1051">EX199/ES199-1</f>
        <v>0.23306066331510533</v>
      </c>
      <c r="EY207" s="1168">
        <f t="shared" ref="EY207:EY208" si="1052">EY199/ET199-1</f>
        <v>0.2410546649762384</v>
      </c>
      <c r="EZ207" s="1168">
        <f t="shared" ref="EZ207:EZ208" si="1053">EZ199/EU199-1</f>
        <v>0.24228720664422743</v>
      </c>
      <c r="FA207" s="1168">
        <f t="shared" ref="FA207:FA208" si="1054">FA199/EV199-1</f>
        <v>0.24005493877277972</v>
      </c>
      <c r="FB207" s="1168">
        <f t="shared" ref="FB207:FC214" si="1055">FB199/EW199-1</f>
        <v>0.24094395362719778</v>
      </c>
      <c r="FC207" s="1169">
        <f t="shared" si="1055"/>
        <v>0.24106938920042786</v>
      </c>
      <c r="FD207" s="1168">
        <f t="shared" ref="FD207:FI207" si="1056">FD199/FC199-1</f>
        <v>0.23369637125357401</v>
      </c>
      <c r="FE207" s="1168">
        <f t="shared" si="1056"/>
        <v>0.19350987292398747</v>
      </c>
      <c r="FF207" s="1168">
        <f t="shared" si="1056"/>
        <v>0.14626128116568538</v>
      </c>
      <c r="FG207" s="1168">
        <f t="shared" si="1056"/>
        <v>0.10972945421540214</v>
      </c>
      <c r="FH207" s="1168">
        <f t="shared" si="1056"/>
        <v>8.5844873315397585E-2</v>
      </c>
      <c r="FI207" s="1168">
        <f t="shared" si="1056"/>
        <v>6.7422926641085956E-2</v>
      </c>
    </row>
    <row r="208" spans="1:167" s="94" customFormat="1" x14ac:dyDescent="0.3">
      <c r="A208" s="73" t="s">
        <v>377</v>
      </c>
      <c r="DY208" s="141"/>
      <c r="ED208" s="141"/>
      <c r="EE208" s="1168">
        <f t="shared" si="1049"/>
        <v>-0.19859472409609891</v>
      </c>
      <c r="EF208" s="1168">
        <f t="shared" si="1049"/>
        <v>-0.16864327373553878</v>
      </c>
      <c r="EG208" s="1168">
        <f t="shared" si="1049"/>
        <v>-0.16108449874289099</v>
      </c>
      <c r="EH208" s="1168">
        <f t="shared" si="1049"/>
        <v>-0.15387202781852893</v>
      </c>
      <c r="EI208" s="1169">
        <f t="shared" si="1049"/>
        <v>-0.17165900023276737</v>
      </c>
      <c r="EJ208" s="1168">
        <f t="shared" si="1049"/>
        <v>-0.14655133860055247</v>
      </c>
      <c r="EK208" s="1168">
        <f t="shared" si="1049"/>
        <v>-0.13918535683856559</v>
      </c>
      <c r="EL208" s="1168">
        <f t="shared" si="1049"/>
        <v>-0.14085398830430873</v>
      </c>
      <c r="EM208" s="1168">
        <f t="shared" si="1049"/>
        <v>-0.13823341836734682</v>
      </c>
      <c r="EN208" s="1169">
        <f t="shared" si="1049"/>
        <v>-0.1413241179573359</v>
      </c>
      <c r="EO208" s="1168">
        <f t="shared" si="1049"/>
        <v>-0.11503002175297983</v>
      </c>
      <c r="EP208" s="1168">
        <f t="shared" si="1049"/>
        <v>-0.1257496651161808</v>
      </c>
      <c r="EQ208" s="1168">
        <f t="shared" si="1049"/>
        <v>-0.12894009475569879</v>
      </c>
      <c r="ER208" s="1168">
        <f t="shared" si="1049"/>
        <v>-0.14613775799071227</v>
      </c>
      <c r="ES208" s="1169">
        <f t="shared" si="1050"/>
        <v>-0.12848128614320042</v>
      </c>
      <c r="ET208" s="1168">
        <f t="shared" si="1049"/>
        <v>-0.16527290292018992</v>
      </c>
      <c r="EU208" s="1168">
        <f t="shared" si="1049"/>
        <v>-0.17599923429705733</v>
      </c>
      <c r="EV208" s="1168">
        <f t="shared" si="1049"/>
        <v>-0.18261593105837814</v>
      </c>
      <c r="EW208" s="1168">
        <f t="shared" si="1049"/>
        <v>-0.18350142852225382</v>
      </c>
      <c r="EX208" s="1169">
        <f t="shared" si="1051"/>
        <v>-0.17646361884497885</v>
      </c>
      <c r="EY208" s="1168">
        <f t="shared" si="1052"/>
        <v>-0.19077669958702415</v>
      </c>
      <c r="EZ208" s="1168">
        <f t="shared" si="1053"/>
        <v>-0.19077669958702415</v>
      </c>
      <c r="FA208" s="1168">
        <f t="shared" si="1054"/>
        <v>-0.19077669958702392</v>
      </c>
      <c r="FB208" s="1168">
        <f t="shared" si="1055"/>
        <v>-0.19077669958702392</v>
      </c>
      <c r="FC208" s="1169">
        <f t="shared" si="1055"/>
        <v>-0.19077669958702392</v>
      </c>
      <c r="FD208" s="1168">
        <f t="shared" ref="FD208:FI208" si="1057">FD200/FC200-1</f>
        <v>-0.20228181369776299</v>
      </c>
      <c r="FE208" s="1168">
        <f t="shared" si="1057"/>
        <v>-0.2134180286000279</v>
      </c>
      <c r="FF208" s="1168">
        <f t="shared" si="1057"/>
        <v>-0.21341802860002812</v>
      </c>
      <c r="FG208" s="1168">
        <f t="shared" si="1057"/>
        <v>-0.21341802860002823</v>
      </c>
      <c r="FH208" s="1168">
        <f t="shared" si="1057"/>
        <v>-0.21341802860002801</v>
      </c>
      <c r="FI208" s="1168">
        <f t="shared" si="1057"/>
        <v>-0.21341802860002812</v>
      </c>
    </row>
    <row r="209" spans="1:177" s="94" customFormat="1" x14ac:dyDescent="0.3">
      <c r="A209" s="73" t="s">
        <v>378</v>
      </c>
      <c r="DY209" s="141"/>
      <c r="ED209" s="141"/>
      <c r="EE209" s="1168">
        <f t="shared" si="1049"/>
        <v>-0.14895055008643776</v>
      </c>
      <c r="EF209" s="1168">
        <f t="shared" si="1049"/>
        <v>-0.17246691533928571</v>
      </c>
      <c r="EG209" s="1168">
        <f t="shared" si="1049"/>
        <v>-0.17658545223401123</v>
      </c>
      <c r="EH209" s="1168">
        <f t="shared" si="1049"/>
        <v>-0.26202204257854111</v>
      </c>
      <c r="EI209" s="1169">
        <f t="shared" si="1049"/>
        <v>-0.19003516396636388</v>
      </c>
      <c r="EJ209" s="1168">
        <f t="shared" si="1049"/>
        <v>-0.21739427598070238</v>
      </c>
      <c r="EK209" s="1168">
        <f t="shared" si="1049"/>
        <v>-0.10450216223371545</v>
      </c>
      <c r="EL209" s="1168">
        <f t="shared" si="1049"/>
        <v>-6.9045690246253622E-2</v>
      </c>
      <c r="EM209" s="1168">
        <f t="shared" si="1049"/>
        <v>0.1971956781696762</v>
      </c>
      <c r="EN209" s="1169">
        <f t="shared" si="1049"/>
        <v>-5.7319579994859038E-2</v>
      </c>
      <c r="EO209" s="1168">
        <f t="shared" si="1049"/>
        <v>0.20906691813836065</v>
      </c>
      <c r="EP209" s="1168">
        <f t="shared" si="1049"/>
        <v>6.2010765466009365E-2</v>
      </c>
      <c r="EQ209" s="1168">
        <f t="shared" si="1049"/>
        <v>0.1166316873857558</v>
      </c>
      <c r="ER209" s="1168">
        <f t="shared" si="1049"/>
        <v>-0.15986808260129326</v>
      </c>
      <c r="ES209" s="1169">
        <f t="shared" si="1050"/>
        <v>4.341067798794418E-2</v>
      </c>
      <c r="ET209" s="1168">
        <f t="shared" si="1049"/>
        <v>-8.4913954099373745E-2</v>
      </c>
      <c r="EU209" s="1168">
        <f t="shared" si="1049"/>
        <v>8.2997030999848675E-2</v>
      </c>
      <c r="EV209" s="1168">
        <f t="shared" si="1049"/>
        <v>2.8759832198978375E-2</v>
      </c>
      <c r="EW209" s="1168">
        <f t="shared" si="1049"/>
        <v>0.12232577518299159</v>
      </c>
      <c r="EX209" s="1169">
        <f t="shared" si="1051"/>
        <v>3.3801859218078656E-2</v>
      </c>
      <c r="EY209" s="1187">
        <f>EX209*0.9</f>
        <v>3.0421673296270792E-2</v>
      </c>
      <c r="EZ209" s="1187">
        <f>EY209</f>
        <v>3.0421673296270792E-2</v>
      </c>
      <c r="FA209" s="1187">
        <f t="shared" ref="FA209:FB209" si="1058">EZ209</f>
        <v>3.0421673296270792E-2</v>
      </c>
      <c r="FB209" s="1187">
        <f t="shared" si="1058"/>
        <v>3.0421673296270792E-2</v>
      </c>
      <c r="FC209" s="1169">
        <f t="shared" si="1055"/>
        <v>3.0421673296270546E-2</v>
      </c>
      <c r="FD209" s="1187">
        <f t="shared" ref="FD209:FI209" si="1059">FC209*0.9</f>
        <v>2.7379505966643493E-2</v>
      </c>
      <c r="FE209" s="1187">
        <f t="shared" si="1059"/>
        <v>2.4641555369979144E-2</v>
      </c>
      <c r="FF209" s="1187">
        <f t="shared" si="1059"/>
        <v>2.217739983298123E-2</v>
      </c>
      <c r="FG209" s="1187">
        <f t="shared" si="1059"/>
        <v>1.9959659849683106E-2</v>
      </c>
      <c r="FH209" s="1187">
        <f t="shared" si="1059"/>
        <v>1.7963693864714796E-2</v>
      </c>
      <c r="FI209" s="1187">
        <f t="shared" si="1059"/>
        <v>1.6167324478243317E-2</v>
      </c>
    </row>
    <row r="210" spans="1:177" s="141" customFormat="1" x14ac:dyDescent="0.3">
      <c r="A210" s="1108" t="s">
        <v>379</v>
      </c>
      <c r="EE210" s="1169">
        <f t="shared" si="1049"/>
        <v>-4.861111111111116E-2</v>
      </c>
      <c r="EF210" s="1169">
        <f t="shared" si="1049"/>
        <v>-1.4319809069212375E-2</v>
      </c>
      <c r="EG210" s="1169">
        <f t="shared" si="1049"/>
        <v>-4.8661800486617945E-3</v>
      </c>
      <c r="EH210" s="1169">
        <f t="shared" si="1049"/>
        <v>-3.1100478468899517E-2</v>
      </c>
      <c r="EI210" s="1169">
        <f t="shared" si="1049"/>
        <v>-2.5000000000000022E-2</v>
      </c>
      <c r="EJ210" s="1169">
        <f t="shared" si="1049"/>
        <v>-9.7323600973235891E-3</v>
      </c>
      <c r="EK210" s="1169">
        <f t="shared" si="1049"/>
        <v>1.937046004842613E-2</v>
      </c>
      <c r="EL210" s="1169">
        <f t="shared" si="1049"/>
        <v>3.6674816625916762E-2</v>
      </c>
      <c r="EM210" s="1169">
        <f t="shared" si="1049"/>
        <v>7.6543209876543283E-2</v>
      </c>
      <c r="EN210" s="1169">
        <f t="shared" si="1049"/>
        <v>3.0525030525030417E-2</v>
      </c>
      <c r="EO210" s="1169">
        <f t="shared" si="1049"/>
        <v>0.10073710073710074</v>
      </c>
      <c r="EP210" s="1169">
        <f t="shared" si="1049"/>
        <v>9.7387173396674687E-2</v>
      </c>
      <c r="EQ210" s="1169">
        <f t="shared" si="1049"/>
        <v>0.12971698113207553</v>
      </c>
      <c r="ER210" s="1169">
        <f t="shared" si="1049"/>
        <v>0.11009174311926606</v>
      </c>
      <c r="ES210" s="1169">
        <f t="shared" si="1050"/>
        <v>0.10959715639810419</v>
      </c>
      <c r="ET210" s="1169">
        <f t="shared" si="1049"/>
        <v>0.12723214285714279</v>
      </c>
      <c r="EU210" s="1169">
        <f t="shared" si="1049"/>
        <v>0.13203463203463195</v>
      </c>
      <c r="EV210" s="1169">
        <f t="shared" si="1049"/>
        <v>0.12108559498956151</v>
      </c>
      <c r="EW210" s="1169">
        <f t="shared" si="1049"/>
        <v>0.15082644628099184</v>
      </c>
      <c r="EX210" s="1169">
        <f t="shared" si="1051"/>
        <v>0.13294180459156424</v>
      </c>
      <c r="EY210" s="1169">
        <f t="shared" ref="EY210:EY211" si="1060">EY202/ET202-1</f>
        <v>0.1517668130620895</v>
      </c>
      <c r="EZ210" s="1169">
        <f t="shared" ref="EZ210:EZ211" si="1061">EZ202/EU202-1</f>
        <v>0.15732501774829522</v>
      </c>
      <c r="FA210" s="1169">
        <f t="shared" ref="FA210:FA211" si="1062">FA202/EV202-1</f>
        <v>0.16205880367187331</v>
      </c>
      <c r="FB210" s="1169">
        <f t="shared" ref="FB210:FB211" si="1063">FB202/EW202-1</f>
        <v>0.16838794486981024</v>
      </c>
      <c r="FC210" s="1169">
        <f t="shared" si="1055"/>
        <v>0.16010409412959192</v>
      </c>
      <c r="FD210" s="1168">
        <f t="shared" ref="FD210:FI210" si="1064">FD202/FC202-1</f>
        <v>0.17327223502261235</v>
      </c>
      <c r="FE210" s="1168">
        <f t="shared" si="1064"/>
        <v>0.15369606977306005</v>
      </c>
      <c r="FF210" s="1168">
        <f t="shared" si="1064"/>
        <v>0.1216278164132174</v>
      </c>
      <c r="FG210" s="1168">
        <f t="shared" si="1064"/>
        <v>9.3964232761325039E-2</v>
      </c>
      <c r="FH210" s="1168">
        <f t="shared" si="1064"/>
        <v>7.5131348443774559E-2</v>
      </c>
      <c r="FI210" s="1168">
        <f t="shared" si="1064"/>
        <v>5.9957027209140534E-2</v>
      </c>
    </row>
    <row r="211" spans="1:177" s="94" customFormat="1" x14ac:dyDescent="0.3">
      <c r="A211" s="73" t="s">
        <v>380</v>
      </c>
      <c r="DY211" s="141"/>
      <c r="ED211" s="141"/>
      <c r="EE211" s="1168">
        <f t="shared" si="1049"/>
        <v>-2.7035723730264083E-2</v>
      </c>
      <c r="EF211" s="1168">
        <f t="shared" si="1049"/>
        <v>3.7962331371518054E-2</v>
      </c>
      <c r="EG211" s="1168">
        <f t="shared" si="1049"/>
        <v>4.8310409671183052E-2</v>
      </c>
      <c r="EH211" s="1168">
        <f t="shared" si="1049"/>
        <v>5.9477789523055824E-2</v>
      </c>
      <c r="EI211" s="1169">
        <f t="shared" si="1049"/>
        <v>2.9760734172065595E-2</v>
      </c>
      <c r="EJ211" s="1168">
        <f t="shared" si="1049"/>
        <v>0.11213231068485441</v>
      </c>
      <c r="EK211" s="1168">
        <f t="shared" si="1049"/>
        <v>0.10096680391033197</v>
      </c>
      <c r="EL211" s="1168">
        <f t="shared" si="1049"/>
        <v>0.11533651040653559</v>
      </c>
      <c r="EM211" s="1168">
        <f t="shared" si="1049"/>
        <v>0.11485119511653519</v>
      </c>
      <c r="EN211" s="1169">
        <f t="shared" si="1049"/>
        <v>0.11086985639652913</v>
      </c>
      <c r="EO211" s="1168">
        <f t="shared" si="1049"/>
        <v>0.11078206621819664</v>
      </c>
      <c r="EP211" s="1168">
        <f t="shared" si="1049"/>
        <v>8.1092733612498691E-2</v>
      </c>
      <c r="EQ211" s="1168">
        <f t="shared" si="1049"/>
        <v>6.5493303476053866E-2</v>
      </c>
      <c r="ER211" s="1168">
        <f t="shared" si="1049"/>
        <v>6.8364513547967132E-2</v>
      </c>
      <c r="ES211" s="1169">
        <f t="shared" si="1050"/>
        <v>8.0802792902298304E-2</v>
      </c>
      <c r="ET211" s="1168">
        <f t="shared" si="1049"/>
        <v>8.6145996860282903E-2</v>
      </c>
      <c r="EU211" s="1168">
        <f t="shared" si="1049"/>
        <v>8.1039381854436598E-2</v>
      </c>
      <c r="EV211" s="1168">
        <f t="shared" si="1049"/>
        <v>9.8666334941762468E-2</v>
      </c>
      <c r="EW211" s="1168">
        <f t="shared" si="1049"/>
        <v>0.11555973390772456</v>
      </c>
      <c r="EX211" s="1169">
        <f t="shared" si="1051"/>
        <v>9.5641683543084444E-2</v>
      </c>
      <c r="EY211" s="1168">
        <f t="shared" si="1060"/>
        <v>0.13548620309979253</v>
      </c>
      <c r="EZ211" s="1168">
        <f t="shared" si="1061"/>
        <v>0.14374704903290758</v>
      </c>
      <c r="FA211" s="1168">
        <f t="shared" si="1062"/>
        <v>0.15146346310166625</v>
      </c>
      <c r="FB211" s="1168">
        <f t="shared" si="1063"/>
        <v>0.15911520234196508</v>
      </c>
      <c r="FC211" s="1169">
        <f t="shared" si="1055"/>
        <v>0.14775177397661188</v>
      </c>
      <c r="FD211" s="1168">
        <f t="shared" ref="FD211:FI211" si="1065">FD203/FC203-1</f>
        <v>0.17711096138357285</v>
      </c>
      <c r="FE211" s="1168">
        <f t="shared" si="1065"/>
        <v>0.16714925278483261</v>
      </c>
      <c r="FF211" s="1168">
        <f t="shared" si="1065"/>
        <v>0.1536153807130114</v>
      </c>
      <c r="FG211" s="1168">
        <f t="shared" si="1065"/>
        <v>0.14162578040140539</v>
      </c>
      <c r="FH211" s="1168">
        <f t="shared" si="1065"/>
        <v>0.1330198649925638</v>
      </c>
      <c r="FI211" s="1168">
        <f t="shared" si="1065"/>
        <v>0.12673041086973469</v>
      </c>
    </row>
    <row r="212" spans="1:177" s="94" customFormat="1" x14ac:dyDescent="0.3">
      <c r="A212" s="73" t="s">
        <v>381</v>
      </c>
      <c r="DY212" s="141"/>
      <c r="ED212" s="141"/>
      <c r="EE212" s="1168">
        <f t="shared" si="1049"/>
        <v>-9.2202062089677628E-2</v>
      </c>
      <c r="EF212" s="1168">
        <f t="shared" si="1049"/>
        <v>-9.5921003774211755E-2</v>
      </c>
      <c r="EG212" s="1168">
        <f t="shared" si="1049"/>
        <v>-1.7787388704679885E-2</v>
      </c>
      <c r="EH212" s="1168">
        <f t="shared" si="1049"/>
        <v>-1.5627084702232064E-2</v>
      </c>
      <c r="EI212" s="1169">
        <f t="shared" si="1049"/>
        <v>-5.6672595206266552E-2</v>
      </c>
      <c r="EJ212" s="1168">
        <f t="shared" si="1049"/>
        <v>-2.1903970691547925E-2</v>
      </c>
      <c r="EK212" s="1168">
        <f t="shared" si="1049"/>
        <v>-2.5618595216510887E-2</v>
      </c>
      <c r="EL212" s="1168">
        <f t="shared" si="1049"/>
        <v>-4.7337622975662907E-2</v>
      </c>
      <c r="EM212" s="1168">
        <f t="shared" si="1049"/>
        <v>4.7654196469663068E-2</v>
      </c>
      <c r="EN212" s="1169">
        <f t="shared" si="1049"/>
        <v>-1.1998031085885374E-2</v>
      </c>
      <c r="EO212" s="1168">
        <f t="shared" si="1049"/>
        <v>5.347184441359043E-2</v>
      </c>
      <c r="EP212" s="1168">
        <f t="shared" si="1049"/>
        <v>7.4984846084001688E-2</v>
      </c>
      <c r="EQ212" s="1168">
        <f t="shared" si="1049"/>
        <v>5.0502903463696125E-2</v>
      </c>
      <c r="ER212" s="1168">
        <f t="shared" si="1049"/>
        <v>-3.7738351871367093E-2</v>
      </c>
      <c r="ES212" s="1169">
        <f t="shared" si="1050"/>
        <v>3.3917135171866564E-2</v>
      </c>
      <c r="ET212" s="1168">
        <f t="shared" si="1049"/>
        <v>6.4938869028147383E-2</v>
      </c>
      <c r="EU212" s="1168">
        <f t="shared" si="1049"/>
        <v>0.1213182757007083</v>
      </c>
      <c r="EV212" s="1168">
        <f t="shared" si="1049"/>
        <v>0.18573553452210967</v>
      </c>
      <c r="EW212" s="1168">
        <f t="shared" si="1049"/>
        <v>0.21079588094312718</v>
      </c>
      <c r="EX212" s="1169">
        <f t="shared" si="1051"/>
        <v>0.1452337878688057</v>
      </c>
      <c r="EY212" s="1187">
        <v>0.03</v>
      </c>
      <c r="EZ212" s="1187">
        <v>0.03</v>
      </c>
      <c r="FA212" s="1187">
        <v>0.03</v>
      </c>
      <c r="FB212" s="1187">
        <v>0.03</v>
      </c>
      <c r="FC212" s="1169">
        <f t="shared" si="1055"/>
        <v>3.0000000000000027E-2</v>
      </c>
      <c r="FD212" s="1187">
        <f>FC212*0.75</f>
        <v>2.250000000000002E-2</v>
      </c>
      <c r="FE212" s="1187">
        <f t="shared" ref="FE212:FI212" si="1066">FD212*0.75</f>
        <v>1.6875000000000015E-2</v>
      </c>
      <c r="FF212" s="1187">
        <f t="shared" si="1066"/>
        <v>1.2656250000000011E-2</v>
      </c>
      <c r="FG212" s="1187">
        <f t="shared" si="1066"/>
        <v>9.4921875000000093E-3</v>
      </c>
      <c r="FH212" s="1187">
        <f t="shared" si="1066"/>
        <v>7.119140625000007E-3</v>
      </c>
      <c r="FI212" s="1187">
        <f t="shared" si="1066"/>
        <v>5.3393554687500054E-3</v>
      </c>
    </row>
    <row r="213" spans="1:177" s="94" customFormat="1" x14ac:dyDescent="0.3">
      <c r="A213" s="73" t="s">
        <v>382</v>
      </c>
      <c r="DY213" s="141"/>
      <c r="ED213" s="141"/>
      <c r="EE213" s="1169">
        <f t="shared" si="1049"/>
        <v>-8.5616438356164393E-2</v>
      </c>
      <c r="EF213" s="1169">
        <f t="shared" si="1049"/>
        <v>-8.2474226804123751E-2</v>
      </c>
      <c r="EG213" s="1169">
        <f t="shared" si="1049"/>
        <v>-1.0791366906474864E-2</v>
      </c>
      <c r="EH213" s="1169">
        <f t="shared" si="1049"/>
        <v>-7.3529411764705621E-3</v>
      </c>
      <c r="EI213" s="1169">
        <f t="shared" si="1049"/>
        <v>-4.7661076787290368E-2</v>
      </c>
      <c r="EJ213" s="1169">
        <f t="shared" si="1049"/>
        <v>-7.4906367041198685E-3</v>
      </c>
      <c r="EK213" s="1169">
        <f t="shared" si="1049"/>
        <v>-1.1235955056179803E-2</v>
      </c>
      <c r="EL213" s="1169">
        <f t="shared" si="1049"/>
        <v>-2.9090909090909056E-2</v>
      </c>
      <c r="EM213" s="1169">
        <f t="shared" si="1049"/>
        <v>5.555555555555558E-2</v>
      </c>
      <c r="EN213" s="1169">
        <f t="shared" si="1049"/>
        <v>1.853568118628468E-3</v>
      </c>
      <c r="EO213" s="1169">
        <f t="shared" si="1049"/>
        <v>6.0377358490566024E-2</v>
      </c>
      <c r="EP213" s="1169">
        <f t="shared" si="1049"/>
        <v>7.575757575757569E-2</v>
      </c>
      <c r="EQ213" s="1169">
        <f t="shared" si="1049"/>
        <v>5.2434456928838857E-2</v>
      </c>
      <c r="ER213" s="1169">
        <f t="shared" si="1049"/>
        <v>-2.4561403508771895E-2</v>
      </c>
      <c r="ES213" s="1169">
        <f t="shared" si="1050"/>
        <v>3.9777983348751267E-2</v>
      </c>
      <c r="ET213" s="1169">
        <f t="shared" si="1049"/>
        <v>6.7615658362989217E-2</v>
      </c>
      <c r="EU213" s="1169">
        <f t="shared" si="1049"/>
        <v>0.11619718309859151</v>
      </c>
      <c r="EV213" s="1169">
        <f t="shared" si="1049"/>
        <v>0.17437722419928825</v>
      </c>
      <c r="EW213" s="1169">
        <f t="shared" si="1049"/>
        <v>0.19784172661870514</v>
      </c>
      <c r="EX213" s="1169">
        <f t="shared" si="1051"/>
        <v>0.13879003558718872</v>
      </c>
      <c r="EY213" s="1169">
        <f t="shared" ref="EY213:EY214" si="1067">EY205/ET205-1</f>
        <v>4.3545694312450589E-2</v>
      </c>
      <c r="EZ213" s="1169">
        <f t="shared" ref="EZ213:EZ214" si="1068">EZ205/EU205-1</f>
        <v>4.4006377441478728E-2</v>
      </c>
      <c r="FA213" s="1169">
        <f t="shared" ref="FA213:FA214" si="1069">FA205/EV205-1</f>
        <v>4.4823577711055274E-2</v>
      </c>
      <c r="FB213" s="1169">
        <f t="shared" ref="FB213:FB214" si="1070">FB205/EW205-1</f>
        <v>4.6356034664674972E-2</v>
      </c>
      <c r="FC213" s="1169">
        <f t="shared" si="1055"/>
        <v>4.4720367289585283E-2</v>
      </c>
      <c r="FD213" s="1168">
        <f t="shared" ref="FD213:FI213" si="1071">FD205/FC205-1</f>
        <v>4.3734369946444973E-2</v>
      </c>
      <c r="FE213" s="1168">
        <f t="shared" si="1071"/>
        <v>4.0151147193335568E-2</v>
      </c>
      <c r="FF213" s="1168">
        <f t="shared" si="1071"/>
        <v>3.715532428077295E-2</v>
      </c>
      <c r="FG213" s="1168">
        <f t="shared" si="1071"/>
        <v>3.5036072036749966E-2</v>
      </c>
      <c r="FH213" s="1168">
        <f t="shared" si="1071"/>
        <v>3.3964560993544168E-2</v>
      </c>
      <c r="FI213" s="1168">
        <f t="shared" si="1071"/>
        <v>3.3702902306921967E-2</v>
      </c>
    </row>
    <row r="214" spans="1:177" s="141" customFormat="1" x14ac:dyDescent="0.3">
      <c r="A214" s="1108" t="s">
        <v>383</v>
      </c>
      <c r="EE214" s="1169">
        <f t="shared" si="1049"/>
        <v>-6.3535911602209949E-2</v>
      </c>
      <c r="EF214" s="1169">
        <f t="shared" si="1049"/>
        <v>-4.2253521126760618E-2</v>
      </c>
      <c r="EG214" s="1169">
        <f t="shared" si="1049"/>
        <v>-7.2568940493469292E-3</v>
      </c>
      <c r="EH214" s="1169">
        <f t="shared" si="1049"/>
        <v>-2.1739130434782594E-2</v>
      </c>
      <c r="EI214" s="1169">
        <f t="shared" si="1049"/>
        <v>-3.412726626377538E-2</v>
      </c>
      <c r="EJ214" s="1169">
        <f t="shared" si="1049"/>
        <v>-8.8495575221239076E-3</v>
      </c>
      <c r="EK214" s="1169">
        <f t="shared" si="1049"/>
        <v>7.3529411764705621E-3</v>
      </c>
      <c r="EL214" s="1169">
        <f t="shared" si="1049"/>
        <v>1.023391812865504E-2</v>
      </c>
      <c r="EM214" s="1169">
        <f t="shared" si="1049"/>
        <v>6.8148148148148069E-2</v>
      </c>
      <c r="EN214" s="1169">
        <f t="shared" si="1049"/>
        <v>1.9138755980861344E-2</v>
      </c>
      <c r="EO214" s="1169">
        <f t="shared" si="1049"/>
        <v>8.4821428571428603E-2</v>
      </c>
      <c r="EP214" s="1169">
        <f t="shared" si="1049"/>
        <v>8.9051094890510996E-2</v>
      </c>
      <c r="EQ214" s="1169">
        <f t="shared" si="1049"/>
        <v>9.9855282199710516E-2</v>
      </c>
      <c r="ER214" s="1169">
        <f t="shared" si="1049"/>
        <v>5.6865464632454898E-2</v>
      </c>
      <c r="ES214" s="1169">
        <f t="shared" si="1050"/>
        <v>8.234019501625145E-2</v>
      </c>
      <c r="ET214" s="1169">
        <f t="shared" si="1049"/>
        <v>0.10425240054869689</v>
      </c>
      <c r="EU214" s="1169">
        <f t="shared" si="1049"/>
        <v>0.12600536193029499</v>
      </c>
      <c r="EV214" s="1169">
        <f t="shared" si="1049"/>
        <v>0.14078947368421058</v>
      </c>
      <c r="EW214" s="1169">
        <f t="shared" si="1049"/>
        <v>0.16797900262467191</v>
      </c>
      <c r="EX214" s="1169">
        <f t="shared" si="1051"/>
        <v>0.13513513513513509</v>
      </c>
      <c r="EY214" s="1169">
        <f t="shared" si="1067"/>
        <v>0.11143596135414957</v>
      </c>
      <c r="EZ214" s="1169">
        <f t="shared" si="1068"/>
        <v>0.11456072134679429</v>
      </c>
      <c r="FA214" s="1169">
        <f t="shared" si="1069"/>
        <v>0.1174363993269254</v>
      </c>
      <c r="FB214" s="1169">
        <f t="shared" si="1070"/>
        <v>0.1227288144222709</v>
      </c>
      <c r="FC214" s="1169">
        <f t="shared" si="1055"/>
        <v>0.11669105169713778</v>
      </c>
      <c r="FD214" s="1168">
        <f t="shared" ref="FD214:FI214" si="1072">FD206/FC206-1</f>
        <v>0.12767490416443006</v>
      </c>
      <c r="FE214" s="1168">
        <f t="shared" si="1072"/>
        <v>0.11670333201336525</v>
      </c>
      <c r="FF214" s="1168">
        <f t="shared" si="1072"/>
        <v>9.5993443213508112E-2</v>
      </c>
      <c r="FG214" s="1168">
        <f t="shared" si="1072"/>
        <v>7.7041670256123629E-2</v>
      </c>
      <c r="FH214" s="1168">
        <f t="shared" si="1072"/>
        <v>6.3770436405911957E-2</v>
      </c>
      <c r="FI214" s="1168">
        <f t="shared" si="1072"/>
        <v>5.291461398519659E-2</v>
      </c>
    </row>
    <row r="215" spans="1:177" x14ac:dyDescent="0.3">
      <c r="ET215" s="90"/>
      <c r="EU215" s="90"/>
      <c r="EV215" s="90"/>
      <c r="EW215" s="90"/>
      <c r="EY215" s="90"/>
      <c r="EZ215" s="90"/>
      <c r="FA215" s="90"/>
      <c r="FB215" s="90"/>
    </row>
    <row r="216" spans="1:177" x14ac:dyDescent="0.3">
      <c r="A216" s="54" t="s">
        <v>384</v>
      </c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4"/>
      <c r="CO216" s="54"/>
      <c r="CP216" s="54"/>
      <c r="CQ216" s="54"/>
      <c r="CR216" s="54"/>
      <c r="CS216" s="54"/>
      <c r="CT216" s="54"/>
      <c r="CU216" s="54"/>
      <c r="CV216" s="54"/>
      <c r="CW216" s="54"/>
      <c r="CX216" s="54"/>
      <c r="CY216" s="54"/>
      <c r="CZ216" s="54"/>
      <c r="DA216" s="54"/>
      <c r="DB216" s="54"/>
      <c r="DC216" s="54"/>
      <c r="DD216" s="54"/>
      <c r="DE216" s="54"/>
      <c r="DF216" s="54"/>
      <c r="DG216" s="54"/>
      <c r="DH216" s="54"/>
      <c r="DI216" s="54"/>
      <c r="DJ216" s="54"/>
      <c r="DK216" s="54"/>
      <c r="DL216" s="54"/>
      <c r="DM216" s="54"/>
      <c r="DN216" s="54"/>
      <c r="DO216" s="54"/>
      <c r="DP216" s="54"/>
      <c r="DQ216" s="54"/>
      <c r="DR216" s="54"/>
      <c r="DS216" s="54"/>
      <c r="DT216" s="54"/>
      <c r="DU216" s="54"/>
      <c r="DV216" s="54"/>
      <c r="DW216" s="54"/>
      <c r="DX216" s="54"/>
      <c r="DY216" s="54"/>
      <c r="DZ216" s="54"/>
      <c r="EA216" s="54"/>
      <c r="EB216" s="54"/>
      <c r="EC216" s="54"/>
      <c r="ED216" s="54"/>
      <c r="EE216" s="54"/>
      <c r="EF216" s="54"/>
      <c r="EG216" s="54"/>
      <c r="EH216" s="54"/>
      <c r="EI216" s="54"/>
      <c r="EJ216" s="54"/>
      <c r="EK216" s="54"/>
      <c r="EL216" s="54"/>
      <c r="EM216" s="54"/>
      <c r="EN216" s="54"/>
      <c r="EO216" s="54"/>
      <c r="EP216" s="54"/>
      <c r="EQ216" s="54"/>
      <c r="ER216" s="54"/>
      <c r="ES216" s="54"/>
      <c r="ET216" s="54"/>
      <c r="EU216" s="54"/>
      <c r="EV216" s="54"/>
      <c r="EW216" s="54"/>
      <c r="EX216" s="54"/>
      <c r="EY216" s="54"/>
      <c r="EZ216" s="54"/>
      <c r="FA216" s="54"/>
      <c r="FB216" s="54"/>
      <c r="FC216" s="54"/>
      <c r="FD216" s="54"/>
      <c r="FE216" s="54"/>
      <c r="FF216" s="54"/>
      <c r="FG216" s="54"/>
      <c r="FH216" s="54"/>
      <c r="FI216" s="54"/>
      <c r="FJ216" s="54"/>
    </row>
    <row r="217" spans="1:177" ht="12.75" customHeight="1" x14ac:dyDescent="0.3">
      <c r="A217" s="110" t="s">
        <v>385</v>
      </c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  <c r="AW217" s="193"/>
      <c r="AX217" s="193"/>
      <c r="AY217" s="193"/>
      <c r="AZ217" s="193"/>
      <c r="BA217" s="193"/>
      <c r="BB217" s="193"/>
      <c r="BC217" s="193"/>
      <c r="BD217" s="193"/>
      <c r="BE217" s="193"/>
      <c r="BF217" s="193"/>
      <c r="BG217" s="193"/>
      <c r="BH217" s="193"/>
      <c r="BI217" s="193"/>
      <c r="BJ217" s="193"/>
      <c r="BK217" s="193"/>
      <c r="BL217" s="192"/>
      <c r="BM217" s="192"/>
      <c r="BN217" s="192"/>
      <c r="BO217" s="192"/>
      <c r="BP217" s="192"/>
      <c r="BQ217" s="192"/>
      <c r="BR217" s="193"/>
      <c r="BS217" s="193"/>
      <c r="BT217" s="193"/>
      <c r="BU217" s="193"/>
      <c r="BV217" s="192"/>
      <c r="BW217" s="193"/>
      <c r="BX217" s="193"/>
      <c r="BY217" s="193"/>
      <c r="BZ217" s="193"/>
      <c r="CA217" s="192"/>
      <c r="CB217" s="193"/>
      <c r="CC217" s="193"/>
      <c r="CD217" s="193"/>
      <c r="CE217" s="193"/>
      <c r="CF217" s="192"/>
      <c r="CG217" s="193"/>
      <c r="CH217" s="193"/>
      <c r="CI217" s="193"/>
      <c r="CJ217" s="193"/>
      <c r="CK217" s="192"/>
      <c r="CL217" s="193"/>
      <c r="CM217" s="193"/>
      <c r="CN217" s="193"/>
      <c r="CO217" s="193"/>
      <c r="CP217" s="192"/>
      <c r="CQ217" s="193"/>
      <c r="CR217" s="193"/>
      <c r="CS217" s="193"/>
      <c r="CT217" s="193"/>
      <c r="CU217" s="193"/>
      <c r="CV217" s="193"/>
      <c r="CW217" s="193"/>
      <c r="CX217" s="193"/>
      <c r="CY217" s="193"/>
      <c r="CZ217" s="193"/>
      <c r="DA217" s="193"/>
      <c r="DB217" s="193"/>
      <c r="DC217" s="193"/>
      <c r="DD217" s="193"/>
      <c r="DE217" s="193"/>
      <c r="DF217" s="193"/>
      <c r="DG217" s="193"/>
      <c r="DH217" s="193"/>
      <c r="DI217" s="193"/>
      <c r="DJ217" s="193"/>
      <c r="DK217" s="193"/>
      <c r="DL217" s="193"/>
      <c r="DM217" s="193"/>
      <c r="DN217" s="193"/>
      <c r="DO217" s="193"/>
      <c r="DP217" s="193"/>
      <c r="DQ217" s="193"/>
      <c r="DR217" s="193"/>
      <c r="DS217" s="193"/>
      <c r="DT217" s="193"/>
      <c r="DU217" s="76"/>
      <c r="DV217" s="76"/>
      <c r="DW217" s="76"/>
      <c r="DX217" s="76"/>
      <c r="DY217" s="475"/>
      <c r="DZ217" s="76">
        <f>+DZ219*DZ181*0.003</f>
        <v>144.24242424242425</v>
      </c>
      <c r="EA217" s="76">
        <f>+EA219*EA181*0.003</f>
        <v>131.59070598748883</v>
      </c>
      <c r="EB217" s="76">
        <f>+EB219*EB181*0.003</f>
        <v>115.54789272030651</v>
      </c>
      <c r="EC217" s="76">
        <f>+EC219*EC181*0.003</f>
        <v>98.779381443298959</v>
      </c>
      <c r="ED217" s="85">
        <f>+SUM(DZ217:EC217)</f>
        <v>490.16040439351855</v>
      </c>
      <c r="EE217" s="76">
        <f>+EE219*EE181*0.003</f>
        <v>94.705298013245041</v>
      </c>
      <c r="EF217" s="76">
        <f>+EF219*EF181*0.003</f>
        <v>92.170212765957444</v>
      </c>
      <c r="EG217" s="76">
        <f>+EG219*EG181*0.003</f>
        <v>81.018867924528294</v>
      </c>
      <c r="EH217" s="76">
        <f>+EH219*EH181*0.003</f>
        <v>79.432360742705569</v>
      </c>
      <c r="EI217" s="121">
        <f>+SUM(EE217:EH217)</f>
        <v>347.32673944643636</v>
      </c>
      <c r="EJ217" s="76">
        <f>+EJ219*EJ181*0.003</f>
        <v>78.948539638386649</v>
      </c>
      <c r="EK217" s="120">
        <f>+EK219*EK181*0.003</f>
        <v>74.626099706744867</v>
      </c>
      <c r="EL217" s="120">
        <f>+EL219*EL181*0.003</f>
        <v>69.879875195007813</v>
      </c>
      <c r="EM217" s="120">
        <f>+EM219*EM181*0.003</f>
        <v>66.562913907284766</v>
      </c>
      <c r="EN217" s="121">
        <f>+SUM(EJ217:EM217)</f>
        <v>290.01742844742409</v>
      </c>
      <c r="EO217" s="76">
        <f>+EO219*EO181*0.003</f>
        <v>67.066666666666677</v>
      </c>
      <c r="EP217" s="76">
        <f>+EP219*EP181*0.003</f>
        <v>63.378531073446339</v>
      </c>
      <c r="EQ217" s="76">
        <f>+EQ219*EQ181*0.003</f>
        <v>58.91038696537678</v>
      </c>
      <c r="ER217" s="76">
        <f>+ER219*ER181*0.003</f>
        <v>55.672489082969435</v>
      </c>
      <c r="ES217" s="121">
        <f>+SUM(EO217:ER217)</f>
        <v>245.02807378845924</v>
      </c>
      <c r="ET217" s="76">
        <f>+ET219*ET181*0.003</f>
        <v>56.307692307692307</v>
      </c>
      <c r="EU217" s="76">
        <f>+EU219*EU181*0.003</f>
        <v>53.152500000000003</v>
      </c>
      <c r="EV217" s="76">
        <f>+EV219*EV181*0.003</f>
        <v>49.438172043010766</v>
      </c>
      <c r="EW217" s="76">
        <f>+EW219*EW181*0.003</f>
        <v>43.875722543352595</v>
      </c>
      <c r="EX217" s="121">
        <f>+SUM(ET217:EW217)</f>
        <v>202.77408689405567</v>
      </c>
      <c r="EY217" s="120">
        <f t="shared" ref="EY217:FB217" si="1073">+EY219*EY181*0.003</f>
        <v>46.553959668621715</v>
      </c>
      <c r="EZ217" s="120">
        <f t="shared" si="1073"/>
        <v>43.977358933016873</v>
      </c>
      <c r="FA217" s="120">
        <f t="shared" si="1073"/>
        <v>40.919167914266339</v>
      </c>
      <c r="FB217" s="120">
        <f t="shared" si="1073"/>
        <v>36.472123773124174</v>
      </c>
      <c r="FC217" s="121">
        <f>+SUM(EY217:FB217)</f>
        <v>167.92261028902908</v>
      </c>
      <c r="FD217" s="120">
        <f t="shared" ref="FD217:FI217" si="1074">+FD219*FD181*0.012</f>
        <v>136.86630785563733</v>
      </c>
      <c r="FE217" s="120">
        <f t="shared" si="1074"/>
        <v>109.82528675488913</v>
      </c>
      <c r="FF217" s="120">
        <f t="shared" si="1074"/>
        <v>88.006560497232485</v>
      </c>
      <c r="FG217" s="120">
        <f t="shared" si="1074"/>
        <v>70.434445604752653</v>
      </c>
      <c r="FH217" s="120">
        <f t="shared" si="1074"/>
        <v>56.306354476303326</v>
      </c>
      <c r="FI217" s="120">
        <f t="shared" si="1074"/>
        <v>44.964743139316788</v>
      </c>
      <c r="FJ217" s="189">
        <f>+(FF217/ES217)^0.2-1</f>
        <v>-0.18518345204573783</v>
      </c>
      <c r="FK217" s="193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</row>
    <row r="218" spans="1:177" ht="12.75" customHeight="1" x14ac:dyDescent="0.3">
      <c r="A218" s="70" t="s">
        <v>363</v>
      </c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  <c r="AW218" s="193"/>
      <c r="AX218" s="193"/>
      <c r="AY218" s="193"/>
      <c r="AZ218" s="193"/>
      <c r="BA218" s="193"/>
      <c r="BB218" s="193"/>
      <c r="BC218" s="193"/>
      <c r="BD218" s="193"/>
      <c r="BE218" s="193"/>
      <c r="BF218" s="193"/>
      <c r="BG218" s="193"/>
      <c r="BH218" s="193"/>
      <c r="BI218" s="193"/>
      <c r="BJ218" s="193"/>
      <c r="BK218" s="193"/>
      <c r="BL218" s="192"/>
      <c r="BM218" s="192"/>
      <c r="BN218" s="192"/>
      <c r="BO218" s="192"/>
      <c r="BP218" s="192"/>
      <c r="BQ218" s="192"/>
      <c r="BR218" s="193"/>
      <c r="BS218" s="193"/>
      <c r="BT218" s="193"/>
      <c r="BU218" s="193"/>
      <c r="BV218" s="192"/>
      <c r="BW218" s="193"/>
      <c r="BX218" s="193"/>
      <c r="BY218" s="193"/>
      <c r="BZ218" s="193"/>
      <c r="CA218" s="192"/>
      <c r="CB218" s="193"/>
      <c r="CC218" s="193"/>
      <c r="CD218" s="193"/>
      <c r="CE218" s="193"/>
      <c r="CF218" s="192"/>
      <c r="CG218" s="193"/>
      <c r="CH218" s="193"/>
      <c r="CI218" s="193"/>
      <c r="CJ218" s="193"/>
      <c r="CK218" s="192"/>
      <c r="CL218" s="193"/>
      <c r="CM218" s="193"/>
      <c r="CN218" s="193"/>
      <c r="CO218" s="193"/>
      <c r="CP218" s="192"/>
      <c r="CQ218" s="193"/>
      <c r="CR218" s="193"/>
      <c r="CS218" s="193"/>
      <c r="CT218" s="193"/>
      <c r="CU218" s="193"/>
      <c r="CV218" s="193"/>
      <c r="CW218" s="193"/>
      <c r="CX218" s="193"/>
      <c r="CY218" s="193"/>
      <c r="CZ218" s="193"/>
      <c r="DA218" s="193"/>
      <c r="DB218" s="193"/>
      <c r="DC218" s="193"/>
      <c r="DD218" s="193"/>
      <c r="DE218" s="193"/>
      <c r="DF218" s="193"/>
      <c r="DG218" s="193"/>
      <c r="DH218" s="193"/>
      <c r="DI218" s="193"/>
      <c r="DJ218" s="193"/>
      <c r="DK218" s="193"/>
      <c r="DL218" s="193"/>
      <c r="DM218" s="193"/>
      <c r="DN218" s="193"/>
      <c r="DO218" s="193"/>
      <c r="DP218" s="193"/>
      <c r="DQ218" s="193"/>
      <c r="DR218" s="193"/>
      <c r="DS218" s="193"/>
      <c r="DT218" s="193"/>
      <c r="DU218" s="194"/>
      <c r="DV218" s="194"/>
      <c r="DW218" s="194"/>
      <c r="DX218" s="194"/>
      <c r="DY218" s="1208"/>
      <c r="DZ218" s="75"/>
      <c r="EA218" s="75"/>
      <c r="EB218" s="75"/>
      <c r="EC218" s="75"/>
      <c r="ED218" s="84"/>
      <c r="EE218" s="75">
        <f t="shared" ref="EE218:EW218" si="1075">+EE217/DZ217-1</f>
        <v>-0.34342965663086422</v>
      </c>
      <c r="EF218" s="75">
        <f t="shared" si="1075"/>
        <v>-0.29956897735072074</v>
      </c>
      <c r="EG218" s="75">
        <f t="shared" si="1075"/>
        <v>-0.29882868465077639</v>
      </c>
      <c r="EH218" s="75">
        <f t="shared" si="1075"/>
        <v>-0.19586092176229009</v>
      </c>
      <c r="EI218" s="127">
        <f t="shared" si="1075"/>
        <v>-0.29140188327494965</v>
      </c>
      <c r="EJ218" s="75">
        <f t="shared" si="1075"/>
        <v>-0.16637673610038928</v>
      </c>
      <c r="EK218" s="126">
        <f t="shared" si="1075"/>
        <v>-0.19034471693974864</v>
      </c>
      <c r="EL218" s="126">
        <f t="shared" si="1075"/>
        <v>-0.13748640304252113</v>
      </c>
      <c r="EM218" s="126">
        <f t="shared" si="1075"/>
        <v>-0.16201768038982312</v>
      </c>
      <c r="EN218" s="127">
        <f t="shared" si="1075"/>
        <v>-0.16500114874642502</v>
      </c>
      <c r="EO218" s="75">
        <f t="shared" si="1075"/>
        <v>-0.15050149155568071</v>
      </c>
      <c r="EP218" s="75">
        <f t="shared" si="1075"/>
        <v>-0.15071896665506623</v>
      </c>
      <c r="EQ218" s="75">
        <f t="shared" si="1075"/>
        <v>-0.15697635691276512</v>
      </c>
      <c r="ER218" s="75">
        <f t="shared" si="1075"/>
        <v>-0.16361099875351859</v>
      </c>
      <c r="ES218" s="127">
        <f t="shared" ref="ES218" si="1076">+ES217/EN217-1</f>
        <v>-0.15512638292053804</v>
      </c>
      <c r="ET218" s="75">
        <f t="shared" si="1075"/>
        <v>-0.16042208288729176</v>
      </c>
      <c r="EU218" s="75">
        <f t="shared" si="1075"/>
        <v>-0.16134850240684628</v>
      </c>
      <c r="EV218" s="75">
        <f t="shared" si="1075"/>
        <v>-0.16079023429150263</v>
      </c>
      <c r="EW218" s="75">
        <f t="shared" si="1075"/>
        <v>-0.21189579869576092</v>
      </c>
      <c r="EX218" s="127">
        <f t="shared" ref="EX218" si="1077">+EX217/ES217-1</f>
        <v>-0.17244549263723474</v>
      </c>
      <c r="EY218" s="126">
        <f t="shared" ref="EY218" si="1078">+EY217/ET217-1</f>
        <v>-0.17322202774305695</v>
      </c>
      <c r="EZ218" s="126">
        <f t="shared" ref="EZ218" si="1079">+EZ217/EU217-1</f>
        <v>-0.17261918191962988</v>
      </c>
      <c r="FA218" s="126">
        <f t="shared" ref="FA218" si="1080">+FA217/EV217-1</f>
        <v>-0.17231632515322315</v>
      </c>
      <c r="FB218" s="126">
        <f t="shared" ref="FB218:FC218" si="1081">+FB217/EW217-1</f>
        <v>-0.16874021306231701</v>
      </c>
      <c r="FC218" s="127">
        <f t="shared" si="1081"/>
        <v>-0.17187342396090088</v>
      </c>
      <c r="FD218" s="126">
        <f t="shared" ref="FD218:FI218" si="1082">+FD217/FC217-1</f>
        <v>-0.18494413813564181</v>
      </c>
      <c r="FE218" s="126">
        <f t="shared" si="1082"/>
        <v>-0.19757251820711264</v>
      </c>
      <c r="FF218" s="126">
        <f t="shared" si="1082"/>
        <v>-0.19866760108127224</v>
      </c>
      <c r="FG218" s="126">
        <f t="shared" si="1082"/>
        <v>-0.19966823829039904</v>
      </c>
      <c r="FH218" s="126">
        <f t="shared" si="1082"/>
        <v>-0.20058496957199046</v>
      </c>
      <c r="FI218" s="126">
        <f t="shared" si="1082"/>
        <v>-0.20142684502438679</v>
      </c>
      <c r="FJ218" s="193"/>
      <c r="FK218" s="193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</row>
    <row r="219" spans="1:177" ht="12.75" customHeight="1" x14ac:dyDescent="0.3">
      <c r="A219" s="61" t="s">
        <v>386</v>
      </c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  <c r="AW219" s="193"/>
      <c r="AX219" s="193"/>
      <c r="AY219" s="193"/>
      <c r="AZ219" s="193"/>
      <c r="BA219" s="193"/>
      <c r="BB219" s="193"/>
      <c r="BC219" s="193"/>
      <c r="BD219" s="193"/>
      <c r="BE219" s="193"/>
      <c r="BF219" s="193"/>
      <c r="BG219" s="193"/>
      <c r="BH219" s="193"/>
      <c r="BI219" s="193"/>
      <c r="BJ219" s="193"/>
      <c r="BK219" s="193"/>
      <c r="BL219" s="192"/>
      <c r="BM219" s="192"/>
      <c r="BN219" s="192"/>
      <c r="BO219" s="192"/>
      <c r="BP219" s="192"/>
      <c r="BQ219" s="192"/>
      <c r="BR219" s="193"/>
      <c r="BS219" s="193"/>
      <c r="BT219" s="193"/>
      <c r="BU219" s="193"/>
      <c r="BV219" s="192"/>
      <c r="BW219" s="193"/>
      <c r="BX219" s="193"/>
      <c r="BY219" s="193"/>
      <c r="BZ219" s="193"/>
      <c r="CA219" s="192"/>
      <c r="CB219" s="193"/>
      <c r="CC219" s="193"/>
      <c r="CD219" s="193"/>
      <c r="CE219" s="193"/>
      <c r="CF219" s="192"/>
      <c r="CG219" s="193"/>
      <c r="CH219" s="193"/>
      <c r="CI219" s="193"/>
      <c r="CJ219" s="193"/>
      <c r="CK219" s="192"/>
      <c r="CL219" s="193"/>
      <c r="CM219" s="193"/>
      <c r="CN219" s="193"/>
      <c r="CO219" s="193"/>
      <c r="CP219" s="192"/>
      <c r="CQ219" s="193"/>
      <c r="CR219" s="193"/>
      <c r="CS219" s="193"/>
      <c r="CT219" s="193"/>
      <c r="CU219" s="193"/>
      <c r="CV219" s="193"/>
      <c r="CW219" s="193"/>
      <c r="CX219" s="193"/>
      <c r="CY219" s="193"/>
      <c r="CZ219" s="193"/>
      <c r="DA219" s="193"/>
      <c r="DB219" s="193"/>
      <c r="DC219" s="193"/>
      <c r="DD219" s="193"/>
      <c r="DE219" s="193"/>
      <c r="DF219" s="193"/>
      <c r="DG219" s="193"/>
      <c r="DH219" s="193"/>
      <c r="DI219" s="193"/>
      <c r="DJ219" s="193"/>
      <c r="DK219" s="193"/>
      <c r="DL219" s="193"/>
      <c r="DM219" s="193"/>
      <c r="DN219" s="193"/>
      <c r="DO219" s="193"/>
      <c r="DP219" s="193"/>
      <c r="DQ219" s="193"/>
      <c r="DR219" s="193"/>
      <c r="DS219" s="193"/>
      <c r="DT219" s="193"/>
      <c r="DU219" s="111"/>
      <c r="DV219" s="111"/>
      <c r="DW219" s="111"/>
      <c r="DX219" s="111"/>
      <c r="DY219" s="112"/>
      <c r="DZ219" s="111">
        <f t="shared" ref="DZ219:EP219" si="1083">DZ72</f>
        <v>95.398428731762053</v>
      </c>
      <c r="EA219" s="111">
        <f t="shared" si="1083"/>
        <v>92.344355078939529</v>
      </c>
      <c r="EB219" s="111">
        <f t="shared" si="1083"/>
        <v>86.845466155810982</v>
      </c>
      <c r="EC219" s="111">
        <f t="shared" si="1083"/>
        <v>79.725085910652922</v>
      </c>
      <c r="ED219" s="112">
        <f t="shared" si="1083"/>
        <v>89.022602792563461</v>
      </c>
      <c r="EE219" s="111">
        <f t="shared" si="1083"/>
        <v>81.677704194260485</v>
      </c>
      <c r="EF219" s="111">
        <f t="shared" si="1083"/>
        <v>85.106382978723403</v>
      </c>
      <c r="EG219" s="111">
        <f t="shared" si="1083"/>
        <v>79.664570230607964</v>
      </c>
      <c r="EH219" s="111">
        <f t="shared" si="1083"/>
        <v>82.228116710875327</v>
      </c>
      <c r="EI219" s="112">
        <f t="shared" si="1083"/>
        <v>82.197313945269102</v>
      </c>
      <c r="EJ219" s="111">
        <f t="shared" si="1083"/>
        <v>85.303662494204914</v>
      </c>
      <c r="EK219" s="111">
        <f t="shared" si="1083"/>
        <v>85.043988269794724</v>
      </c>
      <c r="EL219" s="111">
        <f t="shared" si="1083"/>
        <v>84.243369734789397</v>
      </c>
      <c r="EM219" s="111">
        <f t="shared" si="1083"/>
        <v>83.885209713024281</v>
      </c>
      <c r="EN219" s="112">
        <f t="shared" si="1083"/>
        <v>84.656084656084644</v>
      </c>
      <c r="EO219" s="111">
        <f t="shared" si="1083"/>
        <v>88.8888888888889</v>
      </c>
      <c r="EP219" s="111">
        <f t="shared" si="1083"/>
        <v>89.139987445072208</v>
      </c>
      <c r="EQ219" s="111">
        <f t="shared" ref="EQ219:ER219" si="1084">EQ72</f>
        <v>88.255261371350983</v>
      </c>
      <c r="ER219" s="111">
        <f t="shared" si="1084"/>
        <v>88.791848617176129</v>
      </c>
      <c r="ES219" s="112">
        <f>ES72</f>
        <v>88.780487804878064</v>
      </c>
      <c r="ET219" s="111">
        <f t="shared" ref="ET219:EU219" si="1085">ET72</f>
        <v>94.794094794094789</v>
      </c>
      <c r="EU219" s="111">
        <f t="shared" si="1085"/>
        <v>95</v>
      </c>
      <c r="EV219" s="111">
        <f t="shared" ref="EV219:EW219" si="1086">EV72</f>
        <v>94.982078853046616</v>
      </c>
      <c r="EW219" s="111">
        <f t="shared" si="1086"/>
        <v>90.558766859344885</v>
      </c>
      <c r="EX219" s="112">
        <f>EX72</f>
        <v>93.945270415858658</v>
      </c>
      <c r="EY219" s="111">
        <f>ET219+(EY188-ET188)</f>
        <v>101.98624938196288</v>
      </c>
      <c r="EZ219" s="111">
        <f t="shared" ref="EZ219" si="1087">EU219+(EZ188-EU188)</f>
        <v>102.28230177358935</v>
      </c>
      <c r="FA219" s="111">
        <f t="shared" ref="FA219" si="1088">EV219+(FA188-EV188)</f>
        <v>102.3004395009245</v>
      </c>
      <c r="FB219" s="111">
        <f t="shared" ref="FB219" si="1089">EW219+(FB188-EW188)</f>
        <v>97.95772969680884</v>
      </c>
      <c r="FC219" s="112">
        <f>FC72</f>
        <v>101.2405832117128</v>
      </c>
      <c r="FD219" s="111">
        <f t="shared" ref="FD219:FI219" si="1090">FC219+(FD188-FC188)</f>
        <v>108.91965671173422</v>
      </c>
      <c r="FE219" s="111">
        <f t="shared" si="1090"/>
        <v>117.00593424997548</v>
      </c>
      <c r="FF219" s="111">
        <f t="shared" si="1090"/>
        <v>125.52100894294237</v>
      </c>
      <c r="FG219" s="111">
        <f t="shared" si="1090"/>
        <v>134.48761894166063</v>
      </c>
      <c r="FH219" s="111">
        <f t="shared" si="1090"/>
        <v>143.92970815028752</v>
      </c>
      <c r="FI219" s="111">
        <f t="shared" si="1090"/>
        <v>153.87249016449493</v>
      </c>
      <c r="FJ219" s="189">
        <f>+(FF219/ES219)^0.2-1</f>
        <v>7.1716158975847932E-2</v>
      </c>
      <c r="FK219" s="193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</row>
    <row r="220" spans="1:177" ht="12.75" customHeight="1" x14ac:dyDescent="0.3">
      <c r="A220" s="70" t="s">
        <v>387</v>
      </c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  <c r="AW220" s="193"/>
      <c r="AX220" s="193"/>
      <c r="AY220" s="193"/>
      <c r="AZ220" s="193"/>
      <c r="BA220" s="193"/>
      <c r="BB220" s="193"/>
      <c r="BC220" s="193"/>
      <c r="BD220" s="193"/>
      <c r="BE220" s="193"/>
      <c r="BF220" s="193"/>
      <c r="BG220" s="193"/>
      <c r="BH220" s="193"/>
      <c r="BI220" s="193"/>
      <c r="BJ220" s="193"/>
      <c r="BK220" s="193"/>
      <c r="BL220" s="192"/>
      <c r="BM220" s="192"/>
      <c r="BN220" s="192"/>
      <c r="BO220" s="192"/>
      <c r="BP220" s="192"/>
      <c r="BQ220" s="192"/>
      <c r="BR220" s="193"/>
      <c r="BS220" s="193"/>
      <c r="BT220" s="193"/>
      <c r="BU220" s="193"/>
      <c r="BV220" s="192"/>
      <c r="BW220" s="193"/>
      <c r="BX220" s="193"/>
      <c r="BY220" s="193"/>
      <c r="BZ220" s="193"/>
      <c r="CA220" s="192"/>
      <c r="CB220" s="193"/>
      <c r="CC220" s="193"/>
      <c r="CD220" s="193"/>
      <c r="CE220" s="193"/>
      <c r="CF220" s="192"/>
      <c r="CG220" s="193"/>
      <c r="CH220" s="193"/>
      <c r="CI220" s="193"/>
      <c r="CJ220" s="193"/>
      <c r="CK220" s="192"/>
      <c r="CL220" s="193"/>
      <c r="CM220" s="193"/>
      <c r="CN220" s="193"/>
      <c r="CO220" s="193"/>
      <c r="CP220" s="192"/>
      <c r="CQ220" s="193"/>
      <c r="CR220" s="193"/>
      <c r="CS220" s="193"/>
      <c r="CT220" s="193"/>
      <c r="CU220" s="193"/>
      <c r="CV220" s="193"/>
      <c r="CW220" s="193"/>
      <c r="CX220" s="193"/>
      <c r="CY220" s="193"/>
      <c r="CZ220" s="193"/>
      <c r="DA220" s="193"/>
      <c r="DB220" s="193"/>
      <c r="DC220" s="193"/>
      <c r="DD220" s="193"/>
      <c r="DE220" s="193"/>
      <c r="DF220" s="193"/>
      <c r="DG220" s="193"/>
      <c r="DH220" s="193"/>
      <c r="DI220" s="193"/>
      <c r="DJ220" s="193"/>
      <c r="DK220" s="193"/>
      <c r="DL220" s="193"/>
      <c r="DM220" s="193"/>
      <c r="DN220" s="193"/>
      <c r="DO220" s="193"/>
      <c r="DP220" s="193"/>
      <c r="DQ220" s="193"/>
      <c r="DR220" s="193"/>
      <c r="DS220" s="193"/>
      <c r="DT220" s="193"/>
      <c r="DU220" s="194"/>
      <c r="DV220" s="194"/>
      <c r="DW220" s="194"/>
      <c r="DX220" s="194"/>
      <c r="DY220" s="1208"/>
      <c r="DZ220" s="195"/>
      <c r="EA220" s="195"/>
      <c r="EB220" s="195"/>
      <c r="EC220" s="195"/>
      <c r="ED220" s="199"/>
      <c r="EE220" s="195">
        <f t="shared" ref="EE220:EW220" si="1091">+EE219/DZ219-1</f>
        <v>-0.14382547721075178</v>
      </c>
      <c r="EF220" s="195">
        <f t="shared" si="1091"/>
        <v>-7.838023335621136E-2</v>
      </c>
      <c r="EG220" s="195">
        <f t="shared" si="1091"/>
        <v>-8.2685904550499512E-2</v>
      </c>
      <c r="EH220" s="195">
        <f t="shared" si="1091"/>
        <v>3.1395774261410381E-2</v>
      </c>
      <c r="EI220" s="199">
        <f t="shared" si="1091"/>
        <v>-7.666916752814279E-2</v>
      </c>
      <c r="EJ220" s="195">
        <f t="shared" si="1091"/>
        <v>4.4393489456076463E-2</v>
      </c>
      <c r="EK220" s="195">
        <f t="shared" si="1091"/>
        <v>-7.3313782991202281E-4</v>
      </c>
      <c r="EL220" s="195">
        <f t="shared" si="1091"/>
        <v>5.7475983249856366E-2</v>
      </c>
      <c r="EM220" s="195">
        <f t="shared" si="1091"/>
        <v>2.0152389090650091E-2</v>
      </c>
      <c r="EN220" s="199">
        <f t="shared" si="1091"/>
        <v>2.9913029913029909E-2</v>
      </c>
      <c r="EO220" s="195">
        <f t="shared" si="1091"/>
        <v>4.202898550724643E-2</v>
      </c>
      <c r="EP220" s="195">
        <f t="shared" si="1091"/>
        <v>4.8163300647228402E-2</v>
      </c>
      <c r="EQ220" s="195">
        <f t="shared" si="1091"/>
        <v>4.7622639611777373E-2</v>
      </c>
      <c r="ER220" s="195">
        <f t="shared" si="1091"/>
        <v>5.8492300620547111E-2</v>
      </c>
      <c r="ES220" s="199">
        <f t="shared" ref="ES220" si="1092">+ES219/EN219-1</f>
        <v>4.8719512195122272E-2</v>
      </c>
      <c r="ET220" s="195">
        <f t="shared" si="1091"/>
        <v>6.6433566433566238E-2</v>
      </c>
      <c r="EU220" s="195">
        <f t="shared" si="1091"/>
        <v>6.573943661971815E-2</v>
      </c>
      <c r="EV220" s="195">
        <f t="shared" si="1091"/>
        <v>7.6220016542597469E-2</v>
      </c>
      <c r="EW220" s="195">
        <f t="shared" si="1091"/>
        <v>1.989955462901527E-2</v>
      </c>
      <c r="EX220" s="199">
        <f t="shared" ref="EX220" si="1093">+EX219/ES219-1</f>
        <v>5.8174749189616515E-2</v>
      </c>
      <c r="EY220" s="195">
        <f t="shared" ref="EY220" si="1094">+EY219/ET219-1</f>
        <v>7.5871335693329822E-2</v>
      </c>
      <c r="EZ220" s="195">
        <f t="shared" ref="EZ220" si="1095">+EZ219/EU219-1</f>
        <v>7.6655808143045734E-2</v>
      </c>
      <c r="FA220" s="195">
        <f t="shared" ref="FA220" si="1096">+FA219/EV219-1</f>
        <v>7.704991021728036E-2</v>
      </c>
      <c r="FB220" s="195">
        <f t="shared" ref="FB220:FC220" si="1097">+FB219/EW219-1</f>
        <v>8.1703440694548712E-2</v>
      </c>
      <c r="FC220" s="199">
        <f t="shared" si="1097"/>
        <v>7.7654923590731784E-2</v>
      </c>
      <c r="FD220" s="195">
        <f t="shared" ref="FD220:FI220" si="1098">+FD219/FC219-1</f>
        <v>7.5849755665305274E-2</v>
      </c>
      <c r="FE220" s="195">
        <f t="shared" si="1098"/>
        <v>7.424075490471238E-2</v>
      </c>
      <c r="FF220" s="195">
        <f t="shared" si="1098"/>
        <v>7.2774725038945443E-2</v>
      </c>
      <c r="FG220" s="195">
        <f t="shared" si="1098"/>
        <v>7.1435133243664239E-2</v>
      </c>
      <c r="FH220" s="195">
        <f t="shared" si="1098"/>
        <v>7.020786956398406E-2</v>
      </c>
      <c r="FI220" s="195">
        <f t="shared" si="1098"/>
        <v>6.9080818282667655E-2</v>
      </c>
      <c r="FJ220" s="193"/>
      <c r="FK220" s="193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</row>
    <row r="221" spans="1:177" ht="12.75" customHeight="1" x14ac:dyDescent="0.3">
      <c r="A221" s="192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  <c r="AW221" s="193"/>
      <c r="AX221" s="193"/>
      <c r="AY221" s="193"/>
      <c r="AZ221" s="193"/>
      <c r="BA221" s="193"/>
      <c r="BB221" s="193"/>
      <c r="BC221" s="193"/>
      <c r="BD221" s="193"/>
      <c r="BE221" s="193"/>
      <c r="BF221" s="193"/>
      <c r="BG221" s="193"/>
      <c r="BH221" s="193"/>
      <c r="BI221" s="193"/>
      <c r="BJ221" s="193"/>
      <c r="BK221" s="193"/>
      <c r="BL221" s="192"/>
      <c r="BM221" s="192"/>
      <c r="BN221" s="192"/>
      <c r="BO221" s="192"/>
      <c r="BP221" s="192"/>
      <c r="BQ221" s="192"/>
      <c r="BR221" s="193"/>
      <c r="BS221" s="193"/>
      <c r="BT221" s="193"/>
      <c r="BU221" s="193"/>
      <c r="BV221" s="192"/>
      <c r="BW221" s="193"/>
      <c r="BX221" s="193"/>
      <c r="BY221" s="193"/>
      <c r="BZ221" s="193"/>
      <c r="CA221" s="192"/>
      <c r="CB221" s="193"/>
      <c r="CC221" s="193"/>
      <c r="CD221" s="193"/>
      <c r="CE221" s="193"/>
      <c r="CF221" s="192"/>
      <c r="CG221" s="193"/>
      <c r="CH221" s="193"/>
      <c r="CI221" s="193"/>
      <c r="CJ221" s="193"/>
      <c r="CK221" s="192"/>
      <c r="CL221" s="193"/>
      <c r="CM221" s="193"/>
      <c r="CN221" s="193"/>
      <c r="CO221" s="193"/>
      <c r="CP221" s="192"/>
      <c r="CQ221" s="193"/>
      <c r="CR221" s="193"/>
      <c r="CS221" s="193"/>
      <c r="CT221" s="193"/>
      <c r="CU221" s="193"/>
      <c r="CV221" s="193"/>
      <c r="CW221" s="193"/>
      <c r="CX221" s="193"/>
      <c r="CY221" s="193"/>
      <c r="CZ221" s="193"/>
      <c r="DA221" s="193"/>
      <c r="DB221" s="193"/>
      <c r="DC221" s="193"/>
      <c r="DD221" s="193"/>
      <c r="DE221" s="193"/>
      <c r="DF221" s="193"/>
      <c r="DG221" s="193"/>
      <c r="DH221" s="193"/>
      <c r="DI221" s="193"/>
      <c r="DJ221" s="193"/>
      <c r="DK221" s="193"/>
      <c r="DL221" s="193"/>
      <c r="DM221" s="193"/>
      <c r="DN221" s="193"/>
      <c r="DO221" s="193"/>
      <c r="DP221" s="193"/>
      <c r="DQ221" s="193"/>
      <c r="DR221" s="193"/>
      <c r="DS221" s="193"/>
      <c r="DT221" s="193"/>
      <c r="DU221" s="196"/>
      <c r="DV221" s="196"/>
      <c r="DW221" s="196"/>
      <c r="DX221" s="665"/>
      <c r="DY221" s="1191"/>
      <c r="DZ221" s="197"/>
      <c r="EB221" s="665"/>
      <c r="EC221" s="665"/>
      <c r="ED221" s="1204"/>
      <c r="EE221" s="197"/>
      <c r="EF221" s="197"/>
      <c r="EG221" s="197"/>
      <c r="EH221" s="197"/>
      <c r="EI221" s="1191"/>
      <c r="EJ221" s="197"/>
      <c r="EK221" s="197"/>
      <c r="EL221" s="197"/>
      <c r="EM221" s="197"/>
      <c r="EN221" s="1192"/>
      <c r="EO221" s="197"/>
      <c r="EP221" s="197"/>
      <c r="EQ221" s="197"/>
      <c r="ER221" s="197"/>
      <c r="ES221" s="198"/>
      <c r="ET221" s="197"/>
      <c r="EU221" s="197"/>
      <c r="EV221" s="197"/>
      <c r="EW221" s="197"/>
      <c r="EX221" s="198"/>
      <c r="EY221" s="197"/>
      <c r="EZ221" s="197"/>
      <c r="FA221" s="197"/>
      <c r="FB221" s="197"/>
      <c r="FC221" s="198"/>
      <c r="FD221" s="198"/>
      <c r="FE221" s="198"/>
      <c r="FF221" s="198"/>
      <c r="FG221" s="198"/>
      <c r="FH221" s="198"/>
      <c r="FI221" s="198"/>
      <c r="FJ221" s="193"/>
      <c r="FK221" s="193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</row>
    <row r="222" spans="1:177" ht="12.75" customHeight="1" x14ac:dyDescent="0.3">
      <c r="A222" s="60" t="s">
        <v>388</v>
      </c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  <c r="AW222" s="193"/>
      <c r="AX222" s="193"/>
      <c r="AY222" s="193"/>
      <c r="AZ222" s="193"/>
      <c r="BA222" s="193"/>
      <c r="BB222" s="193"/>
      <c r="BC222" s="193"/>
      <c r="BD222" s="193"/>
      <c r="BE222" s="193"/>
      <c r="BF222" s="193"/>
      <c r="BG222" s="193"/>
      <c r="BH222" s="193"/>
      <c r="BI222" s="193"/>
      <c r="BJ222" s="193"/>
      <c r="BK222" s="193"/>
      <c r="BL222" s="192"/>
      <c r="BM222" s="192"/>
      <c r="BN222" s="192"/>
      <c r="BO222" s="192"/>
      <c r="BP222" s="192"/>
      <c r="BQ222" s="192"/>
      <c r="BR222" s="193"/>
      <c r="BS222" s="193"/>
      <c r="BT222" s="193"/>
      <c r="BU222" s="193"/>
      <c r="BV222" s="192"/>
      <c r="BW222" s="193"/>
      <c r="BX222" s="193"/>
      <c r="BY222" s="193"/>
      <c r="BZ222" s="193"/>
      <c r="CA222" s="192"/>
      <c r="CB222" s="193"/>
      <c r="CC222" s="193"/>
      <c r="CD222" s="193"/>
      <c r="CE222" s="193"/>
      <c r="CF222" s="192"/>
      <c r="CG222" s="193"/>
      <c r="CH222" s="193"/>
      <c r="CI222" s="193"/>
      <c r="CJ222" s="193"/>
      <c r="CK222" s="192"/>
      <c r="CL222" s="193"/>
      <c r="CM222" s="193"/>
      <c r="CN222" s="193"/>
      <c r="CO222" s="193"/>
      <c r="CP222" s="192"/>
      <c r="CQ222" s="193"/>
      <c r="CR222" s="193"/>
      <c r="CS222" s="193"/>
      <c r="CT222" s="193"/>
      <c r="CU222" s="193"/>
      <c r="CV222" s="193"/>
      <c r="CW222" s="193"/>
      <c r="CX222" s="193"/>
      <c r="CY222" s="193"/>
      <c r="CZ222" s="193"/>
      <c r="DA222" s="193"/>
      <c r="DB222" s="193"/>
      <c r="DC222" s="193"/>
      <c r="DD222" s="193"/>
      <c r="DE222" s="193"/>
      <c r="DF222" s="193"/>
      <c r="DG222" s="193"/>
      <c r="DH222" s="193"/>
      <c r="DI222" s="193"/>
      <c r="DJ222" s="193"/>
      <c r="DK222" s="193"/>
      <c r="DL222" s="193"/>
      <c r="DM222" s="193"/>
      <c r="DN222" s="193"/>
      <c r="DO222" s="193"/>
      <c r="DP222" s="193"/>
      <c r="DQ222" s="193"/>
      <c r="DR222" s="193"/>
      <c r="DS222" s="193"/>
      <c r="DT222" s="193"/>
      <c r="DU222" s="196"/>
      <c r="DV222" s="196"/>
      <c r="DW222" s="196"/>
      <c r="DX222" s="665"/>
      <c r="DY222" s="1191"/>
      <c r="DZ222" s="85">
        <f>DZ235-DZ230</f>
        <v>259.89444523501714</v>
      </c>
      <c r="EA222" s="85">
        <f>EA235-EA230</f>
        <v>239.18204475860492</v>
      </c>
      <c r="EB222" s="85">
        <f>EB235-EB230</f>
        <v>253.90563368594351</v>
      </c>
      <c r="EC222" s="85">
        <f>EC235-EC230</f>
        <v>256.28731230670104</v>
      </c>
      <c r="ED222" s="85">
        <f>SUM(DZ222:EC222)</f>
        <v>1009.2694359862667</v>
      </c>
      <c r="EE222" s="85">
        <f>EE235-EE230</f>
        <v>253.83945198675494</v>
      </c>
      <c r="EF222" s="85">
        <f>EF235-EF230</f>
        <v>250.78728723404257</v>
      </c>
      <c r="EG222" s="85">
        <f>EG235-EG230</f>
        <v>262.99363207547168</v>
      </c>
      <c r="EH222" s="85">
        <f>EH235-EH230</f>
        <v>258.91513925729441</v>
      </c>
      <c r="EI222" s="85">
        <f>SUM(EE222:EH222)</f>
        <v>1026.5355105535637</v>
      </c>
      <c r="EJ222" s="85">
        <f>EJ235-EJ230</f>
        <v>253.14896036161332</v>
      </c>
      <c r="EK222" s="85">
        <f>EK235-EK230</f>
        <v>250.01890029325511</v>
      </c>
      <c r="EL222" s="85">
        <f>EL235-EL230</f>
        <v>274.06512480499219</v>
      </c>
      <c r="EM222" s="85">
        <f>EM235-EM230</f>
        <v>254.16458609271521</v>
      </c>
      <c r="EN222" s="85">
        <f>SUM(EJ222:EM222)</f>
        <v>1031.3975715525758</v>
      </c>
      <c r="EO222" s="85">
        <f>EO235-EO230</f>
        <v>261.94833333333332</v>
      </c>
      <c r="EP222" s="85">
        <f>EP235-EP230</f>
        <v>278.14896892655366</v>
      </c>
      <c r="EQ222" s="85">
        <f>EQ235-EQ230</f>
        <v>288.33211303462315</v>
      </c>
      <c r="ER222" s="85">
        <f>ER235-ER230</f>
        <v>261.90251091703055</v>
      </c>
      <c r="ES222" s="121">
        <f>SUM(EO222:ER222)</f>
        <v>1090.3319262115406</v>
      </c>
      <c r="ET222" s="85">
        <f>ET235-ET230</f>
        <v>296.39730769230766</v>
      </c>
      <c r="EU222" s="85">
        <f>EU235-EU230</f>
        <v>308.50249999999994</v>
      </c>
      <c r="EV222" s="85">
        <f>EV235-EV230</f>
        <v>322.71682795698922</v>
      </c>
      <c r="EW222" s="85">
        <f>EW235-EW230</f>
        <v>302.66677745664737</v>
      </c>
      <c r="EX222" s="121">
        <f>SUM(ET222:EW222)</f>
        <v>1230.2834131059442</v>
      </c>
      <c r="EY222" s="85">
        <f t="shared" ref="EY222:FB222" si="1099">EY224*EY106*3/1000</f>
        <v>317.94924751965925</v>
      </c>
      <c r="EZ222" s="85">
        <f t="shared" si="1099"/>
        <v>327.8084661467725</v>
      </c>
      <c r="FA222" s="85">
        <f t="shared" si="1099"/>
        <v>339.72471719583854</v>
      </c>
      <c r="FB222" s="85">
        <f t="shared" si="1099"/>
        <v>316.41824169230995</v>
      </c>
      <c r="FC222" s="121">
        <f>SUM(EY222:FB222)</f>
        <v>1301.9006725545803</v>
      </c>
      <c r="FD222" s="85">
        <f t="shared" ref="FD222:FI222" si="1100">FD224*FD106*12/1000</f>
        <v>1396.0859345563053</v>
      </c>
      <c r="FE222" s="85">
        <f t="shared" si="1100"/>
        <v>1417.6048754585559</v>
      </c>
      <c r="FF222" s="85">
        <f t="shared" si="1100"/>
        <v>1442.51928114474</v>
      </c>
      <c r="FG222" s="85">
        <f t="shared" si="1100"/>
        <v>1467.7076512575386</v>
      </c>
      <c r="FH222" s="85">
        <f t="shared" si="1100"/>
        <v>1493.1715781888699</v>
      </c>
      <c r="FI222" s="85">
        <f t="shared" si="1100"/>
        <v>1518.9126804128855</v>
      </c>
      <c r="FJ222" s="193"/>
      <c r="FK222" s="193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</row>
    <row r="223" spans="1:177" ht="12.75" customHeight="1" x14ac:dyDescent="0.3">
      <c r="A223" s="70" t="s">
        <v>363</v>
      </c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  <c r="AW223" s="193"/>
      <c r="AX223" s="193"/>
      <c r="AY223" s="193"/>
      <c r="AZ223" s="193"/>
      <c r="BA223" s="193"/>
      <c r="BB223" s="193"/>
      <c r="BC223" s="193"/>
      <c r="BD223" s="193"/>
      <c r="BE223" s="193"/>
      <c r="BF223" s="193"/>
      <c r="BG223" s="193"/>
      <c r="BH223" s="193"/>
      <c r="BI223" s="193"/>
      <c r="BJ223" s="193"/>
      <c r="BK223" s="193"/>
      <c r="BL223" s="192"/>
      <c r="BM223" s="192"/>
      <c r="BN223" s="192"/>
      <c r="BO223" s="192"/>
      <c r="BP223" s="192"/>
      <c r="BQ223" s="192"/>
      <c r="BR223" s="193"/>
      <c r="BS223" s="193"/>
      <c r="BT223" s="193"/>
      <c r="BU223" s="193"/>
      <c r="BV223" s="192"/>
      <c r="BW223" s="193"/>
      <c r="BX223" s="193"/>
      <c r="BY223" s="193"/>
      <c r="BZ223" s="193"/>
      <c r="CA223" s="192"/>
      <c r="CB223" s="193"/>
      <c r="CC223" s="193"/>
      <c r="CD223" s="193"/>
      <c r="CE223" s="193"/>
      <c r="CF223" s="192"/>
      <c r="CG223" s="193"/>
      <c r="CH223" s="193"/>
      <c r="CI223" s="193"/>
      <c r="CJ223" s="193"/>
      <c r="CK223" s="192"/>
      <c r="CL223" s="193"/>
      <c r="CM223" s="193"/>
      <c r="CN223" s="193"/>
      <c r="CO223" s="193"/>
      <c r="CP223" s="192"/>
      <c r="CQ223" s="193"/>
      <c r="CR223" s="193"/>
      <c r="CS223" s="193"/>
      <c r="CT223" s="193"/>
      <c r="CU223" s="193"/>
      <c r="CV223" s="193"/>
      <c r="CW223" s="193"/>
      <c r="CX223" s="193"/>
      <c r="CY223" s="193"/>
      <c r="CZ223" s="193"/>
      <c r="DA223" s="193"/>
      <c r="DB223" s="193"/>
      <c r="DC223" s="193"/>
      <c r="DD223" s="193"/>
      <c r="DE223" s="193"/>
      <c r="DF223" s="193"/>
      <c r="DG223" s="193"/>
      <c r="DH223" s="193"/>
      <c r="DI223" s="193"/>
      <c r="DJ223" s="193"/>
      <c r="DK223" s="193"/>
      <c r="DL223" s="193"/>
      <c r="DM223" s="193"/>
      <c r="DN223" s="193"/>
      <c r="DO223" s="193"/>
      <c r="DP223" s="193"/>
      <c r="DQ223" s="193"/>
      <c r="DR223" s="193"/>
      <c r="DS223" s="193"/>
      <c r="DT223" s="193"/>
      <c r="DU223" s="196"/>
      <c r="DV223" s="196"/>
      <c r="DW223" s="196"/>
      <c r="DX223" s="665"/>
      <c r="DY223" s="1191"/>
      <c r="DZ223" s="197"/>
      <c r="EB223" s="665"/>
      <c r="EC223" s="665"/>
      <c r="ED223" s="1204"/>
      <c r="EE223" s="75">
        <f t="shared" ref="EE223:EW223" si="1101">+EE222/DZ222-1</f>
        <v>-2.3297894046126366E-2</v>
      </c>
      <c r="EF223" s="75">
        <f t="shared" si="1101"/>
        <v>4.8520542113227094E-2</v>
      </c>
      <c r="EG223" s="75">
        <f t="shared" si="1101"/>
        <v>3.5792818999712095E-2</v>
      </c>
      <c r="EH223" s="75">
        <f t="shared" si="1101"/>
        <v>1.0253441447966249E-2</v>
      </c>
      <c r="EI223" s="84">
        <f t="shared" si="1101"/>
        <v>1.7107497712367081E-2</v>
      </c>
      <c r="EJ223" s="75">
        <f t="shared" si="1101"/>
        <v>-2.72019033974924E-3</v>
      </c>
      <c r="EK223" s="75">
        <f t="shared" si="1101"/>
        <v>-3.0638990885943906E-3</v>
      </c>
      <c r="EL223" s="75">
        <f t="shared" si="1101"/>
        <v>4.209794983303361E-2</v>
      </c>
      <c r="EM223" s="75">
        <f t="shared" si="1101"/>
        <v>-1.8347915761922184E-2</v>
      </c>
      <c r="EN223" s="84">
        <f t="shared" si="1101"/>
        <v>4.736378770170635E-3</v>
      </c>
      <c r="EO223" s="75">
        <f t="shared" si="1101"/>
        <v>3.4759664662064704E-2</v>
      </c>
      <c r="EP223" s="75">
        <f t="shared" si="1101"/>
        <v>0.11251176851151623</v>
      </c>
      <c r="EQ223" s="75">
        <f t="shared" si="1101"/>
        <v>5.2056927125559982E-2</v>
      </c>
      <c r="ER223" s="75">
        <f t="shared" si="1101"/>
        <v>3.044454360566462E-2</v>
      </c>
      <c r="ES223" s="127">
        <f t="shared" ref="ES223" si="1102">+ES222/EN222-1</f>
        <v>5.7140288366444469E-2</v>
      </c>
      <c r="ET223" s="75">
        <f t="shared" si="1101"/>
        <v>0.13151056897597235</v>
      </c>
      <c r="EU223" s="75">
        <f t="shared" si="1101"/>
        <v>0.10912688690016759</v>
      </c>
      <c r="EV223" s="75">
        <f t="shared" si="1101"/>
        <v>0.11925385126365406</v>
      </c>
      <c r="EW223" s="75">
        <f t="shared" si="1101"/>
        <v>0.15564671906689265</v>
      </c>
      <c r="EX223" s="127">
        <f t="shared" ref="EX223" si="1103">+EX222/ES222-1</f>
        <v>0.12835677240111454</v>
      </c>
      <c r="EY223" s="75">
        <f t="shared" ref="EY223" si="1104">+EY222/ET222-1</f>
        <v>7.2713008074030139E-2</v>
      </c>
      <c r="EZ223" s="75">
        <f t="shared" ref="EZ223" si="1105">+EZ222/EU222-1</f>
        <v>6.2579610041320732E-2</v>
      </c>
      <c r="FA223" s="75">
        <f t="shared" ref="FA223" si="1106">+FA222/EV222-1</f>
        <v>5.2702207525155975E-2</v>
      </c>
      <c r="FB223" s="75">
        <f t="shared" ref="FB223:FC223" si="1107">+FB222/EW222-1</f>
        <v>4.5434336570462586E-2</v>
      </c>
      <c r="FC223" s="127">
        <f t="shared" si="1107"/>
        <v>5.8212001141942471E-2</v>
      </c>
      <c r="FD223" s="126">
        <f t="shared" ref="FD223:FI223" si="1108">FD222/FC222-1</f>
        <v>7.2344429945577549E-2</v>
      </c>
      <c r="FE223" s="126">
        <f t="shared" si="1108"/>
        <v>1.5413765277342728E-2</v>
      </c>
      <c r="FF223" s="126">
        <f t="shared" si="1108"/>
        <v>1.7575000000000118E-2</v>
      </c>
      <c r="FG223" s="126">
        <f t="shared" si="1108"/>
        <v>1.746137499999989E-2</v>
      </c>
      <c r="FH223" s="126">
        <f t="shared" si="1108"/>
        <v>1.7349454375000128E-2</v>
      </c>
      <c r="FI223" s="126">
        <f t="shared" si="1108"/>
        <v>1.7239212559375217E-2</v>
      </c>
      <c r="FJ223" s="193"/>
      <c r="FK223" s="193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</row>
    <row r="224" spans="1:177" ht="12.75" customHeight="1" x14ac:dyDescent="0.3">
      <c r="A224" s="61" t="s">
        <v>389</v>
      </c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  <c r="AW224" s="193"/>
      <c r="AX224" s="193"/>
      <c r="AY224" s="193"/>
      <c r="AZ224" s="193"/>
      <c r="BA224" s="193"/>
      <c r="BB224" s="193"/>
      <c r="BC224" s="193"/>
      <c r="BD224" s="193"/>
      <c r="BE224" s="193"/>
      <c r="BF224" s="193"/>
      <c r="BG224" s="193"/>
      <c r="BH224" s="193"/>
      <c r="BI224" s="193"/>
      <c r="BJ224" s="193"/>
      <c r="BK224" s="193"/>
      <c r="BL224" s="192"/>
      <c r="BM224" s="192"/>
      <c r="BN224" s="192"/>
      <c r="BO224" s="192"/>
      <c r="BP224" s="192"/>
      <c r="BQ224" s="192"/>
      <c r="BR224" s="193"/>
      <c r="BS224" s="193"/>
      <c r="BT224" s="193"/>
      <c r="BU224" s="193"/>
      <c r="BV224" s="192"/>
      <c r="BW224" s="193"/>
      <c r="BX224" s="193"/>
      <c r="BY224" s="193"/>
      <c r="BZ224" s="193"/>
      <c r="CA224" s="192"/>
      <c r="CB224" s="193"/>
      <c r="CC224" s="193"/>
      <c r="CD224" s="193"/>
      <c r="CE224" s="193"/>
      <c r="CF224" s="192"/>
      <c r="CG224" s="193"/>
      <c r="CH224" s="193"/>
      <c r="CI224" s="193"/>
      <c r="CJ224" s="193"/>
      <c r="CK224" s="192"/>
      <c r="CL224" s="193"/>
      <c r="CM224" s="193"/>
      <c r="CN224" s="193"/>
      <c r="CO224" s="193"/>
      <c r="CP224" s="192"/>
      <c r="CQ224" s="193"/>
      <c r="CR224" s="193"/>
      <c r="CS224" s="193"/>
      <c r="CT224" s="193"/>
      <c r="CU224" s="193"/>
      <c r="CV224" s="193"/>
      <c r="CW224" s="193"/>
      <c r="CX224" s="193"/>
      <c r="CY224" s="193"/>
      <c r="CZ224" s="193"/>
      <c r="DA224" s="193"/>
      <c r="DB224" s="193"/>
      <c r="DC224" s="193"/>
      <c r="DD224" s="193"/>
      <c r="DE224" s="193"/>
      <c r="DF224" s="193"/>
      <c r="DG224" s="193"/>
      <c r="DH224" s="193"/>
      <c r="DI224" s="193"/>
      <c r="DJ224" s="193"/>
      <c r="DK224" s="193"/>
      <c r="DL224" s="193"/>
      <c r="DM224" s="193"/>
      <c r="DN224" s="193"/>
      <c r="DO224" s="193"/>
      <c r="DP224" s="193"/>
      <c r="DQ224" s="193"/>
      <c r="DR224" s="193"/>
      <c r="DS224" s="193"/>
      <c r="DT224" s="193"/>
      <c r="DU224" s="196"/>
      <c r="DV224" s="196"/>
      <c r="DW224" s="196"/>
      <c r="DX224" s="665"/>
      <c r="DY224" s="1191"/>
      <c r="DZ224" s="111">
        <f>DZ222/DZ106*1000/3</f>
        <v>26.841667465532367</v>
      </c>
      <c r="EA224" s="111">
        <f>EA222/EA106*1000/3</f>
        <v>24.637623069489589</v>
      </c>
      <c r="EB224" s="111">
        <f>EB222/EB106*1000/3</f>
        <v>26.085748567929674</v>
      </c>
      <c r="EC224" s="111">
        <f>EC222/EC106*1000/3</f>
        <v>26.05340167802186</v>
      </c>
      <c r="ED224" s="112">
        <f>ED222/ED106*1000/12</f>
        <v>25.904608094922271</v>
      </c>
      <c r="EE224" s="111">
        <f>EE222/AVERAGE(ED90:EE90)*1000/3</f>
        <v>25.174992758777638</v>
      </c>
      <c r="EF224" s="111">
        <f>EF222/AVERAGE(EE90:EF90)*1000/3</f>
        <v>23.942649981769303</v>
      </c>
      <c r="EG224" s="111">
        <f>EG222/AVERAGE(EF90:EG90)*1000/3</f>
        <v>23.935711679223814</v>
      </c>
      <c r="EH224" s="111">
        <f>EH222/AVERAGE(EG90:EH90)*1000/3</f>
        <v>22.41107411557989</v>
      </c>
      <c r="EI224" s="112">
        <f>EI222/EI106*1000/12</f>
        <v>23.818634520246036</v>
      </c>
      <c r="EJ224" s="111">
        <f>EJ222/AVERAGE(EI90:EJ90)*1000/3</f>
        <v>20.822452014115839</v>
      </c>
      <c r="EK224" s="111">
        <f>EK222/AVERAGE(EJ90:EK90)*1000/3</f>
        <v>19.388073381664544</v>
      </c>
      <c r="EL224" s="111">
        <f>EL222/AVERAGE(EK90:EL90)*1000/3</f>
        <v>19.797386846172731</v>
      </c>
      <c r="EM224" s="111">
        <f>EM222/AVERAGE(EL90:EM90)*1000/3</f>
        <v>17.010647263843335</v>
      </c>
      <c r="EN224" s="112">
        <f>EN222/EN106*1000/12</f>
        <v>19.157427310683453</v>
      </c>
      <c r="EO224" s="111">
        <f>EO222/AVERAGE(EN90:EO90)*1000/3</f>
        <v>16.349800788523755</v>
      </c>
      <c r="EP224" s="111">
        <f>EP222/AVERAGE(EO90:EP90)*1000/3</f>
        <v>16.357855147409648</v>
      </c>
      <c r="EQ224" s="111">
        <f>EQ222/AVERAGE(EP90:EQ90)*1000/3</f>
        <v>16.03983717371068</v>
      </c>
      <c r="ER224" s="111">
        <f>ER222/AVERAGE(EQ90:ER90)*1000/3</f>
        <v>13.803595062430787</v>
      </c>
      <c r="ES224" s="1294">
        <f>ES222/ES106*1000/12</f>
        <v>15.58173527990769</v>
      </c>
      <c r="ET224" s="111">
        <f>ET222/AVERAGE(ES90:ET90)*1000/3</f>
        <v>14.852540974759856</v>
      </c>
      <c r="EU224" s="111">
        <f>EU222/AVERAGE(ET90:EU90)*1000/3</f>
        <v>14.675919318776458</v>
      </c>
      <c r="EV224" s="111">
        <f>EV222/AVERAGE(EU90:EV90)*1000/3</f>
        <v>14.553510922771167</v>
      </c>
      <c r="EW224" s="111">
        <f>EW222/AVERAGE(EV90:EW90)*1000/3</f>
        <v>13.098205234518984</v>
      </c>
      <c r="EX224" s="1294">
        <f>EX222/EX106*1000/12</f>
        <v>14.262667235951541</v>
      </c>
      <c r="EY224" s="111">
        <f t="shared" ref="EY224" si="1109">ET224*(1+EY226)</f>
        <v>13.280868129966226</v>
      </c>
      <c r="EZ224" s="111">
        <f t="shared" ref="EZ224" si="1110">EU224*(1+EZ226)</f>
        <v>13.122936303620957</v>
      </c>
      <c r="FA224" s="111">
        <f t="shared" ref="FA224" si="1111">EV224*(1+FA226)</f>
        <v>13.013480974185434</v>
      </c>
      <c r="FB224" s="111">
        <f t="shared" ref="FB224" si="1112">EW224*(1+FB226)</f>
        <v>11.712173476208342</v>
      </c>
      <c r="FC224" s="1294">
        <f>FC222/FC106*1000/12</f>
        <v>12.758479719094481</v>
      </c>
      <c r="FD224" s="1294">
        <f t="shared" ref="FD224:FI224" si="1113">FC224*(1+FD226)</f>
        <v>12.152981776492092</v>
      </c>
      <c r="FE224" s="1294">
        <f t="shared" si="1113"/>
        <v>11.727627414314869</v>
      </c>
      <c r="FF224" s="1294">
        <f t="shared" si="1113"/>
        <v>11.81558461992223</v>
      </c>
      <c r="FG224" s="1294">
        <f t="shared" si="1113"/>
        <v>11.902872251301908</v>
      </c>
      <c r="FH224" s="1294">
        <f t="shared" si="1113"/>
        <v>11.989485733027054</v>
      </c>
      <c r="FI224" s="1294">
        <f t="shared" si="1113"/>
        <v>12.075420817877527</v>
      </c>
      <c r="FJ224" s="193"/>
      <c r="FK224" s="193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</row>
    <row r="225" spans="1:177" ht="12.75" customHeight="1" x14ac:dyDescent="0.3">
      <c r="A225" s="70" t="s">
        <v>390</v>
      </c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  <c r="AW225" s="193"/>
      <c r="AX225" s="193"/>
      <c r="AY225" s="193"/>
      <c r="AZ225" s="193"/>
      <c r="BA225" s="193"/>
      <c r="BB225" s="193"/>
      <c r="BC225" s="193"/>
      <c r="BD225" s="193"/>
      <c r="BE225" s="193"/>
      <c r="BF225" s="193"/>
      <c r="BG225" s="193"/>
      <c r="BH225" s="193"/>
      <c r="BI225" s="193"/>
      <c r="BJ225" s="193"/>
      <c r="BK225" s="193"/>
      <c r="BL225" s="192"/>
      <c r="BM225" s="192"/>
      <c r="BN225" s="192"/>
      <c r="BO225" s="192"/>
      <c r="BP225" s="192"/>
      <c r="BQ225" s="192"/>
      <c r="BR225" s="193"/>
      <c r="BS225" s="193"/>
      <c r="BT225" s="193"/>
      <c r="BU225" s="193"/>
      <c r="BV225" s="192"/>
      <c r="BW225" s="193"/>
      <c r="BX225" s="193"/>
      <c r="BY225" s="193"/>
      <c r="BZ225" s="193"/>
      <c r="CA225" s="192"/>
      <c r="CB225" s="193"/>
      <c r="CC225" s="193"/>
      <c r="CD225" s="193"/>
      <c r="CE225" s="193"/>
      <c r="CF225" s="192"/>
      <c r="CG225" s="193"/>
      <c r="CH225" s="193"/>
      <c r="CI225" s="193"/>
      <c r="CJ225" s="193"/>
      <c r="CK225" s="192"/>
      <c r="CL225" s="193"/>
      <c r="CM225" s="193"/>
      <c r="CN225" s="193"/>
      <c r="CO225" s="193"/>
      <c r="CP225" s="192"/>
      <c r="CQ225" s="193"/>
      <c r="CR225" s="193"/>
      <c r="CS225" s="193"/>
      <c r="CT225" s="193"/>
      <c r="CU225" s="193"/>
      <c r="CV225" s="193"/>
      <c r="CW225" s="193"/>
      <c r="CX225" s="193"/>
      <c r="CY225" s="193"/>
      <c r="CZ225" s="193"/>
      <c r="DA225" s="193"/>
      <c r="DB225" s="193"/>
      <c r="DC225" s="193"/>
      <c r="DD225" s="193"/>
      <c r="DE225" s="193"/>
      <c r="DF225" s="193"/>
      <c r="DG225" s="193"/>
      <c r="DH225" s="193"/>
      <c r="DI225" s="193"/>
      <c r="DJ225" s="193"/>
      <c r="DK225" s="193"/>
      <c r="DL225" s="193"/>
      <c r="DM225" s="193"/>
      <c r="DN225" s="193"/>
      <c r="DO225" s="193"/>
      <c r="DP225" s="193"/>
      <c r="DQ225" s="193"/>
      <c r="DR225" s="193"/>
      <c r="DS225" s="193"/>
      <c r="DT225" s="193"/>
      <c r="DU225" s="196"/>
      <c r="DV225" s="196"/>
      <c r="DW225" s="196"/>
      <c r="DX225" s="665"/>
      <c r="DY225" s="1191"/>
      <c r="DZ225" s="75"/>
      <c r="EA225" s="75">
        <f>EA224/DZ224-1</f>
        <v>-8.211279716034825E-2</v>
      </c>
      <c r="EB225" s="75">
        <f>EB224/EA224-1</f>
        <v>5.8776997048607171E-2</v>
      </c>
      <c r="EC225" s="75">
        <f>EC224/EB224-1</f>
        <v>-1.24002153220093E-3</v>
      </c>
      <c r="ED225" s="84"/>
      <c r="EE225" s="75">
        <f>EE224/EC224-1</f>
        <v>-3.3715709376454739E-2</v>
      </c>
      <c r="EF225" s="75">
        <f t="shared" ref="EF225:EW225" si="1114">EF224/EE224-1</f>
        <v>-4.8951067784464786E-2</v>
      </c>
      <c r="EG225" s="75">
        <f t="shared" si="1114"/>
        <v>-2.8978841317783832E-4</v>
      </c>
      <c r="EH225" s="75">
        <f t="shared" si="1114"/>
        <v>-6.3697189541571442E-2</v>
      </c>
      <c r="EI225" s="84"/>
      <c r="EJ225" s="75">
        <f t="shared" si="1114"/>
        <v>-0.12579153114690167</v>
      </c>
      <c r="EK225" s="75">
        <f t="shared" si="1114"/>
        <v>-6.8886153824674889E-2</v>
      </c>
      <c r="EL225" s="75">
        <f t="shared" si="1114"/>
        <v>2.111161106370063E-2</v>
      </c>
      <c r="EM225" s="75">
        <f t="shared" si="1114"/>
        <v>-0.1407630008941374</v>
      </c>
      <c r="EN225" s="84"/>
      <c r="EO225" s="75">
        <f t="shared" si="1114"/>
        <v>-0.1465555096009149</v>
      </c>
      <c r="EP225" s="75">
        <f t="shared" si="1114"/>
        <v>4.9262734085098181E-4</v>
      </c>
      <c r="EQ225" s="75">
        <f t="shared" si="1114"/>
        <v>-1.9441300270306439E-2</v>
      </c>
      <c r="ER225" s="75">
        <f t="shared" si="1114"/>
        <v>-0.1394180057479073</v>
      </c>
      <c r="ES225" s="127"/>
      <c r="ET225" s="75">
        <f t="shared" si="1114"/>
        <v>-4.6798016526959918E-2</v>
      </c>
      <c r="EU225" s="75">
        <f t="shared" si="1114"/>
        <v>-1.1891679429368085E-2</v>
      </c>
      <c r="EV225" s="75">
        <f t="shared" si="1114"/>
        <v>-8.3407651232233482E-3</v>
      </c>
      <c r="EW225" s="75">
        <f t="shared" si="1114"/>
        <v>-9.9996880201267291E-2</v>
      </c>
      <c r="EX225" s="127"/>
      <c r="EY225" s="75">
        <f t="shared" ref="EY225" si="1115">EY224/EX224-1</f>
        <v>-6.8836991689080418E-2</v>
      </c>
      <c r="EZ225" s="75">
        <f t="shared" ref="EZ225" si="1116">EZ224/EY224-1</f>
        <v>-1.1891679429368085E-2</v>
      </c>
      <c r="FA225" s="75">
        <f t="shared" ref="FA225" si="1117">FA224/EZ224-1</f>
        <v>-8.3407651232233482E-3</v>
      </c>
      <c r="FB225" s="75">
        <f t="shared" ref="FB225" si="1118">FB224/FA224-1</f>
        <v>-9.9996880201267291E-2</v>
      </c>
      <c r="FC225" s="127"/>
      <c r="FD225" s="126"/>
      <c r="FE225" s="126"/>
      <c r="FF225" s="126"/>
      <c r="FG225" s="126"/>
      <c r="FH225" s="126"/>
      <c r="FI225" s="126"/>
      <c r="FJ225" s="193"/>
      <c r="FK225" s="193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</row>
    <row r="226" spans="1:177" ht="12.75" customHeight="1" x14ac:dyDescent="0.3">
      <c r="A226" s="70" t="s">
        <v>387</v>
      </c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  <c r="AW226" s="193"/>
      <c r="AX226" s="193"/>
      <c r="AY226" s="193"/>
      <c r="AZ226" s="193"/>
      <c r="BA226" s="193"/>
      <c r="BB226" s="193"/>
      <c r="BC226" s="193"/>
      <c r="BD226" s="193"/>
      <c r="BE226" s="193"/>
      <c r="BF226" s="193"/>
      <c r="BG226" s="193"/>
      <c r="BH226" s="193"/>
      <c r="BI226" s="193"/>
      <c r="BJ226" s="193"/>
      <c r="BK226" s="193"/>
      <c r="BL226" s="192"/>
      <c r="BM226" s="192"/>
      <c r="BN226" s="192"/>
      <c r="BO226" s="192"/>
      <c r="BP226" s="192"/>
      <c r="BQ226" s="192"/>
      <c r="BR226" s="193"/>
      <c r="BS226" s="193"/>
      <c r="BT226" s="193"/>
      <c r="BU226" s="193"/>
      <c r="BV226" s="192"/>
      <c r="BW226" s="193"/>
      <c r="BX226" s="193"/>
      <c r="BY226" s="193"/>
      <c r="BZ226" s="193"/>
      <c r="CA226" s="192"/>
      <c r="CB226" s="193"/>
      <c r="CC226" s="193"/>
      <c r="CD226" s="193"/>
      <c r="CE226" s="193"/>
      <c r="CF226" s="192"/>
      <c r="CG226" s="193"/>
      <c r="CH226" s="193"/>
      <c r="CI226" s="193"/>
      <c r="CJ226" s="193"/>
      <c r="CK226" s="192"/>
      <c r="CL226" s="193"/>
      <c r="CM226" s="193"/>
      <c r="CN226" s="193"/>
      <c r="CO226" s="193"/>
      <c r="CP226" s="192"/>
      <c r="CQ226" s="193"/>
      <c r="CR226" s="193"/>
      <c r="CS226" s="193"/>
      <c r="CT226" s="193"/>
      <c r="CU226" s="193"/>
      <c r="CV226" s="193"/>
      <c r="CW226" s="193"/>
      <c r="CX226" s="193"/>
      <c r="CY226" s="193"/>
      <c r="CZ226" s="193"/>
      <c r="DA226" s="193"/>
      <c r="DB226" s="193"/>
      <c r="DC226" s="193"/>
      <c r="DD226" s="193"/>
      <c r="DE226" s="193"/>
      <c r="DF226" s="193"/>
      <c r="DG226" s="193"/>
      <c r="DH226" s="193"/>
      <c r="DI226" s="193"/>
      <c r="DJ226" s="193"/>
      <c r="DK226" s="193"/>
      <c r="DL226" s="193"/>
      <c r="DM226" s="193"/>
      <c r="DN226" s="193"/>
      <c r="DO226" s="193"/>
      <c r="DP226" s="193"/>
      <c r="DQ226" s="193"/>
      <c r="DR226" s="193"/>
      <c r="DS226" s="193"/>
      <c r="DT226" s="193"/>
      <c r="DU226" s="196"/>
      <c r="DV226" s="196"/>
      <c r="DW226" s="196"/>
      <c r="DX226" s="665"/>
      <c r="DY226" s="1191"/>
      <c r="DZ226" s="197"/>
      <c r="EB226" s="665"/>
      <c r="EC226" s="665"/>
      <c r="ED226" s="1204"/>
      <c r="EE226" s="75">
        <f t="shared" ref="EE226:EW226" si="1119">+EE224/DZ224-1</f>
        <v>-6.2092815541170188E-2</v>
      </c>
      <c r="EF226" s="75">
        <f t="shared" si="1119"/>
        <v>-2.820779771490689E-2</v>
      </c>
      <c r="EG226" s="75">
        <f t="shared" si="1119"/>
        <v>-8.2421897271108269E-2</v>
      </c>
      <c r="EH226" s="75">
        <f t="shared" si="1119"/>
        <v>-0.13980238002911405</v>
      </c>
      <c r="EI226" s="84">
        <f t="shared" si="1119"/>
        <v>-8.0525193318215837E-2</v>
      </c>
      <c r="EJ226" s="75">
        <f t="shared" si="1119"/>
        <v>-0.17289143978578581</v>
      </c>
      <c r="EK226" s="75">
        <f t="shared" si="1119"/>
        <v>-0.19022859222236299</v>
      </c>
      <c r="EL226" s="75">
        <f t="shared" si="1119"/>
        <v>-0.17289332728064011</v>
      </c>
      <c r="EM226" s="75">
        <f t="shared" si="1119"/>
        <v>-0.24097135299651917</v>
      </c>
      <c r="EN226" s="84">
        <f t="shared" si="1119"/>
        <v>-0.19569581982546136</v>
      </c>
      <c r="EO226" s="75">
        <f t="shared" si="1119"/>
        <v>-0.21479944929444472</v>
      </c>
      <c r="EP226" s="75">
        <f t="shared" si="1119"/>
        <v>-0.15629290103268323</v>
      </c>
      <c r="EQ226" s="75">
        <f t="shared" si="1119"/>
        <v>-0.18980028534364213</v>
      </c>
      <c r="ER226" s="75">
        <f t="shared" si="1119"/>
        <v>-0.18853205005486406</v>
      </c>
      <c r="ES226" s="127">
        <f t="shared" ref="ES226" si="1120">+ES224/EN224-1</f>
        <v>-0.18664781929156637</v>
      </c>
      <c r="ET226" s="75">
        <f t="shared" si="1119"/>
        <v>-9.1576639564615037E-2</v>
      </c>
      <c r="EU226" s="75">
        <f t="shared" si="1119"/>
        <v>-0.10282129371340798</v>
      </c>
      <c r="EV226" s="75">
        <f t="shared" si="1119"/>
        <v>-9.2664672018965666E-2</v>
      </c>
      <c r="EW226" s="75">
        <f t="shared" si="1119"/>
        <v>-5.1101892276720129E-2</v>
      </c>
      <c r="EX226" s="127">
        <f t="shared" ref="EX226" si="1121">+EX224/ES224-1</f>
        <v>-8.4654758937989238E-2</v>
      </c>
      <c r="EY226" s="87">
        <f>EX226*1.25</f>
        <v>-0.10581844867248655</v>
      </c>
      <c r="EZ226" s="87">
        <f>EY226</f>
        <v>-0.10581844867248655</v>
      </c>
      <c r="FA226" s="87">
        <f t="shared" ref="FA226:FB226" si="1122">EZ226</f>
        <v>-0.10581844867248655</v>
      </c>
      <c r="FB226" s="87">
        <f t="shared" si="1122"/>
        <v>-0.10581844867248655</v>
      </c>
      <c r="FC226" s="127">
        <f t="shared" ref="FC226" si="1123">+FC224/EX224-1</f>
        <v>-0.10546326938523065</v>
      </c>
      <c r="FD226" s="1344">
        <f>FC226*0.45</f>
        <v>-4.7458471223353796E-2</v>
      </c>
      <c r="FE226" s="1344">
        <v>-3.5000000000000003E-2</v>
      </c>
      <c r="FF226" s="1344">
        <v>7.4999999999999997E-3</v>
      </c>
      <c r="FG226" s="1344">
        <f>FF226*0.985</f>
        <v>7.3875E-3</v>
      </c>
      <c r="FH226" s="1344">
        <f t="shared" ref="FH226:FI226" si="1124">FG226*0.985</f>
        <v>7.2766875000000002E-3</v>
      </c>
      <c r="FI226" s="1344">
        <f t="shared" si="1124"/>
        <v>7.1675371874999998E-3</v>
      </c>
      <c r="FJ226" s="193"/>
      <c r="FK226" s="193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</row>
    <row r="227" spans="1:177" x14ac:dyDescent="0.3">
      <c r="A227" s="61" t="s">
        <v>391</v>
      </c>
      <c r="DU227" s="111"/>
      <c r="DV227" s="111"/>
      <c r="DW227" s="111"/>
      <c r="DX227" s="111"/>
      <c r="DY227" s="112"/>
      <c r="DZ227" s="111">
        <f>+DZ222/DZ183/3*1000</f>
        <v>66.228497259948412</v>
      </c>
      <c r="EA227" s="111">
        <f t="shared" ref="EA227:EG227" si="1125">+EA222/EA183/3*1000</f>
        <v>60.575676172272168</v>
      </c>
      <c r="EB227" s="111">
        <f t="shared" si="1125"/>
        <v>63.959866561920165</v>
      </c>
      <c r="EC227" s="111">
        <f t="shared" si="1125"/>
        <v>64.143127171471804</v>
      </c>
      <c r="ED227" s="112">
        <f>+ED222/ED183/12*1000</f>
        <v>63.724508010583591</v>
      </c>
      <c r="EE227" s="112">
        <f>+EE222/EE183/3*1000</f>
        <v>62.981987169043613</v>
      </c>
      <c r="EF227" s="111">
        <f t="shared" si="1125"/>
        <v>61.626068862032817</v>
      </c>
      <c r="EG227" s="111">
        <f t="shared" si="1125"/>
        <v>63.640322341311965</v>
      </c>
      <c r="EH227" s="111">
        <f t="shared" ref="EH227:EJ227" si="1126">+EH222/EH183/3*1000</f>
        <v>61.01452557023552</v>
      </c>
      <c r="EI227" s="112">
        <f>+EI222/EI183/12*1000</f>
        <v>62.305465912445406</v>
      </c>
      <c r="EJ227" s="111">
        <f t="shared" si="1126"/>
        <v>57.618973565861687</v>
      </c>
      <c r="EK227" s="111">
        <f t="shared" ref="EK227:EL227" si="1127">+EK222/EK183/3*1000</f>
        <v>54.864801468785409</v>
      </c>
      <c r="EL227" s="111">
        <f t="shared" si="1127"/>
        <v>57.856264472238166</v>
      </c>
      <c r="EM227" s="111">
        <f t="shared" ref="EM227" si="1128">+EM222/EM183/3*1000</f>
        <v>51.330826233003172</v>
      </c>
      <c r="EN227" s="112">
        <f>+EN222/EN183/12*1000</f>
        <v>55.335456384600874</v>
      </c>
      <c r="EO227" s="111">
        <f t="shared" ref="EO227:EP227" si="1129">+EO222/EO183/3*1000</f>
        <v>50.384368788869651</v>
      </c>
      <c r="EP227" s="111">
        <f t="shared" si="1129"/>
        <v>51.210341328648376</v>
      </c>
      <c r="EQ227" s="111">
        <f t="shared" ref="EQ227:ER227" si="1130">+EQ222/EQ183/3*1000</f>
        <v>51.027716668369727</v>
      </c>
      <c r="ER227" s="111">
        <f t="shared" si="1130"/>
        <v>44.427906856154465</v>
      </c>
      <c r="ES227" s="1294">
        <f>+ES222/ES183/12*1000</f>
        <v>49.167204464806126</v>
      </c>
      <c r="ET227" s="111">
        <f t="shared" ref="ET227:EU227" si="1131">+ET222/ET183/3*1000</f>
        <v>48.171186038080229</v>
      </c>
      <c r="EU227" s="111">
        <f t="shared" si="1131"/>
        <v>48.030904561731262</v>
      </c>
      <c r="EV227" s="111">
        <f t="shared" ref="EV227:EW227" si="1132">+EV222/EV183/3*1000</f>
        <v>48.001908070353892</v>
      </c>
      <c r="EW227" s="111">
        <f t="shared" si="1132"/>
        <v>43.050533739655414</v>
      </c>
      <c r="EX227" s="1294">
        <f>+EX222/EX183/12*1000</f>
        <v>46.7264252304808</v>
      </c>
      <c r="EY227" s="111">
        <f t="shared" ref="EY227:FB227" si="1133">+EY222/EY183/3*1000</f>
        <v>43.291597390405279</v>
      </c>
      <c r="EZ227" s="111">
        <f t="shared" si="1133"/>
        <v>42.695187686732055</v>
      </c>
      <c r="FA227" s="111">
        <f t="shared" si="1133"/>
        <v>42.324238897737985</v>
      </c>
      <c r="FB227" s="111">
        <f t="shared" si="1133"/>
        <v>37.655193131516839</v>
      </c>
      <c r="FC227" s="1294">
        <f>+FC222/FC183/12*1000</f>
        <v>41.393250083304125</v>
      </c>
      <c r="FD227" s="1295">
        <f t="shared" ref="FD227:FI227" si="1134">+FD222/FD183/12*1000</f>
        <v>37.307740973056262</v>
      </c>
      <c r="FE227" s="1295">
        <f t="shared" si="1134"/>
        <v>32.865899097292349</v>
      </c>
      <c r="FF227" s="1295">
        <f t="shared" si="1134"/>
        <v>30.161706001441598</v>
      </c>
      <c r="FG227" s="1295">
        <f t="shared" si="1134"/>
        <v>28.550595674886772</v>
      </c>
      <c r="FH227" s="1295">
        <f t="shared" si="1134"/>
        <v>27.589808970090559</v>
      </c>
      <c r="FI227" s="1295">
        <f t="shared" si="1134"/>
        <v>27.092620657989414</v>
      </c>
    </row>
    <row r="228" spans="1:177" x14ac:dyDescent="0.3">
      <c r="A228" s="70" t="s">
        <v>387</v>
      </c>
      <c r="DZ228" s="75"/>
      <c r="EA228" s="75"/>
      <c r="EB228" s="75"/>
      <c r="EC228" s="75"/>
      <c r="ED228" s="84"/>
      <c r="EE228" s="75">
        <f t="shared" ref="EE228" si="1135">+EE227/DZ227-1</f>
        <v>-4.9019836252092053E-2</v>
      </c>
      <c r="EF228" s="75">
        <f t="shared" ref="EF228" si="1136">+EF227/EA227-1</f>
        <v>1.7340172758012917E-2</v>
      </c>
      <c r="EG228" s="75">
        <f t="shared" ref="EG228:EW228" si="1137">+EG227/EB227-1</f>
        <v>-4.9960113706436493E-3</v>
      </c>
      <c r="EH228" s="75">
        <f t="shared" si="1137"/>
        <v>-4.877532074282398E-2</v>
      </c>
      <c r="EI228" s="84">
        <f t="shared" ref="EI228" si="1138">+EI227/ED227-1</f>
        <v>-2.2268388449582122E-2</v>
      </c>
      <c r="EJ228" s="75">
        <f t="shared" si="1137"/>
        <v>-8.5151546406238343E-2</v>
      </c>
      <c r="EK228" s="75">
        <f t="shared" si="1137"/>
        <v>-0.109714403629808</v>
      </c>
      <c r="EL228" s="75">
        <f t="shared" si="1137"/>
        <v>-9.0886684043696153E-2</v>
      </c>
      <c r="EM228" s="75">
        <f t="shared" si="1137"/>
        <v>-0.15871137645879374</v>
      </c>
      <c r="EN228" s="84">
        <f t="shared" ref="EN228" si="1139">+EN227/EI227-1</f>
        <v>-0.1118683477568263</v>
      </c>
      <c r="EO228" s="75">
        <f t="shared" si="1137"/>
        <v>-0.12555941783174041</v>
      </c>
      <c r="EP228" s="75">
        <f t="shared" si="1137"/>
        <v>-6.6608463756424707E-2</v>
      </c>
      <c r="EQ228" s="75">
        <f t="shared" si="1137"/>
        <v>-0.11802607489712824</v>
      </c>
      <c r="ER228" s="75">
        <f t="shared" si="1137"/>
        <v>-0.13447902329712502</v>
      </c>
      <c r="ES228" s="127">
        <f t="shared" ref="ES228" si="1140">+ES227/EN227-1</f>
        <v>-0.11147015535433968</v>
      </c>
      <c r="ET228" s="75">
        <f t="shared" si="1137"/>
        <v>-4.3925979504943813E-2</v>
      </c>
      <c r="EU228" s="75">
        <f t="shared" si="1137"/>
        <v>-6.2085834314454247E-2</v>
      </c>
      <c r="EV228" s="75">
        <f t="shared" si="1137"/>
        <v>-5.9297354370775213E-2</v>
      </c>
      <c r="EW228" s="75">
        <f t="shared" si="1137"/>
        <v>-3.100243099362332E-2</v>
      </c>
      <c r="EX228" s="127">
        <f t="shared" ref="EX228" si="1141">+EX227/ES227-1</f>
        <v>-4.9642424475697777E-2</v>
      </c>
      <c r="EY228" s="75">
        <f t="shared" ref="EY228" si="1142">+EY227/ET227-1</f>
        <v>-0.10129683424895419</v>
      </c>
      <c r="EZ228" s="75">
        <f t="shared" ref="EZ228" si="1143">+EZ227/EU227-1</f>
        <v>-0.11108924397085895</v>
      </c>
      <c r="FA228" s="75">
        <f t="shared" ref="FA228" si="1144">+FA227/EV227-1</f>
        <v>-0.11828007262324747</v>
      </c>
      <c r="FB228" s="75">
        <f t="shared" ref="FB228:FC228" si="1145">+FB227/EW227-1</f>
        <v>-0.1253257541652435</v>
      </c>
      <c r="FC228" s="127">
        <f t="shared" si="1145"/>
        <v>-0.11413616857849662</v>
      </c>
      <c r="FD228" s="126">
        <f t="shared" ref="FD228:FI228" si="1146">+FD227/FC227-1</f>
        <v>-9.8699887107819628E-2</v>
      </c>
      <c r="FE228" s="126">
        <f t="shared" si="1146"/>
        <v>-0.11905952383908269</v>
      </c>
      <c r="FF228" s="126">
        <f t="shared" si="1146"/>
        <v>-8.2279601962069404E-2</v>
      </c>
      <c r="FG228" s="126">
        <f t="shared" si="1146"/>
        <v>-5.3415755941584431E-2</v>
      </c>
      <c r="FH228" s="126">
        <f t="shared" si="1146"/>
        <v>-3.3652072122660637E-2</v>
      </c>
      <c r="FI228" s="126">
        <f t="shared" si="1146"/>
        <v>-1.8020723254740023E-2</v>
      </c>
    </row>
    <row r="229" spans="1:177" ht="12.75" customHeight="1" x14ac:dyDescent="0.3">
      <c r="A229" s="192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  <c r="AW229" s="193"/>
      <c r="AX229" s="193"/>
      <c r="AY229" s="193"/>
      <c r="AZ229" s="193"/>
      <c r="BA229" s="193"/>
      <c r="BB229" s="193"/>
      <c r="BC229" s="193"/>
      <c r="BD229" s="193"/>
      <c r="BE229" s="193"/>
      <c r="BF229" s="193"/>
      <c r="BG229" s="193"/>
      <c r="BH229" s="193"/>
      <c r="BI229" s="193"/>
      <c r="BJ229" s="193"/>
      <c r="BK229" s="193"/>
      <c r="BL229" s="192"/>
      <c r="BM229" s="192"/>
      <c r="BN229" s="192"/>
      <c r="BO229" s="192"/>
      <c r="BP229" s="192"/>
      <c r="BQ229" s="192"/>
      <c r="BR229" s="193"/>
      <c r="BS229" s="193"/>
      <c r="BT229" s="193"/>
      <c r="BU229" s="193"/>
      <c r="BV229" s="192"/>
      <c r="BW229" s="193"/>
      <c r="BX229" s="193"/>
      <c r="BY229" s="193"/>
      <c r="BZ229" s="193"/>
      <c r="CA229" s="192"/>
      <c r="CB229" s="193"/>
      <c r="CC229" s="193"/>
      <c r="CD229" s="193"/>
      <c r="CE229" s="193"/>
      <c r="CF229" s="192"/>
      <c r="CG229" s="193"/>
      <c r="CH229" s="193"/>
      <c r="CI229" s="193"/>
      <c r="CJ229" s="193"/>
      <c r="CK229" s="192"/>
      <c r="CL229" s="193"/>
      <c r="CM229" s="193"/>
      <c r="CN229" s="193"/>
      <c r="CO229" s="193"/>
      <c r="CP229" s="192"/>
      <c r="CQ229" s="193"/>
      <c r="CR229" s="193"/>
      <c r="CS229" s="193"/>
      <c r="CT229" s="193"/>
      <c r="CU229" s="193"/>
      <c r="CV229" s="193"/>
      <c r="CW229" s="193"/>
      <c r="CX229" s="193"/>
      <c r="CY229" s="193"/>
      <c r="CZ229" s="193"/>
      <c r="DA229" s="193"/>
      <c r="DB229" s="193"/>
      <c r="DC229" s="193"/>
      <c r="DD229" s="193"/>
      <c r="DE229" s="193"/>
      <c r="DF229" s="193"/>
      <c r="DG229" s="193"/>
      <c r="DH229" s="193"/>
      <c r="DI229" s="193"/>
      <c r="DJ229" s="193"/>
      <c r="DK229" s="193"/>
      <c r="DL229" s="193"/>
      <c r="DM229" s="193"/>
      <c r="DN229" s="193"/>
      <c r="DO229" s="193"/>
      <c r="DP229" s="193"/>
      <c r="DQ229" s="193"/>
      <c r="DR229" s="193"/>
      <c r="DS229" s="193"/>
      <c r="DT229" s="193"/>
      <c r="DU229" s="196"/>
      <c r="DV229" s="196"/>
      <c r="DW229" s="196"/>
      <c r="DX229" s="665"/>
      <c r="DY229" s="1191"/>
      <c r="DZ229" s="197"/>
      <c r="EB229" s="665"/>
      <c r="EC229" s="665"/>
      <c r="ED229" s="1204"/>
      <c r="EE229" s="197"/>
      <c r="EF229" s="197"/>
      <c r="EG229" s="197"/>
      <c r="EH229" s="197"/>
      <c r="EI229" s="1191"/>
      <c r="EJ229" s="197"/>
      <c r="EK229" s="197"/>
      <c r="EL229" s="197"/>
      <c r="EM229" s="197"/>
      <c r="EN229" s="1192"/>
      <c r="EO229" s="197"/>
      <c r="EP229" s="197"/>
      <c r="EQ229" s="197"/>
      <c r="ER229" s="197"/>
      <c r="ES229" s="198"/>
      <c r="ET229" s="197"/>
      <c r="EU229" s="197"/>
      <c r="EV229" s="197"/>
      <c r="EW229" s="197"/>
      <c r="EX229" s="198"/>
      <c r="EY229" s="197"/>
      <c r="EZ229" s="197"/>
      <c r="FA229" s="197"/>
      <c r="FB229" s="197"/>
      <c r="FC229" s="198"/>
      <c r="FD229" s="198"/>
      <c r="FE229" s="198"/>
      <c r="FF229" s="198"/>
      <c r="FG229" s="198"/>
      <c r="FH229" s="198"/>
      <c r="FI229" s="198"/>
      <c r="FJ229" s="193"/>
      <c r="FK229" s="193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</row>
    <row r="230" spans="1:177" ht="12.75" customHeight="1" x14ac:dyDescent="0.3">
      <c r="A230" s="60" t="s">
        <v>392</v>
      </c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  <c r="AW230" s="193"/>
      <c r="AX230" s="193"/>
      <c r="AY230" s="193"/>
      <c r="AZ230" s="193"/>
      <c r="BA230" s="193"/>
      <c r="BB230" s="193"/>
      <c r="BC230" s="193"/>
      <c r="BD230" s="193"/>
      <c r="BE230" s="193"/>
      <c r="BF230" s="193"/>
      <c r="BG230" s="193"/>
      <c r="BH230" s="193"/>
      <c r="BI230" s="193"/>
      <c r="BJ230" s="193"/>
      <c r="BK230" s="193"/>
      <c r="BL230" s="192"/>
      <c r="BM230" s="192"/>
      <c r="BN230" s="192"/>
      <c r="BO230" s="192"/>
      <c r="BP230" s="192"/>
      <c r="BQ230" s="192"/>
      <c r="BR230" s="193"/>
      <c r="BS230" s="193"/>
      <c r="BT230" s="193"/>
      <c r="BU230" s="193"/>
      <c r="BV230" s="192"/>
      <c r="BW230" s="193"/>
      <c r="BX230" s="193"/>
      <c r="BY230" s="193"/>
      <c r="BZ230" s="193"/>
      <c r="CA230" s="192"/>
      <c r="CB230" s="193"/>
      <c r="CC230" s="193"/>
      <c r="CD230" s="193"/>
      <c r="CE230" s="193"/>
      <c r="CF230" s="192"/>
      <c r="CG230" s="193"/>
      <c r="CH230" s="193"/>
      <c r="CI230" s="193"/>
      <c r="CJ230" s="193"/>
      <c r="CK230" s="192"/>
      <c r="CL230" s="193"/>
      <c r="CM230" s="193"/>
      <c r="CN230" s="193"/>
      <c r="CO230" s="193"/>
      <c r="CP230" s="192"/>
      <c r="CQ230" s="193"/>
      <c r="CR230" s="193"/>
      <c r="CS230" s="193"/>
      <c r="CT230" s="193"/>
      <c r="CU230" s="193"/>
      <c r="CV230" s="193"/>
      <c r="CW230" s="193"/>
      <c r="CX230" s="193"/>
      <c r="CY230" s="193"/>
      <c r="CZ230" s="193"/>
      <c r="DA230" s="193"/>
      <c r="DB230" s="193"/>
      <c r="DC230" s="193"/>
      <c r="DD230" s="193"/>
      <c r="DE230" s="193"/>
      <c r="DF230" s="193"/>
      <c r="DG230" s="193"/>
      <c r="DH230" s="193"/>
      <c r="DI230" s="193"/>
      <c r="DJ230" s="193"/>
      <c r="DK230" s="193"/>
      <c r="DL230" s="193"/>
      <c r="DM230" s="193"/>
      <c r="DN230" s="193"/>
      <c r="DO230" s="193"/>
      <c r="DP230" s="193"/>
      <c r="DQ230" s="193"/>
      <c r="DR230" s="193"/>
      <c r="DS230" s="193"/>
      <c r="DT230" s="193"/>
      <c r="DU230" s="196"/>
      <c r="DV230" s="196"/>
      <c r="DW230" s="196"/>
      <c r="DX230" s="665"/>
      <c r="DY230" s="1191"/>
      <c r="DZ230" s="85">
        <f>DZ232*DZ183*3/1000</f>
        <v>58.863130522558599</v>
      </c>
      <c r="EA230" s="85">
        <f>EA232*EA183*3/1000</f>
        <v>59.227249253906251</v>
      </c>
      <c r="EB230" s="85">
        <f>EB232*EB183*3/1000</f>
        <v>59.546473593750001</v>
      </c>
      <c r="EC230" s="85">
        <f>EC232*EC183*3/1000</f>
        <v>59.933306249999994</v>
      </c>
      <c r="ED230" s="85">
        <f>SUM(DZ230:EC230)</f>
        <v>237.57015962021484</v>
      </c>
      <c r="EE230" s="85">
        <f>EE232*EE183*3/1000</f>
        <v>60.455249999999999</v>
      </c>
      <c r="EF230" s="85">
        <f>EF232*EF183*3/1000</f>
        <v>61.042499999999997</v>
      </c>
      <c r="EG230" s="85">
        <f>EG232*EG183*3/1000</f>
        <v>61.987499999999997</v>
      </c>
      <c r="EH230" s="85">
        <f>EH232*EH183*3/1000</f>
        <v>63.652500000000003</v>
      </c>
      <c r="EI230" s="85">
        <f>SUM(EE230:EH230)</f>
        <v>247.13775000000001</v>
      </c>
      <c r="EJ230" s="85">
        <f>EJ232*EJ183*3/1000</f>
        <v>65.902500000000018</v>
      </c>
      <c r="EK230" s="85">
        <f>EK232*EK183*3/1000</f>
        <v>68.355000000000018</v>
      </c>
      <c r="EL230" s="85">
        <f>EL232*EL183*3/1000</f>
        <v>71.055000000000021</v>
      </c>
      <c r="EM230" s="85">
        <f>EM232*EM183*3/1000</f>
        <v>74.272500000000008</v>
      </c>
      <c r="EN230" s="85">
        <f>SUM(EJ230:EM230)</f>
        <v>279.58500000000004</v>
      </c>
      <c r="EO230" s="85">
        <f>EO232*EO183*3/1000</f>
        <v>77.985000000000014</v>
      </c>
      <c r="EP230" s="85">
        <f>EP232*EP183*3/1000</f>
        <v>81.472500000000011</v>
      </c>
      <c r="EQ230" s="85">
        <f>EQ232*EQ183*3/1000</f>
        <v>84.757500000000022</v>
      </c>
      <c r="ER230" s="85">
        <f>ER232*ER183*3/1000</f>
        <v>88.425000000000011</v>
      </c>
      <c r="ES230" s="85">
        <f>SUM(EO230:ER230)</f>
        <v>332.6400000000001</v>
      </c>
      <c r="ET230" s="85">
        <f>ET232*ET183*3/1000</f>
        <v>92.29500000000003</v>
      </c>
      <c r="EU230" s="85">
        <f>EU232*EU183*3/1000</f>
        <v>96.345000000000027</v>
      </c>
      <c r="EV230" s="85">
        <f>EV232*EV183*3/1000</f>
        <v>100.84500000000004</v>
      </c>
      <c r="EW230" s="85">
        <f>EW232*EW183*3/1000</f>
        <v>105.45750000000004</v>
      </c>
      <c r="EX230" s="85">
        <f>SUM(ET230:EW230)</f>
        <v>394.94250000000011</v>
      </c>
      <c r="EY230" s="85">
        <f t="shared" ref="EY230:FB230" si="1147">EY232*EY183*3/1000</f>
        <v>110.16545935659784</v>
      </c>
      <c r="EZ230" s="85">
        <f t="shared" si="1147"/>
        <v>115.16817839706168</v>
      </c>
      <c r="FA230" s="85">
        <f t="shared" si="1147"/>
        <v>120.40076539237963</v>
      </c>
      <c r="FB230" s="85">
        <f t="shared" si="1147"/>
        <v>126.04565879684975</v>
      </c>
      <c r="FC230" s="85">
        <f>SUM(EY230:FB230)</f>
        <v>471.78006194288889</v>
      </c>
      <c r="FD230" s="85">
        <f t="shared" ref="FD230:FI230" si="1148">FD232*FD183*12/1000</f>
        <v>561.31216932883808</v>
      </c>
      <c r="FE230" s="85">
        <f t="shared" si="1148"/>
        <v>646.99502268082426</v>
      </c>
      <c r="FF230" s="85">
        <f t="shared" si="1148"/>
        <v>717.39275013611348</v>
      </c>
      <c r="FG230" s="85">
        <f t="shared" si="1148"/>
        <v>771.10877193459453</v>
      </c>
      <c r="FH230" s="85">
        <f t="shared" si="1148"/>
        <v>811.80604393142858</v>
      </c>
      <c r="FI230" s="85">
        <f t="shared" si="1148"/>
        <v>840.95556844828684</v>
      </c>
      <c r="FJ230" s="193"/>
      <c r="FK230" s="193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</row>
    <row r="231" spans="1:177" ht="12.75" customHeight="1" x14ac:dyDescent="0.3">
      <c r="A231" s="70" t="s">
        <v>363</v>
      </c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  <c r="AM231" s="193"/>
      <c r="AN231" s="193"/>
      <c r="AO231" s="193"/>
      <c r="AP231" s="193"/>
      <c r="AQ231" s="193"/>
      <c r="AR231" s="193"/>
      <c r="AS231" s="193"/>
      <c r="AT231" s="193"/>
      <c r="AU231" s="193"/>
      <c r="AV231" s="193"/>
      <c r="AW231" s="193"/>
      <c r="AX231" s="193"/>
      <c r="AY231" s="193"/>
      <c r="AZ231" s="193"/>
      <c r="BA231" s="193"/>
      <c r="BB231" s="193"/>
      <c r="BC231" s="193"/>
      <c r="BD231" s="193"/>
      <c r="BE231" s="193"/>
      <c r="BF231" s="193"/>
      <c r="BG231" s="193"/>
      <c r="BH231" s="193"/>
      <c r="BI231" s="193"/>
      <c r="BJ231" s="193"/>
      <c r="BK231" s="193"/>
      <c r="BL231" s="192"/>
      <c r="BM231" s="192"/>
      <c r="BN231" s="192"/>
      <c r="BO231" s="192"/>
      <c r="BP231" s="192"/>
      <c r="BQ231" s="192"/>
      <c r="BR231" s="193"/>
      <c r="BS231" s="193"/>
      <c r="BT231" s="193"/>
      <c r="BU231" s="193"/>
      <c r="BV231" s="192"/>
      <c r="BW231" s="193"/>
      <c r="BX231" s="193"/>
      <c r="BY231" s="193"/>
      <c r="BZ231" s="193"/>
      <c r="CA231" s="192"/>
      <c r="CB231" s="193"/>
      <c r="CC231" s="193"/>
      <c r="CD231" s="193"/>
      <c r="CE231" s="193"/>
      <c r="CF231" s="192"/>
      <c r="CG231" s="193"/>
      <c r="CH231" s="193"/>
      <c r="CI231" s="193"/>
      <c r="CJ231" s="193"/>
      <c r="CK231" s="192"/>
      <c r="CL231" s="193"/>
      <c r="CM231" s="193"/>
      <c r="CN231" s="193"/>
      <c r="CO231" s="193"/>
      <c r="CP231" s="192"/>
      <c r="CQ231" s="193"/>
      <c r="CR231" s="193"/>
      <c r="CS231" s="193"/>
      <c r="CT231" s="193"/>
      <c r="CU231" s="193"/>
      <c r="CV231" s="193"/>
      <c r="CW231" s="193"/>
      <c r="CX231" s="193"/>
      <c r="CY231" s="193"/>
      <c r="CZ231" s="193"/>
      <c r="DA231" s="193"/>
      <c r="DB231" s="193"/>
      <c r="DC231" s="193"/>
      <c r="DD231" s="193"/>
      <c r="DE231" s="193"/>
      <c r="DF231" s="193"/>
      <c r="DG231" s="193"/>
      <c r="DH231" s="193"/>
      <c r="DI231" s="193"/>
      <c r="DJ231" s="193"/>
      <c r="DK231" s="193"/>
      <c r="DL231" s="193"/>
      <c r="DM231" s="193"/>
      <c r="DN231" s="193"/>
      <c r="DO231" s="193"/>
      <c r="DP231" s="193"/>
      <c r="DQ231" s="193"/>
      <c r="DR231" s="193"/>
      <c r="DS231" s="193"/>
      <c r="DT231" s="193"/>
      <c r="DU231" s="196"/>
      <c r="DV231" s="196"/>
      <c r="DW231" s="196"/>
      <c r="DX231" s="665"/>
      <c r="DY231" s="1191"/>
      <c r="DZ231" s="197"/>
      <c r="EB231" s="665"/>
      <c r="EC231" s="665"/>
      <c r="ED231" s="1204"/>
      <c r="EE231" s="75">
        <f t="shared" ref="EE231:EW231" si="1149">+EE230/DZ230-1</f>
        <v>2.704782201196787E-2</v>
      </c>
      <c r="EF231" s="75">
        <f t="shared" si="1149"/>
        <v>3.0648911927545264E-2</v>
      </c>
      <c r="EG231" s="75">
        <f t="shared" si="1149"/>
        <v>4.0993635037125165E-2</v>
      </c>
      <c r="EH231" s="75">
        <f t="shared" si="1149"/>
        <v>6.2055541112417956E-2</v>
      </c>
      <c r="EI231" s="84">
        <f t="shared" si="1149"/>
        <v>4.0272694159401823E-2</v>
      </c>
      <c r="EJ231" s="75">
        <f t="shared" si="1149"/>
        <v>9.0103837135733E-2</v>
      </c>
      <c r="EK231" s="75">
        <f t="shared" si="1149"/>
        <v>0.1197935864356805</v>
      </c>
      <c r="EL231" s="75">
        <f t="shared" si="1149"/>
        <v>0.14627949183303124</v>
      </c>
      <c r="EM231" s="75">
        <f t="shared" si="1149"/>
        <v>0.16684340756451044</v>
      </c>
      <c r="EN231" s="84">
        <f t="shared" si="1149"/>
        <v>0.13129216398546983</v>
      </c>
      <c r="EO231" s="75">
        <f t="shared" si="1149"/>
        <v>0.18333902355752807</v>
      </c>
      <c r="EP231" s="75">
        <f t="shared" si="1149"/>
        <v>0.19190256747860412</v>
      </c>
      <c r="EQ231" s="75">
        <f t="shared" si="1149"/>
        <v>0.19284357188093715</v>
      </c>
      <c r="ER231" s="75">
        <f t="shared" si="1149"/>
        <v>0.19054831869130573</v>
      </c>
      <c r="ES231" s="84">
        <f t="shared" ref="ES231" si="1150">+ES230/EN230-1</f>
        <v>0.18976339932399822</v>
      </c>
      <c r="ET231" s="75">
        <f t="shared" si="1149"/>
        <v>0.18349682631275255</v>
      </c>
      <c r="EU231" s="75">
        <f t="shared" si="1149"/>
        <v>0.18254625793979584</v>
      </c>
      <c r="EV231" s="75">
        <f t="shared" si="1149"/>
        <v>0.1898062118396604</v>
      </c>
      <c r="EW231" s="75">
        <f t="shared" si="1149"/>
        <v>0.19262086513994947</v>
      </c>
      <c r="EX231" s="84">
        <f t="shared" ref="EX231" si="1151">+EX230/ES230-1</f>
        <v>0.18729707792207795</v>
      </c>
      <c r="EY231" s="75">
        <f t="shared" ref="EY231" si="1152">+EY230/ET230-1</f>
        <v>0.1936232662289159</v>
      </c>
      <c r="EZ231" s="75">
        <f t="shared" ref="EZ231" si="1153">+EZ230/EU230-1</f>
        <v>0.19537265449231045</v>
      </c>
      <c r="FA231" s="75">
        <f t="shared" ref="FA231" si="1154">+FA230/EV230-1</f>
        <v>0.19391903805225419</v>
      </c>
      <c r="FB231" s="75">
        <f t="shared" ref="FB231:FC231" si="1155">+FB230/EW230-1</f>
        <v>0.19522707059099353</v>
      </c>
      <c r="FC231" s="84">
        <f t="shared" si="1155"/>
        <v>0.19455379439510501</v>
      </c>
      <c r="FD231" s="75">
        <f t="shared" ref="FD231:FI231" si="1156">FD230/FC230-1</f>
        <v>0.18977509778017598</v>
      </c>
      <c r="FE231" s="75">
        <f t="shared" si="1156"/>
        <v>0.15264741802130777</v>
      </c>
      <c r="FF231" s="75">
        <f t="shared" si="1156"/>
        <v>0.10880721641968161</v>
      </c>
      <c r="FG231" s="75">
        <f t="shared" si="1156"/>
        <v>7.4876727968451462E-2</v>
      </c>
      <c r="FH231" s="75">
        <f t="shared" si="1156"/>
        <v>5.2777602172428661E-2</v>
      </c>
      <c r="FI231" s="75">
        <f t="shared" si="1156"/>
        <v>3.590700603273711E-2</v>
      </c>
      <c r="FJ231" s="193"/>
      <c r="FK231" s="193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</row>
    <row r="232" spans="1:177" ht="12.75" customHeight="1" x14ac:dyDescent="0.3">
      <c r="A232" s="61" t="s">
        <v>391</v>
      </c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  <c r="AW232" s="193"/>
      <c r="AX232" s="193"/>
      <c r="AY232" s="193"/>
      <c r="AZ232" s="193"/>
      <c r="BA232" s="193"/>
      <c r="BB232" s="193"/>
      <c r="BC232" s="193"/>
      <c r="BD232" s="193"/>
      <c r="BE232" s="193"/>
      <c r="BF232" s="193"/>
      <c r="BG232" s="193"/>
      <c r="BH232" s="193"/>
      <c r="BI232" s="193"/>
      <c r="BJ232" s="193"/>
      <c r="BK232" s="193"/>
      <c r="BL232" s="192"/>
      <c r="BM232" s="192"/>
      <c r="BN232" s="192"/>
      <c r="BO232" s="192"/>
      <c r="BP232" s="192"/>
      <c r="BQ232" s="192"/>
      <c r="BR232" s="193"/>
      <c r="BS232" s="193"/>
      <c r="BT232" s="193"/>
      <c r="BU232" s="193"/>
      <c r="BV232" s="192"/>
      <c r="BW232" s="193"/>
      <c r="BX232" s="193"/>
      <c r="BY232" s="193"/>
      <c r="BZ232" s="193"/>
      <c r="CA232" s="192"/>
      <c r="CB232" s="193"/>
      <c r="CC232" s="193"/>
      <c r="CD232" s="193"/>
      <c r="CE232" s="193"/>
      <c r="CF232" s="192"/>
      <c r="CG232" s="193"/>
      <c r="CH232" s="193"/>
      <c r="CI232" s="193"/>
      <c r="CJ232" s="193"/>
      <c r="CK232" s="192"/>
      <c r="CL232" s="193"/>
      <c r="CM232" s="193"/>
      <c r="CN232" s="193"/>
      <c r="CO232" s="193"/>
      <c r="CP232" s="192"/>
      <c r="CQ232" s="193"/>
      <c r="CR232" s="193"/>
      <c r="CS232" s="193"/>
      <c r="CT232" s="193"/>
      <c r="CU232" s="193"/>
      <c r="CV232" s="193"/>
      <c r="CW232" s="193"/>
      <c r="CX232" s="193"/>
      <c r="CY232" s="193"/>
      <c r="CZ232" s="193"/>
      <c r="DA232" s="193"/>
      <c r="DB232" s="193"/>
      <c r="DC232" s="193"/>
      <c r="DD232" s="193"/>
      <c r="DE232" s="193"/>
      <c r="DF232" s="193"/>
      <c r="DG232" s="193"/>
      <c r="DH232" s="193"/>
      <c r="DI232" s="193"/>
      <c r="DJ232" s="193"/>
      <c r="DK232" s="193"/>
      <c r="DL232" s="193"/>
      <c r="DM232" s="193"/>
      <c r="DN232" s="193"/>
      <c r="DO232" s="193"/>
      <c r="DP232" s="193"/>
      <c r="DQ232" s="193"/>
      <c r="DR232" s="193"/>
      <c r="DS232" s="193"/>
      <c r="DT232" s="193"/>
      <c r="DU232" s="196"/>
      <c r="DV232" s="196"/>
      <c r="DW232" s="196"/>
      <c r="DX232" s="665"/>
      <c r="DY232" s="1191"/>
      <c r="DZ232" s="1155">
        <v>15</v>
      </c>
      <c r="EA232" s="1155">
        <f>DZ232</f>
        <v>15</v>
      </c>
      <c r="EB232" s="1155">
        <f>EA232</f>
        <v>15</v>
      </c>
      <c r="EC232" s="1155">
        <f>EB232</f>
        <v>15</v>
      </c>
      <c r="ED232" s="112">
        <f>ED230/ED183*1000/12</f>
        <v>15.000000000000002</v>
      </c>
      <c r="EE232" s="1155">
        <v>15</v>
      </c>
      <c r="EF232" s="1155">
        <f>EE232</f>
        <v>15</v>
      </c>
      <c r="EG232" s="1155">
        <f>EF232</f>
        <v>15</v>
      </c>
      <c r="EH232" s="1155">
        <f>EG232</f>
        <v>15</v>
      </c>
      <c r="EI232" s="112">
        <f>EI230/EI183*1000/12</f>
        <v>15.000000000000002</v>
      </c>
      <c r="EJ232" s="1155">
        <f>EI232</f>
        <v>15.000000000000002</v>
      </c>
      <c r="EK232" s="1155">
        <f>EJ232</f>
        <v>15.000000000000002</v>
      </c>
      <c r="EL232" s="1155">
        <f>EK232</f>
        <v>15.000000000000002</v>
      </c>
      <c r="EM232" s="1155">
        <f>EL232</f>
        <v>15.000000000000002</v>
      </c>
      <c r="EN232" s="112">
        <f>EN230/EN183*1000/12</f>
        <v>15.000000000000002</v>
      </c>
      <c r="EO232" s="1155">
        <f>EN232</f>
        <v>15.000000000000002</v>
      </c>
      <c r="EP232" s="1155">
        <f>EO232</f>
        <v>15.000000000000002</v>
      </c>
      <c r="EQ232" s="1155">
        <f>EP232</f>
        <v>15.000000000000002</v>
      </c>
      <c r="ER232" s="1155">
        <f>EQ232</f>
        <v>15.000000000000002</v>
      </c>
      <c r="ES232" s="112">
        <f>ES230/ES183*1000/12</f>
        <v>15.000000000000005</v>
      </c>
      <c r="ET232" s="1155">
        <f>ES232</f>
        <v>15.000000000000005</v>
      </c>
      <c r="EU232" s="1155">
        <f>ET232</f>
        <v>15.000000000000005</v>
      </c>
      <c r="EV232" s="1155">
        <f>EU232</f>
        <v>15.000000000000005</v>
      </c>
      <c r="EW232" s="1155">
        <f>EV232</f>
        <v>15.000000000000005</v>
      </c>
      <c r="EX232" s="112">
        <f>EX230/EX183*1000/12</f>
        <v>15.000000000000005</v>
      </c>
      <c r="EY232" s="196">
        <f t="shared" ref="EY232" si="1157">ET232*(1+EY233)</f>
        <v>15.000000000000005</v>
      </c>
      <c r="EZ232" s="196">
        <f t="shared" ref="EZ232" si="1158">EU232*(1+EZ233)</f>
        <v>15.000000000000005</v>
      </c>
      <c r="FA232" s="196">
        <f t="shared" ref="FA232" si="1159">EV232*(1+FA233)</f>
        <v>15.000000000000005</v>
      </c>
      <c r="FB232" s="196">
        <f t="shared" ref="FB232" si="1160">EW232*(1+FB233)</f>
        <v>15.000000000000005</v>
      </c>
      <c r="FC232" s="112">
        <f>FC230/FC183*1000/12</f>
        <v>15.000000000000005</v>
      </c>
      <c r="FD232" s="1156">
        <f t="shared" ref="FD232:FI232" si="1161">FC232*(1+FD233)</f>
        <v>15.000000000000005</v>
      </c>
      <c r="FE232" s="1156">
        <f t="shared" si="1161"/>
        <v>15.000000000000005</v>
      </c>
      <c r="FF232" s="1156">
        <f t="shared" si="1161"/>
        <v>15.000000000000005</v>
      </c>
      <c r="FG232" s="1156">
        <f t="shared" si="1161"/>
        <v>15.000000000000005</v>
      </c>
      <c r="FH232" s="1156">
        <f t="shared" si="1161"/>
        <v>15.000000000000005</v>
      </c>
      <c r="FI232" s="1156">
        <f t="shared" si="1161"/>
        <v>15.000000000000005</v>
      </c>
      <c r="FJ232" s="193"/>
      <c r="FK232" s="193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</row>
    <row r="233" spans="1:177" ht="12.75" customHeight="1" x14ac:dyDescent="0.3">
      <c r="A233" s="70" t="s">
        <v>387</v>
      </c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  <c r="AW233" s="193"/>
      <c r="AX233" s="193"/>
      <c r="AY233" s="193"/>
      <c r="AZ233" s="193"/>
      <c r="BA233" s="193"/>
      <c r="BB233" s="193"/>
      <c r="BC233" s="193"/>
      <c r="BD233" s="193"/>
      <c r="BE233" s="193"/>
      <c r="BF233" s="193"/>
      <c r="BG233" s="193"/>
      <c r="BH233" s="193"/>
      <c r="BI233" s="193"/>
      <c r="BJ233" s="193"/>
      <c r="BK233" s="193"/>
      <c r="BL233" s="192"/>
      <c r="BM233" s="192"/>
      <c r="BN233" s="192"/>
      <c r="BO233" s="192"/>
      <c r="BP233" s="192"/>
      <c r="BQ233" s="192"/>
      <c r="BR233" s="193"/>
      <c r="BS233" s="193"/>
      <c r="BT233" s="193"/>
      <c r="BU233" s="193"/>
      <c r="BV233" s="192"/>
      <c r="BW233" s="193"/>
      <c r="BX233" s="193"/>
      <c r="BY233" s="193"/>
      <c r="BZ233" s="193"/>
      <c r="CA233" s="192"/>
      <c r="CB233" s="193"/>
      <c r="CC233" s="193"/>
      <c r="CD233" s="193"/>
      <c r="CE233" s="193"/>
      <c r="CF233" s="192"/>
      <c r="CG233" s="193"/>
      <c r="CH233" s="193"/>
      <c r="CI233" s="193"/>
      <c r="CJ233" s="193"/>
      <c r="CK233" s="192"/>
      <c r="CL233" s="193"/>
      <c r="CM233" s="193"/>
      <c r="CN233" s="193"/>
      <c r="CO233" s="193"/>
      <c r="CP233" s="192"/>
      <c r="CQ233" s="193"/>
      <c r="CR233" s="193"/>
      <c r="CS233" s="193"/>
      <c r="CT233" s="193"/>
      <c r="CU233" s="193"/>
      <c r="CV233" s="193"/>
      <c r="CW233" s="193"/>
      <c r="CX233" s="193"/>
      <c r="CY233" s="193"/>
      <c r="CZ233" s="193"/>
      <c r="DA233" s="193"/>
      <c r="DB233" s="193"/>
      <c r="DC233" s="193"/>
      <c r="DD233" s="193"/>
      <c r="DE233" s="193"/>
      <c r="DF233" s="193"/>
      <c r="DG233" s="193"/>
      <c r="DH233" s="193"/>
      <c r="DI233" s="193"/>
      <c r="DJ233" s="193"/>
      <c r="DK233" s="193"/>
      <c r="DL233" s="193"/>
      <c r="DM233" s="193"/>
      <c r="DN233" s="193"/>
      <c r="DO233" s="193"/>
      <c r="DP233" s="193"/>
      <c r="DQ233" s="193"/>
      <c r="DR233" s="193"/>
      <c r="DS233" s="193"/>
      <c r="DT233" s="193"/>
      <c r="DU233" s="196"/>
      <c r="DV233" s="196"/>
      <c r="DW233" s="196"/>
      <c r="DX233" s="665"/>
      <c r="DY233" s="1191"/>
      <c r="DZ233" s="197"/>
      <c r="EB233" s="665"/>
      <c r="EC233" s="665"/>
      <c r="ED233" s="1204"/>
      <c r="EE233" s="75">
        <f t="shared" ref="EE233:EW233" si="1162">+EE232/DZ232-1</f>
        <v>0</v>
      </c>
      <c r="EF233" s="75">
        <f t="shared" si="1162"/>
        <v>0</v>
      </c>
      <c r="EG233" s="75">
        <f t="shared" si="1162"/>
        <v>0</v>
      </c>
      <c r="EH233" s="75">
        <f t="shared" si="1162"/>
        <v>0</v>
      </c>
      <c r="EI233" s="84">
        <f t="shared" si="1162"/>
        <v>0</v>
      </c>
      <c r="EJ233" s="75">
        <f t="shared" si="1162"/>
        <v>0</v>
      </c>
      <c r="EK233" s="75">
        <f t="shared" si="1162"/>
        <v>0</v>
      </c>
      <c r="EL233" s="75">
        <f t="shared" si="1162"/>
        <v>0</v>
      </c>
      <c r="EM233" s="75">
        <f t="shared" si="1162"/>
        <v>0</v>
      </c>
      <c r="EN233" s="84">
        <f>+EN232/EI232-1</f>
        <v>0</v>
      </c>
      <c r="EO233" s="75">
        <f t="shared" si="1162"/>
        <v>0</v>
      </c>
      <c r="EP233" s="75">
        <f t="shared" si="1162"/>
        <v>0</v>
      </c>
      <c r="EQ233" s="75">
        <f t="shared" si="1162"/>
        <v>0</v>
      </c>
      <c r="ER233" s="75">
        <f t="shared" si="1162"/>
        <v>0</v>
      </c>
      <c r="ES233" s="84">
        <f>+ES232/EN232-1</f>
        <v>0</v>
      </c>
      <c r="ET233" s="75">
        <f t="shared" si="1162"/>
        <v>0</v>
      </c>
      <c r="EU233" s="75">
        <f t="shared" si="1162"/>
        <v>0</v>
      </c>
      <c r="EV233" s="75">
        <f t="shared" si="1162"/>
        <v>0</v>
      </c>
      <c r="EW233" s="75">
        <f t="shared" si="1162"/>
        <v>0</v>
      </c>
      <c r="EX233" s="84">
        <f>+EX232/ES232-1</f>
        <v>0</v>
      </c>
      <c r="EY233" s="87">
        <v>0</v>
      </c>
      <c r="EZ233" s="87">
        <v>0</v>
      </c>
      <c r="FA233" s="87">
        <v>0</v>
      </c>
      <c r="FB233" s="87">
        <v>0</v>
      </c>
      <c r="FC233" s="84">
        <f>+FC232/EX232-1</f>
        <v>0</v>
      </c>
      <c r="FD233" s="87">
        <f t="shared" ref="FD233:FI233" si="1163">FC233</f>
        <v>0</v>
      </c>
      <c r="FE233" s="87">
        <f t="shared" si="1163"/>
        <v>0</v>
      </c>
      <c r="FF233" s="87">
        <f t="shared" si="1163"/>
        <v>0</v>
      </c>
      <c r="FG233" s="87">
        <f t="shared" si="1163"/>
        <v>0</v>
      </c>
      <c r="FH233" s="87">
        <f t="shared" si="1163"/>
        <v>0</v>
      </c>
      <c r="FI233" s="87">
        <f t="shared" si="1163"/>
        <v>0</v>
      </c>
      <c r="FJ233" s="193"/>
      <c r="FK233" s="193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</row>
    <row r="234" spans="1:177" ht="12.75" customHeight="1" x14ac:dyDescent="0.3">
      <c r="A234" s="192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  <c r="AW234" s="193"/>
      <c r="AX234" s="193"/>
      <c r="AY234" s="193"/>
      <c r="AZ234" s="193"/>
      <c r="BA234" s="193"/>
      <c r="BB234" s="193"/>
      <c r="BC234" s="193"/>
      <c r="BD234" s="193"/>
      <c r="BE234" s="193"/>
      <c r="BF234" s="193"/>
      <c r="BG234" s="193"/>
      <c r="BH234" s="193"/>
      <c r="BI234" s="193"/>
      <c r="BJ234" s="193"/>
      <c r="BK234" s="193"/>
      <c r="BL234" s="192"/>
      <c r="BM234" s="192"/>
      <c r="BN234" s="192"/>
      <c r="BO234" s="192"/>
      <c r="BP234" s="192"/>
      <c r="BQ234" s="192"/>
      <c r="BR234" s="193"/>
      <c r="BS234" s="193"/>
      <c r="BT234" s="193"/>
      <c r="BU234" s="193"/>
      <c r="BV234" s="192"/>
      <c r="BW234" s="193"/>
      <c r="BX234" s="193"/>
      <c r="BY234" s="193"/>
      <c r="BZ234" s="193"/>
      <c r="CA234" s="192"/>
      <c r="CB234" s="193"/>
      <c r="CC234" s="193"/>
      <c r="CD234" s="193"/>
      <c r="CE234" s="193"/>
      <c r="CF234" s="192"/>
      <c r="CG234" s="193"/>
      <c r="CH234" s="193"/>
      <c r="CI234" s="193"/>
      <c r="CJ234" s="193"/>
      <c r="CK234" s="192"/>
      <c r="CL234" s="193"/>
      <c r="CM234" s="193"/>
      <c r="CN234" s="193"/>
      <c r="CO234" s="193"/>
      <c r="CP234" s="192"/>
      <c r="CQ234" s="193"/>
      <c r="CR234" s="193"/>
      <c r="CS234" s="193"/>
      <c r="CT234" s="193"/>
      <c r="CU234" s="193"/>
      <c r="CV234" s="193"/>
      <c r="CW234" s="193"/>
      <c r="CX234" s="193"/>
      <c r="CY234" s="193"/>
      <c r="CZ234" s="193"/>
      <c r="DA234" s="193"/>
      <c r="DB234" s="193"/>
      <c r="DC234" s="193"/>
      <c r="DD234" s="193"/>
      <c r="DE234" s="193"/>
      <c r="DF234" s="193"/>
      <c r="DG234" s="193"/>
      <c r="DH234" s="193"/>
      <c r="DI234" s="193"/>
      <c r="DJ234" s="193"/>
      <c r="DK234" s="193"/>
      <c r="DL234" s="193"/>
      <c r="DM234" s="193"/>
      <c r="DN234" s="193"/>
      <c r="DO234" s="193"/>
      <c r="DP234" s="193"/>
      <c r="DQ234" s="193"/>
      <c r="DR234" s="193"/>
      <c r="DS234" s="193"/>
      <c r="DT234" s="193"/>
      <c r="DU234" s="196"/>
      <c r="DV234" s="196"/>
      <c r="DW234" s="196"/>
      <c r="DX234" s="665"/>
      <c r="DY234" s="1191"/>
      <c r="DZ234" s="197"/>
      <c r="EB234" s="665"/>
      <c r="EC234" s="665"/>
      <c r="ED234" s="1204"/>
      <c r="EE234" s="197"/>
      <c r="EF234" s="197"/>
      <c r="EG234" s="197"/>
      <c r="EH234" s="197"/>
      <c r="EI234" s="1191"/>
      <c r="EJ234" s="197"/>
      <c r="EK234" s="197"/>
      <c r="EL234" s="197"/>
      <c r="EM234" s="197"/>
      <c r="EN234" s="1192"/>
      <c r="EO234" s="197"/>
      <c r="EP234" s="197"/>
      <c r="EQ234" s="197"/>
      <c r="ER234" s="197"/>
      <c r="ES234" s="198"/>
      <c r="ET234" s="197"/>
      <c r="EU234" s="197"/>
      <c r="EV234" s="197"/>
      <c r="EW234" s="197"/>
      <c r="EX234" s="198"/>
      <c r="EY234" s="197"/>
      <c r="EZ234" s="197"/>
      <c r="FA234" s="197"/>
      <c r="FB234" s="197"/>
      <c r="FC234" s="198"/>
      <c r="FD234" s="198"/>
      <c r="FE234" s="198"/>
      <c r="FF234" s="198"/>
      <c r="FG234" s="198"/>
      <c r="FH234" s="198"/>
      <c r="FI234" s="198"/>
      <c r="FJ234" s="193"/>
      <c r="FK234" s="193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</row>
    <row r="235" spans="1:177" x14ac:dyDescent="0.3">
      <c r="A235" s="60" t="s">
        <v>393</v>
      </c>
      <c r="DU235" s="76"/>
      <c r="DV235" s="76"/>
      <c r="DW235" s="76"/>
      <c r="DX235" s="76"/>
      <c r="DY235" s="85"/>
      <c r="DZ235" s="85">
        <f>DZ243-DZ217</f>
        <v>318.75757575757575</v>
      </c>
      <c r="EA235" s="85">
        <f>EA243-EA217</f>
        <v>298.40929401251117</v>
      </c>
      <c r="EB235" s="85">
        <f>EB243-EB217</f>
        <v>313.45210727969351</v>
      </c>
      <c r="EC235" s="85">
        <f>EC243-EC217</f>
        <v>316.22061855670103</v>
      </c>
      <c r="ED235" s="85">
        <f>+SUM(DZ235:EC235)</f>
        <v>1246.8395956064815</v>
      </c>
      <c r="EE235" s="85">
        <f>EE243-EE217</f>
        <v>314.29470198675494</v>
      </c>
      <c r="EF235" s="85">
        <f>EF243-EF217</f>
        <v>311.82978723404256</v>
      </c>
      <c r="EG235" s="85">
        <f>EG243-EG217</f>
        <v>324.98113207547169</v>
      </c>
      <c r="EH235" s="85">
        <f>EH243-EH217</f>
        <v>322.56763925729445</v>
      </c>
      <c r="EI235" s="85">
        <f>+SUM(EE235:EH235)</f>
        <v>1273.6732605535635</v>
      </c>
      <c r="EJ235" s="85">
        <f>EJ243-EJ217</f>
        <v>319.05146036161335</v>
      </c>
      <c r="EK235" s="85">
        <f>EK243-EK217</f>
        <v>318.37390029325513</v>
      </c>
      <c r="EL235" s="85">
        <f>EL243-EL217</f>
        <v>345.1201248049922</v>
      </c>
      <c r="EM235" s="85">
        <f>EM243-EM217</f>
        <v>328.43708609271522</v>
      </c>
      <c r="EN235" s="85">
        <f>+SUM(EJ235:EM235)</f>
        <v>1310.9825715525758</v>
      </c>
      <c r="EO235" s="85">
        <f>EO243-EO217</f>
        <v>339.93333333333334</v>
      </c>
      <c r="EP235" s="85">
        <f>EP243-EP217</f>
        <v>359.62146892655369</v>
      </c>
      <c r="EQ235" s="85">
        <f>EQ243-EQ217</f>
        <v>373.0896130346232</v>
      </c>
      <c r="ER235" s="85">
        <f>ER243-ER217</f>
        <v>350.32751091703057</v>
      </c>
      <c r="ES235" s="85">
        <f>+SUM(EO235:ER235)</f>
        <v>1422.9719262115409</v>
      </c>
      <c r="ET235" s="85">
        <f>ET243-ET217</f>
        <v>388.69230769230768</v>
      </c>
      <c r="EU235" s="85">
        <f>EU243-EU217</f>
        <v>404.84749999999997</v>
      </c>
      <c r="EV235" s="85">
        <f>EV243-EV217</f>
        <v>423.56182795698925</v>
      </c>
      <c r="EW235" s="85">
        <f>EW243-EW217</f>
        <v>408.12427745664741</v>
      </c>
      <c r="EX235" s="85">
        <f>+SUM(ET235:EW235)</f>
        <v>1625.2259131059443</v>
      </c>
      <c r="EY235" s="85">
        <f t="shared" ref="EY235:FB235" si="1164">EY222+EY230</f>
        <v>428.11470687625706</v>
      </c>
      <c r="EZ235" s="85">
        <f t="shared" si="1164"/>
        <v>442.9766445438342</v>
      </c>
      <c r="FA235" s="85">
        <f t="shared" si="1164"/>
        <v>460.12548258821818</v>
      </c>
      <c r="FB235" s="85">
        <f t="shared" si="1164"/>
        <v>442.4639004891597</v>
      </c>
      <c r="FC235" s="85">
        <f>+SUM(EY235:FB235)</f>
        <v>1773.6807344974691</v>
      </c>
      <c r="FD235" s="85">
        <f t="shared" ref="FD235:FI235" si="1165">FD222+FD230</f>
        <v>1957.3981038851434</v>
      </c>
      <c r="FE235" s="85">
        <f t="shared" si="1165"/>
        <v>2064.59989813938</v>
      </c>
      <c r="FF235" s="85">
        <f t="shared" si="1165"/>
        <v>2159.9120312808536</v>
      </c>
      <c r="FG235" s="85">
        <f t="shared" si="1165"/>
        <v>2238.8164231921332</v>
      </c>
      <c r="FH235" s="85">
        <f t="shared" si="1165"/>
        <v>2304.9776221202983</v>
      </c>
      <c r="FI235" s="85">
        <f t="shared" si="1165"/>
        <v>2359.8682488611721</v>
      </c>
    </row>
    <row r="236" spans="1:177" x14ac:dyDescent="0.3">
      <c r="A236" s="70" t="s">
        <v>363</v>
      </c>
      <c r="DZ236" s="75"/>
      <c r="EA236" s="75"/>
      <c r="EB236" s="75"/>
      <c r="EC236" s="75"/>
      <c r="ED236" s="84"/>
      <c r="EE236" s="75">
        <f t="shared" ref="EE236:EW236" si="1166">+EE235/DZ235-1</f>
        <v>-1.4000839855222602E-2</v>
      </c>
      <c r="EF236" s="75">
        <f t="shared" si="1166"/>
        <v>4.4973442485905624E-2</v>
      </c>
      <c r="EG236" s="75">
        <f t="shared" si="1166"/>
        <v>3.6780817636969498E-2</v>
      </c>
      <c r="EH236" s="75">
        <f t="shared" si="1166"/>
        <v>2.0071495431140951E-2</v>
      </c>
      <c r="EI236" s="91">
        <f t="shared" si="1166"/>
        <v>2.152134487999624E-2</v>
      </c>
      <c r="EJ236" s="75">
        <f t="shared" si="1166"/>
        <v>1.5134707472920894E-2</v>
      </c>
      <c r="EK236" s="75">
        <f t="shared" si="1166"/>
        <v>2.0986170427332862E-2</v>
      </c>
      <c r="EL236" s="75">
        <f t="shared" si="1166"/>
        <v>6.1969729137516749E-2</v>
      </c>
      <c r="EM236" s="75">
        <f t="shared" si="1166"/>
        <v>1.8196018822393523E-2</v>
      </c>
      <c r="EN236" s="91">
        <f t="shared" si="1166"/>
        <v>2.929268608716562E-2</v>
      </c>
      <c r="EO236" s="75">
        <f t="shared" si="1166"/>
        <v>6.5449858615448608E-2</v>
      </c>
      <c r="EP236" s="75">
        <f t="shared" si="1166"/>
        <v>0.12955700387282154</v>
      </c>
      <c r="EQ236" s="75">
        <f t="shared" si="1166"/>
        <v>8.1042762271353874E-2</v>
      </c>
      <c r="ER236" s="75">
        <f t="shared" si="1166"/>
        <v>6.6650283269581445E-2</v>
      </c>
      <c r="ES236" s="91">
        <f t="shared" ref="ES236" si="1167">+ES235/EN235-1</f>
        <v>8.5423984337440917E-2</v>
      </c>
      <c r="ET236" s="75">
        <f t="shared" si="1166"/>
        <v>0.1434368729916875</v>
      </c>
      <c r="EU236" s="75">
        <f t="shared" si="1166"/>
        <v>0.125760097717311</v>
      </c>
      <c r="EV236" s="75">
        <f t="shared" si="1166"/>
        <v>0.13528174775983959</v>
      </c>
      <c r="EW236" s="75">
        <f t="shared" si="1166"/>
        <v>0.16497924010685261</v>
      </c>
      <c r="EX236" s="91">
        <f t="shared" ref="EX236" si="1168">+EX235/ES235-1</f>
        <v>0.1421349101614926</v>
      </c>
      <c r="EY236" s="75">
        <f t="shared" ref="EY236" si="1169">+EY235/ET235-1</f>
        <v>0.10142315246216937</v>
      </c>
      <c r="EZ236" s="75">
        <f t="shared" ref="EZ236" si="1170">+EZ235/EU235-1</f>
        <v>9.4181499314764716E-2</v>
      </c>
      <c r="FA236" s="75">
        <f t="shared" ref="FA236" si="1171">+FA235/EV235-1</f>
        <v>8.6324244107620185E-2</v>
      </c>
      <c r="FB236" s="75">
        <f t="shared" ref="FB236:FC236" si="1172">+FB235/EW235-1</f>
        <v>8.414011351275219E-2</v>
      </c>
      <c r="FC236" s="91">
        <f t="shared" si="1172"/>
        <v>9.1344114190140546E-2</v>
      </c>
      <c r="FD236" s="1152">
        <f t="shared" ref="FD236:FI236" si="1173">FD235/FC235-1</f>
        <v>0.10357972876089594</v>
      </c>
      <c r="FE236" s="1152">
        <f t="shared" si="1173"/>
        <v>5.4767496730203646E-2</v>
      </c>
      <c r="FF236" s="1152">
        <f t="shared" si="1173"/>
        <v>4.6164941317380137E-2</v>
      </c>
      <c r="FG236" s="1152">
        <f t="shared" si="1173"/>
        <v>3.6531298853170524E-2</v>
      </c>
      <c r="FH236" s="1152">
        <f t="shared" si="1173"/>
        <v>2.9551864209496737E-2</v>
      </c>
      <c r="FI236" s="1152">
        <f t="shared" si="1173"/>
        <v>2.3813952124351223E-2</v>
      </c>
    </row>
    <row r="237" spans="1:177" x14ac:dyDescent="0.3">
      <c r="A237" s="61" t="s">
        <v>389</v>
      </c>
      <c r="DU237" s="111"/>
      <c r="DV237" s="111"/>
      <c r="DW237" s="111"/>
      <c r="DX237" s="111"/>
      <c r="DY237" s="112"/>
      <c r="DZ237" s="111">
        <f>DZ235/DZ90*1000/3</f>
        <v>32.875162516251628</v>
      </c>
      <c r="EA237" s="111">
        <f>EA235/EA90*1000/3</f>
        <v>30.700544651492919</v>
      </c>
      <c r="EB237" s="111">
        <f>EB235/EB90*1000/3</f>
        <v>32.158829104308353</v>
      </c>
      <c r="EC237" s="111">
        <f>EC235/EC90*1000/3</f>
        <v>31.854600438873884</v>
      </c>
      <c r="ED237" s="112">
        <f>ED235/ED90*1000/12</f>
        <v>31.400211433627515</v>
      </c>
      <c r="EE237" s="111">
        <f>EE235/EE90*1000/3</f>
        <v>30.69583963148305</v>
      </c>
      <c r="EF237" s="111">
        <f>EF235/EF90*1000/3</f>
        <v>29.115759779088943</v>
      </c>
      <c r="EG237" s="111">
        <f>EG235/EG90*1000/3</f>
        <v>28.848746744382751</v>
      </c>
      <c r="EH237" s="111">
        <f>EH235/EH90*1000/3</f>
        <v>27.241587641018029</v>
      </c>
      <c r="EI237" s="112">
        <f>EI235/EI90*1000/12</f>
        <v>26.891167565103526</v>
      </c>
      <c r="EJ237" s="111">
        <f>EJ235/EJ90*1000/3</f>
        <v>25.577317649640321</v>
      </c>
      <c r="EK237" s="111">
        <f>EK235/EK90*1000/3</f>
        <v>23.907329000019157</v>
      </c>
      <c r="EL237" s="111">
        <f>EL235/EL90*1000/3</f>
        <v>24.016710146485192</v>
      </c>
      <c r="EM237" s="111">
        <f>EM235/EM90*1000/3</f>
        <v>21.171732488410704</v>
      </c>
      <c r="EN237" s="112">
        <f>EN235/EN90*1000/12</f>
        <v>21.127160632253204</v>
      </c>
      <c r="EO237" s="111">
        <f>EO235/EO90*1000/3</f>
        <v>20.564629965718897</v>
      </c>
      <c r="EP237" s="111">
        <f>EP235/EP90*1000/3</f>
        <v>20.57566477437657</v>
      </c>
      <c r="EQ237" s="111">
        <f>EQ235/EQ90*1000/3</f>
        <v>20.195388818589542</v>
      </c>
      <c r="ER237" s="111">
        <f>ER235/ER90*1000/3</f>
        <v>17.99042319709498</v>
      </c>
      <c r="ES237" s="112">
        <f t="shared" ref="ES237:FI237" si="1174">ES235/ES90*1000/12</f>
        <v>18.268524703583694</v>
      </c>
      <c r="ET237" s="111">
        <f>ET235/ET90*1000/3</f>
        <v>19.017188105695372</v>
      </c>
      <c r="EU237" s="111">
        <f>EU235/EU90*1000/3</f>
        <v>18.740336990232837</v>
      </c>
      <c r="EV237" s="111">
        <f>EV235/EV90*1000/3</f>
        <v>18.621376415940791</v>
      </c>
      <c r="EW237" s="111">
        <f>EW235/EW90*1000/3</f>
        <v>17.389930438307868</v>
      </c>
      <c r="EX237" s="112">
        <f t="shared" ref="EX237" si="1175">EX235/EX90*1000/12</f>
        <v>17.31247510658682</v>
      </c>
      <c r="EY237" s="111">
        <f t="shared" ref="EY237:FB237" si="1176">EY235/EY90*1000/3</f>
        <v>17.537208778973881</v>
      </c>
      <c r="EZ237" s="111">
        <f t="shared" si="1176"/>
        <v>17.339111182863721</v>
      </c>
      <c r="FA237" s="111">
        <f t="shared" si="1176"/>
        <v>17.256839381927705</v>
      </c>
      <c r="FB237" s="111">
        <f t="shared" si="1176"/>
        <v>16.166608224237631</v>
      </c>
      <c r="FC237" s="112">
        <f t="shared" ref="FC237" si="1177">FC235/FC90*1000/12</f>
        <v>16.201548599669966</v>
      </c>
      <c r="FD237" s="112">
        <f t="shared" si="1174"/>
        <v>16.274220159343042</v>
      </c>
      <c r="FE237" s="112">
        <f t="shared" si="1174"/>
        <v>16.995562830402452</v>
      </c>
      <c r="FF237" s="112">
        <f t="shared" si="1174"/>
        <v>17.60412078329092</v>
      </c>
      <c r="FG237" s="112">
        <f t="shared" si="1174"/>
        <v>18.066556614527361</v>
      </c>
      <c r="FH237" s="112">
        <f t="shared" si="1174"/>
        <v>18.416294101319856</v>
      </c>
      <c r="FI237" s="112">
        <f t="shared" si="1174"/>
        <v>18.668177076590755</v>
      </c>
    </row>
    <row r="238" spans="1:177" x14ac:dyDescent="0.3">
      <c r="A238" s="70" t="s">
        <v>387</v>
      </c>
      <c r="DZ238" s="75"/>
      <c r="EA238" s="75"/>
      <c r="EB238" s="75"/>
      <c r="EC238" s="75"/>
      <c r="ED238" s="84"/>
      <c r="EE238" s="75">
        <f t="shared" ref="EE238:EW238" si="1178">+EE237/DZ237-1</f>
        <v>-6.6290862704974973E-2</v>
      </c>
      <c r="EF238" s="75">
        <f t="shared" si="1178"/>
        <v>-5.1620741273295634E-2</v>
      </c>
      <c r="EG238" s="75">
        <f t="shared" si="1178"/>
        <v>-0.10292919400731992</v>
      </c>
      <c r="EH238" s="75">
        <f t="shared" si="1178"/>
        <v>-0.14481464951060408</v>
      </c>
      <c r="EI238" s="84">
        <f t="shared" si="1178"/>
        <v>-0.14359915626858188</v>
      </c>
      <c r="EJ238" s="75">
        <f t="shared" si="1178"/>
        <v>-0.16674969778617621</v>
      </c>
      <c r="EK238" s="75">
        <f t="shared" si="1178"/>
        <v>-0.17888699517333229</v>
      </c>
      <c r="EL238" s="75">
        <f t="shared" si="1178"/>
        <v>-0.16749554636505737</v>
      </c>
      <c r="EM238" s="75">
        <f t="shared" si="1178"/>
        <v>-0.22281576362560684</v>
      </c>
      <c r="EN238" s="84">
        <f t="shared" si="1178"/>
        <v>-0.21434572964880227</v>
      </c>
      <c r="EO238" s="75">
        <f t="shared" si="1178"/>
        <v>-0.19598175823538377</v>
      </c>
      <c r="EP238" s="75">
        <f t="shared" si="1178"/>
        <v>-0.13935744246627957</v>
      </c>
      <c r="EQ238" s="75">
        <f t="shared" si="1178"/>
        <v>-0.15911094003251292</v>
      </c>
      <c r="ER238" s="75">
        <f t="shared" si="1178"/>
        <v>-0.15026211449899796</v>
      </c>
      <c r="ES238" s="84">
        <f t="shared" ref="ES238" si="1179">+ES237/EN237-1</f>
        <v>-0.13530620505177837</v>
      </c>
      <c r="ET238" s="75">
        <f t="shared" si="1178"/>
        <v>-7.5247736652840347E-2</v>
      </c>
      <c r="EU238" s="75">
        <f t="shared" si="1178"/>
        <v>-8.9198954408963527E-2</v>
      </c>
      <c r="EV238" s="75">
        <f t="shared" si="1178"/>
        <v>-7.7939197743986832E-2</v>
      </c>
      <c r="EW238" s="75">
        <f t="shared" si="1178"/>
        <v>-3.3378467655173161E-2</v>
      </c>
      <c r="EX238" s="84">
        <f t="shared" ref="EX238" si="1180">+EX237/ES237-1</f>
        <v>-5.2333158397258384E-2</v>
      </c>
      <c r="EY238" s="75">
        <f t="shared" ref="EY238" si="1181">+EY237/ET237-1</f>
        <v>-7.7823246975101346E-2</v>
      </c>
      <c r="EZ238" s="75">
        <f t="shared" ref="EZ238" si="1182">+EZ237/EU237-1</f>
        <v>-7.4770576863127491E-2</v>
      </c>
      <c r="FA238" s="75">
        <f t="shared" ref="FA238" si="1183">+FA237/EV237-1</f>
        <v>-7.3277989958087986E-2</v>
      </c>
      <c r="FB238" s="75">
        <f t="shared" ref="FB238:FC238" si="1184">+FB237/EW237-1</f>
        <v>-7.034658467496846E-2</v>
      </c>
      <c r="FC238" s="84">
        <f t="shared" si="1184"/>
        <v>-6.416913237866162E-2</v>
      </c>
      <c r="FD238" s="75">
        <f t="shared" ref="FD238:FI238" si="1185">FD237/FC237-1</f>
        <v>4.4854699676397658E-3</v>
      </c>
      <c r="FE238" s="75">
        <f t="shared" si="1185"/>
        <v>4.4324254188320422E-2</v>
      </c>
      <c r="FF238" s="75">
        <f t="shared" si="1185"/>
        <v>3.5806872591465533E-2</v>
      </c>
      <c r="FG238" s="75">
        <f t="shared" si="1185"/>
        <v>2.6268612725911522E-2</v>
      </c>
      <c r="FH238" s="75">
        <f t="shared" si="1185"/>
        <v>1.9358281395541077E-2</v>
      </c>
      <c r="FI238" s="75">
        <f t="shared" si="1185"/>
        <v>1.3677180321139959E-2</v>
      </c>
    </row>
    <row r="239" spans="1:177" x14ac:dyDescent="0.3">
      <c r="A239" s="61" t="s">
        <v>391</v>
      </c>
      <c r="DU239" s="111"/>
      <c r="DV239" s="111"/>
      <c r="DW239" s="111"/>
      <c r="DX239" s="111"/>
      <c r="DY239" s="112"/>
      <c r="DZ239" s="111">
        <f>+DZ235/DZ183/3*1000</f>
        <v>81.228497259948426</v>
      </c>
      <c r="EA239" s="111">
        <f t="shared" ref="EA239:EC239" si="1186">+EA235/EA183/3*1000</f>
        <v>75.575676172272182</v>
      </c>
      <c r="EB239" s="111">
        <f t="shared" si="1186"/>
        <v>78.959866561920165</v>
      </c>
      <c r="EC239" s="111">
        <f t="shared" si="1186"/>
        <v>79.143127171471804</v>
      </c>
      <c r="ED239" s="112">
        <f>+ED235/ED183/12*1000</f>
        <v>78.724508010583577</v>
      </c>
      <c r="EE239" s="111">
        <f>+EE235/EE183/3*1000</f>
        <v>77.98198716904362</v>
      </c>
      <c r="EF239" s="111">
        <f t="shared" ref="EF239:EG239" si="1187">+EF235/EF183/3*1000</f>
        <v>76.62606886203281</v>
      </c>
      <c r="EG239" s="111">
        <f t="shared" si="1187"/>
        <v>78.640322341311958</v>
      </c>
      <c r="EH239" s="111">
        <f t="shared" ref="EH239:EJ239" si="1188">+EH235/EH183/3*1000</f>
        <v>76.01452557023552</v>
      </c>
      <c r="EI239" s="112">
        <f>+EI235/EI183/12*1000</f>
        <v>77.305465912445399</v>
      </c>
      <c r="EJ239" s="111">
        <f t="shared" si="1188"/>
        <v>72.618973565861694</v>
      </c>
      <c r="EK239" s="111">
        <f t="shared" ref="EK239:EL239" si="1189">+EK235/EK183/3*1000</f>
        <v>69.864801468785416</v>
      </c>
      <c r="EL239" s="111">
        <f t="shared" si="1189"/>
        <v>72.856264472238166</v>
      </c>
      <c r="EM239" s="111">
        <f t="shared" ref="EM239" si="1190">+EM235/EM183/3*1000</f>
        <v>66.330826233003165</v>
      </c>
      <c r="EN239" s="112">
        <f>+EN235/EN183/12*1000</f>
        <v>70.335456384600889</v>
      </c>
      <c r="EO239" s="111">
        <f t="shared" ref="EO239:EP239" si="1191">+EO235/EO183/3*1000</f>
        <v>65.384368788869651</v>
      </c>
      <c r="EP239" s="111">
        <f t="shared" si="1191"/>
        <v>66.210341328648383</v>
      </c>
      <c r="EQ239" s="111">
        <f t="shared" ref="EQ239:ER239" si="1192">+EQ235/EQ183/3*1000</f>
        <v>66.027716668369735</v>
      </c>
      <c r="ER239" s="111">
        <f t="shared" si="1192"/>
        <v>59.427906856154465</v>
      </c>
      <c r="ES239" s="112">
        <f>+ES235/ES183/12*1000</f>
        <v>64.167204464806133</v>
      </c>
      <c r="ET239" s="111">
        <f t="shared" ref="ET239:EU239" si="1193">+ET235/ET183/3*1000</f>
        <v>63.171186038080236</v>
      </c>
      <c r="EU239" s="111">
        <f t="shared" si="1193"/>
        <v>63.030904561731269</v>
      </c>
      <c r="EV239" s="111">
        <f t="shared" ref="EV239:EW239" si="1194">+EV235/EV183/3*1000</f>
        <v>63.001908070353899</v>
      </c>
      <c r="EW239" s="111">
        <f t="shared" si="1194"/>
        <v>58.050533739655414</v>
      </c>
      <c r="EX239" s="112">
        <f>+EX235/EX183/12*1000</f>
        <v>61.7264252304808</v>
      </c>
      <c r="EY239" s="111">
        <f t="shared" ref="EY239:FB239" si="1195">+EY235/EY183/3*1000</f>
        <v>58.291597390405286</v>
      </c>
      <c r="EZ239" s="111">
        <f t="shared" si="1195"/>
        <v>57.695187686732062</v>
      </c>
      <c r="FA239" s="111">
        <f t="shared" si="1195"/>
        <v>57.324238897737992</v>
      </c>
      <c r="FB239" s="111">
        <f t="shared" si="1195"/>
        <v>52.655193131516839</v>
      </c>
      <c r="FC239" s="112">
        <f>+FC235/FC183/12*1000</f>
        <v>56.393250083304125</v>
      </c>
      <c r="FD239" s="112">
        <f t="shared" ref="FD239:FI239" si="1196">+FD235/FD183/12*1000</f>
        <v>52.307740973056269</v>
      </c>
      <c r="FE239" s="112">
        <f t="shared" si="1196"/>
        <v>47.865899097292349</v>
      </c>
      <c r="FF239" s="112">
        <f t="shared" si="1196"/>
        <v>45.161706001441601</v>
      </c>
      <c r="FG239" s="112">
        <f t="shared" si="1196"/>
        <v>43.550595674886786</v>
      </c>
      <c r="FH239" s="112">
        <f t="shared" si="1196"/>
        <v>42.589808970090566</v>
      </c>
      <c r="FI239" s="112">
        <f t="shared" si="1196"/>
        <v>42.092620657989414</v>
      </c>
    </row>
    <row r="240" spans="1:177" x14ac:dyDescent="0.3">
      <c r="A240" s="70" t="s">
        <v>387</v>
      </c>
      <c r="DZ240" s="75"/>
      <c r="EA240" s="75"/>
      <c r="EB240" s="75"/>
      <c r="EC240" s="75"/>
      <c r="ED240" s="84"/>
      <c r="EE240" s="75">
        <f t="shared" ref="EE240:EW240" si="1197">+EE239/DZ239-1</f>
        <v>-3.9967624668905133E-2</v>
      </c>
      <c r="EF240" s="75">
        <f t="shared" si="1197"/>
        <v>1.3898554971129684E-2</v>
      </c>
      <c r="EG240" s="75">
        <f t="shared" si="1197"/>
        <v>-4.0469194607569703E-3</v>
      </c>
      <c r="EH240" s="75">
        <f t="shared" si="1197"/>
        <v>-3.9530932287497822E-2</v>
      </c>
      <c r="EI240" s="84">
        <f t="shared" si="1197"/>
        <v>-1.802541716675321E-2</v>
      </c>
      <c r="EJ240" s="75">
        <f t="shared" si="1197"/>
        <v>-6.8772466538411958E-2</v>
      </c>
      <c r="EK240" s="75">
        <f t="shared" si="1197"/>
        <v>-8.8237169068678512E-2</v>
      </c>
      <c r="EL240" s="75">
        <f t="shared" si="1197"/>
        <v>-7.3550790445263248E-2</v>
      </c>
      <c r="EM240" s="75">
        <f t="shared" si="1197"/>
        <v>-0.12739274848574644</v>
      </c>
      <c r="EN240" s="84">
        <f t="shared" si="1197"/>
        <v>-9.0161923811941103E-2</v>
      </c>
      <c r="EO240" s="75">
        <f t="shared" si="1197"/>
        <v>-9.9624167373153938E-2</v>
      </c>
      <c r="EP240" s="75">
        <f t="shared" si="1197"/>
        <v>-5.230760072752505E-2</v>
      </c>
      <c r="EQ240" s="75">
        <f t="shared" si="1197"/>
        <v>-9.3726295924359992E-2</v>
      </c>
      <c r="ER240" s="75">
        <f t="shared" si="1197"/>
        <v>-0.10406804451071539</v>
      </c>
      <c r="ES240" s="84">
        <f t="shared" ref="ES240" si="1198">+ES239/EN239-1</f>
        <v>-8.7697617060535915E-2</v>
      </c>
      <c r="ET240" s="75">
        <f t="shared" si="1197"/>
        <v>-3.3848805024575879E-2</v>
      </c>
      <c r="EU240" s="75">
        <f t="shared" si="1197"/>
        <v>-4.8020244317052208E-2</v>
      </c>
      <c r="EV240" s="75">
        <f t="shared" si="1197"/>
        <v>-4.5826340068871985E-2</v>
      </c>
      <c r="EW240" s="75">
        <f t="shared" si="1197"/>
        <v>-2.3177210663552161E-2</v>
      </c>
      <c r="EX240" s="84">
        <f t="shared" ref="EX240" si="1199">+EX239/ES239-1</f>
        <v>-3.8037799132484063E-2</v>
      </c>
      <c r="EY240" s="75">
        <f t="shared" ref="EY240" si="1200">+EY239/ET239-1</f>
        <v>-7.7243897949509477E-2</v>
      </c>
      <c r="EZ240" s="75">
        <f t="shared" ref="EZ240" si="1201">+EZ239/EU239-1</f>
        <v>-8.4652392538227095E-2</v>
      </c>
      <c r="FA240" s="75">
        <f t="shared" ref="FA240" si="1202">+FA239/EV239-1</f>
        <v>-9.011900347963564E-2</v>
      </c>
      <c r="FB240" s="75">
        <f t="shared" ref="FB240:FC240" si="1203">+FB239/EW239-1</f>
        <v>-9.2942136110850559E-2</v>
      </c>
      <c r="FC240" s="84">
        <f t="shared" si="1203"/>
        <v>-8.6400194523870266E-2</v>
      </c>
      <c r="FD240" s="75">
        <f t="shared" ref="FD240:FI240" si="1204">+FD239/FC239-1</f>
        <v>-7.2446775176333023E-2</v>
      </c>
      <c r="FE240" s="75">
        <f t="shared" si="1204"/>
        <v>-8.4917486267508946E-2</v>
      </c>
      <c r="FF240" s="75">
        <f t="shared" si="1204"/>
        <v>-5.6495190664949124E-2</v>
      </c>
      <c r="FG240" s="75">
        <f t="shared" si="1204"/>
        <v>-3.5674257445088231E-2</v>
      </c>
      <c r="FH240" s="75">
        <f t="shared" si="1204"/>
        <v>-2.2061390663142055E-2</v>
      </c>
      <c r="FI240" s="75">
        <f t="shared" si="1204"/>
        <v>-1.167387983473489E-2</v>
      </c>
    </row>
    <row r="241" spans="1:177" x14ac:dyDescent="0.3">
      <c r="A241" s="70" t="s">
        <v>394</v>
      </c>
      <c r="DU241" s="75"/>
      <c r="DV241" s="75"/>
      <c r="DW241" s="75"/>
      <c r="DX241" s="75"/>
      <c r="DY241" s="84"/>
      <c r="DZ241" s="75">
        <f t="shared" ref="DZ241:FI241" si="1205">DZ235/DZ206</f>
        <v>0.44027289469278419</v>
      </c>
      <c r="EA241" s="75">
        <f t="shared" si="1205"/>
        <v>0.4202947802993115</v>
      </c>
      <c r="EB241" s="75">
        <f t="shared" si="1205"/>
        <v>0.45493774641464951</v>
      </c>
      <c r="EC241" s="75">
        <f t="shared" si="1205"/>
        <v>0.45829075153145077</v>
      </c>
      <c r="ED241" s="84">
        <f t="shared" si="1205"/>
        <v>0.44324194653625365</v>
      </c>
      <c r="EE241" s="84">
        <f t="shared" si="1205"/>
        <v>0.46356150735509577</v>
      </c>
      <c r="EF241" s="75">
        <f t="shared" si="1205"/>
        <v>0.45857321652065081</v>
      </c>
      <c r="EG241" s="75">
        <f t="shared" si="1205"/>
        <v>0.47511861414542644</v>
      </c>
      <c r="EH241" s="75">
        <f t="shared" ref="EH241:EJ241" si="1206">EH235/EH206</f>
        <v>0.47787798408488064</v>
      </c>
      <c r="EI241" s="84">
        <f t="shared" si="1205"/>
        <v>0.46877926409774145</v>
      </c>
      <c r="EJ241" s="75">
        <f t="shared" si="1206"/>
        <v>0.47477895887144844</v>
      </c>
      <c r="EK241" s="75">
        <f t="shared" ref="EK241:EL241" si="1207">EK235/EK206</f>
        <v>0.46477941648650384</v>
      </c>
      <c r="EL241" s="75">
        <f t="shared" si="1207"/>
        <v>0.49945025297393952</v>
      </c>
      <c r="EM241" s="75">
        <f t="shared" ref="EM241" si="1208">EM235/EM206</f>
        <v>0.45552993910224027</v>
      </c>
      <c r="EN241" s="84">
        <f t="shared" si="1205"/>
        <v>0.47344982721292012</v>
      </c>
      <c r="EO241" s="75">
        <f t="shared" si="1205"/>
        <v>0.4663008687700046</v>
      </c>
      <c r="EP241" s="75">
        <f t="shared" ref="EP241:EQ241" si="1209">EP235/EP206</f>
        <v>0.48206631223398616</v>
      </c>
      <c r="EQ241" s="75">
        <f t="shared" si="1209"/>
        <v>0.49090738557187263</v>
      </c>
      <c r="ER241" s="75">
        <f t="shared" ref="ER241" si="1210">ER235/ER206</f>
        <v>0.45974738965489576</v>
      </c>
      <c r="ES241" s="84">
        <f t="shared" ref="ES241:ET241" si="1211">ES235/ES206</f>
        <v>0.47479877417802502</v>
      </c>
      <c r="ET241" s="75">
        <f t="shared" si="1211"/>
        <v>0.48284758719541326</v>
      </c>
      <c r="EU241" s="75">
        <f t="shared" ref="EU241:EV241" si="1212">EU235/EU206</f>
        <v>0.4819613095238095</v>
      </c>
      <c r="EV241" s="75">
        <f t="shared" si="1212"/>
        <v>0.48853728714762312</v>
      </c>
      <c r="EW241" s="75">
        <f t="shared" ref="EW241" si="1213">EW235/EW206</f>
        <v>0.45856660388387349</v>
      </c>
      <c r="EX241" s="84">
        <f t="shared" ref="EX241" si="1214">EX235/EX206</f>
        <v>0.4777266058512476</v>
      </c>
      <c r="EY241" s="75">
        <f t="shared" ref="EY241:FC241" si="1215">EY235/EY206</f>
        <v>0.47849766440845309</v>
      </c>
      <c r="EZ241" s="75">
        <f t="shared" si="1215"/>
        <v>0.47314887216663715</v>
      </c>
      <c r="FA241" s="75">
        <f t="shared" si="1215"/>
        <v>0.47493521734095639</v>
      </c>
      <c r="FB241" s="75">
        <f t="shared" si="1215"/>
        <v>0.44280546076804972</v>
      </c>
      <c r="FC241" s="84">
        <f t="shared" si="1215"/>
        <v>0.4668830458482025</v>
      </c>
      <c r="FD241" s="75">
        <f t="shared" si="1205"/>
        <v>0.45690709547358244</v>
      </c>
      <c r="FE241" s="75">
        <f t="shared" si="1205"/>
        <v>0.4315656088014348</v>
      </c>
      <c r="FF241" s="75">
        <f t="shared" si="1205"/>
        <v>0.41194480916105169</v>
      </c>
      <c r="FG241" s="75">
        <f t="shared" si="1205"/>
        <v>0.39645048087506779</v>
      </c>
      <c r="FH241" s="75">
        <f t="shared" si="1205"/>
        <v>0.3836977581654939</v>
      </c>
      <c r="FI241" s="75">
        <f t="shared" si="1205"/>
        <v>0.37309304381465347</v>
      </c>
    </row>
    <row r="242" spans="1:177" x14ac:dyDescent="0.3">
      <c r="EO242"/>
      <c r="EP242"/>
      <c r="EQ242"/>
      <c r="ER242"/>
      <c r="ES242" s="90"/>
      <c r="EX242" s="90"/>
      <c r="FC242" s="90"/>
    </row>
    <row r="243" spans="1:177" x14ac:dyDescent="0.3">
      <c r="A243" s="60" t="s">
        <v>395</v>
      </c>
      <c r="DZ243" s="916">
        <f>DZ206-DZ251</f>
        <v>463</v>
      </c>
      <c r="EA243" s="916">
        <f>EA206-EA251</f>
        <v>430</v>
      </c>
      <c r="EB243" s="916">
        <f>EB206-EB251</f>
        <v>429</v>
      </c>
      <c r="EC243" s="916">
        <f>EC206-EC251</f>
        <v>415</v>
      </c>
      <c r="ED243" s="916">
        <f>SUM(DZ243:EC243)</f>
        <v>1737</v>
      </c>
      <c r="EE243" s="916">
        <f>EE206-EE251</f>
        <v>409</v>
      </c>
      <c r="EF243" s="916">
        <f>EF206-EF251</f>
        <v>404</v>
      </c>
      <c r="EG243" s="916">
        <f>EG206-EG251</f>
        <v>406</v>
      </c>
      <c r="EH243" s="916">
        <f>EH206-EH251</f>
        <v>402</v>
      </c>
      <c r="EI243" s="916">
        <f>SUM(EE243:EH243)</f>
        <v>1621</v>
      </c>
      <c r="EJ243" s="916">
        <f>EJ206-EJ251</f>
        <v>398</v>
      </c>
      <c r="EK243" s="916">
        <f>EK206-EK251</f>
        <v>393</v>
      </c>
      <c r="EL243" s="916">
        <f>EL206-EL251</f>
        <v>415</v>
      </c>
      <c r="EM243" s="916">
        <f>EM206-EM251</f>
        <v>395</v>
      </c>
      <c r="EN243" s="916">
        <f>SUM(EJ243:EM243)</f>
        <v>1601</v>
      </c>
      <c r="EO243" s="916">
        <f>EO206-EO251</f>
        <v>407</v>
      </c>
      <c r="EP243" s="916">
        <f>EP206-EP251</f>
        <v>423</v>
      </c>
      <c r="EQ243" s="916">
        <f>EQ206-EQ251</f>
        <v>432</v>
      </c>
      <c r="ER243" s="916">
        <f>ER206-ER251</f>
        <v>406</v>
      </c>
      <c r="ES243" s="916">
        <f>SUM(EO243:ER243)</f>
        <v>1668</v>
      </c>
      <c r="ET243" s="916">
        <f>ET206-ET251</f>
        <v>445</v>
      </c>
      <c r="EU243" s="916">
        <f>EU206-EU251</f>
        <v>458</v>
      </c>
      <c r="EV243" s="916">
        <f>EV206-EV251</f>
        <v>473</v>
      </c>
      <c r="EW243" s="916">
        <f>EW206-EW251</f>
        <v>452</v>
      </c>
      <c r="EX243" s="916">
        <f>SUM(ET243:EW243)</f>
        <v>1828</v>
      </c>
      <c r="EY243" s="916">
        <f t="shared" ref="EY243:FB243" si="1216">EY217+EY235</f>
        <v>474.66866654487876</v>
      </c>
      <c r="EZ243" s="916">
        <f t="shared" si="1216"/>
        <v>486.95400347685108</v>
      </c>
      <c r="FA243" s="916">
        <f t="shared" si="1216"/>
        <v>501.0446505024845</v>
      </c>
      <c r="FB243" s="916">
        <f t="shared" si="1216"/>
        <v>478.93602426228387</v>
      </c>
      <c r="FC243" s="916">
        <f>SUM(EY243:FB243)</f>
        <v>1941.6033447864982</v>
      </c>
      <c r="FD243" s="916">
        <f t="shared" ref="FD243:FI243" si="1217">FD217+FD235</f>
        <v>2094.2644117407808</v>
      </c>
      <c r="FE243" s="916">
        <f t="shared" si="1217"/>
        <v>2174.425184894269</v>
      </c>
      <c r="FF243" s="916">
        <f t="shared" si="1217"/>
        <v>2247.918591778086</v>
      </c>
      <c r="FG243" s="916">
        <f t="shared" si="1217"/>
        <v>2309.2508687968857</v>
      </c>
      <c r="FH243" s="916">
        <f t="shared" si="1217"/>
        <v>2361.2839765966014</v>
      </c>
      <c r="FI243" s="916">
        <f t="shared" si="1217"/>
        <v>2404.832992000489</v>
      </c>
      <c r="FL243" s="887"/>
    </row>
    <row r="244" spans="1:177" x14ac:dyDescent="0.3">
      <c r="A244" s="70" t="s">
        <v>363</v>
      </c>
      <c r="EE244" s="75">
        <f t="shared" ref="EE244:EW244" si="1218">+EE243/DZ243-1</f>
        <v>-0.11663066954643631</v>
      </c>
      <c r="EF244" s="75">
        <f t="shared" si="1218"/>
        <v>-6.0465116279069808E-2</v>
      </c>
      <c r="EG244" s="75">
        <f t="shared" si="1218"/>
        <v>-5.3613053613053574E-2</v>
      </c>
      <c r="EH244" s="75">
        <f t="shared" si="1218"/>
        <v>-3.1325301204819245E-2</v>
      </c>
      <c r="EI244" s="84">
        <f t="shared" si="1218"/>
        <v>-6.6781807714450192E-2</v>
      </c>
      <c r="EJ244" s="75">
        <f t="shared" si="1218"/>
        <v>-2.6894865525672329E-2</v>
      </c>
      <c r="EK244" s="75">
        <f t="shared" si="1218"/>
        <v>-2.7227722772277252E-2</v>
      </c>
      <c r="EL244" s="75">
        <f t="shared" si="1218"/>
        <v>2.2167487684729092E-2</v>
      </c>
      <c r="EM244" s="75">
        <f t="shared" si="1218"/>
        <v>-1.7412935323383061E-2</v>
      </c>
      <c r="EN244" s="84">
        <f t="shared" si="1218"/>
        <v>-1.2338062924120874E-2</v>
      </c>
      <c r="EO244" s="75">
        <f t="shared" si="1218"/>
        <v>2.2613065326633208E-2</v>
      </c>
      <c r="EP244" s="75">
        <f t="shared" si="1218"/>
        <v>7.6335877862595325E-2</v>
      </c>
      <c r="EQ244" s="75">
        <f t="shared" si="1218"/>
        <v>4.0963855421686679E-2</v>
      </c>
      <c r="ER244" s="75">
        <f t="shared" si="1218"/>
        <v>2.7848101265822711E-2</v>
      </c>
      <c r="ES244" s="84">
        <f t="shared" ref="ES244" si="1219">+ES243/EN243-1</f>
        <v>4.1848844472204938E-2</v>
      </c>
      <c r="ET244" s="75">
        <f t="shared" si="1218"/>
        <v>9.3366093366093361E-2</v>
      </c>
      <c r="EU244" s="75">
        <f t="shared" si="1218"/>
        <v>8.2742316784869985E-2</v>
      </c>
      <c r="EV244" s="75">
        <f t="shared" si="1218"/>
        <v>9.490740740740744E-2</v>
      </c>
      <c r="EW244" s="75">
        <f t="shared" si="1218"/>
        <v>0.11330049261083741</v>
      </c>
      <c r="EX244" s="84">
        <f t="shared" ref="EX244" si="1220">+EX243/ES243-1</f>
        <v>9.592326139088736E-2</v>
      </c>
      <c r="EY244" s="75">
        <f t="shared" ref="EY244" si="1221">+EY243/ET243-1</f>
        <v>6.6671160775008342E-2</v>
      </c>
      <c r="EZ244" s="75">
        <f t="shared" ref="EZ244" si="1222">+EZ243/EU243-1</f>
        <v>6.3218348202731534E-2</v>
      </c>
      <c r="FA244" s="75">
        <f t="shared" ref="FA244" si="1223">+FA243/EV243-1</f>
        <v>5.9291015861489438E-2</v>
      </c>
      <c r="FB244" s="75">
        <f t="shared" ref="FB244:FC244" si="1224">+FB243/EW243-1</f>
        <v>5.9592974031601464E-2</v>
      </c>
      <c r="FC244" s="84">
        <f t="shared" si="1224"/>
        <v>6.2146249883204607E-2</v>
      </c>
      <c r="FD244" s="75">
        <f t="shared" ref="FD244:FI244" si="1225">+FD243/FC243-1</f>
        <v>7.8626289640570057E-2</v>
      </c>
      <c r="FE244" s="75">
        <f t="shared" si="1225"/>
        <v>3.8276338319122472E-2</v>
      </c>
      <c r="FF244" s="75">
        <f t="shared" si="1225"/>
        <v>3.3799004626314799E-2</v>
      </c>
      <c r="FG244" s="75">
        <f t="shared" si="1225"/>
        <v>2.7284029431994039E-2</v>
      </c>
      <c r="FH244" s="75">
        <f t="shared" si="1225"/>
        <v>2.2532462151600097E-2</v>
      </c>
      <c r="FI244" s="75">
        <f t="shared" si="1225"/>
        <v>1.8442938602690306E-2</v>
      </c>
    </row>
    <row r="245" spans="1:177" x14ac:dyDescent="0.3">
      <c r="A245" s="61" t="s">
        <v>389</v>
      </c>
      <c r="DU245" s="111"/>
      <c r="DV245" s="111"/>
      <c r="DW245" s="111"/>
      <c r="DX245" s="111"/>
      <c r="DY245" s="112"/>
      <c r="DZ245" s="111">
        <f>DZ243/DZ106*1000/3</f>
        <v>47.818228763232632</v>
      </c>
      <c r="EA245" s="111">
        <f>EA243/EA106*1000/3</f>
        <v>44.293366295838489</v>
      </c>
      <c r="EB245" s="111">
        <f>EB243/EB106*1000/3</f>
        <v>44.074587763908148</v>
      </c>
      <c r="EC245" s="111">
        <f>EC243/EC106*1000/3</f>
        <v>42.187658839076953</v>
      </c>
      <c r="ED245" s="112">
        <f>ED243/ED106*1000/12</f>
        <v>44.583044583044575</v>
      </c>
      <c r="EE245" s="111">
        <f>EE243/EE106*1000/3</f>
        <v>40.563324407418428</v>
      </c>
      <c r="EF245" s="111">
        <f>EF243/EF106*1000/3</f>
        <v>38.569860136522031</v>
      </c>
      <c r="EG245" s="111">
        <f>EG243/EG106*1000/3</f>
        <v>36.951080773606371</v>
      </c>
      <c r="EH245" s="111">
        <f>EH243/EH106*1000/3</f>
        <v>34.796156842378601</v>
      </c>
      <c r="EI245" s="112">
        <f>EI243/EI106*1000/12</f>
        <v>37.611954151004689</v>
      </c>
      <c r="EJ245" s="111">
        <f>EJ243/EJ106*1000/3</f>
        <v>32.736993625334158</v>
      </c>
      <c r="EK245" s="111">
        <f>EK243/EK106*1000/3</f>
        <v>30.475747353728043</v>
      </c>
      <c r="EL245" s="111">
        <f>EL243/EL106*1000/3</f>
        <v>29.977967999422116</v>
      </c>
      <c r="EM245" s="111">
        <f>EM243/EM106*1000/3</f>
        <v>26.436435431516248</v>
      </c>
      <c r="EN245" s="112">
        <f>EN243/EN106*1000/12</f>
        <v>29.73736022883465</v>
      </c>
      <c r="EO245" s="111">
        <f>EO243/EO106*1000/3</f>
        <v>25.403364229316853</v>
      </c>
      <c r="EP245" s="111">
        <f>EP243/EP106*1000/3</f>
        <v>24.876499647141852</v>
      </c>
      <c r="EQ245" s="111">
        <f>EQ243/EQ106*1000/3</f>
        <v>24.032042723631509</v>
      </c>
      <c r="ER245" s="111">
        <f>ER243/ER106*1000/3</f>
        <v>21.398266002582549</v>
      </c>
      <c r="ES245" s="112">
        <f t="shared" ref="ES245:FI245" si="1226">ES243/ES106*1000/12</f>
        <v>23.837084673097536</v>
      </c>
      <c r="ET245" s="111">
        <f>ET243/ET106*1000/3</f>
        <v>22.299057927440369</v>
      </c>
      <c r="EU245" s="111">
        <f>EU243/EU106*1000/3</f>
        <v>21.787736073450361</v>
      </c>
      <c r="EV245" s="111">
        <f>EV243/EV106*1000/3</f>
        <v>21.330807909986696</v>
      </c>
      <c r="EW245" s="111">
        <f>EW243/EW106*1000/3</f>
        <v>19.560748674672727</v>
      </c>
      <c r="EX245" s="112">
        <f t="shared" ref="EX245" si="1227">EX243/EX106*1000/12</f>
        <v>21.191991560300956</v>
      </c>
      <c r="EY245" s="111">
        <f t="shared" ref="EY245:FB245" si="1228">EY243/EY106*1000/3</f>
        <v>19.827101384851243</v>
      </c>
      <c r="EZ245" s="111">
        <f t="shared" si="1228"/>
        <v>19.493902782726689</v>
      </c>
      <c r="FA245" s="111">
        <f t="shared" si="1228"/>
        <v>19.192995671176742</v>
      </c>
      <c r="FB245" s="111">
        <f t="shared" si="1228"/>
        <v>17.727744677944472</v>
      </c>
      <c r="FC245" s="112">
        <f t="shared" ref="FC245" si="1229">FC243/FC106*1000/12</f>
        <v>19.027493739885152</v>
      </c>
      <c r="FD245" s="111">
        <f t="shared" si="1226"/>
        <v>18.230652283686592</v>
      </c>
      <c r="FE245" s="111">
        <f t="shared" si="1226"/>
        <v>17.988685599359194</v>
      </c>
      <c r="FF245" s="111">
        <f t="shared" si="1226"/>
        <v>18.412559670448772</v>
      </c>
      <c r="FG245" s="111">
        <f t="shared" si="1226"/>
        <v>18.727651970708557</v>
      </c>
      <c r="FH245" s="111">
        <f t="shared" si="1226"/>
        <v>18.960031762303849</v>
      </c>
      <c r="FI245" s="111">
        <f t="shared" si="1226"/>
        <v>19.118525211882254</v>
      </c>
    </row>
    <row r="246" spans="1:177" x14ac:dyDescent="0.3">
      <c r="A246" s="70" t="s">
        <v>387</v>
      </c>
      <c r="DZ246" s="75"/>
      <c r="EA246" s="75"/>
      <c r="EB246" s="75"/>
      <c r="EC246" s="75"/>
      <c r="ED246" s="84"/>
      <c r="EE246" s="75">
        <f t="shared" ref="EE246:EW246" si="1230">+EE245/DZ245-1</f>
        <v>-0.1517183832077128</v>
      </c>
      <c r="EF246" s="75">
        <f t="shared" si="1230"/>
        <v>-0.12921813440614927</v>
      </c>
      <c r="EG246" s="75">
        <f t="shared" si="1230"/>
        <v>-0.16162390510513369</v>
      </c>
      <c r="EH246" s="75">
        <f t="shared" si="1230"/>
        <v>-0.17520531359402813</v>
      </c>
      <c r="EI246" s="84">
        <f t="shared" si="1230"/>
        <v>-0.15636191958705015</v>
      </c>
      <c r="EJ246" s="75">
        <f t="shared" si="1230"/>
        <v>-0.19294105935392591</v>
      </c>
      <c r="EK246" s="75">
        <f t="shared" si="1230"/>
        <v>-0.20985590184003866</v>
      </c>
      <c r="EL246" s="75">
        <f t="shared" si="1230"/>
        <v>-0.18871201134568838</v>
      </c>
      <c r="EM246" s="75">
        <f t="shared" si="1230"/>
        <v>-0.24024841159127552</v>
      </c>
      <c r="EN246" s="84">
        <f t="shared" si="1230"/>
        <v>-0.20936412637735002</v>
      </c>
      <c r="EO246" s="75">
        <f t="shared" si="1230"/>
        <v>-0.22401658136201097</v>
      </c>
      <c r="EP246" s="75">
        <f t="shared" si="1230"/>
        <v>-0.18372798676916602</v>
      </c>
      <c r="EQ246" s="75">
        <f t="shared" si="1230"/>
        <v>-0.19834317242266808</v>
      </c>
      <c r="ER246" s="75">
        <f t="shared" si="1230"/>
        <v>-0.19057673043648826</v>
      </c>
      <c r="ES246" s="84">
        <f t="shared" ref="ES246" si="1231">+ES245/EN245-1</f>
        <v>-0.19841288905045273</v>
      </c>
      <c r="ET246" s="75">
        <f t="shared" si="1230"/>
        <v>-0.12220059807251615</v>
      </c>
      <c r="EU246" s="75">
        <f t="shared" si="1230"/>
        <v>-0.12416391443747066</v>
      </c>
      <c r="EV246" s="75">
        <f t="shared" si="1230"/>
        <v>-0.11240138196777583</v>
      </c>
      <c r="EW246" s="75">
        <f t="shared" si="1230"/>
        <v>-8.5872253746544391E-2</v>
      </c>
      <c r="EX246" s="84">
        <f t="shared" ref="EX246" si="1232">+EX245/ES245-1</f>
        <v>-0.11096546197118751</v>
      </c>
      <c r="EY246" s="75">
        <f t="shared" ref="EY246" si="1233">+EY245/ET245-1</f>
        <v>-0.11085475227844632</v>
      </c>
      <c r="EZ246" s="75">
        <f t="shared" ref="EZ246" si="1234">+EZ245/EU245-1</f>
        <v>-0.10528093800066007</v>
      </c>
      <c r="FA246" s="75">
        <f t="shared" ref="FA246" si="1235">+FA245/EV245-1</f>
        <v>-0.10022181287418885</v>
      </c>
      <c r="FB246" s="75">
        <f t="shared" ref="FB246:FC246" si="1236">+FB245/EW245-1</f>
        <v>-9.3708274014155157E-2</v>
      </c>
      <c r="FC246" s="84">
        <f t="shared" si="1236"/>
        <v>-0.1021375369208134</v>
      </c>
      <c r="FD246" s="75">
        <f t="shared" ref="FD246:FI246" si="1237">FD245/FC245-1</f>
        <v>-4.1878424299687578E-2</v>
      </c>
      <c r="FE246" s="75">
        <f t="shared" si="1237"/>
        <v>-1.3272519302225838E-2</v>
      </c>
      <c r="FF246" s="75">
        <f t="shared" si="1237"/>
        <v>2.3563370917143445E-2</v>
      </c>
      <c r="FG246" s="75">
        <f t="shared" si="1237"/>
        <v>1.7112900427716848E-2</v>
      </c>
      <c r="FH246" s="75">
        <f t="shared" si="1237"/>
        <v>1.2408378367920969E-2</v>
      </c>
      <c r="FI246" s="75">
        <f t="shared" si="1237"/>
        <v>8.3593451511785322E-3</v>
      </c>
    </row>
    <row r="247" spans="1:177" x14ac:dyDescent="0.3">
      <c r="A247" s="61" t="s">
        <v>391</v>
      </c>
      <c r="DU247" s="111"/>
      <c r="DV247" s="111"/>
      <c r="DW247" s="111"/>
      <c r="DX247" s="111"/>
      <c r="DY247" s="112"/>
      <c r="DZ247" s="111">
        <f>+DZ243/DZ$183/3*1000</f>
        <v>117.98556988637245</v>
      </c>
      <c r="EA247" s="111">
        <f t="shared" ref="EA247:EG247" si="1238">+EA243/EA$183/3*1000</f>
        <v>108.9025757780672</v>
      </c>
      <c r="EB247" s="111">
        <f t="shared" si="1238"/>
        <v>108.06685285684857</v>
      </c>
      <c r="EC247" s="111">
        <f t="shared" si="1238"/>
        <v>103.86545294253645</v>
      </c>
      <c r="ED247" s="112">
        <f>+ED243/ED$183/12*1000</f>
        <v>109.67286481455469</v>
      </c>
      <c r="EE247" s="111">
        <f>+EE243/EE$183/3*1000</f>
        <v>101.48002034562755</v>
      </c>
      <c r="EF247" s="111">
        <f t="shared" si="1238"/>
        <v>99.275095220543065</v>
      </c>
      <c r="EG247" s="111">
        <f t="shared" si="1238"/>
        <v>98.245614035087712</v>
      </c>
      <c r="EH247" s="111">
        <f t="shared" ref="EH247:EJ247" si="1239">+EH243/EH$183/3*1000</f>
        <v>94.733121244255926</v>
      </c>
      <c r="EI247" s="112">
        <f>+EI243/EI$183/12*1000</f>
        <v>98.386426193489271</v>
      </c>
      <c r="EJ247" s="111">
        <f t="shared" si="1239"/>
        <v>90.588369181745776</v>
      </c>
      <c r="EK247" s="111">
        <f t="shared" ref="EK247:EL247" si="1240">+EK243/EK$183/3*1000</f>
        <v>86.240947992100061</v>
      </c>
      <c r="EL247" s="111">
        <f t="shared" si="1240"/>
        <v>87.608190838083175</v>
      </c>
      <c r="EM247" s="111">
        <f t="shared" ref="EM247" si="1241">+EM243/EM$183/3*1000</f>
        <v>79.773805917398775</v>
      </c>
      <c r="EN247" s="112">
        <f>+EN243/EN$183/12*1000</f>
        <v>85.895166049680782</v>
      </c>
      <c r="EO247" s="111">
        <f t="shared" ref="EO247:EP247" si="1242">+EO243/EO$183/3*1000</f>
        <v>78.284285439507599</v>
      </c>
      <c r="EP247" s="111">
        <f t="shared" si="1242"/>
        <v>77.879038939519475</v>
      </c>
      <c r="EQ247" s="111">
        <f t="shared" ref="EQ247:ER247" si="1243">+EQ243/EQ$183/3*1000</f>
        <v>76.453411202548452</v>
      </c>
      <c r="ER247" s="111">
        <f t="shared" si="1243"/>
        <v>68.871925360474975</v>
      </c>
      <c r="ES247" s="112">
        <f>+ES243/ES$183/12*1000</f>
        <v>75.216450216450227</v>
      </c>
      <c r="ET247" s="111">
        <f t="shared" ref="ET247:EU247" si="1244">+ET243/ET$183/3*1000</f>
        <v>72.322444336096211</v>
      </c>
      <c r="EU247" s="111">
        <f t="shared" si="1244"/>
        <v>71.306243188541188</v>
      </c>
      <c r="EV247" s="111">
        <f t="shared" ref="EV247:EW247" si="1245">+EV243/EV$183/3*1000</f>
        <v>70.35549605830731</v>
      </c>
      <c r="EW247" s="111">
        <f t="shared" si="1245"/>
        <v>64.291302183344001</v>
      </c>
      <c r="EX247" s="112">
        <f>+EX243/EX$183/12*1000</f>
        <v>69.427828101559086</v>
      </c>
      <c r="EY247" s="111">
        <f t="shared" ref="EY247:FB247" si="1246">+EY243/EY$183/3*1000</f>
        <v>64.630330048605771</v>
      </c>
      <c r="EZ247" s="111">
        <f t="shared" si="1246"/>
        <v>63.422988483589016</v>
      </c>
      <c r="FA247" s="111">
        <f t="shared" si="1246"/>
        <v>62.422109469521267</v>
      </c>
      <c r="FB247" s="111">
        <f t="shared" si="1246"/>
        <v>56.995539810799187</v>
      </c>
      <c r="FC247" s="112">
        <f>+FC243/FC$183/12*1000</f>
        <v>61.732261536993654</v>
      </c>
      <c r="FD247" s="111">
        <f t="shared" ref="FD247:FI247" si="1247">+FD243/FD$183/12*1000</f>
        <v>55.965232704064583</v>
      </c>
      <c r="FE247" s="111">
        <f t="shared" si="1247"/>
        <v>50.41209998535701</v>
      </c>
      <c r="FF247" s="111">
        <f t="shared" si="1247"/>
        <v>47.001839466977771</v>
      </c>
      <c r="FG247" s="111">
        <f t="shared" si="1247"/>
        <v>44.920722332142475</v>
      </c>
      <c r="FH247" s="111">
        <f t="shared" si="1247"/>
        <v>43.630199496199886</v>
      </c>
      <c r="FI247" s="111">
        <f t="shared" si="1247"/>
        <v>42.89465012588898</v>
      </c>
    </row>
    <row r="248" spans="1:177" x14ac:dyDescent="0.3">
      <c r="A248" s="70" t="s">
        <v>387</v>
      </c>
      <c r="DZ248" s="75"/>
      <c r="EA248" s="75"/>
      <c r="EB248" s="75"/>
      <c r="EC248" s="75"/>
      <c r="ED248" s="84"/>
      <c r="EE248" s="75">
        <f t="shared" ref="EE248:EW248" si="1248">+EE247/DZ247-1</f>
        <v>-0.13989464607104729</v>
      </c>
      <c r="EF248" s="75">
        <f t="shared" si="1248"/>
        <v>-8.8404525684902091E-2</v>
      </c>
      <c r="EG248" s="75">
        <f t="shared" si="1248"/>
        <v>-9.0881140350877243E-2</v>
      </c>
      <c r="EH248" s="75">
        <f t="shared" si="1248"/>
        <v>-8.7924631718815927E-2</v>
      </c>
      <c r="EI248" s="84">
        <f t="shared" si="1248"/>
        <v>-0.10291003741125571</v>
      </c>
      <c r="EJ248" s="75">
        <f t="shared" si="1248"/>
        <v>-0.10732803488594356</v>
      </c>
      <c r="EK248" s="75">
        <f t="shared" si="1248"/>
        <v>-0.13129322313403169</v>
      </c>
      <c r="EL248" s="75">
        <f t="shared" si="1248"/>
        <v>-0.10827377182665332</v>
      </c>
      <c r="EM248" s="75">
        <f t="shared" si="1248"/>
        <v>-0.15791008604357792</v>
      </c>
      <c r="EN248" s="84">
        <f t="shared" si="1248"/>
        <v>-0.12696121433705554</v>
      </c>
      <c r="EO248" s="75">
        <f t="shared" si="1248"/>
        <v>-0.1358241003053352</v>
      </c>
      <c r="EP248" s="75">
        <f t="shared" si="1248"/>
        <v>-9.6959846189846655E-2</v>
      </c>
      <c r="EQ248" s="75">
        <f t="shared" si="1248"/>
        <v>-0.12732576176753729</v>
      </c>
      <c r="ER248" s="75">
        <f t="shared" si="1248"/>
        <v>-0.13665990272812201</v>
      </c>
      <c r="ES248" s="84">
        <f t="shared" ref="ES248" si="1249">+ES247/EN247-1</f>
        <v>-0.12432266359499333</v>
      </c>
      <c r="ET248" s="75">
        <f t="shared" si="1248"/>
        <v>-7.6156294586328777E-2</v>
      </c>
      <c r="EU248" s="75">
        <f t="shared" si="1248"/>
        <v>-8.4397494376923343E-2</v>
      </c>
      <c r="EV248" s="75">
        <f t="shared" si="1248"/>
        <v>-7.9759883154015165E-2</v>
      </c>
      <c r="EW248" s="75">
        <f t="shared" si="1248"/>
        <v>-6.6509294653170126E-2</v>
      </c>
      <c r="EX248" s="84">
        <f t="shared" ref="EX248" si="1250">+EX247/ES247-1</f>
        <v>-7.6959522793660584E-2</v>
      </c>
      <c r="EY248" s="75">
        <f t="shared" ref="EY248" si="1251">+EY247/ET247-1</f>
        <v>-0.10635860496837901</v>
      </c>
      <c r="EZ248" s="75">
        <f t="shared" ref="EZ248" si="1252">+EZ247/EU247-1</f>
        <v>-0.11055490168102133</v>
      </c>
      <c r="FA248" s="75">
        <f t="shared" ref="FA248" si="1253">+FA247/EV247-1</f>
        <v>-0.11276143348077916</v>
      </c>
      <c r="FB248" s="75">
        <f t="shared" ref="FB248:FC248" si="1254">+FB247/EW247-1</f>
        <v>-0.11347977292074407</v>
      </c>
      <c r="FC248" s="84">
        <f t="shared" si="1254"/>
        <v>-0.11084268044952161</v>
      </c>
      <c r="FD248" s="75">
        <f t="shared" ref="FD248:FI248" si="1255">+FD247/FC247-1</f>
        <v>-9.3420015553344449E-2</v>
      </c>
      <c r="FE248" s="75">
        <f t="shared" si="1255"/>
        <v>-9.9224687371026854E-2</v>
      </c>
      <c r="FF248" s="75">
        <f t="shared" si="1255"/>
        <v>-6.7647658386970622E-2</v>
      </c>
      <c r="FG248" s="75">
        <f t="shared" si="1255"/>
        <v>-4.4277355066016821E-2</v>
      </c>
      <c r="FH248" s="75">
        <f t="shared" si="1255"/>
        <v>-2.8728897687808841E-2</v>
      </c>
      <c r="FI248" s="75">
        <f t="shared" si="1255"/>
        <v>-1.6858721225305628E-2</v>
      </c>
    </row>
    <row r="249" spans="1:177" x14ac:dyDescent="0.3">
      <c r="A249" s="70" t="s">
        <v>394</v>
      </c>
      <c r="DU249" s="75"/>
      <c r="DV249" s="75"/>
      <c r="DW249" s="75"/>
      <c r="DX249" s="75"/>
      <c r="DY249" s="84"/>
      <c r="DZ249" s="75">
        <f t="shared" ref="DZ249:FI249" si="1256">DZ243/DZ206</f>
        <v>0.63950276243093918</v>
      </c>
      <c r="EA249" s="75">
        <f t="shared" si="1256"/>
        <v>0.60563380281690138</v>
      </c>
      <c r="EB249" s="75">
        <f t="shared" si="1256"/>
        <v>0.62264150943396224</v>
      </c>
      <c r="EC249" s="75">
        <f t="shared" si="1256"/>
        <v>0.60144927536231885</v>
      </c>
      <c r="ED249" s="84">
        <f t="shared" si="1256"/>
        <v>0.61749022396018483</v>
      </c>
      <c r="EE249" s="75">
        <f t="shared" si="1256"/>
        <v>0.60324483775811211</v>
      </c>
      <c r="EF249" s="75">
        <f t="shared" si="1256"/>
        <v>0.59411764705882353</v>
      </c>
      <c r="EG249" s="75">
        <f t="shared" si="1256"/>
        <v>0.5935672514619883</v>
      </c>
      <c r="EH249" s="75">
        <f t="shared" ref="EH249:EJ249" si="1257">EH243/EH206</f>
        <v>0.5955555555555555</v>
      </c>
      <c r="EI249" s="84">
        <f t="shared" si="1256"/>
        <v>0.59661391240338613</v>
      </c>
      <c r="EJ249" s="75">
        <f t="shared" si="1257"/>
        <v>0.59226190476190477</v>
      </c>
      <c r="EK249" s="75">
        <f t="shared" ref="EK249:EL249" si="1258">EK243/EK206</f>
        <v>0.57372262773722627</v>
      </c>
      <c r="EL249" s="75">
        <f t="shared" si="1258"/>
        <v>0.60057887120115772</v>
      </c>
      <c r="EM249" s="75">
        <f t="shared" ref="EM249" si="1259">EM243/EM206</f>
        <v>0.54785020804438278</v>
      </c>
      <c r="EN249" s="84">
        <f t="shared" si="1256"/>
        <v>0.5781870711448176</v>
      </c>
      <c r="EO249" s="75">
        <f t="shared" si="1256"/>
        <v>0.55829903978052131</v>
      </c>
      <c r="EP249" s="75">
        <f t="shared" ref="EP249:EQ249" si="1260">EP243/EP206</f>
        <v>0.56702412868632712</v>
      </c>
      <c r="EQ249" s="75">
        <f t="shared" si="1260"/>
        <v>0.56842105263157894</v>
      </c>
      <c r="ER249" s="75">
        <f t="shared" ref="ER249" si="1261">ER243/ER206</f>
        <v>0.53280839895013121</v>
      </c>
      <c r="ES249" s="84">
        <f t="shared" ref="ES249:ET249" si="1262">ES243/ES206</f>
        <v>0.55655655655655656</v>
      </c>
      <c r="ET249" s="75">
        <f t="shared" si="1262"/>
        <v>0.55279503105590067</v>
      </c>
      <c r="EU249" s="75">
        <f t="shared" ref="EU249:EV249" si="1263">EU243/EU206</f>
        <v>0.54523809523809519</v>
      </c>
      <c r="EV249" s="75">
        <f t="shared" si="1263"/>
        <v>0.5455594002306805</v>
      </c>
      <c r="EW249" s="75">
        <f t="shared" ref="EW249" si="1264">EW243/EW206</f>
        <v>0.50786516853932584</v>
      </c>
      <c r="EX249" s="84">
        <f t="shared" ref="EX249" si="1265">EX243/EX206</f>
        <v>0.53733098177542626</v>
      </c>
      <c r="EY249" s="75">
        <f t="shared" ref="EY249:FC249" si="1266">EY243/EY206</f>
        <v>0.5305303570784563</v>
      </c>
      <c r="EZ249" s="75">
        <f t="shared" si="1266"/>
        <v>0.52012163706590564</v>
      </c>
      <c r="FA249" s="75">
        <f t="shared" si="1266"/>
        <v>0.51717142168559871</v>
      </c>
      <c r="FB249" s="75">
        <f t="shared" si="1266"/>
        <v>0.47930573921945135</v>
      </c>
      <c r="FC249" s="84">
        <f t="shared" si="1266"/>
        <v>0.51108503678922457</v>
      </c>
      <c r="FD249" s="75">
        <f t="shared" si="1256"/>
        <v>0.48885521428824225</v>
      </c>
      <c r="FE249" s="75">
        <f t="shared" si="1256"/>
        <v>0.45452251041848901</v>
      </c>
      <c r="FF249" s="75">
        <f t="shared" si="1256"/>
        <v>0.42872968060206773</v>
      </c>
      <c r="FG249" s="75">
        <f t="shared" si="1256"/>
        <v>0.40892303983117856</v>
      </c>
      <c r="FH249" s="75">
        <f t="shared" si="1256"/>
        <v>0.39307078711627191</v>
      </c>
      <c r="FI249" s="75">
        <f t="shared" si="1256"/>
        <v>0.38020192919004997</v>
      </c>
    </row>
    <row r="250" spans="1:177" x14ac:dyDescent="0.3">
      <c r="A250" s="90"/>
      <c r="EN250" s="916"/>
      <c r="EO250"/>
      <c r="EP250"/>
      <c r="EQ250"/>
      <c r="ER250"/>
      <c r="ES250" s="916"/>
      <c r="EX250" s="916"/>
      <c r="FC250" s="916"/>
      <c r="FD250" s="887"/>
      <c r="FE250" s="887"/>
      <c r="FF250" s="887"/>
      <c r="FG250" s="887"/>
      <c r="FH250" s="887"/>
      <c r="FI250" s="887"/>
    </row>
    <row r="251" spans="1:177" x14ac:dyDescent="0.3">
      <c r="A251" s="90" t="s">
        <v>396</v>
      </c>
      <c r="DZ251" s="471">
        <f>Inputs!DZ151</f>
        <v>261</v>
      </c>
      <c r="EA251" s="471">
        <f>Inputs!EA151</f>
        <v>280</v>
      </c>
      <c r="EB251" s="471">
        <f>Inputs!EB151</f>
        <v>260</v>
      </c>
      <c r="EC251" s="471">
        <f>Inputs!EC151</f>
        <v>275</v>
      </c>
      <c r="ED251" s="85">
        <f>SUM(DZ251:EC251)</f>
        <v>1076</v>
      </c>
      <c r="EE251" s="471">
        <f>Inputs!EE151</f>
        <v>269</v>
      </c>
      <c r="EF251" s="471">
        <f>Inputs!EF151</f>
        <v>276</v>
      </c>
      <c r="EG251" s="471">
        <f>Inputs!EG151</f>
        <v>278</v>
      </c>
      <c r="EH251" s="471">
        <f>Inputs!EH151</f>
        <v>273</v>
      </c>
      <c r="EI251" s="85">
        <f>SUM(EE251:EH251)</f>
        <v>1096</v>
      </c>
      <c r="EJ251" s="471">
        <f>Inputs!EJ151</f>
        <v>274</v>
      </c>
      <c r="EK251" s="471">
        <f>Inputs!EK151</f>
        <v>292</v>
      </c>
      <c r="EL251" s="471">
        <f>Inputs!EL151</f>
        <v>276</v>
      </c>
      <c r="EM251" s="471">
        <f>Inputs!EM151</f>
        <v>326</v>
      </c>
      <c r="EN251" s="85">
        <f>SUM(EJ251:EM251)</f>
        <v>1168</v>
      </c>
      <c r="EO251" s="471">
        <f>Inputs!EO151</f>
        <v>322</v>
      </c>
      <c r="EP251" s="471">
        <f>Inputs!EP151</f>
        <v>323</v>
      </c>
      <c r="EQ251" s="471">
        <f>Inputs!EQ151</f>
        <v>328</v>
      </c>
      <c r="ER251" s="471">
        <f>Inputs!ER151</f>
        <v>356</v>
      </c>
      <c r="ES251" s="85">
        <f>SUM(EO251:ER251)</f>
        <v>1329</v>
      </c>
      <c r="ET251" s="471">
        <f>Inputs!ET151</f>
        <v>360</v>
      </c>
      <c r="EU251" s="471">
        <f>Inputs!EU151</f>
        <v>382</v>
      </c>
      <c r="EV251" s="471">
        <f>Inputs!EV151</f>
        <v>394</v>
      </c>
      <c r="EW251" s="471">
        <f>Inputs!EW151</f>
        <v>438</v>
      </c>
      <c r="EX251" s="85">
        <f>SUM(ET251:EW251)</f>
        <v>1574</v>
      </c>
      <c r="EY251" s="916">
        <f t="shared" ref="EY251:FB251" si="1267">EY206-EY243</f>
        <v>420.03728234521168</v>
      </c>
      <c r="EZ251" s="916">
        <f t="shared" si="1267"/>
        <v>449.27700245445612</v>
      </c>
      <c r="FA251" s="916">
        <f t="shared" si="1267"/>
        <v>467.77270771395979</v>
      </c>
      <c r="FB251" s="916">
        <f t="shared" si="1267"/>
        <v>520.29262057353731</v>
      </c>
      <c r="FC251" s="85">
        <f>SUM(EY251:FB251)</f>
        <v>1857.3796130871649</v>
      </c>
      <c r="FD251" s="916">
        <f t="shared" ref="FD251:FI251" si="1268">FD206-FD243</f>
        <v>2189.7533312017049</v>
      </c>
      <c r="FE251" s="916">
        <f t="shared" si="1268"/>
        <v>2609.5517030539809</v>
      </c>
      <c r="FF251" s="916">
        <f t="shared" si="1268"/>
        <v>2995.2887098981591</v>
      </c>
      <c r="FG251" s="916">
        <f t="shared" si="1268"/>
        <v>3337.9018808996007</v>
      </c>
      <c r="FH251" s="916">
        <f t="shared" si="1268"/>
        <v>3645.9901683988751</v>
      </c>
      <c r="FI251" s="916">
        <f t="shared" si="1268"/>
        <v>3920.3137454806747</v>
      </c>
    </row>
    <row r="252" spans="1:177" x14ac:dyDescent="0.3">
      <c r="A252" s="46" t="s">
        <v>45</v>
      </c>
      <c r="DZ252" s="898">
        <f t="shared" ref="DZ252:FI252" si="1269">DZ251/DZ206</f>
        <v>0.36049723756906077</v>
      </c>
      <c r="EA252" s="898">
        <f t="shared" si="1269"/>
        <v>0.39436619718309857</v>
      </c>
      <c r="EB252" s="898">
        <f t="shared" si="1269"/>
        <v>0.37735849056603776</v>
      </c>
      <c r="EC252" s="898">
        <f t="shared" si="1269"/>
        <v>0.39855072463768115</v>
      </c>
      <c r="ED252" s="911">
        <f t="shared" si="1269"/>
        <v>0.38250977603981512</v>
      </c>
      <c r="EE252" s="898">
        <f t="shared" si="1269"/>
        <v>0.39675516224188789</v>
      </c>
      <c r="EF252" s="898">
        <f t="shared" si="1269"/>
        <v>0.40588235294117647</v>
      </c>
      <c r="EG252" s="898">
        <f t="shared" si="1269"/>
        <v>0.4064327485380117</v>
      </c>
      <c r="EH252" s="898">
        <f t="shared" ref="EH252:EJ252" si="1270">EH251/EH206</f>
        <v>0.40444444444444444</v>
      </c>
      <c r="EI252" s="911">
        <f t="shared" si="1269"/>
        <v>0.40338608759661393</v>
      </c>
      <c r="EJ252" s="898">
        <f t="shared" si="1270"/>
        <v>0.40773809523809523</v>
      </c>
      <c r="EK252" s="898">
        <f t="shared" ref="EK252:EL252" si="1271">EK251/EK206</f>
        <v>0.42627737226277373</v>
      </c>
      <c r="EL252" s="898">
        <f t="shared" si="1271"/>
        <v>0.39942112879884228</v>
      </c>
      <c r="EM252" s="898">
        <f t="shared" ref="EM252" si="1272">EM251/EM206</f>
        <v>0.45214979195561722</v>
      </c>
      <c r="EN252" s="911">
        <f t="shared" si="1269"/>
        <v>0.4218129288551824</v>
      </c>
      <c r="EO252" s="898">
        <f t="shared" si="1269"/>
        <v>0.44170096021947874</v>
      </c>
      <c r="EP252" s="898">
        <f t="shared" ref="EP252:EQ252" si="1273">EP251/EP206</f>
        <v>0.43297587131367293</v>
      </c>
      <c r="EQ252" s="898">
        <f t="shared" si="1273"/>
        <v>0.43157894736842106</v>
      </c>
      <c r="ER252" s="898">
        <f t="shared" ref="ER252" si="1274">ER251/ER206</f>
        <v>0.46719160104986879</v>
      </c>
      <c r="ES252" s="911">
        <f t="shared" ref="ES252:ET252" si="1275">ES251/ES206</f>
        <v>0.44344344344344344</v>
      </c>
      <c r="ET252" s="898">
        <f t="shared" si="1275"/>
        <v>0.44720496894409939</v>
      </c>
      <c r="EU252" s="898">
        <f t="shared" ref="EU252:EV252" si="1276">EU251/EU206</f>
        <v>0.45476190476190476</v>
      </c>
      <c r="EV252" s="898">
        <f t="shared" si="1276"/>
        <v>0.4544405997693195</v>
      </c>
      <c r="EW252" s="898">
        <f t="shared" ref="EW252" si="1277">EW251/EW206</f>
        <v>0.49213483146067416</v>
      </c>
      <c r="EX252" s="911">
        <f t="shared" ref="EX252" si="1278">EX251/EX206</f>
        <v>0.46266901822457379</v>
      </c>
      <c r="EY252" s="898">
        <f t="shared" ref="EY252:FC252" si="1279">EY251/EY206</f>
        <v>0.4694696429215437</v>
      </c>
      <c r="EZ252" s="898">
        <f t="shared" si="1279"/>
        <v>0.47987836293409442</v>
      </c>
      <c r="FA252" s="898">
        <f t="shared" si="1279"/>
        <v>0.48282857831440124</v>
      </c>
      <c r="FB252" s="898">
        <f t="shared" si="1279"/>
        <v>0.5206942607805487</v>
      </c>
      <c r="FC252" s="911">
        <f t="shared" si="1279"/>
        <v>0.48891496321077549</v>
      </c>
      <c r="FD252" s="898">
        <f t="shared" si="1269"/>
        <v>0.5111447857117577</v>
      </c>
      <c r="FE252" s="898">
        <f t="shared" si="1269"/>
        <v>0.54547748958151099</v>
      </c>
      <c r="FF252" s="898">
        <f t="shared" si="1269"/>
        <v>0.57127031939793227</v>
      </c>
      <c r="FG252" s="898">
        <f t="shared" si="1269"/>
        <v>0.5910769601688215</v>
      </c>
      <c r="FH252" s="898">
        <f t="shared" si="1269"/>
        <v>0.60692921288372803</v>
      </c>
      <c r="FI252" s="898">
        <f t="shared" si="1269"/>
        <v>0.61979807080995009</v>
      </c>
    </row>
    <row r="253" spans="1:177" x14ac:dyDescent="0.3">
      <c r="A253" s="46" t="s">
        <v>29</v>
      </c>
      <c r="EE253" s="898">
        <f t="shared" ref="EE253:EW253" si="1280">EE251/DZ251-1</f>
        <v>3.0651340996168619E-2</v>
      </c>
      <c r="EF253" s="898">
        <f t="shared" si="1280"/>
        <v>-1.4285714285714235E-2</v>
      </c>
      <c r="EG253" s="898">
        <f t="shared" si="1280"/>
        <v>6.9230769230769207E-2</v>
      </c>
      <c r="EH253" s="898">
        <f t="shared" si="1280"/>
        <v>-7.2727272727273196E-3</v>
      </c>
      <c r="EI253" s="911">
        <f t="shared" si="1280"/>
        <v>1.8587360594795488E-2</v>
      </c>
      <c r="EJ253" s="898">
        <f t="shared" si="1280"/>
        <v>1.8587360594795488E-2</v>
      </c>
      <c r="EK253" s="898">
        <f t="shared" si="1280"/>
        <v>5.7971014492753659E-2</v>
      </c>
      <c r="EL253" s="898">
        <f t="shared" si="1280"/>
        <v>-7.194244604316502E-3</v>
      </c>
      <c r="EM253" s="898">
        <f t="shared" si="1280"/>
        <v>0.19413919413919412</v>
      </c>
      <c r="EN253" s="911">
        <f t="shared" si="1280"/>
        <v>6.5693430656934337E-2</v>
      </c>
      <c r="EO253" s="898">
        <f t="shared" si="1280"/>
        <v>0.17518248175182483</v>
      </c>
      <c r="EP253" s="898">
        <f t="shared" si="1280"/>
        <v>0.10616438356164393</v>
      </c>
      <c r="EQ253" s="898">
        <f t="shared" si="1280"/>
        <v>0.18840579710144922</v>
      </c>
      <c r="ER253" s="898">
        <f t="shared" si="1280"/>
        <v>9.2024539877300526E-2</v>
      </c>
      <c r="ES253" s="911">
        <f t="shared" ref="ES253" si="1281">ES251/EN251-1</f>
        <v>0.13784246575342474</v>
      </c>
      <c r="ET253" s="898">
        <f t="shared" si="1280"/>
        <v>0.11801242236024834</v>
      </c>
      <c r="EU253" s="898">
        <f t="shared" si="1280"/>
        <v>0.18266253869969051</v>
      </c>
      <c r="EV253" s="898">
        <f t="shared" si="1280"/>
        <v>0.20121951219512191</v>
      </c>
      <c r="EW253" s="898">
        <f t="shared" si="1280"/>
        <v>0.2303370786516854</v>
      </c>
      <c r="EX253" s="911">
        <f t="shared" ref="EX253" si="1282">EX251/ES251-1</f>
        <v>0.18434913468773506</v>
      </c>
      <c r="EY253" s="898">
        <f t="shared" ref="EY253" si="1283">EY251/ET251-1</f>
        <v>0.166770228736699</v>
      </c>
      <c r="EZ253" s="898">
        <f t="shared" ref="EZ253" si="1284">EZ251/EU251-1</f>
        <v>0.17611780747239814</v>
      </c>
      <c r="FA253" s="898">
        <f t="shared" ref="FA253" si="1285">FA251/EV251-1</f>
        <v>0.18724037490852741</v>
      </c>
      <c r="FB253" s="898">
        <f t="shared" ref="FB253:FC253" si="1286">FB251/EW251-1</f>
        <v>0.18788269537337277</v>
      </c>
      <c r="FC253" s="911">
        <f t="shared" si="1286"/>
        <v>0.18003787362589896</v>
      </c>
      <c r="FD253" s="898">
        <f t="shared" ref="FD253:FI253" si="1287">FD251/FC251-1</f>
        <v>0.17894765064320861</v>
      </c>
      <c r="FE253" s="898">
        <f t="shared" si="1287"/>
        <v>0.19171034740332904</v>
      </c>
      <c r="FF253" s="898">
        <f t="shared" si="1287"/>
        <v>0.14781734594211993</v>
      </c>
      <c r="FG253" s="898">
        <f t="shared" si="1287"/>
        <v>0.11438402243805412</v>
      </c>
      <c r="FH253" s="898">
        <f t="shared" si="1287"/>
        <v>9.2299983190710533E-2</v>
      </c>
      <c r="FI253" s="898">
        <f t="shared" si="1287"/>
        <v>7.5239801648249616E-2</v>
      </c>
    </row>
    <row r="254" spans="1:177" x14ac:dyDescent="0.3">
      <c r="EO254"/>
      <c r="EP254"/>
      <c r="EQ254"/>
      <c r="ER254"/>
    </row>
    <row r="255" spans="1:177" ht="12.75" customHeight="1" x14ac:dyDescent="0.3">
      <c r="A255" s="105" t="s">
        <v>397</v>
      </c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  <c r="BJ255" s="106"/>
      <c r="BK255" s="106"/>
      <c r="BL255" s="105"/>
      <c r="BM255" s="105"/>
      <c r="BN255" s="105"/>
      <c r="BO255" s="105"/>
      <c r="BP255" s="105"/>
      <c r="BQ255" s="105"/>
      <c r="BR255" s="106"/>
      <c r="BS255" s="106"/>
      <c r="BT255" s="106"/>
      <c r="BU255" s="106"/>
      <c r="BV255" s="105"/>
      <c r="BW255" s="106"/>
      <c r="BX255" s="106"/>
      <c r="BY255" s="106"/>
      <c r="BZ255" s="106"/>
      <c r="CA255" s="105"/>
      <c r="CB255" s="106"/>
      <c r="CC255" s="106"/>
      <c r="CD255" s="106"/>
      <c r="CE255" s="106"/>
      <c r="CF255" s="105"/>
      <c r="CG255" s="106"/>
      <c r="CH255" s="106"/>
      <c r="CI255" s="106"/>
      <c r="CJ255" s="106"/>
      <c r="CK255" s="105"/>
      <c r="CL255" s="106"/>
      <c r="CM255" s="106"/>
      <c r="CN255" s="106"/>
      <c r="CO255" s="106"/>
      <c r="CP255" s="105"/>
      <c r="CQ255" s="106"/>
      <c r="CR255" s="106"/>
      <c r="CS255" s="106"/>
      <c r="CT255" s="106"/>
      <c r="CU255" s="106"/>
      <c r="CV255" s="106"/>
      <c r="CW255" s="106"/>
      <c r="CX255" s="106"/>
      <c r="CY255" s="106"/>
      <c r="CZ255" s="106"/>
      <c r="DA255" s="106"/>
      <c r="DB255" s="106"/>
      <c r="DC255" s="106"/>
      <c r="DD255" s="106"/>
      <c r="DE255" s="106"/>
      <c r="DF255" s="106"/>
      <c r="DG255" s="106"/>
      <c r="DH255" s="106"/>
      <c r="DI255" s="106"/>
      <c r="DJ255" s="106"/>
      <c r="DK255" s="106"/>
      <c r="DL255" s="106"/>
      <c r="DM255" s="106"/>
      <c r="DN255" s="106"/>
      <c r="DO255" s="106"/>
      <c r="DP255" s="106"/>
      <c r="DQ255" s="106"/>
      <c r="DR255" s="106"/>
      <c r="DS255" s="106"/>
      <c r="DT255" s="106"/>
      <c r="DU255" s="107"/>
      <c r="DV255" s="107"/>
      <c r="DW255" s="107"/>
      <c r="DX255" s="107"/>
      <c r="DY255" s="1205"/>
      <c r="DZ255" s="107"/>
      <c r="EA255" s="107"/>
      <c r="EB255" s="107"/>
      <c r="EC255" s="107"/>
      <c r="ED255" s="1205"/>
      <c r="EE255" s="107"/>
      <c r="EF255" s="107"/>
      <c r="EG255" s="107"/>
      <c r="EH255" s="107"/>
      <c r="EI255" s="1205"/>
      <c r="EJ255" s="107"/>
      <c r="EK255" s="107"/>
      <c r="EL255" s="107"/>
      <c r="EM255" s="107"/>
      <c r="EN255" s="105"/>
      <c r="EO255" s="105"/>
      <c r="EP255" s="105"/>
      <c r="EQ255" s="105"/>
      <c r="ER255" s="105"/>
      <c r="ES255" s="106"/>
      <c r="ET255" s="105"/>
      <c r="EU255" s="105"/>
      <c r="EV255" s="105"/>
      <c r="EW255" s="105"/>
      <c r="EX255" s="106"/>
      <c r="EY255" s="105"/>
      <c r="EZ255" s="105"/>
      <c r="FA255" s="105"/>
      <c r="FB255" s="105"/>
      <c r="FC255" s="106"/>
      <c r="FD255" s="106"/>
      <c r="FE255" s="106"/>
      <c r="FF255" s="106"/>
      <c r="FG255" s="106"/>
      <c r="FH255" s="106"/>
      <c r="FI255" s="106"/>
      <c r="FJ255" s="106"/>
      <c r="FK255" s="106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</row>
    <row r="256" spans="1:177" x14ac:dyDescent="0.3">
      <c r="A256" s="55" t="s">
        <v>398</v>
      </c>
      <c r="EA256" s="76"/>
      <c r="EE256" s="74"/>
      <c r="EF256" s="74"/>
      <c r="EG256" s="74"/>
      <c r="EH256" s="74"/>
      <c r="EJ256" s="74"/>
      <c r="EK256" s="74"/>
      <c r="EL256" s="74"/>
      <c r="EM256" s="74"/>
      <c r="EN256" s="92"/>
      <c r="EO256" s="92"/>
      <c r="EP256" s="92"/>
      <c r="EQ256" s="92"/>
      <c r="ER256" s="92"/>
      <c r="ES256" s="74"/>
      <c r="ET256" s="92"/>
      <c r="EU256" s="92"/>
      <c r="EV256" s="92"/>
      <c r="EW256" s="92"/>
      <c r="EX256" s="74"/>
      <c r="EY256" s="92"/>
      <c r="EZ256" s="92"/>
      <c r="FA256" s="92"/>
      <c r="FB256" s="92"/>
      <c r="FC256" s="74"/>
      <c r="FD256" s="74"/>
      <c r="FE256" s="74"/>
      <c r="FF256" s="74"/>
      <c r="FG256" s="74"/>
      <c r="FH256" s="74"/>
      <c r="FI256" s="74"/>
    </row>
    <row r="257" spans="1:170" x14ac:dyDescent="0.3">
      <c r="A257" s="63" t="s">
        <v>399</v>
      </c>
      <c r="DU257" s="76">
        <f>+DU394-DU112</f>
        <v>1584</v>
      </c>
      <c r="DV257" s="76">
        <f>+DU260</f>
        <v>1565</v>
      </c>
      <c r="DW257" s="76">
        <f>+DV260</f>
        <v>1523</v>
      </c>
      <c r="DX257" s="76">
        <f>+DW260</f>
        <v>1475</v>
      </c>
      <c r="DY257" s="85">
        <f>+DU257</f>
        <v>1584</v>
      </c>
      <c r="DZ257" s="76">
        <f>+DY260</f>
        <v>1442</v>
      </c>
      <c r="EA257" s="76">
        <f>+DZ260</f>
        <v>1419</v>
      </c>
      <c r="EB257" s="76">
        <f>+EA260</f>
        <v>1401</v>
      </c>
      <c r="EC257" s="76">
        <f>+EB260</f>
        <v>1381</v>
      </c>
      <c r="ED257" s="85">
        <f>+DZ257</f>
        <v>1442</v>
      </c>
      <c r="EE257" s="76">
        <f>+ED260</f>
        <v>1349</v>
      </c>
      <c r="EF257" s="76">
        <f>+EE260</f>
        <v>1327</v>
      </c>
      <c r="EG257" s="76">
        <f>+EF260</f>
        <v>1297</v>
      </c>
      <c r="EH257" s="76">
        <f>+EG260</f>
        <v>1264</v>
      </c>
      <c r="EI257" s="85">
        <f>+EE257</f>
        <v>1349</v>
      </c>
      <c r="EJ257" s="76">
        <f>+EI260</f>
        <v>1234</v>
      </c>
      <c r="EK257" s="76">
        <f>+EJ260</f>
        <v>1204</v>
      </c>
      <c r="EL257" s="76">
        <f>+EK260</f>
        <v>1163</v>
      </c>
      <c r="EM257" s="76">
        <f>+EL260</f>
        <v>1105</v>
      </c>
      <c r="EN257" s="85">
        <f>+EJ257</f>
        <v>1234</v>
      </c>
      <c r="EO257" s="76">
        <f>+EN260</f>
        <v>1043</v>
      </c>
      <c r="EP257" s="76">
        <f>+EO260</f>
        <v>987</v>
      </c>
      <c r="EQ257" s="76">
        <f>+EP260</f>
        <v>928</v>
      </c>
      <c r="ER257" s="76">
        <f>+EQ260</f>
        <v>870</v>
      </c>
      <c r="ES257" s="85">
        <f>+EO257</f>
        <v>1043</v>
      </c>
      <c r="ET257" s="76">
        <f>+ES260</f>
        <v>822</v>
      </c>
      <c r="EU257" s="76">
        <f>+ET260</f>
        <v>771</v>
      </c>
      <c r="EV257" s="76">
        <f>+EU260</f>
        <v>721</v>
      </c>
      <c r="EW257" s="76">
        <f>+EV260</f>
        <v>666</v>
      </c>
      <c r="EX257" s="85">
        <f>+ET257</f>
        <v>822</v>
      </c>
      <c r="EY257" s="76">
        <f t="shared" ref="EY257" si="1288">+EX260</f>
        <v>612</v>
      </c>
      <c r="EZ257" s="76">
        <f t="shared" ref="EZ257" si="1289">+EY260</f>
        <v>569.47824000000003</v>
      </c>
      <c r="FA257" s="76">
        <f t="shared" ref="FA257" si="1290">+EZ260</f>
        <v>528.06578238719999</v>
      </c>
      <c r="FB257" s="76">
        <f t="shared" ref="FB257" si="1291">+FA260</f>
        <v>483.01120983392411</v>
      </c>
      <c r="FC257" s="85">
        <f>+EY257</f>
        <v>612</v>
      </c>
      <c r="FD257" s="76">
        <f t="shared" ref="FD257:FI257" si="1292">+FC260</f>
        <v>438.84466480671011</v>
      </c>
      <c r="FE257" s="76">
        <f t="shared" si="1292"/>
        <v>300.21500765474059</v>
      </c>
      <c r="FF257" s="76">
        <f t="shared" si="1292"/>
        <v>205.37802564110802</v>
      </c>
      <c r="FG257" s="76">
        <f t="shared" si="1292"/>
        <v>140.4997496485868</v>
      </c>
      <c r="FH257" s="76">
        <f t="shared" si="1292"/>
        <v>96.116318139171042</v>
      </c>
      <c r="FI257" s="76">
        <f t="shared" si="1292"/>
        <v>65.753473837049384</v>
      </c>
      <c r="FJ257" s="189">
        <f>+(FF257/ES257)^0.2-1</f>
        <v>-0.27747324554617836</v>
      </c>
    </row>
    <row r="258" spans="1:170" x14ac:dyDescent="0.3">
      <c r="A258" s="63" t="s">
        <v>336</v>
      </c>
      <c r="DU258" s="76">
        <f>+DU260-DU259-DU257</f>
        <v>94.097600000000057</v>
      </c>
      <c r="DV258" s="76">
        <f>+DV260-DV259-DV257</f>
        <v>81.47849999999994</v>
      </c>
      <c r="DW258" s="76">
        <f>+DW260-DW259-DW257</f>
        <v>84.500999999999976</v>
      </c>
      <c r="DX258" s="76">
        <f>+DX260-DX259-DX257</f>
        <v>78.9525000000001</v>
      </c>
      <c r="DY258" s="85">
        <f>+SUM(DU258:DX258)</f>
        <v>339.02960000000007</v>
      </c>
      <c r="DZ258" s="76">
        <f>+DZ260-DZ259-DZ257</f>
        <v>79.093599999999924</v>
      </c>
      <c r="EA258" s="76">
        <f>+EA260-EA259-EA257</f>
        <v>68.417099999999891</v>
      </c>
      <c r="EB258" s="76">
        <f>+EB260-EB259-EB257</f>
        <v>68.683299999999917</v>
      </c>
      <c r="EC258" s="76">
        <f>+EC260-EC259-EC257</f>
        <v>49.202800000000025</v>
      </c>
      <c r="ED258" s="85">
        <f>+SUM(DZ258:EC258)</f>
        <v>265.39679999999976</v>
      </c>
      <c r="EE258" s="76">
        <f>+EE260-EE259-EE257</f>
        <v>43.561400000000049</v>
      </c>
      <c r="EF258" s="76">
        <f>+EF260-EF259-EF257</f>
        <v>36.482700000000023</v>
      </c>
      <c r="EG258" s="76">
        <f>+EG260-EG259-EG257</f>
        <v>40.539899999999989</v>
      </c>
      <c r="EH258" s="76">
        <f>+EH260-EH259-EH257</f>
        <v>34.084800000000087</v>
      </c>
      <c r="EI258" s="85">
        <f>+SUM(EE258:EH258)</f>
        <v>154.66880000000015</v>
      </c>
      <c r="EJ258" s="76">
        <f>+EJ260-EJ259-EJ257</f>
        <v>26.640599999999949</v>
      </c>
      <c r="EK258" s="76">
        <f>+EK260-EK259-EK257</f>
        <v>21.487599999999929</v>
      </c>
      <c r="EL258" s="76">
        <f>+EL260-EL259-EL257</f>
        <v>12.477800000000116</v>
      </c>
      <c r="EM258" s="76">
        <f>+EM260-EM259-EM257</f>
        <v>0.32200000000011642</v>
      </c>
      <c r="EN258" s="900">
        <f>+SUM(EJ258:EM258)</f>
        <v>60.928000000000111</v>
      </c>
      <c r="EO258" s="76">
        <f>+EO260-EO259-EO257</f>
        <v>-2.4940999999998894</v>
      </c>
      <c r="EP258" s="76">
        <f>+EP260-EP259-EP257</f>
        <v>-4.5176000000000158</v>
      </c>
      <c r="EQ258" s="76">
        <f>+EQ260-EQ259-EQ257</f>
        <v>2.6911999999999807</v>
      </c>
      <c r="ER258" s="76">
        <f>+ER260-ER259-ER257</f>
        <v>0.54600000000004911</v>
      </c>
      <c r="ES258" s="900">
        <f>+SUM(EO258:ER258)</f>
        <v>-3.7744999999998754</v>
      </c>
      <c r="ET258" s="76">
        <f>+ET260-ET259-ET257</f>
        <v>-3.4062000000000126</v>
      </c>
      <c r="EU258" s="76">
        <f>+EU260-EU259-EU257</f>
        <v>-3.2773999999999432</v>
      </c>
      <c r="EV258" s="76">
        <f>+EV260-EV259-EV257</f>
        <v>-3.7368999999999915</v>
      </c>
      <c r="EW258" s="76">
        <f>+EW260-EW259-EW257</f>
        <v>-3.2508000000000266</v>
      </c>
      <c r="EX258" s="900">
        <f>+SUM(ET258:EW258)</f>
        <v>-13.671299999999974</v>
      </c>
      <c r="EY258" s="885">
        <f t="shared" ref="EY258" si="1293">+EY263*EX107</f>
        <v>0</v>
      </c>
      <c r="EZ258" s="885">
        <f t="shared" ref="EZ258" si="1294">+EZ263*EY107</f>
        <v>0</v>
      </c>
      <c r="FA258" s="885">
        <f t="shared" ref="FA258" si="1295">+FA263*EZ107</f>
        <v>0</v>
      </c>
      <c r="FB258" s="885">
        <f t="shared" ref="FB258" si="1296">+FB263*FA107</f>
        <v>0</v>
      </c>
      <c r="FC258" s="900">
        <f>+SUM(EY258:FB258)</f>
        <v>0</v>
      </c>
      <c r="FD258" s="885">
        <f t="shared" ref="FD258:FI258" si="1297">+FD263*FC107</f>
        <v>0</v>
      </c>
      <c r="FE258" s="885">
        <f t="shared" si="1297"/>
        <v>0</v>
      </c>
      <c r="FF258" s="885">
        <f t="shared" si="1297"/>
        <v>0</v>
      </c>
      <c r="FG258" s="885">
        <f t="shared" si="1297"/>
        <v>0</v>
      </c>
      <c r="FH258" s="885">
        <f t="shared" si="1297"/>
        <v>0</v>
      </c>
      <c r="FI258" s="885">
        <f t="shared" si="1297"/>
        <v>0</v>
      </c>
      <c r="FJ258" s="189">
        <f>+(FF258/ES258)^0.2-1</f>
        <v>-1</v>
      </c>
    </row>
    <row r="259" spans="1:170" x14ac:dyDescent="0.3">
      <c r="A259" s="63" t="s">
        <v>337</v>
      </c>
      <c r="DU259" s="76">
        <f>+DU264*DU257*-3</f>
        <v>-113.09760000000001</v>
      </c>
      <c r="DV259" s="76">
        <f>+DV264*DV257*-3</f>
        <v>-123.4785</v>
      </c>
      <c r="DW259" s="76">
        <f>+DW264*DW257*-3</f>
        <v>-132.501</v>
      </c>
      <c r="DX259" s="76">
        <f>+DX264*DX257*-3</f>
        <v>-111.95250000000001</v>
      </c>
      <c r="DY259" s="85">
        <f>+SUM(DU259:DX259)</f>
        <v>-481.02959999999996</v>
      </c>
      <c r="DZ259" s="76">
        <f>+DZ264*DZ257*-3</f>
        <v>-102.0936</v>
      </c>
      <c r="EA259" s="76">
        <f>+EA264*EA257*-3</f>
        <v>-86.417099999999991</v>
      </c>
      <c r="EB259" s="76">
        <f>+EB264*EB257*-3</f>
        <v>-88.683300000000003</v>
      </c>
      <c r="EC259" s="76">
        <f>+EC264*EC257*-3</f>
        <v>-81.202799999999996</v>
      </c>
      <c r="ED259" s="85">
        <f>+SUM(DZ259:EC259)</f>
        <v>-358.39679999999998</v>
      </c>
      <c r="EE259" s="76">
        <f>+EE264*EE257*-3</f>
        <v>-65.561399999999992</v>
      </c>
      <c r="EF259" s="76">
        <f>+EF264*EF257*-3</f>
        <v>-66.482699999999994</v>
      </c>
      <c r="EG259" s="76">
        <f>+EG264*EG257*-3</f>
        <v>-73.539900000000003</v>
      </c>
      <c r="EH259" s="76">
        <f>+EH264*EH257*-3</f>
        <v>-64.084800000000001</v>
      </c>
      <c r="EI259" s="85">
        <f>+SUM(EE259:EH259)</f>
        <v>-269.66880000000003</v>
      </c>
      <c r="EJ259" s="76">
        <f>+EJ264*EJ257*-3</f>
        <v>-56.640599999999992</v>
      </c>
      <c r="EK259" s="76">
        <f>+EK264*EK257*-3</f>
        <v>-62.4876</v>
      </c>
      <c r="EL259" s="76">
        <f>+EL264*EL257*-3</f>
        <v>-70.477800000000002</v>
      </c>
      <c r="EM259" s="76">
        <f>+EM264*EM257*-3</f>
        <v>-62.322000000000003</v>
      </c>
      <c r="EN259" s="85">
        <f>+SUM(EJ259:EM259)</f>
        <v>-251.928</v>
      </c>
      <c r="EO259" s="76">
        <f>+EO264*EO257*-3</f>
        <v>-53.505899999999997</v>
      </c>
      <c r="EP259" s="76">
        <f>+EP264*EP257*-3</f>
        <v>-54.482399999999998</v>
      </c>
      <c r="EQ259" s="76">
        <f>+EQ264*EQ257*-3</f>
        <v>-60.691199999999995</v>
      </c>
      <c r="ER259" s="76">
        <f>+ER264*ER257*-3</f>
        <v>-48.545999999999992</v>
      </c>
      <c r="ES259" s="85">
        <f>+SUM(EO259:ER259)</f>
        <v>-217.22549999999998</v>
      </c>
      <c r="ET259" s="76">
        <f>+ET264*ET257*-3</f>
        <v>-47.593800000000002</v>
      </c>
      <c r="EU259" s="76">
        <f>+EU264*EU257*-3</f>
        <v>-46.7226</v>
      </c>
      <c r="EV259" s="76">
        <f>+EV264*EV257*-3</f>
        <v>-51.263099999999994</v>
      </c>
      <c r="EW259" s="76">
        <f>+EW264*EW257*-3</f>
        <v>-50.749200000000002</v>
      </c>
      <c r="EX259" s="85">
        <f>+SUM(ET259:EW259)</f>
        <v>-196.3287</v>
      </c>
      <c r="EY259" s="76">
        <f t="shared" ref="EY259:FB259" si="1298">+EY264*EY257*-3</f>
        <v>-42.52176</v>
      </c>
      <c r="EZ259" s="76">
        <f t="shared" si="1298"/>
        <v>-41.412457612799997</v>
      </c>
      <c r="FA259" s="76">
        <f t="shared" si="1298"/>
        <v>-45.054572553275896</v>
      </c>
      <c r="FB259" s="76">
        <f t="shared" si="1298"/>
        <v>-44.166545027214013</v>
      </c>
      <c r="FC259" s="85">
        <f>+SUM(EY259:FB259)</f>
        <v>-173.15533519328989</v>
      </c>
      <c r="FD259" s="76">
        <f t="shared" ref="FD259:FI259" si="1299">+FD264*FD257*-12</f>
        <v>-138.6296571519695</v>
      </c>
      <c r="FE259" s="76">
        <f t="shared" si="1299"/>
        <v>-94.836982013632579</v>
      </c>
      <c r="FF259" s="76">
        <f t="shared" si="1299"/>
        <v>-64.878275992521225</v>
      </c>
      <c r="FG259" s="76">
        <f t="shared" si="1299"/>
        <v>-44.383431509415757</v>
      </c>
      <c r="FH259" s="76">
        <f t="shared" si="1299"/>
        <v>-30.362844302121662</v>
      </c>
      <c r="FI259" s="76">
        <f t="shared" si="1299"/>
        <v>-20.771316745062943</v>
      </c>
      <c r="FJ259" s="189">
        <f>+(FF259/ES259)^0.2-1</f>
        <v>-0.21469619980964894</v>
      </c>
    </row>
    <row r="260" spans="1:170" x14ac:dyDescent="0.3">
      <c r="A260" s="64" t="s">
        <v>400</v>
      </c>
      <c r="DU260" s="855">
        <f>Inputs!DU366</f>
        <v>1565</v>
      </c>
      <c r="DV260" s="855">
        <f>Inputs!DV366</f>
        <v>1523</v>
      </c>
      <c r="DW260" s="855">
        <f>Inputs!DW366</f>
        <v>1475</v>
      </c>
      <c r="DX260" s="855">
        <f>Inputs!DX366</f>
        <v>1442</v>
      </c>
      <c r="DY260" s="803">
        <f>+DX260</f>
        <v>1442</v>
      </c>
      <c r="DZ260" s="855">
        <f>Inputs!DZ366</f>
        <v>1419</v>
      </c>
      <c r="EA260" s="855">
        <f>Inputs!EA366</f>
        <v>1401</v>
      </c>
      <c r="EB260" s="855">
        <f>Inputs!EB366</f>
        <v>1381</v>
      </c>
      <c r="EC260" s="855">
        <f>Inputs!EC366</f>
        <v>1349</v>
      </c>
      <c r="ED260" s="803">
        <f>+EC260</f>
        <v>1349</v>
      </c>
      <c r="EE260" s="855">
        <f>Inputs!EE366</f>
        <v>1327</v>
      </c>
      <c r="EF260" s="855">
        <f>Inputs!EF366</f>
        <v>1297</v>
      </c>
      <c r="EG260" s="855">
        <f>Inputs!EG366</f>
        <v>1264</v>
      </c>
      <c r="EH260" s="855">
        <f>Inputs!EH366</f>
        <v>1234</v>
      </c>
      <c r="EI260" s="803">
        <f>+EH260</f>
        <v>1234</v>
      </c>
      <c r="EJ260" s="855">
        <f>Inputs!EJ366</f>
        <v>1204</v>
      </c>
      <c r="EK260" s="855">
        <f>Inputs!EK366</f>
        <v>1163</v>
      </c>
      <c r="EL260" s="855">
        <f>Inputs!EL366</f>
        <v>1105</v>
      </c>
      <c r="EM260" s="855">
        <f>Inputs!EM366</f>
        <v>1043</v>
      </c>
      <c r="EN260" s="803">
        <f>+EM260</f>
        <v>1043</v>
      </c>
      <c r="EO260" s="855">
        <f>Inputs!EO366</f>
        <v>987</v>
      </c>
      <c r="EP260" s="855">
        <f>Inputs!EP366</f>
        <v>928</v>
      </c>
      <c r="EQ260" s="855">
        <f>Inputs!EQ366</f>
        <v>870</v>
      </c>
      <c r="ER260" s="855">
        <f>Inputs!ER366</f>
        <v>822</v>
      </c>
      <c r="ES260" s="803">
        <f>+ER260</f>
        <v>822</v>
      </c>
      <c r="ET260" s="855">
        <f>Inputs!ET366</f>
        <v>771</v>
      </c>
      <c r="EU260" s="855">
        <f>Inputs!EU366</f>
        <v>721</v>
      </c>
      <c r="EV260" s="855">
        <f>Inputs!EV366</f>
        <v>666</v>
      </c>
      <c r="EW260" s="855">
        <f>Inputs!EW366</f>
        <v>612</v>
      </c>
      <c r="EX260" s="803">
        <f>+EW260</f>
        <v>612</v>
      </c>
      <c r="EY260" s="803">
        <f t="shared" ref="EY260:FB260" si="1300">SUM(EY257:EY259)</f>
        <v>569.47824000000003</v>
      </c>
      <c r="EZ260" s="803">
        <f t="shared" si="1300"/>
        <v>528.06578238719999</v>
      </c>
      <c r="FA260" s="803">
        <f t="shared" si="1300"/>
        <v>483.01120983392411</v>
      </c>
      <c r="FB260" s="803">
        <f t="shared" si="1300"/>
        <v>438.84466480671011</v>
      </c>
      <c r="FC260" s="803">
        <f>+FB260</f>
        <v>438.84466480671011</v>
      </c>
      <c r="FD260" s="803">
        <f t="shared" ref="FD260:FI260" si="1301">SUM(FD257:FD259)</f>
        <v>300.21500765474059</v>
      </c>
      <c r="FE260" s="803">
        <f t="shared" si="1301"/>
        <v>205.37802564110802</v>
      </c>
      <c r="FF260" s="803">
        <f t="shared" si="1301"/>
        <v>140.4997496485868</v>
      </c>
      <c r="FG260" s="803">
        <f t="shared" si="1301"/>
        <v>96.116318139171042</v>
      </c>
      <c r="FH260" s="803">
        <f t="shared" si="1301"/>
        <v>65.753473837049384</v>
      </c>
      <c r="FI260" s="803">
        <f t="shared" si="1301"/>
        <v>44.982157091986437</v>
      </c>
      <c r="FJ260" s="189">
        <f>+(FF260/ES260)^0.2-1</f>
        <v>-0.29763842090885961</v>
      </c>
      <c r="FN260" s="74"/>
    </row>
    <row r="261" spans="1:170" x14ac:dyDescent="0.3">
      <c r="A261" s="61" t="s">
        <v>339</v>
      </c>
      <c r="DU261" s="76"/>
      <c r="DV261" s="76"/>
      <c r="DZ261" s="83">
        <f t="shared" ref="DZ261:EW261" si="1302">+DZ260/DU260-1</f>
        <v>-9.3290734824281185E-2</v>
      </c>
      <c r="EA261" s="83">
        <f t="shared" si="1302"/>
        <v>-8.010505581089955E-2</v>
      </c>
      <c r="EB261" s="83">
        <f t="shared" si="1302"/>
        <v>-6.3728813559322028E-2</v>
      </c>
      <c r="EC261" s="83">
        <f t="shared" si="1302"/>
        <v>-6.4493758668515921E-2</v>
      </c>
      <c r="ED261" s="91">
        <f t="shared" si="1302"/>
        <v>-6.4493758668515921E-2</v>
      </c>
      <c r="EE261" s="83">
        <f t="shared" si="1302"/>
        <v>-6.4834390415785759E-2</v>
      </c>
      <c r="EF261" s="83">
        <f t="shared" si="1302"/>
        <v>-7.4232690935046364E-2</v>
      </c>
      <c r="EG261" s="83">
        <f t="shared" si="1302"/>
        <v>-8.4721216509775488E-2</v>
      </c>
      <c r="EH261" s="83">
        <f t="shared" si="1302"/>
        <v>-8.524833209785021E-2</v>
      </c>
      <c r="EI261" s="91">
        <f t="shared" si="1302"/>
        <v>-8.524833209785021E-2</v>
      </c>
      <c r="EJ261" s="83">
        <f t="shared" si="1302"/>
        <v>-9.2690278824415939E-2</v>
      </c>
      <c r="EK261" s="83">
        <f t="shared" si="1302"/>
        <v>-0.10331534309946033</v>
      </c>
      <c r="EL261" s="83">
        <f t="shared" si="1302"/>
        <v>-0.12579113924050633</v>
      </c>
      <c r="EM261" s="83">
        <f t="shared" si="1302"/>
        <v>-0.15478119935170176</v>
      </c>
      <c r="EN261" s="91">
        <f>+EN260/EI260-1</f>
        <v>-0.15478119935170176</v>
      </c>
      <c r="EO261" s="83">
        <f t="shared" si="1302"/>
        <v>-0.18023255813953487</v>
      </c>
      <c r="EP261" s="83">
        <f t="shared" si="1302"/>
        <v>-0.20206362854686155</v>
      </c>
      <c r="EQ261" s="83">
        <f t="shared" si="1302"/>
        <v>-0.21266968325791857</v>
      </c>
      <c r="ER261" s="83">
        <f t="shared" si="1302"/>
        <v>-0.211888782358581</v>
      </c>
      <c r="ES261" s="91">
        <f>+ES260/EN260-1</f>
        <v>-0.211888782358581</v>
      </c>
      <c r="ET261" s="83">
        <f t="shared" si="1302"/>
        <v>-0.21884498480243164</v>
      </c>
      <c r="EU261" s="83">
        <f t="shared" si="1302"/>
        <v>-0.22306034482758619</v>
      </c>
      <c r="EV261" s="83">
        <f t="shared" si="1302"/>
        <v>-0.23448275862068968</v>
      </c>
      <c r="EW261" s="83">
        <f t="shared" si="1302"/>
        <v>-0.25547445255474455</v>
      </c>
      <c r="EX261" s="91">
        <f>+EX260/ES260-1</f>
        <v>-0.25547445255474455</v>
      </c>
      <c r="EY261" s="83">
        <f t="shared" ref="EY261" si="1303">+EY260/ET260-1</f>
        <v>-0.26137712062256802</v>
      </c>
      <c r="EZ261" s="83">
        <f t="shared" ref="EZ261" si="1304">+EZ260/EU260-1</f>
        <v>-0.26759253483051315</v>
      </c>
      <c r="FA261" s="83">
        <f t="shared" ref="FA261" si="1305">+FA260/EV260-1</f>
        <v>-0.27475794319230618</v>
      </c>
      <c r="FB261" s="83">
        <f t="shared" ref="FB261" si="1306">+FB260/EW260-1</f>
        <v>-0.28293355423740174</v>
      </c>
      <c r="FC261" s="91">
        <f>+FC260/EX260-1</f>
        <v>-0.28293355423740174</v>
      </c>
      <c r="FD261" s="83">
        <f t="shared" ref="FD261:FI261" si="1307">+FD260/FC260-1</f>
        <v>-0.31589687255974552</v>
      </c>
      <c r="FE261" s="83">
        <f t="shared" si="1307"/>
        <v>-0.3158968725597453</v>
      </c>
      <c r="FF261" s="83">
        <f t="shared" si="1307"/>
        <v>-0.31589687255974541</v>
      </c>
      <c r="FG261" s="83">
        <f t="shared" si="1307"/>
        <v>-0.31589687255974541</v>
      </c>
      <c r="FH261" s="83">
        <f t="shared" si="1307"/>
        <v>-0.31589687255974541</v>
      </c>
      <c r="FI261" s="83">
        <f t="shared" si="1307"/>
        <v>-0.31589687255974541</v>
      </c>
    </row>
    <row r="262" spans="1:170" x14ac:dyDescent="0.3">
      <c r="A262" s="65" t="s">
        <v>340</v>
      </c>
      <c r="DU262" s="80">
        <f>+Inputs!DU587</f>
        <v>-19</v>
      </c>
      <c r="DV262" s="77">
        <f>+DV260-DU260</f>
        <v>-42</v>
      </c>
      <c r="DW262" s="77">
        <f>+DW260-DV260</f>
        <v>-48</v>
      </c>
      <c r="DX262" s="77">
        <f>+DX260-DW260</f>
        <v>-33</v>
      </c>
      <c r="DY262" s="86">
        <f>+SUM(DU262:DX262)</f>
        <v>-142</v>
      </c>
      <c r="DZ262" s="77">
        <f t="shared" ref="DZ262:EW262" si="1308">+DZ260-DY260</f>
        <v>-23</v>
      </c>
      <c r="EA262" s="77">
        <f t="shared" si="1308"/>
        <v>-18</v>
      </c>
      <c r="EB262" s="77">
        <f t="shared" si="1308"/>
        <v>-20</v>
      </c>
      <c r="EC262" s="77">
        <f t="shared" si="1308"/>
        <v>-32</v>
      </c>
      <c r="ED262" s="86">
        <f>+SUM(DZ262:EC262)</f>
        <v>-93</v>
      </c>
      <c r="EE262" s="77">
        <f t="shared" si="1308"/>
        <v>-22</v>
      </c>
      <c r="EF262" s="77">
        <f t="shared" si="1308"/>
        <v>-30</v>
      </c>
      <c r="EG262" s="77">
        <f t="shared" si="1308"/>
        <v>-33</v>
      </c>
      <c r="EH262" s="77">
        <f t="shared" si="1308"/>
        <v>-30</v>
      </c>
      <c r="EI262" s="86">
        <f>+SUM(EE262:EH262)</f>
        <v>-115</v>
      </c>
      <c r="EJ262" s="77">
        <f t="shared" si="1308"/>
        <v>-30</v>
      </c>
      <c r="EK262" s="77">
        <f t="shared" si="1308"/>
        <v>-41</v>
      </c>
      <c r="EL262" s="77">
        <f t="shared" si="1308"/>
        <v>-58</v>
      </c>
      <c r="EM262" s="77">
        <f t="shared" si="1308"/>
        <v>-62</v>
      </c>
      <c r="EN262" s="86">
        <f>+SUM(EJ262:EM262)</f>
        <v>-191</v>
      </c>
      <c r="EO262" s="77">
        <f t="shared" si="1308"/>
        <v>-56</v>
      </c>
      <c r="EP262" s="77">
        <f t="shared" si="1308"/>
        <v>-59</v>
      </c>
      <c r="EQ262" s="77">
        <f t="shared" si="1308"/>
        <v>-58</v>
      </c>
      <c r="ER262" s="77">
        <f t="shared" si="1308"/>
        <v>-48</v>
      </c>
      <c r="ES262" s="86">
        <f>+SUM(EO262:ER262)</f>
        <v>-221</v>
      </c>
      <c r="ET262" s="77">
        <f t="shared" si="1308"/>
        <v>-51</v>
      </c>
      <c r="EU262" s="77">
        <f t="shared" si="1308"/>
        <v>-50</v>
      </c>
      <c r="EV262" s="77">
        <f t="shared" si="1308"/>
        <v>-55</v>
      </c>
      <c r="EW262" s="77">
        <f t="shared" si="1308"/>
        <v>-54</v>
      </c>
      <c r="EX262" s="86">
        <f>+SUM(ET262:EW262)</f>
        <v>-210</v>
      </c>
      <c r="EY262" s="77">
        <f t="shared" ref="EY262" si="1309">+EY260-EX260</f>
        <v>-42.521759999999972</v>
      </c>
      <c r="EZ262" s="77">
        <f t="shared" ref="EZ262" si="1310">+EZ260-EY260</f>
        <v>-41.41245761280004</v>
      </c>
      <c r="FA262" s="77">
        <f t="shared" ref="FA262" si="1311">+FA260-EZ260</f>
        <v>-45.054572553275875</v>
      </c>
      <c r="FB262" s="77">
        <f t="shared" ref="FB262" si="1312">+FB260-FA260</f>
        <v>-44.166545027213999</v>
      </c>
      <c r="FC262" s="86">
        <f>+SUM(EY262:FB262)</f>
        <v>-173.15533519328989</v>
      </c>
      <c r="FD262" s="77">
        <f t="shared" ref="FD262:FI262" si="1313">+FD260-FC260</f>
        <v>-138.62965715196952</v>
      </c>
      <c r="FE262" s="77">
        <f t="shared" si="1313"/>
        <v>-94.836982013632564</v>
      </c>
      <c r="FF262" s="77">
        <f t="shared" si="1313"/>
        <v>-64.878275992521225</v>
      </c>
      <c r="FG262" s="77">
        <f t="shared" si="1313"/>
        <v>-44.383431509415757</v>
      </c>
      <c r="FH262" s="77">
        <f t="shared" si="1313"/>
        <v>-30.362844302121658</v>
      </c>
      <c r="FI262" s="77">
        <f t="shared" si="1313"/>
        <v>-20.771316745062947</v>
      </c>
    </row>
    <row r="263" spans="1:170" x14ac:dyDescent="0.3">
      <c r="A263" s="65" t="s">
        <v>341</v>
      </c>
      <c r="DU263" s="94"/>
      <c r="DV263" s="1198">
        <f t="shared" ref="DV263:EP263" si="1314">+DV258/DV107</f>
        <v>6.802913918343487E-3</v>
      </c>
      <c r="DW263" s="1198">
        <f t="shared" si="1314"/>
        <v>7.0552726058278345E-3</v>
      </c>
      <c r="DX263" s="1198">
        <f t="shared" si="1314"/>
        <v>6.5920096852300327E-3</v>
      </c>
      <c r="DY263" s="93">
        <f t="shared" si="1314"/>
        <v>2.8306721215663362E-2</v>
      </c>
      <c r="DZ263" s="1198">
        <f t="shared" si="1314"/>
        <v>6.6062727082898242E-3</v>
      </c>
      <c r="EA263" s="1198">
        <f t="shared" si="1314"/>
        <v>5.7185807422266708E-3</v>
      </c>
      <c r="EB263" s="1198">
        <f t="shared" si="1314"/>
        <v>5.7449123834218494E-3</v>
      </c>
      <c r="EC263" s="1198">
        <f t="shared" si="1314"/>
        <v>4.1274054190084744E-3</v>
      </c>
      <c r="ED263" s="93">
        <f t="shared" si="1314"/>
        <v>2.2202898793215214E-2</v>
      </c>
      <c r="EE263" s="1198">
        <f t="shared" si="1314"/>
        <v>3.679483064448015E-3</v>
      </c>
      <c r="EF263" s="1198">
        <f t="shared" si="1314"/>
        <v>3.1026661563975017E-3</v>
      </c>
      <c r="EG263" s="1198">
        <f t="shared" si="1314"/>
        <v>3.4835574650912988E-3</v>
      </c>
      <c r="EH263" s="1198">
        <f t="shared" si="1314"/>
        <v>2.9770984365446842E-3</v>
      </c>
      <c r="EI263" s="93">
        <f t="shared" si="1314"/>
        <v>1.3252403393025461E-2</v>
      </c>
      <c r="EJ263" s="1198">
        <f t="shared" si="1314"/>
        <v>2.3685796843743007E-3</v>
      </c>
      <c r="EK263" s="1198">
        <f t="shared" si="1314"/>
        <v>1.9531518429305029E-3</v>
      </c>
      <c r="EL263" s="1198">
        <f t="shared" si="1314"/>
        <v>1.1677319732347681E-3</v>
      </c>
      <c r="EM263" s="1198">
        <f t="shared" si="1314"/>
        <v>3.1052606200888803E-5</v>
      </c>
      <c r="EN263" s="93">
        <f t="shared" si="1314"/>
        <v>5.6279327544799659E-3</v>
      </c>
      <c r="EO263" s="1198">
        <f t="shared" si="1314"/>
        <v>-2.4793478801132156E-4</v>
      </c>
      <c r="EP263" s="1198">
        <f t="shared" si="1314"/>
        <v>-4.6420057542129222E-4</v>
      </c>
      <c r="EQ263" s="1198">
        <f t="shared" ref="EQ263:ER263" si="1315">+EQ258/EQ107</f>
        <v>2.8605442176870546E-4</v>
      </c>
      <c r="ER263" s="1198">
        <f t="shared" si="1315"/>
        <v>6.0161974546862333E-5</v>
      </c>
      <c r="ES263" s="93">
        <f>+ES258/ES107</f>
        <v>-3.9446113651207056E-4</v>
      </c>
      <c r="ET263" s="1198">
        <f t="shared" ref="ET263:EU263" si="1316">+ET258/ET107</f>
        <v>-3.8936899862825931E-4</v>
      </c>
      <c r="EU263" s="1198">
        <f t="shared" si="1316"/>
        <v>-3.9049207673060206E-4</v>
      </c>
      <c r="EV263" s="1198">
        <f t="shared" ref="EV263:EW263" si="1317">+EV258/EV107</f>
        <v>-4.6661671973528021E-4</v>
      </c>
      <c r="EW263" s="1198">
        <f t="shared" si="1317"/>
        <v>-4.1959341723136838E-4</v>
      </c>
      <c r="EX263" s="93">
        <f>+EX258/EX107</f>
        <v>-1.6623157126789646E-3</v>
      </c>
      <c r="EY263" s="82">
        <v>0</v>
      </c>
      <c r="EZ263" s="82">
        <v>0</v>
      </c>
      <c r="FA263" s="82">
        <v>0</v>
      </c>
      <c r="FB263" s="82">
        <v>0</v>
      </c>
      <c r="FC263" s="93">
        <f>+FC258/FC107</f>
        <v>0</v>
      </c>
      <c r="FD263" s="82">
        <f t="shared" ref="FD263" si="1318">+FC263*0.9</f>
        <v>0</v>
      </c>
      <c r="FE263" s="82">
        <f>+FD263*0.8</f>
        <v>0</v>
      </c>
      <c r="FF263" s="82">
        <f t="shared" ref="FF263:FI263" si="1319">+FE263*0.8</f>
        <v>0</v>
      </c>
      <c r="FG263" s="82">
        <f t="shared" si="1319"/>
        <v>0</v>
      </c>
      <c r="FH263" s="82">
        <f t="shared" si="1319"/>
        <v>0</v>
      </c>
      <c r="FI263" s="82">
        <f t="shared" si="1319"/>
        <v>0</v>
      </c>
    </row>
    <row r="264" spans="1:170" x14ac:dyDescent="0.3">
      <c r="A264" s="65" t="s">
        <v>342</v>
      </c>
      <c r="DU264" s="827">
        <f>Inputs!DU417</f>
        <v>2.3800000000000002E-2</v>
      </c>
      <c r="DV264" s="827">
        <f>Inputs!DV417</f>
        <v>2.63E-2</v>
      </c>
      <c r="DW264" s="827">
        <f>Inputs!DW417</f>
        <v>2.9000000000000001E-2</v>
      </c>
      <c r="DX264" s="827">
        <f>Inputs!DX417</f>
        <v>2.53E-2</v>
      </c>
      <c r="DY264" s="84">
        <f>+DY259/AVERAGE(DU257:DX257)/-12</f>
        <v>2.608478932812754E-2</v>
      </c>
      <c r="DZ264" s="827">
        <f>Inputs!DZ417</f>
        <v>2.3599999999999999E-2</v>
      </c>
      <c r="EA264" s="827">
        <f>Inputs!EA417</f>
        <v>2.0299999999999999E-2</v>
      </c>
      <c r="EB264" s="827">
        <f>Inputs!EB417</f>
        <v>2.1100000000000001E-2</v>
      </c>
      <c r="EC264" s="827">
        <f>Inputs!EC417</f>
        <v>1.9599999999999999E-2</v>
      </c>
      <c r="ED264" s="93">
        <f>+ED259/AVERAGE(DZ257:EC257)/-12</f>
        <v>2.11705830232146E-2</v>
      </c>
      <c r="EE264" s="827">
        <f>Inputs!EE417</f>
        <v>1.6199999999999999E-2</v>
      </c>
      <c r="EF264" s="827">
        <f>Inputs!EF417</f>
        <v>1.67E-2</v>
      </c>
      <c r="EG264" s="827">
        <f>Inputs!EG417</f>
        <v>1.89E-2</v>
      </c>
      <c r="EH264" s="827">
        <f>Inputs!EH417</f>
        <v>1.6899999999999998E-2</v>
      </c>
      <c r="EI264" s="93">
        <f>+EI259/AVERAGE(EE257:EH257)/-12</f>
        <v>1.7164330723696775E-2</v>
      </c>
      <c r="EJ264" s="827">
        <f>Inputs!EJ417</f>
        <v>1.5299999999999999E-2</v>
      </c>
      <c r="EK264" s="827">
        <f>Inputs!EK417</f>
        <v>1.7299999999999999E-2</v>
      </c>
      <c r="EL264" s="827">
        <f>Inputs!EL417</f>
        <v>2.0199999999999999E-2</v>
      </c>
      <c r="EM264" s="827">
        <f>Inputs!EM417</f>
        <v>1.8800000000000001E-2</v>
      </c>
      <c r="EN264" s="93">
        <f>+EN259/AVERAGE(EJ257:EM257)/-12</f>
        <v>1.7844453888652783E-2</v>
      </c>
      <c r="EO264" s="827">
        <f>Inputs!EO417</f>
        <v>1.7100000000000001E-2</v>
      </c>
      <c r="EP264" s="827">
        <f>Inputs!EP417</f>
        <v>1.84E-2</v>
      </c>
      <c r="EQ264" s="827">
        <f>Inputs!EQ417</f>
        <v>2.18E-2</v>
      </c>
      <c r="ER264" s="827">
        <f>Inputs!ER417</f>
        <v>1.8599999999999998E-2</v>
      </c>
      <c r="ES264" s="93">
        <f>+ES259/AVERAGE(EO257:ER257)/-12</f>
        <v>1.8915491118077322E-2</v>
      </c>
      <c r="ET264" s="827">
        <f>Inputs!ET417</f>
        <v>1.9300000000000001E-2</v>
      </c>
      <c r="EU264" s="827">
        <f>Inputs!EU417</f>
        <v>2.0199999999999999E-2</v>
      </c>
      <c r="EV264" s="827">
        <f>Inputs!EV417</f>
        <v>2.3699999999999999E-2</v>
      </c>
      <c r="EW264" s="827">
        <f>Inputs!EW417</f>
        <v>2.5399999999999999E-2</v>
      </c>
      <c r="EX264" s="93">
        <f>+EX259/AVERAGE(ET257:EW257)/-12</f>
        <v>2.1960704697986579E-2</v>
      </c>
      <c r="EY264" s="82">
        <f>ET264*1.2</f>
        <v>2.316E-2</v>
      </c>
      <c r="EZ264" s="82">
        <f t="shared" ref="EZ264:FB264" si="1320">EU264*1.2</f>
        <v>2.4239999999999998E-2</v>
      </c>
      <c r="FA264" s="82">
        <f t="shared" si="1320"/>
        <v>2.8439999999999997E-2</v>
      </c>
      <c r="FB264" s="82">
        <f t="shared" si="1320"/>
        <v>3.0479999999999997E-2</v>
      </c>
      <c r="FC264" s="93">
        <f>+FC259/AVERAGE(EY257:FB257)/-12</f>
        <v>2.6324739379978784E-2</v>
      </c>
      <c r="FD264" s="82">
        <f t="shared" ref="FD264:FI264" si="1321">FC264</f>
        <v>2.6324739379978784E-2</v>
      </c>
      <c r="FE264" s="82">
        <f t="shared" si="1321"/>
        <v>2.6324739379978784E-2</v>
      </c>
      <c r="FF264" s="82">
        <f t="shared" si="1321"/>
        <v>2.6324739379978784E-2</v>
      </c>
      <c r="FG264" s="82">
        <f t="shared" si="1321"/>
        <v>2.6324739379978784E-2</v>
      </c>
      <c r="FH264" s="82">
        <f t="shared" si="1321"/>
        <v>2.6324739379978784E-2</v>
      </c>
      <c r="FI264" s="82">
        <f t="shared" si="1321"/>
        <v>2.6324739379978784E-2</v>
      </c>
    </row>
    <row r="265" spans="1:170" x14ac:dyDescent="0.3">
      <c r="A265" s="65" t="s">
        <v>210</v>
      </c>
      <c r="DU265" s="88">
        <f t="shared" ref="DU265:FI265" si="1322">+DU260/DU94</f>
        <v>0.13066711196459882</v>
      </c>
      <c r="DV265" s="88">
        <f t="shared" si="1322"/>
        <v>0.12716039074893545</v>
      </c>
      <c r="DW265" s="88">
        <f t="shared" si="1322"/>
        <v>0.12315270935960591</v>
      </c>
      <c r="DX265" s="88">
        <f t="shared" si="1322"/>
        <v>0.12039742840444184</v>
      </c>
      <c r="DY265" s="89">
        <f t="shared" si="1322"/>
        <v>0.12039742840444184</v>
      </c>
      <c r="DZ265" s="88">
        <f t="shared" si="1322"/>
        <v>0.11856617647058823</v>
      </c>
      <c r="EA265" s="88">
        <f t="shared" si="1322"/>
        <v>0.11714046822742474</v>
      </c>
      <c r="EB265" s="88">
        <f t="shared" si="1322"/>
        <v>0.11555518366663878</v>
      </c>
      <c r="EC265" s="88">
        <f t="shared" si="1322"/>
        <v>0.11344714489950383</v>
      </c>
      <c r="ED265" s="89">
        <f t="shared" si="1322"/>
        <v>0.11344714489950383</v>
      </c>
      <c r="EE265" s="88">
        <f t="shared" si="1322"/>
        <v>0.11258165775854755</v>
      </c>
      <c r="EF265" s="88">
        <f t="shared" si="1322"/>
        <v>0.11057118499573743</v>
      </c>
      <c r="EG265" s="88">
        <f t="shared" si="1322"/>
        <v>0.10948462537895193</v>
      </c>
      <c r="EH265" s="88">
        <f t="shared" si="1322"/>
        <v>0.10869373733814851</v>
      </c>
      <c r="EI265" s="89">
        <f t="shared" si="1322"/>
        <v>0.10869373733814851</v>
      </c>
      <c r="EJ265" s="88">
        <f t="shared" si="1322"/>
        <v>0.10805959432776881</v>
      </c>
      <c r="EK265" s="88">
        <f t="shared" si="1322"/>
        <v>0.10708037933891906</v>
      </c>
      <c r="EL265" s="88">
        <f t="shared" si="1322"/>
        <v>0.10513796384395814</v>
      </c>
      <c r="EM265" s="88">
        <f t="shared" si="1322"/>
        <v>0.101965001466419</v>
      </c>
      <c r="EN265" s="89">
        <f t="shared" si="1322"/>
        <v>0.101965001466419</v>
      </c>
      <c r="EO265" s="88">
        <f t="shared" si="1322"/>
        <v>9.9797775530839225E-2</v>
      </c>
      <c r="EP265" s="88">
        <f t="shared" si="1322"/>
        <v>9.6929183204512215E-2</v>
      </c>
      <c r="EQ265" s="88">
        <f t="shared" ref="EQ265:ER265" si="1323">+EQ260/EQ94</f>
        <v>9.4135468513308812E-2</v>
      </c>
      <c r="ER265" s="88">
        <f t="shared" si="1323"/>
        <v>9.2266247614771577E-2</v>
      </c>
      <c r="ES265" s="89">
        <f t="shared" si="1322"/>
        <v>9.2266247614771577E-2</v>
      </c>
      <c r="ET265" s="88">
        <f t="shared" ref="ET265:EU265" si="1324">+ET260/ET94</f>
        <v>8.9786887155001743E-2</v>
      </c>
      <c r="EU265" s="88">
        <f t="shared" si="1324"/>
        <v>8.7937553360165871E-2</v>
      </c>
      <c r="EV265" s="88">
        <f t="shared" ref="EV265:EW265" si="1325">+EV260/EV94</f>
        <v>8.5188027628549504E-2</v>
      </c>
      <c r="EW265" s="88">
        <f t="shared" si="1325"/>
        <v>7.9718640093786639E-2</v>
      </c>
      <c r="EX265" s="89">
        <f t="shared" ref="EX265" si="1326">+EX260/EX94</f>
        <v>7.9718640093786639E-2</v>
      </c>
      <c r="EY265" s="88">
        <f t="shared" ref="EY265:FC265" si="1327">+EY260/EY94</f>
        <v>7.6982674971438944E-2</v>
      </c>
      <c r="EZ265" s="88">
        <f t="shared" si="1327"/>
        <v>7.4948054284427454E-2</v>
      </c>
      <c r="FA265" s="88">
        <f t="shared" si="1327"/>
        <v>7.2081970774133128E-2</v>
      </c>
      <c r="FB265" s="88">
        <f t="shared" si="1327"/>
        <v>6.7665509954006664E-2</v>
      </c>
      <c r="FC265" s="89">
        <f t="shared" si="1327"/>
        <v>6.7665509954006664E-2</v>
      </c>
      <c r="FD265" s="88">
        <f t="shared" si="1322"/>
        <v>5.2717767564151002E-2</v>
      </c>
      <c r="FE265" s="88">
        <f t="shared" si="1322"/>
        <v>3.6002469649259419E-2</v>
      </c>
      <c r="FF265" s="88">
        <f t="shared" si="1322"/>
        <v>2.4588186443804023E-2</v>
      </c>
      <c r="FG265" s="88">
        <f t="shared" si="1322"/>
        <v>1.6793448372386284E-2</v>
      </c>
      <c r="FH265" s="88">
        <f t="shared" si="1322"/>
        <v>1.1470245533487269E-2</v>
      </c>
      <c r="FI265" s="88">
        <f t="shared" si="1322"/>
        <v>7.834752112058049E-3</v>
      </c>
    </row>
    <row r="266" spans="1:170" x14ac:dyDescent="0.3">
      <c r="A266" s="65"/>
      <c r="EJ266" s="623"/>
      <c r="EK266" s="623"/>
      <c r="EL266" s="623"/>
      <c r="EM266" s="623"/>
      <c r="EN266" s="1210"/>
      <c r="EO266" s="623"/>
      <c r="EP266" s="623"/>
      <c r="EQ266" s="623"/>
      <c r="ER266" s="623"/>
      <c r="ET266" s="623"/>
      <c r="EU266" s="623"/>
      <c r="EV266" s="623"/>
      <c r="EW266" s="623"/>
      <c r="EY266" s="623"/>
      <c r="EZ266" s="623"/>
      <c r="FA266" s="623"/>
      <c r="FB266" s="623"/>
    </row>
    <row r="267" spans="1:170" s="108" customFormat="1" x14ac:dyDescent="0.3">
      <c r="A267" s="78" t="s">
        <v>401</v>
      </c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  <c r="AA267" s="119"/>
      <c r="AB267" s="119"/>
      <c r="AC267" s="119"/>
      <c r="AD267" s="119"/>
      <c r="AE267" s="119"/>
      <c r="AF267" s="119"/>
      <c r="AG267" s="119"/>
      <c r="AH267" s="119"/>
      <c r="AI267" s="119"/>
      <c r="AJ267" s="119"/>
      <c r="AK267" s="119"/>
      <c r="AL267" s="119"/>
      <c r="AM267" s="119"/>
      <c r="AN267" s="119"/>
      <c r="AO267" s="119"/>
      <c r="AP267" s="119"/>
      <c r="AQ267" s="119"/>
      <c r="AR267" s="119"/>
      <c r="AS267" s="119"/>
      <c r="AT267" s="119"/>
      <c r="AU267" s="119"/>
      <c r="AV267" s="119"/>
      <c r="AW267" s="119"/>
      <c r="AX267" s="119"/>
      <c r="AY267" s="119"/>
      <c r="AZ267" s="119"/>
      <c r="BA267" s="119"/>
      <c r="BB267" s="119"/>
      <c r="BC267" s="119"/>
      <c r="BD267" s="119"/>
      <c r="BE267" s="119"/>
      <c r="BF267" s="119"/>
      <c r="BG267" s="119"/>
      <c r="BH267" s="119"/>
      <c r="BI267" s="119"/>
      <c r="BJ267" s="119"/>
      <c r="BK267" s="119"/>
      <c r="BL267" s="119"/>
      <c r="BM267" s="119"/>
      <c r="BN267" s="119"/>
      <c r="BO267" s="119"/>
      <c r="BP267" s="119"/>
      <c r="BQ267" s="119"/>
      <c r="BR267" s="119"/>
      <c r="BS267" s="119"/>
      <c r="BT267" s="119"/>
      <c r="BU267" s="119"/>
      <c r="BV267" s="119"/>
      <c r="BW267" s="119"/>
      <c r="BX267" s="119"/>
      <c r="BY267" s="119"/>
      <c r="BZ267" s="119"/>
      <c r="CA267" s="119"/>
      <c r="CB267" s="119"/>
      <c r="CC267" s="119"/>
      <c r="CD267" s="119"/>
      <c r="CE267" s="119"/>
      <c r="CF267" s="119"/>
      <c r="CG267" s="119"/>
      <c r="CH267" s="119"/>
      <c r="CI267" s="119"/>
      <c r="CJ267" s="119"/>
      <c r="CK267" s="119"/>
      <c r="CL267" s="119"/>
      <c r="CM267" s="119"/>
      <c r="CN267" s="119"/>
      <c r="CO267" s="119"/>
      <c r="CP267" s="119"/>
      <c r="CQ267" s="119"/>
      <c r="CR267" s="119"/>
      <c r="CS267" s="119"/>
      <c r="CT267" s="119"/>
      <c r="CU267" s="119"/>
      <c r="CV267" s="119"/>
      <c r="CW267" s="119"/>
      <c r="CX267" s="119"/>
      <c r="CY267" s="119"/>
      <c r="CZ267" s="119"/>
      <c r="DA267" s="119"/>
      <c r="DB267" s="119"/>
      <c r="DC267" s="119"/>
      <c r="DD267" s="119"/>
      <c r="DE267" s="119"/>
      <c r="DF267" s="119"/>
      <c r="DG267" s="119"/>
      <c r="DH267" s="119"/>
      <c r="DI267" s="119"/>
      <c r="DJ267" s="119"/>
      <c r="DK267" s="119"/>
      <c r="DL267" s="119"/>
      <c r="DM267" s="119"/>
      <c r="DN267" s="119"/>
      <c r="DO267" s="119"/>
      <c r="DP267" s="119"/>
      <c r="DQ267" s="119"/>
      <c r="DR267" s="119"/>
      <c r="DS267" s="119"/>
      <c r="DT267" s="119"/>
      <c r="DU267" s="119"/>
      <c r="DV267" s="119"/>
      <c r="DW267" s="119"/>
      <c r="DX267" s="119"/>
      <c r="DY267" s="1202"/>
      <c r="DZ267" s="119"/>
      <c r="EA267" s="119"/>
      <c r="EB267" s="119"/>
      <c r="EC267" s="119"/>
      <c r="ED267" s="1202"/>
      <c r="EE267" s="119"/>
      <c r="EF267" s="119"/>
      <c r="EG267" s="119"/>
      <c r="EH267" s="119"/>
      <c r="EI267" s="1202"/>
      <c r="EJ267" s="119"/>
      <c r="EK267" s="119"/>
      <c r="EL267" s="119"/>
      <c r="EM267" s="119"/>
      <c r="EN267" s="1202"/>
      <c r="EO267" s="119"/>
      <c r="EP267" s="119"/>
      <c r="EQ267" s="119"/>
      <c r="ER267" s="119"/>
      <c r="ES267" s="119"/>
      <c r="ET267" s="119"/>
      <c r="EU267" s="119"/>
      <c r="EV267" s="119"/>
      <c r="EW267" s="119"/>
      <c r="EX267" s="119"/>
      <c r="EY267" s="119"/>
      <c r="EZ267" s="119"/>
      <c r="FA267" s="119"/>
      <c r="FB267" s="119"/>
      <c r="FC267" s="119"/>
      <c r="FD267" s="119"/>
      <c r="FE267" s="119"/>
      <c r="FF267" s="119"/>
      <c r="FG267" s="119"/>
      <c r="FH267" s="119"/>
      <c r="FI267" s="119"/>
    </row>
    <row r="268" spans="1:170" s="108" customFormat="1" x14ac:dyDescent="0.3">
      <c r="A268" s="63" t="s">
        <v>344</v>
      </c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  <c r="Z268" s="119"/>
      <c r="AA268" s="119"/>
      <c r="AB268" s="119"/>
      <c r="AC268" s="119"/>
      <c r="AD268" s="119"/>
      <c r="AE268" s="119"/>
      <c r="AF268" s="119"/>
      <c r="AG268" s="119"/>
      <c r="AH268" s="119"/>
      <c r="AI268" s="119"/>
      <c r="AJ268" s="119"/>
      <c r="AK268" s="119"/>
      <c r="AL268" s="119"/>
      <c r="AM268" s="119"/>
      <c r="AN268" s="119"/>
      <c r="AO268" s="119"/>
      <c r="AP268" s="119"/>
      <c r="AQ268" s="119"/>
      <c r="AR268" s="119"/>
      <c r="AS268" s="119"/>
      <c r="AT268" s="119"/>
      <c r="AU268" s="119"/>
      <c r="AV268" s="119"/>
      <c r="AW268" s="119"/>
      <c r="AX268" s="119"/>
      <c r="AY268" s="119"/>
      <c r="AZ268" s="119"/>
      <c r="BA268" s="119"/>
      <c r="BB268" s="119"/>
      <c r="BC268" s="119"/>
      <c r="BD268" s="119"/>
      <c r="BE268" s="119"/>
      <c r="BF268" s="119"/>
      <c r="BG268" s="119"/>
      <c r="BH268" s="119"/>
      <c r="BI268" s="119"/>
      <c r="BJ268" s="119"/>
      <c r="BK268" s="119"/>
      <c r="BL268" s="119"/>
      <c r="BM268" s="119"/>
      <c r="BN268" s="119"/>
      <c r="BO268" s="119"/>
      <c r="BP268" s="119"/>
      <c r="BQ268" s="119"/>
      <c r="BR268" s="119"/>
      <c r="BS268" s="119"/>
      <c r="BT268" s="119"/>
      <c r="BU268" s="119"/>
      <c r="BV268" s="119"/>
      <c r="BW268" s="119"/>
      <c r="BX268" s="119"/>
      <c r="BY268" s="119"/>
      <c r="BZ268" s="119"/>
      <c r="CA268" s="119"/>
      <c r="CB268" s="119"/>
      <c r="CC268" s="119"/>
      <c r="CD268" s="119"/>
      <c r="CE268" s="119"/>
      <c r="CF268" s="119"/>
      <c r="CG268" s="119"/>
      <c r="CH268" s="119"/>
      <c r="CI268" s="119"/>
      <c r="CJ268" s="119"/>
      <c r="CK268" s="119"/>
      <c r="CL268" s="119"/>
      <c r="CM268" s="119"/>
      <c r="CN268" s="119"/>
      <c r="CO268" s="119"/>
      <c r="CP268" s="119"/>
      <c r="CQ268" s="119"/>
      <c r="CR268" s="119"/>
      <c r="CS268" s="119"/>
      <c r="CT268" s="119"/>
      <c r="CU268" s="119"/>
      <c r="CV268" s="119"/>
      <c r="CW268" s="119"/>
      <c r="CX268" s="119"/>
      <c r="CY268" s="119"/>
      <c r="CZ268" s="119"/>
      <c r="DA268" s="119"/>
      <c r="DB268" s="119"/>
      <c r="DC268" s="119"/>
      <c r="DD268" s="119"/>
      <c r="DE268" s="119"/>
      <c r="DF268" s="119"/>
      <c r="DG268" s="119"/>
      <c r="DH268" s="119"/>
      <c r="DI268" s="119"/>
      <c r="DJ268" s="119"/>
      <c r="DK268" s="119"/>
      <c r="DL268" s="119"/>
      <c r="DM268" s="119"/>
      <c r="DN268" s="119"/>
      <c r="DO268" s="119"/>
      <c r="DP268" s="119"/>
      <c r="DQ268" s="119"/>
      <c r="DR268" s="119"/>
      <c r="DS268" s="119"/>
      <c r="DT268" s="119"/>
      <c r="DU268" s="159">
        <v>127.60602249442759</v>
      </c>
      <c r="DV268" s="56">
        <f>+DU271</f>
        <v>118.61091580089591</v>
      </c>
      <c r="DW268" s="56">
        <f>+DV271</f>
        <v>110.91066219024958</v>
      </c>
      <c r="DX268" s="56">
        <f>+DW271</f>
        <v>101.32842012898928</v>
      </c>
      <c r="DY268" s="60">
        <f>+DU268</f>
        <v>127.60602249442759</v>
      </c>
      <c r="DZ268" s="56">
        <f>DZ271-DZ273</f>
        <v>93</v>
      </c>
      <c r="EA268" s="56">
        <f>+DZ271</f>
        <v>87</v>
      </c>
      <c r="EB268" s="56">
        <f>+EA271</f>
        <v>82</v>
      </c>
      <c r="EC268" s="56">
        <f>+EB271</f>
        <v>75</v>
      </c>
      <c r="ED268" s="60">
        <f>+DZ268</f>
        <v>93</v>
      </c>
      <c r="EE268" s="56">
        <f>+ED271</f>
        <v>69</v>
      </c>
      <c r="EF268" s="56">
        <f>+EE271</f>
        <v>64</v>
      </c>
      <c r="EG268" s="56">
        <f>+EF271</f>
        <v>60</v>
      </c>
      <c r="EH268" s="56">
        <f>+EG271</f>
        <v>57</v>
      </c>
      <c r="EI268" s="60">
        <f>+EE268</f>
        <v>69</v>
      </c>
      <c r="EJ268" s="56">
        <f>+EI271</f>
        <v>53</v>
      </c>
      <c r="EK268" s="56">
        <f>+EJ271</f>
        <v>49</v>
      </c>
      <c r="EL268" s="56">
        <f>+EK271</f>
        <v>48</v>
      </c>
      <c r="EM268" s="56">
        <f>+EL271</f>
        <v>40</v>
      </c>
      <c r="EN268" s="60">
        <f>+EJ268</f>
        <v>53</v>
      </c>
      <c r="EO268" s="56">
        <f>+EN271</f>
        <v>35</v>
      </c>
      <c r="EP268" s="56">
        <f>+EO271</f>
        <v>32</v>
      </c>
      <c r="EQ268" s="56">
        <f>+EP271</f>
        <v>25</v>
      </c>
      <c r="ER268" s="56">
        <f>+EQ271</f>
        <v>21</v>
      </c>
      <c r="ES268" s="60">
        <f>+EO268</f>
        <v>35</v>
      </c>
      <c r="ET268" s="56">
        <f>+ES271</f>
        <v>19</v>
      </c>
      <c r="EU268" s="56">
        <f>+ET271</f>
        <v>14</v>
      </c>
      <c r="EV268" s="56">
        <f>+EU271</f>
        <v>13</v>
      </c>
      <c r="EW268" s="56">
        <f>+EV271</f>
        <v>12</v>
      </c>
      <c r="EX268" s="60">
        <f>+ET268</f>
        <v>19</v>
      </c>
      <c r="EY268" s="56">
        <f t="shared" ref="EY268" si="1328">+EX271</f>
        <v>11</v>
      </c>
      <c r="EZ268" s="56">
        <f t="shared" ref="EZ268" si="1329">+EY271</f>
        <v>9.4827586206896548</v>
      </c>
      <c r="FA268" s="56">
        <f t="shared" ref="FA268" si="1330">+EZ271</f>
        <v>8.1747919143876331</v>
      </c>
      <c r="FB268" s="56">
        <f t="shared" ref="FB268" si="1331">+FA271</f>
        <v>7.0472344089548562</v>
      </c>
      <c r="FC268" s="60">
        <f>+EY268</f>
        <v>11</v>
      </c>
      <c r="FD268" s="56">
        <f t="shared" ref="FD268:FI268" si="1332">+FC271</f>
        <v>6.0752020766852208</v>
      </c>
      <c r="FE268" s="56">
        <f t="shared" si="1332"/>
        <v>2.7233664481692368</v>
      </c>
      <c r="FF268" s="56">
        <f t="shared" si="1332"/>
        <v>1.2208194422827612</v>
      </c>
      <c r="FG268" s="56">
        <f t="shared" si="1332"/>
        <v>0.54726388791985847</v>
      </c>
      <c r="FH268" s="56">
        <f t="shared" si="1332"/>
        <v>0.24532519113648832</v>
      </c>
      <c r="FI268" s="56">
        <f t="shared" si="1332"/>
        <v>0.10997336154394305</v>
      </c>
      <c r="FJ268" s="1068">
        <f>+(FF268/ES268)^0.2-1</f>
        <v>-0.48888729268723063</v>
      </c>
    </row>
    <row r="269" spans="1:170" s="108" customFormat="1" x14ac:dyDescent="0.3">
      <c r="A269" s="63" t="s">
        <v>336</v>
      </c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  <c r="AA269" s="119"/>
      <c r="AB269" s="119"/>
      <c r="AC269" s="119"/>
      <c r="AD269" s="119"/>
      <c r="AE269" s="119"/>
      <c r="AF269" s="119"/>
      <c r="AG269" s="119"/>
      <c r="AH269" s="119"/>
      <c r="AI269" s="119"/>
      <c r="AJ269" s="119"/>
      <c r="AK269" s="119"/>
      <c r="AL269" s="119"/>
      <c r="AM269" s="119"/>
      <c r="AN269" s="119"/>
      <c r="AO269" s="119"/>
      <c r="AP269" s="119"/>
      <c r="AQ269" s="119"/>
      <c r="AR269" s="119"/>
      <c r="AS269" s="119"/>
      <c r="AT269" s="119"/>
      <c r="AU269" s="119"/>
      <c r="AV269" s="119"/>
      <c r="AW269" s="119"/>
      <c r="AX269" s="119"/>
      <c r="AY269" s="119"/>
      <c r="AZ269" s="119"/>
      <c r="BA269" s="119"/>
      <c r="BB269" s="119"/>
      <c r="BC269" s="119"/>
      <c r="BD269" s="119"/>
      <c r="BE269" s="119"/>
      <c r="BF269" s="119"/>
      <c r="BG269" s="119"/>
      <c r="BH269" s="119"/>
      <c r="BI269" s="119"/>
      <c r="BJ269" s="119"/>
      <c r="BK269" s="119"/>
      <c r="BL269" s="119"/>
      <c r="BM269" s="119"/>
      <c r="BN269" s="119"/>
      <c r="BO269" s="119"/>
      <c r="BP269" s="119"/>
      <c r="BQ269" s="119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19"/>
      <c r="CB269" s="119"/>
      <c r="CC269" s="119"/>
      <c r="CD269" s="119"/>
      <c r="CE269" s="119"/>
      <c r="CF269" s="119"/>
      <c r="CG269" s="119"/>
      <c r="CH269" s="119"/>
      <c r="CI269" s="119"/>
      <c r="CJ269" s="119"/>
      <c r="CK269" s="119"/>
      <c r="CL269" s="119"/>
      <c r="CM269" s="119"/>
      <c r="CN269" s="119"/>
      <c r="CO269" s="119"/>
      <c r="CP269" s="119"/>
      <c r="CQ269" s="119"/>
      <c r="CR269" s="119"/>
      <c r="CS269" s="119"/>
      <c r="CT269" s="119"/>
      <c r="CU269" s="119"/>
      <c r="CV269" s="119"/>
      <c r="CW269" s="119"/>
      <c r="CX269" s="119"/>
      <c r="CY269" s="119"/>
      <c r="CZ269" s="119"/>
      <c r="DA269" s="119"/>
      <c r="DB269" s="119"/>
      <c r="DC269" s="119"/>
      <c r="DD269" s="119"/>
      <c r="DE269" s="119"/>
      <c r="DF269" s="119"/>
      <c r="DG269" s="119"/>
      <c r="DH269" s="119"/>
      <c r="DI269" s="119"/>
      <c r="DJ269" s="119"/>
      <c r="DK269" s="119"/>
      <c r="DL269" s="119"/>
      <c r="DM269" s="119"/>
      <c r="DN269" s="119"/>
      <c r="DO269" s="119"/>
      <c r="DP269" s="119"/>
      <c r="DQ269" s="119"/>
      <c r="DR269" s="119"/>
      <c r="DS269" s="119"/>
      <c r="DT269" s="119"/>
      <c r="DU269" s="56">
        <f>+DU274*AVERAGE(DT94:DU94)</f>
        <v>2.4894353309668036</v>
      </c>
      <c r="DV269" s="56">
        <f>+DV274*AVERAGE(DU94:DV94)</f>
        <v>2.9747288114343013</v>
      </c>
      <c r="DW269" s="56">
        <f>+DW274*AVERAGE(DV94:DW94)</f>
        <v>0.3997175358621507</v>
      </c>
      <c r="DX269" s="56">
        <f>+DX274*AVERAGE(DW94:DX94)</f>
        <v>0.79119935408103348</v>
      </c>
      <c r="DY269" s="60">
        <f>+SUM(DU269:DX269)</f>
        <v>6.655081032344289</v>
      </c>
      <c r="DZ269" s="56">
        <f>+DZ271-DZ270-DZ268</f>
        <v>2.3700000000000045</v>
      </c>
      <c r="EA269" s="56">
        <f>+EA271-EA270-EA268</f>
        <v>2.8299999999999983</v>
      </c>
      <c r="EB269" s="56">
        <f>+EB271-EB270-EB268</f>
        <v>0.37999999999999545</v>
      </c>
      <c r="EC269" s="56">
        <f>+EC271-EC270-EC268</f>
        <v>0.75</v>
      </c>
      <c r="ED269" s="60">
        <f>+SUM(DZ269:EC269)</f>
        <v>6.3299999999999983</v>
      </c>
      <c r="EE269" s="56">
        <f>+EE271-EE270-EE268</f>
        <v>1.210000000000008</v>
      </c>
      <c r="EF269" s="56">
        <f>+EF271-EF270-EF268</f>
        <v>1.7600000000000051</v>
      </c>
      <c r="EG269" s="56">
        <f>+EG274*EG107</f>
        <v>0</v>
      </c>
      <c r="EH269" s="56">
        <f>+EH274*EH107</f>
        <v>0</v>
      </c>
      <c r="EI269" s="60">
        <f>+SUM(EE269:EH269)</f>
        <v>2.9700000000000131</v>
      </c>
      <c r="EJ269" s="56">
        <f>+EJ274*EJ107</f>
        <v>0</v>
      </c>
      <c r="EK269" s="56">
        <f>+EK274*EK107</f>
        <v>0</v>
      </c>
      <c r="EL269" s="56">
        <f>+EL274*EL107</f>
        <v>0</v>
      </c>
      <c r="EM269" s="56">
        <f>+EM274*EM107</f>
        <v>0</v>
      </c>
      <c r="EN269" s="60">
        <f>+SUM(EJ269:EM269)</f>
        <v>0</v>
      </c>
      <c r="EO269" s="56">
        <f>+EO274*EO107</f>
        <v>0</v>
      </c>
      <c r="EP269" s="56">
        <f>+EP274*EP107</f>
        <v>0</v>
      </c>
      <c r="EQ269" s="56">
        <f>+EQ274*EQ107</f>
        <v>0</v>
      </c>
      <c r="ER269" s="56">
        <f>+ER274*ER107</f>
        <v>0</v>
      </c>
      <c r="ES269" s="60">
        <f>+SUM(EO269:ER269)</f>
        <v>0</v>
      </c>
      <c r="ET269" s="56">
        <f>+ET274*ET107</f>
        <v>0</v>
      </c>
      <c r="EU269" s="56">
        <f>+EU274*EU107</f>
        <v>0</v>
      </c>
      <c r="EV269" s="56">
        <f>+EV274*EV107</f>
        <v>0</v>
      </c>
      <c r="EW269" s="56">
        <f>+EW274*EW107</f>
        <v>0</v>
      </c>
      <c r="EX269" s="60">
        <f>+SUM(ET269:EW269)</f>
        <v>0</v>
      </c>
      <c r="EY269" s="56">
        <f t="shared" ref="EY269:FB269" si="1333">+EY274*EY107</f>
        <v>0</v>
      </c>
      <c r="EZ269" s="56">
        <f t="shared" si="1333"/>
        <v>0</v>
      </c>
      <c r="FA269" s="56">
        <f t="shared" si="1333"/>
        <v>0</v>
      </c>
      <c r="FB269" s="56">
        <f t="shared" si="1333"/>
        <v>0</v>
      </c>
      <c r="FC269" s="60">
        <f>+SUM(EY269:FB269)</f>
        <v>0</v>
      </c>
      <c r="FD269" s="56">
        <f t="shared" ref="FD269:FI269" si="1334">+FD274*FD107</f>
        <v>0</v>
      </c>
      <c r="FE269" s="56">
        <f t="shared" si="1334"/>
        <v>0</v>
      </c>
      <c r="FF269" s="56">
        <f t="shared" si="1334"/>
        <v>0</v>
      </c>
      <c r="FG269" s="56">
        <f t="shared" si="1334"/>
        <v>0</v>
      </c>
      <c r="FH269" s="56">
        <f t="shared" si="1334"/>
        <v>0</v>
      </c>
      <c r="FI269" s="56">
        <f t="shared" si="1334"/>
        <v>0</v>
      </c>
      <c r="FJ269" s="1068" t="e">
        <f>+(FF269/ES269)^0.2-1</f>
        <v>#DIV/0!</v>
      </c>
    </row>
    <row r="270" spans="1:170" s="108" customFormat="1" x14ac:dyDescent="0.3">
      <c r="A270" s="63" t="s">
        <v>337</v>
      </c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  <c r="Z270" s="119"/>
      <c r="AA270" s="119"/>
      <c r="AB270" s="119"/>
      <c r="AC270" s="119"/>
      <c r="AD270" s="119"/>
      <c r="AE270" s="119"/>
      <c r="AF270" s="119"/>
      <c r="AG270" s="119"/>
      <c r="AH270" s="119"/>
      <c r="AI270" s="119"/>
      <c r="AJ270" s="119"/>
      <c r="AK270" s="119"/>
      <c r="AL270" s="119"/>
      <c r="AM270" s="119"/>
      <c r="AN270" s="119"/>
      <c r="AO270" s="119"/>
      <c r="AP270" s="119"/>
      <c r="AQ270" s="119"/>
      <c r="AR270" s="119"/>
      <c r="AS270" s="119"/>
      <c r="AT270" s="119"/>
      <c r="AU270" s="119"/>
      <c r="AV270" s="119"/>
      <c r="AW270" s="119"/>
      <c r="AX270" s="119"/>
      <c r="AY270" s="119"/>
      <c r="AZ270" s="119"/>
      <c r="BA270" s="119"/>
      <c r="BB270" s="119"/>
      <c r="BC270" s="119"/>
      <c r="BD270" s="119"/>
      <c r="BE270" s="119"/>
      <c r="BF270" s="119"/>
      <c r="BG270" s="119"/>
      <c r="BH270" s="119"/>
      <c r="BI270" s="119"/>
      <c r="BJ270" s="119"/>
      <c r="BK270" s="119"/>
      <c r="BL270" s="119"/>
      <c r="BM270" s="119"/>
      <c r="BN270" s="119"/>
      <c r="BO270" s="119"/>
      <c r="BP270" s="119"/>
      <c r="BQ270" s="119"/>
      <c r="BR270" s="119"/>
      <c r="BS270" s="119"/>
      <c r="BT270" s="119"/>
      <c r="BU270" s="119"/>
      <c r="BV270" s="119"/>
      <c r="BW270" s="119"/>
      <c r="BX270" s="119"/>
      <c r="BY270" s="119"/>
      <c r="BZ270" s="119"/>
      <c r="CA270" s="119"/>
      <c r="CB270" s="119"/>
      <c r="CC270" s="119"/>
      <c r="CD270" s="119"/>
      <c r="CE270" s="119"/>
      <c r="CF270" s="119"/>
      <c r="CG270" s="119"/>
      <c r="CH270" s="119"/>
      <c r="CI270" s="119"/>
      <c r="CJ270" s="119"/>
      <c r="CK270" s="119"/>
      <c r="CL270" s="119"/>
      <c r="CM270" s="119"/>
      <c r="CN270" s="119"/>
      <c r="CO270" s="119"/>
      <c r="CP270" s="119"/>
      <c r="CQ270" s="119"/>
      <c r="CR270" s="119"/>
      <c r="CS270" s="119"/>
      <c r="CT270" s="119"/>
      <c r="CU270" s="119"/>
      <c r="CV270" s="119"/>
      <c r="CW270" s="119"/>
      <c r="CX270" s="119"/>
      <c r="CY270" s="119"/>
      <c r="CZ270" s="119"/>
      <c r="DA270" s="119"/>
      <c r="DB270" s="119"/>
      <c r="DC270" s="119"/>
      <c r="DD270" s="119"/>
      <c r="DE270" s="119"/>
      <c r="DF270" s="119"/>
      <c r="DG270" s="119"/>
      <c r="DH270" s="119"/>
      <c r="DI270" s="119"/>
      <c r="DJ270" s="119"/>
      <c r="DK270" s="119"/>
      <c r="DL270" s="119"/>
      <c r="DM270" s="119"/>
      <c r="DN270" s="119"/>
      <c r="DO270" s="119"/>
      <c r="DP270" s="119"/>
      <c r="DQ270" s="119"/>
      <c r="DR270" s="119"/>
      <c r="DS270" s="119"/>
      <c r="DT270" s="119"/>
      <c r="DU270" s="56">
        <f>+DU268*DU275*-3</f>
        <v>-11.484542024498483</v>
      </c>
      <c r="DV270" s="56">
        <f>+DV268*DV275*-3</f>
        <v>-10.674982422080632</v>
      </c>
      <c r="DW270" s="56">
        <f>+DW268*DW275*-3</f>
        <v>-9.9819595971224615</v>
      </c>
      <c r="DX270" s="56">
        <f>+DX268*DX275*-3</f>
        <v>-9.1195578116090346</v>
      </c>
      <c r="DY270" s="60">
        <f>+SUM(DU270:DX270)</f>
        <v>-41.261041855310609</v>
      </c>
      <c r="DZ270" s="56">
        <f>+DZ268*DZ275*-3</f>
        <v>-8.370000000000001</v>
      </c>
      <c r="EA270" s="56">
        <f>+EA268*EA275*-3</f>
        <v>-7.83</v>
      </c>
      <c r="EB270" s="56">
        <f>+EB268*EB275*-3</f>
        <v>-7.38</v>
      </c>
      <c r="EC270" s="56">
        <f>+EC268*EC275*-3</f>
        <v>-6.75</v>
      </c>
      <c r="ED270" s="60">
        <f>+SUM(DZ270:EC270)</f>
        <v>-30.330000000000002</v>
      </c>
      <c r="EE270" s="56">
        <f>+EE268*EE275*-3</f>
        <v>-6.2100000000000009</v>
      </c>
      <c r="EF270" s="56">
        <f>+EF268*EF275*-3</f>
        <v>-5.7600000000000007</v>
      </c>
      <c r="EG270" s="56">
        <f>EG271-EG268-EG269</f>
        <v>-3</v>
      </c>
      <c r="EH270" s="56">
        <f>EH271-EH268-EH269</f>
        <v>-4</v>
      </c>
      <c r="EI270" s="60">
        <f>+SUM(EE270:EH270)</f>
        <v>-18.970000000000002</v>
      </c>
      <c r="EJ270" s="56">
        <f>EJ271-EJ268-EJ269</f>
        <v>-4</v>
      </c>
      <c r="EK270" s="56">
        <f>EK271-EK268-EK269</f>
        <v>-1</v>
      </c>
      <c r="EL270" s="56">
        <f>EL271-EL268-EL269</f>
        <v>-8</v>
      </c>
      <c r="EM270" s="56">
        <f>EM271-EM268-EM269</f>
        <v>-5</v>
      </c>
      <c r="EN270" s="60">
        <f>+SUM(EJ270:EM270)</f>
        <v>-18</v>
      </c>
      <c r="EO270" s="56">
        <f>EO271-EO268-EO269</f>
        <v>-3</v>
      </c>
      <c r="EP270" s="56">
        <f>EP271-EP268-EP269</f>
        <v>-7</v>
      </c>
      <c r="EQ270" s="56">
        <f>EQ271-EQ268-EQ269</f>
        <v>-4</v>
      </c>
      <c r="ER270" s="56">
        <f>ER271-ER268-ER269</f>
        <v>-2</v>
      </c>
      <c r="ES270" s="60">
        <f>+SUM(EO270:ER270)</f>
        <v>-16</v>
      </c>
      <c r="ET270" s="56">
        <f>ET271-ET268-ET269</f>
        <v>-5</v>
      </c>
      <c r="EU270" s="56">
        <f>EU271-EU268-EU269</f>
        <v>-1</v>
      </c>
      <c r="EV270" s="56">
        <f>EV271-EV268-EV269</f>
        <v>-1</v>
      </c>
      <c r="EW270" s="56">
        <f>EW271-EW268-EW269</f>
        <v>-1</v>
      </c>
      <c r="EX270" s="60">
        <f>+SUM(ET270:EW270)</f>
        <v>-8</v>
      </c>
      <c r="EY270" s="56">
        <f t="shared" ref="EY270:FB270" si="1335">+EY268*EY275*-3</f>
        <v>-1.517241379310345</v>
      </c>
      <c r="EZ270" s="56">
        <f t="shared" si="1335"/>
        <v>-1.3079667063020213</v>
      </c>
      <c r="FA270" s="56">
        <f t="shared" si="1335"/>
        <v>-1.1275575054327769</v>
      </c>
      <c r="FB270" s="56">
        <f t="shared" si="1335"/>
        <v>-0.97203233226963537</v>
      </c>
      <c r="FC270" s="60">
        <f>+SUM(EY270:FB270)</f>
        <v>-4.9247979233147783</v>
      </c>
      <c r="FD270" s="56">
        <f t="shared" ref="FD270:FI270" si="1336">+FD268*FD275*-12</f>
        <v>-3.351835628515984</v>
      </c>
      <c r="FE270" s="56">
        <f t="shared" si="1336"/>
        <v>-1.5025470058864756</v>
      </c>
      <c r="FF270" s="56">
        <f t="shared" si="1336"/>
        <v>-0.67355555436290271</v>
      </c>
      <c r="FG270" s="56">
        <f t="shared" si="1336"/>
        <v>-0.30193869678337015</v>
      </c>
      <c r="FH270" s="56">
        <f t="shared" si="1336"/>
        <v>-0.13535182959254527</v>
      </c>
      <c r="FI270" s="56">
        <f t="shared" si="1336"/>
        <v>-6.0674958093209962E-2</v>
      </c>
      <c r="FJ270" s="1068">
        <f>+(FF270/ES270)^0.2-1</f>
        <v>-0.46929804457595437</v>
      </c>
    </row>
    <row r="271" spans="1:170" s="108" customFormat="1" x14ac:dyDescent="0.3">
      <c r="A271" s="64" t="s">
        <v>402</v>
      </c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  <c r="AA271" s="119"/>
      <c r="AB271" s="119"/>
      <c r="AC271" s="119"/>
      <c r="AD271" s="119"/>
      <c r="AE271" s="119"/>
      <c r="AF271" s="119"/>
      <c r="AG271" s="119"/>
      <c r="AH271" s="119"/>
      <c r="AI271" s="119"/>
      <c r="AJ271" s="119"/>
      <c r="AK271" s="119"/>
      <c r="AL271" s="119"/>
      <c r="AM271" s="119"/>
      <c r="AN271" s="119"/>
      <c r="AO271" s="119"/>
      <c r="AP271" s="119"/>
      <c r="AQ271" s="119"/>
      <c r="AR271" s="119"/>
      <c r="AS271" s="119"/>
      <c r="AT271" s="119"/>
      <c r="AU271" s="119"/>
      <c r="AV271" s="119"/>
      <c r="AW271" s="119"/>
      <c r="AX271" s="119"/>
      <c r="AY271" s="119"/>
      <c r="AZ271" s="119"/>
      <c r="BA271" s="119"/>
      <c r="BB271" s="119"/>
      <c r="BC271" s="119"/>
      <c r="BD271" s="119"/>
      <c r="BE271" s="119"/>
      <c r="BF271" s="119"/>
      <c r="BG271" s="119"/>
      <c r="BH271" s="119"/>
      <c r="BI271" s="119"/>
      <c r="BJ271" s="119"/>
      <c r="BK271" s="119"/>
      <c r="BL271" s="119"/>
      <c r="BM271" s="119"/>
      <c r="BN271" s="119"/>
      <c r="BO271" s="119"/>
      <c r="BP271" s="119"/>
      <c r="BQ271" s="119"/>
      <c r="BR271" s="119"/>
      <c r="BS271" s="119"/>
      <c r="BT271" s="119"/>
      <c r="BU271" s="119"/>
      <c r="BV271" s="119"/>
      <c r="BW271" s="119"/>
      <c r="BX271" s="119"/>
      <c r="BY271" s="119"/>
      <c r="BZ271" s="119"/>
      <c r="CA271" s="119"/>
      <c r="CB271" s="119"/>
      <c r="CC271" s="119"/>
      <c r="CD271" s="119"/>
      <c r="CE271" s="119"/>
      <c r="CF271" s="119"/>
      <c r="CG271" s="119"/>
      <c r="CH271" s="119"/>
      <c r="CI271" s="119"/>
      <c r="CJ271" s="119"/>
      <c r="CK271" s="119"/>
      <c r="CL271" s="119"/>
      <c r="CM271" s="119"/>
      <c r="CN271" s="119"/>
      <c r="CO271" s="119"/>
      <c r="CP271" s="119"/>
      <c r="CQ271" s="119"/>
      <c r="CR271" s="119"/>
      <c r="CS271" s="119"/>
      <c r="CT271" s="119"/>
      <c r="CU271" s="119"/>
      <c r="CV271" s="119"/>
      <c r="CW271" s="119"/>
      <c r="CX271" s="119"/>
      <c r="CY271" s="119"/>
      <c r="CZ271" s="119"/>
      <c r="DA271" s="119"/>
      <c r="DB271" s="119"/>
      <c r="DC271" s="119"/>
      <c r="DD271" s="119"/>
      <c r="DE271" s="119"/>
      <c r="DF271" s="119"/>
      <c r="DG271" s="119"/>
      <c r="DH271" s="119"/>
      <c r="DI271" s="119"/>
      <c r="DJ271" s="119"/>
      <c r="DK271" s="119"/>
      <c r="DL271" s="119"/>
      <c r="DM271" s="119"/>
      <c r="DN271" s="119"/>
      <c r="DO271" s="119"/>
      <c r="DP271" s="119"/>
      <c r="DQ271" s="119"/>
      <c r="DR271" s="119"/>
      <c r="DS271" s="119"/>
      <c r="DT271" s="119"/>
      <c r="DU271" s="1795">
        <f>+DU268+DU269+DU270</f>
        <v>118.61091580089591</v>
      </c>
      <c r="DV271" s="1795">
        <f>+DV268+DV269+DV270</f>
        <v>110.91066219024958</v>
      </c>
      <c r="DW271" s="1795">
        <f>+DW268+DW269+DW270</f>
        <v>101.32842012898928</v>
      </c>
      <c r="DX271" s="1795">
        <f>+DX268+DX269+DX270</f>
        <v>93.000061671461282</v>
      </c>
      <c r="DY271" s="1797">
        <f>+DX271</f>
        <v>93.000061671461282</v>
      </c>
      <c r="DZ271" s="1798">
        <f>Inputs!DZ406</f>
        <v>87</v>
      </c>
      <c r="EA271" s="1798">
        <f>Inputs!EA406</f>
        <v>82</v>
      </c>
      <c r="EB271" s="1798">
        <f>Inputs!EB406</f>
        <v>75</v>
      </c>
      <c r="EC271" s="1798">
        <f>Inputs!EC406</f>
        <v>69</v>
      </c>
      <c r="ED271" s="1797">
        <f>+EC271</f>
        <v>69</v>
      </c>
      <c r="EE271" s="1798">
        <f>Inputs!EE406</f>
        <v>64</v>
      </c>
      <c r="EF271" s="1798">
        <f>Inputs!EF406</f>
        <v>60</v>
      </c>
      <c r="EG271" s="1798">
        <f>Inputs!EG406</f>
        <v>57</v>
      </c>
      <c r="EH271" s="1798">
        <f>Inputs!EH406</f>
        <v>53</v>
      </c>
      <c r="EI271" s="1797">
        <f>+EH271</f>
        <v>53</v>
      </c>
      <c r="EJ271" s="1798">
        <f>Inputs!EJ406</f>
        <v>49</v>
      </c>
      <c r="EK271" s="1798">
        <f>Inputs!EK406</f>
        <v>48</v>
      </c>
      <c r="EL271" s="1798">
        <f>Inputs!EL406</f>
        <v>40</v>
      </c>
      <c r="EM271" s="1798">
        <f>Inputs!EM406</f>
        <v>35</v>
      </c>
      <c r="EN271" s="1797">
        <f>+EM271</f>
        <v>35</v>
      </c>
      <c r="EO271" s="1798">
        <f>Inputs!EO406</f>
        <v>32</v>
      </c>
      <c r="EP271" s="1798">
        <f>Inputs!EP406</f>
        <v>25</v>
      </c>
      <c r="EQ271" s="1798">
        <f>Inputs!EQ406</f>
        <v>21</v>
      </c>
      <c r="ER271" s="1798">
        <f>Inputs!ER406</f>
        <v>19</v>
      </c>
      <c r="ES271" s="1797">
        <f>+ER271</f>
        <v>19</v>
      </c>
      <c r="ET271" s="1798">
        <f>Inputs!ET406</f>
        <v>14</v>
      </c>
      <c r="EU271" s="1798">
        <f>Inputs!EU406</f>
        <v>13</v>
      </c>
      <c r="EV271" s="1798">
        <f>Inputs!EV406</f>
        <v>12</v>
      </c>
      <c r="EW271" s="1798">
        <f>Inputs!EW406</f>
        <v>11</v>
      </c>
      <c r="EX271" s="1797">
        <f>+EW271</f>
        <v>11</v>
      </c>
      <c r="EY271" s="1795">
        <f t="shared" ref="EY271:FB271" si="1337">+EY268+EY269+EY270</f>
        <v>9.4827586206896548</v>
      </c>
      <c r="EZ271" s="1795">
        <f t="shared" si="1337"/>
        <v>8.1747919143876331</v>
      </c>
      <c r="FA271" s="1795">
        <f t="shared" si="1337"/>
        <v>7.0472344089548562</v>
      </c>
      <c r="FB271" s="1795">
        <f t="shared" si="1337"/>
        <v>6.0752020766852208</v>
      </c>
      <c r="FC271" s="1797">
        <f>+FB271</f>
        <v>6.0752020766852208</v>
      </c>
      <c r="FD271" s="1795">
        <f t="shared" ref="FD271:FH271" si="1338">+FD268+FD269+FD270</f>
        <v>2.7233664481692368</v>
      </c>
      <c r="FE271" s="1795">
        <f t="shared" si="1338"/>
        <v>1.2208194422827612</v>
      </c>
      <c r="FF271" s="1795">
        <f t="shared" si="1338"/>
        <v>0.54726388791985847</v>
      </c>
      <c r="FG271" s="1795">
        <f t="shared" si="1338"/>
        <v>0.24532519113648832</v>
      </c>
      <c r="FH271" s="1795">
        <f t="shared" si="1338"/>
        <v>0.10997336154394305</v>
      </c>
      <c r="FI271" s="1795">
        <f>+FI268+FI269+FI270</f>
        <v>4.9298403450733087E-2</v>
      </c>
      <c r="FJ271" s="1068">
        <f>+(FF271/ES271)^0.2-1</f>
        <v>-0.50808661704013747</v>
      </c>
    </row>
    <row r="272" spans="1:170" s="108" customFormat="1" x14ac:dyDescent="0.3">
      <c r="A272" s="61" t="s">
        <v>339</v>
      </c>
      <c r="DY272" s="538"/>
      <c r="DZ272" s="122">
        <f t="shared" ref="DZ272:EW272" si="1339">+DZ271/DU271-1</f>
        <v>-0.26650933084404316</v>
      </c>
      <c r="EA272" s="122">
        <f t="shared" si="1339"/>
        <v>-0.26066621206045948</v>
      </c>
      <c r="EB272" s="122">
        <f t="shared" si="1339"/>
        <v>-0.25983253361173175</v>
      </c>
      <c r="EC272" s="122">
        <f t="shared" si="1339"/>
        <v>-0.25806500813134547</v>
      </c>
      <c r="ED272" s="123">
        <f t="shared" si="1339"/>
        <v>-0.25806500813134547</v>
      </c>
      <c r="EE272" s="122">
        <f t="shared" si="1339"/>
        <v>-0.26436781609195403</v>
      </c>
      <c r="EF272" s="122">
        <f t="shared" si="1339"/>
        <v>-0.26829268292682928</v>
      </c>
      <c r="EG272" s="122">
        <f t="shared" si="1339"/>
        <v>-0.24</v>
      </c>
      <c r="EH272" s="122">
        <f t="shared" si="1339"/>
        <v>-0.23188405797101452</v>
      </c>
      <c r="EI272" s="123">
        <f t="shared" si="1339"/>
        <v>-0.23188405797101452</v>
      </c>
      <c r="EJ272" s="122">
        <f t="shared" si="1339"/>
        <v>-0.234375</v>
      </c>
      <c r="EK272" s="122">
        <f t="shared" si="1339"/>
        <v>-0.19999999999999996</v>
      </c>
      <c r="EL272" s="122">
        <f t="shared" si="1339"/>
        <v>-0.29824561403508776</v>
      </c>
      <c r="EM272" s="122">
        <f t="shared" si="1339"/>
        <v>-0.339622641509434</v>
      </c>
      <c r="EN272" s="123">
        <f t="shared" si="1339"/>
        <v>-0.339622641509434</v>
      </c>
      <c r="EO272" s="122">
        <f t="shared" si="1339"/>
        <v>-0.34693877551020413</v>
      </c>
      <c r="EP272" s="122">
        <f t="shared" si="1339"/>
        <v>-0.47916666666666663</v>
      </c>
      <c r="EQ272" s="122">
        <f t="shared" si="1339"/>
        <v>-0.47499999999999998</v>
      </c>
      <c r="ER272" s="122">
        <f t="shared" si="1339"/>
        <v>-0.45714285714285718</v>
      </c>
      <c r="ES272" s="123">
        <f t="shared" ref="ES272" si="1340">+ES271/EN271-1</f>
        <v>-0.45714285714285718</v>
      </c>
      <c r="ET272" s="122">
        <f t="shared" si="1339"/>
        <v>-0.5625</v>
      </c>
      <c r="EU272" s="122">
        <f t="shared" si="1339"/>
        <v>-0.48</v>
      </c>
      <c r="EV272" s="122">
        <f t="shared" si="1339"/>
        <v>-0.4285714285714286</v>
      </c>
      <c r="EW272" s="122">
        <f t="shared" si="1339"/>
        <v>-0.42105263157894735</v>
      </c>
      <c r="EX272" s="123">
        <f t="shared" ref="EX272" si="1341">+EX271/ES271-1</f>
        <v>-0.42105263157894735</v>
      </c>
      <c r="EY272" s="122">
        <f t="shared" ref="EY272" si="1342">+EY271/ET271-1</f>
        <v>-0.32266009852216748</v>
      </c>
      <c r="EZ272" s="122">
        <f t="shared" ref="EZ272" si="1343">+EZ271/EU271-1</f>
        <v>-0.37116985273941283</v>
      </c>
      <c r="FA272" s="122">
        <f t="shared" ref="FA272" si="1344">+FA271/EV271-1</f>
        <v>-0.41273046592042861</v>
      </c>
      <c r="FB272" s="122">
        <f t="shared" ref="FB272:FC272" si="1345">+FB271/EW271-1</f>
        <v>-0.44770890211952541</v>
      </c>
      <c r="FC272" s="123">
        <f t="shared" si="1345"/>
        <v>-0.44770890211952541</v>
      </c>
      <c r="FD272" s="122">
        <f t="shared" ref="FD272:FI272" si="1346">+FD271/FC271-1</f>
        <v>-0.55172413793103448</v>
      </c>
      <c r="FE272" s="122">
        <f t="shared" si="1346"/>
        <v>-0.55172413793103448</v>
      </c>
      <c r="FF272" s="122">
        <f t="shared" si="1346"/>
        <v>-0.55172413793103448</v>
      </c>
      <c r="FG272" s="122">
        <f t="shared" si="1346"/>
        <v>-0.55172413793103448</v>
      </c>
      <c r="FH272" s="122">
        <f t="shared" si="1346"/>
        <v>-0.55172413793103448</v>
      </c>
      <c r="FI272" s="122">
        <f t="shared" si="1346"/>
        <v>-0.55172413793103448</v>
      </c>
    </row>
    <row r="273" spans="1:167" s="108" customFormat="1" x14ac:dyDescent="0.3">
      <c r="A273" s="65" t="s">
        <v>340</v>
      </c>
      <c r="DU273" s="124">
        <f>DU271-DU268</f>
        <v>-8.9951066935316817</v>
      </c>
      <c r="DV273" s="124">
        <f>+DV271-DU271</f>
        <v>-7.7002536106463282</v>
      </c>
      <c r="DW273" s="124">
        <f>+DW271-DV271</f>
        <v>-9.5822420612603025</v>
      </c>
      <c r="DX273" s="124">
        <f>+DX271-DW271</f>
        <v>-8.3283584575279974</v>
      </c>
      <c r="DY273" s="125">
        <f>SUM(DU273:DX273)</f>
        <v>-34.60596082296631</v>
      </c>
      <c r="DZ273" s="1105">
        <f>Inputs!DZ411</f>
        <v>-6</v>
      </c>
      <c r="EA273" s="1105">
        <f>Inputs!EA411</f>
        <v>-5</v>
      </c>
      <c r="EB273" s="1105">
        <f>Inputs!EB411</f>
        <v>-7</v>
      </c>
      <c r="EC273" s="1105">
        <f>Inputs!EC411</f>
        <v>-6</v>
      </c>
      <c r="ED273" s="125">
        <f>+SUM(DZ273:EC273)</f>
        <v>-24</v>
      </c>
      <c r="EE273" s="1105">
        <f>Inputs!EE411</f>
        <v>-5</v>
      </c>
      <c r="EF273" s="1105">
        <f>Inputs!EF411</f>
        <v>-4</v>
      </c>
      <c r="EG273" s="1105">
        <f>Inputs!EG411</f>
        <v>-4</v>
      </c>
      <c r="EH273" s="1105">
        <f>Inputs!EH411</f>
        <v>-4</v>
      </c>
      <c r="EI273" s="125">
        <f>+SUM(EE273:EH273)</f>
        <v>-17</v>
      </c>
      <c r="EJ273" s="1105">
        <f>Inputs!EJ411</f>
        <v>-4</v>
      </c>
      <c r="EK273" s="1105">
        <f>Inputs!EK411</f>
        <v>-1</v>
      </c>
      <c r="EL273" s="1105">
        <f>Inputs!EL411</f>
        <v>-8</v>
      </c>
      <c r="EM273" s="1105">
        <f>Inputs!EM411</f>
        <v>-5</v>
      </c>
      <c r="EN273" s="125">
        <f>+SUM(EJ273:EM273)</f>
        <v>-18</v>
      </c>
      <c r="EO273" s="1105">
        <f>Inputs!EO411</f>
        <v>-3</v>
      </c>
      <c r="EP273" s="1105">
        <f>Inputs!EP411</f>
        <v>-7</v>
      </c>
      <c r="EQ273" s="1105">
        <f>Inputs!EQ411</f>
        <v>-4</v>
      </c>
      <c r="ER273" s="1105">
        <f>Inputs!ER411</f>
        <v>-2</v>
      </c>
      <c r="ES273" s="125">
        <f>+SUM(EO273:ER273)</f>
        <v>-16</v>
      </c>
      <c r="ET273" s="1105">
        <f>Inputs!ET411</f>
        <v>-5</v>
      </c>
      <c r="EU273" s="1105">
        <f>Inputs!EU411</f>
        <v>-1</v>
      </c>
      <c r="EV273" s="1105">
        <f>Inputs!EV411</f>
        <v>-1</v>
      </c>
      <c r="EW273" s="1105">
        <f>Inputs!EW411</f>
        <v>-1</v>
      </c>
      <c r="EX273" s="125">
        <f>+SUM(ET273:EW273)</f>
        <v>-8</v>
      </c>
      <c r="EY273" s="124">
        <f t="shared" ref="EY273" si="1347">+EY271-EX271</f>
        <v>-1.5172413793103452</v>
      </c>
      <c r="EZ273" s="124">
        <f t="shared" ref="EZ273" si="1348">+EZ271-EY271</f>
        <v>-1.3079667063020217</v>
      </c>
      <c r="FA273" s="124">
        <f t="shared" ref="FA273" si="1349">+FA271-EZ271</f>
        <v>-1.1275575054327769</v>
      </c>
      <c r="FB273" s="124">
        <f t="shared" ref="FB273" si="1350">+FB271-FA271</f>
        <v>-0.97203233226963537</v>
      </c>
      <c r="FC273" s="125">
        <f>+SUM(EY273:FB273)</f>
        <v>-4.9247979233147792</v>
      </c>
      <c r="FD273" s="124">
        <f t="shared" ref="FD273:FI273" si="1351">+FD271-FC271</f>
        <v>-3.351835628515984</v>
      </c>
      <c r="FE273" s="124">
        <f t="shared" si="1351"/>
        <v>-1.5025470058864756</v>
      </c>
      <c r="FF273" s="124">
        <f t="shared" si="1351"/>
        <v>-0.67355555436290271</v>
      </c>
      <c r="FG273" s="124">
        <f t="shared" si="1351"/>
        <v>-0.30193869678337015</v>
      </c>
      <c r="FH273" s="124">
        <f t="shared" si="1351"/>
        <v>-0.13535182959254527</v>
      </c>
      <c r="FI273" s="124">
        <f t="shared" si="1351"/>
        <v>-6.0674958093209962E-2</v>
      </c>
      <c r="FK273" s="1069" t="s">
        <v>346</v>
      </c>
    </row>
    <row r="274" spans="1:167" s="108" customFormat="1" x14ac:dyDescent="0.3">
      <c r="A274" s="65" t="s">
        <v>341</v>
      </c>
      <c r="DU274" s="122">
        <f>DZ274*1.05</f>
        <v>2.0785132595531466E-4</v>
      </c>
      <c r="DV274" s="122">
        <f>EA274*1.05</f>
        <v>2.4837011033099286E-4</v>
      </c>
      <c r="DW274" s="122">
        <f>EB274*1.05</f>
        <v>3.3373761030487659E-5</v>
      </c>
      <c r="DX274" s="122">
        <f>EC274*1.05</f>
        <v>6.6059894304169116E-5</v>
      </c>
      <c r="DY274" s="123">
        <f t="shared" ref="DY274:EF274" si="1352">+DY269/DY107</f>
        <v>5.5565509162096424E-4</v>
      </c>
      <c r="DZ274" s="122">
        <f t="shared" si="1352"/>
        <v>1.9795364376696634E-4</v>
      </c>
      <c r="EA274" s="122">
        <f t="shared" si="1352"/>
        <v>2.3654296221999318E-4</v>
      </c>
      <c r="EB274" s="122">
        <f t="shared" si="1352"/>
        <v>3.1784534314750152E-5</v>
      </c>
      <c r="EC274" s="122">
        <f t="shared" si="1352"/>
        <v>6.2914185051589626E-5</v>
      </c>
      <c r="ED274" s="123">
        <f t="shared" si="1352"/>
        <v>5.2956308953631839E-4</v>
      </c>
      <c r="EE274" s="122">
        <f t="shared" si="1352"/>
        <v>1.0220457808936633E-4</v>
      </c>
      <c r="EF274" s="122">
        <f t="shared" si="1352"/>
        <v>1.4967895564910533E-4</v>
      </c>
      <c r="EG274" s="694">
        <v>0</v>
      </c>
      <c r="EH274" s="694">
        <v>0</v>
      </c>
      <c r="EI274" s="123">
        <f>+EI269/AVERAGE(EE94:EH94)</f>
        <v>2.5595173973930955E-4</v>
      </c>
      <c r="EJ274" s="694">
        <v>0</v>
      </c>
      <c r="EK274" s="694">
        <v>0</v>
      </c>
      <c r="EL274" s="694">
        <v>0</v>
      </c>
      <c r="EM274" s="694">
        <v>0</v>
      </c>
      <c r="EN274" s="123">
        <f>+EN269/AVERAGE(EJ94:EM94)</f>
        <v>0</v>
      </c>
      <c r="EO274" s="694">
        <v>0</v>
      </c>
      <c r="EP274" s="694">
        <v>0</v>
      </c>
      <c r="EQ274" s="694">
        <v>0</v>
      </c>
      <c r="ER274" s="694">
        <v>0</v>
      </c>
      <c r="ES274" s="123">
        <f>+ES269/AVERAGE(EO94:ER94)</f>
        <v>0</v>
      </c>
      <c r="ET274" s="694">
        <v>0</v>
      </c>
      <c r="EU274" s="694">
        <v>0</v>
      </c>
      <c r="EV274" s="694">
        <v>0</v>
      </c>
      <c r="EW274" s="694">
        <v>0</v>
      </c>
      <c r="EX274" s="123">
        <f>+EX269/AVERAGE(ET94:EW94)</f>
        <v>0</v>
      </c>
      <c r="EY274" s="694">
        <v>0</v>
      </c>
      <c r="EZ274" s="694">
        <v>0</v>
      </c>
      <c r="FA274" s="694">
        <v>0</v>
      </c>
      <c r="FB274" s="694">
        <v>0</v>
      </c>
      <c r="FC274" s="123">
        <f>+FC269/AVERAGE(EY94:FB94)</f>
        <v>0</v>
      </c>
      <c r="FD274" s="694">
        <f t="shared" ref="FD274:FI274" si="1353">FC274*0.95</f>
        <v>0</v>
      </c>
      <c r="FE274" s="694">
        <f t="shared" si="1353"/>
        <v>0</v>
      </c>
      <c r="FF274" s="694">
        <f t="shared" si="1353"/>
        <v>0</v>
      </c>
      <c r="FG274" s="694">
        <f t="shared" si="1353"/>
        <v>0</v>
      </c>
      <c r="FH274" s="694">
        <f t="shared" si="1353"/>
        <v>0</v>
      </c>
      <c r="FI274" s="694">
        <f t="shared" si="1353"/>
        <v>0</v>
      </c>
    </row>
    <row r="275" spans="1:167" s="108" customFormat="1" x14ac:dyDescent="0.3">
      <c r="A275" s="65" t="s">
        <v>342</v>
      </c>
      <c r="DU275" s="694">
        <v>0.03</v>
      </c>
      <c r="DV275" s="694">
        <f>+DU275</f>
        <v>0.03</v>
      </c>
      <c r="DW275" s="694">
        <f>+DV275</f>
        <v>0.03</v>
      </c>
      <c r="DX275" s="694">
        <f>+DW275</f>
        <v>0.03</v>
      </c>
      <c r="DY275" s="123">
        <f>+DY270/AVERAGE(DU268:DX268)/-12</f>
        <v>0.03</v>
      </c>
      <c r="DZ275" s="694">
        <v>0.03</v>
      </c>
      <c r="EA275" s="694">
        <f>+DZ275</f>
        <v>0.03</v>
      </c>
      <c r="EB275" s="694">
        <f>+EA275</f>
        <v>0.03</v>
      </c>
      <c r="EC275" s="694">
        <f>+EB275</f>
        <v>0.03</v>
      </c>
      <c r="ED275" s="123">
        <f>+ED270/AVERAGE(DZ268:EC268)/-12</f>
        <v>3.0000000000000002E-2</v>
      </c>
      <c r="EE275" s="694">
        <f>+ED275</f>
        <v>3.0000000000000002E-2</v>
      </c>
      <c r="EF275" s="694">
        <f>+EE275</f>
        <v>3.0000000000000002E-2</v>
      </c>
      <c r="EG275" s="1106">
        <f>-EG270/EG268/3</f>
        <v>1.6666666666666666E-2</v>
      </c>
      <c r="EH275" s="1106">
        <f>-EH270/EH268/3</f>
        <v>2.3391812865497075E-2</v>
      </c>
      <c r="EI275" s="123">
        <f>+EI270/AVERAGE(EE268:EH268)/-12</f>
        <v>2.5293333333333334E-2</v>
      </c>
      <c r="EJ275" s="1106">
        <f>-EJ270/EJ268/3</f>
        <v>2.5157232704402514E-2</v>
      </c>
      <c r="EK275" s="1106">
        <f>-EK270/EK268/3</f>
        <v>6.8027210884353739E-3</v>
      </c>
      <c r="EL275" s="1106">
        <f>-EL270/EL268/3</f>
        <v>5.5555555555555552E-2</v>
      </c>
      <c r="EM275" s="1106">
        <f>-EM270/EM268/3</f>
        <v>4.1666666666666664E-2</v>
      </c>
      <c r="EN275" s="123">
        <f>+EN270/AVERAGE(EJ268:EM268)/-12</f>
        <v>3.1578947368421054E-2</v>
      </c>
      <c r="EO275" s="1106">
        <f>-EO270/EO268/3</f>
        <v>2.8571428571428571E-2</v>
      </c>
      <c r="EP275" s="1106">
        <f>-EP270/EP268/3</f>
        <v>7.2916666666666671E-2</v>
      </c>
      <c r="EQ275" s="1106">
        <f>-EQ270/EQ268/3</f>
        <v>5.3333333333333337E-2</v>
      </c>
      <c r="ER275" s="1106">
        <f>-ER270/ER268/3</f>
        <v>3.1746031746031744E-2</v>
      </c>
      <c r="ES275" s="123">
        <f>+ES270/AVERAGE(EO268:ER268)/-12</f>
        <v>4.71976401179941E-2</v>
      </c>
      <c r="ET275" s="1106">
        <f>-ET270/ET268/3</f>
        <v>8.771929824561403E-2</v>
      </c>
      <c r="EU275" s="1106">
        <f>-EU270/EU268/3</f>
        <v>2.3809523809523808E-2</v>
      </c>
      <c r="EV275" s="1106">
        <f>-EV270/EV268/3</f>
        <v>2.5641025641025644E-2</v>
      </c>
      <c r="EW275" s="1106">
        <f>-EW270/EW268/3</f>
        <v>2.7777777777777776E-2</v>
      </c>
      <c r="EX275" s="123">
        <f>+EX270/AVERAGE(ET268:EW268)/-12</f>
        <v>4.5977011494252873E-2</v>
      </c>
      <c r="EY275" s="694">
        <f t="shared" ref="EY275" si="1354">+EX275</f>
        <v>4.5977011494252873E-2</v>
      </c>
      <c r="EZ275" s="694">
        <f t="shared" ref="EZ275" si="1355">+EY275</f>
        <v>4.5977011494252873E-2</v>
      </c>
      <c r="FA275" s="694">
        <f t="shared" ref="FA275" si="1356">+EZ275</f>
        <v>4.5977011494252873E-2</v>
      </c>
      <c r="FB275" s="694">
        <f t="shared" ref="FB275" si="1357">+FA275</f>
        <v>4.5977011494252873E-2</v>
      </c>
      <c r="FC275" s="123">
        <f>+FC270/AVERAGE(EY268:FB268)/-12</f>
        <v>4.5977011494252873E-2</v>
      </c>
      <c r="FD275" s="694">
        <f t="shared" ref="FD275:FI275" si="1358">+FC275</f>
        <v>4.5977011494252873E-2</v>
      </c>
      <c r="FE275" s="694">
        <f t="shared" si="1358"/>
        <v>4.5977011494252873E-2</v>
      </c>
      <c r="FF275" s="694">
        <f t="shared" si="1358"/>
        <v>4.5977011494252873E-2</v>
      </c>
      <c r="FG275" s="694">
        <f t="shared" si="1358"/>
        <v>4.5977011494252873E-2</v>
      </c>
      <c r="FH275" s="694">
        <f t="shared" si="1358"/>
        <v>4.5977011494252873E-2</v>
      </c>
      <c r="FI275" s="694">
        <f t="shared" si="1358"/>
        <v>4.5977011494252873E-2</v>
      </c>
    </row>
    <row r="276" spans="1:167" s="108" customFormat="1" x14ac:dyDescent="0.3">
      <c r="A276" s="65" t="s">
        <v>403</v>
      </c>
      <c r="DU276" s="126"/>
      <c r="DV276" s="126"/>
      <c r="DW276" s="126"/>
      <c r="DX276" s="126"/>
      <c r="DY276" s="127"/>
      <c r="DZ276" s="126">
        <f t="shared" ref="DZ276:FI276" si="1359">+DZ271/DZ94</f>
        <v>7.2693850267379683E-3</v>
      </c>
      <c r="EA276" s="126">
        <f t="shared" si="1359"/>
        <v>6.8561872909698998E-3</v>
      </c>
      <c r="EB276" s="126">
        <f t="shared" si="1359"/>
        <v>6.2756254706719103E-3</v>
      </c>
      <c r="EC276" s="126">
        <f t="shared" si="1359"/>
        <v>5.8027079303675051E-3</v>
      </c>
      <c r="ED276" s="127">
        <f t="shared" si="1359"/>
        <v>5.8027079303675051E-3</v>
      </c>
      <c r="EE276" s="126">
        <f t="shared" si="1359"/>
        <v>5.4297106982268599E-3</v>
      </c>
      <c r="EF276" s="126">
        <f t="shared" si="1359"/>
        <v>5.1150895140664966E-3</v>
      </c>
      <c r="EG276" s="126">
        <f t="shared" si="1359"/>
        <v>4.9372022520571676E-3</v>
      </c>
      <c r="EH276" s="126">
        <f t="shared" si="1359"/>
        <v>4.668369593939928E-3</v>
      </c>
      <c r="EI276" s="127">
        <f t="shared" si="1359"/>
        <v>4.668369593939928E-3</v>
      </c>
      <c r="EJ276" s="126">
        <f t="shared" si="1359"/>
        <v>4.3977741877580323E-3</v>
      </c>
      <c r="EK276" s="126">
        <f t="shared" si="1359"/>
        <v>4.4194825522511742E-3</v>
      </c>
      <c r="EL276" s="126">
        <f t="shared" si="1359"/>
        <v>3.8058991436726928E-3</v>
      </c>
      <c r="EM276" s="126">
        <f t="shared" si="1359"/>
        <v>3.4216443445107048E-3</v>
      </c>
      <c r="EN276" s="127">
        <f t="shared" si="1359"/>
        <v>3.4216443445107048E-3</v>
      </c>
      <c r="EO276" s="126">
        <f t="shared" si="1359"/>
        <v>3.2355915065722953E-3</v>
      </c>
      <c r="EP276" s="126">
        <f t="shared" si="1359"/>
        <v>2.6112387716732818E-3</v>
      </c>
      <c r="EQ276" s="126">
        <f t="shared" ref="EQ276:ER276" si="1360">+EQ271/EQ94</f>
        <v>2.2722354468729714E-3</v>
      </c>
      <c r="ER276" s="126">
        <f t="shared" si="1360"/>
        <v>2.1326748232124819E-3</v>
      </c>
      <c r="ES276" s="127">
        <f t="shared" si="1359"/>
        <v>2.1326748232124819E-3</v>
      </c>
      <c r="ET276" s="126">
        <f t="shared" ref="ET276:EU276" si="1361">+ET271/ET94</f>
        <v>1.630371491789915E-3</v>
      </c>
      <c r="EU276" s="126">
        <f t="shared" si="1361"/>
        <v>1.5855592145383583E-3</v>
      </c>
      <c r="EV276" s="126">
        <f t="shared" ref="EV276:EW276" si="1362">+EV271/EV94</f>
        <v>1.5349194167306216E-3</v>
      </c>
      <c r="EW276" s="126">
        <f t="shared" si="1362"/>
        <v>1.4328513742347272E-3</v>
      </c>
      <c r="EX276" s="127">
        <f t="shared" ref="EX276" si="1363">+EX271/EX94</f>
        <v>1.4328513742347272E-3</v>
      </c>
      <c r="EY276" s="126">
        <f t="shared" ref="EY276:FC276" si="1364">+EY271/EY94</f>
        <v>1.2818894093814055E-3</v>
      </c>
      <c r="EZ276" s="126">
        <f t="shared" si="1364"/>
        <v>1.1602432283979666E-3</v>
      </c>
      <c r="FA276" s="126">
        <f t="shared" si="1364"/>
        <v>1.0516910050170675E-3</v>
      </c>
      <c r="FB276" s="126">
        <f t="shared" si="1364"/>
        <v>9.3673611543986163E-4</v>
      </c>
      <c r="FC276" s="127">
        <f t="shared" si="1364"/>
        <v>9.3673611543986163E-4</v>
      </c>
      <c r="FD276" s="126">
        <f t="shared" si="1359"/>
        <v>4.7822325915066973E-4</v>
      </c>
      <c r="FE276" s="126">
        <f t="shared" si="1359"/>
        <v>2.1400787538398402E-4</v>
      </c>
      <c r="FF276" s="126">
        <f t="shared" si="1359"/>
        <v>9.5774024820619282E-5</v>
      </c>
      <c r="FG276" s="126">
        <f t="shared" si="1359"/>
        <v>4.2863230839024585E-5</v>
      </c>
      <c r="FH276" s="126">
        <f t="shared" si="1359"/>
        <v>1.9184103674553451E-5</v>
      </c>
      <c r="FI276" s="126">
        <f t="shared" si="1359"/>
        <v>8.5865328727316549E-6</v>
      </c>
    </row>
    <row r="277" spans="1:167" s="108" customFormat="1" x14ac:dyDescent="0.3">
      <c r="A277" s="65" t="s">
        <v>404</v>
      </c>
      <c r="DU277" s="126"/>
      <c r="DV277" s="126"/>
      <c r="DW277" s="126"/>
      <c r="DX277" s="126"/>
      <c r="DY277" s="127"/>
      <c r="DZ277" s="126"/>
      <c r="EA277" s="126"/>
      <c r="EB277" s="126"/>
      <c r="EC277" s="126"/>
      <c r="ED277" s="127"/>
      <c r="EE277" s="126"/>
      <c r="EF277" s="126"/>
      <c r="EG277" s="126"/>
      <c r="EH277" s="126"/>
      <c r="EI277" s="127"/>
      <c r="EJ277" s="126"/>
      <c r="EK277" s="126"/>
      <c r="EL277" s="126"/>
      <c r="EM277" s="126"/>
      <c r="EN277" s="127"/>
      <c r="EO277" s="126"/>
      <c r="EP277" s="126"/>
      <c r="EQ277" s="126"/>
      <c r="ER277" s="126"/>
      <c r="ES277" s="126"/>
      <c r="ET277" s="126"/>
      <c r="EU277" s="126"/>
      <c r="EV277" s="126"/>
      <c r="EW277" s="126"/>
      <c r="EX277" s="126"/>
      <c r="EY277" s="126"/>
      <c r="EZ277" s="126"/>
      <c r="FA277" s="126"/>
      <c r="FB277" s="126"/>
      <c r="FC277" s="126"/>
      <c r="FD277" s="126"/>
      <c r="FE277" s="126"/>
      <c r="FF277" s="126"/>
      <c r="FG277" s="126"/>
      <c r="FH277" s="126"/>
      <c r="FI277" s="126"/>
    </row>
    <row r="278" spans="1:167" s="108" customFormat="1" x14ac:dyDescent="0.3">
      <c r="A278" s="65"/>
      <c r="DU278" s="126"/>
      <c r="DV278" s="126"/>
      <c r="DW278" s="126"/>
      <c r="DX278" s="126"/>
      <c r="DY278" s="127"/>
      <c r="DZ278" s="126"/>
      <c r="EA278" s="126"/>
      <c r="EB278" s="126"/>
      <c r="EC278" s="126"/>
      <c r="ED278" s="127"/>
      <c r="EE278" s="126"/>
      <c r="EF278" s="126"/>
      <c r="EG278" s="126"/>
      <c r="EH278" s="126"/>
      <c r="EI278" s="127"/>
      <c r="EJ278" s="126"/>
      <c r="EK278" s="126"/>
      <c r="EL278" s="126"/>
      <c r="EM278" s="126"/>
      <c r="EN278" s="127"/>
      <c r="EO278" s="126"/>
      <c r="EP278" s="126"/>
      <c r="EQ278" s="126"/>
      <c r="ER278" s="126"/>
      <c r="ES278" s="126"/>
      <c r="ET278" s="126"/>
      <c r="EU278" s="126"/>
      <c r="EV278" s="126"/>
      <c r="EW278" s="126"/>
      <c r="EX278" s="126"/>
      <c r="EY278" s="126"/>
      <c r="EZ278" s="126"/>
      <c r="FA278" s="126"/>
      <c r="FB278" s="126"/>
      <c r="FC278" s="126"/>
      <c r="FD278" s="126"/>
      <c r="FE278" s="126"/>
      <c r="FF278" s="126"/>
      <c r="FG278" s="126"/>
      <c r="FH278" s="126"/>
      <c r="FI278" s="126"/>
    </row>
    <row r="279" spans="1:167" s="108" customFormat="1" x14ac:dyDescent="0.3">
      <c r="A279" s="78" t="s">
        <v>405</v>
      </c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  <c r="AA279" s="119"/>
      <c r="AB279" s="119"/>
      <c r="AC279" s="119"/>
      <c r="AD279" s="119"/>
      <c r="AE279" s="119"/>
      <c r="AF279" s="119"/>
      <c r="AG279" s="119"/>
      <c r="AH279" s="119"/>
      <c r="AI279" s="119"/>
      <c r="AJ279" s="119"/>
      <c r="AK279" s="119"/>
      <c r="AL279" s="119"/>
      <c r="AM279" s="119"/>
      <c r="AN279" s="119"/>
      <c r="AO279" s="119"/>
      <c r="AP279" s="119"/>
      <c r="AQ279" s="119"/>
      <c r="AR279" s="119"/>
      <c r="AS279" s="119"/>
      <c r="AT279" s="119"/>
      <c r="AU279" s="119"/>
      <c r="AV279" s="119"/>
      <c r="AW279" s="119"/>
      <c r="AX279" s="119"/>
      <c r="AY279" s="119"/>
      <c r="AZ279" s="119"/>
      <c r="BA279" s="119"/>
      <c r="BB279" s="119"/>
      <c r="BC279" s="119"/>
      <c r="BD279" s="119"/>
      <c r="BE279" s="119"/>
      <c r="BF279" s="119"/>
      <c r="BG279" s="119"/>
      <c r="BH279" s="119"/>
      <c r="BI279" s="119"/>
      <c r="BJ279" s="119"/>
      <c r="BK279" s="119"/>
      <c r="BL279" s="119"/>
      <c r="BM279" s="119"/>
      <c r="BN279" s="119"/>
      <c r="BO279" s="119"/>
      <c r="BP279" s="119"/>
      <c r="BQ279" s="119"/>
      <c r="BR279" s="119"/>
      <c r="BS279" s="119"/>
      <c r="BT279" s="119"/>
      <c r="BU279" s="119"/>
      <c r="BV279" s="119"/>
      <c r="BW279" s="119"/>
      <c r="BX279" s="119"/>
      <c r="BY279" s="119"/>
      <c r="BZ279" s="119"/>
      <c r="CA279" s="119"/>
      <c r="CB279" s="119"/>
      <c r="CC279" s="119"/>
      <c r="CD279" s="119"/>
      <c r="CE279" s="119"/>
      <c r="CF279" s="119"/>
      <c r="CG279" s="119"/>
      <c r="CH279" s="119"/>
      <c r="CI279" s="119"/>
      <c r="CJ279" s="119"/>
      <c r="CK279" s="119"/>
      <c r="CL279" s="119"/>
      <c r="CM279" s="119"/>
      <c r="CN279" s="119"/>
      <c r="CO279" s="119"/>
      <c r="CP279" s="119"/>
      <c r="CQ279" s="119"/>
      <c r="CR279" s="119"/>
      <c r="CS279" s="119"/>
      <c r="CT279" s="119"/>
      <c r="CU279" s="119"/>
      <c r="CV279" s="119"/>
      <c r="CW279" s="119"/>
      <c r="CX279" s="119"/>
      <c r="CY279" s="119"/>
      <c r="CZ279" s="119"/>
      <c r="DA279" s="119"/>
      <c r="DB279" s="119"/>
      <c r="DC279" s="119"/>
      <c r="DD279" s="119"/>
      <c r="DE279" s="119"/>
      <c r="DF279" s="119"/>
      <c r="DG279" s="119"/>
      <c r="DH279" s="119"/>
      <c r="DI279" s="119"/>
      <c r="DJ279" s="119"/>
      <c r="DK279" s="119"/>
      <c r="DL279" s="119"/>
      <c r="DM279" s="119"/>
      <c r="DN279" s="119"/>
      <c r="DO279" s="119"/>
      <c r="DP279" s="119"/>
      <c r="DQ279" s="119"/>
      <c r="DR279" s="119"/>
      <c r="DS279" s="119"/>
      <c r="DT279" s="119"/>
      <c r="DU279" s="119"/>
      <c r="DV279" s="119"/>
      <c r="DW279" s="119"/>
      <c r="DX279" s="119"/>
      <c r="DY279" s="1202"/>
      <c r="DZ279" s="119"/>
      <c r="EA279" s="119"/>
      <c r="EB279" s="119"/>
      <c r="EC279" s="119"/>
      <c r="ED279" s="1202"/>
      <c r="EE279" s="119"/>
      <c r="EF279" s="119"/>
      <c r="EG279" s="119"/>
      <c r="EH279" s="119"/>
      <c r="EI279" s="1202"/>
      <c r="EJ279" s="119"/>
      <c r="EK279" s="119"/>
      <c r="EL279" s="119"/>
      <c r="EM279" s="119"/>
      <c r="EN279" s="1202"/>
      <c r="EO279" s="119"/>
      <c r="EP279" s="119"/>
      <c r="EQ279" s="119"/>
      <c r="ER279" s="119"/>
      <c r="ES279" s="119"/>
      <c r="ET279" s="119"/>
      <c r="EU279" s="119"/>
      <c r="EV279" s="119"/>
      <c r="EW279" s="119"/>
      <c r="EX279" s="119"/>
      <c r="EY279" s="119"/>
      <c r="EZ279" s="119"/>
      <c r="FA279" s="119"/>
      <c r="FB279" s="119"/>
      <c r="FC279" s="119"/>
      <c r="FD279" s="119"/>
      <c r="FE279" s="119"/>
      <c r="FF279" s="119"/>
      <c r="FG279" s="119"/>
      <c r="FH279" s="119"/>
      <c r="FI279" s="119"/>
    </row>
    <row r="280" spans="1:167" s="108" customFormat="1" x14ac:dyDescent="0.3">
      <c r="A280" s="63" t="s">
        <v>406</v>
      </c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  <c r="AA280" s="119"/>
      <c r="AB280" s="119"/>
      <c r="AC280" s="119"/>
      <c r="AD280" s="119"/>
      <c r="AE280" s="119"/>
      <c r="AF280" s="119"/>
      <c r="AG280" s="119"/>
      <c r="AH280" s="119"/>
      <c r="AI280" s="119"/>
      <c r="AJ280" s="119"/>
      <c r="AK280" s="119"/>
      <c r="AL280" s="119"/>
      <c r="AM280" s="119"/>
      <c r="AN280" s="119"/>
      <c r="AO280" s="119"/>
      <c r="AP280" s="119"/>
      <c r="AQ280" s="119"/>
      <c r="AR280" s="119"/>
      <c r="AS280" s="119"/>
      <c r="AT280" s="119"/>
      <c r="AU280" s="119"/>
      <c r="AV280" s="119"/>
      <c r="AW280" s="119"/>
      <c r="AX280" s="119"/>
      <c r="AY280" s="119"/>
      <c r="AZ280" s="119"/>
      <c r="BA280" s="119"/>
      <c r="BB280" s="119"/>
      <c r="BC280" s="119"/>
      <c r="BD280" s="119"/>
      <c r="BE280" s="119"/>
      <c r="BF280" s="119"/>
      <c r="BG280" s="119"/>
      <c r="BH280" s="119"/>
      <c r="BI280" s="119"/>
      <c r="BJ280" s="119"/>
      <c r="BK280" s="119"/>
      <c r="BL280" s="119"/>
      <c r="BM280" s="119"/>
      <c r="BN280" s="119"/>
      <c r="BO280" s="119"/>
      <c r="BP280" s="119"/>
      <c r="BQ280" s="119"/>
      <c r="BR280" s="119"/>
      <c r="BS280" s="119"/>
      <c r="BT280" s="119"/>
      <c r="BU280" s="119"/>
      <c r="BV280" s="119"/>
      <c r="BW280" s="119"/>
      <c r="BX280" s="119"/>
      <c r="BY280" s="119"/>
      <c r="BZ280" s="119"/>
      <c r="CA280" s="119"/>
      <c r="CB280" s="119"/>
      <c r="CC280" s="119"/>
      <c r="CD280" s="119"/>
      <c r="CE280" s="119"/>
      <c r="CF280" s="119"/>
      <c r="CG280" s="119"/>
      <c r="CH280" s="119"/>
      <c r="CI280" s="119"/>
      <c r="CJ280" s="119"/>
      <c r="CK280" s="119"/>
      <c r="CL280" s="119"/>
      <c r="CM280" s="119"/>
      <c r="CN280" s="119"/>
      <c r="CO280" s="119"/>
      <c r="CP280" s="119"/>
      <c r="CQ280" s="119"/>
      <c r="CR280" s="119"/>
      <c r="CS280" s="119"/>
      <c r="CT280" s="119"/>
      <c r="CU280" s="119"/>
      <c r="CV280" s="119"/>
      <c r="CW280" s="119"/>
      <c r="CX280" s="119"/>
      <c r="CY280" s="119"/>
      <c r="CZ280" s="119"/>
      <c r="DA280" s="119"/>
      <c r="DB280" s="119"/>
      <c r="DC280" s="119"/>
      <c r="DD280" s="119"/>
      <c r="DE280" s="119"/>
      <c r="DF280" s="119"/>
      <c r="DG280" s="119"/>
      <c r="DH280" s="119"/>
      <c r="DI280" s="119"/>
      <c r="DJ280" s="119"/>
      <c r="DK280" s="119"/>
      <c r="DL280" s="119"/>
      <c r="DM280" s="119"/>
      <c r="DN280" s="119"/>
      <c r="DO280" s="119"/>
      <c r="DP280" s="119"/>
      <c r="DQ280" s="119"/>
      <c r="DR280" s="119"/>
      <c r="DS280" s="119"/>
      <c r="DT280" s="119"/>
      <c r="DU280" s="56"/>
      <c r="DV280" s="56"/>
      <c r="DW280" s="56"/>
      <c r="DX280" s="56"/>
      <c r="DY280" s="60"/>
      <c r="DZ280" s="56">
        <f>DZ283-DZ285</f>
        <v>740</v>
      </c>
      <c r="EA280" s="56">
        <f>+DZ283</f>
        <v>740</v>
      </c>
      <c r="EB280" s="56">
        <f>+EA283</f>
        <v>718</v>
      </c>
      <c r="EC280" s="56">
        <f>+EB283</f>
        <v>696</v>
      </c>
      <c r="ED280" s="60">
        <f>+DZ280</f>
        <v>740</v>
      </c>
      <c r="EE280" s="56">
        <f>+ED283</f>
        <v>677</v>
      </c>
      <c r="EF280" s="56">
        <f>+EE283</f>
        <v>657</v>
      </c>
      <c r="EG280" s="56">
        <f>+EF283</f>
        <v>636</v>
      </c>
      <c r="EH280" s="56">
        <f>+EG283</f>
        <v>617</v>
      </c>
      <c r="EI280" s="60">
        <f>+EE280</f>
        <v>677</v>
      </c>
      <c r="EJ280" s="56">
        <f>+EI283</f>
        <v>595</v>
      </c>
      <c r="EK280" s="56">
        <f>+EJ283</f>
        <v>577</v>
      </c>
      <c r="EL280" s="56">
        <f>+EK283</f>
        <v>558</v>
      </c>
      <c r="EM280" s="56">
        <f>+EL283</f>
        <v>535</v>
      </c>
      <c r="EN280" s="60">
        <f>+EJ280</f>
        <v>595</v>
      </c>
      <c r="EO280" s="56">
        <f>+EN283</f>
        <v>515</v>
      </c>
      <c r="EP280" s="56">
        <f>+EO283</f>
        <v>494</v>
      </c>
      <c r="EQ280" s="56">
        <f>+EP283</f>
        <v>477</v>
      </c>
      <c r="ER280" s="56">
        <f>+EQ283</f>
        <v>451</v>
      </c>
      <c r="ES280" s="60">
        <f>+EO280</f>
        <v>515</v>
      </c>
      <c r="ET280" s="56">
        <f>+ES283</f>
        <v>429</v>
      </c>
      <c r="EU280" s="56">
        <f>+ET283</f>
        <v>406</v>
      </c>
      <c r="EV280" s="56">
        <f>+EU283</f>
        <v>380</v>
      </c>
      <c r="EW280" s="56">
        <f>+EV283</f>
        <v>353</v>
      </c>
      <c r="EX280" s="60">
        <f>+ET280</f>
        <v>429</v>
      </c>
      <c r="EY280" s="56">
        <f t="shared" ref="EY280" si="1365">+EX283</f>
        <v>332</v>
      </c>
      <c r="EZ280" s="56">
        <f t="shared" ref="EZ280" si="1366">+EY283</f>
        <v>311.6088189023896</v>
      </c>
      <c r="FA280" s="56">
        <f t="shared" ref="FA280" si="1367">+EZ283</f>
        <v>288.70061790357192</v>
      </c>
      <c r="FB280" s="56">
        <f t="shared" ref="FB280" si="1368">+FA283</f>
        <v>265.43564775493547</v>
      </c>
      <c r="FC280" s="60">
        <f>+EY280</f>
        <v>332</v>
      </c>
      <c r="FD280" s="56">
        <f t="shared" ref="FD280:FI280" si="1369">+FC283</f>
        <v>247.14869251450148</v>
      </c>
      <c r="FE280" s="56">
        <f t="shared" si="1369"/>
        <v>185.16664131670007</v>
      </c>
      <c r="FF280" s="56">
        <f t="shared" si="1369"/>
        <v>171.71912109420526</v>
      </c>
      <c r="FG280" s="56">
        <f t="shared" si="1369"/>
        <v>168.33385255690732</v>
      </c>
      <c r="FH280" s="56">
        <f t="shared" si="1369"/>
        <v>164.3538919688412</v>
      </c>
      <c r="FI280" s="56">
        <f t="shared" si="1369"/>
        <v>160.50541284217982</v>
      </c>
      <c r="FJ280" s="1068">
        <f>+(FF280/ES280)^0.2-1</f>
        <v>-0.19720938712889313</v>
      </c>
    </row>
    <row r="281" spans="1:167" s="108" customFormat="1" x14ac:dyDescent="0.3">
      <c r="A281" s="63" t="s">
        <v>336</v>
      </c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  <c r="AA281" s="119"/>
      <c r="AB281" s="119"/>
      <c r="AC281" s="119"/>
      <c r="AD281" s="119"/>
      <c r="AE281" s="119"/>
      <c r="AF281" s="119"/>
      <c r="AG281" s="119"/>
      <c r="AH281" s="119"/>
      <c r="AI281" s="119"/>
      <c r="AJ281" s="119"/>
      <c r="AK281" s="119"/>
      <c r="AL281" s="119"/>
      <c r="AM281" s="119"/>
      <c r="AN281" s="119"/>
      <c r="AO281" s="119"/>
      <c r="AP281" s="119"/>
      <c r="AQ281" s="119"/>
      <c r="AR281" s="119"/>
      <c r="AS281" s="119"/>
      <c r="AT281" s="119"/>
      <c r="AU281" s="119"/>
      <c r="AV281" s="119"/>
      <c r="AW281" s="119"/>
      <c r="AX281" s="119"/>
      <c r="AY281" s="119"/>
      <c r="AZ281" s="119"/>
      <c r="BA281" s="119"/>
      <c r="BB281" s="119"/>
      <c r="BC281" s="119"/>
      <c r="BD281" s="119"/>
      <c r="BE281" s="119"/>
      <c r="BF281" s="119"/>
      <c r="BG281" s="119"/>
      <c r="BH281" s="119"/>
      <c r="BI281" s="119"/>
      <c r="BJ281" s="119"/>
      <c r="BK281" s="119"/>
      <c r="BL281" s="119"/>
      <c r="BM281" s="119"/>
      <c r="BN281" s="119"/>
      <c r="BO281" s="119"/>
      <c r="BP281" s="119"/>
      <c r="BQ281" s="119"/>
      <c r="BR281" s="119"/>
      <c r="BS281" s="119"/>
      <c r="BT281" s="119"/>
      <c r="BU281" s="119"/>
      <c r="BV281" s="119"/>
      <c r="BW281" s="119"/>
      <c r="BX281" s="119"/>
      <c r="BY281" s="119"/>
      <c r="BZ281" s="119"/>
      <c r="CA281" s="119"/>
      <c r="CB281" s="119"/>
      <c r="CC281" s="119"/>
      <c r="CD281" s="119"/>
      <c r="CE281" s="119"/>
      <c r="CF281" s="119"/>
      <c r="CG281" s="119"/>
      <c r="CH281" s="119"/>
      <c r="CI281" s="119"/>
      <c r="CJ281" s="119"/>
      <c r="CK281" s="119"/>
      <c r="CL281" s="119"/>
      <c r="CM281" s="119"/>
      <c r="CN281" s="119"/>
      <c r="CO281" s="119"/>
      <c r="CP281" s="119"/>
      <c r="CQ281" s="119"/>
      <c r="CR281" s="119"/>
      <c r="CS281" s="119"/>
      <c r="CT281" s="119"/>
      <c r="CU281" s="119"/>
      <c r="CV281" s="119"/>
      <c r="CW281" s="119"/>
      <c r="CX281" s="119"/>
      <c r="CY281" s="119"/>
      <c r="CZ281" s="119"/>
      <c r="DA281" s="119"/>
      <c r="DB281" s="119"/>
      <c r="DC281" s="119"/>
      <c r="DD281" s="119"/>
      <c r="DE281" s="119"/>
      <c r="DF281" s="119"/>
      <c r="DG281" s="119"/>
      <c r="DH281" s="119"/>
      <c r="DI281" s="119"/>
      <c r="DJ281" s="119"/>
      <c r="DK281" s="119"/>
      <c r="DL281" s="119"/>
      <c r="DM281" s="119"/>
      <c r="DN281" s="119"/>
      <c r="DO281" s="119"/>
      <c r="DP281" s="119"/>
      <c r="DQ281" s="119"/>
      <c r="DR281" s="119"/>
      <c r="DS281" s="119"/>
      <c r="DT281" s="119"/>
      <c r="DU281" s="56"/>
      <c r="DV281" s="56"/>
      <c r="DW281" s="56"/>
      <c r="DX281" s="56"/>
      <c r="DY281" s="60"/>
      <c r="DZ281" s="56">
        <f>+DZ283-DZ282-DZ280</f>
        <v>77.933999999999969</v>
      </c>
      <c r="EA281" s="56">
        <f t="shared" ref="EA281:EC281" si="1370">+EA283-EA282-EA280</f>
        <v>48.741499999999974</v>
      </c>
      <c r="EB281" s="56">
        <f t="shared" si="1370"/>
        <v>63.407299999999964</v>
      </c>
      <c r="EC281" s="56">
        <f t="shared" si="1370"/>
        <v>58.677800000000047</v>
      </c>
      <c r="ED281" s="60">
        <f>+SUM(DZ281:EC281)</f>
        <v>248.76059999999995</v>
      </c>
      <c r="EE281" s="56">
        <f>+EE283-EE282-EE280</f>
        <v>50.212600000000066</v>
      </c>
      <c r="EF281" s="56">
        <f>+EF283-EF282-EF280</f>
        <v>56.168099999999981</v>
      </c>
      <c r="EG281" s="56">
        <f>+EG283-EG282-EG280</f>
        <v>61.703300000000013</v>
      </c>
      <c r="EH281" s="56">
        <f>+EH283-EH282-EH280</f>
        <v>47.940699999999993</v>
      </c>
      <c r="EI281" s="60">
        <f>+SUM(EE281:EH281)</f>
        <v>216.02470000000005</v>
      </c>
      <c r="EJ281" s="56">
        <f>+EJ283-EJ282-EJ280</f>
        <v>49.541900000000055</v>
      </c>
      <c r="EK281" s="56">
        <f>+EK283-EK282-EK280</f>
        <v>62.969500000000039</v>
      </c>
      <c r="EL281" s="56">
        <f>+EL283-EL282-EL280</f>
        <v>65.317400000000021</v>
      </c>
      <c r="EM281" s="56">
        <f>+EM283-EM282-EM280</f>
        <v>56.895800000000008</v>
      </c>
      <c r="EN281" s="60">
        <f>+SUM(EJ281:EM281)</f>
        <v>234.72460000000012</v>
      </c>
      <c r="EO281" s="56">
        <f>+EO283-EO282-EO280</f>
        <v>56.899800000000027</v>
      </c>
      <c r="EP281" s="56">
        <f>+EP283-EP282-EP280</f>
        <v>65.643599999999992</v>
      </c>
      <c r="EQ281" s="56">
        <f>+EQ283-EQ282-EQ280</f>
        <v>68.785799999999995</v>
      </c>
      <c r="ER281" s="56">
        <f>+ER283-ER282-ER280</f>
        <v>61.216200000000072</v>
      </c>
      <c r="ES281" s="60">
        <f>+SUM(EO281:ER281)</f>
        <v>252.54540000000009</v>
      </c>
      <c r="ET281" s="56">
        <f>+ET283-ET282-ET280</f>
        <v>62.395100000000014</v>
      </c>
      <c r="EU281" s="56">
        <f>+EU283-EU282-EU280</f>
        <v>81.707400000000007</v>
      </c>
      <c r="EV281" s="56">
        <f>+EV283-EV282-EV280</f>
        <v>91.052900000000022</v>
      </c>
      <c r="EW281" s="56">
        <f>+EW283-EW282-EW280</f>
        <v>87.321199999999976</v>
      </c>
      <c r="EX281" s="60">
        <f>+SUM(ET281:EW281)</f>
        <v>322.47660000000002</v>
      </c>
      <c r="EY281" s="56">
        <f t="shared" ref="EY281:FB281" si="1371">+EY286*EY107</f>
        <v>45.695469718240417</v>
      </c>
      <c r="EZ281" s="56">
        <f t="shared" si="1371"/>
        <v>59.758241614599193</v>
      </c>
      <c r="FA281" s="56">
        <f t="shared" si="1371"/>
        <v>66.424359260070304</v>
      </c>
      <c r="FB281" s="56">
        <f t="shared" si="1371"/>
        <v>63.164341891554457</v>
      </c>
      <c r="FC281" s="60">
        <f>+SUM(EY281:FB281)</f>
        <v>235.04241248446436</v>
      </c>
      <c r="FD281" s="56">
        <f t="shared" ref="FD281:FI281" si="1372">+FD286*FD107</f>
        <v>202.05180927313819</v>
      </c>
      <c r="FE281" s="56">
        <f t="shared" si="1372"/>
        <v>184.36968301606763</v>
      </c>
      <c r="FF281" s="56">
        <f t="shared" si="1372"/>
        <v>180.06568156845452</v>
      </c>
      <c r="FG281" s="56">
        <f t="shared" si="1372"/>
        <v>175.85443985464843</v>
      </c>
      <c r="FH281" s="56">
        <f t="shared" si="1372"/>
        <v>171.73405031524808</v>
      </c>
      <c r="FI281" s="56">
        <f t="shared" si="1372"/>
        <v>167.7026434409257</v>
      </c>
      <c r="FJ281" s="1068">
        <f>+(FF281/ES281)^0.2-1</f>
        <v>-6.5416095359482562E-2</v>
      </c>
    </row>
    <row r="282" spans="1:167" s="108" customFormat="1" x14ac:dyDescent="0.3">
      <c r="A282" s="63" t="s">
        <v>337</v>
      </c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  <c r="AA282" s="119"/>
      <c r="AB282" s="119"/>
      <c r="AC282" s="119"/>
      <c r="AD282" s="119"/>
      <c r="AE282" s="119"/>
      <c r="AF282" s="119"/>
      <c r="AG282" s="119"/>
      <c r="AH282" s="119"/>
      <c r="AI282" s="119"/>
      <c r="AJ282" s="119"/>
      <c r="AK282" s="119"/>
      <c r="AL282" s="119"/>
      <c r="AM282" s="119"/>
      <c r="AN282" s="119"/>
      <c r="AO282" s="119"/>
      <c r="AP282" s="119"/>
      <c r="AQ282" s="119"/>
      <c r="AR282" s="119"/>
      <c r="AS282" s="119"/>
      <c r="AT282" s="119"/>
      <c r="AU282" s="119"/>
      <c r="AV282" s="119"/>
      <c r="AW282" s="119"/>
      <c r="AX282" s="119"/>
      <c r="AY282" s="119"/>
      <c r="AZ282" s="119"/>
      <c r="BA282" s="119"/>
      <c r="BB282" s="119"/>
      <c r="BC282" s="119"/>
      <c r="BD282" s="119"/>
      <c r="BE282" s="119"/>
      <c r="BF282" s="119"/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  <c r="BS282" s="119"/>
      <c r="BT282" s="119"/>
      <c r="BU282" s="119"/>
      <c r="BV282" s="119"/>
      <c r="BW282" s="119"/>
      <c r="BX282" s="119"/>
      <c r="BY282" s="119"/>
      <c r="BZ282" s="119"/>
      <c r="CA282" s="119"/>
      <c r="CB282" s="119"/>
      <c r="CC282" s="119"/>
      <c r="CD282" s="119"/>
      <c r="CE282" s="119"/>
      <c r="CF282" s="119"/>
      <c r="CG282" s="119"/>
      <c r="CH282" s="119"/>
      <c r="CI282" s="119"/>
      <c r="CJ282" s="119"/>
      <c r="CK282" s="119"/>
      <c r="CL282" s="119"/>
      <c r="CM282" s="119"/>
      <c r="CN282" s="119"/>
      <c r="CO282" s="119"/>
      <c r="CP282" s="119"/>
      <c r="CQ282" s="119"/>
      <c r="CR282" s="119"/>
      <c r="CS282" s="119"/>
      <c r="CT282" s="119"/>
      <c r="CU282" s="119"/>
      <c r="CV282" s="119"/>
      <c r="CW282" s="119"/>
      <c r="CX282" s="119"/>
      <c r="CY282" s="119"/>
      <c r="CZ282" s="119"/>
      <c r="DA282" s="119"/>
      <c r="DB282" s="119"/>
      <c r="DC282" s="119"/>
      <c r="DD282" s="119"/>
      <c r="DE282" s="119"/>
      <c r="DF282" s="119"/>
      <c r="DG282" s="119"/>
      <c r="DH282" s="119"/>
      <c r="DI282" s="119"/>
      <c r="DJ282" s="119"/>
      <c r="DK282" s="119"/>
      <c r="DL282" s="119"/>
      <c r="DM282" s="119"/>
      <c r="DN282" s="119"/>
      <c r="DO282" s="119"/>
      <c r="DP282" s="119"/>
      <c r="DQ282" s="119"/>
      <c r="DR282" s="119"/>
      <c r="DS282" s="119"/>
      <c r="DT282" s="119"/>
      <c r="DU282" s="56"/>
      <c r="DV282" s="56"/>
      <c r="DW282" s="56"/>
      <c r="DX282" s="56"/>
      <c r="DY282" s="60"/>
      <c r="DZ282" s="56">
        <f>DZ430-DZ259-DZ270</f>
        <v>-77.934000000000012</v>
      </c>
      <c r="EA282" s="56">
        <f>EA430-EA259-EA270</f>
        <v>-70.741500000000002</v>
      </c>
      <c r="EB282" s="56">
        <f>EB430-EB259-EB270</f>
        <v>-85.407299999999992</v>
      </c>
      <c r="EC282" s="56">
        <f>EC430-EC259-EC270</f>
        <v>-77.677800000000019</v>
      </c>
      <c r="ED282" s="60">
        <f>+SUM(DZ282:EC282)</f>
        <v>-311.76060000000001</v>
      </c>
      <c r="EE282" s="56">
        <f>EE430-EE259-EE270</f>
        <v>-70.212600000000009</v>
      </c>
      <c r="EF282" s="56">
        <f>EF430-EF259-EF270</f>
        <v>-77.168099999999995</v>
      </c>
      <c r="EG282" s="56">
        <f>EG430-EG259-EG270</f>
        <v>-80.703300000000027</v>
      </c>
      <c r="EH282" s="56">
        <f>EH430-EH259-EH270</f>
        <v>-69.940700000000021</v>
      </c>
      <c r="EI282" s="60">
        <f>+SUM(EE282:EH282)</f>
        <v>-298.02470000000005</v>
      </c>
      <c r="EJ282" s="56">
        <f>EJ430-EJ259-EJ270</f>
        <v>-67.541900000000012</v>
      </c>
      <c r="EK282" s="56">
        <f>EK430-EK259-EK270</f>
        <v>-81.969499999999996</v>
      </c>
      <c r="EL282" s="56">
        <f>EL430-EL259-EL270</f>
        <v>-88.317400000000021</v>
      </c>
      <c r="EM282" s="56">
        <f>EM430-EM259-EM270</f>
        <v>-76.895800000000008</v>
      </c>
      <c r="EN282" s="60">
        <f>+SUM(EJ282:EM282)</f>
        <v>-314.72460000000001</v>
      </c>
      <c r="EO282" s="56">
        <f>EO430-EO259-EO270</f>
        <v>-77.899800000000027</v>
      </c>
      <c r="EP282" s="56">
        <f>EP430-EP259-EP270</f>
        <v>-82.643599999999978</v>
      </c>
      <c r="EQ282" s="56">
        <f>EQ430-EQ259-EQ270</f>
        <v>-94.785800000000037</v>
      </c>
      <c r="ER282" s="56">
        <f>ER430-ER259-ER270</f>
        <v>-83.216200000000015</v>
      </c>
      <c r="ES282" s="60">
        <f>+SUM(EO282:ER282)</f>
        <v>-338.54540000000009</v>
      </c>
      <c r="ET282" s="56">
        <f>ET430-ET259-ET270</f>
        <v>-85.395099999999999</v>
      </c>
      <c r="EU282" s="56">
        <f>EU430-EU259-EU270</f>
        <v>-107.70740000000001</v>
      </c>
      <c r="EV282" s="56">
        <f>EV430-EV259-EV270</f>
        <v>-118.05290000000001</v>
      </c>
      <c r="EW282" s="56">
        <f>EW430-EW259-EW270</f>
        <v>-108.3212</v>
      </c>
      <c r="EX282" s="60">
        <f>+SUM(ET282:EW282)</f>
        <v>-419.47660000000008</v>
      </c>
      <c r="EY282" s="56">
        <f t="shared" ref="EY282:FB282" si="1373">+EY280*EY287*-3</f>
        <v>-66.086650815850817</v>
      </c>
      <c r="EZ282" s="56">
        <f t="shared" si="1373"/>
        <v>-82.666442613416848</v>
      </c>
      <c r="FA282" s="56">
        <f t="shared" si="1373"/>
        <v>-89.689329408706797</v>
      </c>
      <c r="FB282" s="56">
        <f t="shared" si="1373"/>
        <v>-81.45129713198844</v>
      </c>
      <c r="FC282" s="60">
        <f>+SUM(EY282:FB282)</f>
        <v>-319.89371996996289</v>
      </c>
      <c r="FD282" s="56">
        <f t="shared" ref="FD282:FI282" si="1374">+FD280*FD287*-12</f>
        <v>-264.0338604709396</v>
      </c>
      <c r="FE282" s="56">
        <f t="shared" si="1374"/>
        <v>-197.8172032385624</v>
      </c>
      <c r="FF282" s="56">
        <f t="shared" si="1374"/>
        <v>-183.45095010575247</v>
      </c>
      <c r="FG282" s="56">
        <f t="shared" si="1374"/>
        <v>-179.83440044271453</v>
      </c>
      <c r="FH282" s="56">
        <f t="shared" si="1374"/>
        <v>-175.58252944190949</v>
      </c>
      <c r="FI282" s="56">
        <f t="shared" si="1374"/>
        <v>-171.47112269961158</v>
      </c>
      <c r="FJ282" s="1068">
        <f>+(FF282/ES282)^0.2-1</f>
        <v>-0.11533140666947628</v>
      </c>
    </row>
    <row r="283" spans="1:167" s="108" customFormat="1" x14ac:dyDescent="0.3">
      <c r="A283" s="64" t="s">
        <v>407</v>
      </c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  <c r="AA283" s="119"/>
      <c r="AB283" s="119"/>
      <c r="AC283" s="119"/>
      <c r="AD283" s="119"/>
      <c r="AE283" s="119"/>
      <c r="AF283" s="119"/>
      <c r="AG283" s="119"/>
      <c r="AH283" s="119"/>
      <c r="AI283" s="119"/>
      <c r="AJ283" s="119"/>
      <c r="AK283" s="119"/>
      <c r="AL283" s="119"/>
      <c r="AM283" s="119"/>
      <c r="AN283" s="119"/>
      <c r="AO283" s="119"/>
      <c r="AP283" s="119"/>
      <c r="AQ283" s="119"/>
      <c r="AR283" s="119"/>
      <c r="AS283" s="119"/>
      <c r="AT283" s="119"/>
      <c r="AU283" s="119"/>
      <c r="AV283" s="119"/>
      <c r="AW283" s="119"/>
      <c r="AX283" s="119"/>
      <c r="AY283" s="119"/>
      <c r="AZ283" s="119"/>
      <c r="BA283" s="119"/>
      <c r="BB283" s="119"/>
      <c r="BC283" s="119"/>
      <c r="BD283" s="119"/>
      <c r="BE283" s="119"/>
      <c r="BF283" s="119"/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  <c r="BS283" s="119"/>
      <c r="BT283" s="119"/>
      <c r="BU283" s="119"/>
      <c r="BV283" s="119"/>
      <c r="BW283" s="119"/>
      <c r="BX283" s="119"/>
      <c r="BY283" s="119"/>
      <c r="BZ283" s="119"/>
      <c r="CA283" s="119"/>
      <c r="CB283" s="119"/>
      <c r="CC283" s="119"/>
      <c r="CD283" s="119"/>
      <c r="CE283" s="119"/>
      <c r="CF283" s="119"/>
      <c r="CG283" s="119"/>
      <c r="CH283" s="119"/>
      <c r="CI283" s="119"/>
      <c r="CJ283" s="119"/>
      <c r="CK283" s="119"/>
      <c r="CL283" s="119"/>
      <c r="CM283" s="119"/>
      <c r="CN283" s="119"/>
      <c r="CO283" s="119"/>
      <c r="CP283" s="119"/>
      <c r="CQ283" s="119"/>
      <c r="CR283" s="119"/>
      <c r="CS283" s="119"/>
      <c r="CT283" s="119"/>
      <c r="CU283" s="119"/>
      <c r="CV283" s="119"/>
      <c r="CW283" s="119"/>
      <c r="CX283" s="119"/>
      <c r="CY283" s="119"/>
      <c r="CZ283" s="119"/>
      <c r="DA283" s="119"/>
      <c r="DB283" s="119"/>
      <c r="DC283" s="119"/>
      <c r="DD283" s="119"/>
      <c r="DE283" s="119"/>
      <c r="DF283" s="119"/>
      <c r="DG283" s="119"/>
      <c r="DH283" s="119"/>
      <c r="DI283" s="119"/>
      <c r="DJ283" s="119"/>
      <c r="DK283" s="119"/>
      <c r="DL283" s="119"/>
      <c r="DM283" s="119"/>
      <c r="DN283" s="119"/>
      <c r="DO283" s="119"/>
      <c r="DP283" s="119"/>
      <c r="DQ283" s="119"/>
      <c r="DR283" s="119"/>
      <c r="DS283" s="119"/>
      <c r="DT283" s="119"/>
      <c r="DU283" s="1798"/>
      <c r="DV283" s="1798"/>
      <c r="DW283" s="1798"/>
      <c r="DX283" s="1798"/>
      <c r="DY283" s="1797"/>
      <c r="DZ283" s="1798">
        <f>Inputs!DZ357-Drivers!DZ115-Drivers!DZ260</f>
        <v>740</v>
      </c>
      <c r="EA283" s="1798">
        <f>Inputs!EA357-Drivers!EA115-Drivers!EA260</f>
        <v>718</v>
      </c>
      <c r="EB283" s="1798">
        <f>Inputs!EB357-Drivers!EB115-Drivers!EB260</f>
        <v>696</v>
      </c>
      <c r="EC283" s="1798">
        <f>Inputs!EC357-Drivers!EC115-Drivers!EC260</f>
        <v>677</v>
      </c>
      <c r="ED283" s="1797">
        <f>+EC283</f>
        <v>677</v>
      </c>
      <c r="EE283" s="1798">
        <f>Inputs!EE357-Drivers!EE115-Drivers!EE260</f>
        <v>657</v>
      </c>
      <c r="EF283" s="1798">
        <f>Inputs!EF357-Drivers!EF115-Drivers!EF260</f>
        <v>636</v>
      </c>
      <c r="EG283" s="1798">
        <f>Inputs!EG357-Drivers!EG115-Drivers!EG260</f>
        <v>617</v>
      </c>
      <c r="EH283" s="1798">
        <f>Inputs!EH357-Drivers!EH115-Drivers!EH260</f>
        <v>595</v>
      </c>
      <c r="EI283" s="1797">
        <f>+EH283</f>
        <v>595</v>
      </c>
      <c r="EJ283" s="1798">
        <f>Inputs!EJ357-Drivers!EJ115-Drivers!EJ260</f>
        <v>577</v>
      </c>
      <c r="EK283" s="1798">
        <f>Inputs!EK357-Drivers!EK115-Drivers!EK260</f>
        <v>558</v>
      </c>
      <c r="EL283" s="1798">
        <f>Inputs!EL357-Drivers!EL115-Drivers!EL260</f>
        <v>535</v>
      </c>
      <c r="EM283" s="1798">
        <f>Inputs!EM357-Drivers!EM115-Drivers!EM260</f>
        <v>515</v>
      </c>
      <c r="EN283" s="1797">
        <f>+EM283</f>
        <v>515</v>
      </c>
      <c r="EO283" s="1798">
        <f>Inputs!EO357-Drivers!EO115-Drivers!EO260</f>
        <v>494</v>
      </c>
      <c r="EP283" s="1798">
        <f>Inputs!EP357-Drivers!EP115-Drivers!EP260</f>
        <v>477</v>
      </c>
      <c r="EQ283" s="1798">
        <f>Inputs!EQ357-Drivers!EQ115-Drivers!EQ260</f>
        <v>451</v>
      </c>
      <c r="ER283" s="1798">
        <f>Inputs!ER357-Drivers!ER115-Drivers!ER260</f>
        <v>429</v>
      </c>
      <c r="ES283" s="1797">
        <f>+ER283</f>
        <v>429</v>
      </c>
      <c r="ET283" s="1798">
        <f>Inputs!ET357-Drivers!ET115-Drivers!ET260</f>
        <v>406</v>
      </c>
      <c r="EU283" s="1798">
        <f>Inputs!EU357-Drivers!EU115-Drivers!EU260</f>
        <v>380</v>
      </c>
      <c r="EV283" s="1798">
        <f>Inputs!EV357-Drivers!EV115-Drivers!EV260</f>
        <v>353</v>
      </c>
      <c r="EW283" s="1798">
        <f>Inputs!EW357-Drivers!EW115-Drivers!EW260</f>
        <v>332</v>
      </c>
      <c r="EX283" s="1797">
        <f>+EW283</f>
        <v>332</v>
      </c>
      <c r="EY283" s="1795">
        <f t="shared" ref="EY283:FB283" si="1375">+EY280+EY281+EY282</f>
        <v>311.6088189023896</v>
      </c>
      <c r="EZ283" s="1795">
        <f t="shared" si="1375"/>
        <v>288.70061790357192</v>
      </c>
      <c r="FA283" s="1795">
        <f t="shared" si="1375"/>
        <v>265.43564775493547</v>
      </c>
      <c r="FB283" s="1795">
        <f t="shared" si="1375"/>
        <v>247.14869251450148</v>
      </c>
      <c r="FC283" s="1797">
        <f>+FB283</f>
        <v>247.14869251450148</v>
      </c>
      <c r="FD283" s="1795">
        <f t="shared" ref="FD283:FH283" si="1376">+FD280+FD281+FD282</f>
        <v>185.16664131670007</v>
      </c>
      <c r="FE283" s="1795">
        <f t="shared" si="1376"/>
        <v>171.71912109420526</v>
      </c>
      <c r="FF283" s="1795">
        <f t="shared" si="1376"/>
        <v>168.33385255690732</v>
      </c>
      <c r="FG283" s="1795">
        <f t="shared" si="1376"/>
        <v>164.3538919688412</v>
      </c>
      <c r="FH283" s="1795">
        <f t="shared" si="1376"/>
        <v>160.50541284217982</v>
      </c>
      <c r="FI283" s="1795">
        <f>+FI280+FI281+FI282</f>
        <v>156.73693358349394</v>
      </c>
      <c r="FJ283" s="1068">
        <f>+(FF283/ES283)^0.2-1</f>
        <v>-0.17064048003220877</v>
      </c>
    </row>
    <row r="284" spans="1:167" s="108" customFormat="1" x14ac:dyDescent="0.3">
      <c r="A284" s="61" t="s">
        <v>339</v>
      </c>
      <c r="DY284" s="538"/>
      <c r="DZ284" s="122"/>
      <c r="EA284" s="122"/>
      <c r="EB284" s="122"/>
      <c r="EC284" s="122"/>
      <c r="ED284" s="123"/>
      <c r="EE284" s="122">
        <f t="shared" ref="EE284:EW284" si="1377">+EE283/DZ283-1</f>
        <v>-0.11216216216216213</v>
      </c>
      <c r="EF284" s="122">
        <f t="shared" si="1377"/>
        <v>-0.11420612813370479</v>
      </c>
      <c r="EG284" s="122">
        <f t="shared" si="1377"/>
        <v>-0.1135057471264368</v>
      </c>
      <c r="EH284" s="122">
        <f t="shared" si="1377"/>
        <v>-0.12112259970457906</v>
      </c>
      <c r="EI284" s="123">
        <f t="shared" si="1377"/>
        <v>-0.12112259970457906</v>
      </c>
      <c r="EJ284" s="122">
        <f t="shared" si="1377"/>
        <v>-0.12176560121765601</v>
      </c>
      <c r="EK284" s="122">
        <f t="shared" si="1377"/>
        <v>-0.12264150943396224</v>
      </c>
      <c r="EL284" s="122">
        <f t="shared" si="1377"/>
        <v>-0.13290113452188002</v>
      </c>
      <c r="EM284" s="122">
        <f t="shared" si="1377"/>
        <v>-0.13445378151260501</v>
      </c>
      <c r="EN284" s="123">
        <f t="shared" si="1377"/>
        <v>-0.13445378151260501</v>
      </c>
      <c r="EO284" s="122">
        <f t="shared" si="1377"/>
        <v>-0.14384748700173311</v>
      </c>
      <c r="EP284" s="122">
        <f t="shared" si="1377"/>
        <v>-0.14516129032258063</v>
      </c>
      <c r="EQ284" s="122">
        <f t="shared" si="1377"/>
        <v>-0.15700934579439252</v>
      </c>
      <c r="ER284" s="122">
        <f t="shared" si="1377"/>
        <v>-0.16699029126213594</v>
      </c>
      <c r="ES284" s="123">
        <f t="shared" ref="ES284" si="1378">+ES283/EN283-1</f>
        <v>-0.16699029126213594</v>
      </c>
      <c r="ET284" s="122">
        <f t="shared" si="1377"/>
        <v>-0.17813765182186236</v>
      </c>
      <c r="EU284" s="122">
        <f t="shared" si="1377"/>
        <v>-0.20335429769392033</v>
      </c>
      <c r="EV284" s="122">
        <f t="shared" si="1377"/>
        <v>-0.21729490022172948</v>
      </c>
      <c r="EW284" s="122">
        <f t="shared" si="1377"/>
        <v>-0.22610722610722611</v>
      </c>
      <c r="EX284" s="123">
        <f t="shared" ref="EX284" si="1379">+EX283/ES283-1</f>
        <v>-0.22610722610722611</v>
      </c>
      <c r="EY284" s="122">
        <f t="shared" ref="EY284" si="1380">+EY283/ET283-1</f>
        <v>-0.23249059383647885</v>
      </c>
      <c r="EZ284" s="122">
        <f t="shared" ref="EZ284" si="1381">+EZ283/EU283-1</f>
        <v>-0.24026153183270549</v>
      </c>
      <c r="FA284" s="122">
        <f t="shared" ref="FA284" si="1382">+FA283/EV283-1</f>
        <v>-0.24805765508516864</v>
      </c>
      <c r="FB284" s="122">
        <f t="shared" ref="FB284:FC284" si="1383">+FB283/EW283-1</f>
        <v>-0.25557622736595942</v>
      </c>
      <c r="FC284" s="123">
        <f t="shared" si="1383"/>
        <v>-0.25557622736595942</v>
      </c>
      <c r="FD284" s="122">
        <f t="shared" ref="FD284:FI284" si="1384">+FD283/FC283-1</f>
        <v>-0.25078850536166442</v>
      </c>
      <c r="FE284" s="122">
        <f t="shared" si="1384"/>
        <v>-7.2623881531095114E-2</v>
      </c>
      <c r="FF284" s="122">
        <f t="shared" si="1384"/>
        <v>-1.9713987095477781E-2</v>
      </c>
      <c r="FG284" s="122">
        <f t="shared" si="1384"/>
        <v>-2.3643257298591513E-2</v>
      </c>
      <c r="FH284" s="122">
        <f t="shared" si="1384"/>
        <v>-2.341580768522955E-2</v>
      </c>
      <c r="FI284" s="122">
        <f t="shared" si="1384"/>
        <v>-2.3478829728884709E-2</v>
      </c>
    </row>
    <row r="285" spans="1:167" s="108" customFormat="1" x14ac:dyDescent="0.3">
      <c r="A285" s="65" t="s">
        <v>340</v>
      </c>
      <c r="DU285" s="455"/>
      <c r="DV285" s="124"/>
      <c r="DW285" s="124"/>
      <c r="DX285" s="124"/>
      <c r="DY285" s="125"/>
      <c r="DZ285" s="1105"/>
      <c r="EA285" s="124">
        <f t="shared" ref="EA285:EW285" si="1385">+EA283-DZ283</f>
        <v>-22</v>
      </c>
      <c r="EB285" s="124">
        <f t="shared" si="1385"/>
        <v>-22</v>
      </c>
      <c r="EC285" s="124">
        <f t="shared" si="1385"/>
        <v>-19</v>
      </c>
      <c r="ED285" s="125">
        <f>+SUM(DZ285:EC285)</f>
        <v>-63</v>
      </c>
      <c r="EE285" s="124">
        <f t="shared" si="1385"/>
        <v>-20</v>
      </c>
      <c r="EF285" s="124">
        <f t="shared" si="1385"/>
        <v>-21</v>
      </c>
      <c r="EG285" s="124">
        <f t="shared" si="1385"/>
        <v>-19</v>
      </c>
      <c r="EH285" s="124">
        <f t="shared" si="1385"/>
        <v>-22</v>
      </c>
      <c r="EI285" s="125">
        <f>+SUM(EE285:EH285)</f>
        <v>-82</v>
      </c>
      <c r="EJ285" s="124">
        <f t="shared" si="1385"/>
        <v>-18</v>
      </c>
      <c r="EK285" s="124">
        <f t="shared" si="1385"/>
        <v>-19</v>
      </c>
      <c r="EL285" s="124">
        <f t="shared" si="1385"/>
        <v>-23</v>
      </c>
      <c r="EM285" s="124">
        <f t="shared" si="1385"/>
        <v>-20</v>
      </c>
      <c r="EN285" s="125">
        <f>+SUM(EJ285:EM285)</f>
        <v>-80</v>
      </c>
      <c r="EO285" s="124">
        <f t="shared" si="1385"/>
        <v>-21</v>
      </c>
      <c r="EP285" s="124">
        <f t="shared" si="1385"/>
        <v>-17</v>
      </c>
      <c r="EQ285" s="124">
        <f t="shared" si="1385"/>
        <v>-26</v>
      </c>
      <c r="ER285" s="124">
        <f t="shared" si="1385"/>
        <v>-22</v>
      </c>
      <c r="ES285" s="125">
        <f>+SUM(EO285:ER285)</f>
        <v>-86</v>
      </c>
      <c r="ET285" s="124">
        <f t="shared" si="1385"/>
        <v>-23</v>
      </c>
      <c r="EU285" s="124">
        <f t="shared" si="1385"/>
        <v>-26</v>
      </c>
      <c r="EV285" s="124">
        <f t="shared" si="1385"/>
        <v>-27</v>
      </c>
      <c r="EW285" s="124">
        <f t="shared" si="1385"/>
        <v>-21</v>
      </c>
      <c r="EX285" s="125">
        <f>+SUM(ET285:EW285)</f>
        <v>-97</v>
      </c>
      <c r="EY285" s="124">
        <f>+EY283-EX283</f>
        <v>-20.391181097610399</v>
      </c>
      <c r="EZ285" s="124">
        <f t="shared" ref="EZ285" si="1386">+EZ283-EY283</f>
        <v>-22.908200998817676</v>
      </c>
      <c r="FA285" s="124">
        <f t="shared" ref="FA285" si="1387">+FA283-EZ283</f>
        <v>-23.264970148636451</v>
      </c>
      <c r="FB285" s="124">
        <f t="shared" ref="FB285" si="1388">+FB283-FA283</f>
        <v>-18.286955240433997</v>
      </c>
      <c r="FC285" s="125">
        <f>+SUM(EY285:FB285)</f>
        <v>-84.851307485498523</v>
      </c>
      <c r="FD285" s="124">
        <f t="shared" ref="FD285:FI285" si="1389">+FD283-FC283</f>
        <v>-61.982051197801411</v>
      </c>
      <c r="FE285" s="124">
        <f t="shared" si="1389"/>
        <v>-13.447520222494802</v>
      </c>
      <c r="FF285" s="124">
        <f t="shared" si="1389"/>
        <v>-3.3852685372979465</v>
      </c>
      <c r="FG285" s="124">
        <f t="shared" si="1389"/>
        <v>-3.9799605880661204</v>
      </c>
      <c r="FH285" s="124">
        <f t="shared" si="1389"/>
        <v>-3.848479126661374</v>
      </c>
      <c r="FI285" s="124">
        <f t="shared" si="1389"/>
        <v>-3.7684792586858862</v>
      </c>
      <c r="FK285" s="1069" t="s">
        <v>346</v>
      </c>
    </row>
    <row r="286" spans="1:167" s="108" customFormat="1" x14ac:dyDescent="0.3">
      <c r="A286" s="65" t="s">
        <v>341</v>
      </c>
      <c r="DU286" s="122"/>
      <c r="DV286" s="122"/>
      <c r="DW286" s="122"/>
      <c r="DX286" s="122"/>
      <c r="DY286" s="123"/>
      <c r="DZ286" s="122">
        <f t="shared" ref="DZ286:EH286" si="1390">+DZ281/DZ107</f>
        <v>6.5094174149091643E-3</v>
      </c>
      <c r="EA286" s="122">
        <f t="shared" si="1390"/>
        <v>4.0740137077900345E-3</v>
      </c>
      <c r="EB286" s="122">
        <f t="shared" si="1390"/>
        <v>5.3036092175149478E-3</v>
      </c>
      <c r="EC286" s="122">
        <f t="shared" si="1390"/>
        <v>4.9222212901602258E-3</v>
      </c>
      <c r="ED286" s="123">
        <f t="shared" si="1390"/>
        <v>2.0811126681028167E-2</v>
      </c>
      <c r="EE286" s="122">
        <f t="shared" si="1390"/>
        <v>4.2412872708843712E-3</v>
      </c>
      <c r="EF286" s="122">
        <f t="shared" si="1390"/>
        <v>4.7768082663605035E-3</v>
      </c>
      <c r="EG286" s="122">
        <f t="shared" si="1390"/>
        <v>5.3021095596133203E-3</v>
      </c>
      <c r="EH286" s="122">
        <f t="shared" si="1390"/>
        <v>4.1873264040527547E-3</v>
      </c>
      <c r="EI286" s="123">
        <f>+EI281/AVERAGE(EE94:EH94)</f>
        <v>1.8616800603253263E-2</v>
      </c>
      <c r="EJ286" s="122">
        <f>+EJ281/EJ107</f>
        <v>4.4047032673927592E-3</v>
      </c>
      <c r="EK286" s="122">
        <f>+EK281/EK107</f>
        <v>5.7237194927964403E-3</v>
      </c>
      <c r="EL286" s="122">
        <f>+EL281/EL107</f>
        <v>6.1127134902437905E-3</v>
      </c>
      <c r="EM286" s="122">
        <f>+EM281/EM107</f>
        <v>5.4868412170307156E-3</v>
      </c>
      <c r="EN286" s="123">
        <f>+EN281/AVERAGE(EJ94:EM94)</f>
        <v>2.1966646389967724E-2</v>
      </c>
      <c r="EO286" s="122">
        <f>+EO281/EO107</f>
        <v>5.6563248670411081E-3</v>
      </c>
      <c r="EP286" s="122">
        <f>+EP281/EP107</f>
        <v>6.7451294697903818E-3</v>
      </c>
      <c r="EQ286" s="122">
        <f>+EQ281/EQ107</f>
        <v>7.3114158163265297E-3</v>
      </c>
      <c r="ER286" s="122">
        <f>+ER281/ER107</f>
        <v>6.7452151396617342E-3</v>
      </c>
      <c r="ES286" s="123">
        <f>+ES281/AVERAGE(EO94:ER94)</f>
        <v>2.6855818157649883E-2</v>
      </c>
      <c r="ET286" s="122">
        <f>+ET281/ET107</f>
        <v>7.1324988568815745E-3</v>
      </c>
      <c r="EU286" s="122">
        <f>+EU281/EU107</f>
        <v>9.7351840819730733E-3</v>
      </c>
      <c r="EV286" s="122">
        <f>+EV281/EV107</f>
        <v>1.1369532371854906E-2</v>
      </c>
      <c r="EW286" s="122">
        <f>+EW281/EW107</f>
        <v>1.1270887383026779E-2</v>
      </c>
      <c r="EX286" s="123">
        <f>+EX281/AVERAGE(ET94:EW94)</f>
        <v>3.9958687772993405E-2</v>
      </c>
      <c r="EY286" s="694">
        <f>ET286*0.85</f>
        <v>6.0626240283493385E-3</v>
      </c>
      <c r="EZ286" s="694">
        <f t="shared" ref="EZ286:FB286" si="1391">EU286*0.85</f>
        <v>8.2749064696771117E-3</v>
      </c>
      <c r="FA286" s="694">
        <f t="shared" si="1391"/>
        <v>9.66410251607667E-3</v>
      </c>
      <c r="FB286" s="694">
        <f t="shared" si="1391"/>
        <v>9.5802542755727624E-3</v>
      </c>
      <c r="FC286" s="123">
        <f>+FC281/AVERAGE(EY94:FB94)</f>
        <v>3.402762065874318E-2</v>
      </c>
      <c r="FD286" s="694">
        <f t="shared" ref="FD286:FI286" si="1392">FC286*0.975</f>
        <v>3.3176930142274602E-2</v>
      </c>
      <c r="FE286" s="694">
        <f t="shared" si="1392"/>
        <v>3.2347506888717736E-2</v>
      </c>
      <c r="FF286" s="694">
        <f t="shared" si="1392"/>
        <v>3.1538819216499793E-2</v>
      </c>
      <c r="FG286" s="694">
        <f t="shared" si="1392"/>
        <v>3.0750348736087299E-2</v>
      </c>
      <c r="FH286" s="694">
        <f t="shared" si="1392"/>
        <v>2.9981590017685116E-2</v>
      </c>
      <c r="FI286" s="694">
        <f t="shared" si="1392"/>
        <v>2.9232050267242987E-2</v>
      </c>
    </row>
    <row r="287" spans="1:167" s="108" customFormat="1" x14ac:dyDescent="0.3">
      <c r="A287" s="65" t="s">
        <v>342</v>
      </c>
      <c r="DU287" s="694"/>
      <c r="DV287" s="694"/>
      <c r="DW287" s="694"/>
      <c r="DX287" s="694"/>
      <c r="DY287" s="123"/>
      <c r="DZ287" s="1106">
        <f>-DZ282/DZ280/3</f>
        <v>3.510540540540541E-2</v>
      </c>
      <c r="EA287" s="1106">
        <f t="shared" ref="EA287:EC287" si="1393">-EA282/EA280/3</f>
        <v>3.1865540540540541E-2</v>
      </c>
      <c r="EB287" s="1106">
        <f t="shared" si="1393"/>
        <v>3.9650557103064067E-2</v>
      </c>
      <c r="EC287" s="1106">
        <f t="shared" si="1393"/>
        <v>3.7202011494252882E-2</v>
      </c>
      <c r="ED287" s="123">
        <f>+ED282/AVERAGE(DZ280:EC280)/-12</f>
        <v>3.590884588804423E-2</v>
      </c>
      <c r="EE287" s="1106">
        <f>-EE282/EE280/3</f>
        <v>3.4570457902511086E-2</v>
      </c>
      <c r="EF287" s="1106">
        <f t="shared" ref="EF287:EG287" si="1394">-EF282/EF280/3</f>
        <v>3.9151750380517499E-2</v>
      </c>
      <c r="EG287" s="1106">
        <f t="shared" si="1394"/>
        <v>4.2297327044025168E-2</v>
      </c>
      <c r="EH287" s="1106">
        <f t="shared" ref="EH287:EJ287" si="1395">-EH282/EH280/3</f>
        <v>3.7785359265262032E-2</v>
      </c>
      <c r="EI287" s="123">
        <f>+EI282/AVERAGE(EE280:EH280)/-12</f>
        <v>3.8400296353562693E-2</v>
      </c>
      <c r="EJ287" s="1106">
        <f t="shared" si="1395"/>
        <v>3.7838599439775918E-2</v>
      </c>
      <c r="EK287" s="1106">
        <f t="shared" ref="EK287:EL287" si="1396">-EK282/EK280/3</f>
        <v>4.7353841709994217E-2</v>
      </c>
      <c r="EL287" s="1106">
        <f t="shared" si="1396"/>
        <v>5.2758303464755095E-2</v>
      </c>
      <c r="EM287" s="1106">
        <f t="shared" ref="EM287" si="1397">-EM282/EM280/3</f>
        <v>4.7910155763239877E-2</v>
      </c>
      <c r="EN287" s="123">
        <f>+EN282/AVERAGE(EJ280:EM280)/-12</f>
        <v>4.6317086092715232E-2</v>
      </c>
      <c r="EO287" s="1106">
        <f t="shared" ref="EO287:EP287" si="1398">-EO282/EO280/3</f>
        <v>5.0420582524271861E-2</v>
      </c>
      <c r="EP287" s="1106">
        <f t="shared" si="1398"/>
        <v>5.5764912280701739E-2</v>
      </c>
      <c r="EQ287" s="1106">
        <f t="shared" ref="EQ287:ER287" si="1399">-EQ282/EQ280/3</f>
        <v>6.6237456324248808E-2</v>
      </c>
      <c r="ER287" s="1106">
        <f t="shared" si="1399"/>
        <v>6.1504951958610506E-2</v>
      </c>
      <c r="ES287" s="123">
        <f>+ES282/AVERAGE(EO280:ER280)/-12</f>
        <v>5.8259404577525396E-2</v>
      </c>
      <c r="ET287" s="1106">
        <f t="shared" ref="ET287:EU287" si="1400">-ET282/ET280/3</f>
        <v>6.6352059052059056E-2</v>
      </c>
      <c r="EU287" s="1106">
        <f t="shared" si="1400"/>
        <v>8.8429720853858793E-2</v>
      </c>
      <c r="EV287" s="1106">
        <f t="shared" ref="EV287:EW287" si="1401">-EV282/EV280/3</f>
        <v>0.10355517543859649</v>
      </c>
      <c r="EW287" s="1106">
        <f t="shared" si="1401"/>
        <v>0.10228630783758264</v>
      </c>
      <c r="EX287" s="123">
        <f>+EX282/AVERAGE(ET280:EW280)/-12</f>
        <v>8.9174447278911592E-2</v>
      </c>
      <c r="EY287" s="694">
        <f>ET287</f>
        <v>6.6352059052059056E-2</v>
      </c>
      <c r="EZ287" s="694">
        <f t="shared" ref="EZ287:FB287" si="1402">EU287</f>
        <v>8.8429720853858793E-2</v>
      </c>
      <c r="FA287" s="694">
        <f t="shared" si="1402"/>
        <v>0.10355517543859649</v>
      </c>
      <c r="FB287" s="694">
        <f t="shared" si="1402"/>
        <v>0.10228630783758264</v>
      </c>
      <c r="FC287" s="123">
        <f>+FC282/AVERAGE(EY280:FB280)/-12</f>
        <v>8.9026656309826979E-2</v>
      </c>
      <c r="FD287" s="694">
        <f t="shared" ref="FD287:FI287" si="1403">+FC287</f>
        <v>8.9026656309826979E-2</v>
      </c>
      <c r="FE287" s="694">
        <f t="shared" si="1403"/>
        <v>8.9026656309826979E-2</v>
      </c>
      <c r="FF287" s="694">
        <f t="shared" si="1403"/>
        <v>8.9026656309826979E-2</v>
      </c>
      <c r="FG287" s="694">
        <f t="shared" si="1403"/>
        <v>8.9026656309826979E-2</v>
      </c>
      <c r="FH287" s="694">
        <f t="shared" si="1403"/>
        <v>8.9026656309826979E-2</v>
      </c>
      <c r="FI287" s="694">
        <f t="shared" si="1403"/>
        <v>8.9026656309826979E-2</v>
      </c>
    </row>
    <row r="288" spans="1:167" s="108" customFormat="1" x14ac:dyDescent="0.3">
      <c r="A288" s="65" t="s">
        <v>403</v>
      </c>
      <c r="DU288" s="126"/>
      <c r="DV288" s="126"/>
      <c r="DW288" s="126"/>
      <c r="DX288" s="126"/>
      <c r="DY288" s="127"/>
      <c r="DZ288" s="126">
        <f t="shared" ref="DZ288:FI288" si="1404">+DZ283/DZ94</f>
        <v>6.1831550802139035E-2</v>
      </c>
      <c r="EA288" s="126">
        <f t="shared" si="1404"/>
        <v>6.0033444816053515E-2</v>
      </c>
      <c r="EB288" s="126">
        <f t="shared" si="1404"/>
        <v>5.8237804367835329E-2</v>
      </c>
      <c r="EC288" s="126">
        <f t="shared" si="1404"/>
        <v>5.6933815490707258E-2</v>
      </c>
      <c r="ED288" s="127">
        <f t="shared" si="1404"/>
        <v>5.6933815490707258E-2</v>
      </c>
      <c r="EE288" s="126">
        <f t="shared" si="1404"/>
        <v>5.5739373886485109E-2</v>
      </c>
      <c r="EF288" s="126">
        <f t="shared" si="1404"/>
        <v>5.421994884910486E-2</v>
      </c>
      <c r="EG288" s="126">
        <f t="shared" si="1404"/>
        <v>5.3443048938934604E-2</v>
      </c>
      <c r="EH288" s="126">
        <f t="shared" si="1404"/>
        <v>5.2409054875363341E-2</v>
      </c>
      <c r="EI288" s="127">
        <f t="shared" si="1404"/>
        <v>5.2409054875363341E-2</v>
      </c>
      <c r="EJ288" s="126">
        <f t="shared" si="1404"/>
        <v>5.178603482319153E-2</v>
      </c>
      <c r="EK288" s="126">
        <f t="shared" si="1404"/>
        <v>5.1376484669919897E-2</v>
      </c>
      <c r="EL288" s="126">
        <f t="shared" si="1404"/>
        <v>5.0903901046622263E-2</v>
      </c>
      <c r="EM288" s="126">
        <f t="shared" si="1404"/>
        <v>5.0347052497800374E-2</v>
      </c>
      <c r="EN288" s="127">
        <f t="shared" si="1404"/>
        <v>5.0347052497800374E-2</v>
      </c>
      <c r="EO288" s="126">
        <f t="shared" si="1404"/>
        <v>4.9949443882709811E-2</v>
      </c>
      <c r="EP288" s="126">
        <f t="shared" si="1404"/>
        <v>4.982243576352622E-2</v>
      </c>
      <c r="EQ288" s="126">
        <f t="shared" ref="EQ288:ER288" si="1405">+EQ283/EQ94</f>
        <v>4.8798961263795716E-2</v>
      </c>
      <c r="ER288" s="126">
        <f t="shared" si="1405"/>
        <v>4.8153552587271296E-2</v>
      </c>
      <c r="ES288" s="127">
        <f t="shared" si="1404"/>
        <v>4.8153552587271296E-2</v>
      </c>
      <c r="ET288" s="126">
        <f t="shared" ref="ET288:EU288" si="1406">+ET283/ET94</f>
        <v>4.7280773261907535E-2</v>
      </c>
      <c r="EU288" s="126">
        <f t="shared" si="1406"/>
        <v>4.6347115501890475E-2</v>
      </c>
      <c r="EV288" s="126">
        <f t="shared" ref="EV288:EW288" si="1407">+EV283/EV94</f>
        <v>4.5152212842159117E-2</v>
      </c>
      <c r="EW288" s="126">
        <f t="shared" si="1407"/>
        <v>4.3246059658720852E-2</v>
      </c>
      <c r="EX288" s="127">
        <f t="shared" ref="EX288" si="1408">+EX283/EX94</f>
        <v>4.3246059658720852E-2</v>
      </c>
      <c r="EY288" s="126">
        <f t="shared" ref="EY288:FC288" si="1409">+EY283/EY94</f>
        <v>4.2123611999286638E-2</v>
      </c>
      <c r="EZ288" s="126">
        <f t="shared" si="1409"/>
        <v>4.0975102542658404E-2</v>
      </c>
      <c r="FA288" s="126">
        <f t="shared" si="1409"/>
        <v>3.9612175068282539E-2</v>
      </c>
      <c r="FB288" s="126">
        <f t="shared" si="1409"/>
        <v>3.8107885670264671E-2</v>
      </c>
      <c r="FC288" s="127">
        <f t="shared" si="1409"/>
        <v>3.8107885670264671E-2</v>
      </c>
      <c r="FD288" s="126">
        <f t="shared" si="1404"/>
        <v>3.2515269752252079E-2</v>
      </c>
      <c r="FE288" s="126">
        <f t="shared" si="1404"/>
        <v>3.0102112560936943E-2</v>
      </c>
      <c r="FF288" s="126">
        <f t="shared" si="1404"/>
        <v>2.9459299122065626E-2</v>
      </c>
      <c r="FG288" s="126">
        <f t="shared" si="1404"/>
        <v>2.8715921011279927E-2</v>
      </c>
      <c r="FH288" s="126">
        <f t="shared" si="1404"/>
        <v>2.799907574945789E-2</v>
      </c>
      <c r="FI288" s="126">
        <f t="shared" si="1404"/>
        <v>2.7299602794049832E-2</v>
      </c>
    </row>
    <row r="289" spans="1:167" s="108" customFormat="1" x14ac:dyDescent="0.3">
      <c r="A289" s="65"/>
      <c r="DU289" s="126"/>
      <c r="DV289" s="126"/>
      <c r="DW289" s="126"/>
      <c r="DX289" s="126"/>
      <c r="DY289" s="127"/>
      <c r="DZ289" s="126"/>
      <c r="EA289" s="126"/>
      <c r="EB289" s="126"/>
      <c r="EC289" s="126"/>
      <c r="ED289" s="127"/>
      <c r="EE289" s="126"/>
      <c r="EF289" s="126"/>
      <c r="EG289" s="126"/>
      <c r="EH289" s="126"/>
      <c r="EI289" s="127"/>
      <c r="EJ289" s="126"/>
      <c r="EK289" s="126"/>
      <c r="EL289" s="126"/>
      <c r="EM289" s="126"/>
      <c r="EN289" s="127"/>
      <c r="EO289" s="126"/>
      <c r="EP289" s="126"/>
      <c r="EQ289" s="126"/>
      <c r="ER289" s="126"/>
      <c r="ES289" s="126"/>
      <c r="ET289" s="126"/>
      <c r="EU289" s="126"/>
      <c r="EV289" s="126"/>
      <c r="EW289" s="126"/>
      <c r="EX289" s="126"/>
      <c r="EY289" s="126"/>
      <c r="EZ289" s="126"/>
      <c r="FA289" s="126"/>
      <c r="FB289" s="126"/>
      <c r="FC289" s="126"/>
      <c r="FD289" s="126"/>
      <c r="FE289" s="126"/>
      <c r="FF289" s="126"/>
      <c r="FG289" s="126"/>
      <c r="FH289" s="126"/>
      <c r="FI289" s="126"/>
    </row>
    <row r="290" spans="1:167" s="108" customFormat="1" x14ac:dyDescent="0.3">
      <c r="A290" s="78" t="s">
        <v>408</v>
      </c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  <c r="AA290" s="119"/>
      <c r="AB290" s="119"/>
      <c r="AC290" s="119"/>
      <c r="AD290" s="119"/>
      <c r="AE290" s="119"/>
      <c r="AF290" s="119"/>
      <c r="AG290" s="119"/>
      <c r="AH290" s="119"/>
      <c r="AI290" s="119"/>
      <c r="AJ290" s="119"/>
      <c r="AK290" s="119"/>
      <c r="AL290" s="119"/>
      <c r="AM290" s="119"/>
      <c r="AN290" s="119"/>
      <c r="AO290" s="119"/>
      <c r="AP290" s="119"/>
      <c r="AQ290" s="119"/>
      <c r="AR290" s="119"/>
      <c r="AS290" s="119"/>
      <c r="AT290" s="119"/>
      <c r="AU290" s="119"/>
      <c r="AV290" s="119"/>
      <c r="AW290" s="119"/>
      <c r="AX290" s="119"/>
      <c r="AY290" s="119"/>
      <c r="AZ290" s="119"/>
      <c r="BA290" s="119"/>
      <c r="BB290" s="119"/>
      <c r="BC290" s="119"/>
      <c r="BD290" s="119"/>
      <c r="BE290" s="119"/>
      <c r="BF290" s="119"/>
      <c r="BG290" s="119"/>
      <c r="BH290" s="119"/>
      <c r="BI290" s="119"/>
      <c r="BJ290" s="119"/>
      <c r="BK290" s="119"/>
      <c r="BL290" s="119"/>
      <c r="BM290" s="119"/>
      <c r="BN290" s="119"/>
      <c r="BO290" s="119"/>
      <c r="BP290" s="119"/>
      <c r="BQ290" s="119"/>
      <c r="BR290" s="119"/>
      <c r="BS290" s="119"/>
      <c r="BT290" s="119"/>
      <c r="BU290" s="119"/>
      <c r="BV290" s="119"/>
      <c r="BW290" s="119"/>
      <c r="BX290" s="119"/>
      <c r="BY290" s="119"/>
      <c r="BZ290" s="119"/>
      <c r="CA290" s="119"/>
      <c r="CB290" s="119"/>
      <c r="CC290" s="119"/>
      <c r="CD290" s="119"/>
      <c r="CE290" s="119"/>
      <c r="CF290" s="119"/>
      <c r="CG290" s="119"/>
      <c r="CH290" s="119"/>
      <c r="CI290" s="119"/>
      <c r="CJ290" s="119"/>
      <c r="CK290" s="119"/>
      <c r="CL290" s="119"/>
      <c r="CM290" s="119"/>
      <c r="CN290" s="119"/>
      <c r="CO290" s="119"/>
      <c r="CP290" s="119"/>
      <c r="CQ290" s="119"/>
      <c r="CR290" s="119"/>
      <c r="CS290" s="119"/>
      <c r="CT290" s="119"/>
      <c r="CU290" s="119"/>
      <c r="CV290" s="119"/>
      <c r="CW290" s="119"/>
      <c r="CX290" s="119"/>
      <c r="CY290" s="119"/>
      <c r="CZ290" s="119"/>
      <c r="DA290" s="119"/>
      <c r="DB290" s="119"/>
      <c r="DC290" s="119"/>
      <c r="DD290" s="119"/>
      <c r="DE290" s="119"/>
      <c r="DF290" s="119"/>
      <c r="DG290" s="119"/>
      <c r="DH290" s="119"/>
      <c r="DI290" s="119"/>
      <c r="DJ290" s="119"/>
      <c r="DK290" s="119"/>
      <c r="DL290" s="119"/>
      <c r="DM290" s="119"/>
      <c r="DN290" s="119"/>
      <c r="DO290" s="119"/>
      <c r="DP290" s="119"/>
      <c r="DQ290" s="119"/>
      <c r="DR290" s="119"/>
      <c r="DS290" s="119"/>
      <c r="DT290" s="119"/>
      <c r="DU290" s="119"/>
      <c r="DV290" s="119"/>
      <c r="DW290" s="119"/>
      <c r="DX290" s="119"/>
      <c r="DY290" s="1202"/>
      <c r="DZ290" s="119"/>
      <c r="EA290" s="119"/>
      <c r="EB290" s="119"/>
      <c r="EC290" s="119"/>
      <c r="ED290" s="1202"/>
      <c r="EE290" s="119"/>
      <c r="EF290" s="119"/>
      <c r="EG290" s="119"/>
      <c r="EH290" s="119"/>
      <c r="EI290" s="1202"/>
      <c r="EJ290" s="119"/>
      <c r="EK290" s="119"/>
      <c r="EL290" s="119"/>
      <c r="EM290" s="119"/>
      <c r="EN290" s="1202"/>
      <c r="EO290" s="119"/>
      <c r="EP290" s="119"/>
      <c r="EQ290" s="119"/>
      <c r="ER290" s="119"/>
      <c r="ES290" s="119"/>
      <c r="ET290" s="119"/>
      <c r="EU290" s="119"/>
      <c r="EV290" s="119"/>
      <c r="EW290" s="119"/>
      <c r="EX290" s="119"/>
      <c r="EY290" s="119"/>
      <c r="EZ290" s="119"/>
      <c r="FA290" s="119"/>
      <c r="FB290" s="119"/>
      <c r="FC290" s="119"/>
      <c r="FD290" s="119"/>
      <c r="FE290" s="119"/>
      <c r="FF290" s="119"/>
      <c r="FG290" s="119"/>
      <c r="FH290" s="119"/>
      <c r="FI290" s="119"/>
    </row>
    <row r="291" spans="1:167" s="108" customFormat="1" x14ac:dyDescent="0.3">
      <c r="A291" s="63" t="s">
        <v>409</v>
      </c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  <c r="AA291" s="119"/>
      <c r="AB291" s="119"/>
      <c r="AC291" s="119"/>
      <c r="AD291" s="119"/>
      <c r="AE291" s="119"/>
      <c r="AF291" s="119"/>
      <c r="AG291" s="119"/>
      <c r="AH291" s="119"/>
      <c r="AI291" s="119"/>
      <c r="AJ291" s="119"/>
      <c r="AK291" s="119"/>
      <c r="AL291" s="119"/>
      <c r="AM291" s="119"/>
      <c r="AN291" s="119"/>
      <c r="AO291" s="119"/>
      <c r="AP291" s="119"/>
      <c r="AQ291" s="119"/>
      <c r="AR291" s="119"/>
      <c r="AS291" s="119"/>
      <c r="AT291" s="119"/>
      <c r="AU291" s="119"/>
      <c r="AV291" s="119"/>
      <c r="AW291" s="119"/>
      <c r="AX291" s="119"/>
      <c r="AY291" s="119"/>
      <c r="AZ291" s="119"/>
      <c r="BA291" s="119"/>
      <c r="BB291" s="119"/>
      <c r="BC291" s="119"/>
      <c r="BD291" s="119"/>
      <c r="BE291" s="119"/>
      <c r="BF291" s="119"/>
      <c r="BG291" s="119"/>
      <c r="BH291" s="119"/>
      <c r="BI291" s="119"/>
      <c r="BJ291" s="119"/>
      <c r="BK291" s="119"/>
      <c r="BL291" s="119"/>
      <c r="BM291" s="119"/>
      <c r="BN291" s="119"/>
      <c r="BO291" s="119"/>
      <c r="BP291" s="119"/>
      <c r="BQ291" s="119"/>
      <c r="BR291" s="119"/>
      <c r="BS291" s="119"/>
      <c r="BT291" s="119"/>
      <c r="BU291" s="119"/>
      <c r="BV291" s="119"/>
      <c r="BW291" s="119"/>
      <c r="BX291" s="119"/>
      <c r="BY291" s="119"/>
      <c r="BZ291" s="119"/>
      <c r="CA291" s="119"/>
      <c r="CB291" s="119"/>
      <c r="CC291" s="119"/>
      <c r="CD291" s="119"/>
      <c r="CE291" s="119"/>
      <c r="CF291" s="119"/>
      <c r="CG291" s="119"/>
      <c r="CH291" s="119"/>
      <c r="CI291" s="119"/>
      <c r="CJ291" s="119"/>
      <c r="CK291" s="119"/>
      <c r="CL291" s="119"/>
      <c r="CM291" s="119"/>
      <c r="CN291" s="119"/>
      <c r="CO291" s="119"/>
      <c r="CP291" s="119"/>
      <c r="CQ291" s="119"/>
      <c r="CR291" s="119"/>
      <c r="CS291" s="119"/>
      <c r="CT291" s="119"/>
      <c r="CU291" s="119"/>
      <c r="CV291" s="119"/>
      <c r="CW291" s="119"/>
      <c r="CX291" s="119"/>
      <c r="CY291" s="119"/>
      <c r="CZ291" s="119"/>
      <c r="DA291" s="119"/>
      <c r="DB291" s="119"/>
      <c r="DC291" s="119"/>
      <c r="DD291" s="119"/>
      <c r="DE291" s="119"/>
      <c r="DF291" s="119"/>
      <c r="DG291" s="119"/>
      <c r="DH291" s="119"/>
      <c r="DI291" s="119"/>
      <c r="DJ291" s="119"/>
      <c r="DK291" s="119"/>
      <c r="DL291" s="119"/>
      <c r="DM291" s="119"/>
      <c r="DN291" s="119"/>
      <c r="DO291" s="119"/>
      <c r="DP291" s="119"/>
      <c r="DQ291" s="119"/>
      <c r="DR291" s="119"/>
      <c r="DS291" s="119"/>
      <c r="DT291" s="119"/>
      <c r="DU291" s="56"/>
      <c r="DV291" s="56"/>
      <c r="DW291" s="56"/>
      <c r="DX291" s="56"/>
      <c r="DY291" s="60"/>
      <c r="DZ291" s="56">
        <f>DZ257+DZ280</f>
        <v>2182</v>
      </c>
      <c r="EA291" s="56">
        <f t="shared" ref="EA291:EC291" si="1410">EA257+EA280</f>
        <v>2159</v>
      </c>
      <c r="EB291" s="56">
        <f t="shared" si="1410"/>
        <v>2119</v>
      </c>
      <c r="EC291" s="56">
        <f t="shared" si="1410"/>
        <v>2077</v>
      </c>
      <c r="ED291" s="60">
        <f>+DZ291</f>
        <v>2182</v>
      </c>
      <c r="EE291" s="56">
        <f>EE257+EE280</f>
        <v>2026</v>
      </c>
      <c r="EF291" s="56">
        <f t="shared" ref="EF291:EG291" si="1411">EF257+EF280</f>
        <v>1984</v>
      </c>
      <c r="EG291" s="56">
        <f t="shared" si="1411"/>
        <v>1933</v>
      </c>
      <c r="EH291" s="56">
        <f t="shared" ref="EH291:EJ291" si="1412">EH257+EH280</f>
        <v>1881</v>
      </c>
      <c r="EI291" s="60">
        <f>+EE291</f>
        <v>2026</v>
      </c>
      <c r="EJ291" s="56">
        <f t="shared" si="1412"/>
        <v>1829</v>
      </c>
      <c r="EK291" s="56">
        <f t="shared" ref="EK291:EL291" si="1413">EK257+EK280</f>
        <v>1781</v>
      </c>
      <c r="EL291" s="56">
        <f t="shared" si="1413"/>
        <v>1721</v>
      </c>
      <c r="EM291" s="56">
        <f t="shared" ref="EM291" si="1414">EM257+EM280</f>
        <v>1640</v>
      </c>
      <c r="EN291" s="60">
        <f>+EJ291</f>
        <v>1829</v>
      </c>
      <c r="EO291" s="56">
        <f t="shared" ref="EO291:EP291" si="1415">EO257+EO280</f>
        <v>1558</v>
      </c>
      <c r="EP291" s="56">
        <f t="shared" si="1415"/>
        <v>1481</v>
      </c>
      <c r="EQ291" s="56">
        <f t="shared" ref="EQ291:ER291" si="1416">EQ257+EQ280</f>
        <v>1405</v>
      </c>
      <c r="ER291" s="56">
        <f t="shared" si="1416"/>
        <v>1321</v>
      </c>
      <c r="ES291" s="60">
        <f>+EO291</f>
        <v>1558</v>
      </c>
      <c r="ET291" s="56">
        <f t="shared" ref="ET291:EU291" si="1417">ET257+ET280</f>
        <v>1251</v>
      </c>
      <c r="EU291" s="56">
        <f t="shared" si="1417"/>
        <v>1177</v>
      </c>
      <c r="EV291" s="56">
        <f t="shared" ref="EV291:EW291" si="1418">EV257+EV280</f>
        <v>1101</v>
      </c>
      <c r="EW291" s="56">
        <f t="shared" si="1418"/>
        <v>1019</v>
      </c>
      <c r="EX291" s="60">
        <f>+ET291</f>
        <v>1251</v>
      </c>
      <c r="EY291" s="56">
        <f t="shared" ref="EY291:FB291" si="1419">EY257+EY280</f>
        <v>944</v>
      </c>
      <c r="EZ291" s="56">
        <f t="shared" si="1419"/>
        <v>881.08705890238957</v>
      </c>
      <c r="FA291" s="56">
        <f t="shared" si="1419"/>
        <v>816.76640029077191</v>
      </c>
      <c r="FB291" s="56">
        <f t="shared" si="1419"/>
        <v>748.44685758885953</v>
      </c>
      <c r="FC291" s="60">
        <f>+EY291</f>
        <v>944</v>
      </c>
      <c r="FD291" s="56">
        <f t="shared" ref="FD291:FI291" si="1420">FD257+FD280</f>
        <v>685.99335732121153</v>
      </c>
      <c r="FE291" s="56">
        <f t="shared" si="1420"/>
        <v>485.38164897144065</v>
      </c>
      <c r="FF291" s="56">
        <f t="shared" si="1420"/>
        <v>377.09714673531329</v>
      </c>
      <c r="FG291" s="56">
        <f t="shared" si="1420"/>
        <v>308.83360220549412</v>
      </c>
      <c r="FH291" s="56">
        <f t="shared" si="1420"/>
        <v>260.47021010801222</v>
      </c>
      <c r="FI291" s="56">
        <f t="shared" si="1420"/>
        <v>226.25888667922919</v>
      </c>
      <c r="FJ291" s="1068">
        <f>+(FF291/ES291)^0.2-1</f>
        <v>-0.24703089233858622</v>
      </c>
    </row>
    <row r="292" spans="1:167" s="108" customFormat="1" x14ac:dyDescent="0.3">
      <c r="A292" s="63" t="s">
        <v>336</v>
      </c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  <c r="AA292" s="119"/>
      <c r="AB292" s="119"/>
      <c r="AC292" s="119"/>
      <c r="AD292" s="119"/>
      <c r="AE292" s="119"/>
      <c r="AF292" s="119"/>
      <c r="AG292" s="119"/>
      <c r="AH292" s="119"/>
      <c r="AI292" s="119"/>
      <c r="AJ292" s="119"/>
      <c r="AK292" s="119"/>
      <c r="AL292" s="119"/>
      <c r="AM292" s="119"/>
      <c r="AN292" s="119"/>
      <c r="AO292" s="119"/>
      <c r="AP292" s="119"/>
      <c r="AQ292" s="119"/>
      <c r="AR292" s="119"/>
      <c r="AS292" s="119"/>
      <c r="AT292" s="119"/>
      <c r="AU292" s="119"/>
      <c r="AV292" s="119"/>
      <c r="AW292" s="119"/>
      <c r="AX292" s="119"/>
      <c r="AY292" s="119"/>
      <c r="AZ292" s="119"/>
      <c r="BA292" s="119"/>
      <c r="BB292" s="119"/>
      <c r="BC292" s="119"/>
      <c r="BD292" s="119"/>
      <c r="BE292" s="119"/>
      <c r="BF292" s="119"/>
      <c r="BG292" s="119"/>
      <c r="BH292" s="119"/>
      <c r="BI292" s="119"/>
      <c r="BJ292" s="119"/>
      <c r="BK292" s="119"/>
      <c r="BL292" s="119"/>
      <c r="BM292" s="119"/>
      <c r="BN292" s="119"/>
      <c r="BO292" s="119"/>
      <c r="BP292" s="119"/>
      <c r="BQ292" s="119"/>
      <c r="BR292" s="119"/>
      <c r="BS292" s="119"/>
      <c r="BT292" s="119"/>
      <c r="BU292" s="119"/>
      <c r="BV292" s="119"/>
      <c r="BW292" s="119"/>
      <c r="BX292" s="119"/>
      <c r="BY292" s="119"/>
      <c r="BZ292" s="119"/>
      <c r="CA292" s="119"/>
      <c r="CB292" s="119"/>
      <c r="CC292" s="119"/>
      <c r="CD292" s="119"/>
      <c r="CE292" s="119"/>
      <c r="CF292" s="119"/>
      <c r="CG292" s="119"/>
      <c r="CH292" s="119"/>
      <c r="CI292" s="119"/>
      <c r="CJ292" s="119"/>
      <c r="CK292" s="119"/>
      <c r="CL292" s="119"/>
      <c r="CM292" s="119"/>
      <c r="CN292" s="119"/>
      <c r="CO292" s="119"/>
      <c r="CP292" s="119"/>
      <c r="CQ292" s="119"/>
      <c r="CR292" s="119"/>
      <c r="CS292" s="119"/>
      <c r="CT292" s="119"/>
      <c r="CU292" s="119"/>
      <c r="CV292" s="119"/>
      <c r="CW292" s="119"/>
      <c r="CX292" s="119"/>
      <c r="CY292" s="119"/>
      <c r="CZ292" s="119"/>
      <c r="DA292" s="119"/>
      <c r="DB292" s="119"/>
      <c r="DC292" s="119"/>
      <c r="DD292" s="119"/>
      <c r="DE292" s="119"/>
      <c r="DF292" s="119"/>
      <c r="DG292" s="119"/>
      <c r="DH292" s="119"/>
      <c r="DI292" s="119"/>
      <c r="DJ292" s="119"/>
      <c r="DK292" s="119"/>
      <c r="DL292" s="119"/>
      <c r="DM292" s="119"/>
      <c r="DN292" s="119"/>
      <c r="DO292" s="119"/>
      <c r="DP292" s="119"/>
      <c r="DQ292" s="119"/>
      <c r="DR292" s="119"/>
      <c r="DS292" s="119"/>
      <c r="DT292" s="119"/>
      <c r="DU292" s="56"/>
      <c r="DV292" s="56"/>
      <c r="DW292" s="56"/>
      <c r="DX292" s="56"/>
      <c r="DY292" s="60"/>
      <c r="DZ292" s="56">
        <f t="shared" ref="DZ292:EC293" si="1421">DZ258+DZ281</f>
        <v>157.02759999999989</v>
      </c>
      <c r="EA292" s="56">
        <f t="shared" si="1421"/>
        <v>117.15859999999986</v>
      </c>
      <c r="EB292" s="56">
        <f t="shared" si="1421"/>
        <v>132.09059999999988</v>
      </c>
      <c r="EC292" s="56">
        <f t="shared" si="1421"/>
        <v>107.88060000000007</v>
      </c>
      <c r="ED292" s="60">
        <f>+SUM(DZ292:EC292)</f>
        <v>514.15739999999971</v>
      </c>
      <c r="EE292" s="56">
        <f t="shared" ref="EE292:EG292" si="1422">EE258+EE281</f>
        <v>93.774000000000115</v>
      </c>
      <c r="EF292" s="56">
        <f t="shared" si="1422"/>
        <v>92.650800000000004</v>
      </c>
      <c r="EG292" s="56">
        <f t="shared" si="1422"/>
        <v>102.2432</v>
      </c>
      <c r="EH292" s="56">
        <f t="shared" ref="EH292:EJ292" si="1423">EH258+EH281</f>
        <v>82.025500000000079</v>
      </c>
      <c r="EI292" s="60">
        <f>+SUM(EE292:EH292)</f>
        <v>370.6935000000002</v>
      </c>
      <c r="EJ292" s="56">
        <f t="shared" si="1423"/>
        <v>76.182500000000005</v>
      </c>
      <c r="EK292" s="56">
        <f t="shared" ref="EK292:EL292" si="1424">EK258+EK281</f>
        <v>84.457099999999969</v>
      </c>
      <c r="EL292" s="56">
        <f t="shared" si="1424"/>
        <v>77.795200000000136</v>
      </c>
      <c r="EM292" s="56">
        <f t="shared" ref="EM292" si="1425">EM258+EM281</f>
        <v>57.217800000000125</v>
      </c>
      <c r="EN292" s="60">
        <f>+SUM(EJ292:EM292)</f>
        <v>295.65260000000023</v>
      </c>
      <c r="EO292" s="56">
        <f t="shared" ref="EO292:EP292" si="1426">EO258+EO281</f>
        <v>54.405700000000138</v>
      </c>
      <c r="EP292" s="56">
        <f t="shared" si="1426"/>
        <v>61.125999999999976</v>
      </c>
      <c r="EQ292" s="56">
        <f t="shared" ref="EQ292:ER292" si="1427">EQ258+EQ281</f>
        <v>71.476999999999975</v>
      </c>
      <c r="ER292" s="56">
        <f t="shared" si="1427"/>
        <v>61.762200000000121</v>
      </c>
      <c r="ES292" s="60">
        <f>+SUM(EO292:ER292)</f>
        <v>248.77090000000021</v>
      </c>
      <c r="ET292" s="56">
        <f t="shared" ref="ET292:EU292" si="1428">ET258+ET281</f>
        <v>58.988900000000001</v>
      </c>
      <c r="EU292" s="56">
        <f t="shared" si="1428"/>
        <v>78.430000000000064</v>
      </c>
      <c r="EV292" s="56">
        <f t="shared" ref="EV292:EW292" si="1429">EV258+EV281</f>
        <v>87.316000000000031</v>
      </c>
      <c r="EW292" s="56">
        <f t="shared" si="1429"/>
        <v>84.07039999999995</v>
      </c>
      <c r="EX292" s="60">
        <f>+SUM(ET292:EW292)</f>
        <v>308.80530000000005</v>
      </c>
      <c r="EY292" s="56">
        <f t="shared" ref="EY292:FB292" si="1430">EY258+EY281</f>
        <v>45.695469718240417</v>
      </c>
      <c r="EZ292" s="56">
        <f t="shared" si="1430"/>
        <v>59.758241614599193</v>
      </c>
      <c r="FA292" s="56">
        <f t="shared" si="1430"/>
        <v>66.424359260070304</v>
      </c>
      <c r="FB292" s="56">
        <f t="shared" si="1430"/>
        <v>63.164341891554457</v>
      </c>
      <c r="FC292" s="60">
        <f>+SUM(EY292:FB292)</f>
        <v>235.04241248446436</v>
      </c>
      <c r="FD292" s="56">
        <f t="shared" ref="FD292:FI292" si="1431">FD258+FD281</f>
        <v>202.05180927313819</v>
      </c>
      <c r="FE292" s="56">
        <f t="shared" si="1431"/>
        <v>184.36968301606763</v>
      </c>
      <c r="FF292" s="56">
        <f t="shared" si="1431"/>
        <v>180.06568156845452</v>
      </c>
      <c r="FG292" s="56">
        <f t="shared" si="1431"/>
        <v>175.85443985464843</v>
      </c>
      <c r="FH292" s="56">
        <f t="shared" si="1431"/>
        <v>171.73405031524808</v>
      </c>
      <c r="FI292" s="56">
        <f t="shared" si="1431"/>
        <v>167.7026434409257</v>
      </c>
      <c r="FJ292" s="1068">
        <f>+(FF292/ES292)^0.2-1</f>
        <v>-6.2597139652320943E-2</v>
      </c>
    </row>
    <row r="293" spans="1:167" s="108" customFormat="1" x14ac:dyDescent="0.3">
      <c r="A293" s="63" t="s">
        <v>337</v>
      </c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  <c r="AA293" s="119"/>
      <c r="AB293" s="119"/>
      <c r="AC293" s="119"/>
      <c r="AD293" s="119"/>
      <c r="AE293" s="119"/>
      <c r="AF293" s="119"/>
      <c r="AG293" s="119"/>
      <c r="AH293" s="119"/>
      <c r="AI293" s="119"/>
      <c r="AJ293" s="119"/>
      <c r="AK293" s="119"/>
      <c r="AL293" s="119"/>
      <c r="AM293" s="119"/>
      <c r="AN293" s="119"/>
      <c r="AO293" s="119"/>
      <c r="AP293" s="119"/>
      <c r="AQ293" s="119"/>
      <c r="AR293" s="119"/>
      <c r="AS293" s="119"/>
      <c r="AT293" s="119"/>
      <c r="AU293" s="119"/>
      <c r="AV293" s="119"/>
      <c r="AW293" s="119"/>
      <c r="AX293" s="119"/>
      <c r="AY293" s="119"/>
      <c r="AZ293" s="119"/>
      <c r="BA293" s="119"/>
      <c r="BB293" s="119"/>
      <c r="BC293" s="119"/>
      <c r="BD293" s="119"/>
      <c r="BE293" s="119"/>
      <c r="BF293" s="119"/>
      <c r="BG293" s="119"/>
      <c r="BH293" s="119"/>
      <c r="BI293" s="119"/>
      <c r="BJ293" s="119"/>
      <c r="BK293" s="119"/>
      <c r="BL293" s="119"/>
      <c r="BM293" s="119"/>
      <c r="BN293" s="119"/>
      <c r="BO293" s="119"/>
      <c r="BP293" s="119"/>
      <c r="BQ293" s="119"/>
      <c r="BR293" s="119"/>
      <c r="BS293" s="119"/>
      <c r="BT293" s="119"/>
      <c r="BU293" s="119"/>
      <c r="BV293" s="119"/>
      <c r="BW293" s="119"/>
      <c r="BX293" s="119"/>
      <c r="BY293" s="119"/>
      <c r="BZ293" s="119"/>
      <c r="CA293" s="119"/>
      <c r="CB293" s="119"/>
      <c r="CC293" s="119"/>
      <c r="CD293" s="119"/>
      <c r="CE293" s="119"/>
      <c r="CF293" s="119"/>
      <c r="CG293" s="119"/>
      <c r="CH293" s="119"/>
      <c r="CI293" s="119"/>
      <c r="CJ293" s="119"/>
      <c r="CK293" s="119"/>
      <c r="CL293" s="119"/>
      <c r="CM293" s="119"/>
      <c r="CN293" s="119"/>
      <c r="CO293" s="119"/>
      <c r="CP293" s="119"/>
      <c r="CQ293" s="119"/>
      <c r="CR293" s="119"/>
      <c r="CS293" s="119"/>
      <c r="CT293" s="119"/>
      <c r="CU293" s="119"/>
      <c r="CV293" s="119"/>
      <c r="CW293" s="119"/>
      <c r="CX293" s="119"/>
      <c r="CY293" s="119"/>
      <c r="CZ293" s="119"/>
      <c r="DA293" s="119"/>
      <c r="DB293" s="119"/>
      <c r="DC293" s="119"/>
      <c r="DD293" s="119"/>
      <c r="DE293" s="119"/>
      <c r="DF293" s="119"/>
      <c r="DG293" s="119"/>
      <c r="DH293" s="119"/>
      <c r="DI293" s="119"/>
      <c r="DJ293" s="119"/>
      <c r="DK293" s="119"/>
      <c r="DL293" s="119"/>
      <c r="DM293" s="119"/>
      <c r="DN293" s="119"/>
      <c r="DO293" s="119"/>
      <c r="DP293" s="119"/>
      <c r="DQ293" s="119"/>
      <c r="DR293" s="119"/>
      <c r="DS293" s="119"/>
      <c r="DT293" s="119"/>
      <c r="DU293" s="56"/>
      <c r="DV293" s="56"/>
      <c r="DW293" s="56"/>
      <c r="DX293" s="56"/>
      <c r="DY293" s="60"/>
      <c r="DZ293" s="1213">
        <f t="shared" si="1421"/>
        <v>-180.02760000000001</v>
      </c>
      <c r="EA293" s="1213">
        <f t="shared" si="1421"/>
        <v>-157.15859999999998</v>
      </c>
      <c r="EB293" s="1213">
        <f t="shared" si="1421"/>
        <v>-174.09059999999999</v>
      </c>
      <c r="EC293" s="1213">
        <f t="shared" si="1421"/>
        <v>-158.88060000000002</v>
      </c>
      <c r="ED293" s="60">
        <f>+SUM(DZ293:EC293)</f>
        <v>-670.15740000000005</v>
      </c>
      <c r="EE293" s="1213">
        <f t="shared" ref="EE293:EG293" si="1432">EE259+EE282</f>
        <v>-135.774</v>
      </c>
      <c r="EF293" s="1213">
        <f t="shared" si="1432"/>
        <v>-143.6508</v>
      </c>
      <c r="EG293" s="1213">
        <f t="shared" si="1432"/>
        <v>-154.24320000000003</v>
      </c>
      <c r="EH293" s="1213">
        <f t="shared" ref="EH293:EJ293" si="1433">EH259+EH282</f>
        <v>-134.02550000000002</v>
      </c>
      <c r="EI293" s="60">
        <f>+SUM(EE293:EH293)</f>
        <v>-567.69350000000009</v>
      </c>
      <c r="EJ293" s="1213">
        <f t="shared" si="1433"/>
        <v>-124.1825</v>
      </c>
      <c r="EK293" s="1213">
        <f t="shared" ref="EK293:EL293" si="1434">EK259+EK282</f>
        <v>-144.4571</v>
      </c>
      <c r="EL293" s="1213">
        <f t="shared" si="1434"/>
        <v>-158.79520000000002</v>
      </c>
      <c r="EM293" s="1213">
        <f t="shared" ref="EM293" si="1435">EM259+EM282</f>
        <v>-139.21780000000001</v>
      </c>
      <c r="EN293" s="60">
        <f>+SUM(EJ293:EM293)</f>
        <v>-566.65260000000001</v>
      </c>
      <c r="EO293" s="1213">
        <f t="shared" ref="EO293:EP293" si="1436">EO259+EO282</f>
        <v>-131.40570000000002</v>
      </c>
      <c r="EP293" s="1213">
        <f t="shared" si="1436"/>
        <v>-137.12599999999998</v>
      </c>
      <c r="EQ293" s="1213">
        <f t="shared" ref="EQ293:ER293" si="1437">EQ259+EQ282</f>
        <v>-155.47700000000003</v>
      </c>
      <c r="ER293" s="1213">
        <f t="shared" si="1437"/>
        <v>-131.76220000000001</v>
      </c>
      <c r="ES293" s="60">
        <f>+SUM(EO293:ER293)</f>
        <v>-555.77089999999998</v>
      </c>
      <c r="ET293" s="1213">
        <f t="shared" ref="ET293:EU293" si="1438">ET259+ET282</f>
        <v>-132.9889</v>
      </c>
      <c r="EU293" s="1213">
        <f t="shared" si="1438"/>
        <v>-154.43</v>
      </c>
      <c r="EV293" s="1213">
        <f t="shared" ref="EV293:EW293" si="1439">EV259+EV282</f>
        <v>-169.316</v>
      </c>
      <c r="EW293" s="1213">
        <f t="shared" si="1439"/>
        <v>-159.07040000000001</v>
      </c>
      <c r="EX293" s="60">
        <f>+SUM(ET293:EW293)</f>
        <v>-615.80529999999999</v>
      </c>
      <c r="EY293" s="1213">
        <f t="shared" ref="EY293:FB293" si="1440">EY259+EY282</f>
        <v>-108.60841081585082</v>
      </c>
      <c r="EZ293" s="1213">
        <f t="shared" si="1440"/>
        <v>-124.07890022621685</v>
      </c>
      <c r="FA293" s="1213">
        <f t="shared" si="1440"/>
        <v>-134.74390196198269</v>
      </c>
      <c r="FB293" s="1213">
        <f t="shared" si="1440"/>
        <v>-125.61784215920245</v>
      </c>
      <c r="FC293" s="60">
        <f>+SUM(EY293:FB293)</f>
        <v>-493.04905516325283</v>
      </c>
      <c r="FD293" s="1213">
        <f t="shared" ref="FD293:FI293" si="1441">FD259+FD282</f>
        <v>-402.66351762290913</v>
      </c>
      <c r="FE293" s="1213">
        <f t="shared" si="1441"/>
        <v>-292.65418525219496</v>
      </c>
      <c r="FF293" s="1213">
        <f t="shared" si="1441"/>
        <v>-248.32922609827369</v>
      </c>
      <c r="FG293" s="1213">
        <f t="shared" si="1441"/>
        <v>-224.21783195213027</v>
      </c>
      <c r="FH293" s="1213">
        <f t="shared" si="1441"/>
        <v>-205.94537374403114</v>
      </c>
      <c r="FI293" s="1213">
        <f t="shared" si="1441"/>
        <v>-192.24243944467452</v>
      </c>
      <c r="FJ293" s="1068">
        <f>+(FF293/ES293)^0.2-1</f>
        <v>-0.14881020865751815</v>
      </c>
    </row>
    <row r="294" spans="1:167" s="108" customFormat="1" x14ac:dyDescent="0.3">
      <c r="A294" s="64" t="s">
        <v>410</v>
      </c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  <c r="AA294" s="119"/>
      <c r="AB294" s="119"/>
      <c r="AC294" s="119"/>
      <c r="AD294" s="119"/>
      <c r="AE294" s="119"/>
      <c r="AF294" s="119"/>
      <c r="AG294" s="119"/>
      <c r="AH294" s="119"/>
      <c r="AI294" s="119"/>
      <c r="AJ294" s="119"/>
      <c r="AK294" s="119"/>
      <c r="AL294" s="119"/>
      <c r="AM294" s="119"/>
      <c r="AN294" s="119"/>
      <c r="AO294" s="119"/>
      <c r="AP294" s="119"/>
      <c r="AQ294" s="119"/>
      <c r="AR294" s="119"/>
      <c r="AS294" s="119"/>
      <c r="AT294" s="119"/>
      <c r="AU294" s="119"/>
      <c r="AV294" s="119"/>
      <c r="AW294" s="119"/>
      <c r="AX294" s="119"/>
      <c r="AY294" s="119"/>
      <c r="AZ294" s="119"/>
      <c r="BA294" s="119"/>
      <c r="BB294" s="119"/>
      <c r="BC294" s="119"/>
      <c r="BD294" s="119"/>
      <c r="BE294" s="119"/>
      <c r="BF294" s="119"/>
      <c r="BG294" s="119"/>
      <c r="BH294" s="119"/>
      <c r="BI294" s="119"/>
      <c r="BJ294" s="119"/>
      <c r="BK294" s="119"/>
      <c r="BL294" s="119"/>
      <c r="BM294" s="119"/>
      <c r="BN294" s="119"/>
      <c r="BO294" s="119"/>
      <c r="BP294" s="119"/>
      <c r="BQ294" s="119"/>
      <c r="BR294" s="119"/>
      <c r="BS294" s="119"/>
      <c r="BT294" s="119"/>
      <c r="BU294" s="119"/>
      <c r="BV294" s="119"/>
      <c r="BW294" s="119"/>
      <c r="BX294" s="119"/>
      <c r="BY294" s="119"/>
      <c r="BZ294" s="119"/>
      <c r="CA294" s="119"/>
      <c r="CB294" s="119"/>
      <c r="CC294" s="119"/>
      <c r="CD294" s="119"/>
      <c r="CE294" s="119"/>
      <c r="CF294" s="119"/>
      <c r="CG294" s="119"/>
      <c r="CH294" s="119"/>
      <c r="CI294" s="119"/>
      <c r="CJ294" s="119"/>
      <c r="CK294" s="119"/>
      <c r="CL294" s="119"/>
      <c r="CM294" s="119"/>
      <c r="CN294" s="119"/>
      <c r="CO294" s="119"/>
      <c r="CP294" s="119"/>
      <c r="CQ294" s="119"/>
      <c r="CR294" s="119"/>
      <c r="CS294" s="119"/>
      <c r="CT294" s="119"/>
      <c r="CU294" s="119"/>
      <c r="CV294" s="119"/>
      <c r="CW294" s="119"/>
      <c r="CX294" s="119"/>
      <c r="CY294" s="119"/>
      <c r="CZ294" s="119"/>
      <c r="DA294" s="119"/>
      <c r="DB294" s="119"/>
      <c r="DC294" s="119"/>
      <c r="DD294" s="119"/>
      <c r="DE294" s="119"/>
      <c r="DF294" s="119"/>
      <c r="DG294" s="119"/>
      <c r="DH294" s="119"/>
      <c r="DI294" s="119"/>
      <c r="DJ294" s="119"/>
      <c r="DK294" s="119"/>
      <c r="DL294" s="119"/>
      <c r="DM294" s="119"/>
      <c r="DN294" s="119"/>
      <c r="DO294" s="119"/>
      <c r="DP294" s="119"/>
      <c r="DQ294" s="119"/>
      <c r="DR294" s="119"/>
      <c r="DS294" s="119"/>
      <c r="DT294" s="119"/>
      <c r="DU294" s="1798"/>
      <c r="DV294" s="1798"/>
      <c r="DW294" s="1798"/>
      <c r="DX294" s="1798"/>
      <c r="DY294" s="1797"/>
      <c r="DZ294" s="56">
        <f>DZ260+DZ283</f>
        <v>2159</v>
      </c>
      <c r="EA294" s="56">
        <f t="shared" ref="EA294:EC294" si="1442">EA260+EA283</f>
        <v>2119</v>
      </c>
      <c r="EB294" s="56">
        <f t="shared" si="1442"/>
        <v>2077</v>
      </c>
      <c r="EC294" s="56">
        <f t="shared" si="1442"/>
        <v>2026</v>
      </c>
      <c r="ED294" s="1797">
        <f>+EC294</f>
        <v>2026</v>
      </c>
      <c r="EE294" s="56">
        <f>EE260+EE283</f>
        <v>1984</v>
      </c>
      <c r="EF294" s="56">
        <f t="shared" ref="EF294:EG294" si="1443">EF260+EF283</f>
        <v>1933</v>
      </c>
      <c r="EG294" s="56">
        <f t="shared" si="1443"/>
        <v>1881</v>
      </c>
      <c r="EH294" s="56">
        <f t="shared" ref="EH294:EJ294" si="1444">EH260+EH283</f>
        <v>1829</v>
      </c>
      <c r="EI294" s="1797">
        <f>+EH294</f>
        <v>1829</v>
      </c>
      <c r="EJ294" s="56">
        <f t="shared" si="1444"/>
        <v>1781</v>
      </c>
      <c r="EK294" s="56">
        <f t="shared" ref="EK294:EL294" si="1445">EK260+EK283</f>
        <v>1721</v>
      </c>
      <c r="EL294" s="56">
        <f t="shared" si="1445"/>
        <v>1640</v>
      </c>
      <c r="EM294" s="56">
        <f t="shared" ref="EM294" si="1446">EM260+EM283</f>
        <v>1558</v>
      </c>
      <c r="EN294" s="1797">
        <f>+EM294</f>
        <v>1558</v>
      </c>
      <c r="EO294" s="56">
        <f t="shared" ref="EO294:EP294" si="1447">EO260+EO283</f>
        <v>1481</v>
      </c>
      <c r="EP294" s="56">
        <f t="shared" si="1447"/>
        <v>1405</v>
      </c>
      <c r="EQ294" s="56">
        <f t="shared" ref="EQ294:ER294" si="1448">EQ260+EQ283</f>
        <v>1321</v>
      </c>
      <c r="ER294" s="56">
        <f t="shared" si="1448"/>
        <v>1251</v>
      </c>
      <c r="ES294" s="1797">
        <f>+ER294</f>
        <v>1251</v>
      </c>
      <c r="ET294" s="56">
        <f t="shared" ref="ET294:EU294" si="1449">ET260+ET283</f>
        <v>1177</v>
      </c>
      <c r="EU294" s="56">
        <f t="shared" si="1449"/>
        <v>1101</v>
      </c>
      <c r="EV294" s="56">
        <f t="shared" ref="EV294:EW294" si="1450">EV260+EV283</f>
        <v>1019</v>
      </c>
      <c r="EW294" s="56">
        <f t="shared" si="1450"/>
        <v>944</v>
      </c>
      <c r="EX294" s="1797">
        <f>+EW294</f>
        <v>944</v>
      </c>
      <c r="EY294" s="56">
        <f t="shared" ref="EY294:FB294" si="1451">EY260+EY283</f>
        <v>881.08705890238957</v>
      </c>
      <c r="EZ294" s="56">
        <f t="shared" si="1451"/>
        <v>816.76640029077191</v>
      </c>
      <c r="FA294" s="56">
        <f t="shared" si="1451"/>
        <v>748.44685758885953</v>
      </c>
      <c r="FB294" s="56">
        <f t="shared" si="1451"/>
        <v>685.99335732121153</v>
      </c>
      <c r="FC294" s="1797">
        <f>+FB294</f>
        <v>685.99335732121153</v>
      </c>
      <c r="FD294" s="60">
        <f t="shared" ref="FD294:FI294" si="1452">FD260+FD283</f>
        <v>485.38164897144065</v>
      </c>
      <c r="FE294" s="60">
        <f t="shared" si="1452"/>
        <v>377.09714673531329</v>
      </c>
      <c r="FF294" s="60">
        <f t="shared" si="1452"/>
        <v>308.83360220549412</v>
      </c>
      <c r="FG294" s="60">
        <f t="shared" si="1452"/>
        <v>260.47021010801222</v>
      </c>
      <c r="FH294" s="60">
        <f t="shared" si="1452"/>
        <v>226.25888667922919</v>
      </c>
      <c r="FI294" s="60">
        <f t="shared" si="1452"/>
        <v>201.71909067548037</v>
      </c>
      <c r="FJ294" s="1068">
        <f>+(FF294/ES294)^0.2-1</f>
        <v>-0.24404934535069434</v>
      </c>
    </row>
    <row r="295" spans="1:167" s="108" customFormat="1" x14ac:dyDescent="0.3">
      <c r="A295" s="61" t="s">
        <v>339</v>
      </c>
      <c r="DY295" s="538"/>
      <c r="DZ295" s="122"/>
      <c r="EA295" s="122"/>
      <c r="EB295" s="122"/>
      <c r="EC295" s="122"/>
      <c r="ED295" s="123"/>
      <c r="EE295" s="122">
        <f t="shared" ref="EE295" si="1453">+EE294/DZ294-1</f>
        <v>-8.1056044465030119E-2</v>
      </c>
      <c r="EF295" s="122">
        <f t="shared" ref="EF295" si="1454">+EF294/EA294-1</f>
        <v>-8.7777253421425172E-2</v>
      </c>
      <c r="EG295" s="122">
        <f t="shared" ref="EG295:EW295" si="1455">+EG294/EB294-1</f>
        <v>-9.436687530091481E-2</v>
      </c>
      <c r="EH295" s="122">
        <f t="shared" si="1455"/>
        <v>-9.7235932872655528E-2</v>
      </c>
      <c r="EI295" s="123">
        <f t="shared" ref="EI295" si="1456">+EI294/ED294-1</f>
        <v>-9.7235932872655528E-2</v>
      </c>
      <c r="EJ295" s="122">
        <f t="shared" si="1455"/>
        <v>-0.10231854838709675</v>
      </c>
      <c r="EK295" s="122">
        <f t="shared" si="1455"/>
        <v>-0.10967408173823068</v>
      </c>
      <c r="EL295" s="122">
        <f t="shared" si="1455"/>
        <v>-0.12812333864965442</v>
      </c>
      <c r="EM295" s="122">
        <f t="shared" si="1455"/>
        <v>-0.14816839803171133</v>
      </c>
      <c r="EN295" s="123">
        <f t="shared" ref="EN295" si="1457">+EN294/EI294-1</f>
        <v>-0.14816839803171133</v>
      </c>
      <c r="EO295" s="122">
        <f t="shared" si="1455"/>
        <v>-0.16844469399213924</v>
      </c>
      <c r="EP295" s="122">
        <f t="shared" si="1455"/>
        <v>-0.18361417780360256</v>
      </c>
      <c r="EQ295" s="122">
        <f t="shared" si="1455"/>
        <v>-0.19451219512195117</v>
      </c>
      <c r="ER295" s="122">
        <f t="shared" si="1455"/>
        <v>-0.19704749679075739</v>
      </c>
      <c r="ES295" s="123">
        <f t="shared" ref="ES295" si="1458">+ES294/EN294-1</f>
        <v>-0.19704749679075739</v>
      </c>
      <c r="ET295" s="122">
        <f t="shared" si="1455"/>
        <v>-0.2052667116812964</v>
      </c>
      <c r="EU295" s="122">
        <f t="shared" si="1455"/>
        <v>-0.21637010676156587</v>
      </c>
      <c r="EV295" s="122">
        <f t="shared" si="1455"/>
        <v>-0.22861468584405753</v>
      </c>
      <c r="EW295" s="122">
        <f t="shared" si="1455"/>
        <v>-0.24540367705835331</v>
      </c>
      <c r="EX295" s="123">
        <f t="shared" ref="EX295" si="1459">+EX294/ES294-1</f>
        <v>-0.24540367705835331</v>
      </c>
      <c r="EY295" s="122">
        <f t="shared" ref="EY295" si="1460">+EY294/ET294-1</f>
        <v>-0.25141286414410402</v>
      </c>
      <c r="EZ295" s="122">
        <f t="shared" ref="EZ295" si="1461">+EZ294/EU294-1</f>
        <v>-0.25815949110738245</v>
      </c>
      <c r="FA295" s="122">
        <f t="shared" ref="FA295" si="1462">+FA294/EV294-1</f>
        <v>-0.26550848126706617</v>
      </c>
      <c r="FB295" s="122">
        <f t="shared" ref="FB295:FC295" si="1463">+FB294/EW294-1</f>
        <v>-0.27331212148176742</v>
      </c>
      <c r="FC295" s="123">
        <f t="shared" si="1463"/>
        <v>-0.27331212148176742</v>
      </c>
      <c r="FD295" s="122">
        <f t="shared" ref="FD295" si="1464">+FD294/FC294-1</f>
        <v>-0.29243972439201893</v>
      </c>
      <c r="FE295" s="122">
        <f t="shared" ref="FE295" si="1465">+FE294/FD294-1</f>
        <v>-0.22309146311070926</v>
      </c>
      <c r="FF295" s="122">
        <f t="shared" ref="FF295" si="1466">+FF294/FE294-1</f>
        <v>-0.18102376302977907</v>
      </c>
      <c r="FG295" s="122">
        <f t="shared" ref="FG295" si="1467">+FG294/FF294-1</f>
        <v>-0.15660016187390602</v>
      </c>
      <c r="FH295" s="122">
        <f t="shared" ref="FH295" si="1468">+FH294/FG294-1</f>
        <v>-0.13134447664704618</v>
      </c>
      <c r="FI295" s="122">
        <f t="shared" ref="FI295" si="1469">+FI294/FH294-1</f>
        <v>-0.10845892669196799</v>
      </c>
    </row>
    <row r="296" spans="1:167" s="108" customFormat="1" x14ac:dyDescent="0.3">
      <c r="A296" s="65" t="s">
        <v>340</v>
      </c>
      <c r="DU296" s="455"/>
      <c r="DV296" s="124"/>
      <c r="DW296" s="124"/>
      <c r="DX296" s="124"/>
      <c r="DY296" s="125"/>
      <c r="DZ296" s="1105"/>
      <c r="EA296" s="124">
        <f t="shared" ref="EA296" si="1470">+EA294-DZ294</f>
        <v>-40</v>
      </c>
      <c r="EB296" s="124">
        <f t="shared" ref="EB296" si="1471">+EB294-EA294</f>
        <v>-42</v>
      </c>
      <c r="EC296" s="124">
        <f t="shared" ref="EC296" si="1472">+EC294-EB294</f>
        <v>-51</v>
      </c>
      <c r="ED296" s="125">
        <f>+SUM(DZ296:EC296)</f>
        <v>-133</v>
      </c>
      <c r="EE296" s="124">
        <f t="shared" ref="EE296" si="1473">+EE294-ED294</f>
        <v>-42</v>
      </c>
      <c r="EF296" s="124">
        <f t="shared" ref="EF296" si="1474">+EF294-EE294</f>
        <v>-51</v>
      </c>
      <c r="EG296" s="124">
        <f t="shared" ref="EG296:EW296" si="1475">+EG294-EF294</f>
        <v>-52</v>
      </c>
      <c r="EH296" s="124">
        <f t="shared" si="1475"/>
        <v>-52</v>
      </c>
      <c r="EI296" s="125">
        <f>+SUM(EE296:EH296)</f>
        <v>-197</v>
      </c>
      <c r="EJ296" s="124">
        <f t="shared" si="1475"/>
        <v>-48</v>
      </c>
      <c r="EK296" s="124">
        <f t="shared" si="1475"/>
        <v>-60</v>
      </c>
      <c r="EL296" s="124">
        <f t="shared" si="1475"/>
        <v>-81</v>
      </c>
      <c r="EM296" s="124">
        <f t="shared" si="1475"/>
        <v>-82</v>
      </c>
      <c r="EN296" s="125">
        <f>+SUM(EJ296:EM296)</f>
        <v>-271</v>
      </c>
      <c r="EO296" s="124">
        <f t="shared" si="1475"/>
        <v>-77</v>
      </c>
      <c r="EP296" s="124">
        <f t="shared" si="1475"/>
        <v>-76</v>
      </c>
      <c r="EQ296" s="124">
        <f t="shared" si="1475"/>
        <v>-84</v>
      </c>
      <c r="ER296" s="124">
        <f t="shared" si="1475"/>
        <v>-70</v>
      </c>
      <c r="ES296" s="125">
        <f>+SUM(EO296:ER296)</f>
        <v>-307</v>
      </c>
      <c r="ET296" s="124">
        <f t="shared" si="1475"/>
        <v>-74</v>
      </c>
      <c r="EU296" s="124">
        <f t="shared" si="1475"/>
        <v>-76</v>
      </c>
      <c r="EV296" s="124">
        <f t="shared" si="1475"/>
        <v>-82</v>
      </c>
      <c r="EW296" s="124">
        <f t="shared" si="1475"/>
        <v>-75</v>
      </c>
      <c r="EX296" s="125">
        <f>+SUM(ET296:EW296)</f>
        <v>-307</v>
      </c>
      <c r="EY296" s="124">
        <f t="shared" ref="EY296" si="1476">+EY294-EX294</f>
        <v>-62.912941097610428</v>
      </c>
      <c r="EZ296" s="124">
        <f t="shared" ref="EZ296" si="1477">+EZ294-EY294</f>
        <v>-64.32065861161766</v>
      </c>
      <c r="FA296" s="124">
        <f t="shared" ref="FA296" si="1478">+FA294-EZ294</f>
        <v>-68.319542701912383</v>
      </c>
      <c r="FB296" s="124">
        <f t="shared" ref="FB296" si="1479">+FB294-FA294</f>
        <v>-62.453500267647996</v>
      </c>
      <c r="FC296" s="125">
        <f>+SUM(EY296:FB296)</f>
        <v>-258.00664267878847</v>
      </c>
      <c r="FD296" s="124">
        <f t="shared" ref="FD296" si="1480">+FD294-FC294</f>
        <v>-200.61170834977088</v>
      </c>
      <c r="FE296" s="124">
        <f t="shared" ref="FE296" si="1481">+FE294-FD294</f>
        <v>-108.28450223612737</v>
      </c>
      <c r="FF296" s="124">
        <f t="shared" ref="FF296" si="1482">+FF294-FE294</f>
        <v>-68.263544529819171</v>
      </c>
      <c r="FG296" s="124">
        <f t="shared" ref="FG296" si="1483">+FG294-FF294</f>
        <v>-48.363392097481892</v>
      </c>
      <c r="FH296" s="124">
        <f t="shared" ref="FH296" si="1484">+FH294-FG294</f>
        <v>-34.211323428783032</v>
      </c>
      <c r="FI296" s="124">
        <f t="shared" ref="FI296" si="1485">+FI294-FH294</f>
        <v>-24.539796003748819</v>
      </c>
      <c r="FK296" s="1069" t="s">
        <v>346</v>
      </c>
    </row>
    <row r="297" spans="1:167" s="108" customFormat="1" x14ac:dyDescent="0.3">
      <c r="A297" s="65" t="s">
        <v>341</v>
      </c>
      <c r="DU297" s="122"/>
      <c r="DV297" s="122"/>
      <c r="DW297" s="122"/>
      <c r="DX297" s="122"/>
      <c r="DY297" s="123"/>
      <c r="DZ297" s="122">
        <f t="shared" ref="DZ297:FI297" si="1486">+DZ292/DZ107</f>
        <v>1.3115690123198988E-2</v>
      </c>
      <c r="EA297" s="122">
        <f t="shared" si="1486"/>
        <v>9.7925944500167061E-3</v>
      </c>
      <c r="EB297" s="122">
        <f t="shared" si="1486"/>
        <v>1.1048521600936797E-2</v>
      </c>
      <c r="EC297" s="122">
        <f t="shared" si="1486"/>
        <v>9.0496267091686993E-3</v>
      </c>
      <c r="ED297" s="123">
        <f t="shared" si="1486"/>
        <v>4.3014025474243385E-2</v>
      </c>
      <c r="EE297" s="122">
        <f t="shared" si="1486"/>
        <v>7.9207703353323857E-3</v>
      </c>
      <c r="EF297" s="122">
        <f t="shared" si="1486"/>
        <v>7.8794744227580048E-3</v>
      </c>
      <c r="EG297" s="122">
        <f t="shared" si="1486"/>
        <v>8.785667024704619E-3</v>
      </c>
      <c r="EH297" s="122">
        <f t="shared" si="1486"/>
        <v>7.1644248405974388E-3</v>
      </c>
      <c r="EI297" s="123">
        <f t="shared" si="1486"/>
        <v>3.1761931282666453E-2</v>
      </c>
      <c r="EJ297" s="122">
        <f t="shared" si="1486"/>
        <v>6.7732829517670595E-3</v>
      </c>
      <c r="EK297" s="122">
        <f t="shared" si="1486"/>
        <v>7.6768713357269437E-3</v>
      </c>
      <c r="EL297" s="122">
        <f t="shared" si="1486"/>
        <v>7.2804454634785585E-3</v>
      </c>
      <c r="EM297" s="122">
        <f t="shared" si="1486"/>
        <v>5.5178938232316047E-3</v>
      </c>
      <c r="EN297" s="123">
        <f t="shared" si="1486"/>
        <v>2.7309495658599688E-2</v>
      </c>
      <c r="EO297" s="122">
        <f t="shared" si="1486"/>
        <v>5.408390079029787E-3</v>
      </c>
      <c r="EP297" s="122">
        <f t="shared" si="1486"/>
        <v>6.2809288943690891E-3</v>
      </c>
      <c r="EQ297" s="122">
        <f t="shared" ref="EQ297:ER297" si="1487">+EQ292/EQ107</f>
        <v>7.5974702380952356E-3</v>
      </c>
      <c r="ER297" s="122">
        <f t="shared" si="1487"/>
        <v>6.805377114208597E-3</v>
      </c>
      <c r="ES297" s="123">
        <f t="shared" si="1486"/>
        <v>2.5998265186152864E-2</v>
      </c>
      <c r="ET297" s="122">
        <f t="shared" ref="ET297:EU297" si="1488">+ET292/ET107</f>
        <v>6.7431298582533153E-3</v>
      </c>
      <c r="EU297" s="122">
        <f t="shared" si="1488"/>
        <v>9.3446920052424713E-3</v>
      </c>
      <c r="EV297" s="122">
        <f t="shared" ref="EV297:EW297" si="1489">+EV292/EV107</f>
        <v>1.0902915652119627E-2</v>
      </c>
      <c r="EW297" s="122">
        <f t="shared" si="1489"/>
        <v>1.0851293965795412E-2</v>
      </c>
      <c r="EX297" s="123">
        <f t="shared" ref="EX297" si="1490">+EX292/EX107</f>
        <v>3.7548141167887655E-2</v>
      </c>
      <c r="EY297" s="122">
        <f t="shared" ref="EY297:FC297" si="1491">+EY292/EY107</f>
        <v>6.0626240283493385E-3</v>
      </c>
      <c r="EZ297" s="122">
        <f t="shared" si="1491"/>
        <v>8.2749064696771117E-3</v>
      </c>
      <c r="FA297" s="122">
        <f t="shared" si="1491"/>
        <v>9.66410251607667E-3</v>
      </c>
      <c r="FB297" s="122">
        <f t="shared" si="1491"/>
        <v>9.5802542755727624E-3</v>
      </c>
      <c r="FC297" s="123">
        <f t="shared" si="1491"/>
        <v>3.3309402714567615E-2</v>
      </c>
      <c r="FD297" s="122">
        <f t="shared" si="1486"/>
        <v>3.3176930142274602E-2</v>
      </c>
      <c r="FE297" s="122">
        <f t="shared" si="1486"/>
        <v>3.2347506888717736E-2</v>
      </c>
      <c r="FF297" s="122">
        <f t="shared" si="1486"/>
        <v>3.1538819216499793E-2</v>
      </c>
      <c r="FG297" s="122">
        <f t="shared" si="1486"/>
        <v>3.0750348736087299E-2</v>
      </c>
      <c r="FH297" s="122">
        <f t="shared" si="1486"/>
        <v>2.998159001768512E-2</v>
      </c>
      <c r="FI297" s="122">
        <f t="shared" si="1486"/>
        <v>2.9232050267242987E-2</v>
      </c>
    </row>
    <row r="298" spans="1:167" s="108" customFormat="1" x14ac:dyDescent="0.3">
      <c r="A298" s="65" t="s">
        <v>342</v>
      </c>
      <c r="DU298" s="694"/>
      <c r="DV298" s="694"/>
      <c r="DW298" s="694"/>
      <c r="DX298" s="694"/>
      <c r="DY298" s="123"/>
      <c r="DZ298" s="1106">
        <f>-DZ293/DZ291/3</f>
        <v>2.7501924839596698E-2</v>
      </c>
      <c r="EA298" s="1106">
        <f t="shared" ref="EA298:EC298" si="1492">-EA293/EA291/3</f>
        <v>2.4264103751736914E-2</v>
      </c>
      <c r="EB298" s="1106">
        <f t="shared" si="1492"/>
        <v>2.7385653610193489E-2</v>
      </c>
      <c r="EC298" s="1106">
        <f t="shared" si="1492"/>
        <v>2.5498411169956672E-2</v>
      </c>
      <c r="ED298" s="123">
        <f>+ED293/AVERAGE(DZ291:EC291)/-12</f>
        <v>2.6166779899262037E-2</v>
      </c>
      <c r="EE298" s="1106">
        <f>-EE293/EE291/3</f>
        <v>2.2338598223099703E-2</v>
      </c>
      <c r="EF298" s="1106">
        <f t="shared" ref="EF298:EG298" si="1493">-EF293/EF291/3</f>
        <v>2.4134879032258066E-2</v>
      </c>
      <c r="EG298" s="1106">
        <f t="shared" si="1493"/>
        <v>2.6598241076047597E-2</v>
      </c>
      <c r="EH298" s="1106">
        <f t="shared" ref="EH298:EJ298" si="1494">-EH293/EH291/3</f>
        <v>2.3750753145489991E-2</v>
      </c>
      <c r="EI298" s="123">
        <f>+EI293/AVERAGE(EE291:EH291)/-12</f>
        <v>2.4185987559645541E-2</v>
      </c>
      <c r="EJ298" s="1106">
        <f t="shared" si="1494"/>
        <v>2.2632130490249685E-2</v>
      </c>
      <c r="EK298" s="1106">
        <f t="shared" ref="EK298:EL298" si="1495">-EK293/EK291/3</f>
        <v>2.7036702227213175E-2</v>
      </c>
      <c r="EL298" s="1106">
        <f t="shared" si="1495"/>
        <v>3.0756381948479572E-2</v>
      </c>
      <c r="EM298" s="1106">
        <f t="shared" ref="EM298" si="1496">-EM293/EM291/3</f>
        <v>2.8296300813008133E-2</v>
      </c>
      <c r="EN298" s="123">
        <f>+EN293/AVERAGE(EJ291:EM291)/-12</f>
        <v>2.7095710801893561E-2</v>
      </c>
      <c r="EO298" s="1106">
        <f t="shared" ref="EO298:EP298" si="1497">-EO293/EO291/3</f>
        <v>2.8114184852374848E-2</v>
      </c>
      <c r="EP298" s="1106">
        <f t="shared" si="1497"/>
        <v>3.0863380598694572E-2</v>
      </c>
      <c r="EQ298" s="1106">
        <f t="shared" ref="EQ298:ER298" si="1498">-EQ293/EQ291/3</f>
        <v>3.6886595492289447E-2</v>
      </c>
      <c r="ER298" s="1106">
        <f t="shared" si="1498"/>
        <v>3.324809487761797E-2</v>
      </c>
      <c r="ES298" s="123">
        <f>+ES293/AVERAGE(EO291:ER291)/-12</f>
        <v>3.213477305579647E-2</v>
      </c>
      <c r="ET298" s="1106">
        <f t="shared" ref="ET298:EU298" si="1499">-ET293/ET291/3</f>
        <v>3.5435358379962693E-2</v>
      </c>
      <c r="EU298" s="1106">
        <f t="shared" si="1499"/>
        <v>4.3735485698102518E-2</v>
      </c>
      <c r="EV298" s="1106">
        <f t="shared" ref="EV298:EW298" si="1500">-EV293/EV291/3</f>
        <v>5.1261277626400238E-2</v>
      </c>
      <c r="EW298" s="1106">
        <f t="shared" si="1500"/>
        <v>5.2034805364736675E-2</v>
      </c>
      <c r="EX298" s="123">
        <f>+EX293/AVERAGE(ET291:EW291)/-12</f>
        <v>4.5133780416300201E-2</v>
      </c>
      <c r="EY298" s="1106">
        <f t="shared" ref="EY298:FB298" si="1501">-EY293/EY291/3</f>
        <v>3.8350427547969919E-2</v>
      </c>
      <c r="EZ298" s="1106">
        <f t="shared" si="1501"/>
        <v>4.6941596736493368E-2</v>
      </c>
      <c r="FA298" s="1106">
        <f t="shared" si="1501"/>
        <v>5.4990795374709078E-2</v>
      </c>
      <c r="FB298" s="1106">
        <f t="shared" si="1501"/>
        <v>5.5946008228241036E-2</v>
      </c>
      <c r="FC298" s="123">
        <f>+FC293/AVERAGE(EY291:FB291)/-12</f>
        <v>4.8476438574153735E-2</v>
      </c>
      <c r="FD298" s="122">
        <f t="shared" ref="FD298:FI298" si="1502">+FD293/FD291/-12</f>
        <v>4.8914895132913659E-2</v>
      </c>
      <c r="FE298" s="122">
        <f t="shared" si="1502"/>
        <v>5.0244686470318538E-2</v>
      </c>
      <c r="FF298" s="122">
        <f t="shared" si="1502"/>
        <v>5.4877376702564797E-2</v>
      </c>
      <c r="FG298" s="122">
        <f t="shared" si="1502"/>
        <v>6.050125114595379E-2</v>
      </c>
      <c r="FH298" s="122">
        <f t="shared" si="1502"/>
        <v>6.5888972376351398E-2</v>
      </c>
      <c r="FI298" s="122">
        <f t="shared" si="1502"/>
        <v>7.0804747261787357E-2</v>
      </c>
    </row>
    <row r="299" spans="1:167" s="108" customFormat="1" x14ac:dyDescent="0.3">
      <c r="A299" s="65" t="s">
        <v>403</v>
      </c>
      <c r="DU299" s="126"/>
      <c r="DV299" s="126"/>
      <c r="DW299" s="126"/>
      <c r="DX299" s="126"/>
      <c r="DY299" s="127"/>
      <c r="DZ299" s="126">
        <f t="shared" ref="DZ299:FI299" si="1503">+DZ294/DZ107</f>
        <v>0.1803299227396116</v>
      </c>
      <c r="EA299" s="126">
        <f t="shared" si="1503"/>
        <v>0.17711467736542963</v>
      </c>
      <c r="EB299" s="126">
        <f t="shared" si="1503"/>
        <v>0.17372757308351805</v>
      </c>
      <c r="EC299" s="126">
        <f t="shared" si="1503"/>
        <v>0.16995218521936079</v>
      </c>
      <c r="ED299" s="127">
        <f t="shared" si="1503"/>
        <v>0.1694936523539623</v>
      </c>
      <c r="EE299" s="126">
        <f t="shared" si="1503"/>
        <v>0.16758172142917477</v>
      </c>
      <c r="EF299" s="126">
        <f t="shared" si="1503"/>
        <v>0.1643917166305226</v>
      </c>
      <c r="EG299" s="126">
        <f t="shared" si="1503"/>
        <v>0.16163265306122448</v>
      </c>
      <c r="EH299" s="126">
        <f t="shared" si="1503"/>
        <v>0.15975194340117041</v>
      </c>
      <c r="EI299" s="127">
        <f t="shared" si="1503"/>
        <v>0.15671322080370148</v>
      </c>
      <c r="EJ299" s="126">
        <f t="shared" si="1503"/>
        <v>0.15834629917759502</v>
      </c>
      <c r="EK299" s="126">
        <f t="shared" si="1503"/>
        <v>0.15643321365268373</v>
      </c>
      <c r="EL299" s="126">
        <f t="shared" si="1503"/>
        <v>0.15347901361658323</v>
      </c>
      <c r="EM299" s="126">
        <f t="shared" si="1503"/>
        <v>0.15024832441294181</v>
      </c>
      <c r="EN299" s="127">
        <f t="shared" si="1503"/>
        <v>0.14391280251246999</v>
      </c>
      <c r="EO299" s="126">
        <f t="shared" si="1503"/>
        <v>0.14722401709826533</v>
      </c>
      <c r="EP299" s="126">
        <f t="shared" si="1503"/>
        <v>0.14436909165639128</v>
      </c>
      <c r="EQ299" s="126">
        <f t="shared" ref="EQ299:ER299" si="1504">+EQ294/EQ107</f>
        <v>0.14041241496598639</v>
      </c>
      <c r="ER299" s="126">
        <f t="shared" si="1504"/>
        <v>0.13784364497823812</v>
      </c>
      <c r="ES299" s="127">
        <f t="shared" si="1503"/>
        <v>0.13073807968647944</v>
      </c>
      <c r="ET299" s="126">
        <f t="shared" ref="ET299:EU299" si="1505">+ET294/ET107</f>
        <v>0.13454503886602653</v>
      </c>
      <c r="EU299" s="126">
        <f t="shared" si="1505"/>
        <v>0.13118074585964495</v>
      </c>
      <c r="EV299" s="126">
        <f t="shared" ref="EV299:EW299" si="1506">+EV294/EV107</f>
        <v>0.12723980770431417</v>
      </c>
      <c r="EW299" s="126">
        <f t="shared" si="1506"/>
        <v>0.1218457566957083</v>
      </c>
      <c r="EX299" s="127">
        <f t="shared" ref="EX299" si="1507">+EX294/EX107</f>
        <v>0.11478250296379609</v>
      </c>
      <c r="EY299" s="126">
        <f t="shared" ref="EY299:FC299" si="1508">+EY294/EY107</f>
        <v>0.11689779331094198</v>
      </c>
      <c r="EZ299" s="126">
        <f t="shared" si="1508"/>
        <v>0.11310014129213976</v>
      </c>
      <c r="FA299" s="126">
        <f t="shared" si="1508"/>
        <v>0.10889178669010047</v>
      </c>
      <c r="FB299" s="126">
        <f t="shared" si="1508"/>
        <v>0.10404589991255453</v>
      </c>
      <c r="FC299" s="127">
        <f t="shared" si="1508"/>
        <v>9.7216620426072417E-2</v>
      </c>
      <c r="FD299" s="126">
        <f t="shared" si="1503"/>
        <v>7.9699722156402475E-2</v>
      </c>
      <c r="FE299" s="126">
        <f t="shared" si="1503"/>
        <v>6.6161379420895852E-2</v>
      </c>
      <c r="FF299" s="126">
        <f t="shared" si="1503"/>
        <v>5.4092745841947669E-2</v>
      </c>
      <c r="FG299" s="126">
        <f t="shared" si="1503"/>
        <v>4.5546474702620861E-2</v>
      </c>
      <c r="FH299" s="126">
        <f t="shared" si="1503"/>
        <v>3.9500618344597546E-2</v>
      </c>
      <c r="FI299" s="126">
        <f t="shared" si="1503"/>
        <v>3.5161417121998585E-2</v>
      </c>
    </row>
    <row r="300" spans="1:167" s="108" customFormat="1" x14ac:dyDescent="0.3">
      <c r="A300" s="65"/>
      <c r="DU300" s="126"/>
      <c r="DV300" s="126"/>
      <c r="DW300" s="126"/>
      <c r="DX300" s="126"/>
      <c r="DY300" s="127"/>
      <c r="DZ300" s="126"/>
      <c r="EA300" s="126"/>
      <c r="EB300" s="126"/>
      <c r="EC300" s="126"/>
      <c r="ED300" s="127"/>
      <c r="EE300" s="126"/>
      <c r="EF300" s="126"/>
      <c r="EG300" s="126"/>
      <c r="EH300" s="126"/>
      <c r="EI300" s="127"/>
      <c r="EJ300" s="126"/>
      <c r="EK300" s="126"/>
      <c r="EL300" s="126"/>
      <c r="EM300" s="126"/>
      <c r="EN300" s="127"/>
      <c r="EO300" s="126"/>
      <c r="EP300" s="126"/>
      <c r="EQ300" s="126"/>
      <c r="ER300" s="126"/>
      <c r="ES300" s="126"/>
      <c r="ET300" s="126"/>
      <c r="EU300" s="126"/>
      <c r="EV300" s="126"/>
      <c r="EW300" s="126"/>
      <c r="EX300" s="126"/>
      <c r="EY300" s="126"/>
      <c r="EZ300" s="126"/>
      <c r="FA300" s="126"/>
      <c r="FB300" s="126"/>
      <c r="FC300" s="126"/>
      <c r="FD300" s="126"/>
      <c r="FE300" s="126"/>
      <c r="FF300" s="126"/>
      <c r="FG300" s="126"/>
      <c r="FH300" s="126"/>
      <c r="FI300" s="126"/>
    </row>
    <row r="301" spans="1:167" x14ac:dyDescent="0.3">
      <c r="A301" s="68" t="s">
        <v>411</v>
      </c>
      <c r="EO301"/>
      <c r="EP301"/>
      <c r="EQ301"/>
      <c r="ER301"/>
    </row>
    <row r="302" spans="1:167" x14ac:dyDescent="0.3">
      <c r="A302" s="67" t="s">
        <v>350</v>
      </c>
      <c r="DU302" s="76">
        <f>+DU305-DU307</f>
        <v>221.78299148423201</v>
      </c>
      <c r="DV302" s="76">
        <f>+DU305</f>
        <v>214.78299148423201</v>
      </c>
      <c r="DW302" s="76">
        <f>+DV305</f>
        <v>208.26460665049439</v>
      </c>
      <c r="DX302" s="76">
        <f>+DW305</f>
        <v>202.75857092358399</v>
      </c>
      <c r="DY302" s="85">
        <f>+DU302</f>
        <v>221.78299148423201</v>
      </c>
      <c r="DZ302" s="76">
        <f>+DY305</f>
        <v>197.26520094726561</v>
      </c>
      <c r="EA302" s="76">
        <f>+DZ305</f>
        <v>190.78482148437499</v>
      </c>
      <c r="EB302" s="76">
        <f>+EA305</f>
        <v>185.31776562499999</v>
      </c>
      <c r="EC302" s="76">
        <f>+EB305</f>
        <v>178.864375</v>
      </c>
      <c r="ED302" s="85">
        <f>+DZ302</f>
        <v>197.26520094726561</v>
      </c>
      <c r="EE302" s="76">
        <f>+ED305</f>
        <v>174.42500000000001</v>
      </c>
      <c r="EF302" s="76">
        <f>+EE305</f>
        <v>170</v>
      </c>
      <c r="EG302" s="76">
        <f>+EF305</f>
        <v>167</v>
      </c>
      <c r="EH302" s="76">
        <f>+EG305</f>
        <v>163</v>
      </c>
      <c r="EI302" s="85">
        <f>+EE302</f>
        <v>174.42500000000001</v>
      </c>
      <c r="EJ302" s="76">
        <f>+EI305</f>
        <v>156</v>
      </c>
      <c r="EK302" s="76">
        <f>+EJ305</f>
        <v>153</v>
      </c>
      <c r="EL302" s="76">
        <f>+EK305</f>
        <v>148</v>
      </c>
      <c r="EM302" s="76">
        <f>+EL305</f>
        <v>143</v>
      </c>
      <c r="EN302" s="85">
        <f>+EJ302</f>
        <v>156</v>
      </c>
      <c r="EO302" s="76">
        <f>+EN305</f>
        <v>136</v>
      </c>
      <c r="EP302" s="76">
        <f>+EO305</f>
        <v>130</v>
      </c>
      <c r="EQ302" s="76">
        <f>+EP305</f>
        <v>126</v>
      </c>
      <c r="ER302" s="76">
        <f>+EQ305</f>
        <v>120</v>
      </c>
      <c r="ES302" s="85">
        <f>+EO302</f>
        <v>136</v>
      </c>
      <c r="ET302" s="76">
        <f>+ES305</f>
        <v>114</v>
      </c>
      <c r="EU302" s="76">
        <f>+ET305</f>
        <v>108</v>
      </c>
      <c r="EV302" s="76">
        <f>+EU305</f>
        <v>102</v>
      </c>
      <c r="EW302" s="76">
        <f>+EV305</f>
        <v>96</v>
      </c>
      <c r="EX302" s="85">
        <f>+ET302</f>
        <v>114</v>
      </c>
      <c r="EY302" s="76">
        <f t="shared" ref="EY302" si="1509">+EX305</f>
        <v>90</v>
      </c>
      <c r="EZ302" s="76">
        <f t="shared" ref="EZ302" si="1510">+EY305</f>
        <v>84.783507329114087</v>
      </c>
      <c r="FA302" s="76">
        <f t="shared" ref="FA302" si="1511">+EZ305</f>
        <v>79.600904599049343</v>
      </c>
      <c r="FB302" s="76">
        <f t="shared" ref="FB302" si="1512">+FA305</f>
        <v>74.450206113416499</v>
      </c>
      <c r="FC302" s="85">
        <f>+EY302</f>
        <v>90</v>
      </c>
      <c r="FD302" s="76">
        <f t="shared" ref="FD302:FI302" si="1513">+FC305</f>
        <v>69.331714740532206</v>
      </c>
      <c r="FE302" s="76">
        <f t="shared" si="1513"/>
        <v>51.928229533687656</v>
      </c>
      <c r="FF302" s="76">
        <f t="shared" si="1513"/>
        <v>39.117382688465298</v>
      </c>
      <c r="FG302" s="76">
        <f t="shared" si="1513"/>
        <v>29.745697540636542</v>
      </c>
      <c r="FH302" s="76">
        <f t="shared" si="1513"/>
        <v>22.890372292165118</v>
      </c>
      <c r="FI302" s="76">
        <f t="shared" si="1513"/>
        <v>17.876199614425524</v>
      </c>
    </row>
    <row r="303" spans="1:167" x14ac:dyDescent="0.3">
      <c r="A303" s="67" t="s">
        <v>351</v>
      </c>
      <c r="DU303" s="76">
        <f>+DU305-DU304-DU302</f>
        <v>7.9703519251856676</v>
      </c>
      <c r="DV303" s="76">
        <f>+DV305-DV304-DV302</f>
        <v>7.6572926042216807</v>
      </c>
      <c r="DW303" s="76">
        <f>+DW305-DW304-DW302</f>
        <v>8.7392633679834262</v>
      </c>
      <c r="DX303" s="76">
        <f>+DX305-DX304-DX302</f>
        <v>7.7670405620840199</v>
      </c>
      <c r="DY303" s="85">
        <f>+SUM(DU303:DX303)</f>
        <v>32.133948459474794</v>
      </c>
      <c r="DZ303" s="76">
        <f>+DZ305-DZ304-DZ302</f>
        <v>6.3024055584921825</v>
      </c>
      <c r="EA303" s="76">
        <f>+EA305-EA304-EA302</f>
        <v>5.4076789652343678</v>
      </c>
      <c r="EB303" s="76">
        <f>+EB305-EB304-EB302</f>
        <v>4.8324613015624891</v>
      </c>
      <c r="EC303" s="76">
        <f>+EC305-EC304-EC302</f>
        <v>5.1119826250000244</v>
      </c>
      <c r="ED303" s="85">
        <f>+SUM(DZ303:EC303)</f>
        <v>21.654528450289064</v>
      </c>
      <c r="EE303" s="76">
        <f>+EE305-EE304-EE302</f>
        <v>4.5230024999999898</v>
      </c>
      <c r="EF303" s="76">
        <f>+EF305-EF304-EF302</f>
        <v>5.414999999999992</v>
      </c>
      <c r="EG303" s="76">
        <f>+EG305-EG304-EG302</f>
        <v>3.9659000000000049</v>
      </c>
      <c r="EH303" s="76">
        <f>+EH305-EH304-EH302</f>
        <v>0.87289999999998713</v>
      </c>
      <c r="EI303" s="85">
        <f>+SUM(EE303:EH303)</f>
        <v>14.776802499999974</v>
      </c>
      <c r="EJ303" s="76">
        <f>+EJ305-EJ304-EJ302</f>
        <v>4.1604000000000099</v>
      </c>
      <c r="EK303" s="76">
        <f>+EK305-EK304-EK302</f>
        <v>2.1144999999999925</v>
      </c>
      <c r="EL303" s="76">
        <f>+EL305-EL304-EL302</f>
        <v>2.7255999999999858</v>
      </c>
      <c r="EM303" s="76">
        <f>+EM305-EM304-EM302</f>
        <v>0.76490000000001146</v>
      </c>
      <c r="EN303" s="85">
        <f>+SUM(EJ303:EM303)</f>
        <v>9.7653999999999996</v>
      </c>
      <c r="EO303" s="76">
        <f>+EO305-EO304-EO302</f>
        <v>1.6704000000000008</v>
      </c>
      <c r="EP303" s="76">
        <f>+EP305-EP304-EP302</f>
        <v>2.5910000000000082</v>
      </c>
      <c r="EQ303" s="76">
        <f>+EQ305-EQ304-EQ302</f>
        <v>0.35040000000000759</v>
      </c>
      <c r="ER303" s="76">
        <f>+ER305-ER304-ER302</f>
        <v>0.22799999999999443</v>
      </c>
      <c r="ES303" s="85">
        <f>+SUM(EO303:ER303)</f>
        <v>4.839800000000011</v>
      </c>
      <c r="ET303" s="76">
        <f>+ET305-ET304-ET302</f>
        <v>0.87420000000000186</v>
      </c>
      <c r="EU303" s="76">
        <f>+EU305-EU304-EU302</f>
        <v>0.44759999999999422</v>
      </c>
      <c r="EV303" s="76">
        <f>+EV305-EV304-EV302</f>
        <v>0.27299999999999613</v>
      </c>
      <c r="EW303" s="76">
        <f>+EW305-EW304-EW302</f>
        <v>1.9199999999997885E-2</v>
      </c>
      <c r="EX303" s="85">
        <f>+SUM(ET303:EW303)</f>
        <v>1.6139999999999901</v>
      </c>
      <c r="EY303" s="76">
        <f t="shared" ref="EY303:FB303" si="1514">+EY308*EY107</f>
        <v>0.75320732911409516</v>
      </c>
      <c r="EZ303" s="76">
        <f t="shared" si="1514"/>
        <v>0.38513019623817291</v>
      </c>
      <c r="FA303" s="76">
        <f t="shared" si="1514"/>
        <v>0.23430271049284576</v>
      </c>
      <c r="FB303" s="76">
        <f t="shared" si="1514"/>
        <v>1.633934275805151E-2</v>
      </c>
      <c r="FC303" s="85">
        <f>+SUM(EY303:FB303)</f>
        <v>1.3889795786031653</v>
      </c>
      <c r="FD303" s="76">
        <f t="shared" ref="FD303:FI303" si="1515">+FD308*FD107</f>
        <v>1.1987897338812528</v>
      </c>
      <c r="FE303" s="76">
        <f t="shared" si="1515"/>
        <v>1.1219284594976036</v>
      </c>
      <c r="FF303" s="76">
        <f t="shared" si="1515"/>
        <v>1.1238335402012272</v>
      </c>
      <c r="FG303" s="76">
        <f t="shared" si="1515"/>
        <v>1.1256924722846475</v>
      </c>
      <c r="FH303" s="76">
        <f t="shared" si="1515"/>
        <v>1.1275043378656719</v>
      </c>
      <c r="FI303" s="76">
        <f t="shared" si="1515"/>
        <v>1.1292682066885138</v>
      </c>
    </row>
    <row r="304" spans="1:167" x14ac:dyDescent="0.3">
      <c r="A304" s="67" t="s">
        <v>337</v>
      </c>
      <c r="DU304" s="76">
        <f>+DU309*DU302*-3</f>
        <v>-14.97035192518566</v>
      </c>
      <c r="DV304" s="76">
        <f>+DV309*DV302*-3</f>
        <v>-14.175677437959312</v>
      </c>
      <c r="DW304" s="76">
        <f>+DW309*DW302*-3</f>
        <v>-14.245299094893817</v>
      </c>
      <c r="DX304" s="76">
        <f>+DX309*DX302*-3</f>
        <v>-13.260410538402393</v>
      </c>
      <c r="DY304" s="85">
        <f>+SUM(DU304:DX304)</f>
        <v>-56.651738996441182</v>
      </c>
      <c r="DZ304" s="76">
        <f>+DZ309*DZ302*-3</f>
        <v>-12.782785021382812</v>
      </c>
      <c r="EA304" s="76">
        <f>+EA309*EA302*-3</f>
        <v>-10.874734824609375</v>
      </c>
      <c r="EB304" s="76">
        <f>+EB309*EB302*-3</f>
        <v>-11.285851926562499</v>
      </c>
      <c r="EC304" s="76">
        <f>+EC309*EC302*-3</f>
        <v>-9.5513576249999996</v>
      </c>
      <c r="ED304" s="85">
        <f>+SUM(DZ304:EC304)</f>
        <v>-44.494729397554686</v>
      </c>
      <c r="EE304" s="76">
        <f>+EE309*EE302*-3</f>
        <v>-8.9480025000000012</v>
      </c>
      <c r="EF304" s="76">
        <f>+EF309*EF302*-3</f>
        <v>-8.4150000000000009</v>
      </c>
      <c r="EG304" s="76">
        <f>+EG309*EG302*-3</f>
        <v>-7.9658999999999995</v>
      </c>
      <c r="EH304" s="76">
        <f>+EH309*EH302*-3</f>
        <v>-7.8728999999999996</v>
      </c>
      <c r="EI304" s="85">
        <f>+SUM(EE304:EH304)</f>
        <v>-33.201802499999999</v>
      </c>
      <c r="EJ304" s="76">
        <f>+EJ309*EJ302*-3</f>
        <v>-7.1604000000000001</v>
      </c>
      <c r="EK304" s="76">
        <f>+EK309*EK302*-3</f>
        <v>-7.1145000000000005</v>
      </c>
      <c r="EL304" s="76">
        <f>+EL309*EL302*-3</f>
        <v>-7.7255999999999991</v>
      </c>
      <c r="EM304" s="76">
        <f>+EM309*EM302*-3</f>
        <v>-7.7649000000000008</v>
      </c>
      <c r="EN304" s="85">
        <f>+SUM(EJ304:EM304)</f>
        <v>-29.7654</v>
      </c>
      <c r="EO304" s="76">
        <f>+EO309*EO302*-3</f>
        <v>-7.6703999999999999</v>
      </c>
      <c r="EP304" s="76">
        <f>+EP309*EP302*-3</f>
        <v>-6.5909999999999993</v>
      </c>
      <c r="EQ304" s="76">
        <f>+EQ309*EQ302*-3</f>
        <v>-6.3504000000000005</v>
      </c>
      <c r="ER304" s="76">
        <f>+ER309*ER302*-3</f>
        <v>-6.2279999999999998</v>
      </c>
      <c r="ES304" s="85">
        <f>+SUM(EO304:ER304)</f>
        <v>-26.839799999999997</v>
      </c>
      <c r="ET304" s="76">
        <f>+ET309*ET302*-3</f>
        <v>-6.8742000000000001</v>
      </c>
      <c r="EU304" s="76">
        <f>+EU309*EU302*-3</f>
        <v>-6.4475999999999996</v>
      </c>
      <c r="EV304" s="76">
        <f>+EV309*EV302*-3</f>
        <v>-6.2730000000000006</v>
      </c>
      <c r="EW304" s="76">
        <f>+EW309*EW302*-3</f>
        <v>-6.0191999999999997</v>
      </c>
      <c r="EX304" s="85">
        <f>+SUM(ET304:EW304)</f>
        <v>-25.613999999999997</v>
      </c>
      <c r="EY304" s="76">
        <f t="shared" ref="EY304:FB304" si="1516">+EY309*EY302*-3</f>
        <v>-5.9696999999999996</v>
      </c>
      <c r="EZ304" s="76">
        <f t="shared" si="1516"/>
        <v>-5.5677329263029236</v>
      </c>
      <c r="FA304" s="76">
        <f t="shared" si="1516"/>
        <v>-5.3850011961256889</v>
      </c>
      <c r="FB304" s="76">
        <f t="shared" si="1516"/>
        <v>-5.1348307156423356</v>
      </c>
      <c r="FC304" s="85">
        <f>+SUM(EY304:FB304)</f>
        <v>-22.05726483807095</v>
      </c>
      <c r="FD304" s="76">
        <f t="shared" ref="FD304:FI304" si="1517">+FD309*FD302*-12</f>
        <v>-18.60227494072581</v>
      </c>
      <c r="FE304" s="76">
        <f t="shared" si="1517"/>
        <v>-13.932775304719957</v>
      </c>
      <c r="FF304" s="76">
        <f t="shared" si="1517"/>
        <v>-10.495518688029984</v>
      </c>
      <c r="FG304" s="76">
        <f t="shared" si="1517"/>
        <v>-7.9810177207560722</v>
      </c>
      <c r="FH304" s="76">
        <f t="shared" si="1517"/>
        <v>-6.1416770156052678</v>
      </c>
      <c r="FI304" s="76">
        <f t="shared" si="1517"/>
        <v>-4.7963328379708221</v>
      </c>
    </row>
    <row r="305" spans="1:177" x14ac:dyDescent="0.3">
      <c r="A305" s="64" t="s">
        <v>412</v>
      </c>
      <c r="DU305" s="1080">
        <f>Inputs!DU386</f>
        <v>214.78299148423201</v>
      </c>
      <c r="DV305" s="1080">
        <f>Inputs!DV386</f>
        <v>208.26460665049439</v>
      </c>
      <c r="DW305" s="1080">
        <f>Inputs!DW386</f>
        <v>202.75857092358399</v>
      </c>
      <c r="DX305" s="1080">
        <f>Inputs!DX386</f>
        <v>197.26520094726561</v>
      </c>
      <c r="DY305" s="803">
        <f>+DX305</f>
        <v>197.26520094726561</v>
      </c>
      <c r="DZ305" s="1080">
        <f>Inputs!DZ386</f>
        <v>190.78482148437499</v>
      </c>
      <c r="EA305" s="1080">
        <f>Inputs!EA386</f>
        <v>185.31776562499999</v>
      </c>
      <c r="EB305" s="1080">
        <f>Inputs!EB386</f>
        <v>178.864375</v>
      </c>
      <c r="EC305" s="1080">
        <f>Inputs!EC386</f>
        <v>174.42500000000001</v>
      </c>
      <c r="ED305" s="803">
        <f>+EC305</f>
        <v>174.42500000000001</v>
      </c>
      <c r="EE305" s="1080">
        <f>Inputs!EE386</f>
        <v>170</v>
      </c>
      <c r="EF305" s="1080">
        <f>Inputs!EF386</f>
        <v>167</v>
      </c>
      <c r="EG305" s="1080">
        <f>Inputs!EG386</f>
        <v>163</v>
      </c>
      <c r="EH305" s="1080">
        <f>Inputs!EH386</f>
        <v>156</v>
      </c>
      <c r="EI305" s="803">
        <f>+EH305</f>
        <v>156</v>
      </c>
      <c r="EJ305" s="1080">
        <f>Inputs!EJ386</f>
        <v>153</v>
      </c>
      <c r="EK305" s="1080">
        <f>Inputs!EK386</f>
        <v>148</v>
      </c>
      <c r="EL305" s="1080">
        <f>Inputs!EL386</f>
        <v>143</v>
      </c>
      <c r="EM305" s="1080">
        <f>Inputs!EM386</f>
        <v>136</v>
      </c>
      <c r="EN305" s="803">
        <f>+EM305</f>
        <v>136</v>
      </c>
      <c r="EO305" s="1080">
        <f>Inputs!EO386</f>
        <v>130</v>
      </c>
      <c r="EP305" s="1080">
        <f>Inputs!EP386</f>
        <v>126</v>
      </c>
      <c r="EQ305" s="1080">
        <f>Inputs!EQ386</f>
        <v>120</v>
      </c>
      <c r="ER305" s="1080">
        <f>Inputs!ER386</f>
        <v>114</v>
      </c>
      <c r="ES305" s="803">
        <f>+ER305</f>
        <v>114</v>
      </c>
      <c r="ET305" s="1080">
        <f>Inputs!ET386</f>
        <v>108</v>
      </c>
      <c r="EU305" s="1080">
        <f>Inputs!EU386</f>
        <v>102</v>
      </c>
      <c r="EV305" s="1080">
        <f>Inputs!EV386</f>
        <v>96</v>
      </c>
      <c r="EW305" s="1080">
        <f>Inputs!EW386</f>
        <v>90</v>
      </c>
      <c r="EX305" s="803">
        <f>+EW305</f>
        <v>90</v>
      </c>
      <c r="EY305" s="804">
        <f t="shared" ref="EY305:FB305" si="1518">+SUM(EY302:EY304)</f>
        <v>84.783507329114087</v>
      </c>
      <c r="EZ305" s="804">
        <f t="shared" si="1518"/>
        <v>79.600904599049343</v>
      </c>
      <c r="FA305" s="804">
        <f t="shared" si="1518"/>
        <v>74.450206113416499</v>
      </c>
      <c r="FB305" s="804">
        <f t="shared" si="1518"/>
        <v>69.331714740532206</v>
      </c>
      <c r="FC305" s="803">
        <f>+FB305</f>
        <v>69.331714740532206</v>
      </c>
      <c r="FD305" s="804">
        <f t="shared" ref="FD305:FI305" si="1519">+SUM(FD302:FD304)</f>
        <v>51.928229533687656</v>
      </c>
      <c r="FE305" s="804">
        <f t="shared" si="1519"/>
        <v>39.117382688465298</v>
      </c>
      <c r="FF305" s="804">
        <f t="shared" si="1519"/>
        <v>29.745697540636542</v>
      </c>
      <c r="FG305" s="804">
        <f t="shared" si="1519"/>
        <v>22.890372292165118</v>
      </c>
      <c r="FH305" s="804">
        <f t="shared" si="1519"/>
        <v>17.876199614425524</v>
      </c>
      <c r="FI305" s="804">
        <f t="shared" si="1519"/>
        <v>14.209134983143215</v>
      </c>
    </row>
    <row r="306" spans="1:177" x14ac:dyDescent="0.3">
      <c r="A306" s="69" t="s">
        <v>339</v>
      </c>
      <c r="DU306" s="79"/>
      <c r="DZ306" s="83">
        <f t="shared" ref="DZ306:EW306" si="1520">+DZ305/DU305-1</f>
        <v>-0.11173217131403446</v>
      </c>
      <c r="EA306" s="83">
        <f t="shared" si="1520"/>
        <v>-0.11018118438147939</v>
      </c>
      <c r="EB306" s="83">
        <f t="shared" si="1520"/>
        <v>-0.11784555303750532</v>
      </c>
      <c r="EC306" s="83">
        <f t="shared" si="1520"/>
        <v>-0.11578423785638403</v>
      </c>
      <c r="ED306" s="91">
        <f t="shared" si="1520"/>
        <v>-0.11578423785638403</v>
      </c>
      <c r="EE306" s="83">
        <f t="shared" si="1520"/>
        <v>-0.10894378977667907</v>
      </c>
      <c r="EF306" s="83">
        <f t="shared" si="1520"/>
        <v>-9.8845167721625438E-2</v>
      </c>
      <c r="EG306" s="83">
        <f t="shared" si="1520"/>
        <v>-8.8694995859292858E-2</v>
      </c>
      <c r="EH306" s="83">
        <f t="shared" si="1520"/>
        <v>-0.1056327934642397</v>
      </c>
      <c r="EI306" s="91">
        <f t="shared" si="1520"/>
        <v>-0.1056327934642397</v>
      </c>
      <c r="EJ306" s="83">
        <f t="shared" si="1520"/>
        <v>-9.9999999999999978E-2</v>
      </c>
      <c r="EK306" s="83">
        <f t="shared" si="1520"/>
        <v>-0.11377245508982037</v>
      </c>
      <c r="EL306" s="83">
        <f t="shared" si="1520"/>
        <v>-0.12269938650306744</v>
      </c>
      <c r="EM306" s="83">
        <f t="shared" si="1520"/>
        <v>-0.12820512820512819</v>
      </c>
      <c r="EN306" s="91">
        <f>+EN305/EI305-1</f>
        <v>-0.12820512820512819</v>
      </c>
      <c r="EO306" s="83">
        <f t="shared" si="1520"/>
        <v>-0.15032679738562094</v>
      </c>
      <c r="EP306" s="83">
        <f t="shared" si="1520"/>
        <v>-0.14864864864864868</v>
      </c>
      <c r="EQ306" s="83">
        <f t="shared" si="1520"/>
        <v>-0.16083916083916083</v>
      </c>
      <c r="ER306" s="83">
        <f t="shared" si="1520"/>
        <v>-0.16176470588235292</v>
      </c>
      <c r="ES306" s="91">
        <f>+ES305/EN305-1</f>
        <v>-0.16176470588235292</v>
      </c>
      <c r="ET306" s="83">
        <f t="shared" si="1520"/>
        <v>-0.16923076923076918</v>
      </c>
      <c r="EU306" s="83">
        <f t="shared" si="1520"/>
        <v>-0.19047619047619047</v>
      </c>
      <c r="EV306" s="83">
        <f t="shared" si="1520"/>
        <v>-0.19999999999999996</v>
      </c>
      <c r="EW306" s="83">
        <f t="shared" si="1520"/>
        <v>-0.21052631578947367</v>
      </c>
      <c r="EX306" s="91">
        <f>+EX305/ES305-1</f>
        <v>-0.21052631578947367</v>
      </c>
      <c r="EY306" s="83">
        <f t="shared" ref="EY306" si="1521">+EY305/ET305-1</f>
        <v>-0.21496752473042513</v>
      </c>
      <c r="EZ306" s="83">
        <f t="shared" ref="EZ306" si="1522">+EZ305/EU305-1</f>
        <v>-0.21959897451912413</v>
      </c>
      <c r="FA306" s="83">
        <f t="shared" ref="FA306" si="1523">+FA305/EV305-1</f>
        <v>-0.22447701965191147</v>
      </c>
      <c r="FB306" s="83">
        <f t="shared" ref="FB306" si="1524">+FB305/EW305-1</f>
        <v>-0.22964761399408662</v>
      </c>
      <c r="FC306" s="91">
        <f>+FC305/EX305-1</f>
        <v>-0.22964761399408662</v>
      </c>
      <c r="FD306" s="83">
        <f t="shared" ref="FD306:FI306" si="1525">+FD305/FC305-1</f>
        <v>-0.25101766589757013</v>
      </c>
      <c r="FE306" s="83">
        <f t="shared" si="1525"/>
        <v>-0.24670293904227014</v>
      </c>
      <c r="FF306" s="83">
        <f t="shared" si="1525"/>
        <v>-0.23957853270669416</v>
      </c>
      <c r="FG306" s="83">
        <f t="shared" si="1525"/>
        <v>-0.23046443066618783</v>
      </c>
      <c r="FH306" s="83">
        <f t="shared" si="1525"/>
        <v>-0.21905160011118896</v>
      </c>
      <c r="FI306" s="83">
        <f t="shared" si="1525"/>
        <v>-0.20513670189289579</v>
      </c>
    </row>
    <row r="307" spans="1:177" x14ac:dyDescent="0.3">
      <c r="A307" s="65" t="s">
        <v>340</v>
      </c>
      <c r="DU307" s="80">
        <f>Inputs!DU391</f>
        <v>-7</v>
      </c>
      <c r="DV307" s="77">
        <f>+DV305-DU305</f>
        <v>-6.5183848337376276</v>
      </c>
      <c r="DW307" s="77">
        <f>+DW305-DV305</f>
        <v>-5.5060357269103974</v>
      </c>
      <c r="DX307" s="77">
        <f>+DX305-DW305</f>
        <v>-5.4933699763183768</v>
      </c>
      <c r="DY307" s="86">
        <f>+SUM(DU307:DX307)</f>
        <v>-24.517790536966402</v>
      </c>
      <c r="DZ307" s="77">
        <f>+DZ305-DY305</f>
        <v>-6.4803794628906246</v>
      </c>
      <c r="EA307" s="77">
        <f>+EA305-DZ305</f>
        <v>-5.4670558593749945</v>
      </c>
      <c r="EB307" s="77">
        <f>+EB305-EA305</f>
        <v>-6.4533906249999973</v>
      </c>
      <c r="EC307" s="77">
        <f>+EC305-EB305</f>
        <v>-4.4393749999999841</v>
      </c>
      <c r="ED307" s="86">
        <f>+SUM(DZ307:EC307)</f>
        <v>-22.8402009472656</v>
      </c>
      <c r="EE307" s="77">
        <f>+EE305-ED305</f>
        <v>-4.4250000000000114</v>
      </c>
      <c r="EF307" s="77">
        <f>+EF305-EE305</f>
        <v>-3</v>
      </c>
      <c r="EG307" s="77">
        <f>+EG305-EF305</f>
        <v>-4</v>
      </c>
      <c r="EH307" s="77">
        <f>+EH305-EG305</f>
        <v>-7</v>
      </c>
      <c r="EI307" s="86">
        <f>+SUM(EE307:EH307)</f>
        <v>-18.425000000000011</v>
      </c>
      <c r="EJ307" s="77">
        <f>+EJ305-EI305</f>
        <v>-3</v>
      </c>
      <c r="EK307" s="77">
        <f>+EK305-EJ305</f>
        <v>-5</v>
      </c>
      <c r="EL307" s="77">
        <f>+EL305-EK305</f>
        <v>-5</v>
      </c>
      <c r="EM307" s="77">
        <f>+EM305-EL305</f>
        <v>-7</v>
      </c>
      <c r="EN307" s="86">
        <f>+SUM(EJ307:EM307)</f>
        <v>-20</v>
      </c>
      <c r="EO307" s="77">
        <f>+EO305-EN305</f>
        <v>-6</v>
      </c>
      <c r="EP307" s="77">
        <f>+EP305-EO305</f>
        <v>-4</v>
      </c>
      <c r="EQ307" s="77">
        <f>+EQ305-EP305</f>
        <v>-6</v>
      </c>
      <c r="ER307" s="77">
        <f>+ER305-EQ305</f>
        <v>-6</v>
      </c>
      <c r="ES307" s="86">
        <f>+SUM(EO307:ER307)</f>
        <v>-22</v>
      </c>
      <c r="ET307" s="77">
        <f>+ET305-ES305</f>
        <v>-6</v>
      </c>
      <c r="EU307" s="77">
        <f>+EU305-ET305</f>
        <v>-6</v>
      </c>
      <c r="EV307" s="77">
        <f>+EV305-EU305</f>
        <v>-6</v>
      </c>
      <c r="EW307" s="77">
        <f>+EW305-EV305</f>
        <v>-6</v>
      </c>
      <c r="EX307" s="86">
        <f>+SUM(ET307:EW307)</f>
        <v>-24</v>
      </c>
      <c r="EY307" s="77">
        <f t="shared" ref="EY307" si="1526">+EY305-EX305</f>
        <v>-5.2164926708859127</v>
      </c>
      <c r="EZ307" s="77">
        <f t="shared" ref="EZ307" si="1527">+EZ305-EY305</f>
        <v>-5.1826027300647439</v>
      </c>
      <c r="FA307" s="77">
        <f t="shared" ref="FA307" si="1528">+FA305-EZ305</f>
        <v>-5.1506984856328444</v>
      </c>
      <c r="FB307" s="77">
        <f t="shared" ref="FB307" si="1529">+FB305-FA305</f>
        <v>-5.1184913728842929</v>
      </c>
      <c r="FC307" s="86">
        <f>+SUM(EY307:FB307)</f>
        <v>-20.668285259467794</v>
      </c>
      <c r="FD307" s="77">
        <f t="shared" ref="FD307:FI307" si="1530">+FD305-FC305</f>
        <v>-17.40348520684455</v>
      </c>
      <c r="FE307" s="77">
        <f t="shared" si="1530"/>
        <v>-12.810846845222358</v>
      </c>
      <c r="FF307" s="77">
        <f t="shared" si="1530"/>
        <v>-9.3716851478287566</v>
      </c>
      <c r="FG307" s="77">
        <f t="shared" si="1530"/>
        <v>-6.8553252484714235</v>
      </c>
      <c r="FH307" s="77">
        <f t="shared" si="1530"/>
        <v>-5.0141726777395945</v>
      </c>
      <c r="FI307" s="77">
        <f t="shared" si="1530"/>
        <v>-3.6670646312823081</v>
      </c>
    </row>
    <row r="308" spans="1:177" x14ac:dyDescent="0.3">
      <c r="A308" s="65" t="s">
        <v>341</v>
      </c>
      <c r="DU308" s="96"/>
      <c r="DV308" s="1198">
        <f t="shared" ref="DV308:EP308" si="1531">+DV303/DV107</f>
        <v>6.3933310547062546E-4</v>
      </c>
      <c r="DW308" s="1198">
        <f t="shared" si="1531"/>
        <v>7.2967048242326342E-4</v>
      </c>
      <c r="DX308" s="1198">
        <f t="shared" si="1531"/>
        <v>6.4849633147566336E-4</v>
      </c>
      <c r="DY308" s="93">
        <f t="shared" si="1531"/>
        <v>2.6829714001398342E-3</v>
      </c>
      <c r="DZ308" s="1198">
        <f t="shared" si="1531"/>
        <v>5.2640681215219737E-4</v>
      </c>
      <c r="EA308" s="1198">
        <f t="shared" si="1531"/>
        <v>4.5199590147395252E-4</v>
      </c>
      <c r="EB308" s="1198">
        <f t="shared" si="1531"/>
        <v>4.0420403174793937E-4</v>
      </c>
      <c r="EC308" s="1198">
        <f t="shared" si="1531"/>
        <v>4.288216277996833E-4</v>
      </c>
      <c r="ED308" s="93">
        <f t="shared" si="1531"/>
        <v>1.8116017359537417E-3</v>
      </c>
      <c r="EE308" s="1198">
        <f t="shared" si="1531"/>
        <v>3.8204261339640086E-4</v>
      </c>
      <c r="EF308" s="1198">
        <f t="shared" si="1531"/>
        <v>4.6051792320448971E-4</v>
      </c>
      <c r="EG308" s="1198">
        <f t="shared" si="1531"/>
        <v>3.4078625134264276E-4</v>
      </c>
      <c r="EH308" s="1198">
        <f t="shared" si="1531"/>
        <v>7.6242466590967516E-5</v>
      </c>
      <c r="EI308" s="93">
        <f t="shared" si="1531"/>
        <v>1.2661128009596413E-3</v>
      </c>
      <c r="EJ308" s="1198">
        <f t="shared" si="1531"/>
        <v>3.6989553234052097E-4</v>
      </c>
      <c r="EK308" s="1198">
        <f t="shared" si="1531"/>
        <v>1.9220106349134141E-4</v>
      </c>
      <c r="EL308" s="1198">
        <f t="shared" si="1531"/>
        <v>2.5507463384960794E-4</v>
      </c>
      <c r="EM308" s="1198">
        <f t="shared" si="1531"/>
        <v>7.3764405226868358E-5</v>
      </c>
      <c r="EN308" s="93">
        <f t="shared" si="1531"/>
        <v>9.0203214483650465E-4</v>
      </c>
      <c r="EO308" s="1198">
        <f t="shared" si="1531"/>
        <v>1.6605199065559926E-4</v>
      </c>
      <c r="EP308" s="1198">
        <f t="shared" si="1531"/>
        <v>2.6623510069872668E-4</v>
      </c>
      <c r="EQ308" s="1198">
        <f t="shared" ref="EQ308:ER308" si="1532">+EQ303/EQ107</f>
        <v>3.7244897959184478E-5</v>
      </c>
      <c r="ER308" s="1198">
        <f t="shared" si="1532"/>
        <v>2.512258277780777E-5</v>
      </c>
      <c r="ES308" s="93">
        <f>+ES303/ES107</f>
        <v>5.0579229261920428E-4</v>
      </c>
      <c r="ET308" s="1198">
        <f t="shared" ref="ET308:EU308" si="1533">+ET303/ET107</f>
        <v>9.9931412894376068E-5</v>
      </c>
      <c r="EU308" s="1198">
        <f t="shared" si="1533"/>
        <v>5.3330156082448974E-5</v>
      </c>
      <c r="EV308" s="1198">
        <f t="shared" ref="EV308:EW308" si="1534">+EV303/EV107</f>
        <v>3.4088780670537068E-5</v>
      </c>
      <c r="EW308" s="1198">
        <f t="shared" si="1534"/>
        <v>2.4782187802514212E-6</v>
      </c>
      <c r="EX308" s="93">
        <f>+EX303/EX107</f>
        <v>1.9624889807581117E-4</v>
      </c>
      <c r="EY308" s="82">
        <f t="shared" ref="EY308" si="1535">ET308</f>
        <v>9.9931412894376068E-5</v>
      </c>
      <c r="EZ308" s="82">
        <f t="shared" ref="EZ308" si="1536">EU308</f>
        <v>5.3330156082448974E-5</v>
      </c>
      <c r="FA308" s="82">
        <f t="shared" ref="FA308" si="1537">EV308</f>
        <v>3.4088780670537068E-5</v>
      </c>
      <c r="FB308" s="82">
        <f t="shared" ref="FB308" si="1538">EW308</f>
        <v>2.4782187802514212E-6</v>
      </c>
      <c r="FC308" s="93">
        <f>+FC303/FC107</f>
        <v>1.968414111179246E-4</v>
      </c>
      <c r="FD308" s="82">
        <f t="shared" ref="FD308:FI308" si="1539">FC308</f>
        <v>1.968414111179246E-4</v>
      </c>
      <c r="FE308" s="82">
        <f t="shared" si="1539"/>
        <v>1.968414111179246E-4</v>
      </c>
      <c r="FF308" s="82">
        <f t="shared" si="1539"/>
        <v>1.968414111179246E-4</v>
      </c>
      <c r="FG308" s="82">
        <f t="shared" si="1539"/>
        <v>1.968414111179246E-4</v>
      </c>
      <c r="FH308" s="82">
        <f t="shared" si="1539"/>
        <v>1.968414111179246E-4</v>
      </c>
      <c r="FI308" s="82">
        <f t="shared" si="1539"/>
        <v>1.968414111179246E-4</v>
      </c>
    </row>
    <row r="309" spans="1:177" x14ac:dyDescent="0.3">
      <c r="A309" s="65" t="s">
        <v>342</v>
      </c>
      <c r="DU309" s="1235">
        <f>Inputs!DU421</f>
        <v>2.2499999999999999E-2</v>
      </c>
      <c r="DV309" s="1235">
        <f>Inputs!DV421</f>
        <v>2.1999999999999999E-2</v>
      </c>
      <c r="DW309" s="1235">
        <f>Inputs!DW421</f>
        <v>2.2800000000000001E-2</v>
      </c>
      <c r="DX309" s="1235">
        <f>Inputs!DX421</f>
        <v>2.18E-2</v>
      </c>
      <c r="DY309" s="1236">
        <f>+DY304/AVERAGE(DU302:DX302)/-12</f>
        <v>2.227955934066703E-2</v>
      </c>
      <c r="DZ309" s="1235">
        <f>Inputs!DZ421</f>
        <v>2.1600000000000001E-2</v>
      </c>
      <c r="EA309" s="1235">
        <f>Inputs!EA421</f>
        <v>1.9E-2</v>
      </c>
      <c r="EB309" s="1235">
        <f>Inputs!EB421</f>
        <v>2.0299999999999999E-2</v>
      </c>
      <c r="EC309" s="1235">
        <f>Inputs!EC421</f>
        <v>1.78E-2</v>
      </c>
      <c r="ED309" s="1236">
        <f>+ED304/AVERAGE(DZ302:EC302)/-12</f>
        <v>1.971675394147537E-2</v>
      </c>
      <c r="EE309" s="1235">
        <f>Inputs!EE425</f>
        <v>1.7100000000000001E-2</v>
      </c>
      <c r="EF309" s="1235">
        <f>Inputs!EF425</f>
        <v>1.6500000000000001E-2</v>
      </c>
      <c r="EG309" s="1235">
        <f>Inputs!EG425</f>
        <v>1.5900000000000001E-2</v>
      </c>
      <c r="EH309" s="1235">
        <f>Inputs!EH425</f>
        <v>1.61E-2</v>
      </c>
      <c r="EI309" s="1236">
        <f>+EI304/AVERAGE(EE302:EH302)/-12</f>
        <v>1.6409930681691814E-2</v>
      </c>
      <c r="EJ309" s="1235">
        <f>Inputs!EJ425</f>
        <v>1.5299999999999999E-2</v>
      </c>
      <c r="EK309" s="1235">
        <f>Inputs!EK425</f>
        <v>1.55E-2</v>
      </c>
      <c r="EL309" s="1235">
        <f>Inputs!EL425</f>
        <v>1.7399999999999999E-2</v>
      </c>
      <c r="EM309" s="1235">
        <f>Inputs!EM425</f>
        <v>1.8100000000000002E-2</v>
      </c>
      <c r="EN309" s="1236">
        <f>+EN304/AVERAGE(EJ302:EM302)/-12</f>
        <v>1.6536333333333333E-2</v>
      </c>
      <c r="EO309" s="1235">
        <f>Inputs!EO425</f>
        <v>1.8800000000000001E-2</v>
      </c>
      <c r="EP309" s="1235">
        <f>Inputs!EP425</f>
        <v>1.6899999999999998E-2</v>
      </c>
      <c r="EQ309" s="1235">
        <f>Inputs!EQ425</f>
        <v>1.6799999999999999E-2</v>
      </c>
      <c r="ER309" s="1235">
        <f>Inputs!ER425</f>
        <v>1.7299999999999999E-2</v>
      </c>
      <c r="ES309" s="1236">
        <f>+ES304/AVERAGE(EO302:ER302)/-12</f>
        <v>1.7473828124999997E-2</v>
      </c>
      <c r="ET309" s="1235">
        <f>Inputs!ET425</f>
        <v>2.01E-2</v>
      </c>
      <c r="EU309" s="1235">
        <f>Inputs!EU425</f>
        <v>1.9900000000000001E-2</v>
      </c>
      <c r="EV309" s="1235">
        <f>Inputs!EV425</f>
        <v>2.0500000000000001E-2</v>
      </c>
      <c r="EW309" s="1235">
        <f>Inputs!EW425</f>
        <v>2.0899999999999998E-2</v>
      </c>
      <c r="EX309" s="1236">
        <f>+EX304/AVERAGE(ET302:EW302)/-12</f>
        <v>2.0328571428571428E-2</v>
      </c>
      <c r="EY309" s="1186">
        <f>+ET309*1.1</f>
        <v>2.2110000000000001E-2</v>
      </c>
      <c r="EZ309" s="1186">
        <f t="shared" ref="EZ309:FB309" si="1540">+EU309*1.1</f>
        <v>2.1890000000000003E-2</v>
      </c>
      <c r="FA309" s="1186">
        <f t="shared" si="1540"/>
        <v>2.2550000000000004E-2</v>
      </c>
      <c r="FB309" s="1186">
        <f t="shared" si="1540"/>
        <v>2.299E-2</v>
      </c>
      <c r="FC309" s="1236">
        <f>+FC304/AVERAGE(EY302:FB302)/-12</f>
        <v>2.2359025507954974E-2</v>
      </c>
      <c r="FD309" s="1186">
        <f t="shared" ref="FD309:FI309" si="1541">+FC309</f>
        <v>2.2359025507954974E-2</v>
      </c>
      <c r="FE309" s="1186">
        <f t="shared" si="1541"/>
        <v>2.2359025507954974E-2</v>
      </c>
      <c r="FF309" s="1186">
        <f t="shared" si="1541"/>
        <v>2.2359025507954974E-2</v>
      </c>
      <c r="FG309" s="1186">
        <f t="shared" si="1541"/>
        <v>2.2359025507954974E-2</v>
      </c>
      <c r="FH309" s="1186">
        <f t="shared" si="1541"/>
        <v>2.2359025507954974E-2</v>
      </c>
      <c r="FI309" s="1186">
        <f t="shared" si="1541"/>
        <v>2.2359025507954974E-2</v>
      </c>
    </row>
    <row r="310" spans="1:177" x14ac:dyDescent="0.3">
      <c r="A310" s="65" t="s">
        <v>210</v>
      </c>
      <c r="DU310" s="75">
        <f t="shared" ref="DU310:FI310" si="1542">DU305/DU94</f>
        <v>1.7932954119080906E-2</v>
      </c>
      <c r="DV310" s="75">
        <f t="shared" si="1542"/>
        <v>1.7388712252692191E-2</v>
      </c>
      <c r="DW310" s="75">
        <f t="shared" si="1542"/>
        <v>1.692899481703131E-2</v>
      </c>
      <c r="DX310" s="75">
        <f t="shared" si="1542"/>
        <v>1.6470334887473126E-2</v>
      </c>
      <c r="DY310" s="84">
        <f t="shared" si="1542"/>
        <v>1.6470334887473126E-2</v>
      </c>
      <c r="DZ310" s="75">
        <f t="shared" si="1542"/>
        <v>1.5941245110659676E-2</v>
      </c>
      <c r="EA310" s="75">
        <f t="shared" si="1542"/>
        <v>1.5494796456939798E-2</v>
      </c>
      <c r="EB310" s="75">
        <f t="shared" si="1542"/>
        <v>1.4966477700610827E-2</v>
      </c>
      <c r="EC310" s="75">
        <f t="shared" si="1542"/>
        <v>1.4668656967454377E-2</v>
      </c>
      <c r="ED310" s="84">
        <f t="shared" si="1542"/>
        <v>1.4668656967454377E-2</v>
      </c>
      <c r="EE310" s="75">
        <f t="shared" si="1542"/>
        <v>1.4422669042165097E-2</v>
      </c>
      <c r="EF310" s="75">
        <f t="shared" si="1542"/>
        <v>1.4236999147485082E-2</v>
      </c>
      <c r="EG310" s="75">
        <f t="shared" si="1542"/>
        <v>1.411866608921611E-2</v>
      </c>
      <c r="EH310" s="75">
        <f t="shared" si="1542"/>
        <v>1.374086144631375E-2</v>
      </c>
      <c r="EI310" s="84">
        <f t="shared" si="1542"/>
        <v>1.374086144631375E-2</v>
      </c>
      <c r="EJ310" s="75">
        <f t="shared" si="1542"/>
        <v>1.3731825525040387E-2</v>
      </c>
      <c r="EK310" s="75">
        <f t="shared" si="1542"/>
        <v>1.362673786944112E-2</v>
      </c>
      <c r="EL310" s="75">
        <f t="shared" si="1542"/>
        <v>1.3606089438629876E-2</v>
      </c>
      <c r="EM310" s="75">
        <f t="shared" si="1542"/>
        <v>1.3295532310098739E-2</v>
      </c>
      <c r="EN310" s="84">
        <f t="shared" si="1542"/>
        <v>1.3295532310098739E-2</v>
      </c>
      <c r="EO310" s="75">
        <f t="shared" si="1542"/>
        <v>1.314459049544995E-2</v>
      </c>
      <c r="EP310" s="75">
        <f t="shared" si="1542"/>
        <v>1.316064340923334E-2</v>
      </c>
      <c r="EQ310" s="75">
        <f t="shared" ref="EQ310:ER310" si="1543">EQ305/EQ94</f>
        <v>1.2984202553559835E-2</v>
      </c>
      <c r="ER310" s="75">
        <f t="shared" si="1543"/>
        <v>1.2796048939274891E-2</v>
      </c>
      <c r="ES310" s="84">
        <f t="shared" si="1542"/>
        <v>1.2796048939274891E-2</v>
      </c>
      <c r="ET310" s="75">
        <f t="shared" ref="ET310:EU310" si="1544">ET305/ET94</f>
        <v>1.257715150809363E-2</v>
      </c>
      <c r="EU310" s="75">
        <f t="shared" si="1544"/>
        <v>1.2440541529454811E-2</v>
      </c>
      <c r="EV310" s="75">
        <f t="shared" ref="EV310:EW310" si="1545">EV305/EV94</f>
        <v>1.2279355333844973E-2</v>
      </c>
      <c r="EW310" s="75">
        <f t="shared" si="1545"/>
        <v>1.1723329425556858E-2</v>
      </c>
      <c r="EX310" s="84">
        <f t="shared" ref="EX310" si="1546">EX305/EX94</f>
        <v>1.1723329425556858E-2</v>
      </c>
      <c r="EY310" s="75">
        <f t="shared" ref="EY310:FC310" si="1547">EY305/EY94</f>
        <v>1.1461124814278771E-2</v>
      </c>
      <c r="EZ310" s="75">
        <f t="shared" si="1547"/>
        <v>1.1297707819675786E-2</v>
      </c>
      <c r="FA310" s="75">
        <f t="shared" si="1547"/>
        <v>1.1110544583511156E-2</v>
      </c>
      <c r="FB310" s="75">
        <f t="shared" si="1547"/>
        <v>1.0690265166992865E-2</v>
      </c>
      <c r="FC310" s="84">
        <f t="shared" si="1547"/>
        <v>1.0690265166992865E-2</v>
      </c>
      <c r="FD310" s="75">
        <f t="shared" si="1542"/>
        <v>9.1185992198068565E-3</v>
      </c>
      <c r="FE310" s="75">
        <f t="shared" si="1542"/>
        <v>6.8572203798518304E-3</v>
      </c>
      <c r="FF310" s="75">
        <f t="shared" si="1542"/>
        <v>5.2056516745368495E-3</v>
      </c>
      <c r="FG310" s="75">
        <f t="shared" si="1542"/>
        <v>3.9994071012642704E-3</v>
      </c>
      <c r="FH310" s="75">
        <f t="shared" si="1542"/>
        <v>3.1183812324689238E-3</v>
      </c>
      <c r="FI310" s="75">
        <f t="shared" si="1542"/>
        <v>2.4748713160208085E-3</v>
      </c>
    </row>
    <row r="311" spans="1:177" x14ac:dyDescent="0.3">
      <c r="A311" s="65"/>
      <c r="ET311" s="90"/>
      <c r="EU311" s="90"/>
      <c r="EV311" s="90"/>
      <c r="EW311" s="90"/>
      <c r="EY311" s="90"/>
      <c r="EZ311" s="90"/>
      <c r="FA311" s="90"/>
      <c r="FB311" s="90"/>
    </row>
    <row r="312" spans="1:177" ht="12.75" customHeight="1" x14ac:dyDescent="0.3">
      <c r="A312" s="105" t="s">
        <v>413</v>
      </c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106"/>
      <c r="AH312" s="106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5"/>
      <c r="BM312" s="105"/>
      <c r="BN312" s="105"/>
      <c r="BO312" s="105"/>
      <c r="BP312" s="105"/>
      <c r="BQ312" s="105"/>
      <c r="BR312" s="106"/>
      <c r="BS312" s="106"/>
      <c r="BT312" s="106"/>
      <c r="BU312" s="106"/>
      <c r="BV312" s="105"/>
      <c r="BW312" s="106"/>
      <c r="BX312" s="106"/>
      <c r="BY312" s="106"/>
      <c r="BZ312" s="106"/>
      <c r="CA312" s="105"/>
      <c r="CB312" s="106"/>
      <c r="CC312" s="106"/>
      <c r="CD312" s="106"/>
      <c r="CE312" s="106"/>
      <c r="CF312" s="105"/>
      <c r="CG312" s="106"/>
      <c r="CH312" s="106"/>
      <c r="CI312" s="106"/>
      <c r="CJ312" s="106"/>
      <c r="CK312" s="105"/>
      <c r="CL312" s="106"/>
      <c r="CM312" s="106"/>
      <c r="CN312" s="106"/>
      <c r="CO312" s="106"/>
      <c r="CP312" s="105"/>
      <c r="CQ312" s="106"/>
      <c r="CR312" s="106"/>
      <c r="CS312" s="106"/>
      <c r="CT312" s="106"/>
      <c r="CU312" s="106"/>
      <c r="CV312" s="106"/>
      <c r="CW312" s="106"/>
      <c r="CX312" s="106"/>
      <c r="CY312" s="106"/>
      <c r="CZ312" s="106"/>
      <c r="DA312" s="106"/>
      <c r="DB312" s="106"/>
      <c r="DC312" s="106"/>
      <c r="DD312" s="106"/>
      <c r="DE312" s="106"/>
      <c r="DF312" s="106"/>
      <c r="DG312" s="106"/>
      <c r="DH312" s="106"/>
      <c r="DI312" s="106"/>
      <c r="DJ312" s="106"/>
      <c r="DK312" s="106"/>
      <c r="DL312" s="106"/>
      <c r="DM312" s="106"/>
      <c r="DN312" s="106"/>
      <c r="DO312" s="106"/>
      <c r="DP312" s="106"/>
      <c r="DQ312" s="106"/>
      <c r="DR312" s="106"/>
      <c r="DS312" s="106"/>
      <c r="DT312" s="106"/>
      <c r="DU312" s="107"/>
      <c r="DV312" s="107"/>
      <c r="DW312" s="107"/>
      <c r="DX312" s="107"/>
      <c r="DY312" s="1205"/>
      <c r="DZ312" s="107"/>
      <c r="EA312" s="107"/>
      <c r="EB312" s="107"/>
      <c r="EC312" s="107"/>
      <c r="ED312" s="1205"/>
      <c r="EE312" s="107"/>
      <c r="EF312" s="107"/>
      <c r="EG312" s="107"/>
      <c r="EH312" s="107"/>
      <c r="EI312" s="1205"/>
      <c r="EJ312" s="107"/>
      <c r="EK312" s="107"/>
      <c r="EL312" s="107"/>
      <c r="EM312" s="107"/>
      <c r="EN312" s="105"/>
      <c r="EO312" s="105"/>
      <c r="EP312" s="105"/>
      <c r="EQ312" s="105"/>
      <c r="ER312" s="105"/>
      <c r="ES312" s="106"/>
      <c r="ET312" s="105"/>
      <c r="EU312" s="105"/>
      <c r="EV312" s="105"/>
      <c r="EW312" s="105"/>
      <c r="EX312" s="106"/>
      <c r="EY312" s="105"/>
      <c r="EZ312" s="105"/>
      <c r="FA312" s="105"/>
      <c r="FB312" s="105"/>
      <c r="FC312" s="106"/>
      <c r="FD312" s="106"/>
      <c r="FE312" s="106"/>
      <c r="FF312" s="106"/>
      <c r="FG312" s="106"/>
      <c r="FH312" s="106"/>
      <c r="FI312" s="106"/>
      <c r="FJ312" s="106"/>
      <c r="FK312" s="106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</row>
    <row r="313" spans="1:177" x14ac:dyDescent="0.3">
      <c r="A313" s="55" t="s">
        <v>357</v>
      </c>
      <c r="ET313" s="90"/>
      <c r="EU313" s="90"/>
      <c r="EV313" s="90"/>
      <c r="EW313" s="90"/>
      <c r="EY313" s="90"/>
      <c r="EZ313" s="90"/>
      <c r="FA313" s="90"/>
      <c r="FB313" s="90"/>
    </row>
    <row r="314" spans="1:177" x14ac:dyDescent="0.3">
      <c r="A314" s="56" t="s">
        <v>414</v>
      </c>
      <c r="DU314" s="76">
        <f>AVERAGE(DU257,DU260)</f>
        <v>1574.5</v>
      </c>
      <c r="DV314" s="76">
        <f>AVERAGE(DV257,DV260)</f>
        <v>1544</v>
      </c>
      <c r="DW314" s="76">
        <f>AVERAGE(DW257,DW260)</f>
        <v>1499</v>
      </c>
      <c r="DX314" s="76">
        <f>AVERAGE(DX257,DX260)</f>
        <v>1458.5</v>
      </c>
      <c r="DY314" s="85">
        <f>AVERAGE(DU314:DX314)</f>
        <v>1519</v>
      </c>
      <c r="DZ314" s="76">
        <f>AVERAGE(DZ257,DZ260)</f>
        <v>1430.5</v>
      </c>
      <c r="EA314" s="76">
        <f>AVERAGE(EA257,EA260)</f>
        <v>1410</v>
      </c>
      <c r="EB314" s="76">
        <f>AVERAGE(EB257,EB260)</f>
        <v>1391</v>
      </c>
      <c r="EC314" s="76">
        <f>AVERAGE(EC257,EC260)</f>
        <v>1365</v>
      </c>
      <c r="ED314" s="85">
        <f t="shared" ref="ED314:ED319" si="1548">AVERAGE(DZ314:EC314)</f>
        <v>1399.125</v>
      </c>
      <c r="EE314" s="76">
        <f>AVERAGE(EE257,EE260)</f>
        <v>1338</v>
      </c>
      <c r="EF314" s="76">
        <f>AVERAGE(EF257,EF260)</f>
        <v>1312</v>
      </c>
      <c r="EG314" s="76">
        <f>AVERAGE(EG257,EG260)</f>
        <v>1280.5</v>
      </c>
      <c r="EH314" s="76">
        <f>AVERAGE(EH257,EH260)</f>
        <v>1249</v>
      </c>
      <c r="EI314" s="85">
        <f t="shared" ref="EI314:EI319" si="1549">AVERAGE(EE314:EH314)</f>
        <v>1294.875</v>
      </c>
      <c r="EJ314" s="76">
        <f>AVERAGE(EJ257,EJ260)</f>
        <v>1219</v>
      </c>
      <c r="EK314" s="76">
        <f>AVERAGE(EK257,EK260)</f>
        <v>1183.5</v>
      </c>
      <c r="EL314" s="76">
        <f>AVERAGE(EL257,EL260)</f>
        <v>1134</v>
      </c>
      <c r="EM314" s="76">
        <f>AVERAGE(EM257,EM260)</f>
        <v>1074</v>
      </c>
      <c r="EN314" s="85">
        <f>AVERAGE(EJ314:EM314)</f>
        <v>1152.625</v>
      </c>
      <c r="EO314" s="76">
        <f>AVERAGE(EO257,EO260)</f>
        <v>1015</v>
      </c>
      <c r="EP314" s="76">
        <f>AVERAGE(EP257,EP260)</f>
        <v>957.5</v>
      </c>
      <c r="EQ314" s="76">
        <f>AVERAGE(EQ257,EQ260)</f>
        <v>899</v>
      </c>
      <c r="ER314" s="76">
        <f>AVERAGE(ER257,ER260)</f>
        <v>846</v>
      </c>
      <c r="ES314" s="85">
        <f>AVERAGE(EO314:ER314)</f>
        <v>929.375</v>
      </c>
      <c r="ET314" s="76">
        <f>AVERAGE(ET257,ET260)</f>
        <v>796.5</v>
      </c>
      <c r="EU314" s="76">
        <f>AVERAGE(EU257,EU260)</f>
        <v>746</v>
      </c>
      <c r="EV314" s="76">
        <f>AVERAGE(EV257,EV260)</f>
        <v>693.5</v>
      </c>
      <c r="EW314" s="76">
        <f>AVERAGE(EW257,EW260)</f>
        <v>639</v>
      </c>
      <c r="EX314" s="85">
        <f>AVERAGE(ET314:EW314)</f>
        <v>718.75</v>
      </c>
      <c r="EY314" s="76">
        <f t="shared" ref="EY314:FB314" si="1550">AVERAGE(EY257,EY260)</f>
        <v>590.73911999999996</v>
      </c>
      <c r="EZ314" s="76">
        <f t="shared" si="1550"/>
        <v>548.77201119360006</v>
      </c>
      <c r="FA314" s="76">
        <f t="shared" si="1550"/>
        <v>505.53849611056205</v>
      </c>
      <c r="FB314" s="76">
        <f t="shared" si="1550"/>
        <v>460.92793732031714</v>
      </c>
      <c r="FC314" s="85">
        <f>AVERAGE(EY314:FB314)</f>
        <v>526.49439115611983</v>
      </c>
      <c r="FD314" s="76">
        <f t="shared" ref="FD314:FI314" si="1551">AVERAGE(FD257,FD260)</f>
        <v>369.52983623072532</v>
      </c>
      <c r="FE314" s="76">
        <f t="shared" si="1551"/>
        <v>252.79651664792431</v>
      </c>
      <c r="FF314" s="76">
        <f t="shared" si="1551"/>
        <v>172.9388876448474</v>
      </c>
      <c r="FG314" s="76">
        <f t="shared" si="1551"/>
        <v>118.30803389387893</v>
      </c>
      <c r="FH314" s="76">
        <f t="shared" si="1551"/>
        <v>80.934895988110213</v>
      </c>
      <c r="FI314" s="76">
        <f t="shared" si="1551"/>
        <v>55.367815464517911</v>
      </c>
    </row>
    <row r="315" spans="1:177" x14ac:dyDescent="0.3">
      <c r="A315" s="56" t="s">
        <v>415</v>
      </c>
      <c r="DZ315" s="76">
        <f>AVERAGE(DZ268,DZ271)</f>
        <v>90</v>
      </c>
      <c r="EA315" s="76">
        <f>AVERAGE(EA268,EA271)</f>
        <v>84.5</v>
      </c>
      <c r="EB315" s="76">
        <f>AVERAGE(EB268,EB271)</f>
        <v>78.5</v>
      </c>
      <c r="EC315" s="76">
        <f>AVERAGE(EC268,EC271)</f>
        <v>72</v>
      </c>
      <c r="ED315" s="85">
        <f t="shared" si="1548"/>
        <v>81.25</v>
      </c>
      <c r="EE315" s="76">
        <f>AVERAGE(EE268,EE271)</f>
        <v>66.5</v>
      </c>
      <c r="EF315" s="76">
        <f>AVERAGE(EF268,EF271)</f>
        <v>62</v>
      </c>
      <c r="EG315" s="76">
        <f>AVERAGE(EG268,EG271)</f>
        <v>58.5</v>
      </c>
      <c r="EH315" s="76">
        <f>AVERAGE(EH268,EH271)</f>
        <v>55</v>
      </c>
      <c r="EI315" s="85">
        <f t="shared" si="1549"/>
        <v>60.5</v>
      </c>
      <c r="EJ315" s="76">
        <f>AVERAGE(EJ268,EJ271)</f>
        <v>51</v>
      </c>
      <c r="EK315" s="76">
        <f>AVERAGE(EK268,EK271)</f>
        <v>48.5</v>
      </c>
      <c r="EL315" s="76">
        <f>AVERAGE(EL268,EL271)</f>
        <v>44</v>
      </c>
      <c r="EM315" s="76">
        <f>AVERAGE(EM268,EM271)</f>
        <v>37.5</v>
      </c>
      <c r="EN315" s="85">
        <f>AVERAGE(EJ315:EM315)</f>
        <v>45.25</v>
      </c>
      <c r="EO315" s="76">
        <f>AVERAGE(EO268,EO271)</f>
        <v>33.5</v>
      </c>
      <c r="EP315" s="76">
        <f>AVERAGE(EP268,EP271)</f>
        <v>28.5</v>
      </c>
      <c r="EQ315" s="76">
        <f>AVERAGE(EQ268,EQ271)</f>
        <v>23</v>
      </c>
      <c r="ER315" s="76">
        <f>AVERAGE(ER268,ER271)</f>
        <v>20</v>
      </c>
      <c r="ES315" s="85">
        <f>AVERAGE(EO315:ER315)</f>
        <v>26.25</v>
      </c>
      <c r="ET315" s="76">
        <f>AVERAGE(ET268,ET271)</f>
        <v>16.5</v>
      </c>
      <c r="EU315" s="76">
        <f>AVERAGE(EU268,EU271)</f>
        <v>13.5</v>
      </c>
      <c r="EV315" s="76">
        <f>AVERAGE(EV268,EV271)</f>
        <v>12.5</v>
      </c>
      <c r="EW315" s="76">
        <f>AVERAGE(EW268,EW271)</f>
        <v>11.5</v>
      </c>
      <c r="EX315" s="85">
        <f>AVERAGE(ET315:EW315)</f>
        <v>13.5</v>
      </c>
      <c r="EY315" s="76">
        <f t="shared" ref="EY315:FB315" si="1552">AVERAGE(EY268,EY271)</f>
        <v>10.241379310344827</v>
      </c>
      <c r="EZ315" s="76">
        <f t="shared" si="1552"/>
        <v>8.8287752675386439</v>
      </c>
      <c r="FA315" s="76">
        <f t="shared" si="1552"/>
        <v>7.6110131616712451</v>
      </c>
      <c r="FB315" s="76">
        <f t="shared" si="1552"/>
        <v>6.5612182428200381</v>
      </c>
      <c r="FC315" s="85">
        <f>AVERAGE(EY315:FB315)</f>
        <v>8.3105964955936891</v>
      </c>
      <c r="FD315" s="76">
        <f t="shared" ref="FD315:FI315" si="1553">AVERAGE(FD268,FD271)</f>
        <v>4.399284262427229</v>
      </c>
      <c r="FE315" s="76">
        <f t="shared" si="1553"/>
        <v>1.972092945225999</v>
      </c>
      <c r="FF315" s="76">
        <f t="shared" si="1553"/>
        <v>0.88404166510130988</v>
      </c>
      <c r="FG315" s="76">
        <f t="shared" si="1553"/>
        <v>0.3962945395281734</v>
      </c>
      <c r="FH315" s="76">
        <f t="shared" si="1553"/>
        <v>0.17764927634021568</v>
      </c>
      <c r="FI315" s="76">
        <f t="shared" si="1553"/>
        <v>7.9635882497338065E-2</v>
      </c>
    </row>
    <row r="316" spans="1:177" x14ac:dyDescent="0.3">
      <c r="A316" s="56" t="s">
        <v>416</v>
      </c>
      <c r="DZ316" s="76">
        <f>AVERAGE(DZ280,DZ283)</f>
        <v>740</v>
      </c>
      <c r="EA316" s="76">
        <f>AVERAGE(EA280,EA283)</f>
        <v>729</v>
      </c>
      <c r="EB316" s="76">
        <f>AVERAGE(EB280,EB283)</f>
        <v>707</v>
      </c>
      <c r="EC316" s="76">
        <f>AVERAGE(EC280,EC283)</f>
        <v>686.5</v>
      </c>
      <c r="ED316" s="85">
        <f t="shared" si="1548"/>
        <v>715.625</v>
      </c>
      <c r="EE316" s="76">
        <f>AVERAGE(EE280,EE283)</f>
        <v>667</v>
      </c>
      <c r="EF316" s="76">
        <f>AVERAGE(EF280,EF283)</f>
        <v>646.5</v>
      </c>
      <c r="EG316" s="76">
        <f>AVERAGE(EG280,EG283)</f>
        <v>626.5</v>
      </c>
      <c r="EH316" s="76">
        <f>AVERAGE(EH280,EH283)</f>
        <v>606</v>
      </c>
      <c r="EI316" s="85">
        <f t="shared" si="1549"/>
        <v>636.5</v>
      </c>
      <c r="EJ316" s="76">
        <f>AVERAGE(EJ280,EJ283)</f>
        <v>586</v>
      </c>
      <c r="EK316" s="76">
        <f>AVERAGE(EK280,EK283)</f>
        <v>567.5</v>
      </c>
      <c r="EL316" s="76">
        <f>AVERAGE(EL280,EL283)</f>
        <v>546.5</v>
      </c>
      <c r="EM316" s="76">
        <f>AVERAGE(EM280,EM283)</f>
        <v>525</v>
      </c>
      <c r="EN316" s="85">
        <f>AVERAGE(EJ316:EM316)</f>
        <v>556.25</v>
      </c>
      <c r="EO316" s="76">
        <f>AVERAGE(EO280,EO283)</f>
        <v>504.5</v>
      </c>
      <c r="EP316" s="76">
        <f>AVERAGE(EP280,EP283)</f>
        <v>485.5</v>
      </c>
      <c r="EQ316" s="76">
        <f>AVERAGE(EQ280,EQ283)</f>
        <v>464</v>
      </c>
      <c r="ER316" s="76">
        <f>AVERAGE(ER280,ER283)</f>
        <v>440</v>
      </c>
      <c r="ES316" s="85">
        <f>AVERAGE(EO316:ER316)</f>
        <v>473.5</v>
      </c>
      <c r="ET316" s="76">
        <f>AVERAGE(ET280,ET283)</f>
        <v>417.5</v>
      </c>
      <c r="EU316" s="76">
        <f>AVERAGE(EU280,EU283)</f>
        <v>393</v>
      </c>
      <c r="EV316" s="76">
        <f>AVERAGE(EV280,EV283)</f>
        <v>366.5</v>
      </c>
      <c r="EW316" s="76">
        <f>AVERAGE(EW280,EW283)</f>
        <v>342.5</v>
      </c>
      <c r="EX316" s="85">
        <f>AVERAGE(ET316:EW316)</f>
        <v>379.875</v>
      </c>
      <c r="EY316" s="76">
        <f t="shared" ref="EY316:FB316" si="1554">AVERAGE(EY280,EY283)</f>
        <v>321.80440945119483</v>
      </c>
      <c r="EZ316" s="76">
        <f t="shared" si="1554"/>
        <v>300.15471840298073</v>
      </c>
      <c r="FA316" s="76">
        <f t="shared" si="1554"/>
        <v>277.06813282925373</v>
      </c>
      <c r="FB316" s="76">
        <f t="shared" si="1554"/>
        <v>256.2921701347185</v>
      </c>
      <c r="FC316" s="85">
        <f>AVERAGE(EY316:FB316)</f>
        <v>288.82985770453695</v>
      </c>
      <c r="FD316" s="76">
        <f t="shared" ref="FD316:FI316" si="1555">AVERAGE(FD280,FD283)</f>
        <v>216.15766691560077</v>
      </c>
      <c r="FE316" s="76">
        <f t="shared" si="1555"/>
        <v>178.44288120545266</v>
      </c>
      <c r="FF316" s="76">
        <f t="shared" si="1555"/>
        <v>170.02648682555628</v>
      </c>
      <c r="FG316" s="76">
        <f t="shared" si="1555"/>
        <v>166.34387226287424</v>
      </c>
      <c r="FH316" s="76">
        <f t="shared" si="1555"/>
        <v>162.42965240551052</v>
      </c>
      <c r="FI316" s="76">
        <f t="shared" si="1555"/>
        <v>158.62117321283688</v>
      </c>
    </row>
    <row r="317" spans="1:177" x14ac:dyDescent="0.3">
      <c r="A317" s="56" t="s">
        <v>417</v>
      </c>
      <c r="DZ317" s="76">
        <f>AVERAGE(DZ291,DZ294)</f>
        <v>2170.5</v>
      </c>
      <c r="EA317" s="76">
        <f t="shared" ref="EA317:EC317" si="1556">AVERAGE(EA291,EA294)</f>
        <v>2139</v>
      </c>
      <c r="EB317" s="76">
        <f t="shared" si="1556"/>
        <v>2098</v>
      </c>
      <c r="EC317" s="76">
        <f t="shared" si="1556"/>
        <v>2051.5</v>
      </c>
      <c r="ED317" s="85">
        <f t="shared" si="1548"/>
        <v>2114.75</v>
      </c>
      <c r="EE317" s="76">
        <f>AVERAGE(EE291,EE294)</f>
        <v>2005</v>
      </c>
      <c r="EF317" s="76">
        <f t="shared" ref="EF317:EG317" si="1557">AVERAGE(EF291,EF294)</f>
        <v>1958.5</v>
      </c>
      <c r="EG317" s="76">
        <f t="shared" si="1557"/>
        <v>1907</v>
      </c>
      <c r="EH317" s="76">
        <f t="shared" ref="EH317:EJ317" si="1558">AVERAGE(EH291,EH294)</f>
        <v>1855</v>
      </c>
      <c r="EI317" s="85">
        <f t="shared" si="1549"/>
        <v>1931.375</v>
      </c>
      <c r="EJ317" s="76">
        <f t="shared" si="1558"/>
        <v>1805</v>
      </c>
      <c r="EK317" s="76">
        <f t="shared" ref="EK317:EL317" si="1559">AVERAGE(EK291,EK294)</f>
        <v>1751</v>
      </c>
      <c r="EL317" s="76">
        <f t="shared" si="1559"/>
        <v>1680.5</v>
      </c>
      <c r="EM317" s="76">
        <f t="shared" ref="EM317" si="1560">AVERAGE(EM291,EM294)</f>
        <v>1599</v>
      </c>
      <c r="EN317" s="85">
        <f>AVERAGE(EJ317:EM317)</f>
        <v>1708.875</v>
      </c>
      <c r="EO317" s="76">
        <f t="shared" ref="EO317:EP317" si="1561">AVERAGE(EO291,EO294)</f>
        <v>1519.5</v>
      </c>
      <c r="EP317" s="76">
        <f t="shared" si="1561"/>
        <v>1443</v>
      </c>
      <c r="EQ317" s="76">
        <f t="shared" ref="EQ317:ER317" si="1562">AVERAGE(EQ291,EQ294)</f>
        <v>1363</v>
      </c>
      <c r="ER317" s="76">
        <f t="shared" si="1562"/>
        <v>1286</v>
      </c>
      <c r="ES317" s="85">
        <f>AVERAGE(EO317:ER317)</f>
        <v>1402.875</v>
      </c>
      <c r="ET317" s="76">
        <f t="shared" ref="ET317:EU317" si="1563">AVERAGE(ET291,ET294)</f>
        <v>1214</v>
      </c>
      <c r="EU317" s="76">
        <f t="shared" si="1563"/>
        <v>1139</v>
      </c>
      <c r="EV317" s="76">
        <f t="shared" ref="EV317:EW317" si="1564">AVERAGE(EV291,EV294)</f>
        <v>1060</v>
      </c>
      <c r="EW317" s="76">
        <f t="shared" si="1564"/>
        <v>981.5</v>
      </c>
      <c r="EX317" s="85">
        <f>AVERAGE(ET317:EW317)</f>
        <v>1098.625</v>
      </c>
      <c r="EY317" s="76">
        <f t="shared" ref="EY317:FB317" si="1565">AVERAGE(EY291,EY294)</f>
        <v>912.54352945119479</v>
      </c>
      <c r="EZ317" s="76">
        <f t="shared" si="1565"/>
        <v>848.9267295965808</v>
      </c>
      <c r="FA317" s="76">
        <f t="shared" si="1565"/>
        <v>782.60662893981566</v>
      </c>
      <c r="FB317" s="76">
        <f t="shared" si="1565"/>
        <v>717.22010745503553</v>
      </c>
      <c r="FC317" s="85">
        <f>AVERAGE(EY317:FB317)</f>
        <v>815.32424886065678</v>
      </c>
      <c r="FD317" s="76">
        <f t="shared" ref="FD317:FI317" si="1566">AVERAGE(FD291,FD294)</f>
        <v>585.68750314632609</v>
      </c>
      <c r="FE317" s="76">
        <f t="shared" si="1566"/>
        <v>431.239397853377</v>
      </c>
      <c r="FF317" s="76">
        <f t="shared" si="1566"/>
        <v>342.96537447040373</v>
      </c>
      <c r="FG317" s="76">
        <f t="shared" si="1566"/>
        <v>284.65190615675317</v>
      </c>
      <c r="FH317" s="76">
        <f t="shared" si="1566"/>
        <v>243.36454839362071</v>
      </c>
      <c r="FI317" s="76">
        <f t="shared" si="1566"/>
        <v>213.98898867735477</v>
      </c>
    </row>
    <row r="318" spans="1:177" x14ac:dyDescent="0.3">
      <c r="A318" s="56" t="s">
        <v>418</v>
      </c>
      <c r="DZ318" s="76">
        <f>AVERAGE(DZ302,DZ305)</f>
        <v>194.02501121582031</v>
      </c>
      <c r="EA318" s="76">
        <f>AVERAGE(EA302,EA305)</f>
        <v>188.0512935546875</v>
      </c>
      <c r="EB318" s="76">
        <f>AVERAGE(EB302,EB305)</f>
        <v>182.09107031249999</v>
      </c>
      <c r="EC318" s="76">
        <f>AVERAGE(EC302,EC305)</f>
        <v>176.6446875</v>
      </c>
      <c r="ED318" s="85">
        <f t="shared" si="1548"/>
        <v>185.20301564575195</v>
      </c>
      <c r="EE318" s="76">
        <f>AVERAGE(EE302,EE305)</f>
        <v>172.21250000000001</v>
      </c>
      <c r="EF318" s="76">
        <f>AVERAGE(EF302,EF305)</f>
        <v>168.5</v>
      </c>
      <c r="EG318" s="76">
        <f>AVERAGE(EG302,EG305)</f>
        <v>165</v>
      </c>
      <c r="EH318" s="76">
        <f>AVERAGE(EH302,EH305)</f>
        <v>159.5</v>
      </c>
      <c r="EI318" s="85">
        <f t="shared" si="1549"/>
        <v>166.30312499999999</v>
      </c>
      <c r="EJ318" s="76">
        <f>AVERAGE(EJ302,EJ305)</f>
        <v>154.5</v>
      </c>
      <c r="EK318" s="76">
        <f>AVERAGE(EK302,EK305)</f>
        <v>150.5</v>
      </c>
      <c r="EL318" s="76">
        <f>AVERAGE(EL302,EL305)</f>
        <v>145.5</v>
      </c>
      <c r="EM318" s="76">
        <f>AVERAGE(EM302,EM305)</f>
        <v>139.5</v>
      </c>
      <c r="EN318" s="85">
        <f>AVERAGE(EJ318:EM318)</f>
        <v>147.5</v>
      </c>
      <c r="EO318" s="76">
        <f>AVERAGE(EO302,EO305)</f>
        <v>133</v>
      </c>
      <c r="EP318" s="76">
        <f>AVERAGE(EP302,EP305)</f>
        <v>128</v>
      </c>
      <c r="EQ318" s="76">
        <f>AVERAGE(EQ302,EQ305)</f>
        <v>123</v>
      </c>
      <c r="ER318" s="76">
        <f>AVERAGE(ER302,ER305)</f>
        <v>117</v>
      </c>
      <c r="ES318" s="85">
        <f>AVERAGE(EO318:ER318)</f>
        <v>125.25</v>
      </c>
      <c r="ET318" s="76">
        <f>AVERAGE(ET302,ET305)</f>
        <v>111</v>
      </c>
      <c r="EU318" s="76">
        <f>AVERAGE(EU302,EU305)</f>
        <v>105</v>
      </c>
      <c r="EV318" s="76">
        <f>AVERAGE(EV302,EV305)</f>
        <v>99</v>
      </c>
      <c r="EW318" s="76">
        <f>AVERAGE(EW302,EW305)</f>
        <v>93</v>
      </c>
      <c r="EX318" s="85">
        <f>AVERAGE(ET318:EW318)</f>
        <v>102</v>
      </c>
      <c r="EY318" s="76">
        <f t="shared" ref="EY318:FB318" si="1567">AVERAGE(EY302,EY305)</f>
        <v>87.391753664557044</v>
      </c>
      <c r="EZ318" s="76">
        <f t="shared" si="1567"/>
        <v>82.192205964081722</v>
      </c>
      <c r="FA318" s="76">
        <f t="shared" si="1567"/>
        <v>77.025555356232928</v>
      </c>
      <c r="FB318" s="76">
        <f t="shared" si="1567"/>
        <v>71.890960426974345</v>
      </c>
      <c r="FC318" s="85">
        <f>AVERAGE(EY318:FB318)</f>
        <v>79.625118852961506</v>
      </c>
      <c r="FD318" s="76">
        <f t="shared" ref="FD318:FI318" si="1568">AVERAGE(FD302,FD305)</f>
        <v>60.629972137109931</v>
      </c>
      <c r="FE318" s="76">
        <f t="shared" si="1568"/>
        <v>45.522806111076477</v>
      </c>
      <c r="FF318" s="76">
        <f t="shared" si="1568"/>
        <v>34.43154011455092</v>
      </c>
      <c r="FG318" s="76">
        <f t="shared" si="1568"/>
        <v>26.31803491640083</v>
      </c>
      <c r="FH318" s="76">
        <f t="shared" si="1568"/>
        <v>20.383285953295321</v>
      </c>
      <c r="FI318" s="76">
        <f t="shared" si="1568"/>
        <v>16.042667298784369</v>
      </c>
    </row>
    <row r="319" spans="1:177" x14ac:dyDescent="0.3">
      <c r="A319" s="56" t="s">
        <v>419</v>
      </c>
      <c r="DZ319" s="76">
        <f>DZ314+DZ316+DZ318</f>
        <v>2364.5250112158201</v>
      </c>
      <c r="EA319" s="76">
        <f t="shared" ref="EA319:EC319" si="1569">EA314+EA316+EA318</f>
        <v>2327.0512935546876</v>
      </c>
      <c r="EB319" s="76">
        <f t="shared" si="1569"/>
        <v>2280.0910703125001</v>
      </c>
      <c r="EC319" s="76">
        <f t="shared" si="1569"/>
        <v>2228.1446875000001</v>
      </c>
      <c r="ED319" s="85">
        <f t="shared" si="1548"/>
        <v>2299.9530156457522</v>
      </c>
      <c r="EE319" s="76">
        <f>EE314+EE316+EE318</f>
        <v>2177.2125000000001</v>
      </c>
      <c r="EF319" s="76">
        <f t="shared" ref="EF319" si="1570">EF314+EF316+EF318</f>
        <v>2127</v>
      </c>
      <c r="EG319" s="76">
        <f t="shared" ref="EG319:EH319" si="1571">EG314+EG316+EG318</f>
        <v>2072</v>
      </c>
      <c r="EH319" s="76">
        <f t="shared" si="1571"/>
        <v>2014.5</v>
      </c>
      <c r="EI319" s="85">
        <f t="shared" si="1549"/>
        <v>2097.6781249999999</v>
      </c>
      <c r="EJ319" s="76">
        <f t="shared" ref="EJ319:EK319" si="1572">EJ314+EJ316+EJ318</f>
        <v>1959.5</v>
      </c>
      <c r="EK319" s="76">
        <f t="shared" si="1572"/>
        <v>1901.5</v>
      </c>
      <c r="EL319" s="76">
        <f t="shared" ref="EL319:EM319" si="1573">EL314+EL316+EL318</f>
        <v>1826</v>
      </c>
      <c r="EM319" s="76">
        <f t="shared" si="1573"/>
        <v>1738.5</v>
      </c>
      <c r="EN319" s="85">
        <f t="shared" ref="EN319:EO319" si="1574">EN314+EN316+EN318</f>
        <v>1856.375</v>
      </c>
      <c r="EO319" s="76">
        <f t="shared" si="1574"/>
        <v>1652.5</v>
      </c>
      <c r="EP319" s="76">
        <f t="shared" ref="EP319:EQ319" si="1575">EP314+EP316+EP318</f>
        <v>1571</v>
      </c>
      <c r="EQ319" s="76">
        <f t="shared" si="1575"/>
        <v>1486</v>
      </c>
      <c r="ER319" s="76">
        <f t="shared" ref="ER319" si="1576">ER314+ER316+ER318</f>
        <v>1403</v>
      </c>
      <c r="ES319" s="85">
        <f t="shared" ref="ES319:ET319" si="1577">ES314+ES316+ES318</f>
        <v>1528.125</v>
      </c>
      <c r="ET319" s="76">
        <f t="shared" si="1577"/>
        <v>1325</v>
      </c>
      <c r="EU319" s="76">
        <f t="shared" ref="EU319:EV319" si="1578">EU314+EU316+EU318</f>
        <v>1244</v>
      </c>
      <c r="EV319" s="76">
        <f t="shared" si="1578"/>
        <v>1159</v>
      </c>
      <c r="EW319" s="76">
        <f t="shared" ref="EW319" si="1579">EW314+EW316+EW318</f>
        <v>1074.5</v>
      </c>
      <c r="EX319" s="85">
        <f t="shared" ref="EX319" si="1580">EX314+EX316+EX318</f>
        <v>1200.625</v>
      </c>
      <c r="EY319" s="76">
        <f t="shared" ref="EY319:FC319" si="1581">EY314+EY316+EY318</f>
        <v>999.93528311575187</v>
      </c>
      <c r="EZ319" s="76">
        <f t="shared" si="1581"/>
        <v>931.11893556066252</v>
      </c>
      <c r="FA319" s="76">
        <f t="shared" si="1581"/>
        <v>859.63218429604876</v>
      </c>
      <c r="FB319" s="76">
        <f t="shared" si="1581"/>
        <v>789.11106788201005</v>
      </c>
      <c r="FC319" s="85">
        <f t="shared" si="1581"/>
        <v>894.94936771361824</v>
      </c>
      <c r="FD319" s="76">
        <f t="shared" ref="FD319" si="1582">FD314+FD316+FD318</f>
        <v>646.31747528343601</v>
      </c>
      <c r="FE319" s="76">
        <f t="shared" ref="FE319" si="1583">FE314+FE316+FE318</f>
        <v>476.76220396445348</v>
      </c>
      <c r="FF319" s="76">
        <f t="shared" ref="FF319" si="1584">FF314+FF316+FF318</f>
        <v>377.39691458495457</v>
      </c>
      <c r="FG319" s="76">
        <f t="shared" ref="FG319" si="1585">FG314+FG316+FG318</f>
        <v>310.96994107315402</v>
      </c>
      <c r="FH319" s="76">
        <f t="shared" ref="FH319" si="1586">FH314+FH316+FH318</f>
        <v>263.74783434691608</v>
      </c>
      <c r="FI319" s="76">
        <f t="shared" ref="FI319" si="1587">FI314+FI316+FI318</f>
        <v>230.03165597613918</v>
      </c>
    </row>
    <row r="320" spans="1:177" ht="12.75" customHeight="1" x14ac:dyDescent="0.3">
      <c r="A320" s="70" t="s">
        <v>420</v>
      </c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3"/>
      <c r="AK320" s="193"/>
      <c r="AL320" s="193"/>
      <c r="AM320" s="193"/>
      <c r="AN320" s="193"/>
      <c r="AO320" s="193"/>
      <c r="AP320" s="193"/>
      <c r="AQ320" s="193"/>
      <c r="AR320" s="193"/>
      <c r="AS320" s="193"/>
      <c r="AT320" s="193"/>
      <c r="AU320" s="193"/>
      <c r="AV320" s="193"/>
      <c r="AW320" s="193"/>
      <c r="AX320" s="193"/>
      <c r="AY320" s="193"/>
      <c r="AZ320" s="193"/>
      <c r="BA320" s="193"/>
      <c r="BB320" s="193"/>
      <c r="BC320" s="193"/>
      <c r="BD320" s="193"/>
      <c r="BE320" s="193"/>
      <c r="BF320" s="193"/>
      <c r="BG320" s="193"/>
      <c r="BH320" s="193"/>
      <c r="BI320" s="193"/>
      <c r="BJ320" s="193"/>
      <c r="BK320" s="193"/>
      <c r="BL320" s="192"/>
      <c r="BM320" s="192"/>
      <c r="BN320" s="192"/>
      <c r="BO320" s="192"/>
      <c r="BP320" s="192"/>
      <c r="BQ320" s="192"/>
      <c r="BR320" s="193"/>
      <c r="BS320" s="193"/>
      <c r="BT320" s="193"/>
      <c r="BU320" s="193"/>
      <c r="BV320" s="192"/>
      <c r="BW320" s="193"/>
      <c r="BX320" s="193"/>
      <c r="BY320" s="193"/>
      <c r="BZ320" s="193"/>
      <c r="CA320" s="192"/>
      <c r="CB320" s="193"/>
      <c r="CC320" s="193"/>
      <c r="CD320" s="193"/>
      <c r="CE320" s="193"/>
      <c r="CF320" s="192"/>
      <c r="CG320" s="193"/>
      <c r="CH320" s="193"/>
      <c r="CI320" s="193"/>
      <c r="CJ320" s="193"/>
      <c r="CK320" s="192"/>
      <c r="CL320" s="193"/>
      <c r="CM320" s="193"/>
      <c r="CN320" s="193"/>
      <c r="CO320" s="193"/>
      <c r="CP320" s="192"/>
      <c r="CQ320" s="193"/>
      <c r="CR320" s="193"/>
      <c r="CS320" s="193"/>
      <c r="CT320" s="193"/>
      <c r="CU320" s="193"/>
      <c r="CV320" s="193"/>
      <c r="CW320" s="193"/>
      <c r="CX320" s="193"/>
      <c r="CY320" s="193"/>
      <c r="CZ320" s="193"/>
      <c r="DA320" s="193"/>
      <c r="DB320" s="193"/>
      <c r="DC320" s="193"/>
      <c r="DD320" s="193"/>
      <c r="DE320" s="193"/>
      <c r="DF320" s="193"/>
      <c r="DG320" s="193"/>
      <c r="DH320" s="193"/>
      <c r="DI320" s="193"/>
      <c r="DJ320" s="193"/>
      <c r="DK320" s="193"/>
      <c r="DL320" s="193"/>
      <c r="DM320" s="193"/>
      <c r="DN320" s="193"/>
      <c r="DO320" s="193"/>
      <c r="DP320" s="193"/>
      <c r="DQ320" s="193"/>
      <c r="DR320" s="193"/>
      <c r="DS320" s="193"/>
      <c r="DT320" s="193"/>
      <c r="DU320" s="196"/>
      <c r="DV320" s="196"/>
      <c r="DW320" s="196"/>
      <c r="DX320" s="665"/>
      <c r="DY320" s="1191"/>
      <c r="DZ320" s="1212">
        <f t="shared" ref="DZ320:FI320" si="1588">DZ108-DZ183</f>
        <v>13891.930432832032</v>
      </c>
      <c r="EA320" s="1212">
        <f t="shared" si="1588"/>
        <v>13883.83890546875</v>
      </c>
      <c r="EB320" s="1212">
        <f t="shared" si="1588"/>
        <v>13876.74503125</v>
      </c>
      <c r="EC320" s="1212">
        <f t="shared" si="1588"/>
        <v>13868.14875</v>
      </c>
      <c r="ED320" s="1162">
        <f t="shared" si="1588"/>
        <v>13880.165779887695</v>
      </c>
      <c r="EE320" s="1212">
        <f t="shared" si="1588"/>
        <v>13856.55</v>
      </c>
      <c r="EF320" s="1212">
        <f t="shared" si="1588"/>
        <v>13893.5</v>
      </c>
      <c r="EG320" s="1212">
        <f t="shared" si="1588"/>
        <v>13922.5</v>
      </c>
      <c r="EH320" s="1212">
        <f t="shared" si="1588"/>
        <v>13885.5</v>
      </c>
      <c r="EI320" s="1162">
        <f t="shared" si="1588"/>
        <v>13889.512500000001</v>
      </c>
      <c r="EJ320" s="1212">
        <f t="shared" si="1588"/>
        <v>13835.5</v>
      </c>
      <c r="EK320" s="1212">
        <f t="shared" si="1588"/>
        <v>13781</v>
      </c>
      <c r="EL320" s="1212">
        <f t="shared" si="1588"/>
        <v>13721</v>
      </c>
      <c r="EM320" s="1212">
        <f t="shared" si="1588"/>
        <v>13699.5</v>
      </c>
      <c r="EN320" s="1162">
        <f t="shared" si="1588"/>
        <v>13759.25</v>
      </c>
      <c r="EO320" s="1212">
        <f t="shared" si="1588"/>
        <v>13667</v>
      </c>
      <c r="EP320" s="1212">
        <f t="shared" si="1588"/>
        <v>13589.5</v>
      </c>
      <c r="EQ320" s="1212">
        <f t="shared" ref="EQ320:ER320" si="1589">EQ108-EQ183</f>
        <v>13516.5</v>
      </c>
      <c r="ER320" s="1212">
        <f t="shared" si="1589"/>
        <v>13435</v>
      </c>
      <c r="ES320" s="1162">
        <f t="shared" si="1588"/>
        <v>13552</v>
      </c>
      <c r="ET320" s="1212">
        <f t="shared" ref="ET320:EU320" si="1590">ET108-ET183</f>
        <v>13349</v>
      </c>
      <c r="EU320" s="1212">
        <f t="shared" si="1590"/>
        <v>13259</v>
      </c>
      <c r="EV320" s="1212">
        <f t="shared" ref="EV320:EW320" si="1591">EV108-EV183</f>
        <v>13159</v>
      </c>
      <c r="EW320" s="1212">
        <f t="shared" si="1591"/>
        <v>13106.5</v>
      </c>
      <c r="EX320" s="1162">
        <f t="shared" ref="EX320" si="1592">EX108-EX183</f>
        <v>13218.375</v>
      </c>
      <c r="EY320" s="1212">
        <f t="shared" ref="EY320:FC320" si="1593">EY108-EY183</f>
        <v>13069.253680964493</v>
      </c>
      <c r="EZ320" s="1212">
        <f t="shared" si="1593"/>
        <v>12988.932146731962</v>
      </c>
      <c r="FA320" s="1212">
        <f t="shared" si="1593"/>
        <v>12899.602435724897</v>
      </c>
      <c r="FB320" s="1212">
        <f t="shared" si="1593"/>
        <v>12797.560360070007</v>
      </c>
      <c r="FC320" s="1162">
        <f t="shared" si="1593"/>
        <v>12938.837155872838</v>
      </c>
      <c r="FD320" s="1212">
        <f t="shared" si="1588"/>
        <v>12544.72880928423</v>
      </c>
      <c r="FE320" s="1212">
        <f t="shared" si="1588"/>
        <v>12178.354865578751</v>
      </c>
      <c r="FF320" s="1212">
        <f t="shared" si="1588"/>
        <v>11897.66578132378</v>
      </c>
      <c r="FG320" s="1212">
        <f t="shared" si="1588"/>
        <v>11710.425705417889</v>
      </c>
      <c r="FH320" s="1212">
        <f t="shared" si="1588"/>
        <v>11596.290293170858</v>
      </c>
      <c r="FI320" s="1212">
        <f t="shared" si="1588"/>
        <v>11547.092757393395</v>
      </c>
      <c r="FJ320" s="193"/>
      <c r="FK320" s="193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</row>
    <row r="321" spans="1:166" x14ac:dyDescent="0.3">
      <c r="A321" s="55"/>
      <c r="EO321"/>
      <c r="EP321"/>
      <c r="EQ321"/>
      <c r="ER321"/>
    </row>
    <row r="322" spans="1:166" x14ac:dyDescent="0.3">
      <c r="A322" s="60" t="s">
        <v>361</v>
      </c>
      <c r="ED322" s="85"/>
      <c r="EE322" s="74"/>
      <c r="EO322"/>
      <c r="EP322"/>
      <c r="EQ322"/>
      <c r="ER322"/>
    </row>
    <row r="323" spans="1:166" x14ac:dyDescent="0.3">
      <c r="A323" s="56" t="s">
        <v>421</v>
      </c>
      <c r="DU323" s="828">
        <f>Inputs!DU430</f>
        <v>39.53</v>
      </c>
      <c r="DV323" s="828">
        <f>Inputs!DV430</f>
        <v>40.18</v>
      </c>
      <c r="DW323" s="828">
        <f>Inputs!DW430</f>
        <v>40.75</v>
      </c>
      <c r="DX323" s="828">
        <f>Inputs!DX430</f>
        <v>40.97</v>
      </c>
      <c r="DY323" s="102">
        <f>+DY618/DY314/12*1000</f>
        <v>40.3418202764977</v>
      </c>
      <c r="DZ323" s="828">
        <f>Inputs!DZ430</f>
        <v>41.15</v>
      </c>
      <c r="EA323" s="828">
        <f>Inputs!EA430</f>
        <v>41.93</v>
      </c>
      <c r="EB323" s="828">
        <f>Inputs!EB430</f>
        <v>42.16</v>
      </c>
      <c r="EC323" s="828">
        <f>Inputs!EC430</f>
        <v>42.61</v>
      </c>
      <c r="ED323" s="102">
        <f>ED337/ED314*1000/12</f>
        <v>41.953646922183502</v>
      </c>
      <c r="EE323" s="828">
        <f>Inputs!EE430</f>
        <v>43.23</v>
      </c>
      <c r="EF323" s="828">
        <f>Inputs!EF430</f>
        <v>44.8</v>
      </c>
      <c r="EG323" s="828">
        <f>Inputs!EG430</f>
        <v>45.44</v>
      </c>
      <c r="EH323" s="828">
        <f>Inputs!EH430</f>
        <v>45.33</v>
      </c>
      <c r="EI323" s="102">
        <f>EI337/EI314*1000/12</f>
        <v>44.680457573124819</v>
      </c>
      <c r="EJ323" s="828">
        <f>Inputs!EJ430</f>
        <v>45.72</v>
      </c>
      <c r="EK323" s="828">
        <f>Inputs!EK430</f>
        <v>48.47</v>
      </c>
      <c r="EL323" s="828">
        <f>Inputs!EL430</f>
        <v>49.65</v>
      </c>
      <c r="EM323" s="828">
        <f>Inputs!EM430</f>
        <v>48.7</v>
      </c>
      <c r="EN323" s="102">
        <f>EN337/EN314*1000/12</f>
        <v>48.086720529226767</v>
      </c>
      <c r="EO323" s="828">
        <f>Inputs!EO430</f>
        <v>48.88</v>
      </c>
      <c r="EP323" s="828">
        <f>Inputs!EP430</f>
        <v>51.9</v>
      </c>
      <c r="EQ323" s="828">
        <f>Inputs!EQ430</f>
        <v>54.62</v>
      </c>
      <c r="ER323" s="828">
        <f>Inputs!ER430</f>
        <v>54.22</v>
      </c>
      <c r="ES323" s="102">
        <f>ES337/ES314*1000/12</f>
        <v>52.261183591123064</v>
      </c>
      <c r="ET323" s="828">
        <f>Inputs!ET430</f>
        <v>56.16</v>
      </c>
      <c r="EU323" s="828">
        <f>Inputs!EU430</f>
        <v>58.26</v>
      </c>
      <c r="EV323" s="828">
        <f>Inputs!EV430</f>
        <v>59.16</v>
      </c>
      <c r="EW323" s="828">
        <f>Inputs!EW430</f>
        <v>62.12</v>
      </c>
      <c r="EX323" s="102">
        <f>EX337/EX314*1000/12</f>
        <v>58.753231304347821</v>
      </c>
      <c r="EY323" s="101">
        <f t="shared" ref="EY323" si="1594">+ET323*(1+EY324)</f>
        <v>60.345822530471324</v>
      </c>
      <c r="EZ323" s="101">
        <f t="shared" ref="EZ323" si="1595">+EU323*(1+EZ324)</f>
        <v>62.602343672102194</v>
      </c>
      <c r="FA323" s="101">
        <f t="shared" ref="FA323" si="1596">+EV323*(1+FA324)</f>
        <v>63.569424161372567</v>
      </c>
      <c r="FB323" s="101">
        <f t="shared" ref="FB323" si="1597">+EW323*(1+FB324)</f>
        <v>66.750044437195129</v>
      </c>
      <c r="FC323" s="102">
        <f>FC337/FC314*1000/12</f>
        <v>63.109315958467334</v>
      </c>
      <c r="FD323" s="101">
        <f t="shared" ref="FD323:FI323" si="1598">+FC323*(1+FD324)</f>
        <v>66.618606213771756</v>
      </c>
      <c r="FE323" s="101">
        <f t="shared" si="1598"/>
        <v>69.396928503326521</v>
      </c>
      <c r="FF323" s="101">
        <f t="shared" si="1598"/>
        <v>72.14641084817319</v>
      </c>
      <c r="FG323" s="101">
        <f t="shared" si="1598"/>
        <v>74.861905939840241</v>
      </c>
      <c r="FH323" s="101">
        <f t="shared" si="1598"/>
        <v>77.538723524463606</v>
      </c>
      <c r="FI323" s="101">
        <f t="shared" si="1598"/>
        <v>80.172628782593321</v>
      </c>
      <c r="FJ323" s="189">
        <f>+(FF323/ES323)^0.2-1</f>
        <v>6.6613553245067569E-2</v>
      </c>
    </row>
    <row r="324" spans="1:166" x14ac:dyDescent="0.3">
      <c r="A324" s="70" t="s">
        <v>363</v>
      </c>
      <c r="DZ324" s="375">
        <f t="shared" ref="DZ324:EW324" si="1599">+DZ323/DU323-1</f>
        <v>4.0981533012901528E-2</v>
      </c>
      <c r="EA324" s="375">
        <f t="shared" si="1599"/>
        <v>4.355400696864109E-2</v>
      </c>
      <c r="EB324" s="375">
        <f t="shared" si="1599"/>
        <v>3.460122699386492E-2</v>
      </c>
      <c r="EC324" s="375">
        <f t="shared" si="1599"/>
        <v>4.002928972418851E-2</v>
      </c>
      <c r="ED324" s="84">
        <f t="shared" si="1599"/>
        <v>3.9954236934242049E-2</v>
      </c>
      <c r="EE324" s="375">
        <f t="shared" si="1599"/>
        <v>5.054678007290403E-2</v>
      </c>
      <c r="EF324" s="375">
        <f t="shared" si="1599"/>
        <v>6.8447412353923154E-2</v>
      </c>
      <c r="EG324" s="375">
        <f t="shared" si="1599"/>
        <v>7.7798861480075976E-2</v>
      </c>
      <c r="EH324" s="375">
        <f t="shared" si="1599"/>
        <v>6.3834780567941785E-2</v>
      </c>
      <c r="EI324" s="84">
        <f>+EI323/ED323-1</f>
        <v>6.4995795383392174E-2</v>
      </c>
      <c r="EJ324" s="375">
        <f t="shared" si="1599"/>
        <v>5.7598889659958408E-2</v>
      </c>
      <c r="EK324" s="375">
        <f t="shared" si="1599"/>
        <v>8.1919642857142927E-2</v>
      </c>
      <c r="EL324" s="375">
        <f t="shared" si="1599"/>
        <v>9.2649647887323994E-2</v>
      </c>
      <c r="EM324" s="375">
        <f t="shared" si="1599"/>
        <v>7.434370174277527E-2</v>
      </c>
      <c r="EN324" s="84">
        <f>+EN323/EI323-1</f>
        <v>7.6236080405559736E-2</v>
      </c>
      <c r="EO324" s="375">
        <f t="shared" si="1599"/>
        <v>6.9116360454943182E-2</v>
      </c>
      <c r="EP324" s="375">
        <f t="shared" si="1599"/>
        <v>7.0765421910460091E-2</v>
      </c>
      <c r="EQ324" s="375">
        <f t="shared" si="1599"/>
        <v>0.10010070493454171</v>
      </c>
      <c r="ER324" s="375">
        <f t="shared" si="1599"/>
        <v>0.11334702258726881</v>
      </c>
      <c r="ES324" s="84">
        <f>+ES323/EN323-1</f>
        <v>8.6811140704824874E-2</v>
      </c>
      <c r="ET324" s="375">
        <f t="shared" si="1599"/>
        <v>0.14893617021276584</v>
      </c>
      <c r="EU324" s="375">
        <f t="shared" si="1599"/>
        <v>0.12254335260115612</v>
      </c>
      <c r="EV324" s="375">
        <f t="shared" si="1599"/>
        <v>8.3119736360307561E-2</v>
      </c>
      <c r="EW324" s="375">
        <f t="shared" si="1599"/>
        <v>0.14570269273330871</v>
      </c>
      <c r="EX324" s="84">
        <f>+EX323/ES323-1</f>
        <v>0.12422312827847004</v>
      </c>
      <c r="EY324" s="87">
        <f>EX324*0.6</f>
        <v>7.4533876967082024E-2</v>
      </c>
      <c r="EZ324" s="87">
        <f>EY324</f>
        <v>7.4533876967082024E-2</v>
      </c>
      <c r="FA324" s="87">
        <f t="shared" ref="FA324:FB324" si="1600">EZ324</f>
        <v>7.4533876967082024E-2</v>
      </c>
      <c r="FB324" s="87">
        <f t="shared" si="1600"/>
        <v>7.4533876967082024E-2</v>
      </c>
      <c r="FC324" s="84">
        <f>+FC323/EX323-1</f>
        <v>7.4142043891246567E-2</v>
      </c>
      <c r="FD324" s="87">
        <f>FC324*0.75</f>
        <v>5.5606532918434926E-2</v>
      </c>
      <c r="FE324" s="87">
        <f t="shared" ref="FE324" si="1601">FD324*0.75</f>
        <v>4.1704899688826194E-2</v>
      </c>
      <c r="FF324" s="87">
        <f>FE324*0.95</f>
        <v>3.9619654704384881E-2</v>
      </c>
      <c r="FG324" s="87">
        <f>FF324*0.95</f>
        <v>3.7638671969165635E-2</v>
      </c>
      <c r="FH324" s="87">
        <f t="shared" ref="FH324:FI324" si="1602">FG324*0.95</f>
        <v>3.575673837070735E-2</v>
      </c>
      <c r="FI324" s="87">
        <f t="shared" si="1602"/>
        <v>3.3968901452171983E-2</v>
      </c>
    </row>
    <row r="325" spans="1:166" x14ac:dyDescent="0.3">
      <c r="A325" s="56" t="s">
        <v>422</v>
      </c>
      <c r="DU325" s="828"/>
      <c r="DV325" s="828"/>
      <c r="DW325" s="828"/>
      <c r="DX325" s="828"/>
      <c r="DY325" s="102"/>
      <c r="DZ325" s="828">
        <f>Inputs!DZ439</f>
        <v>110</v>
      </c>
      <c r="EA325" s="828">
        <f>Inputs!EA439</f>
        <v>109.98</v>
      </c>
      <c r="EB325" s="828">
        <f>Inputs!EB439</f>
        <v>111.88</v>
      </c>
      <c r="EC325" s="828">
        <f>Inputs!EC439</f>
        <v>112.41</v>
      </c>
      <c r="ED325" s="102">
        <f>ED338/ED315/12*1000</f>
        <v>110.9828</v>
      </c>
      <c r="EE325" s="828">
        <f>Inputs!EE439</f>
        <v>115.76</v>
      </c>
      <c r="EF325" s="828">
        <f>Inputs!EF439</f>
        <v>117.46</v>
      </c>
      <c r="EG325" s="828">
        <f>Inputs!EG439</f>
        <v>118.98</v>
      </c>
      <c r="EH325" s="828">
        <f>Inputs!EH439</f>
        <v>119.01</v>
      </c>
      <c r="EI325" s="102">
        <f>EI338/EI315/12*1000</f>
        <v>117.71256198347106</v>
      </c>
      <c r="EJ325" s="828">
        <f>Inputs!EJ439</f>
        <v>119.54</v>
      </c>
      <c r="EK325" s="828">
        <f>Inputs!EK439</f>
        <v>124.29</v>
      </c>
      <c r="EL325" s="828">
        <f>Inputs!EL439</f>
        <v>125.52</v>
      </c>
      <c r="EM325" s="828">
        <f>Inputs!EM439</f>
        <v>124.89</v>
      </c>
      <c r="EN325" s="102">
        <f>EN338/EN315/12*1000</f>
        <v>123.37491712707181</v>
      </c>
      <c r="EO325" s="828">
        <f>Inputs!EO439</f>
        <v>130.65</v>
      </c>
      <c r="EP325" s="828">
        <f>Inputs!EP439</f>
        <v>134.86000000000001</v>
      </c>
      <c r="EQ325" s="828">
        <f>Inputs!EQ439</f>
        <v>135.04</v>
      </c>
      <c r="ER325" s="828">
        <f>Inputs!ER439</f>
        <v>128.84</v>
      </c>
      <c r="ES325" s="102">
        <f>ES338/ES315/12*1000</f>
        <v>132.40957142857144</v>
      </c>
      <c r="ET325" s="828">
        <f>Inputs!ET439</f>
        <v>133.18</v>
      </c>
      <c r="EU325" s="828">
        <f>Inputs!EU439</f>
        <v>123.1</v>
      </c>
      <c r="EV325" s="828">
        <f>Inputs!EV439</f>
        <v>106.42</v>
      </c>
      <c r="EW325" s="828">
        <f>Inputs!EW439</f>
        <v>97.73</v>
      </c>
      <c r="EX325" s="102">
        <f>EX338/EX315/12*1000</f>
        <v>116.91601851851853</v>
      </c>
      <c r="EY325" s="101">
        <f t="shared" ref="EY325" si="1603">+ET325*(1+EY326)</f>
        <v>133.18</v>
      </c>
      <c r="EZ325" s="101">
        <f t="shared" ref="EZ325" si="1604">+EU325*(1+EZ326)</f>
        <v>123.1</v>
      </c>
      <c r="FA325" s="101">
        <f t="shared" ref="FA325" si="1605">+EV325*(1+FA326)</f>
        <v>106.42</v>
      </c>
      <c r="FB325" s="101">
        <f t="shared" ref="FB325" si="1606">+EW325*(1+FB326)</f>
        <v>97.73</v>
      </c>
      <c r="FC325" s="102">
        <f>FC338/FC315/12*1000</f>
        <v>117.37908986407963</v>
      </c>
      <c r="FD325" s="101">
        <f t="shared" ref="FD325:FI325" si="1607">+FC325*(1+FD326)</f>
        <v>117.84399530452181</v>
      </c>
      <c r="FE325" s="101">
        <f t="shared" si="1607"/>
        <v>118.31074210417714</v>
      </c>
      <c r="FF325" s="101">
        <f t="shared" si="1607"/>
        <v>118.77933755614967</v>
      </c>
      <c r="FG325" s="101">
        <f t="shared" si="1607"/>
        <v>119.24978898242939</v>
      </c>
      <c r="FH325" s="101">
        <f t="shared" si="1607"/>
        <v>119.72210373400661</v>
      </c>
      <c r="FI325" s="101">
        <f t="shared" si="1607"/>
        <v>120.19628919098683</v>
      </c>
      <c r="FJ325" s="189">
        <f>+(FF325/ES325)^0.2-1</f>
        <v>-2.1492173223127131E-2</v>
      </c>
    </row>
    <row r="326" spans="1:166" x14ac:dyDescent="0.3">
      <c r="A326" s="70" t="s">
        <v>363</v>
      </c>
      <c r="DZ326" s="375"/>
      <c r="EA326" s="375"/>
      <c r="EB326" s="375"/>
      <c r="EC326" s="375"/>
      <c r="ED326" s="84"/>
      <c r="EE326" s="375">
        <f t="shared" ref="EE326:EW326" si="1608">+EE325/DZ325-1</f>
        <v>5.236363636363639E-2</v>
      </c>
      <c r="EF326" s="375">
        <f t="shared" si="1608"/>
        <v>6.8012365884706272E-2</v>
      </c>
      <c r="EG326" s="375">
        <f t="shared" si="1608"/>
        <v>6.346085091169118E-2</v>
      </c>
      <c r="EH326" s="375">
        <f t="shared" si="1608"/>
        <v>5.8713637576728095E-2</v>
      </c>
      <c r="EI326" s="84">
        <f t="shared" si="1608"/>
        <v>6.0637882477925009E-2</v>
      </c>
      <c r="EJ326" s="375">
        <f t="shared" si="1608"/>
        <v>3.2653766413268892E-2</v>
      </c>
      <c r="EK326" s="375">
        <f t="shared" si="1608"/>
        <v>5.8147454452579739E-2</v>
      </c>
      <c r="EL326" s="375">
        <f t="shared" si="1608"/>
        <v>5.4967221381744702E-2</v>
      </c>
      <c r="EM326" s="375">
        <f t="shared" si="1608"/>
        <v>4.940761280564665E-2</v>
      </c>
      <c r="EN326" s="84">
        <f>+EN325/EI325-1</f>
        <v>4.8103235951961087E-2</v>
      </c>
      <c r="EO326" s="375">
        <f t="shared" si="1608"/>
        <v>9.2939601806926619E-2</v>
      </c>
      <c r="EP326" s="375">
        <f t="shared" si="1608"/>
        <v>8.50430444927186E-2</v>
      </c>
      <c r="EQ326" s="375">
        <f t="shared" si="1608"/>
        <v>7.5844486934353084E-2</v>
      </c>
      <c r="ER326" s="375">
        <f t="shared" si="1608"/>
        <v>3.1627832492593599E-2</v>
      </c>
      <c r="ES326" s="84">
        <f>+ES325/EN325-1</f>
        <v>7.322926338580027E-2</v>
      </c>
      <c r="ET326" s="375">
        <f t="shared" si="1608"/>
        <v>1.9364714887103007E-2</v>
      </c>
      <c r="EU326" s="375">
        <f t="shared" si="1608"/>
        <v>-8.720154234020483E-2</v>
      </c>
      <c r="EV326" s="375">
        <f t="shared" si="1608"/>
        <v>-0.21193720379146919</v>
      </c>
      <c r="EW326" s="375">
        <f t="shared" si="1608"/>
        <v>-0.24146227879540516</v>
      </c>
      <c r="EX326" s="84">
        <f>+EX325/ES325-1</f>
        <v>-0.11701233334488159</v>
      </c>
      <c r="EY326" s="87">
        <v>0</v>
      </c>
      <c r="EZ326" s="87">
        <v>0</v>
      </c>
      <c r="FA326" s="87">
        <v>0</v>
      </c>
      <c r="FB326" s="87">
        <v>0</v>
      </c>
      <c r="FC326" s="84">
        <f>+FC325/EX325-1</f>
        <v>3.9607177136959937E-3</v>
      </c>
      <c r="FD326" s="87">
        <f t="shared" ref="FD326:FI326" si="1609">FC326</f>
        <v>3.9607177136959937E-3</v>
      </c>
      <c r="FE326" s="87">
        <f t="shared" si="1609"/>
        <v>3.9607177136959937E-3</v>
      </c>
      <c r="FF326" s="87">
        <f t="shared" si="1609"/>
        <v>3.9607177136959937E-3</v>
      </c>
      <c r="FG326" s="87">
        <f t="shared" si="1609"/>
        <v>3.9607177136959937E-3</v>
      </c>
      <c r="FH326" s="87">
        <f t="shared" si="1609"/>
        <v>3.9607177136959937E-3</v>
      </c>
      <c r="FI326" s="87">
        <f t="shared" si="1609"/>
        <v>3.9607177136959937E-3</v>
      </c>
    </row>
    <row r="327" spans="1:166" s="108" customFormat="1" x14ac:dyDescent="0.3">
      <c r="A327" s="56" t="s">
        <v>423</v>
      </c>
      <c r="DU327" s="1070"/>
      <c r="DV327" s="1070"/>
      <c r="DW327" s="1071"/>
      <c r="DX327" s="1071"/>
      <c r="DY327" s="1072"/>
      <c r="DZ327" s="1143">
        <f>DZ339/DZ317*1000/3</f>
        <v>37.119676725792836</v>
      </c>
      <c r="EA327" s="1143">
        <f>EA339/EA317*1000/3</f>
        <v>36.583476702508953</v>
      </c>
      <c r="EB327" s="1143">
        <f>EB339/EB317*1000/3</f>
        <v>35.862500794407374</v>
      </c>
      <c r="EC327" s="1143">
        <f>EC339/EC317*1000/3</f>
        <v>35.946297830855471</v>
      </c>
      <c r="ED327" s="1214">
        <f>ED339/ED317*1000/12</f>
        <v>36.387713874768487</v>
      </c>
      <c r="EE327" s="1143">
        <f>EE339/EE317*1000/3</f>
        <v>35.308505403158769</v>
      </c>
      <c r="EF327" s="1143">
        <f>EF339/EF317*1000/3</f>
        <v>34.859950642498511</v>
      </c>
      <c r="EG327" s="1143">
        <f>EG339/EG317*1000/3</f>
        <v>34.183053661947206</v>
      </c>
      <c r="EH327" s="1143">
        <f>EH339/EH317*1000/3</f>
        <v>33.694849955076364</v>
      </c>
      <c r="EI327" s="1214">
        <f>EI339/EI317*1000/12</f>
        <v>34.529518693504194</v>
      </c>
      <c r="EJ327" s="1143">
        <f>EJ339/EJ317*1000/3</f>
        <v>33.889628808864266</v>
      </c>
      <c r="EK327" s="1143">
        <f>EK339/EK317*1000/3</f>
        <v>34.232451932229203</v>
      </c>
      <c r="EL327" s="1143">
        <f>EL339/EL317*1000/3</f>
        <v>34.81544381632451</v>
      </c>
      <c r="EM327" s="1143">
        <f>EM339/EM317*1000/3</f>
        <v>32.736809464248488</v>
      </c>
      <c r="EN327" s="1214">
        <f>EN339/EN317*1000/12</f>
        <v>33.935383658839882</v>
      </c>
      <c r="EO327" s="1143">
        <f>EO339/EO317*1000/3</f>
        <v>33.131529011736312</v>
      </c>
      <c r="EP327" s="1143">
        <f>EP339/EP317*1000/3</f>
        <v>35.201367521367523</v>
      </c>
      <c r="EQ327" s="1143">
        <f>EQ339/EQ317*1000/3</f>
        <v>37.019344583027639</v>
      </c>
      <c r="ER327" s="1143">
        <f>ER339/ER317*1000/3</f>
        <v>37.495914981855883</v>
      </c>
      <c r="ES327" s="1214">
        <f>ES339/ES317*1000/12</f>
        <v>35.608312394190499</v>
      </c>
      <c r="ET327" s="1143">
        <f>ET339/ET317*1000/3</f>
        <v>38.773550247116972</v>
      </c>
      <c r="EU327" s="1143">
        <f>EU339/EU317*1000/3</f>
        <v>38.229022534386893</v>
      </c>
      <c r="EV327" s="1143">
        <f>EV339/EV317*1000/3</f>
        <v>39.285179245283011</v>
      </c>
      <c r="EW327" s="1143">
        <f>EW339/EW317*1000/3</f>
        <v>40.259560196977418</v>
      </c>
      <c r="EX327" s="1214">
        <f>EX339/EX317*1000/12</f>
        <v>39.087722152690866</v>
      </c>
      <c r="EY327" s="1073">
        <f t="shared" ref="EY327" si="1610">+ET327*(1+EY328)</f>
        <v>38.773550247116972</v>
      </c>
      <c r="EZ327" s="1073">
        <f t="shared" ref="EZ327" si="1611">+EU327*(1+EZ328)</f>
        <v>38.229022534386893</v>
      </c>
      <c r="FA327" s="1073">
        <f t="shared" ref="FA327" si="1612">+EV327*(1+FA328)</f>
        <v>39.285179245283011</v>
      </c>
      <c r="FB327" s="1073">
        <f t="shared" ref="FB327" si="1613">+EW327*(1+FB328)</f>
        <v>40.259560196977418</v>
      </c>
      <c r="FC327" s="1214">
        <f>FC339/FC317*1000/12</f>
        <v>39.081383704940961</v>
      </c>
      <c r="FD327" s="1073">
        <f t="shared" ref="FD327:FI327" si="1614">+FC327*(1+FD328)</f>
        <v>39.076313769012948</v>
      </c>
      <c r="FE327" s="1073">
        <f t="shared" si="1614"/>
        <v>39.07225834643922</v>
      </c>
      <c r="FF327" s="1073">
        <f t="shared" si="1614"/>
        <v>39.069014345084511</v>
      </c>
      <c r="FG327" s="1073">
        <f t="shared" si="1614"/>
        <v>39.066419359469116</v>
      </c>
      <c r="FH327" s="1073">
        <f t="shared" si="1614"/>
        <v>39.064343508865107</v>
      </c>
      <c r="FI327" s="1073">
        <f t="shared" si="1614"/>
        <v>39.062682916624553</v>
      </c>
      <c r="FJ327" s="1068">
        <f>+(FF327/ES327)^0.2-1</f>
        <v>1.8723237410202875E-2</v>
      </c>
    </row>
    <row r="328" spans="1:166" s="108" customFormat="1" x14ac:dyDescent="0.3">
      <c r="A328" s="70" t="s">
        <v>363</v>
      </c>
      <c r="DY328" s="538"/>
      <c r="DZ328" s="940"/>
      <c r="EA328" s="940"/>
      <c r="EB328" s="940"/>
      <c r="EC328" s="940"/>
      <c r="ED328" s="127"/>
      <c r="EE328" s="126">
        <f t="shared" ref="EE328:EW328" si="1615">+EE327/DZ327-1</f>
        <v>-4.879275582094611E-2</v>
      </c>
      <c r="EF328" s="126">
        <f t="shared" si="1615"/>
        <v>-4.7112145027272345E-2</v>
      </c>
      <c r="EG328" s="126">
        <f t="shared" si="1615"/>
        <v>-4.6830173447415357E-2</v>
      </c>
      <c r="EH328" s="126">
        <f t="shared" si="1615"/>
        <v>-6.2633651075091112E-2</v>
      </c>
      <c r="EI328" s="127">
        <f t="shared" si="1615"/>
        <v>-5.1066554707433265E-2</v>
      </c>
      <c r="EJ328" s="126">
        <f t="shared" si="1615"/>
        <v>-4.018512191591006E-2</v>
      </c>
      <c r="EK328" s="126">
        <f t="shared" si="1615"/>
        <v>-1.800056221262436E-2</v>
      </c>
      <c r="EL328" s="126">
        <f t="shared" si="1615"/>
        <v>1.8500107118319953E-2</v>
      </c>
      <c r="EM328" s="126">
        <f t="shared" si="1615"/>
        <v>-2.8432846328301897E-2</v>
      </c>
      <c r="EN328" s="127">
        <f>+EN327/EI327-1</f>
        <v>-1.7206583153911215E-2</v>
      </c>
      <c r="EO328" s="126">
        <f t="shared" si="1615"/>
        <v>-2.2369669535290515E-2</v>
      </c>
      <c r="EP328" s="126">
        <f t="shared" si="1615"/>
        <v>2.8304007876984727E-2</v>
      </c>
      <c r="EQ328" s="126">
        <f t="shared" si="1615"/>
        <v>6.3302388972268364E-2</v>
      </c>
      <c r="ER328" s="126">
        <f t="shared" si="1615"/>
        <v>0.14537475079252182</v>
      </c>
      <c r="ES328" s="127">
        <f>+ES327/EN327-1</f>
        <v>4.9297475230247745E-2</v>
      </c>
      <c r="ET328" s="126">
        <f t="shared" si="1615"/>
        <v>0.17029160451309289</v>
      </c>
      <c r="EU328" s="126">
        <f t="shared" si="1615"/>
        <v>8.6009585030512259E-2</v>
      </c>
      <c r="EV328" s="126">
        <f t="shared" si="1615"/>
        <v>6.1206774127875674E-2</v>
      </c>
      <c r="EW328" s="126">
        <f t="shared" si="1615"/>
        <v>7.3705234729139146E-2</v>
      </c>
      <c r="EX328" s="127">
        <f>+EX327/ES327-1</f>
        <v>9.7713413654167747E-2</v>
      </c>
      <c r="EY328" s="940">
        <v>0</v>
      </c>
      <c r="EZ328" s="940">
        <v>0</v>
      </c>
      <c r="FA328" s="940">
        <v>0</v>
      </c>
      <c r="FB328" s="940">
        <v>0</v>
      </c>
      <c r="FC328" s="127">
        <f>+FC327/EX327-1</f>
        <v>-1.6215955806131443E-4</v>
      </c>
      <c r="FD328" s="940">
        <f t="shared" ref="FD328:FI328" si="1616">FC328*0.8</f>
        <v>-1.2972764644905154E-4</v>
      </c>
      <c r="FE328" s="940">
        <f t="shared" si="1616"/>
        <v>-1.0378211715924124E-4</v>
      </c>
      <c r="FF328" s="940">
        <f t="shared" si="1616"/>
        <v>-8.3025693727392994E-5</v>
      </c>
      <c r="FG328" s="940">
        <f t="shared" si="1616"/>
        <v>-6.6420554981914392E-5</v>
      </c>
      <c r="FH328" s="940">
        <f t="shared" si="1616"/>
        <v>-5.3136443985531514E-5</v>
      </c>
      <c r="FI328" s="940">
        <f t="shared" si="1616"/>
        <v>-4.2509155188425216E-5</v>
      </c>
    </row>
    <row r="329" spans="1:166" x14ac:dyDescent="0.3">
      <c r="A329" s="56" t="s">
        <v>424</v>
      </c>
      <c r="DZ329" s="828">
        <f>Inputs!DZ443</f>
        <v>65.209999999999994</v>
      </c>
      <c r="EA329" s="828">
        <f>Inputs!EA443</f>
        <v>64.739999999999995</v>
      </c>
      <c r="EB329" s="828">
        <f>Inputs!EB443</f>
        <v>64.92</v>
      </c>
      <c r="EC329" s="828">
        <f>Inputs!EC443</f>
        <v>66.12</v>
      </c>
      <c r="ED329" s="102">
        <f>ED341/ED318*1000/12</f>
        <v>65.236398257063328</v>
      </c>
      <c r="EE329" s="828">
        <f>Inputs!EE448</f>
        <v>63.8</v>
      </c>
      <c r="EF329" s="828">
        <f>Inputs!EF448</f>
        <v>61.07</v>
      </c>
      <c r="EG329" s="828">
        <f>Inputs!EG448</f>
        <v>59.15</v>
      </c>
      <c r="EH329" s="828">
        <f>Inputs!EH448</f>
        <v>57.76</v>
      </c>
      <c r="EI329" s="102">
        <f>EI341/EI318*1000/12</f>
        <v>60.506864347858773</v>
      </c>
      <c r="EJ329" s="828">
        <f>Inputs!EJ448</f>
        <v>59.35</v>
      </c>
      <c r="EK329" s="828">
        <f>Inputs!EK448</f>
        <v>57.35</v>
      </c>
      <c r="EL329" s="828">
        <f>Inputs!EL448</f>
        <v>59.25</v>
      </c>
      <c r="EM329" s="828">
        <f>Inputs!EM448</f>
        <v>60.18</v>
      </c>
      <c r="EN329" s="102">
        <f>EN341/EN318*1000/12</f>
        <v>59.011415254237285</v>
      </c>
      <c r="EO329" s="828">
        <f>Inputs!EO448</f>
        <v>60.59</v>
      </c>
      <c r="EP329" s="828">
        <f>Inputs!EP448</f>
        <v>61.26</v>
      </c>
      <c r="EQ329" s="828">
        <f>Inputs!EQ448</f>
        <v>59.87</v>
      </c>
      <c r="ER329" s="828">
        <f>Inputs!ER448</f>
        <v>59.87</v>
      </c>
      <c r="ES329" s="102">
        <f>ES341/ES318*1000/12</f>
        <v>60.416267465069858</v>
      </c>
      <c r="ET329" s="828">
        <f>Inputs!ET448</f>
        <v>60.81</v>
      </c>
      <c r="EU329" s="828">
        <f>Inputs!EU448</f>
        <v>63.83</v>
      </c>
      <c r="EV329" s="828">
        <f>Inputs!EV448</f>
        <v>64.98</v>
      </c>
      <c r="EW329" s="828">
        <f>Inputs!EW448</f>
        <v>64.94</v>
      </c>
      <c r="EX329" s="102">
        <f>EX341/EX318*1000/12</f>
        <v>63.540441176470587</v>
      </c>
      <c r="EY329" s="1073">
        <f t="shared" ref="EY329" si="1617">+ET329*(1+EY330)</f>
        <v>63.640080543292505</v>
      </c>
      <c r="EZ329" s="1073">
        <f t="shared" ref="EZ329" si="1618">+EU329*(1+EZ330)</f>
        <v>66.800630506139782</v>
      </c>
      <c r="FA329" s="1073">
        <f t="shared" ref="FA329" si="1619">+EV329*(1+FA330)</f>
        <v>68.00415118735647</v>
      </c>
      <c r="FB329" s="1073">
        <f t="shared" ref="FB329" si="1620">+EW329*(1+FB330)</f>
        <v>67.962289598444585</v>
      </c>
      <c r="FC329" s="102">
        <f>FC341/FC318*1000/12</f>
        <v>66.486686337044176</v>
      </c>
      <c r="FD329" s="101">
        <f t="shared" ref="FD329:FI329" si="1621">FC329*(1+FD330)</f>
        <v>69.261257410404397</v>
      </c>
      <c r="FE329" s="101">
        <f t="shared" si="1621"/>
        <v>71.86257900894455</v>
      </c>
      <c r="FF329" s="101">
        <f t="shared" si="1621"/>
        <v>74.29169908707955</v>
      </c>
      <c r="FG329" s="101">
        <f t="shared" si="1621"/>
        <v>76.551806007008679</v>
      </c>
      <c r="FH329" s="101">
        <f t="shared" si="1621"/>
        <v>78.647783643191758</v>
      </c>
      <c r="FI329" s="101">
        <f t="shared" si="1621"/>
        <v>80.585812330232301</v>
      </c>
      <c r="FJ329" s="189"/>
    </row>
    <row r="330" spans="1:166" x14ac:dyDescent="0.3">
      <c r="A330" s="70" t="s">
        <v>363</v>
      </c>
      <c r="EE330" s="126">
        <f t="shared" ref="EE330:EW330" si="1622">+EE329/DZ329-1</f>
        <v>-2.1622450544394933E-2</v>
      </c>
      <c r="EF330" s="126">
        <f t="shared" si="1622"/>
        <v>-5.6688291628050558E-2</v>
      </c>
      <c r="EG330" s="126">
        <f t="shared" si="1622"/>
        <v>-8.887861983980283E-2</v>
      </c>
      <c r="EH330" s="126">
        <f t="shared" si="1622"/>
        <v>-0.12643678160919547</v>
      </c>
      <c r="EI330" s="127">
        <f t="shared" si="1622"/>
        <v>-7.2498391014290453E-2</v>
      </c>
      <c r="EJ330" s="126">
        <f t="shared" si="1622"/>
        <v>-6.9749216300940331E-2</v>
      </c>
      <c r="EK330" s="126">
        <f t="shared" si="1622"/>
        <v>-6.0913705583756306E-2</v>
      </c>
      <c r="EL330" s="126">
        <f t="shared" si="1622"/>
        <v>1.6906170752324368E-3</v>
      </c>
      <c r="EM330" s="126">
        <f t="shared" si="1622"/>
        <v>4.1897506925207884E-2</v>
      </c>
      <c r="EN330" s="127">
        <f>+EN329/EI329-1</f>
        <v>-2.4715362624379789E-2</v>
      </c>
      <c r="EO330" s="126">
        <f t="shared" si="1622"/>
        <v>2.0893007582139855E-2</v>
      </c>
      <c r="EP330" s="126">
        <f t="shared" si="1622"/>
        <v>6.8177855274629495E-2</v>
      </c>
      <c r="EQ330" s="126">
        <f t="shared" si="1622"/>
        <v>1.0464135021096999E-2</v>
      </c>
      <c r="ER330" s="126">
        <f t="shared" si="1622"/>
        <v>-5.151213027583923E-3</v>
      </c>
      <c r="ES330" s="127">
        <f>+ES329/EN329-1</f>
        <v>2.3806448375794487E-2</v>
      </c>
      <c r="ET330" s="126">
        <f t="shared" si="1622"/>
        <v>3.6309622049843782E-3</v>
      </c>
      <c r="EU330" s="126">
        <f t="shared" si="1622"/>
        <v>4.1952334312765238E-2</v>
      </c>
      <c r="EV330" s="126">
        <f t="shared" si="1622"/>
        <v>8.5351595122766133E-2</v>
      </c>
      <c r="EW330" s="126">
        <f t="shared" si="1622"/>
        <v>8.46834808752297E-2</v>
      </c>
      <c r="EX330" s="127">
        <f>+EX329/ES329-1</f>
        <v>5.1710803107904546E-2</v>
      </c>
      <c r="EY330" s="940">
        <f>EX330*0.9</f>
        <v>4.6539722797114096E-2</v>
      </c>
      <c r="EZ330" s="940">
        <f>EY330</f>
        <v>4.6539722797114096E-2</v>
      </c>
      <c r="FA330" s="940">
        <f t="shared" ref="FA330:FB330" si="1623">EZ330</f>
        <v>4.6539722797114096E-2</v>
      </c>
      <c r="FB330" s="940">
        <f t="shared" si="1623"/>
        <v>4.6539722797114096E-2</v>
      </c>
      <c r="FC330" s="127">
        <f>+FC329/EX329-1</f>
        <v>4.6368031225829887E-2</v>
      </c>
      <c r="FD330" s="940">
        <f t="shared" ref="FD330:FI330" si="1624">FC330*0.9</f>
        <v>4.1731228103246899E-2</v>
      </c>
      <c r="FE330" s="940">
        <f t="shared" si="1624"/>
        <v>3.7558105292922209E-2</v>
      </c>
      <c r="FF330" s="940">
        <f t="shared" si="1624"/>
        <v>3.3802294763629989E-2</v>
      </c>
      <c r="FG330" s="940">
        <f t="shared" si="1624"/>
        <v>3.042206528726699E-2</v>
      </c>
      <c r="FH330" s="940">
        <f t="shared" si="1624"/>
        <v>2.737985875854029E-2</v>
      </c>
      <c r="FI330" s="940">
        <f t="shared" si="1624"/>
        <v>2.464187288268626E-2</v>
      </c>
    </row>
    <row r="331" spans="1:166" s="705" customFormat="1" hidden="1" x14ac:dyDescent="0.3">
      <c r="A331" s="1011" t="s">
        <v>425</v>
      </c>
      <c r="DU331" s="1144"/>
      <c r="DV331" s="1144"/>
      <c r="DW331" s="1144"/>
      <c r="DX331" s="1144"/>
      <c r="DY331" s="1145"/>
      <c r="DZ331" s="1144">
        <f>+DZ623/DZ601/3*1000</f>
        <v>106.14787878787878</v>
      </c>
      <c r="EA331" s="1144">
        <f>+EA623/EA601/3*1000</f>
        <v>105.40403932082216</v>
      </c>
      <c r="EB331" s="1144">
        <f>+EB623/EB601/3*1000</f>
        <v>106.21305555555553</v>
      </c>
      <c r="EC331" s="1144">
        <f>+EC623/EC601/3*1000</f>
        <v>108.0841443298969</v>
      </c>
      <c r="ED331" s="1145">
        <f>+ED623/ED601/12*1000</f>
        <v>106.40565841240452</v>
      </c>
      <c r="EE331" s="1144">
        <f>+EE623/EE601/3*1000</f>
        <v>111.02473509933775</v>
      </c>
      <c r="EF331" s="1144">
        <f>+EF623/EF601/3*1000</f>
        <v>114.85704491725768</v>
      </c>
      <c r="EG331" s="1144">
        <f>+EG623/EG601/3*1000</f>
        <v>115.98656603773587</v>
      </c>
      <c r="EH331" s="1144">
        <f>+EH623/EH601/3*1000</f>
        <v>116.84909814323608</v>
      </c>
      <c r="EI331" s="1145">
        <f>+EI623/EI601/12*1000</f>
        <v>114.53226598000604</v>
      </c>
      <c r="EJ331" s="1144">
        <f>+EJ623/EJ601/3*1000</f>
        <v>118.08116828929067</v>
      </c>
      <c r="EK331" s="1144">
        <f>+EK623/EK601/3*1000</f>
        <v>121.93970674486802</v>
      </c>
      <c r="EL331" s="1144">
        <f>+EL623/EL601/3*1000</f>
        <v>122.16404056162246</v>
      </c>
      <c r="EM331" s="1144">
        <f>+EM623/EM601/3*1000</f>
        <v>122.53402317880796</v>
      </c>
      <c r="EN331" s="1145">
        <f t="shared" ref="EN331" si="1625">+EN623/EN601/12*1000</f>
        <v>121.08123204837491</v>
      </c>
      <c r="EO331" s="1144" t="e">
        <f>+EO623/EO601/3*1000</f>
        <v>#DIV/0!</v>
      </c>
      <c r="EP331" s="1144" t="e">
        <f>+EP623/EP601/3*1000</f>
        <v>#DIV/0!</v>
      </c>
      <c r="EQ331" s="1144" t="e">
        <f>+EQ623/EQ601/3*1000</f>
        <v>#DIV/0!</v>
      </c>
      <c r="ER331" s="1144" t="e">
        <f>+ER623/ER601/3*1000</f>
        <v>#DIV/0!</v>
      </c>
      <c r="ES331" s="1145"/>
      <c r="ET331" s="1144" t="e">
        <f>+ET623/ET601/3*1000</f>
        <v>#DIV/0!</v>
      </c>
      <c r="EU331" s="1144" t="e">
        <f>+EU623/EU601/3*1000</f>
        <v>#DIV/0!</v>
      </c>
      <c r="EV331" s="1144" t="e">
        <f>+EV623/EV601/3*1000</f>
        <v>#DIV/0!</v>
      </c>
      <c r="EW331" s="1144" t="e">
        <f>+EW623/EW601/3*1000</f>
        <v>#DIV/0!</v>
      </c>
      <c r="EX331" s="1145"/>
      <c r="EY331" s="1144"/>
      <c r="EZ331" s="1144"/>
      <c r="FA331" s="1144"/>
      <c r="FB331" s="1144"/>
      <c r="FC331" s="1145"/>
      <c r="FD331" s="1144"/>
      <c r="FE331" s="1144"/>
      <c r="FF331" s="1144"/>
      <c r="FG331" s="1144"/>
      <c r="FH331" s="1144"/>
      <c r="FI331" s="1144"/>
      <c r="FJ331" s="1121"/>
    </row>
    <row r="332" spans="1:166" s="705" customFormat="1" hidden="1" x14ac:dyDescent="0.3">
      <c r="A332" s="1117" t="s">
        <v>363</v>
      </c>
      <c r="DY332" s="760"/>
      <c r="DZ332" s="735"/>
      <c r="EA332" s="735"/>
      <c r="EB332" s="735"/>
      <c r="EC332" s="735"/>
      <c r="ED332" s="1119"/>
      <c r="EE332" s="735">
        <f t="shared" ref="EE332:EW332" si="1626">+EE331/DZ331-1</f>
        <v>4.5943982745097145E-2</v>
      </c>
      <c r="EF332" s="735">
        <f t="shared" si="1626"/>
        <v>8.9683523111131036E-2</v>
      </c>
      <c r="EG332" s="735">
        <f t="shared" si="1626"/>
        <v>9.2017976801997081E-2</v>
      </c>
      <c r="EH332" s="735">
        <f t="shared" si="1626"/>
        <v>8.1093798426035368E-2</v>
      </c>
      <c r="EI332" s="1119">
        <f t="shared" si="1626"/>
        <v>7.6373829069358523E-2</v>
      </c>
      <c r="EJ332" s="735">
        <f t="shared" si="1626"/>
        <v>6.3557307149972431E-2</v>
      </c>
      <c r="EK332" s="735">
        <f t="shared" si="1626"/>
        <v>6.1665018743191968E-2</v>
      </c>
      <c r="EL332" s="735">
        <f t="shared" si="1626"/>
        <v>5.3260258794770809E-2</v>
      </c>
      <c r="EM332" s="735">
        <f t="shared" si="1626"/>
        <v>4.8651852054546252E-2</v>
      </c>
      <c r="EN332" s="1119">
        <f t="shared" si="1626"/>
        <v>5.7180096912708755E-2</v>
      </c>
      <c r="EO332" s="735" t="e">
        <f t="shared" si="1626"/>
        <v>#DIV/0!</v>
      </c>
      <c r="EP332" s="735" t="e">
        <f t="shared" si="1626"/>
        <v>#DIV/0!</v>
      </c>
      <c r="EQ332" s="735" t="e">
        <f t="shared" si="1626"/>
        <v>#DIV/0!</v>
      </c>
      <c r="ER332" s="735" t="e">
        <f t="shared" si="1626"/>
        <v>#DIV/0!</v>
      </c>
      <c r="ES332" s="1119"/>
      <c r="ET332" s="735" t="e">
        <f t="shared" si="1626"/>
        <v>#DIV/0!</v>
      </c>
      <c r="EU332" s="735" t="e">
        <f t="shared" si="1626"/>
        <v>#DIV/0!</v>
      </c>
      <c r="EV332" s="735" t="e">
        <f t="shared" si="1626"/>
        <v>#DIV/0!</v>
      </c>
      <c r="EW332" s="735" t="e">
        <f t="shared" si="1626"/>
        <v>#DIV/0!</v>
      </c>
      <c r="EX332" s="1119"/>
      <c r="EY332" s="735"/>
      <c r="EZ332" s="735"/>
      <c r="FA332" s="735"/>
      <c r="FB332" s="735"/>
      <c r="FC332" s="1119"/>
      <c r="FD332" s="735"/>
      <c r="FE332" s="735"/>
      <c r="FF332" s="735"/>
      <c r="FG332" s="735"/>
      <c r="FH332" s="735"/>
      <c r="FI332" s="735"/>
    </row>
    <row r="333" spans="1:166" s="705" customFormat="1" hidden="1" x14ac:dyDescent="0.3">
      <c r="A333" s="1011" t="s">
        <v>426</v>
      </c>
      <c r="DU333" s="1146">
        <f>+DZ333/(1+DZ334)</f>
        <v>21.05263157894737</v>
      </c>
      <c r="DV333" s="1146">
        <f>+EA333/(1+EA334)</f>
        <v>21.05263157894737</v>
      </c>
      <c r="DW333" s="1146">
        <f>+EB333/(1+EB334)</f>
        <v>21.05263157894737</v>
      </c>
      <c r="DX333" s="1146">
        <f>+EC333/(1+EC334)</f>
        <v>21.05263157894737</v>
      </c>
      <c r="DY333" s="1145">
        <f>+DY630/DY602/12*1000</f>
        <v>21.052631578947366</v>
      </c>
      <c r="DZ333" s="1147">
        <f>+EA333</f>
        <v>20</v>
      </c>
      <c r="EA333" s="1147">
        <v>20</v>
      </c>
      <c r="EB333" s="1147">
        <v>20</v>
      </c>
      <c r="EC333" s="1147">
        <v>20</v>
      </c>
      <c r="ED333" s="1145">
        <f>+ED630/ED602/12*1000</f>
        <v>20</v>
      </c>
      <c r="EE333" s="1144">
        <f>EE627/EE602/3*1000</f>
        <v>20.334912351316227</v>
      </c>
      <c r="EF333" s="1144">
        <f>EF627/EF602/3*1000</f>
        <v>19.528526254937706</v>
      </c>
      <c r="EG333" s="1144">
        <f>EG627/EG602/3*1000</f>
        <v>18.850927476042308</v>
      </c>
      <c r="EH333" s="1144">
        <f>EH627/EH602/3*1000</f>
        <v>18.250037107570328</v>
      </c>
      <c r="EI333" s="1145">
        <f>+EI630/EI602/12*1000</f>
        <v>19.24848748042896</v>
      </c>
      <c r="EJ333" s="1144">
        <f>EJ627/EJ602/3*1000</f>
        <v>17.696332233871871</v>
      </c>
      <c r="EK333" s="1144">
        <f>EK627/EK602/3*1000</f>
        <v>17.629745636892096</v>
      </c>
      <c r="EL333" s="1144">
        <f>EL627/EL602/3*1000</f>
        <v>17.336121765131043</v>
      </c>
      <c r="EM333" s="1144">
        <f>EM627/EM602/3*1000</f>
        <v>17.215798150736635</v>
      </c>
      <c r="EN333" s="1145">
        <f>+EN630/EN602/12*1000</f>
        <v>17.470228837370655</v>
      </c>
      <c r="EO333" s="1144" t="e">
        <f>EO627/EO602/3*1000</f>
        <v>#DIV/0!</v>
      </c>
      <c r="EP333" s="1144" t="e">
        <f>EP627/EP602/3*1000</f>
        <v>#DIV/0!</v>
      </c>
      <c r="EQ333" s="1144" t="e">
        <f>EQ627/EQ602/3*1000</f>
        <v>#DIV/0!</v>
      </c>
      <c r="ER333" s="1144" t="e">
        <f>ER627/ER602/3*1000</f>
        <v>#DIV/0!</v>
      </c>
      <c r="ES333" s="1145"/>
      <c r="ET333" s="1144" t="e">
        <f>ET627/ET602/3*1000</f>
        <v>#DIV/0!</v>
      </c>
      <c r="EU333" s="1144" t="e">
        <f>EU627/EU602/3*1000</f>
        <v>#DIV/0!</v>
      </c>
      <c r="EV333" s="1144" t="e">
        <f>EV627/EV602/3*1000</f>
        <v>#DIV/0!</v>
      </c>
      <c r="EW333" s="1144" t="e">
        <f>EW627/EW602/3*1000</f>
        <v>#DIV/0!</v>
      </c>
      <c r="EX333" s="1145"/>
      <c r="EY333" s="1144"/>
      <c r="EZ333" s="1144"/>
      <c r="FA333" s="1144"/>
      <c r="FB333" s="1144"/>
      <c r="FC333" s="1145"/>
      <c r="FD333" s="1144"/>
      <c r="FE333" s="1144"/>
      <c r="FF333" s="1144"/>
      <c r="FG333" s="1144"/>
      <c r="FH333" s="1144"/>
      <c r="FI333" s="1144"/>
      <c r="FJ333" s="1121"/>
    </row>
    <row r="334" spans="1:166" s="705" customFormat="1" hidden="1" x14ac:dyDescent="0.3">
      <c r="A334" s="1117" t="s">
        <v>363</v>
      </c>
      <c r="DY334" s="760"/>
      <c r="DZ334" s="1118">
        <v>-0.05</v>
      </c>
      <c r="EA334" s="1118">
        <v>-0.05</v>
      </c>
      <c r="EB334" s="1118">
        <v>-0.05</v>
      </c>
      <c r="EC334" s="1118">
        <v>-0.05</v>
      </c>
      <c r="ED334" s="1119">
        <f t="shared" ref="ED334:EW334" si="1627">+ED333/DY333-1</f>
        <v>-4.9999999999999933E-2</v>
      </c>
      <c r="EE334" s="1148">
        <f t="shared" si="1627"/>
        <v>1.6745617565811388E-2</v>
      </c>
      <c r="EF334" s="1148">
        <f t="shared" si="1627"/>
        <v>-2.3573687253114706E-2</v>
      </c>
      <c r="EG334" s="1148">
        <f t="shared" si="1627"/>
        <v>-5.7453626197884633E-2</v>
      </c>
      <c r="EH334" s="1148">
        <f t="shared" si="1627"/>
        <v>-8.7498144621483531E-2</v>
      </c>
      <c r="EI334" s="1149">
        <f t="shared" si="1627"/>
        <v>-3.7575625978552019E-2</v>
      </c>
      <c r="EJ334" s="1148">
        <f t="shared" si="1627"/>
        <v>-0.1297561588591537</v>
      </c>
      <c r="EK334" s="1148">
        <f t="shared" si="1627"/>
        <v>-9.7231127083412749E-2</v>
      </c>
      <c r="EL334" s="1148">
        <f t="shared" si="1627"/>
        <v>-8.0357091863858421E-2</v>
      </c>
      <c r="EM334" s="1148">
        <f t="shared" si="1627"/>
        <v>-5.6670512544036322E-2</v>
      </c>
      <c r="EN334" s="1149">
        <f t="shared" si="1627"/>
        <v>-9.2384331229472538E-2</v>
      </c>
      <c r="EO334" s="1148" t="e">
        <f t="shared" si="1627"/>
        <v>#DIV/0!</v>
      </c>
      <c r="EP334" s="1148" t="e">
        <f t="shared" si="1627"/>
        <v>#DIV/0!</v>
      </c>
      <c r="EQ334" s="1148" t="e">
        <f t="shared" si="1627"/>
        <v>#DIV/0!</v>
      </c>
      <c r="ER334" s="1148" t="e">
        <f t="shared" si="1627"/>
        <v>#DIV/0!</v>
      </c>
      <c r="ES334" s="1149"/>
      <c r="ET334" s="1148" t="e">
        <f t="shared" si="1627"/>
        <v>#DIV/0!</v>
      </c>
      <c r="EU334" s="1148" t="e">
        <f t="shared" si="1627"/>
        <v>#DIV/0!</v>
      </c>
      <c r="EV334" s="1148" t="e">
        <f t="shared" si="1627"/>
        <v>#DIV/0!</v>
      </c>
      <c r="EW334" s="1148" t="e">
        <f t="shared" si="1627"/>
        <v>#DIV/0!</v>
      </c>
      <c r="EX334" s="1149"/>
      <c r="EY334" s="1148"/>
      <c r="EZ334" s="1148"/>
      <c r="FA334" s="1148"/>
      <c r="FB334" s="1148"/>
      <c r="FC334" s="1149"/>
      <c r="FD334" s="1148"/>
      <c r="FE334" s="1148"/>
      <c r="FF334" s="1148"/>
      <c r="FG334" s="1148"/>
      <c r="FH334" s="1148"/>
      <c r="FI334" s="1148"/>
    </row>
    <row r="335" spans="1:166" x14ac:dyDescent="0.3">
      <c r="A335" s="60"/>
      <c r="ED335" s="85"/>
      <c r="EE335" s="74"/>
      <c r="EO335"/>
      <c r="EP335"/>
      <c r="EQ335"/>
      <c r="ER335"/>
      <c r="ES335" s="90"/>
      <c r="EX335" s="90"/>
      <c r="FC335" s="90"/>
    </row>
    <row r="336" spans="1:166" x14ac:dyDescent="0.3">
      <c r="A336" s="90" t="s">
        <v>284</v>
      </c>
      <c r="EO336"/>
      <c r="EP336"/>
      <c r="EQ336"/>
      <c r="ER336"/>
      <c r="ES336" s="90"/>
      <c r="EX336" s="90"/>
      <c r="FC336" s="90"/>
    </row>
    <row r="337" spans="1:165" x14ac:dyDescent="0.3">
      <c r="A337" t="s">
        <v>427</v>
      </c>
      <c r="DU337" s="885">
        <f>DU323*DU314*3/1000</f>
        <v>186.71995500000003</v>
      </c>
      <c r="DV337" s="885">
        <f>DV323*DV314*3/1000</f>
        <v>186.11376000000001</v>
      </c>
      <c r="DW337" s="885">
        <f>DW323*DW314*3/1000</f>
        <v>183.25274999999999</v>
      </c>
      <c r="DX337" s="885">
        <f>DX323*DX314*3/1000</f>
        <v>179.26423499999999</v>
      </c>
      <c r="DY337" s="916">
        <f>SUM(DU337:DX337)</f>
        <v>735.35070000000007</v>
      </c>
      <c r="DZ337" s="885">
        <f>DZ323*DZ314*3/1000</f>
        <v>176.59522499999997</v>
      </c>
      <c r="EA337" s="885">
        <f>EA323*EA314*3/1000</f>
        <v>177.36390000000003</v>
      </c>
      <c r="EB337" s="885">
        <f>EB323*EB314*3/1000</f>
        <v>175.93367999999998</v>
      </c>
      <c r="EC337" s="885">
        <f>EC323*EC314*3/1000</f>
        <v>174.48795000000001</v>
      </c>
      <c r="ED337" s="1079">
        <f>+SUM(DZ337:EC337)</f>
        <v>704.38075499999991</v>
      </c>
      <c r="EE337" s="885">
        <f>EE323*EE314*3/1000</f>
        <v>173.52521999999999</v>
      </c>
      <c r="EF337" s="885">
        <f>EF323*EF314*3/1000</f>
        <v>176.33279999999999</v>
      </c>
      <c r="EG337" s="885">
        <f>EG323*EG314*3/1000</f>
        <v>174.55776</v>
      </c>
      <c r="EH337" s="885">
        <f>EH323*EH314*3/1000</f>
        <v>169.85151000000002</v>
      </c>
      <c r="EI337" s="1079">
        <f>+SUM(EE337:EH337)</f>
        <v>694.26729</v>
      </c>
      <c r="EJ337" s="885">
        <f>EJ323*EJ314*3/1000</f>
        <v>167.19804000000002</v>
      </c>
      <c r="EK337" s="885">
        <f>EK323*EK314*3/1000</f>
        <v>172.09273499999998</v>
      </c>
      <c r="EL337" s="885">
        <f>EL323*EL314*3/1000</f>
        <v>168.9093</v>
      </c>
      <c r="EM337" s="885">
        <f>EM323*EM314*3/1000</f>
        <v>156.91140000000001</v>
      </c>
      <c r="EN337" s="1079">
        <f>+SUM(EJ337:EM337)</f>
        <v>665.11147499999993</v>
      </c>
      <c r="EO337" s="885">
        <f>EO323*EO314*3/1000</f>
        <v>148.83960000000002</v>
      </c>
      <c r="EP337" s="885">
        <f>EP323*EP314*3/1000</f>
        <v>149.08275</v>
      </c>
      <c r="EQ337" s="885">
        <f>EQ323*EQ314*3/1000</f>
        <v>147.31013999999999</v>
      </c>
      <c r="ER337" s="885">
        <f>ER323*ER314*3/1000</f>
        <v>137.61036000000001</v>
      </c>
      <c r="ES337" s="1079">
        <f>+SUM(EO337:ER337)</f>
        <v>582.84285</v>
      </c>
      <c r="ET337" s="885">
        <f>ET323*ET314*3/1000</f>
        <v>134.19431999999998</v>
      </c>
      <c r="EU337" s="885">
        <f>EU323*EU314*3/1000</f>
        <v>130.38588000000001</v>
      </c>
      <c r="EV337" s="885">
        <f>EV323*EV314*3/1000</f>
        <v>123.08238</v>
      </c>
      <c r="EW337" s="885">
        <f>EW323*EW314*3/1000</f>
        <v>119.08404</v>
      </c>
      <c r="EX337" s="1079">
        <f>+SUM(ET337:EW337)</f>
        <v>506.74662000000001</v>
      </c>
      <c r="EY337" s="885">
        <f t="shared" ref="EY337:FB337" si="1628">EY323*EY314*3/1000</f>
        <v>106.94591429198042</v>
      </c>
      <c r="EZ337" s="885">
        <f t="shared" si="1628"/>
        <v>103.06324212711738</v>
      </c>
      <c r="FA337" s="885">
        <f t="shared" si="1628"/>
        <v>96.410373267464138</v>
      </c>
      <c r="FB337" s="885">
        <f t="shared" si="1628"/>
        <v>92.300880895427568</v>
      </c>
      <c r="FC337" s="1079">
        <f>+SUM(EY337:FB337)</f>
        <v>398.72041058198948</v>
      </c>
      <c r="FD337" s="885">
        <f t="shared" ref="FD337:FI337" si="1629">FD323*FD314*12/1000</f>
        <v>295.41075172913111</v>
      </c>
      <c r="FE337" s="885">
        <f t="shared" si="1629"/>
        <v>210.51962150047194</v>
      </c>
      <c r="FF337" s="885">
        <f t="shared" si="1629"/>
        <v>149.72304047581466</v>
      </c>
      <c r="FG337" s="885">
        <f t="shared" si="1629"/>
        <v>106.28117886349193</v>
      </c>
      <c r="FH337" s="885">
        <f t="shared" si="1629"/>
        <v>75.307062282039553</v>
      </c>
      <c r="FI337" s="885">
        <f t="shared" si="1629"/>
        <v>53.267799788879096</v>
      </c>
    </row>
    <row r="338" spans="1:165" x14ac:dyDescent="0.3">
      <c r="A338" t="s">
        <v>428</v>
      </c>
      <c r="DZ338" s="885">
        <f>DZ325*DZ315*3/1000</f>
        <v>29.7</v>
      </c>
      <c r="EA338" s="885">
        <f>EA325*EA315*3/1000</f>
        <v>27.879930000000002</v>
      </c>
      <c r="EB338" s="885">
        <f>EB325*EB315*3/1000</f>
        <v>26.347739999999998</v>
      </c>
      <c r="EC338" s="885">
        <f>EC325*EC315*3/1000</f>
        <v>24.280559999999998</v>
      </c>
      <c r="ED338" s="1079">
        <f>+SUM(DZ338:EC338)</f>
        <v>108.20823</v>
      </c>
      <c r="EE338" s="885">
        <f>EE325*EE315*3/1000</f>
        <v>23.09412</v>
      </c>
      <c r="EF338" s="885">
        <f>EF325*EF315*3/1000</f>
        <v>21.847559999999998</v>
      </c>
      <c r="EG338" s="885">
        <f>EG325*EG315*3/1000</f>
        <v>20.880989999999997</v>
      </c>
      <c r="EH338" s="885">
        <f>EH325*EH315*3/1000</f>
        <v>19.636650000000003</v>
      </c>
      <c r="EI338" s="1079">
        <f>+SUM(EE338:EH338)</f>
        <v>85.459319999999991</v>
      </c>
      <c r="EJ338" s="885">
        <f>EJ325*EJ315*3/1000</f>
        <v>18.289619999999999</v>
      </c>
      <c r="EK338" s="885">
        <f>EK325*EK315*3/1000</f>
        <v>18.084195000000001</v>
      </c>
      <c r="EL338" s="885">
        <f>EL325*EL315*3/1000</f>
        <v>16.568639999999998</v>
      </c>
      <c r="EM338" s="885">
        <f>EM325*EM315*3/1000</f>
        <v>14.050125</v>
      </c>
      <c r="EN338" s="1079">
        <f>+SUM(EJ338:EM338)</f>
        <v>66.99257999999999</v>
      </c>
      <c r="EO338" s="885">
        <f>EO325*EO315*3/1000</f>
        <v>13.130325000000001</v>
      </c>
      <c r="EP338" s="885">
        <f>EP325*EP315*3/1000</f>
        <v>11.530530000000001</v>
      </c>
      <c r="EQ338" s="885">
        <f>EQ325*EQ315*3/1000</f>
        <v>9.317759999999998</v>
      </c>
      <c r="ER338" s="885">
        <f>ER325*ER315*3/1000</f>
        <v>7.7304000000000004</v>
      </c>
      <c r="ES338" s="1079">
        <f>+SUM(EO338:ER338)</f>
        <v>41.709015000000001</v>
      </c>
      <c r="ET338" s="885">
        <f>ET325*ET315*3/1000</f>
        <v>6.592410000000001</v>
      </c>
      <c r="EU338" s="885">
        <f>EU325*EU315*3/1000</f>
        <v>4.985549999999999</v>
      </c>
      <c r="EV338" s="885">
        <f>EV325*EV315*3/1000</f>
        <v>3.9907499999999998</v>
      </c>
      <c r="EW338" s="885">
        <f>EW325*EW315*3/1000</f>
        <v>3.3716849999999998</v>
      </c>
      <c r="EX338" s="1079">
        <f>+SUM(ET338:EW338)</f>
        <v>18.940395000000002</v>
      </c>
      <c r="EY338" s="885">
        <f t="shared" ref="EY338:FB338" si="1630">EY325*EY315*3/1000</f>
        <v>4.0918406896551724</v>
      </c>
      <c r="EZ338" s="885">
        <f t="shared" si="1630"/>
        <v>3.2604667063020214</v>
      </c>
      <c r="FA338" s="885">
        <f t="shared" si="1630"/>
        <v>2.4298920619951621</v>
      </c>
      <c r="FB338" s="885">
        <f t="shared" si="1630"/>
        <v>1.9236835766124072</v>
      </c>
      <c r="FC338" s="1079">
        <f>+SUM(EY338:FB338)</f>
        <v>11.705883034564764</v>
      </c>
      <c r="FD338" s="885">
        <f t="shared" ref="FD338:FI338" si="1631">FD325*FD315*12/1000</f>
        <v>6.2211508075767732</v>
      </c>
      <c r="FE338" s="885">
        <f t="shared" si="1631"/>
        <v>2.7998373581772036</v>
      </c>
      <c r="FF338" s="885">
        <f t="shared" si="1631"/>
        <v>1.2600706002332291</v>
      </c>
      <c r="FG338" s="885">
        <f t="shared" si="1631"/>
        <v>0.56709648256348444</v>
      </c>
      <c r="FH338" s="885">
        <f t="shared" si="1631"/>
        <v>0.25522254108329406</v>
      </c>
      <c r="FI338" s="885">
        <f t="shared" si="1631"/>
        <v>0.11486325075155392</v>
      </c>
    </row>
    <row r="339" spans="1:165" x14ac:dyDescent="0.3">
      <c r="A339" t="s">
        <v>429</v>
      </c>
      <c r="DZ339" s="901">
        <f>DZ340-DZ337-DZ338</f>
        <v>241.70477500000004</v>
      </c>
      <c r="EA339" s="901">
        <f>EA340-EA337-EA338</f>
        <v>234.75616999999994</v>
      </c>
      <c r="EB339" s="901">
        <f>EB340-EB337-EB338</f>
        <v>225.71858000000003</v>
      </c>
      <c r="EC339" s="901">
        <f>EC340-EC337-EC338</f>
        <v>221.23148999999998</v>
      </c>
      <c r="ED339" s="1111">
        <f>+SUM(DZ339:EC339)</f>
        <v>923.41101500000002</v>
      </c>
      <c r="EE339" s="901">
        <f>EE340-EE337-EE338</f>
        <v>212.38066000000001</v>
      </c>
      <c r="EF339" s="901">
        <f>EF340-EF337-EF338</f>
        <v>204.81964000000002</v>
      </c>
      <c r="EG339" s="901">
        <f>EG340-EG337-EG338</f>
        <v>195.56125</v>
      </c>
      <c r="EH339" s="901">
        <f>EH340-EH337-EH338</f>
        <v>187.51183999999998</v>
      </c>
      <c r="EI339" s="1111">
        <f>+SUM(EE339:EH339)</f>
        <v>800.27339000000006</v>
      </c>
      <c r="EJ339" s="901">
        <f>EJ340-EJ337-EJ338</f>
        <v>183.51233999999999</v>
      </c>
      <c r="EK339" s="901">
        <f>EK340-EK337-EK338</f>
        <v>179.82307000000003</v>
      </c>
      <c r="EL339" s="901">
        <f>EL340-EL337-EL338</f>
        <v>175.52206000000001</v>
      </c>
      <c r="EM339" s="901">
        <f>EM340-EM337-EM338</f>
        <v>157.03847499999998</v>
      </c>
      <c r="EN339" s="1111">
        <f>+SUM(EJ339:EM339)</f>
        <v>695.89594499999998</v>
      </c>
      <c r="EO339" s="901">
        <f>EO340-EO337-EO338</f>
        <v>151.03007499999998</v>
      </c>
      <c r="EP339" s="901">
        <f>EP340-EP337-EP338</f>
        <v>152.38672</v>
      </c>
      <c r="EQ339" s="901">
        <f>EQ340-EQ337-EQ338</f>
        <v>151.37210000000002</v>
      </c>
      <c r="ER339" s="901">
        <f>ER340-ER337-ER338</f>
        <v>144.65923999999998</v>
      </c>
      <c r="ES339" s="1111">
        <f>+SUM(EO339:ER339)</f>
        <v>599.44813499999998</v>
      </c>
      <c r="ET339" s="901">
        <f>ET340-ET337-ET338</f>
        <v>141.21327000000002</v>
      </c>
      <c r="EU339" s="901">
        <f>EU340-EU337-EU338</f>
        <v>130.62857</v>
      </c>
      <c r="EV339" s="901">
        <f>EV340-EV337-EV338</f>
        <v>124.92686999999999</v>
      </c>
      <c r="EW339" s="901">
        <f>EW340-EW337-EW338</f>
        <v>118.544275</v>
      </c>
      <c r="EX339" s="1111">
        <f>+SUM(ET339:EW339)</f>
        <v>515.31298500000003</v>
      </c>
      <c r="EY339" s="901">
        <f t="shared" ref="EY339:FB339" si="1632">EY327*EY317*3/1000</f>
        <v>106.14765717557209</v>
      </c>
      <c r="EZ339" s="901">
        <f t="shared" si="1632"/>
        <v>97.360917227373164</v>
      </c>
      <c r="FA339" s="901">
        <f t="shared" si="1632"/>
        <v>92.234525089342057</v>
      </c>
      <c r="FB339" s="901">
        <f t="shared" si="1632"/>
        <v>86.624898271705845</v>
      </c>
      <c r="FC339" s="1111">
        <f>+SUM(EY339:FB339)</f>
        <v>382.36799776399317</v>
      </c>
      <c r="FD339" s="901">
        <f t="shared" ref="FD339:FI339" si="1633">FD327*FD317*12/1000</f>
        <v>274.63810372242716</v>
      </c>
      <c r="FE339" s="901">
        <f t="shared" si="1633"/>
        <v>202.19396594508038</v>
      </c>
      <c r="FF339" s="901">
        <f t="shared" si="1633"/>
        <v>160.79182962061782</v>
      </c>
      <c r="FG339" s="901">
        <f t="shared" si="1633"/>
        <v>133.44396884870363</v>
      </c>
      <c r="FH339" s="901">
        <f t="shared" si="1633"/>
        <v>114.0825157959387</v>
      </c>
      <c r="FI339" s="901">
        <f t="shared" si="1633"/>
        <v>100.30780814823204</v>
      </c>
    </row>
    <row r="340" spans="1:165" s="90" customFormat="1" x14ac:dyDescent="0.3">
      <c r="A340" s="90" t="s">
        <v>430</v>
      </c>
      <c r="DZ340" s="1109">
        <f>Inputs!DZ169</f>
        <v>448</v>
      </c>
      <c r="EA340" s="1109">
        <f>Inputs!EA169</f>
        <v>440</v>
      </c>
      <c r="EB340" s="1109">
        <f>Inputs!EB169</f>
        <v>428</v>
      </c>
      <c r="EC340" s="1109">
        <f>Inputs!EC169</f>
        <v>420</v>
      </c>
      <c r="ED340" s="1079">
        <f>SUM(DZ340:EC340)</f>
        <v>1736</v>
      </c>
      <c r="EE340" s="1109">
        <f>Inputs!EE169</f>
        <v>409</v>
      </c>
      <c r="EF340" s="1109">
        <f>Inputs!EF169</f>
        <v>403</v>
      </c>
      <c r="EG340" s="1109">
        <f>Inputs!EG169</f>
        <v>391</v>
      </c>
      <c r="EH340" s="1109">
        <f>Inputs!EH169</f>
        <v>377</v>
      </c>
      <c r="EI340" s="1079">
        <f>SUM(EE340:EH340)</f>
        <v>1580</v>
      </c>
      <c r="EJ340" s="1109">
        <f>Inputs!EJ169</f>
        <v>369</v>
      </c>
      <c r="EK340" s="1109">
        <f>Inputs!EK169</f>
        <v>370</v>
      </c>
      <c r="EL340" s="1109">
        <f>Inputs!EL169</f>
        <v>361</v>
      </c>
      <c r="EM340" s="1109">
        <f>Inputs!EM169</f>
        <v>328</v>
      </c>
      <c r="EN340" s="1079">
        <f>SUM(EJ340:EM340)</f>
        <v>1428</v>
      </c>
      <c r="EO340" s="1109">
        <f>Inputs!EO169</f>
        <v>313</v>
      </c>
      <c r="EP340" s="1109">
        <f>Inputs!EP169</f>
        <v>313</v>
      </c>
      <c r="EQ340" s="1109">
        <f>Inputs!EQ169</f>
        <v>308</v>
      </c>
      <c r="ER340" s="1109">
        <f>Inputs!ER169</f>
        <v>290</v>
      </c>
      <c r="ES340" s="1079">
        <f>SUM(EO340:ER340)</f>
        <v>1224</v>
      </c>
      <c r="ET340" s="1109">
        <f>Inputs!ET169</f>
        <v>282</v>
      </c>
      <c r="EU340" s="1109">
        <f>Inputs!EU169</f>
        <v>266</v>
      </c>
      <c r="EV340" s="1109">
        <f>Inputs!EV169</f>
        <v>252</v>
      </c>
      <c r="EW340" s="1109">
        <f>Inputs!EW169</f>
        <v>241</v>
      </c>
      <c r="EX340" s="1079">
        <f>SUM(ET340:EW340)</f>
        <v>1041</v>
      </c>
      <c r="EY340" s="900">
        <f t="shared" ref="EY340:FB340" si="1634">SUM(EY337:EY339)</f>
        <v>217.18541215720768</v>
      </c>
      <c r="EZ340" s="900">
        <f t="shared" si="1634"/>
        <v>203.68462606079257</v>
      </c>
      <c r="FA340" s="900">
        <f t="shared" si="1634"/>
        <v>191.07479041880134</v>
      </c>
      <c r="FB340" s="900">
        <f t="shared" si="1634"/>
        <v>180.84946274374582</v>
      </c>
      <c r="FC340" s="1079">
        <f>SUM(EY340:FB340)</f>
        <v>792.79429138054729</v>
      </c>
      <c r="FD340" s="900">
        <f t="shared" ref="FD340:FI340" si="1635">SUM(FD337:FD339)</f>
        <v>576.27000625913502</v>
      </c>
      <c r="FE340" s="900">
        <f t="shared" si="1635"/>
        <v>415.51342480372955</v>
      </c>
      <c r="FF340" s="900">
        <f t="shared" si="1635"/>
        <v>311.77494069666568</v>
      </c>
      <c r="FG340" s="900">
        <f t="shared" si="1635"/>
        <v>240.29224419475906</v>
      </c>
      <c r="FH340" s="900">
        <f t="shared" si="1635"/>
        <v>189.64480061906156</v>
      </c>
      <c r="FI340" s="900">
        <f t="shared" si="1635"/>
        <v>153.6904711878627</v>
      </c>
    </row>
    <row r="341" spans="1:165" x14ac:dyDescent="0.3">
      <c r="A341" t="s">
        <v>418</v>
      </c>
      <c r="DZ341" s="1150">
        <f>DZ329*DZ318*3/1000</f>
        <v>37.957112944150929</v>
      </c>
      <c r="EA341" s="1150">
        <f>EA329*EA318*3/1000</f>
        <v>36.523322234191397</v>
      </c>
      <c r="EB341" s="1150">
        <f>EB329*EB318*3/1000</f>
        <v>35.464056854062505</v>
      </c>
      <c r="EC341" s="1150">
        <f>EC329*EC318*3/1000</f>
        <v>35.039240212500005</v>
      </c>
      <c r="ED341" s="1079">
        <f>SUM(DZ341:EC341)</f>
        <v>144.98373224490484</v>
      </c>
      <c r="EE341" s="1150">
        <f>EE329*EE318*3/1000</f>
        <v>32.961472499999999</v>
      </c>
      <c r="EF341" s="1150">
        <f>EF329*EF318*3/1000</f>
        <v>30.870885000000001</v>
      </c>
      <c r="EG341" s="1150">
        <f>EG329*EG318*3/1000</f>
        <v>29.279250000000001</v>
      </c>
      <c r="EH341" s="1150">
        <f>EH329*EH318*3/1000</f>
        <v>27.638159999999996</v>
      </c>
      <c r="EI341" s="1079">
        <f>SUM(EE341:EH341)</f>
        <v>120.7497675</v>
      </c>
      <c r="EJ341" s="1150">
        <f>EJ329*EJ318*3/1000</f>
        <v>27.508725000000002</v>
      </c>
      <c r="EK341" s="1150">
        <f>EK329*EK318*3/1000</f>
        <v>25.893525</v>
      </c>
      <c r="EL341" s="1150">
        <f>EL329*EL318*3/1000</f>
        <v>25.862625000000001</v>
      </c>
      <c r="EM341" s="1150">
        <f>EM329*EM318*3/1000</f>
        <v>25.18533</v>
      </c>
      <c r="EN341" s="1079">
        <f>SUM(EJ341:EM341)</f>
        <v>104.45020500000001</v>
      </c>
      <c r="EO341" s="1150">
        <f>EO329*EO318*3/1000</f>
        <v>24.175409999999999</v>
      </c>
      <c r="EP341" s="1150">
        <f>EP329*EP318*3/1000</f>
        <v>23.52384</v>
      </c>
      <c r="EQ341" s="1150">
        <f>EQ329*EQ318*3/1000</f>
        <v>22.092029999999998</v>
      </c>
      <c r="ER341" s="1150">
        <f>ER329*ER318*3/1000</f>
        <v>21.01437</v>
      </c>
      <c r="ES341" s="1079">
        <f>SUM(EO341:ER341)</f>
        <v>90.80565</v>
      </c>
      <c r="ET341" s="1150">
        <f>ET329*ET318*3/1000</f>
        <v>20.24973</v>
      </c>
      <c r="EU341" s="1150">
        <f>EU329*EU318*3/1000</f>
        <v>20.106449999999999</v>
      </c>
      <c r="EV341" s="1150">
        <f>EV329*EV318*3/1000</f>
        <v>19.299060000000001</v>
      </c>
      <c r="EW341" s="1150">
        <f>EW329*EW318*3/1000</f>
        <v>18.118260000000003</v>
      </c>
      <c r="EX341" s="1079">
        <f>SUM(ET341:EW341)</f>
        <v>77.773499999999999</v>
      </c>
      <c r="EY341" s="1150">
        <f t="shared" ref="EY341:FB341" si="1636">EY329*EY318*3/1000</f>
        <v>16.684854726095963</v>
      </c>
      <c r="EZ341" s="1150">
        <f t="shared" si="1636"/>
        <v>16.471473543273486</v>
      </c>
      <c r="FA341" s="1150">
        <f t="shared" si="1636"/>
        <v>15.714172535206078</v>
      </c>
      <c r="FB341" s="1150">
        <f t="shared" si="1636"/>
        <v>14.657622816145048</v>
      </c>
      <c r="FC341" s="1079">
        <f>SUM(EY341:FB341)</f>
        <v>63.528123620720578</v>
      </c>
      <c r="FD341" s="1150">
        <f t="shared" ref="FD341:FI341" si="1637">FD329*FD318*12/1000</f>
        <v>50.391697283688202</v>
      </c>
      <c r="FE341" s="1150">
        <f t="shared" si="1637"/>
        <v>39.256635010393168</v>
      </c>
      <c r="FF341" s="1150">
        <f t="shared" si="1637"/>
        <v>30.695731407539103</v>
      </c>
      <c r="FG341" s="1150">
        <f t="shared" si="1637"/>
        <v>24.176317240871967</v>
      </c>
      <c r="FH341" s="1150">
        <f t="shared" si="1637"/>
        <v>19.237203163104962</v>
      </c>
      <c r="FI341" s="1150">
        <f t="shared" si="1637"/>
        <v>15.513736514594305</v>
      </c>
    </row>
    <row r="342" spans="1:165" x14ac:dyDescent="0.3">
      <c r="A342" t="s">
        <v>431</v>
      </c>
      <c r="DZ342" s="945">
        <f>DZ343-DZ341</f>
        <v>451.04288705584906</v>
      </c>
      <c r="EA342" s="945">
        <f>EA343-EA341</f>
        <v>434.47667776580863</v>
      </c>
      <c r="EB342" s="945">
        <f>EB343-EB341</f>
        <v>425.53594314593749</v>
      </c>
      <c r="EC342" s="945">
        <f>EC343-EC341</f>
        <v>411.96075978750002</v>
      </c>
      <c r="ED342" s="1153">
        <f>SUM(DZ342:EC342)</f>
        <v>1723.0162677550952</v>
      </c>
      <c r="EE342" s="945">
        <f>EE343-EE341</f>
        <v>415.03852749999999</v>
      </c>
      <c r="EF342" s="945">
        <f>EF343-EF341</f>
        <v>400.12911500000001</v>
      </c>
      <c r="EG342" s="945">
        <f>EG343-EG341</f>
        <v>388.72075000000001</v>
      </c>
      <c r="EH342" s="945">
        <f>EH343-EH341</f>
        <v>379.36184000000003</v>
      </c>
      <c r="EI342" s="1153">
        <f>SUM(EE342:EH342)</f>
        <v>1583.2502325</v>
      </c>
      <c r="EJ342" s="945">
        <f>EJ343-EJ341</f>
        <v>373.49127499999997</v>
      </c>
      <c r="EK342" s="945">
        <f>EK343-EK341</f>
        <v>361.10647499999999</v>
      </c>
      <c r="EL342" s="945">
        <f>EL343-EL341</f>
        <v>348.13737500000002</v>
      </c>
      <c r="EM342" s="945">
        <f>EM343-EM341</f>
        <v>348.81466999999998</v>
      </c>
      <c r="EN342" s="1111">
        <f>SUM(EJ342:EM342)</f>
        <v>1431.5497949999999</v>
      </c>
      <c r="EO342" s="945">
        <f>EO343-EO341</f>
        <v>351.82459</v>
      </c>
      <c r="EP342" s="945">
        <f>EP343-EP341</f>
        <v>345.47615999999999</v>
      </c>
      <c r="EQ342" s="945">
        <f>EQ343-EQ341</f>
        <v>330.90796999999998</v>
      </c>
      <c r="ER342" s="945">
        <f>ER343-ER341</f>
        <v>335.98563000000001</v>
      </c>
      <c r="ES342" s="1111">
        <f>SUM(EO342:ER342)</f>
        <v>1364.1943500000002</v>
      </c>
      <c r="ET342" s="945">
        <f>ET343-ET341</f>
        <v>338.75027</v>
      </c>
      <c r="EU342" s="945">
        <f>EU343-EU341</f>
        <v>339.89355</v>
      </c>
      <c r="EV342" s="945">
        <f>EV343-EV341</f>
        <v>332.70094</v>
      </c>
      <c r="EW342" s="945">
        <f>EW343-EW341</f>
        <v>340.88173999999998</v>
      </c>
      <c r="EX342" s="1111">
        <f>SUM(ET342:EW342)</f>
        <v>1352.2265</v>
      </c>
      <c r="EY342" s="945">
        <f t="shared" ref="EY342" si="1638">ET342*(1+EY350)</f>
        <v>326.04713487499998</v>
      </c>
      <c r="EZ342" s="945">
        <f t="shared" ref="EZ342" si="1639">EU342*(1+EZ350)</f>
        <v>327.147541875</v>
      </c>
      <c r="FA342" s="945">
        <f t="shared" ref="FA342" si="1640">EV342*(1+FA350)</f>
        <v>320.22465475000001</v>
      </c>
      <c r="FB342" s="945">
        <f t="shared" ref="FB342" si="1641">EW342*(1+FB350)</f>
        <v>328.09867474999999</v>
      </c>
      <c r="FC342" s="1111">
        <f>SUM(EY342:FB342)</f>
        <v>1301.5180062499999</v>
      </c>
      <c r="FD342" s="945">
        <f t="shared" ref="FD342:FI342" si="1642">FC342-50</f>
        <v>1251.5180062499999</v>
      </c>
      <c r="FE342" s="945">
        <f t="shared" si="1642"/>
        <v>1201.5180062499999</v>
      </c>
      <c r="FF342" s="945">
        <f t="shared" si="1642"/>
        <v>1151.5180062499999</v>
      </c>
      <c r="FG342" s="945">
        <f t="shared" si="1642"/>
        <v>1101.5180062499999</v>
      </c>
      <c r="FH342" s="945">
        <f t="shared" si="1642"/>
        <v>1051.5180062499999</v>
      </c>
      <c r="FI342" s="945">
        <f t="shared" si="1642"/>
        <v>1001.5180062499999</v>
      </c>
    </row>
    <row r="343" spans="1:165" x14ac:dyDescent="0.3">
      <c r="A343" t="s">
        <v>432</v>
      </c>
      <c r="DZ343" s="1110">
        <f>Inputs!DZ170</f>
        <v>489</v>
      </c>
      <c r="EA343" s="1110">
        <f>Inputs!EA170</f>
        <v>471</v>
      </c>
      <c r="EB343" s="1110">
        <f>Inputs!EB170</f>
        <v>461</v>
      </c>
      <c r="EC343" s="1110">
        <f>Inputs!EC170</f>
        <v>447</v>
      </c>
      <c r="ED343" s="1111">
        <f>SUM(DZ343:EC343)</f>
        <v>1868</v>
      </c>
      <c r="EE343" s="1110">
        <f>Inputs!EE170</f>
        <v>448</v>
      </c>
      <c r="EF343" s="1110">
        <f>Inputs!EF170</f>
        <v>431</v>
      </c>
      <c r="EG343" s="1110">
        <f>Inputs!EG170</f>
        <v>418</v>
      </c>
      <c r="EH343" s="1110">
        <f>Inputs!EH170</f>
        <v>407</v>
      </c>
      <c r="EI343" s="1111">
        <f>SUM(EE343:EH343)</f>
        <v>1704</v>
      </c>
      <c r="EJ343" s="1110">
        <f>Inputs!EJ170</f>
        <v>401</v>
      </c>
      <c r="EK343" s="1110">
        <f>Inputs!EK170</f>
        <v>387</v>
      </c>
      <c r="EL343" s="1110">
        <f>Inputs!EL170</f>
        <v>374</v>
      </c>
      <c r="EM343" s="1110">
        <f>Inputs!EM170</f>
        <v>374</v>
      </c>
      <c r="EN343" s="1111">
        <f>SUM(EJ343:EM343)</f>
        <v>1536</v>
      </c>
      <c r="EO343" s="1110">
        <f>Inputs!EO170</f>
        <v>376</v>
      </c>
      <c r="EP343" s="1110">
        <f>Inputs!EP170</f>
        <v>369</v>
      </c>
      <c r="EQ343" s="1110">
        <f>Inputs!EQ170</f>
        <v>353</v>
      </c>
      <c r="ER343" s="1110">
        <f>Inputs!ER170</f>
        <v>357</v>
      </c>
      <c r="ES343" s="1111">
        <f>SUM(EO343:ER343)</f>
        <v>1455</v>
      </c>
      <c r="ET343" s="1110">
        <f>Inputs!ET170</f>
        <v>359</v>
      </c>
      <c r="EU343" s="1110">
        <f>Inputs!EU170</f>
        <v>360</v>
      </c>
      <c r="EV343" s="1110">
        <f>Inputs!EV170</f>
        <v>352</v>
      </c>
      <c r="EW343" s="1110">
        <f>Inputs!EW170</f>
        <v>359</v>
      </c>
      <c r="EX343" s="1111">
        <f>SUM(ET343:EW343)</f>
        <v>1430</v>
      </c>
      <c r="EY343" s="901">
        <f t="shared" ref="EY343:FB343" si="1643">SUM(EY341:EY342)</f>
        <v>342.73198960109596</v>
      </c>
      <c r="EZ343" s="901">
        <f t="shared" si="1643"/>
        <v>343.61901541827348</v>
      </c>
      <c r="FA343" s="901">
        <f t="shared" si="1643"/>
        <v>335.93882728520612</v>
      </c>
      <c r="FB343" s="901">
        <f t="shared" si="1643"/>
        <v>342.75629756614501</v>
      </c>
      <c r="FC343" s="1111">
        <f>SUM(EY343:FB343)</f>
        <v>1365.0461298707205</v>
      </c>
      <c r="FD343" s="901">
        <f t="shared" ref="FD343:FI343" si="1644">SUM(FD341:FD342)</f>
        <v>1301.9097035336881</v>
      </c>
      <c r="FE343" s="901">
        <f t="shared" si="1644"/>
        <v>1240.7746412603931</v>
      </c>
      <c r="FF343" s="901">
        <f t="shared" si="1644"/>
        <v>1182.213737657539</v>
      </c>
      <c r="FG343" s="901">
        <f t="shared" si="1644"/>
        <v>1125.6943234908717</v>
      </c>
      <c r="FH343" s="901">
        <f t="shared" si="1644"/>
        <v>1070.7552094131049</v>
      </c>
      <c r="FI343" s="901">
        <f t="shared" si="1644"/>
        <v>1017.0317427645941</v>
      </c>
    </row>
    <row r="344" spans="1:165" s="90" customFormat="1" x14ac:dyDescent="0.3">
      <c r="A344" s="90" t="s">
        <v>433</v>
      </c>
      <c r="DZ344" s="1109">
        <f>Inputs!DZ171</f>
        <v>937</v>
      </c>
      <c r="EA344" s="1109">
        <f>Inputs!EA171</f>
        <v>911</v>
      </c>
      <c r="EB344" s="1109">
        <f>Inputs!EB171</f>
        <v>889</v>
      </c>
      <c r="EC344" s="1109">
        <f>Inputs!EC171</f>
        <v>867</v>
      </c>
      <c r="ED344" s="900">
        <f>SUM(DZ344:EC344)</f>
        <v>3604</v>
      </c>
      <c r="EE344" s="1109">
        <f>Inputs!EE171</f>
        <v>857</v>
      </c>
      <c r="EF344" s="1109">
        <f>Inputs!EF171</f>
        <v>834</v>
      </c>
      <c r="EG344" s="1109">
        <f>Inputs!EG171</f>
        <v>809</v>
      </c>
      <c r="EH344" s="1109">
        <f>Inputs!EH171</f>
        <v>784</v>
      </c>
      <c r="EI344" s="900">
        <f>SUM(EE344:EH344)</f>
        <v>3284</v>
      </c>
      <c r="EJ344" s="1109">
        <f>Inputs!EJ171</f>
        <v>770</v>
      </c>
      <c r="EK344" s="1109">
        <f>Inputs!EK171</f>
        <v>757</v>
      </c>
      <c r="EL344" s="1109">
        <f>Inputs!EL171</f>
        <v>735</v>
      </c>
      <c r="EM344" s="1109">
        <f>Inputs!EM171</f>
        <v>702</v>
      </c>
      <c r="EN344" s="900">
        <f>SUM(EJ344:EM344)</f>
        <v>2964</v>
      </c>
      <c r="EO344" s="1109">
        <f>Inputs!EO171</f>
        <v>689</v>
      </c>
      <c r="EP344" s="1109">
        <f>Inputs!EP171</f>
        <v>682</v>
      </c>
      <c r="EQ344" s="1109">
        <f>Inputs!EQ171</f>
        <v>661</v>
      </c>
      <c r="ER344" s="1109">
        <f>Inputs!ER171</f>
        <v>647</v>
      </c>
      <c r="ES344" s="900">
        <f>SUM(EO344:ER344)</f>
        <v>2679</v>
      </c>
      <c r="ET344" s="1109">
        <f>Inputs!ET171</f>
        <v>641</v>
      </c>
      <c r="EU344" s="1109">
        <f>Inputs!EU171</f>
        <v>626</v>
      </c>
      <c r="EV344" s="1109">
        <f>Inputs!EV171</f>
        <v>604</v>
      </c>
      <c r="EW344" s="1109">
        <f>Inputs!EW171</f>
        <v>600</v>
      </c>
      <c r="EX344" s="900">
        <f>SUM(ET344:EW344)</f>
        <v>2471</v>
      </c>
      <c r="EY344" s="900">
        <f t="shared" ref="EY344:FB344" si="1645">EY340+EY343</f>
        <v>559.91740175830364</v>
      </c>
      <c r="EZ344" s="900">
        <f t="shared" si="1645"/>
        <v>547.30364147906607</v>
      </c>
      <c r="FA344" s="900">
        <f t="shared" si="1645"/>
        <v>527.0136177040074</v>
      </c>
      <c r="FB344" s="900">
        <f t="shared" si="1645"/>
        <v>523.6057603098908</v>
      </c>
      <c r="FC344" s="900">
        <f>SUM(EY344:FB344)</f>
        <v>2157.8404212512678</v>
      </c>
      <c r="FD344" s="900">
        <f t="shared" ref="FD344:FI344" si="1646">FD340+FD343</f>
        <v>1878.1797097928231</v>
      </c>
      <c r="FE344" s="900">
        <f t="shared" si="1646"/>
        <v>1656.2880660641226</v>
      </c>
      <c r="FF344" s="900">
        <f t="shared" si="1646"/>
        <v>1493.9886783542047</v>
      </c>
      <c r="FG344" s="900">
        <f t="shared" si="1646"/>
        <v>1365.9865676856307</v>
      </c>
      <c r="FH344" s="900">
        <f t="shared" si="1646"/>
        <v>1260.4000100321664</v>
      </c>
      <c r="FI344" s="900">
        <f t="shared" si="1646"/>
        <v>1170.7222139524567</v>
      </c>
    </row>
    <row r="345" spans="1:165" s="94" customFormat="1" x14ac:dyDescent="0.3">
      <c r="A345" s="73" t="s">
        <v>434</v>
      </c>
      <c r="DY345" s="141"/>
      <c r="ED345" s="141"/>
      <c r="EE345" s="1168">
        <f t="shared" ref="EE345:EW352" si="1647">EE337/DZ337-1</f>
        <v>-1.7384416821009663E-2</v>
      </c>
      <c r="EF345" s="1168">
        <f t="shared" si="1647"/>
        <v>-5.8134716252858931E-3</v>
      </c>
      <c r="EG345" s="1168">
        <f t="shared" si="1647"/>
        <v>-7.8206742449767885E-3</v>
      </c>
      <c r="EH345" s="1168">
        <f t="shared" si="1647"/>
        <v>-2.6571691626842919E-2</v>
      </c>
      <c r="EI345" s="1169">
        <f t="shared" si="1647"/>
        <v>-1.4357951900602295E-2</v>
      </c>
      <c r="EJ345" s="1168">
        <f t="shared" si="1647"/>
        <v>-3.6462596042235118E-2</v>
      </c>
      <c r="EK345" s="1168">
        <f t="shared" si="1647"/>
        <v>-2.4045809968423426E-2</v>
      </c>
      <c r="EL345" s="1168">
        <f t="shared" si="1647"/>
        <v>-3.2358687462533897E-2</v>
      </c>
      <c r="EM345" s="1168">
        <f t="shared" si="1647"/>
        <v>-7.6184839334074828E-2</v>
      </c>
      <c r="EN345" s="1169">
        <f t="shared" si="1647"/>
        <v>-4.1995086647392044E-2</v>
      </c>
      <c r="EO345" s="1168">
        <f t="shared" si="1647"/>
        <v>-0.10980056943251248</v>
      </c>
      <c r="EP345" s="1168">
        <f t="shared" si="1647"/>
        <v>-0.13370689355364118</v>
      </c>
      <c r="EQ345" s="1168">
        <f t="shared" si="1647"/>
        <v>-0.12787430887464468</v>
      </c>
      <c r="ER345" s="1168">
        <f t="shared" si="1647"/>
        <v>-0.1230059766212015</v>
      </c>
      <c r="ES345" s="1169">
        <f t="shared" ref="ES345:ES352" si="1648">ES337/EN337-1</f>
        <v>-0.12369148344644021</v>
      </c>
      <c r="ET345" s="1168">
        <f t="shared" si="1647"/>
        <v>-9.8396394507913487E-2</v>
      </c>
      <c r="EU345" s="1168">
        <f t="shared" si="1647"/>
        <v>-0.12541269865225846</v>
      </c>
      <c r="EV345" s="1168">
        <f t="shared" si="1647"/>
        <v>-0.16446770059413418</v>
      </c>
      <c r="EW345" s="1168">
        <f t="shared" si="1647"/>
        <v>-0.13462881719079878</v>
      </c>
      <c r="EX345" s="1169">
        <f t="shared" ref="EX345:EX352" si="1649">EX337/ES337-1</f>
        <v>-0.13056045896419588</v>
      </c>
      <c r="EY345" s="1168">
        <f t="shared" ref="EY345:EY349" si="1650">EY337/ET337-1</f>
        <v>-0.20305185575678286</v>
      </c>
      <c r="EZ345" s="1168">
        <f t="shared" ref="EZ345:EZ349" si="1651">EZ337/EU337-1</f>
        <v>-0.20955212230712894</v>
      </c>
      <c r="FA345" s="1168">
        <f t="shared" ref="FA345:FA349" si="1652">FA337/EV337-1</f>
        <v>-0.21670044674579625</v>
      </c>
      <c r="FB345" s="1168">
        <f t="shared" ref="FB345:FC352" si="1653">FB337/EW337-1</f>
        <v>-0.22490972849571134</v>
      </c>
      <c r="FC345" s="1169">
        <f t="shared" si="1653"/>
        <v>-0.21317598412005301</v>
      </c>
      <c r="FD345" s="1168">
        <f t="shared" ref="FD345:FI345" si="1654">FD337/FC337-1</f>
        <v>-0.25910301080916109</v>
      </c>
      <c r="FE345" s="1168">
        <f t="shared" si="1654"/>
        <v>-0.28736642025303738</v>
      </c>
      <c r="FF345" s="1168">
        <f t="shared" si="1654"/>
        <v>-0.28879294286837287</v>
      </c>
      <c r="FG345" s="1168">
        <f t="shared" si="1654"/>
        <v>-0.29014813935294115</v>
      </c>
      <c r="FH345" s="1168">
        <f t="shared" si="1654"/>
        <v>-0.29143557601328163</v>
      </c>
      <c r="FI345" s="1168">
        <f t="shared" si="1654"/>
        <v>-0.29265864084060467</v>
      </c>
    </row>
    <row r="346" spans="1:165" s="94" customFormat="1" x14ac:dyDescent="0.3">
      <c r="A346" s="73" t="s">
        <v>435</v>
      </c>
      <c r="DY346" s="141"/>
      <c r="ED346" s="141"/>
      <c r="EE346" s="1168">
        <f t="shared" si="1647"/>
        <v>-0.22242020202020196</v>
      </c>
      <c r="EF346" s="1168">
        <f t="shared" si="1647"/>
        <v>-0.21636962503133983</v>
      </c>
      <c r="EG346" s="1168">
        <f t="shared" si="1647"/>
        <v>-0.20748458881103282</v>
      </c>
      <c r="EH346" s="1168">
        <f t="shared" si="1647"/>
        <v>-0.19126041573999919</v>
      </c>
      <c r="EI346" s="1169">
        <f t="shared" si="1647"/>
        <v>-0.21023271520105269</v>
      </c>
      <c r="EJ346" s="1168">
        <f t="shared" si="1647"/>
        <v>-0.20803996861538787</v>
      </c>
      <c r="EK346" s="1168">
        <f t="shared" si="1647"/>
        <v>-0.17225562030725616</v>
      </c>
      <c r="EL346" s="1168">
        <f t="shared" si="1647"/>
        <v>-0.20652038049920041</v>
      </c>
      <c r="EM346" s="1168">
        <f t="shared" si="1647"/>
        <v>-0.28449480945069561</v>
      </c>
      <c r="EN346" s="1169">
        <f t="shared" si="1647"/>
        <v>-0.21608807558964904</v>
      </c>
      <c r="EO346" s="1168">
        <f t="shared" si="1647"/>
        <v>-0.28208869293074423</v>
      </c>
      <c r="EP346" s="1168">
        <f t="shared" si="1647"/>
        <v>-0.36239738622592821</v>
      </c>
      <c r="EQ346" s="1168">
        <f t="shared" si="1647"/>
        <v>-0.43762674546613367</v>
      </c>
      <c r="ER346" s="1168">
        <f t="shared" si="1647"/>
        <v>-0.44979848933728339</v>
      </c>
      <c r="ES346" s="1169">
        <f t="shared" si="1648"/>
        <v>-0.37740843836735338</v>
      </c>
      <c r="ET346" s="1168">
        <f t="shared" si="1647"/>
        <v>-0.49792484192127762</v>
      </c>
      <c r="EU346" s="1168">
        <f t="shared" si="1647"/>
        <v>-0.56762178321378132</v>
      </c>
      <c r="EV346" s="1168">
        <f t="shared" si="1647"/>
        <v>-0.57170500206058095</v>
      </c>
      <c r="EW346" s="1168">
        <f t="shared" si="1647"/>
        <v>-0.563840810307358</v>
      </c>
      <c r="EX346" s="1169">
        <f t="shared" si="1649"/>
        <v>-0.54589205714879618</v>
      </c>
      <c r="EY346" s="1168">
        <f t="shared" si="1650"/>
        <v>-0.3793103448275863</v>
      </c>
      <c r="EZ346" s="1168">
        <f t="shared" si="1651"/>
        <v>-0.34601664684898914</v>
      </c>
      <c r="FA346" s="1168">
        <f t="shared" si="1652"/>
        <v>-0.39111894706630024</v>
      </c>
      <c r="FB346" s="1168">
        <f t="shared" si="1653"/>
        <v>-0.42945928323304006</v>
      </c>
      <c r="FC346" s="1169">
        <f t="shared" si="1653"/>
        <v>-0.38196204278924695</v>
      </c>
      <c r="FD346" s="1168">
        <f t="shared" ref="FD346:FI346" si="1655">FD338/FC338-1</f>
        <v>-0.46854493683157827</v>
      </c>
      <c r="FE346" s="1168">
        <f t="shared" si="1655"/>
        <v>-0.54994864378351571</v>
      </c>
      <c r="FF346" s="1168">
        <f t="shared" si="1655"/>
        <v>-0.54994864378351571</v>
      </c>
      <c r="FG346" s="1168">
        <f t="shared" si="1655"/>
        <v>-0.54994864378351549</v>
      </c>
      <c r="FH346" s="1168">
        <f t="shared" si="1655"/>
        <v>-0.5499486437835156</v>
      </c>
      <c r="FI346" s="1168">
        <f t="shared" si="1655"/>
        <v>-0.54994864378351549</v>
      </c>
    </row>
    <row r="347" spans="1:165" s="94" customFormat="1" x14ac:dyDescent="0.3">
      <c r="A347" s="73" t="s">
        <v>436</v>
      </c>
      <c r="DY347" s="141"/>
      <c r="ED347" s="141"/>
      <c r="EE347" s="1168">
        <f t="shared" si="1647"/>
        <v>-0.12132203428748989</v>
      </c>
      <c r="EF347" s="1168">
        <f t="shared" si="1647"/>
        <v>-0.12752180272833691</v>
      </c>
      <c r="EG347" s="1168">
        <f t="shared" si="1647"/>
        <v>-0.13360588215644464</v>
      </c>
      <c r="EH347" s="1168">
        <f t="shared" si="1647"/>
        <v>-0.15241794918074281</v>
      </c>
      <c r="EI347" s="1169">
        <f t="shared" si="1647"/>
        <v>-0.13335082969526846</v>
      </c>
      <c r="EJ347" s="1168">
        <f t="shared" si="1647"/>
        <v>-0.13592725439312603</v>
      </c>
      <c r="EK347" s="1168">
        <f t="shared" si="1647"/>
        <v>-0.12204186082936186</v>
      </c>
      <c r="EL347" s="1168">
        <f t="shared" si="1647"/>
        <v>-0.10247014682100875</v>
      </c>
      <c r="EM347" s="1168">
        <f t="shared" si="1647"/>
        <v>-0.16251435109377632</v>
      </c>
      <c r="EN347" s="1169">
        <f t="shared" si="1647"/>
        <v>-0.13042723437299353</v>
      </c>
      <c r="EO347" s="1168">
        <f t="shared" si="1647"/>
        <v>-0.17700316501876667</v>
      </c>
      <c r="EP347" s="1168">
        <f t="shared" si="1647"/>
        <v>-0.15257413856853863</v>
      </c>
      <c r="EQ347" s="1168">
        <f t="shared" si="1647"/>
        <v>-0.13758931498411076</v>
      </c>
      <c r="ER347" s="1168">
        <f t="shared" si="1647"/>
        <v>-7.8829312370742199E-2</v>
      </c>
      <c r="ES347" s="1169">
        <f t="shared" si="1648"/>
        <v>-0.13859516022901963</v>
      </c>
      <c r="ET347" s="1168">
        <f t="shared" si="1647"/>
        <v>-6.4999007647979834E-2</v>
      </c>
      <c r="EU347" s="1168">
        <f t="shared" si="1647"/>
        <v>-0.14278245505907605</v>
      </c>
      <c r="EV347" s="1168">
        <f t="shared" si="1647"/>
        <v>-0.17470346252711044</v>
      </c>
      <c r="EW347" s="1168">
        <f t="shared" si="1647"/>
        <v>-0.1805274588750776</v>
      </c>
      <c r="EX347" s="1169">
        <f t="shared" si="1649"/>
        <v>-0.14035434441713623</v>
      </c>
      <c r="EY347" s="1168">
        <f t="shared" si="1650"/>
        <v>-0.24831669732191541</v>
      </c>
      <c r="EZ347" s="1168">
        <f t="shared" si="1651"/>
        <v>-0.25467363512152685</v>
      </c>
      <c r="FA347" s="1168">
        <f t="shared" si="1652"/>
        <v>-0.26169185949073992</v>
      </c>
      <c r="FB347" s="1168">
        <f t="shared" si="1653"/>
        <v>-0.26926122521137485</v>
      </c>
      <c r="FC347" s="1169">
        <f t="shared" si="1653"/>
        <v>-0.25798881671108453</v>
      </c>
      <c r="FD347" s="1168">
        <f t="shared" ref="FD347:FI347" si="1656">FD339/FC339-1</f>
        <v>-0.28174401276139094</v>
      </c>
      <c r="FE347" s="1168">
        <f t="shared" si="1656"/>
        <v>-0.26378035966402191</v>
      </c>
      <c r="FF347" s="1168">
        <f t="shared" si="1656"/>
        <v>-0.20476445046687564</v>
      </c>
      <c r="FG347" s="1168">
        <f t="shared" si="1656"/>
        <v>-0.17008240304523192</v>
      </c>
      <c r="FH347" s="1168">
        <f t="shared" si="1656"/>
        <v>-0.14509050667337842</v>
      </c>
      <c r="FI347" s="1168">
        <f t="shared" si="1656"/>
        <v>-0.12074337203735686</v>
      </c>
    </row>
    <row r="348" spans="1:165" s="141" customFormat="1" x14ac:dyDescent="0.3">
      <c r="A348" s="1108" t="s">
        <v>437</v>
      </c>
      <c r="EE348" s="1169">
        <f t="shared" si="1647"/>
        <v>-8.7053571428571397E-2</v>
      </c>
      <c r="EF348" s="1169">
        <f t="shared" si="1647"/>
        <v>-8.4090909090909105E-2</v>
      </c>
      <c r="EG348" s="1169">
        <f t="shared" si="1647"/>
        <v>-8.6448598130841159E-2</v>
      </c>
      <c r="EH348" s="1169">
        <f t="shared" si="1647"/>
        <v>-0.10238095238095235</v>
      </c>
      <c r="EI348" s="1169">
        <f t="shared" si="1647"/>
        <v>-8.9861751152073732E-2</v>
      </c>
      <c r="EJ348" s="1169">
        <f t="shared" si="1647"/>
        <v>-9.7799511002444994E-2</v>
      </c>
      <c r="EK348" s="1169">
        <f t="shared" si="1647"/>
        <v>-8.1885856079404462E-2</v>
      </c>
      <c r="EL348" s="1169">
        <f t="shared" si="1647"/>
        <v>-7.6726342710997431E-2</v>
      </c>
      <c r="EM348" s="1169">
        <f t="shared" si="1647"/>
        <v>-0.12997347480106103</v>
      </c>
      <c r="EN348" s="1169">
        <f t="shared" si="1647"/>
        <v>-9.6202531645569578E-2</v>
      </c>
      <c r="EO348" s="1169">
        <f t="shared" si="1647"/>
        <v>-0.1517615176151762</v>
      </c>
      <c r="EP348" s="1169">
        <f t="shared" si="1647"/>
        <v>-0.15405405405405403</v>
      </c>
      <c r="EQ348" s="1169">
        <f t="shared" si="1647"/>
        <v>-0.14681440443213301</v>
      </c>
      <c r="ER348" s="1169">
        <f t="shared" si="1647"/>
        <v>-0.11585365853658536</v>
      </c>
      <c r="ES348" s="1169">
        <f t="shared" si="1648"/>
        <v>-0.1428571428571429</v>
      </c>
      <c r="ET348" s="1169">
        <f t="shared" si="1647"/>
        <v>-9.9041533546325833E-2</v>
      </c>
      <c r="EU348" s="1169">
        <f t="shared" si="1647"/>
        <v>-0.15015974440894564</v>
      </c>
      <c r="EV348" s="1169">
        <f t="shared" si="1647"/>
        <v>-0.18181818181818177</v>
      </c>
      <c r="EW348" s="1169">
        <f t="shared" si="1647"/>
        <v>-0.16896551724137931</v>
      </c>
      <c r="EX348" s="1169">
        <f t="shared" si="1649"/>
        <v>-0.14950980392156865</v>
      </c>
      <c r="EY348" s="1169">
        <f t="shared" si="1650"/>
        <v>-0.22983896398153303</v>
      </c>
      <c r="EZ348" s="1169">
        <f t="shared" si="1651"/>
        <v>-0.23426832307972723</v>
      </c>
      <c r="FA348" s="1169">
        <f t="shared" si="1652"/>
        <v>-0.24176670468729622</v>
      </c>
      <c r="FB348" s="1169">
        <f t="shared" si="1653"/>
        <v>-0.24958729151972692</v>
      </c>
      <c r="FC348" s="1169">
        <f t="shared" si="1653"/>
        <v>-0.23843007552300932</v>
      </c>
      <c r="FD348" s="1169">
        <f t="shared" ref="FD348:FI348" si="1657">FD340/FC340-1</f>
        <v>-0.27311534338165278</v>
      </c>
      <c r="FE348" s="1169">
        <f t="shared" si="1657"/>
        <v>-0.27896052147318773</v>
      </c>
      <c r="FF348" s="1169">
        <f t="shared" si="1657"/>
        <v>-0.24966337527136562</v>
      </c>
      <c r="FG348" s="1169">
        <f t="shared" si="1657"/>
        <v>-0.22927659401418687</v>
      </c>
      <c r="FH348" s="1169">
        <f t="shared" si="1657"/>
        <v>-0.21077435830449565</v>
      </c>
      <c r="FI348" s="1169">
        <f t="shared" si="1657"/>
        <v>-0.18958774147159518</v>
      </c>
    </row>
    <row r="349" spans="1:165" s="94" customFormat="1" x14ac:dyDescent="0.3">
      <c r="A349" s="73" t="s">
        <v>438</v>
      </c>
      <c r="DY349" s="141"/>
      <c r="ED349" s="141"/>
      <c r="EE349" s="1168">
        <f t="shared" si="1647"/>
        <v>-0.13161276126299115</v>
      </c>
      <c r="EF349" s="1168">
        <f t="shared" si="1647"/>
        <v>-0.15476240627693649</v>
      </c>
      <c r="EG349" s="1168">
        <f t="shared" si="1647"/>
        <v>-0.17439648485545489</v>
      </c>
      <c r="EH349" s="1168">
        <f t="shared" si="1647"/>
        <v>-0.21122262262581037</v>
      </c>
      <c r="EI349" s="1169">
        <f t="shared" si="1647"/>
        <v>-0.16714954408794713</v>
      </c>
      <c r="EJ349" s="1168">
        <f t="shared" si="1647"/>
        <v>-0.16542790981197819</v>
      </c>
      <c r="EK349" s="1168">
        <f t="shared" si="1647"/>
        <v>-0.16123152931961626</v>
      </c>
      <c r="EL349" s="1168">
        <f t="shared" si="1647"/>
        <v>-0.11669100130638588</v>
      </c>
      <c r="EM349" s="1168">
        <f t="shared" si="1647"/>
        <v>-8.8747948488611228E-2</v>
      </c>
      <c r="EN349" s="1169">
        <f t="shared" si="1647"/>
        <v>-0.13498628475620045</v>
      </c>
      <c r="EO349" s="1168">
        <f t="shared" si="1647"/>
        <v>-0.12117300965420974</v>
      </c>
      <c r="EP349" s="1168">
        <f t="shared" si="1647"/>
        <v>-9.1516508470746993E-2</v>
      </c>
      <c r="EQ349" s="1168">
        <f t="shared" si="1647"/>
        <v>-0.1457932054460831</v>
      </c>
      <c r="ER349" s="1168">
        <f t="shared" si="1647"/>
        <v>-0.16561069479732848</v>
      </c>
      <c r="ES349" s="1169">
        <f t="shared" si="1648"/>
        <v>-0.13063215146394414</v>
      </c>
      <c r="ET349" s="1168">
        <f t="shared" si="1647"/>
        <v>-0.16238318191914847</v>
      </c>
      <c r="EU349" s="1168">
        <f t="shared" si="1647"/>
        <v>-0.1452734757590598</v>
      </c>
      <c r="EV349" s="1168">
        <f t="shared" si="1647"/>
        <v>-0.12642432587679797</v>
      </c>
      <c r="EW349" s="1168">
        <f t="shared" si="1647"/>
        <v>-0.13781569468891985</v>
      </c>
      <c r="EX349" s="1169">
        <f t="shared" si="1649"/>
        <v>-0.14351695076242499</v>
      </c>
      <c r="EY349" s="1168">
        <f t="shared" si="1650"/>
        <v>-0.17604557067694415</v>
      </c>
      <c r="EZ349" s="1168">
        <f t="shared" si="1651"/>
        <v>-0.18078658623111055</v>
      </c>
      <c r="FA349" s="1168">
        <f t="shared" si="1652"/>
        <v>-0.18575451160802248</v>
      </c>
      <c r="FB349" s="1168">
        <f t="shared" si="1653"/>
        <v>-0.19100273336705365</v>
      </c>
      <c r="FC349" s="1169">
        <f t="shared" si="1653"/>
        <v>-0.18316491323239181</v>
      </c>
      <c r="FD349" s="1168">
        <f t="shared" ref="FD349:FI349" si="1658">FD341/FC341-1</f>
        <v>-0.2067812739985877</v>
      </c>
      <c r="FE349" s="1168">
        <f t="shared" si="1658"/>
        <v>-0.22097017710295408</v>
      </c>
      <c r="FF349" s="1168">
        <f t="shared" si="1658"/>
        <v>-0.21807532919180594</v>
      </c>
      <c r="FG349" s="1168">
        <f t="shared" si="1658"/>
        <v>-0.21238829855886476</v>
      </c>
      <c r="FH349" s="1168">
        <f t="shared" si="1658"/>
        <v>-0.20429555207097649</v>
      </c>
      <c r="FI349" s="1168">
        <f t="shared" si="1658"/>
        <v>-0.19355550892407758</v>
      </c>
    </row>
    <row r="350" spans="1:165" s="94" customFormat="1" x14ac:dyDescent="0.3">
      <c r="A350" s="73" t="s">
        <v>439</v>
      </c>
      <c r="DY350" s="141"/>
      <c r="ED350" s="141"/>
      <c r="EE350" s="1168">
        <f t="shared" si="1647"/>
        <v>-7.9824692039519807E-2</v>
      </c>
      <c r="EF350" s="1168">
        <f t="shared" si="1647"/>
        <v>-7.9055020726158776E-2</v>
      </c>
      <c r="EG350" s="1168">
        <f t="shared" si="1647"/>
        <v>-8.6514884909056233E-2</v>
      </c>
      <c r="EH350" s="1168">
        <f t="shared" si="1647"/>
        <v>-7.9131128421831676E-2</v>
      </c>
      <c r="EI350" s="1169">
        <f t="shared" si="1647"/>
        <v>-8.111707235196064E-2</v>
      </c>
      <c r="EJ350" s="1168">
        <f t="shared" si="1647"/>
        <v>-0.10010456800302714</v>
      </c>
      <c r="EK350" s="1168">
        <f t="shared" si="1647"/>
        <v>-9.7525120110292463E-2</v>
      </c>
      <c r="EL350" s="1168">
        <f t="shared" si="1647"/>
        <v>-0.10440238911866673</v>
      </c>
      <c r="EM350" s="1168">
        <f t="shared" si="1647"/>
        <v>-8.0522516444985759E-2</v>
      </c>
      <c r="EN350" s="1169">
        <f t="shared" si="1647"/>
        <v>-9.5815831500280613E-2</v>
      </c>
      <c r="EO350" s="1168">
        <f t="shared" si="1647"/>
        <v>-5.8011221279533176E-2</v>
      </c>
      <c r="EP350" s="1168">
        <f t="shared" si="1647"/>
        <v>-4.3284504937221024E-2</v>
      </c>
      <c r="EQ350" s="1168">
        <f t="shared" si="1647"/>
        <v>-4.9490247922964414E-2</v>
      </c>
      <c r="ER350" s="1168">
        <f t="shared" si="1647"/>
        <v>-3.6778957719868721E-2</v>
      </c>
      <c r="ES350" s="1169">
        <f t="shared" si="1648"/>
        <v>-4.7050717505778161E-2</v>
      </c>
      <c r="ET350" s="1168">
        <f t="shared" si="1647"/>
        <v>-3.7161472994255429E-2</v>
      </c>
      <c r="EU350" s="1168">
        <f t="shared" si="1647"/>
        <v>-1.6159175787990643E-2</v>
      </c>
      <c r="EV350" s="1168">
        <f t="shared" si="1647"/>
        <v>5.4183342879290386E-3</v>
      </c>
      <c r="EW350" s="1168">
        <f t="shared" si="1647"/>
        <v>1.4572379181811979E-2</v>
      </c>
      <c r="EX350" s="1169">
        <f t="shared" si="1649"/>
        <v>-8.7728335775618671E-3</v>
      </c>
      <c r="EY350" s="1187">
        <v>-3.7499999999999999E-2</v>
      </c>
      <c r="EZ350" s="1187">
        <v>-3.7499999999999999E-2</v>
      </c>
      <c r="FA350" s="1187">
        <v>-3.7499999999999999E-2</v>
      </c>
      <c r="FB350" s="1187">
        <v>-3.7499999999999999E-2</v>
      </c>
      <c r="FC350" s="1169">
        <f t="shared" si="1653"/>
        <v>-3.7500000000000089E-2</v>
      </c>
      <c r="FD350" s="1757">
        <f t="shared" ref="FD350:FI350" si="1659">FD342/FC342-1</f>
        <v>-3.8416679415801958E-2</v>
      </c>
      <c r="FE350" s="1757">
        <f t="shared" si="1659"/>
        <v>-3.9951482719627895E-2</v>
      </c>
      <c r="FF350" s="1757">
        <f t="shared" si="1659"/>
        <v>-4.1614024708670483E-2</v>
      </c>
      <c r="FG350" s="1757">
        <f t="shared" si="1659"/>
        <v>-4.3420944986200083E-2</v>
      </c>
      <c r="FH350" s="1757">
        <f t="shared" si="1659"/>
        <v>-4.5391904368608182E-2</v>
      </c>
      <c r="FI350" s="1757">
        <f t="shared" si="1659"/>
        <v>-4.7550303183407805E-2</v>
      </c>
    </row>
    <row r="351" spans="1:165" s="94" customFormat="1" x14ac:dyDescent="0.3">
      <c r="A351" s="73" t="s">
        <v>440</v>
      </c>
      <c r="DY351" s="141"/>
      <c r="ED351" s="141"/>
      <c r="EE351" s="1169">
        <f t="shared" si="1647"/>
        <v>-8.3844580777096112E-2</v>
      </c>
      <c r="EF351" s="1169">
        <f t="shared" si="1647"/>
        <v>-8.4925690021231404E-2</v>
      </c>
      <c r="EG351" s="1169">
        <f t="shared" si="1647"/>
        <v>-9.3275488069414325E-2</v>
      </c>
      <c r="EH351" s="1169">
        <f t="shared" si="1647"/>
        <v>-8.948545861297541E-2</v>
      </c>
      <c r="EI351" s="1169">
        <f t="shared" si="1647"/>
        <v>-8.7794432548179868E-2</v>
      </c>
      <c r="EJ351" s="1169">
        <f t="shared" si="1647"/>
        <v>-0.1049107142857143</v>
      </c>
      <c r="EK351" s="1169">
        <f t="shared" si="1647"/>
        <v>-0.10208816705336432</v>
      </c>
      <c r="EL351" s="1169">
        <f t="shared" si="1647"/>
        <v>-0.10526315789473684</v>
      </c>
      <c r="EM351" s="1169">
        <f t="shared" si="1647"/>
        <v>-8.108108108108103E-2</v>
      </c>
      <c r="EN351" s="1169">
        <f t="shared" si="1647"/>
        <v>-9.8591549295774628E-2</v>
      </c>
      <c r="EO351" s="1169">
        <f t="shared" si="1647"/>
        <v>-6.2344139650872821E-2</v>
      </c>
      <c r="EP351" s="1169">
        <f t="shared" si="1647"/>
        <v>-4.6511627906976716E-2</v>
      </c>
      <c r="EQ351" s="1169">
        <f t="shared" si="1647"/>
        <v>-5.6149732620320858E-2</v>
      </c>
      <c r="ER351" s="1169">
        <f t="shared" si="1647"/>
        <v>-4.5454545454545414E-2</v>
      </c>
      <c r="ES351" s="1169">
        <f t="shared" si="1648"/>
        <v>-5.2734375E-2</v>
      </c>
      <c r="ET351" s="1169">
        <f t="shared" si="1647"/>
        <v>-4.5212765957446832E-2</v>
      </c>
      <c r="EU351" s="1169">
        <f t="shared" si="1647"/>
        <v>-2.4390243902439046E-2</v>
      </c>
      <c r="EV351" s="1169">
        <f t="shared" si="1647"/>
        <v>-2.8328611898017497E-3</v>
      </c>
      <c r="EW351" s="1169">
        <f t="shared" si="1647"/>
        <v>5.6022408963585235E-3</v>
      </c>
      <c r="EX351" s="1169">
        <f t="shared" si="1649"/>
        <v>-1.718213058419249E-2</v>
      </c>
      <c r="EY351" s="1169">
        <f t="shared" ref="EY351:EY352" si="1660">EY343/ET343-1</f>
        <v>-4.5314792197504339E-2</v>
      </c>
      <c r="EZ351" s="1169">
        <f t="shared" ref="EZ351:EZ352" si="1661">EZ343/EU343-1</f>
        <v>-4.5502734949240287E-2</v>
      </c>
      <c r="FA351" s="1169">
        <f t="shared" ref="FA351:FA352" si="1662">FA343/EV343-1</f>
        <v>-4.5628331576119008E-2</v>
      </c>
      <c r="FB351" s="1169">
        <f t="shared" ref="FB351:FB352" si="1663">FB343/EW343-1</f>
        <v>-4.5247081988454063E-2</v>
      </c>
      <c r="FC351" s="1169">
        <f t="shared" si="1653"/>
        <v>-4.542228680369198E-2</v>
      </c>
      <c r="FD351" s="1169">
        <f t="shared" ref="FD351:FI351" si="1664">FD343/FC343-1</f>
        <v>-4.6252229104529863E-2</v>
      </c>
      <c r="FE351" s="1169">
        <f t="shared" si="1664"/>
        <v>-4.6957989565144298E-2</v>
      </c>
      <c r="FF351" s="1169">
        <f t="shared" si="1664"/>
        <v>-4.7197050661324957E-2</v>
      </c>
      <c r="FG351" s="1169">
        <f t="shared" si="1664"/>
        <v>-4.7808118249967113E-2</v>
      </c>
      <c r="FH351" s="1169">
        <f t="shared" si="1664"/>
        <v>-4.8804646991019829E-2</v>
      </c>
      <c r="FI351" s="1169">
        <f t="shared" si="1664"/>
        <v>-5.0173434764755775E-2</v>
      </c>
    </row>
    <row r="352" spans="1:165" s="141" customFormat="1" x14ac:dyDescent="0.3">
      <c r="A352" s="1108" t="s">
        <v>441</v>
      </c>
      <c r="EE352" s="1169">
        <f t="shared" si="1647"/>
        <v>-8.5378868729989343E-2</v>
      </c>
      <c r="EF352" s="1169">
        <f t="shared" si="1647"/>
        <v>-8.4522502744237116E-2</v>
      </c>
      <c r="EG352" s="1169">
        <f t="shared" si="1647"/>
        <v>-8.9988751406074208E-2</v>
      </c>
      <c r="EH352" s="1169">
        <f t="shared" si="1647"/>
        <v>-9.5732410611303331E-2</v>
      </c>
      <c r="EI352" s="1169">
        <f t="shared" si="1647"/>
        <v>-8.8790233074361846E-2</v>
      </c>
      <c r="EJ352" s="1169">
        <f t="shared" si="1647"/>
        <v>-0.10151691948658115</v>
      </c>
      <c r="EK352" s="1169">
        <f t="shared" si="1647"/>
        <v>-9.2326139088728998E-2</v>
      </c>
      <c r="EL352" s="1169">
        <f t="shared" si="1647"/>
        <v>-9.1470951792336219E-2</v>
      </c>
      <c r="EM352" s="1169">
        <f t="shared" si="1647"/>
        <v>-0.10459183673469385</v>
      </c>
      <c r="EN352" s="1169">
        <f t="shared" si="1647"/>
        <v>-9.7442143727161978E-2</v>
      </c>
      <c r="EO352" s="1169">
        <f t="shared" si="1647"/>
        <v>-0.10519480519480517</v>
      </c>
      <c r="EP352" s="1169">
        <f t="shared" si="1647"/>
        <v>-9.9075297225891701E-2</v>
      </c>
      <c r="EQ352" s="1169">
        <f t="shared" si="1647"/>
        <v>-0.10068027210884356</v>
      </c>
      <c r="ER352" s="1169">
        <f t="shared" si="1647"/>
        <v>-7.8347578347578328E-2</v>
      </c>
      <c r="ES352" s="1169">
        <f t="shared" si="1648"/>
        <v>-9.6153846153846145E-2</v>
      </c>
      <c r="ET352" s="1169">
        <f t="shared" si="1647"/>
        <v>-6.9666182873730054E-2</v>
      </c>
      <c r="EU352" s="1169">
        <f t="shared" si="1647"/>
        <v>-8.2111436950146666E-2</v>
      </c>
      <c r="EV352" s="1169">
        <f t="shared" si="1647"/>
        <v>-8.6232980332829001E-2</v>
      </c>
      <c r="EW352" s="1169">
        <f t="shared" si="1647"/>
        <v>-7.2642967542503878E-2</v>
      </c>
      <c r="EX352" s="1169">
        <f t="shared" si="1649"/>
        <v>-7.7640910787607265E-2</v>
      </c>
      <c r="EY352" s="1169">
        <f t="shared" si="1660"/>
        <v>-0.12649391301356683</v>
      </c>
      <c r="EZ352" s="1169">
        <f t="shared" si="1661"/>
        <v>-0.12571303278104462</v>
      </c>
      <c r="FA352" s="1169">
        <f t="shared" si="1662"/>
        <v>-0.1274608978410473</v>
      </c>
      <c r="FB352" s="1169">
        <f t="shared" si="1663"/>
        <v>-0.12732373281684872</v>
      </c>
      <c r="FC352" s="1169">
        <f t="shared" si="1653"/>
        <v>-0.12673394526456183</v>
      </c>
      <c r="FD352" s="1169">
        <f t="shared" ref="FD352:FI352" si="1665">FD344/FC344-1</f>
        <v>-0.12960212845409469</v>
      </c>
      <c r="FE352" s="1169">
        <f t="shared" si="1665"/>
        <v>-0.11814185968028412</v>
      </c>
      <c r="FF352" s="1169">
        <f t="shared" si="1665"/>
        <v>-9.7989831017495588E-2</v>
      </c>
      <c r="FG352" s="1169">
        <f t="shared" si="1665"/>
        <v>-8.5678099521866891E-2</v>
      </c>
      <c r="FH352" s="1169">
        <f t="shared" si="1665"/>
        <v>-7.7296922349945119E-2</v>
      </c>
      <c r="FI352" s="1169">
        <f t="shared" si="1665"/>
        <v>-7.1150266078957691E-2</v>
      </c>
    </row>
    <row r="353" spans="1:177" x14ac:dyDescent="0.3">
      <c r="EO353"/>
      <c r="EP353"/>
      <c r="EQ353"/>
      <c r="ER353"/>
    </row>
    <row r="354" spans="1:177" x14ac:dyDescent="0.3">
      <c r="A354" s="54" t="s">
        <v>442</v>
      </c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4"/>
      <c r="CO354" s="54"/>
      <c r="CP354" s="54"/>
      <c r="CQ354" s="54"/>
      <c r="CR354" s="54"/>
      <c r="CS354" s="54"/>
      <c r="CT354" s="54"/>
      <c r="CU354" s="54"/>
      <c r="CV354" s="54"/>
      <c r="CW354" s="54"/>
      <c r="CX354" s="54"/>
      <c r="CY354" s="54"/>
      <c r="CZ354" s="54"/>
      <c r="DA354" s="54"/>
      <c r="DB354" s="54"/>
      <c r="DC354" s="54"/>
      <c r="DD354" s="54"/>
      <c r="DE354" s="54"/>
      <c r="DF354" s="54"/>
      <c r="DG354" s="54"/>
      <c r="DH354" s="54"/>
      <c r="DI354" s="54"/>
      <c r="DJ354" s="54"/>
      <c r="DK354" s="54"/>
      <c r="DL354" s="54"/>
      <c r="DM354" s="54"/>
      <c r="DN354" s="54"/>
      <c r="DO354" s="54"/>
      <c r="DP354" s="54"/>
      <c r="DQ354" s="54"/>
      <c r="DR354" s="54"/>
      <c r="DS354" s="54"/>
      <c r="DT354" s="54"/>
      <c r="DU354" s="54"/>
      <c r="DV354" s="54"/>
      <c r="DW354" s="54"/>
      <c r="DX354" s="54"/>
      <c r="DY354" s="54"/>
      <c r="DZ354" s="54"/>
      <c r="EA354" s="54"/>
      <c r="EB354" s="54"/>
      <c r="EC354" s="54"/>
      <c r="ED354" s="54"/>
      <c r="EE354" s="54"/>
      <c r="EF354" s="54"/>
      <c r="EG354" s="54"/>
      <c r="EH354" s="54"/>
      <c r="EI354" s="54"/>
      <c r="EJ354" s="54"/>
      <c r="EK354" s="54"/>
      <c r="EL354" s="54"/>
      <c r="EM354" s="54"/>
      <c r="EN354" s="54"/>
      <c r="EO354" s="54"/>
      <c r="EP354" s="54"/>
      <c r="EQ354" s="54"/>
      <c r="ER354" s="54"/>
      <c r="ES354" s="54"/>
      <c r="ET354" s="54"/>
      <c r="EU354" s="54"/>
      <c r="EV354" s="54"/>
      <c r="EW354" s="54"/>
      <c r="EX354" s="54"/>
      <c r="EY354" s="54"/>
      <c r="EZ354" s="54"/>
      <c r="FA354" s="54"/>
      <c r="FB354" s="54"/>
      <c r="FC354" s="54"/>
      <c r="FD354" s="54"/>
      <c r="FE354" s="54"/>
      <c r="FF354" s="54"/>
      <c r="FG354" s="54"/>
      <c r="FH354" s="54"/>
      <c r="FI354" s="54"/>
      <c r="FJ354" s="54"/>
    </row>
    <row r="355" spans="1:177" ht="12.75" customHeight="1" x14ac:dyDescent="0.3">
      <c r="A355" s="110" t="s">
        <v>443</v>
      </c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  <c r="AW355" s="193"/>
      <c r="AX355" s="193"/>
      <c r="AY355" s="193"/>
      <c r="AZ355" s="193"/>
      <c r="BA355" s="193"/>
      <c r="BB355" s="193"/>
      <c r="BC355" s="193"/>
      <c r="BD355" s="193"/>
      <c r="BE355" s="193"/>
      <c r="BF355" s="193"/>
      <c r="BG355" s="193"/>
      <c r="BH355" s="193"/>
      <c r="BI355" s="193"/>
      <c r="BJ355" s="193"/>
      <c r="BK355" s="193"/>
      <c r="BL355" s="192"/>
      <c r="BM355" s="192"/>
      <c r="BN355" s="192"/>
      <c r="BO355" s="192"/>
      <c r="BP355" s="192"/>
      <c r="BQ355" s="192"/>
      <c r="BR355" s="193"/>
      <c r="BS355" s="193"/>
      <c r="BT355" s="193"/>
      <c r="BU355" s="193"/>
      <c r="BV355" s="192"/>
      <c r="BW355" s="193"/>
      <c r="BX355" s="193"/>
      <c r="BY355" s="193"/>
      <c r="BZ355" s="193"/>
      <c r="CA355" s="192"/>
      <c r="CB355" s="193"/>
      <c r="CC355" s="193"/>
      <c r="CD355" s="193"/>
      <c r="CE355" s="193"/>
      <c r="CF355" s="192"/>
      <c r="CG355" s="193"/>
      <c r="CH355" s="193"/>
      <c r="CI355" s="193"/>
      <c r="CJ355" s="193"/>
      <c r="CK355" s="192"/>
      <c r="CL355" s="193"/>
      <c r="CM355" s="193"/>
      <c r="CN355" s="193"/>
      <c r="CO355" s="193"/>
      <c r="CP355" s="192"/>
      <c r="CQ355" s="193"/>
      <c r="CR355" s="193"/>
      <c r="CS355" s="193"/>
      <c r="CT355" s="193"/>
      <c r="CU355" s="193"/>
      <c r="CV355" s="193"/>
      <c r="CW355" s="193"/>
      <c r="CX355" s="193"/>
      <c r="CY355" s="193"/>
      <c r="CZ355" s="193"/>
      <c r="DA355" s="193"/>
      <c r="DB355" s="193"/>
      <c r="DC355" s="193"/>
      <c r="DD355" s="193"/>
      <c r="DE355" s="193"/>
      <c r="DF355" s="193"/>
      <c r="DG355" s="193"/>
      <c r="DH355" s="193"/>
      <c r="DI355" s="193"/>
      <c r="DJ355" s="193"/>
      <c r="DK355" s="193"/>
      <c r="DL355" s="193"/>
      <c r="DM355" s="193"/>
      <c r="DN355" s="193"/>
      <c r="DO355" s="193"/>
      <c r="DP355" s="193"/>
      <c r="DQ355" s="193"/>
      <c r="DR355" s="193"/>
      <c r="DS355" s="193"/>
      <c r="DT355" s="193"/>
      <c r="DU355" s="76"/>
      <c r="DV355" s="76"/>
      <c r="DW355" s="76"/>
      <c r="DX355" s="76"/>
      <c r="DY355" s="475"/>
      <c r="DZ355" s="76">
        <f>+DZ357*DZ315*0.003</f>
        <v>25.757575757575754</v>
      </c>
      <c r="EA355" s="76">
        <f>+EA357*EA315*0.003</f>
        <v>23.409294012511172</v>
      </c>
      <c r="EB355" s="76">
        <f>+EB357*EB315*0.003</f>
        <v>20.452107279693486</v>
      </c>
      <c r="EC355" s="76">
        <f>+EC357*EC315*0.003</f>
        <v>17.220618556701034</v>
      </c>
      <c r="ED355" s="85">
        <f>+SUM(DZ355:EC355)</f>
        <v>86.839595606481453</v>
      </c>
      <c r="EE355" s="76">
        <f>+EE357*EE315*0.003</f>
        <v>16.294701986754966</v>
      </c>
      <c r="EF355" s="76">
        <f>+EF357*EF315*0.003</f>
        <v>15.829787234042552</v>
      </c>
      <c r="EG355" s="76">
        <f>+EG357*EG315*0.003</f>
        <v>13.981132075471697</v>
      </c>
      <c r="EH355" s="76">
        <f>+EH357*EH315*0.003</f>
        <v>13.567639257294429</v>
      </c>
      <c r="EI355" s="121">
        <f>+SUM(EE355:EH355)</f>
        <v>59.673260553563644</v>
      </c>
      <c r="EJ355" s="76">
        <f>+EJ357*EJ315*0.003</f>
        <v>13.051460361613351</v>
      </c>
      <c r="EK355" s="76">
        <f>+EK357*EK315*0.003</f>
        <v>12.373900293255133</v>
      </c>
      <c r="EL355" s="76">
        <f>+EL357*EL315*0.003</f>
        <v>11.120124804992201</v>
      </c>
      <c r="EM355" s="76">
        <f>+EM357*EM315*0.003</f>
        <v>9.4370860927152318</v>
      </c>
      <c r="EN355" s="121">
        <f>+SUM(EJ355:EM355)</f>
        <v>45.982571552575919</v>
      </c>
      <c r="EO355" s="76">
        <f>+EO357*EO315*0.003</f>
        <v>8.9333333333333353</v>
      </c>
      <c r="EP355" s="76">
        <f>+EP357*EP315*0.003</f>
        <v>7.6214689265536739</v>
      </c>
      <c r="EQ355" s="76">
        <f>+EQ357*EQ315*0.003</f>
        <v>6.089613034623218</v>
      </c>
      <c r="ER355" s="76">
        <f>+ER357*ER315*0.003</f>
        <v>5.3275109170305681</v>
      </c>
      <c r="ES355" s="121">
        <f>+SUM(EO355:ER355)</f>
        <v>27.971926211540794</v>
      </c>
      <c r="ET355" s="76">
        <f>+ET357*ET315*0.003</f>
        <v>4.6923076923076916</v>
      </c>
      <c r="EU355" s="76">
        <f>+EU357*EU315*0.003</f>
        <v>3.8475000000000001</v>
      </c>
      <c r="EV355" s="76">
        <f>+EV357*EV315*0.003</f>
        <v>3.5618279569892484</v>
      </c>
      <c r="EW355" s="76">
        <f>+EW357*EW315*0.003</f>
        <v>3.1242774566473988</v>
      </c>
      <c r="EX355" s="121">
        <f>+SUM(ET355:EW355)</f>
        <v>15.225913105944338</v>
      </c>
      <c r="EY355" s="76">
        <f t="shared" ref="EY355:FB355" si="1666">+EY357*EY315*0.003</f>
        <v>3.1334395930803076</v>
      </c>
      <c r="EZ355" s="76">
        <f t="shared" si="1666"/>
        <v>2.7090823686167687</v>
      </c>
      <c r="FA355" s="76">
        <f t="shared" si="1666"/>
        <v>2.3358299744588678</v>
      </c>
      <c r="FB355" s="76">
        <f t="shared" si="1666"/>
        <v>1.9281661293358092</v>
      </c>
      <c r="FC355" s="121">
        <f>+SUM(EY355:FB355)</f>
        <v>10.106518065491754</v>
      </c>
      <c r="FD355" s="76">
        <f t="shared" ref="FD355:FI355" si="1667">+FD357*FD315*12/1000</f>
        <v>5.750022379690904</v>
      </c>
      <c r="FE355" s="76">
        <f t="shared" si="1667"/>
        <v>2.7689589298074448</v>
      </c>
      <c r="FF355" s="76">
        <f t="shared" si="1667"/>
        <v>1.3315896210133822</v>
      </c>
      <c r="FG355" s="76">
        <f t="shared" si="1667"/>
        <v>0.63956050824871025</v>
      </c>
      <c r="FH355" s="76">
        <f t="shared" si="1667"/>
        <v>0.30682810196108423</v>
      </c>
      <c r="FI355" s="76">
        <f t="shared" si="1667"/>
        <v>0.14704525855575032</v>
      </c>
      <c r="FJ355" s="189">
        <f>+(FF355/ES355)^0.2-1</f>
        <v>-0.45608679142569153</v>
      </c>
      <c r="FK355" s="193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</row>
    <row r="356" spans="1:177" ht="12.75" customHeight="1" x14ac:dyDescent="0.3">
      <c r="A356" s="70" t="s">
        <v>363</v>
      </c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  <c r="AW356" s="193"/>
      <c r="AX356" s="193"/>
      <c r="AY356" s="193"/>
      <c r="AZ356" s="193"/>
      <c r="BA356" s="193"/>
      <c r="BB356" s="193"/>
      <c r="BC356" s="193"/>
      <c r="BD356" s="193"/>
      <c r="BE356" s="193"/>
      <c r="BF356" s="193"/>
      <c r="BG356" s="193"/>
      <c r="BH356" s="193"/>
      <c r="BI356" s="193"/>
      <c r="BJ356" s="193"/>
      <c r="BK356" s="193"/>
      <c r="BL356" s="192"/>
      <c r="BM356" s="192"/>
      <c r="BN356" s="192"/>
      <c r="BO356" s="192"/>
      <c r="BP356" s="192"/>
      <c r="BQ356" s="192"/>
      <c r="BR356" s="193"/>
      <c r="BS356" s="193"/>
      <c r="BT356" s="193"/>
      <c r="BU356" s="193"/>
      <c r="BV356" s="192"/>
      <c r="BW356" s="193"/>
      <c r="BX356" s="193"/>
      <c r="BY356" s="193"/>
      <c r="BZ356" s="193"/>
      <c r="CA356" s="192"/>
      <c r="CB356" s="193"/>
      <c r="CC356" s="193"/>
      <c r="CD356" s="193"/>
      <c r="CE356" s="193"/>
      <c r="CF356" s="192"/>
      <c r="CG356" s="193"/>
      <c r="CH356" s="193"/>
      <c r="CI356" s="193"/>
      <c r="CJ356" s="193"/>
      <c r="CK356" s="192"/>
      <c r="CL356" s="193"/>
      <c r="CM356" s="193"/>
      <c r="CN356" s="193"/>
      <c r="CO356" s="193"/>
      <c r="CP356" s="192"/>
      <c r="CQ356" s="193"/>
      <c r="CR356" s="193"/>
      <c r="CS356" s="193"/>
      <c r="CT356" s="193"/>
      <c r="CU356" s="193"/>
      <c r="CV356" s="193"/>
      <c r="CW356" s="193"/>
      <c r="CX356" s="193"/>
      <c r="CY356" s="193"/>
      <c r="CZ356" s="193"/>
      <c r="DA356" s="193"/>
      <c r="DB356" s="193"/>
      <c r="DC356" s="193"/>
      <c r="DD356" s="193"/>
      <c r="DE356" s="193"/>
      <c r="DF356" s="193"/>
      <c r="DG356" s="193"/>
      <c r="DH356" s="193"/>
      <c r="DI356" s="193"/>
      <c r="DJ356" s="193"/>
      <c r="DK356" s="193"/>
      <c r="DL356" s="193"/>
      <c r="DM356" s="193"/>
      <c r="DN356" s="193"/>
      <c r="DO356" s="193"/>
      <c r="DP356" s="193"/>
      <c r="DQ356" s="193"/>
      <c r="DR356" s="193"/>
      <c r="DS356" s="193"/>
      <c r="DT356" s="193"/>
      <c r="DU356" s="194"/>
      <c r="DV356" s="194"/>
      <c r="DW356" s="194"/>
      <c r="DX356" s="194"/>
      <c r="DY356" s="1208"/>
      <c r="DZ356" s="75"/>
      <c r="EA356" s="75"/>
      <c r="EB356" s="75"/>
      <c r="EC356" s="75"/>
      <c r="ED356" s="84"/>
      <c r="EE356" s="75">
        <f t="shared" ref="EE356:EW356" si="1668">+EE355/DZ355-1</f>
        <v>-0.36738215816127773</v>
      </c>
      <c r="EF356" s="75">
        <f t="shared" si="1668"/>
        <v>-0.32378194636787117</v>
      </c>
      <c r="EG356" s="75">
        <f t="shared" si="1668"/>
        <v>-0.31639650211725123</v>
      </c>
      <c r="EH356" s="75">
        <f t="shared" si="1668"/>
        <v>-0.21212822799475606</v>
      </c>
      <c r="EI356" s="127">
        <f t="shared" si="1668"/>
        <v>-0.31283350484522743</v>
      </c>
      <c r="EJ356" s="75">
        <f t="shared" si="1668"/>
        <v>-0.19903657199609182</v>
      </c>
      <c r="EK356" s="126">
        <f t="shared" si="1668"/>
        <v>-0.21831543846372137</v>
      </c>
      <c r="EL356" s="126">
        <f t="shared" si="1668"/>
        <v>-0.20463344849583442</v>
      </c>
      <c r="EM356" s="126">
        <f t="shared" si="1668"/>
        <v>-0.30444155289273855</v>
      </c>
      <c r="EN356" s="127">
        <f t="shared" si="1668"/>
        <v>-0.22942753377283198</v>
      </c>
      <c r="EO356" s="75">
        <f t="shared" si="1668"/>
        <v>-0.31552998010798505</v>
      </c>
      <c r="EP356" s="75">
        <f t="shared" si="1668"/>
        <v>-0.38406898827946379</v>
      </c>
      <c r="EQ356" s="75">
        <f t="shared" si="1668"/>
        <v>-0.45237907474838912</v>
      </c>
      <c r="ER356" s="75">
        <f t="shared" si="1668"/>
        <v>-0.43547077300237491</v>
      </c>
      <c r="ES356" s="127">
        <f t="shared" ref="ES356" si="1669">+ES355/EN355-1</f>
        <v>-0.39168416930405836</v>
      </c>
      <c r="ET356" s="75">
        <f t="shared" si="1668"/>
        <v>-0.47474167623421371</v>
      </c>
      <c r="EU356" s="75">
        <f t="shared" si="1668"/>
        <v>-0.4951760563380283</v>
      </c>
      <c r="EV356" s="75">
        <f t="shared" si="1668"/>
        <v>-0.41509781709641436</v>
      </c>
      <c r="EW356" s="75">
        <f t="shared" si="1668"/>
        <v>-0.41355775608831613</v>
      </c>
      <c r="EX356" s="127">
        <f t="shared" ref="EX356" si="1670">+EX355/ES355-1</f>
        <v>-0.45567162622993207</v>
      </c>
      <c r="EY356" s="126">
        <f t="shared" ref="EY356" si="1671">+EY355/ET355-1</f>
        <v>-0.33221779163862286</v>
      </c>
      <c r="EZ356" s="126">
        <f t="shared" ref="EZ356" si="1672">+EZ355/EU355-1</f>
        <v>-0.29588502440109976</v>
      </c>
      <c r="FA356" s="126">
        <f t="shared" ref="FA356" si="1673">+FA355/EV355-1</f>
        <v>-0.34420471660475582</v>
      </c>
      <c r="FB356" s="126">
        <f t="shared" ref="FB356:FC356" si="1674">+FB355/EW355-1</f>
        <v>-0.38284414361684549</v>
      </c>
      <c r="FC356" s="127">
        <f t="shared" si="1674"/>
        <v>-0.33622909869713657</v>
      </c>
      <c r="FD356" s="126">
        <f t="shared" ref="FD356:FI356" si="1675">+FD355/FC355-1</f>
        <v>-0.43105802191913223</v>
      </c>
      <c r="FE356" s="126">
        <f t="shared" si="1675"/>
        <v>-0.51844379952547381</v>
      </c>
      <c r="FF356" s="126">
        <f t="shared" si="1675"/>
        <v>-0.51910098532736937</v>
      </c>
      <c r="FG356" s="126">
        <f t="shared" si="1675"/>
        <v>-0.51970149199421944</v>
      </c>
      <c r="FH356" s="126">
        <f t="shared" si="1675"/>
        <v>-0.52025164467821416</v>
      </c>
      <c r="FI356" s="126">
        <f t="shared" si="1675"/>
        <v>-0.52075687456294195</v>
      </c>
      <c r="FJ356" s="193"/>
      <c r="FK356" s="193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</row>
    <row r="357" spans="1:177" ht="12.75" customHeight="1" x14ac:dyDescent="0.3">
      <c r="A357" s="61" t="s">
        <v>386</v>
      </c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  <c r="AW357" s="193"/>
      <c r="AX357" s="193"/>
      <c r="AY357" s="193"/>
      <c r="AZ357" s="193"/>
      <c r="BA357" s="193"/>
      <c r="BB357" s="193"/>
      <c r="BC357" s="193"/>
      <c r="BD357" s="193"/>
      <c r="BE357" s="193"/>
      <c r="BF357" s="193"/>
      <c r="BG357" s="193"/>
      <c r="BH357" s="193"/>
      <c r="BI357" s="193"/>
      <c r="BJ357" s="193"/>
      <c r="BK357" s="193"/>
      <c r="BL357" s="192"/>
      <c r="BM357" s="192"/>
      <c r="BN357" s="192"/>
      <c r="BO357" s="192"/>
      <c r="BP357" s="192"/>
      <c r="BQ357" s="192"/>
      <c r="BR357" s="193"/>
      <c r="BS357" s="193"/>
      <c r="BT357" s="193"/>
      <c r="BU357" s="193"/>
      <c r="BV357" s="192"/>
      <c r="BW357" s="193"/>
      <c r="BX357" s="193"/>
      <c r="BY357" s="193"/>
      <c r="BZ357" s="193"/>
      <c r="CA357" s="192"/>
      <c r="CB357" s="193"/>
      <c r="CC357" s="193"/>
      <c r="CD357" s="193"/>
      <c r="CE357" s="193"/>
      <c r="CF357" s="192"/>
      <c r="CG357" s="193"/>
      <c r="CH357" s="193"/>
      <c r="CI357" s="193"/>
      <c r="CJ357" s="193"/>
      <c r="CK357" s="192"/>
      <c r="CL357" s="193"/>
      <c r="CM357" s="193"/>
      <c r="CN357" s="193"/>
      <c r="CO357" s="193"/>
      <c r="CP357" s="192"/>
      <c r="CQ357" s="193"/>
      <c r="CR357" s="193"/>
      <c r="CS357" s="193"/>
      <c r="CT357" s="193"/>
      <c r="CU357" s="193"/>
      <c r="CV357" s="193"/>
      <c r="CW357" s="193"/>
      <c r="CX357" s="193"/>
      <c r="CY357" s="193"/>
      <c r="CZ357" s="193"/>
      <c r="DA357" s="193"/>
      <c r="DB357" s="193"/>
      <c r="DC357" s="193"/>
      <c r="DD357" s="193"/>
      <c r="DE357" s="193"/>
      <c r="DF357" s="193"/>
      <c r="DG357" s="193"/>
      <c r="DH357" s="193"/>
      <c r="DI357" s="193"/>
      <c r="DJ357" s="193"/>
      <c r="DK357" s="193"/>
      <c r="DL357" s="193"/>
      <c r="DM357" s="193"/>
      <c r="DN357" s="193"/>
      <c r="DO357" s="193"/>
      <c r="DP357" s="193"/>
      <c r="DQ357" s="193"/>
      <c r="DR357" s="193"/>
      <c r="DS357" s="193"/>
      <c r="DT357" s="193"/>
      <c r="DU357" s="111"/>
      <c r="DV357" s="111"/>
      <c r="DW357" s="111"/>
      <c r="DX357" s="111"/>
      <c r="DY357" s="112"/>
      <c r="DZ357" s="111">
        <f t="shared" ref="DZ357:EP357" si="1676">DZ72</f>
        <v>95.398428731762053</v>
      </c>
      <c r="EA357" s="111">
        <f t="shared" si="1676"/>
        <v>92.344355078939529</v>
      </c>
      <c r="EB357" s="111">
        <f t="shared" si="1676"/>
        <v>86.845466155810982</v>
      </c>
      <c r="EC357" s="111">
        <f t="shared" si="1676"/>
        <v>79.725085910652922</v>
      </c>
      <c r="ED357" s="112">
        <f t="shared" si="1676"/>
        <v>89.022602792563461</v>
      </c>
      <c r="EE357" s="111">
        <f t="shared" si="1676"/>
        <v>81.677704194260485</v>
      </c>
      <c r="EF357" s="111">
        <f t="shared" si="1676"/>
        <v>85.106382978723403</v>
      </c>
      <c r="EG357" s="111">
        <f t="shared" si="1676"/>
        <v>79.664570230607964</v>
      </c>
      <c r="EH357" s="111">
        <f t="shared" si="1676"/>
        <v>82.228116710875327</v>
      </c>
      <c r="EI357" s="112">
        <f t="shared" si="1676"/>
        <v>82.197313945269102</v>
      </c>
      <c r="EJ357" s="111">
        <f t="shared" si="1676"/>
        <v>85.303662494204914</v>
      </c>
      <c r="EK357" s="111">
        <f t="shared" si="1676"/>
        <v>85.043988269794724</v>
      </c>
      <c r="EL357" s="111">
        <f t="shared" si="1676"/>
        <v>84.243369734789397</v>
      </c>
      <c r="EM357" s="111">
        <f t="shared" si="1676"/>
        <v>83.885209713024281</v>
      </c>
      <c r="EN357" s="112">
        <f t="shared" si="1676"/>
        <v>84.656084656084644</v>
      </c>
      <c r="EO357" s="111">
        <f t="shared" si="1676"/>
        <v>88.8888888888889</v>
      </c>
      <c r="EP357" s="111">
        <f t="shared" si="1676"/>
        <v>89.139987445072208</v>
      </c>
      <c r="EQ357" s="111">
        <f t="shared" ref="EQ357:ER357" si="1677">EQ72</f>
        <v>88.255261371350983</v>
      </c>
      <c r="ER357" s="111">
        <f t="shared" si="1677"/>
        <v>88.791848617176129</v>
      </c>
      <c r="ES357" s="112">
        <f>ES72</f>
        <v>88.780487804878064</v>
      </c>
      <c r="ET357" s="111">
        <f t="shared" ref="ET357:EU357" si="1678">ET72</f>
        <v>94.794094794094789</v>
      </c>
      <c r="EU357" s="111">
        <f t="shared" si="1678"/>
        <v>95</v>
      </c>
      <c r="EV357" s="111">
        <f t="shared" ref="EV357:EW357" si="1679">EV72</f>
        <v>94.982078853046616</v>
      </c>
      <c r="EW357" s="111">
        <f t="shared" si="1679"/>
        <v>90.558766859344885</v>
      </c>
      <c r="EX357" s="112">
        <f>EX72</f>
        <v>93.945270415858658</v>
      </c>
      <c r="EY357" s="111">
        <f t="shared" ref="EY357:FB357" si="1680">EY219</f>
        <v>101.98624938196288</v>
      </c>
      <c r="EZ357" s="111">
        <f t="shared" si="1680"/>
        <v>102.28230177358935</v>
      </c>
      <c r="FA357" s="111">
        <f t="shared" si="1680"/>
        <v>102.3004395009245</v>
      </c>
      <c r="FB357" s="111">
        <f t="shared" si="1680"/>
        <v>97.95772969680884</v>
      </c>
      <c r="FC357" s="112">
        <f>FC72</f>
        <v>101.2405832117128</v>
      </c>
      <c r="FD357" s="111">
        <f t="shared" ref="FD357:FI357" si="1681">FD219</f>
        <v>108.91965671173422</v>
      </c>
      <c r="FE357" s="111">
        <f t="shared" si="1681"/>
        <v>117.00593424997548</v>
      </c>
      <c r="FF357" s="111">
        <f t="shared" si="1681"/>
        <v>125.52100894294237</v>
      </c>
      <c r="FG357" s="111">
        <f t="shared" si="1681"/>
        <v>134.48761894166063</v>
      </c>
      <c r="FH357" s="111">
        <f t="shared" si="1681"/>
        <v>143.92970815028752</v>
      </c>
      <c r="FI357" s="111">
        <f t="shared" si="1681"/>
        <v>153.87249016449493</v>
      </c>
      <c r="FJ357" s="111">
        <f>FJ72</f>
        <v>0</v>
      </c>
      <c r="FK357" s="193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</row>
    <row r="358" spans="1:177" ht="12.75" customHeight="1" x14ac:dyDescent="0.3">
      <c r="A358" s="70" t="s">
        <v>387</v>
      </c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  <c r="AW358" s="193"/>
      <c r="AX358" s="193"/>
      <c r="AY358" s="193"/>
      <c r="AZ358" s="193"/>
      <c r="BA358" s="193"/>
      <c r="BB358" s="193"/>
      <c r="BC358" s="193"/>
      <c r="BD358" s="193"/>
      <c r="BE358" s="193"/>
      <c r="BF358" s="193"/>
      <c r="BG358" s="193"/>
      <c r="BH358" s="193"/>
      <c r="BI358" s="193"/>
      <c r="BJ358" s="193"/>
      <c r="BK358" s="193"/>
      <c r="BL358" s="192"/>
      <c r="BM358" s="192"/>
      <c r="BN358" s="192"/>
      <c r="BO358" s="192"/>
      <c r="BP358" s="192"/>
      <c r="BQ358" s="192"/>
      <c r="BR358" s="193"/>
      <c r="BS358" s="193"/>
      <c r="BT358" s="193"/>
      <c r="BU358" s="193"/>
      <c r="BV358" s="192"/>
      <c r="BW358" s="193"/>
      <c r="BX358" s="193"/>
      <c r="BY358" s="193"/>
      <c r="BZ358" s="193"/>
      <c r="CA358" s="192"/>
      <c r="CB358" s="193"/>
      <c r="CC358" s="193"/>
      <c r="CD358" s="193"/>
      <c r="CE358" s="193"/>
      <c r="CF358" s="192"/>
      <c r="CG358" s="193"/>
      <c r="CH358" s="193"/>
      <c r="CI358" s="193"/>
      <c r="CJ358" s="193"/>
      <c r="CK358" s="192"/>
      <c r="CL358" s="193"/>
      <c r="CM358" s="193"/>
      <c r="CN358" s="193"/>
      <c r="CO358" s="193"/>
      <c r="CP358" s="192"/>
      <c r="CQ358" s="193"/>
      <c r="CR358" s="193"/>
      <c r="CS358" s="193"/>
      <c r="CT358" s="193"/>
      <c r="CU358" s="193"/>
      <c r="CV358" s="193"/>
      <c r="CW358" s="193"/>
      <c r="CX358" s="193"/>
      <c r="CY358" s="193"/>
      <c r="CZ358" s="193"/>
      <c r="DA358" s="193"/>
      <c r="DB358" s="193"/>
      <c r="DC358" s="193"/>
      <c r="DD358" s="193"/>
      <c r="DE358" s="193"/>
      <c r="DF358" s="193"/>
      <c r="DG358" s="193"/>
      <c r="DH358" s="193"/>
      <c r="DI358" s="193"/>
      <c r="DJ358" s="193"/>
      <c r="DK358" s="193"/>
      <c r="DL358" s="193"/>
      <c r="DM358" s="193"/>
      <c r="DN358" s="193"/>
      <c r="DO358" s="193"/>
      <c r="DP358" s="193"/>
      <c r="DQ358" s="193"/>
      <c r="DR358" s="193"/>
      <c r="DS358" s="193"/>
      <c r="DT358" s="193"/>
      <c r="DU358" s="194"/>
      <c r="DV358" s="194"/>
      <c r="DW358" s="194"/>
      <c r="DX358" s="194"/>
      <c r="DY358" s="1208"/>
      <c r="DZ358" s="195"/>
      <c r="EA358" s="195"/>
      <c r="EB358" s="195"/>
      <c r="EC358" s="195"/>
      <c r="ED358" s="199"/>
      <c r="EE358" s="195">
        <f t="shared" ref="EE358:EW358" si="1682">+EE357/DZ357-1</f>
        <v>-0.14382547721075178</v>
      </c>
      <c r="EF358" s="195">
        <f t="shared" si="1682"/>
        <v>-7.838023335621136E-2</v>
      </c>
      <c r="EG358" s="195">
        <f t="shared" si="1682"/>
        <v>-8.2685904550499512E-2</v>
      </c>
      <c r="EH358" s="195">
        <f t="shared" si="1682"/>
        <v>3.1395774261410381E-2</v>
      </c>
      <c r="EI358" s="199">
        <f t="shared" si="1682"/>
        <v>-7.666916752814279E-2</v>
      </c>
      <c r="EJ358" s="195">
        <f t="shared" si="1682"/>
        <v>4.4393489456076463E-2</v>
      </c>
      <c r="EK358" s="195">
        <f t="shared" si="1682"/>
        <v>-7.3313782991202281E-4</v>
      </c>
      <c r="EL358" s="195">
        <f t="shared" si="1682"/>
        <v>5.7475983249856366E-2</v>
      </c>
      <c r="EM358" s="195">
        <f t="shared" si="1682"/>
        <v>2.0152389090650091E-2</v>
      </c>
      <c r="EN358" s="199">
        <f t="shared" si="1682"/>
        <v>2.9913029913029909E-2</v>
      </c>
      <c r="EO358" s="195">
        <f t="shared" si="1682"/>
        <v>4.202898550724643E-2</v>
      </c>
      <c r="EP358" s="195">
        <f t="shared" si="1682"/>
        <v>4.8163300647228402E-2</v>
      </c>
      <c r="EQ358" s="195">
        <f t="shared" si="1682"/>
        <v>4.7622639611777373E-2</v>
      </c>
      <c r="ER358" s="195">
        <f t="shared" si="1682"/>
        <v>5.8492300620547111E-2</v>
      </c>
      <c r="ES358" s="199">
        <f t="shared" ref="ES358" si="1683">+ES357/EN357-1</f>
        <v>4.8719512195122272E-2</v>
      </c>
      <c r="ET358" s="195">
        <f t="shared" si="1682"/>
        <v>6.6433566433566238E-2</v>
      </c>
      <c r="EU358" s="195">
        <f t="shared" si="1682"/>
        <v>6.573943661971815E-2</v>
      </c>
      <c r="EV358" s="195">
        <f t="shared" si="1682"/>
        <v>7.6220016542597469E-2</v>
      </c>
      <c r="EW358" s="195">
        <f t="shared" si="1682"/>
        <v>1.989955462901527E-2</v>
      </c>
      <c r="EX358" s="199">
        <f t="shared" ref="EX358" si="1684">+EX357/ES357-1</f>
        <v>5.8174749189616515E-2</v>
      </c>
      <c r="EY358" s="195">
        <f t="shared" ref="EY358" si="1685">+EY357/ET357-1</f>
        <v>7.5871335693329822E-2</v>
      </c>
      <c r="EZ358" s="195">
        <f t="shared" ref="EZ358" si="1686">+EZ357/EU357-1</f>
        <v>7.6655808143045734E-2</v>
      </c>
      <c r="FA358" s="195">
        <f t="shared" ref="FA358" si="1687">+FA357/EV357-1</f>
        <v>7.704991021728036E-2</v>
      </c>
      <c r="FB358" s="195">
        <f t="shared" ref="FB358:FC358" si="1688">+FB357/EW357-1</f>
        <v>8.1703440694548712E-2</v>
      </c>
      <c r="FC358" s="199">
        <f t="shared" si="1688"/>
        <v>7.7654923590731784E-2</v>
      </c>
      <c r="FD358" s="195">
        <f t="shared" ref="FD358:FI358" si="1689">+FD357/FC357-1</f>
        <v>7.5849755665305274E-2</v>
      </c>
      <c r="FE358" s="195">
        <f t="shared" si="1689"/>
        <v>7.424075490471238E-2</v>
      </c>
      <c r="FF358" s="195">
        <f t="shared" si="1689"/>
        <v>7.2774725038945443E-2</v>
      </c>
      <c r="FG358" s="195">
        <f t="shared" si="1689"/>
        <v>7.1435133243664239E-2</v>
      </c>
      <c r="FH358" s="195">
        <f t="shared" si="1689"/>
        <v>7.020786956398406E-2</v>
      </c>
      <c r="FI358" s="195">
        <f t="shared" si="1689"/>
        <v>6.9080818282667655E-2</v>
      </c>
      <c r="FJ358" s="193"/>
      <c r="FK358" s="193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</row>
    <row r="359" spans="1:177" ht="12.75" customHeight="1" x14ac:dyDescent="0.3">
      <c r="A359" s="192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3"/>
      <c r="AF359" s="193"/>
      <c r="AG359" s="193"/>
      <c r="AH359" s="193"/>
      <c r="AI359" s="193"/>
      <c r="AJ359" s="193"/>
      <c r="AK359" s="193"/>
      <c r="AL359" s="193"/>
      <c r="AM359" s="193"/>
      <c r="AN359" s="193"/>
      <c r="AO359" s="193"/>
      <c r="AP359" s="193"/>
      <c r="AQ359" s="193"/>
      <c r="AR359" s="193"/>
      <c r="AS359" s="193"/>
      <c r="AT359" s="193"/>
      <c r="AU359" s="193"/>
      <c r="AV359" s="193"/>
      <c r="AW359" s="193"/>
      <c r="AX359" s="193"/>
      <c r="AY359" s="193"/>
      <c r="AZ359" s="193"/>
      <c r="BA359" s="193"/>
      <c r="BB359" s="193"/>
      <c r="BC359" s="193"/>
      <c r="BD359" s="193"/>
      <c r="BE359" s="193"/>
      <c r="BF359" s="193"/>
      <c r="BG359" s="193"/>
      <c r="BH359" s="193"/>
      <c r="BI359" s="193"/>
      <c r="BJ359" s="193"/>
      <c r="BK359" s="193"/>
      <c r="BL359" s="192"/>
      <c r="BM359" s="192"/>
      <c r="BN359" s="192"/>
      <c r="BO359" s="192"/>
      <c r="BP359" s="192"/>
      <c r="BQ359" s="192"/>
      <c r="BR359" s="193"/>
      <c r="BS359" s="193"/>
      <c r="BT359" s="193"/>
      <c r="BU359" s="193"/>
      <c r="BV359" s="192"/>
      <c r="BW359" s="193"/>
      <c r="BX359" s="193"/>
      <c r="BY359" s="193"/>
      <c r="BZ359" s="193"/>
      <c r="CA359" s="192"/>
      <c r="CB359" s="193"/>
      <c r="CC359" s="193"/>
      <c r="CD359" s="193"/>
      <c r="CE359" s="193"/>
      <c r="CF359" s="192"/>
      <c r="CG359" s="193"/>
      <c r="CH359" s="193"/>
      <c r="CI359" s="193"/>
      <c r="CJ359" s="193"/>
      <c r="CK359" s="192"/>
      <c r="CL359" s="193"/>
      <c r="CM359" s="193"/>
      <c r="CN359" s="193"/>
      <c r="CO359" s="193"/>
      <c r="CP359" s="192"/>
      <c r="CQ359" s="193"/>
      <c r="CR359" s="193"/>
      <c r="CS359" s="193"/>
      <c r="CT359" s="193"/>
      <c r="CU359" s="193"/>
      <c r="CV359" s="193"/>
      <c r="CW359" s="193"/>
      <c r="CX359" s="193"/>
      <c r="CY359" s="193"/>
      <c r="CZ359" s="193"/>
      <c r="DA359" s="193"/>
      <c r="DB359" s="193"/>
      <c r="DC359" s="193"/>
      <c r="DD359" s="193"/>
      <c r="DE359" s="193"/>
      <c r="DF359" s="193"/>
      <c r="DG359" s="193"/>
      <c r="DH359" s="193"/>
      <c r="DI359" s="193"/>
      <c r="DJ359" s="193"/>
      <c r="DK359" s="193"/>
      <c r="DL359" s="193"/>
      <c r="DM359" s="193"/>
      <c r="DN359" s="193"/>
      <c r="DO359" s="193"/>
      <c r="DP359" s="193"/>
      <c r="DQ359" s="193"/>
      <c r="DR359" s="193"/>
      <c r="DS359" s="193"/>
      <c r="DT359" s="193"/>
      <c r="DU359" s="196"/>
      <c r="DV359" s="196"/>
      <c r="DW359" s="196"/>
      <c r="DX359" s="665"/>
      <c r="DY359" s="1191"/>
      <c r="DZ359" s="197"/>
      <c r="EB359" s="665"/>
      <c r="EC359" s="665"/>
      <c r="ED359" s="1204"/>
      <c r="EE359" s="197"/>
      <c r="EF359" s="197"/>
      <c r="EG359" s="197"/>
      <c r="EH359" s="197"/>
      <c r="EI359" s="1191"/>
      <c r="EJ359" s="197"/>
      <c r="EK359" s="197"/>
      <c r="EL359" s="197"/>
      <c r="EM359" s="197"/>
      <c r="EN359" s="1192"/>
      <c r="EO359" s="197"/>
      <c r="EP359" s="197"/>
      <c r="EQ359" s="197"/>
      <c r="ER359" s="197"/>
      <c r="ES359" s="198"/>
      <c r="ET359" s="197"/>
      <c r="EU359" s="197"/>
      <c r="EV359" s="197"/>
      <c r="EW359" s="197"/>
      <c r="EX359" s="198"/>
      <c r="EY359" s="197"/>
      <c r="EZ359" s="197"/>
      <c r="FA359" s="197"/>
      <c r="FB359" s="197"/>
      <c r="FC359" s="198"/>
      <c r="FD359" s="198"/>
      <c r="FE359" s="198"/>
      <c r="FF359" s="198"/>
      <c r="FG359" s="198"/>
      <c r="FH359" s="198"/>
      <c r="FI359" s="198"/>
      <c r="FJ359" s="193"/>
      <c r="FK359" s="193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</row>
    <row r="360" spans="1:177" ht="12.75" customHeight="1" x14ac:dyDescent="0.3">
      <c r="A360" s="60" t="s">
        <v>388</v>
      </c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  <c r="AW360" s="193"/>
      <c r="AX360" s="193"/>
      <c r="AY360" s="193"/>
      <c r="AZ360" s="193"/>
      <c r="BA360" s="193"/>
      <c r="BB360" s="193"/>
      <c r="BC360" s="193"/>
      <c r="BD360" s="193"/>
      <c r="BE360" s="193"/>
      <c r="BF360" s="193"/>
      <c r="BG360" s="193"/>
      <c r="BH360" s="193"/>
      <c r="BI360" s="193"/>
      <c r="BJ360" s="193"/>
      <c r="BK360" s="193"/>
      <c r="BL360" s="192"/>
      <c r="BM360" s="192"/>
      <c r="BN360" s="192"/>
      <c r="BO360" s="192"/>
      <c r="BP360" s="192"/>
      <c r="BQ360" s="192"/>
      <c r="BR360" s="193"/>
      <c r="BS360" s="193"/>
      <c r="BT360" s="193"/>
      <c r="BU360" s="193"/>
      <c r="BV360" s="192"/>
      <c r="BW360" s="193"/>
      <c r="BX360" s="193"/>
      <c r="BY360" s="193"/>
      <c r="BZ360" s="193"/>
      <c r="CA360" s="192"/>
      <c r="CB360" s="193"/>
      <c r="CC360" s="193"/>
      <c r="CD360" s="193"/>
      <c r="CE360" s="193"/>
      <c r="CF360" s="192"/>
      <c r="CG360" s="193"/>
      <c r="CH360" s="193"/>
      <c r="CI360" s="193"/>
      <c r="CJ360" s="193"/>
      <c r="CK360" s="192"/>
      <c r="CL360" s="193"/>
      <c r="CM360" s="193"/>
      <c r="CN360" s="193"/>
      <c r="CO360" s="193"/>
      <c r="CP360" s="192"/>
      <c r="CQ360" s="193"/>
      <c r="CR360" s="193"/>
      <c r="CS360" s="193"/>
      <c r="CT360" s="193"/>
      <c r="CU360" s="193"/>
      <c r="CV360" s="193"/>
      <c r="CW360" s="193"/>
      <c r="CX360" s="193"/>
      <c r="CY360" s="193"/>
      <c r="CZ360" s="193"/>
      <c r="DA360" s="193"/>
      <c r="DB360" s="193"/>
      <c r="DC360" s="193"/>
      <c r="DD360" s="193"/>
      <c r="DE360" s="193"/>
      <c r="DF360" s="193"/>
      <c r="DG360" s="193"/>
      <c r="DH360" s="193"/>
      <c r="DI360" s="193"/>
      <c r="DJ360" s="193"/>
      <c r="DK360" s="193"/>
      <c r="DL360" s="193"/>
      <c r="DM360" s="193"/>
      <c r="DN360" s="193"/>
      <c r="DO360" s="193"/>
      <c r="DP360" s="193"/>
      <c r="DQ360" s="193"/>
      <c r="DR360" s="193"/>
      <c r="DS360" s="193"/>
      <c r="DT360" s="193"/>
      <c r="DU360" s="196"/>
      <c r="DV360" s="196"/>
      <c r="DW360" s="196"/>
      <c r="DX360" s="665"/>
      <c r="DY360" s="1191"/>
      <c r="DZ360" s="85">
        <f>DZ372-DZ367</f>
        <v>492.83879873771235</v>
      </c>
      <c r="EA360" s="85">
        <f>EA372-EA367</f>
        <v>480.87339777752788</v>
      </c>
      <c r="EB360" s="85">
        <f>EB372-EB367</f>
        <v>459.94379455624403</v>
      </c>
      <c r="EC360" s="85">
        <f>EC372-EC367</f>
        <v>446.5128705057989</v>
      </c>
      <c r="ED360" s="85">
        <f>SUM(DZ360:EC360)</f>
        <v>1880.1688615772832</v>
      </c>
      <c r="EE360" s="85">
        <f>EE372-EE367</f>
        <v>445.73073551324507</v>
      </c>
      <c r="EF360" s="85">
        <f>EF372-EF367</f>
        <v>454.45521276595741</v>
      </c>
      <c r="EG360" s="85">
        <f>EG372-EG367</f>
        <v>474.7788679245283</v>
      </c>
      <c r="EH360" s="85">
        <f>EH372-EH367</f>
        <v>451.77986074270552</v>
      </c>
      <c r="EI360" s="85">
        <f>SUM(EE360:EH360)</f>
        <v>1826.7446769464361</v>
      </c>
      <c r="EJ360" s="85">
        <f>EJ372-EJ367</f>
        <v>438.77103963838658</v>
      </c>
      <c r="EK360" s="85">
        <f>EK372-EK367</f>
        <v>432.05859970674487</v>
      </c>
      <c r="EL360" s="85">
        <f>EL372-EL367</f>
        <v>426.70987519500778</v>
      </c>
      <c r="EM360" s="85">
        <f>EM372-EM367</f>
        <v>427.33041390728476</v>
      </c>
      <c r="EN360" s="85">
        <f>SUM(EJ360:EM360)</f>
        <v>1724.8699284474239</v>
      </c>
      <c r="EO360" s="85">
        <f>EO372-EO367</f>
        <v>429.70416666666665</v>
      </c>
      <c r="EP360" s="85">
        <f>EP372-EP367</f>
        <v>414.68353107344626</v>
      </c>
      <c r="EQ360" s="85">
        <f>EQ372-EQ367</f>
        <v>405.0403869653768</v>
      </c>
      <c r="ER360" s="85">
        <f>ER372-ER367</f>
        <v>401.53748908296944</v>
      </c>
      <c r="ES360" s="121">
        <f>SUM(EO360:ER360)</f>
        <v>1650.9655737884591</v>
      </c>
      <c r="ET360" s="85">
        <f>ET372-ET367</f>
        <v>404.68269230769232</v>
      </c>
      <c r="EU360" s="85">
        <f>EU372-EU367</f>
        <v>401.17249999999996</v>
      </c>
      <c r="EV360" s="85">
        <f>EV372-EV367</f>
        <v>411.28317204301072</v>
      </c>
      <c r="EW360" s="85">
        <f>EW372-EW367</f>
        <v>406.52322254335257</v>
      </c>
      <c r="EX360" s="121">
        <f>SUM(ET360:EW360)</f>
        <v>1623.6615868940555</v>
      </c>
      <c r="EY360" s="85">
        <f t="shared" ref="EY360:FB360" si="1690">EY362*EY107*3/1000</f>
        <v>390.81742598724225</v>
      </c>
      <c r="EZ360" s="85">
        <f t="shared" si="1690"/>
        <v>372.30201006859704</v>
      </c>
      <c r="FA360" s="85">
        <f t="shared" si="1690"/>
        <v>371.01065622491427</v>
      </c>
      <c r="FB360" s="85">
        <f t="shared" si="1690"/>
        <v>357.43794089204181</v>
      </c>
      <c r="FC360" s="121">
        <f>SUM(EY360:FB360)</f>
        <v>1491.5680331727954</v>
      </c>
      <c r="FD360" s="85">
        <f t="shared" ref="FD360:FI360" si="1691">FD362*FD107*12/1000</f>
        <v>1332.8328340875601</v>
      </c>
      <c r="FE360" s="85">
        <f t="shared" si="1691"/>
        <v>1247.3772889881989</v>
      </c>
      <c r="FF360" s="85">
        <f t="shared" si="1691"/>
        <v>1212.010525358827</v>
      </c>
      <c r="FG360" s="85">
        <f t="shared" si="1691"/>
        <v>1177.5948515893579</v>
      </c>
      <c r="FH360" s="85">
        <f t="shared" si="1691"/>
        <v>1144.1055492704386</v>
      </c>
      <c r="FI360" s="85">
        <f t="shared" si="1691"/>
        <v>1111.5185273723559</v>
      </c>
      <c r="FJ360" s="193"/>
      <c r="FK360" s="193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</row>
    <row r="361" spans="1:177" ht="12.75" customHeight="1" x14ac:dyDescent="0.3">
      <c r="A361" s="70" t="s">
        <v>363</v>
      </c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  <c r="AW361" s="193"/>
      <c r="AX361" s="193"/>
      <c r="AY361" s="193"/>
      <c r="AZ361" s="193"/>
      <c r="BA361" s="193"/>
      <c r="BB361" s="193"/>
      <c r="BC361" s="193"/>
      <c r="BD361" s="193"/>
      <c r="BE361" s="193"/>
      <c r="BF361" s="193"/>
      <c r="BG361" s="193"/>
      <c r="BH361" s="193"/>
      <c r="BI361" s="193"/>
      <c r="BJ361" s="193"/>
      <c r="BK361" s="193"/>
      <c r="BL361" s="192"/>
      <c r="BM361" s="192"/>
      <c r="BN361" s="192"/>
      <c r="BO361" s="192"/>
      <c r="BP361" s="192"/>
      <c r="BQ361" s="192"/>
      <c r="BR361" s="193"/>
      <c r="BS361" s="193"/>
      <c r="BT361" s="193"/>
      <c r="BU361" s="193"/>
      <c r="BV361" s="192"/>
      <c r="BW361" s="193"/>
      <c r="BX361" s="193"/>
      <c r="BY361" s="193"/>
      <c r="BZ361" s="193"/>
      <c r="CA361" s="192"/>
      <c r="CB361" s="193"/>
      <c r="CC361" s="193"/>
      <c r="CD361" s="193"/>
      <c r="CE361" s="193"/>
      <c r="CF361" s="192"/>
      <c r="CG361" s="193"/>
      <c r="CH361" s="193"/>
      <c r="CI361" s="193"/>
      <c r="CJ361" s="193"/>
      <c r="CK361" s="192"/>
      <c r="CL361" s="193"/>
      <c r="CM361" s="193"/>
      <c r="CN361" s="193"/>
      <c r="CO361" s="193"/>
      <c r="CP361" s="192"/>
      <c r="CQ361" s="193"/>
      <c r="CR361" s="193"/>
      <c r="CS361" s="193"/>
      <c r="CT361" s="193"/>
      <c r="CU361" s="193"/>
      <c r="CV361" s="193"/>
      <c r="CW361" s="193"/>
      <c r="CX361" s="193"/>
      <c r="CY361" s="193"/>
      <c r="CZ361" s="193"/>
      <c r="DA361" s="193"/>
      <c r="DB361" s="193"/>
      <c r="DC361" s="193"/>
      <c r="DD361" s="193"/>
      <c r="DE361" s="193"/>
      <c r="DF361" s="193"/>
      <c r="DG361" s="193"/>
      <c r="DH361" s="193"/>
      <c r="DI361" s="193"/>
      <c r="DJ361" s="193"/>
      <c r="DK361" s="193"/>
      <c r="DL361" s="193"/>
      <c r="DM361" s="193"/>
      <c r="DN361" s="193"/>
      <c r="DO361" s="193"/>
      <c r="DP361" s="193"/>
      <c r="DQ361" s="193"/>
      <c r="DR361" s="193"/>
      <c r="DS361" s="193"/>
      <c r="DT361" s="193"/>
      <c r="DU361" s="196"/>
      <c r="DV361" s="196"/>
      <c r="DW361" s="196"/>
      <c r="DX361" s="665"/>
      <c r="DY361" s="1191"/>
      <c r="DZ361" s="197"/>
      <c r="EB361" s="665"/>
      <c r="EC361" s="665"/>
      <c r="ED361" s="1204"/>
      <c r="EE361" s="75">
        <f t="shared" ref="EE361:EW361" si="1692">+EE360/DZ360-1</f>
        <v>-9.5585135231080032E-2</v>
      </c>
      <c r="EF361" s="75">
        <f t="shared" si="1692"/>
        <v>-5.4937921568688264E-2</v>
      </c>
      <c r="EG361" s="75">
        <f t="shared" si="1692"/>
        <v>3.2254100487641546E-2</v>
      </c>
      <c r="EH361" s="75">
        <f t="shared" si="1692"/>
        <v>1.1795830724745437E-2</v>
      </c>
      <c r="EI361" s="84">
        <f t="shared" si="1692"/>
        <v>-2.8414567288402637E-2</v>
      </c>
      <c r="EJ361" s="75">
        <f t="shared" si="1692"/>
        <v>-1.5614126019029451E-2</v>
      </c>
      <c r="EK361" s="75">
        <f t="shared" si="1692"/>
        <v>-4.9282332846178001E-2</v>
      </c>
      <c r="EL361" s="75">
        <f t="shared" si="1692"/>
        <v>-0.1012450131566548</v>
      </c>
      <c r="EM361" s="75">
        <f t="shared" si="1692"/>
        <v>-5.4118053857529103E-2</v>
      </c>
      <c r="EN361" s="84">
        <f t="shared" si="1692"/>
        <v>-5.5768466050386878E-2</v>
      </c>
      <c r="EO361" s="75">
        <f t="shared" si="1692"/>
        <v>-2.0664246617535187E-2</v>
      </c>
      <c r="EP361" s="75">
        <f t="shared" si="1692"/>
        <v>-4.0214611270535383E-2</v>
      </c>
      <c r="EQ361" s="75">
        <f t="shared" si="1692"/>
        <v>-5.0782720272709803E-2</v>
      </c>
      <c r="ER361" s="75">
        <f t="shared" si="1692"/>
        <v>-6.0358270754656496E-2</v>
      </c>
      <c r="ES361" s="127">
        <f t="shared" ref="ES361" si="1693">+ES360/EN360-1</f>
        <v>-4.2846334926533891E-2</v>
      </c>
      <c r="ET361" s="75">
        <f t="shared" si="1692"/>
        <v>-5.8229536271599991E-2</v>
      </c>
      <c r="EU361" s="75">
        <f t="shared" si="1692"/>
        <v>-3.25815472788894E-2</v>
      </c>
      <c r="EV361" s="75">
        <f t="shared" si="1692"/>
        <v>1.5412747169253338E-2</v>
      </c>
      <c r="EW361" s="75">
        <f t="shared" si="1692"/>
        <v>1.2416607654168299E-2</v>
      </c>
      <c r="EX361" s="127">
        <f t="shared" ref="EX361" si="1694">+EX360/ES360-1</f>
        <v>-1.6538192756950898E-2</v>
      </c>
      <c r="EY361" s="75">
        <f t="shared" ref="EY361" si="1695">+EY360/ET360-1</f>
        <v>-3.4262068983933469E-2</v>
      </c>
      <c r="EZ361" s="75">
        <f t="shared" ref="EZ361" si="1696">+EZ360/EU360-1</f>
        <v>-7.1965276611440032E-2</v>
      </c>
      <c r="FA361" s="75">
        <f t="shared" ref="FA361" si="1697">+FA360/EV360-1</f>
        <v>-9.7919191826027041E-2</v>
      </c>
      <c r="FB361" s="75">
        <f t="shared" ref="FB361:FC361" si="1698">+FB360/EW360-1</f>
        <v>-0.12074410249976852</v>
      </c>
      <c r="FC361" s="127">
        <f t="shared" si="1698"/>
        <v>-8.1355348175690567E-2</v>
      </c>
      <c r="FD361" s="126">
        <f t="shared" ref="FD361:FI361" si="1699">FD360/FC360-1</f>
        <v>-0.10642169552774672</v>
      </c>
      <c r="FE361" s="126">
        <f t="shared" si="1699"/>
        <v>-6.4115726228985759E-2</v>
      </c>
      <c r="FF361" s="126">
        <f t="shared" si="1699"/>
        <v>-2.8352900074090193E-2</v>
      </c>
      <c r="FG361" s="126">
        <f t="shared" si="1699"/>
        <v>-2.8395523841907244E-2</v>
      </c>
      <c r="FH361" s="126">
        <f t="shared" si="1699"/>
        <v>-2.843873024217114E-2</v>
      </c>
      <c r="FI361" s="126">
        <f t="shared" si="1699"/>
        <v>-2.8482531108132814E-2</v>
      </c>
      <c r="FJ361" s="193"/>
      <c r="FK361" s="193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</row>
    <row r="362" spans="1:177" ht="12.75" customHeight="1" x14ac:dyDescent="0.3">
      <c r="A362" s="61" t="s">
        <v>389</v>
      </c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  <c r="AW362" s="193"/>
      <c r="AX362" s="193"/>
      <c r="AY362" s="193"/>
      <c r="AZ362" s="193"/>
      <c r="BA362" s="193"/>
      <c r="BB362" s="193"/>
      <c r="BC362" s="193"/>
      <c r="BD362" s="193"/>
      <c r="BE362" s="193"/>
      <c r="BF362" s="193"/>
      <c r="BG362" s="193"/>
      <c r="BH362" s="193"/>
      <c r="BI362" s="193"/>
      <c r="BJ362" s="193"/>
      <c r="BK362" s="193"/>
      <c r="BL362" s="192"/>
      <c r="BM362" s="192"/>
      <c r="BN362" s="192"/>
      <c r="BO362" s="192"/>
      <c r="BP362" s="192"/>
      <c r="BQ362" s="192"/>
      <c r="BR362" s="193"/>
      <c r="BS362" s="193"/>
      <c r="BT362" s="193"/>
      <c r="BU362" s="193"/>
      <c r="BV362" s="192"/>
      <c r="BW362" s="193"/>
      <c r="BX362" s="193"/>
      <c r="BY362" s="193"/>
      <c r="BZ362" s="193"/>
      <c r="CA362" s="192"/>
      <c r="CB362" s="193"/>
      <c r="CC362" s="193"/>
      <c r="CD362" s="193"/>
      <c r="CE362" s="193"/>
      <c r="CF362" s="192"/>
      <c r="CG362" s="193"/>
      <c r="CH362" s="193"/>
      <c r="CI362" s="193"/>
      <c r="CJ362" s="193"/>
      <c r="CK362" s="192"/>
      <c r="CL362" s="193"/>
      <c r="CM362" s="193"/>
      <c r="CN362" s="193"/>
      <c r="CO362" s="193"/>
      <c r="CP362" s="192"/>
      <c r="CQ362" s="193"/>
      <c r="CR362" s="193"/>
      <c r="CS362" s="193"/>
      <c r="CT362" s="193"/>
      <c r="CU362" s="193"/>
      <c r="CV362" s="193"/>
      <c r="CW362" s="193"/>
      <c r="CX362" s="193"/>
      <c r="CY362" s="193"/>
      <c r="CZ362" s="193"/>
      <c r="DA362" s="193"/>
      <c r="DB362" s="193"/>
      <c r="DC362" s="193"/>
      <c r="DD362" s="193"/>
      <c r="DE362" s="193"/>
      <c r="DF362" s="193"/>
      <c r="DG362" s="193"/>
      <c r="DH362" s="193"/>
      <c r="DI362" s="193"/>
      <c r="DJ362" s="193"/>
      <c r="DK362" s="193"/>
      <c r="DL362" s="193"/>
      <c r="DM362" s="193"/>
      <c r="DN362" s="193"/>
      <c r="DO362" s="193"/>
      <c r="DP362" s="193"/>
      <c r="DQ362" s="193"/>
      <c r="DR362" s="193"/>
      <c r="DS362" s="193"/>
      <c r="DT362" s="193"/>
      <c r="DU362" s="196"/>
      <c r="DV362" s="196"/>
      <c r="DW362" s="196"/>
      <c r="DX362" s="665"/>
      <c r="DY362" s="1191"/>
      <c r="DZ362" s="111">
        <f>DZ360/DZ107*1000/3</f>
        <v>13.72141153303299</v>
      </c>
      <c r="EA362" s="111">
        <f>EA360/EA107*1000/3</f>
        <v>13.39778774594695</v>
      </c>
      <c r="EB362" s="111">
        <f>EB360/EB107*1000/3</f>
        <v>12.82377133414869</v>
      </c>
      <c r="EC362" s="111">
        <f>EC360/EC107*1000/3</f>
        <v>12.48533038351925</v>
      </c>
      <c r="ED362" s="112">
        <f>ED360/ED107*1000/12</f>
        <v>13.107793986135453</v>
      </c>
      <c r="EE362" s="111">
        <f>EE360/EE107*1000/3</f>
        <v>12.549785610080951</v>
      </c>
      <c r="EF362" s="111">
        <f>EF360/EF107*1000/3</f>
        <v>12.883026825018993</v>
      </c>
      <c r="EG362" s="111">
        <f>EG360/EG107*1000/3</f>
        <v>13.59910828283647</v>
      </c>
      <c r="EH362" s="111">
        <f>EH360/EH107*1000/3</f>
        <v>13.153400900885247</v>
      </c>
      <c r="EI362" s="112">
        <f>EI360/EI107*1000/12</f>
        <v>13.043331597881044</v>
      </c>
      <c r="EJ362" s="111">
        <f>EJ360/EJ107*1000/3</f>
        <v>13.003513066263217</v>
      </c>
      <c r="EK362" s="111">
        <f>EK360/EK107*1000/3</f>
        <v>13.090899716909661</v>
      </c>
      <c r="EL362" s="111">
        <f>EL360/EL107*1000/3</f>
        <v>13.311181045809986</v>
      </c>
      <c r="EM362" s="111">
        <f>EM360/EM107*1000/3</f>
        <v>13.736773354783573</v>
      </c>
      <c r="EN362" s="112">
        <f>EN360/EN107*1000/12</f>
        <v>13.277217874002586</v>
      </c>
      <c r="EO362" s="111">
        <f>EO360/EO107*1000/3</f>
        <v>14.238751649905284</v>
      </c>
      <c r="EP362" s="111">
        <f>EP360/EP107*1000/3</f>
        <v>14.203436466414791</v>
      </c>
      <c r="EQ362" s="111">
        <f>EQ360/EQ107*1000/3</f>
        <v>14.350920739986423</v>
      </c>
      <c r="ER362" s="111">
        <f>ER360/ER107*1000/3</f>
        <v>14.748039192807354</v>
      </c>
      <c r="ES362" s="1294">
        <f>ES360/ES107*1000/12</f>
        <v>14.378102101358232</v>
      </c>
      <c r="ET362" s="111">
        <f>ET360/ET107*1000/3</f>
        <v>15.420008089761176</v>
      </c>
      <c r="EU362" s="111">
        <f>EU360/EU107*1000/3</f>
        <v>15.932821001628339</v>
      </c>
      <c r="EV362" s="111">
        <f>EV360/EV107*1000/3</f>
        <v>17.118610311669297</v>
      </c>
      <c r="EW362" s="111">
        <f>EW360/EW107*1000/3</f>
        <v>17.490511887419707</v>
      </c>
      <c r="EX362" s="1294">
        <f>EX360/EX107*1000/12</f>
        <v>16.451972184840113</v>
      </c>
      <c r="EY362" s="111">
        <f t="shared" ref="EY362" si="1700">ET362*(1+EY363)</f>
        <v>17.283836757396696</v>
      </c>
      <c r="EZ362" s="111">
        <f t="shared" ref="EZ362" si="1701">EU362*(1+EZ363)</f>
        <v>17.184599304083175</v>
      </c>
      <c r="FA362" s="111">
        <f t="shared" ref="FA362" si="1702">EV362*(1+FA363)</f>
        <v>17.992821992086039</v>
      </c>
      <c r="FB362" s="111">
        <f t="shared" ref="FB362" si="1703">EW362*(1+FB363)</f>
        <v>18.071094433639459</v>
      </c>
      <c r="FC362" s="1294">
        <f>FC360/FC107*1000/12</f>
        <v>17.614991186754473</v>
      </c>
      <c r="FD362" s="1294">
        <f t="shared" ref="FD362:FI362" si="1704">FC362*(1+FD363)</f>
        <v>18.237608622481329</v>
      </c>
      <c r="FE362" s="1294">
        <f t="shared" si="1704"/>
        <v>18.237608622481329</v>
      </c>
      <c r="FF362" s="1294">
        <f t="shared" si="1704"/>
        <v>17.690480363806888</v>
      </c>
      <c r="FG362" s="1294">
        <f t="shared" si="1704"/>
        <v>17.15976595289268</v>
      </c>
      <c r="FH362" s="1294">
        <f t="shared" si="1704"/>
        <v>16.644972974305901</v>
      </c>
      <c r="FI362" s="1294">
        <f t="shared" si="1704"/>
        <v>16.145623785076722</v>
      </c>
      <c r="FJ362" s="193"/>
      <c r="FK362" s="193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</row>
    <row r="363" spans="1:177" ht="12.75" customHeight="1" x14ac:dyDescent="0.3">
      <c r="A363" s="70" t="s">
        <v>387</v>
      </c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  <c r="AW363" s="193"/>
      <c r="AX363" s="193"/>
      <c r="AY363" s="193"/>
      <c r="AZ363" s="193"/>
      <c r="BA363" s="193"/>
      <c r="BB363" s="193"/>
      <c r="BC363" s="193"/>
      <c r="BD363" s="193"/>
      <c r="BE363" s="193"/>
      <c r="BF363" s="193"/>
      <c r="BG363" s="193"/>
      <c r="BH363" s="193"/>
      <c r="BI363" s="193"/>
      <c r="BJ363" s="193"/>
      <c r="BK363" s="193"/>
      <c r="BL363" s="192"/>
      <c r="BM363" s="192"/>
      <c r="BN363" s="192"/>
      <c r="BO363" s="192"/>
      <c r="BP363" s="192"/>
      <c r="BQ363" s="192"/>
      <c r="BR363" s="193"/>
      <c r="BS363" s="193"/>
      <c r="BT363" s="193"/>
      <c r="BU363" s="193"/>
      <c r="BV363" s="192"/>
      <c r="BW363" s="193"/>
      <c r="BX363" s="193"/>
      <c r="BY363" s="193"/>
      <c r="BZ363" s="193"/>
      <c r="CA363" s="192"/>
      <c r="CB363" s="193"/>
      <c r="CC363" s="193"/>
      <c r="CD363" s="193"/>
      <c r="CE363" s="193"/>
      <c r="CF363" s="192"/>
      <c r="CG363" s="193"/>
      <c r="CH363" s="193"/>
      <c r="CI363" s="193"/>
      <c r="CJ363" s="193"/>
      <c r="CK363" s="192"/>
      <c r="CL363" s="193"/>
      <c r="CM363" s="193"/>
      <c r="CN363" s="193"/>
      <c r="CO363" s="193"/>
      <c r="CP363" s="192"/>
      <c r="CQ363" s="193"/>
      <c r="CR363" s="193"/>
      <c r="CS363" s="193"/>
      <c r="CT363" s="193"/>
      <c r="CU363" s="193"/>
      <c r="CV363" s="193"/>
      <c r="CW363" s="193"/>
      <c r="CX363" s="193"/>
      <c r="CY363" s="193"/>
      <c r="CZ363" s="193"/>
      <c r="DA363" s="193"/>
      <c r="DB363" s="193"/>
      <c r="DC363" s="193"/>
      <c r="DD363" s="193"/>
      <c r="DE363" s="193"/>
      <c r="DF363" s="193"/>
      <c r="DG363" s="193"/>
      <c r="DH363" s="193"/>
      <c r="DI363" s="193"/>
      <c r="DJ363" s="193"/>
      <c r="DK363" s="193"/>
      <c r="DL363" s="193"/>
      <c r="DM363" s="193"/>
      <c r="DN363" s="193"/>
      <c r="DO363" s="193"/>
      <c r="DP363" s="193"/>
      <c r="DQ363" s="193"/>
      <c r="DR363" s="193"/>
      <c r="DS363" s="193"/>
      <c r="DT363" s="193"/>
      <c r="DU363" s="196"/>
      <c r="DV363" s="196"/>
      <c r="DW363" s="196"/>
      <c r="DX363" s="665"/>
      <c r="DY363" s="1191"/>
      <c r="DZ363" s="197"/>
      <c r="EB363" s="665"/>
      <c r="EC363" s="665"/>
      <c r="ED363" s="1204"/>
      <c r="EE363" s="75">
        <f t="shared" ref="EE363:EW363" si="1705">+EE362/DZ362-1</f>
        <v>-8.5386690730138159E-2</v>
      </c>
      <c r="EF363" s="75">
        <f t="shared" si="1705"/>
        <v>-3.8421337215442941E-2</v>
      </c>
      <c r="EG363" s="75">
        <f t="shared" si="1705"/>
        <v>6.0460915005800198E-2</v>
      </c>
      <c r="EH363" s="75">
        <f t="shared" si="1705"/>
        <v>5.3508437249514484E-2</v>
      </c>
      <c r="EI363" s="84">
        <f t="shared" si="1705"/>
        <v>-4.9178670585297013E-3</v>
      </c>
      <c r="EJ363" s="75">
        <f t="shared" si="1705"/>
        <v>3.6154199783126062E-2</v>
      </c>
      <c r="EK363" s="75">
        <f t="shared" si="1705"/>
        <v>1.6135407828770099E-2</v>
      </c>
      <c r="EL363" s="75">
        <f t="shared" si="1705"/>
        <v>-2.1172508596749573E-2</v>
      </c>
      <c r="EM363" s="75">
        <f t="shared" si="1705"/>
        <v>4.4351453916307237E-2</v>
      </c>
      <c r="EN363" s="84">
        <f t="shared" si="1705"/>
        <v>1.7931482793823728E-2</v>
      </c>
      <c r="EO363" s="75">
        <f t="shared" si="1705"/>
        <v>9.4992682158086428E-2</v>
      </c>
      <c r="EP363" s="75">
        <f t="shared" si="1705"/>
        <v>8.4985506998274118E-2</v>
      </c>
      <c r="EQ363" s="75">
        <f t="shared" si="1705"/>
        <v>7.811025111883052E-2</v>
      </c>
      <c r="ER363" s="75">
        <f t="shared" si="1705"/>
        <v>7.3617421784980319E-2</v>
      </c>
      <c r="ES363" s="127">
        <f t="shared" ref="ES363" si="1706">+ES362/EN362-1</f>
        <v>8.2915279225117544E-2</v>
      </c>
      <c r="ET363" s="75">
        <f t="shared" si="1705"/>
        <v>8.2960674425679004E-2</v>
      </c>
      <c r="EU363" s="75">
        <f t="shared" si="1705"/>
        <v>0.12175817727652194</v>
      </c>
      <c r="EV363" s="75">
        <f t="shared" si="1705"/>
        <v>0.19285797906828184</v>
      </c>
      <c r="EW363" s="75">
        <f t="shared" si="1705"/>
        <v>0.18595507231563779</v>
      </c>
      <c r="EX363" s="127">
        <f t="shared" ref="EX363" si="1707">+EX362/ES362-1</f>
        <v>0.1442380968546586</v>
      </c>
      <c r="EY363" s="87">
        <f>EW363*0.65</f>
        <v>0.12087079700516457</v>
      </c>
      <c r="EZ363" s="87">
        <f>EY363*0.65</f>
        <v>7.8566018053356973E-2</v>
      </c>
      <c r="FA363" s="87">
        <f t="shared" ref="FA363:FB363" si="1708">EZ363*0.65</f>
        <v>5.1067911734682031E-2</v>
      </c>
      <c r="FB363" s="87">
        <f t="shared" si="1708"/>
        <v>3.3194142627543319E-2</v>
      </c>
      <c r="FC363" s="127">
        <f t="shared" ref="FC363" si="1709">+FC362/EX362-1</f>
        <v>7.0691768065717975E-2</v>
      </c>
      <c r="FD363" s="940">
        <f>FC363*0.5</f>
        <v>3.5345884032858987E-2</v>
      </c>
      <c r="FE363" s="940">
        <v>0</v>
      </c>
      <c r="FF363" s="940">
        <v>-0.03</v>
      </c>
      <c r="FG363" s="940">
        <v>-0.03</v>
      </c>
      <c r="FH363" s="940">
        <v>-0.03</v>
      </c>
      <c r="FI363" s="940">
        <v>-0.03</v>
      </c>
      <c r="FJ363" s="193"/>
      <c r="FK363" s="193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</row>
    <row r="364" spans="1:177" ht="12.75" customHeight="1" x14ac:dyDescent="0.3">
      <c r="A364" s="61" t="s">
        <v>444</v>
      </c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  <c r="AW364" s="193"/>
      <c r="AX364" s="193"/>
      <c r="AY364" s="193"/>
      <c r="AZ364" s="193"/>
      <c r="BA364" s="193"/>
      <c r="BB364" s="193"/>
      <c r="BC364" s="193"/>
      <c r="BD364" s="193"/>
      <c r="BE364" s="193"/>
      <c r="BF364" s="193"/>
      <c r="BG364" s="193"/>
      <c r="BH364" s="193"/>
      <c r="BI364" s="193"/>
      <c r="BJ364" s="193"/>
      <c r="BK364" s="193"/>
      <c r="BL364" s="192"/>
      <c r="BM364" s="192"/>
      <c r="BN364" s="192"/>
      <c r="BO364" s="192"/>
      <c r="BP364" s="192"/>
      <c r="BQ364" s="192"/>
      <c r="BR364" s="193"/>
      <c r="BS364" s="193"/>
      <c r="BT364" s="193"/>
      <c r="BU364" s="193"/>
      <c r="BV364" s="192"/>
      <c r="BW364" s="193"/>
      <c r="BX364" s="193"/>
      <c r="BY364" s="193"/>
      <c r="BZ364" s="193"/>
      <c r="CA364" s="192"/>
      <c r="CB364" s="193"/>
      <c r="CC364" s="193"/>
      <c r="CD364" s="193"/>
      <c r="CE364" s="193"/>
      <c r="CF364" s="192"/>
      <c r="CG364" s="193"/>
      <c r="CH364" s="193"/>
      <c r="CI364" s="193"/>
      <c r="CJ364" s="193"/>
      <c r="CK364" s="192"/>
      <c r="CL364" s="193"/>
      <c r="CM364" s="193"/>
      <c r="CN364" s="193"/>
      <c r="CO364" s="193"/>
      <c r="CP364" s="192"/>
      <c r="CQ364" s="193"/>
      <c r="CR364" s="193"/>
      <c r="CS364" s="193"/>
      <c r="CT364" s="193"/>
      <c r="CU364" s="193"/>
      <c r="CV364" s="193"/>
      <c r="CW364" s="193"/>
      <c r="CX364" s="193"/>
      <c r="CY364" s="193"/>
      <c r="CZ364" s="193"/>
      <c r="DA364" s="193"/>
      <c r="DB364" s="193"/>
      <c r="DC364" s="193"/>
      <c r="DD364" s="193"/>
      <c r="DE364" s="193"/>
      <c r="DF364" s="193"/>
      <c r="DG364" s="193"/>
      <c r="DH364" s="193"/>
      <c r="DI364" s="193"/>
      <c r="DJ364" s="193"/>
      <c r="DK364" s="193"/>
      <c r="DL364" s="193"/>
      <c r="DM364" s="193"/>
      <c r="DN364" s="193"/>
      <c r="DO364" s="193"/>
      <c r="DP364" s="193"/>
      <c r="DQ364" s="193"/>
      <c r="DR364" s="193"/>
      <c r="DS364" s="193"/>
      <c r="DT364" s="193"/>
      <c r="DU364" s="196"/>
      <c r="DV364" s="196"/>
      <c r="DW364" s="196"/>
      <c r="DX364" s="665"/>
      <c r="DY364" s="1191"/>
      <c r="DZ364" s="111">
        <f>DZ360/DZ320/3*1000</f>
        <v>11.825541480612433</v>
      </c>
      <c r="EA364" s="111">
        <f>EA360/EA320/3*1000</f>
        <v>11.54515935281932</v>
      </c>
      <c r="EB364" s="111">
        <f>EB360/EB320/3*1000</f>
        <v>11.048311245912132</v>
      </c>
      <c r="EC364" s="111">
        <f>EC360/EC320/3*1000</f>
        <v>10.732335381240627</v>
      </c>
      <c r="ED364" s="112">
        <f>ED360/ED320/12*1000</f>
        <v>11.28810281875764</v>
      </c>
      <c r="EE364" s="111">
        <f>EE360/EE320/3*1000</f>
        <v>10.722503930469585</v>
      </c>
      <c r="EF364" s="111">
        <f>EF360/EF320/3*1000</f>
        <v>10.903305209053574</v>
      </c>
      <c r="EG364" s="111">
        <f>EG360/EG320/3*1000</f>
        <v>11.367184244317432</v>
      </c>
      <c r="EH364" s="111">
        <f>EH360/EH320/3*1000</f>
        <v>10.84536292637897</v>
      </c>
      <c r="EI364" s="112">
        <f>EI360/EI320/12*1000</f>
        <v>10.959975958758069</v>
      </c>
      <c r="EJ364" s="111">
        <f>EJ360/EJ320/3*1000</f>
        <v>10.571140415076833</v>
      </c>
      <c r="EK364" s="111">
        <f>EK360/EK320/3*1000</f>
        <v>10.450586549276659</v>
      </c>
      <c r="EL364" s="111">
        <f>EL360/EL320/3*1000</f>
        <v>10.366345387727032</v>
      </c>
      <c r="EM364" s="111">
        <f>EM360/EM320/3*1000</f>
        <v>10.397713150292219</v>
      </c>
      <c r="EN364" s="112">
        <f>EN360/EN320/12*1000</f>
        <v>10.446729342366192</v>
      </c>
      <c r="EO364" s="111">
        <f>EO360/EO320/3*1000</f>
        <v>10.480333812996431</v>
      </c>
      <c r="EP364" s="111">
        <f>EP360/EP320/3*1000</f>
        <v>10.171665159950606</v>
      </c>
      <c r="EQ364" s="111">
        <f>EQ360/EQ320/3*1000</f>
        <v>9.988788689512246</v>
      </c>
      <c r="ER364" s="111">
        <f>ER360/ER320/3*1000</f>
        <v>9.9624733676459361</v>
      </c>
      <c r="ES364" s="1294">
        <f>ES360/ES320/12*1000</f>
        <v>10.152041357908175</v>
      </c>
      <c r="ET364" s="111">
        <f>ET360/ET320/3*1000</f>
        <v>10.105193705088828</v>
      </c>
      <c r="EU364" s="111">
        <f>EU360/EU320/3*1000</f>
        <v>10.085539382054957</v>
      </c>
      <c r="EV364" s="111">
        <f>EV360/EV320/3*1000</f>
        <v>10.418298554677678</v>
      </c>
      <c r="EW364" s="111">
        <f>EW360/EW320/3*1000</f>
        <v>10.338972330353961</v>
      </c>
      <c r="EX364" s="1294">
        <f>EX360/EX320/12*1000</f>
        <v>10.236139634499043</v>
      </c>
      <c r="EY364" s="111">
        <f t="shared" ref="EY364:FB364" si="1710">EY360/EY320/3*1000</f>
        <v>9.9678588012124969</v>
      </c>
      <c r="EZ364" s="111">
        <f t="shared" si="1710"/>
        <v>9.5543396963613834</v>
      </c>
      <c r="FA364" s="111">
        <f t="shared" si="1710"/>
        <v>9.5871341274161068</v>
      </c>
      <c r="FB364" s="111">
        <f t="shared" si="1710"/>
        <v>9.3100541779117272</v>
      </c>
      <c r="FC364" s="1294">
        <f>FC360/FC320/12*1000</f>
        <v>9.6065306797153234</v>
      </c>
      <c r="FD364" s="1294">
        <f t="shared" ref="FD364:FI364" si="1711">FD360/FD320/12*1000</f>
        <v>8.8538703808749251</v>
      </c>
      <c r="FE364" s="1294">
        <f t="shared" si="1711"/>
        <v>8.5354802486077279</v>
      </c>
      <c r="FF364" s="1294">
        <f t="shared" si="1711"/>
        <v>8.4891338326027377</v>
      </c>
      <c r="FG364" s="1294">
        <f t="shared" si="1711"/>
        <v>8.3799604529928793</v>
      </c>
      <c r="FH364" s="1294">
        <f t="shared" si="1711"/>
        <v>8.2217784046004407</v>
      </c>
      <c r="FI364" s="1294">
        <f t="shared" si="1711"/>
        <v>8.0216333144452516</v>
      </c>
      <c r="FJ364" s="193"/>
      <c r="FK364" s="193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</row>
    <row r="365" spans="1:177" ht="12.75" customHeight="1" x14ac:dyDescent="0.3">
      <c r="A365" s="70" t="s">
        <v>387</v>
      </c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  <c r="AE365" s="193"/>
      <c r="AF365" s="193"/>
      <c r="AG365" s="193"/>
      <c r="AH365" s="193"/>
      <c r="AI365" s="193"/>
      <c r="AJ365" s="193"/>
      <c r="AK365" s="193"/>
      <c r="AL365" s="193"/>
      <c r="AM365" s="193"/>
      <c r="AN365" s="193"/>
      <c r="AO365" s="193"/>
      <c r="AP365" s="193"/>
      <c r="AQ365" s="193"/>
      <c r="AR365" s="193"/>
      <c r="AS365" s="193"/>
      <c r="AT365" s="193"/>
      <c r="AU365" s="193"/>
      <c r="AV365" s="193"/>
      <c r="AW365" s="193"/>
      <c r="AX365" s="193"/>
      <c r="AY365" s="193"/>
      <c r="AZ365" s="193"/>
      <c r="BA365" s="193"/>
      <c r="BB365" s="193"/>
      <c r="BC365" s="193"/>
      <c r="BD365" s="193"/>
      <c r="BE365" s="193"/>
      <c r="BF365" s="193"/>
      <c r="BG365" s="193"/>
      <c r="BH365" s="193"/>
      <c r="BI365" s="193"/>
      <c r="BJ365" s="193"/>
      <c r="BK365" s="193"/>
      <c r="BL365" s="192"/>
      <c r="BM365" s="192"/>
      <c r="BN365" s="192"/>
      <c r="BO365" s="192"/>
      <c r="BP365" s="192"/>
      <c r="BQ365" s="192"/>
      <c r="BR365" s="193"/>
      <c r="BS365" s="193"/>
      <c r="BT365" s="193"/>
      <c r="BU365" s="193"/>
      <c r="BV365" s="192"/>
      <c r="BW365" s="193"/>
      <c r="BX365" s="193"/>
      <c r="BY365" s="193"/>
      <c r="BZ365" s="193"/>
      <c r="CA365" s="192"/>
      <c r="CB365" s="193"/>
      <c r="CC365" s="193"/>
      <c r="CD365" s="193"/>
      <c r="CE365" s="193"/>
      <c r="CF365" s="192"/>
      <c r="CG365" s="193"/>
      <c r="CH365" s="193"/>
      <c r="CI365" s="193"/>
      <c r="CJ365" s="193"/>
      <c r="CK365" s="192"/>
      <c r="CL365" s="193"/>
      <c r="CM365" s="193"/>
      <c r="CN365" s="193"/>
      <c r="CO365" s="193"/>
      <c r="CP365" s="192"/>
      <c r="CQ365" s="193"/>
      <c r="CR365" s="193"/>
      <c r="CS365" s="193"/>
      <c r="CT365" s="193"/>
      <c r="CU365" s="193"/>
      <c r="CV365" s="193"/>
      <c r="CW365" s="193"/>
      <c r="CX365" s="193"/>
      <c r="CY365" s="193"/>
      <c r="CZ365" s="193"/>
      <c r="DA365" s="193"/>
      <c r="DB365" s="193"/>
      <c r="DC365" s="193"/>
      <c r="DD365" s="193"/>
      <c r="DE365" s="193"/>
      <c r="DF365" s="193"/>
      <c r="DG365" s="193"/>
      <c r="DH365" s="193"/>
      <c r="DI365" s="193"/>
      <c r="DJ365" s="193"/>
      <c r="DK365" s="193"/>
      <c r="DL365" s="193"/>
      <c r="DM365" s="193"/>
      <c r="DN365" s="193"/>
      <c r="DO365" s="193"/>
      <c r="DP365" s="193"/>
      <c r="DQ365" s="193"/>
      <c r="DR365" s="193"/>
      <c r="DS365" s="193"/>
      <c r="DT365" s="193"/>
      <c r="DU365" s="196"/>
      <c r="DV365" s="196"/>
      <c r="DW365" s="196"/>
      <c r="DX365" s="665"/>
      <c r="DY365" s="1191"/>
      <c r="DZ365" s="197"/>
      <c r="EB365" s="665"/>
      <c r="EC365" s="665"/>
      <c r="ED365" s="1204"/>
      <c r="EE365" s="75">
        <f t="shared" ref="EE365:EW365" si="1712">+EE364/DZ364-1</f>
        <v>-9.3275859879333178E-2</v>
      </c>
      <c r="EF365" s="75">
        <f t="shared" si="1712"/>
        <v>-5.5595087443206737E-2</v>
      </c>
      <c r="EG365" s="75">
        <f t="shared" si="1712"/>
        <v>2.886169581104836E-2</v>
      </c>
      <c r="EH365" s="75">
        <f t="shared" si="1712"/>
        <v>1.0531495813661085E-2</v>
      </c>
      <c r="EI365" s="84">
        <f t="shared" si="1712"/>
        <v>-2.9068379803762645E-2</v>
      </c>
      <c r="EJ365" s="75">
        <f t="shared" si="1712"/>
        <v>-1.4116433658991734E-2</v>
      </c>
      <c r="EK365" s="75">
        <f t="shared" si="1712"/>
        <v>-4.1521231507029577E-2</v>
      </c>
      <c r="EL365" s="75">
        <f t="shared" si="1712"/>
        <v>-8.8046330127069861E-2</v>
      </c>
      <c r="EM365" s="75">
        <f t="shared" si="1712"/>
        <v>-4.1275684283274661E-2</v>
      </c>
      <c r="EN365" s="84">
        <f>+EN364/EI364-1</f>
        <v>-4.6829173560526294E-2</v>
      </c>
      <c r="EO365" s="75">
        <f t="shared" si="1712"/>
        <v>-8.5900478581186768E-3</v>
      </c>
      <c r="EP365" s="75">
        <f t="shared" si="1712"/>
        <v>-2.6689543980223607E-2</v>
      </c>
      <c r="EQ365" s="75">
        <f t="shared" si="1712"/>
        <v>-3.6421389032800677E-2</v>
      </c>
      <c r="ER365" s="75">
        <f t="shared" si="1712"/>
        <v>-4.1859183491136265E-2</v>
      </c>
      <c r="ES365" s="127">
        <f>+ES364/EN364-1</f>
        <v>-2.8208635908937074E-2</v>
      </c>
      <c r="ET365" s="75">
        <f t="shared" si="1712"/>
        <v>-3.5794671677575773E-2</v>
      </c>
      <c r="EU365" s="75">
        <f t="shared" si="1712"/>
        <v>-8.4672250355581902E-3</v>
      </c>
      <c r="EV365" s="75">
        <f t="shared" si="1712"/>
        <v>4.2999194248287242E-2</v>
      </c>
      <c r="EW365" s="75">
        <f t="shared" si="1712"/>
        <v>3.7791715853488839E-2</v>
      </c>
      <c r="EX365" s="127">
        <f>+EX364/ES364-1</f>
        <v>8.2838784463143966E-3</v>
      </c>
      <c r="EY365" s="75">
        <f t="shared" ref="EY365" si="1713">+EY364/ET364-1</f>
        <v>-1.359052660288651E-2</v>
      </c>
      <c r="EZ365" s="75">
        <f t="shared" ref="EZ365" si="1714">+EZ364/EU364-1</f>
        <v>-5.2669437456040247E-2</v>
      </c>
      <c r="FA365" s="75">
        <f t="shared" ref="FA365" si="1715">+FA364/EV364-1</f>
        <v>-7.9779286694408369E-2</v>
      </c>
      <c r="FB365" s="75">
        <f t="shared" ref="FB365" si="1716">+FB364/EW364-1</f>
        <v>-9.9518416295733325E-2</v>
      </c>
      <c r="FC365" s="127">
        <f>+FC364/EX364-1</f>
        <v>-6.1508437483769551E-2</v>
      </c>
      <c r="FD365" s="1345">
        <f t="shared" ref="FD365:FI365" si="1717">FD364/FC364-1</f>
        <v>-7.8348815398016525E-2</v>
      </c>
      <c r="FE365" s="1345">
        <f t="shared" si="1717"/>
        <v>-3.5960559458261931E-2</v>
      </c>
      <c r="FF365" s="1345">
        <f t="shared" si="1717"/>
        <v>-5.429854519615307E-3</v>
      </c>
      <c r="FG365" s="1345">
        <f t="shared" si="1717"/>
        <v>-1.2860367354626367E-2</v>
      </c>
      <c r="FH365" s="1345">
        <f t="shared" si="1717"/>
        <v>-1.8876228507253234E-2</v>
      </c>
      <c r="FI365" s="1345">
        <f t="shared" si="1717"/>
        <v>-2.4343284421676881E-2</v>
      </c>
      <c r="FJ365" s="193"/>
      <c r="FK365" s="193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</row>
    <row r="366" spans="1:177" ht="12.75" customHeight="1" x14ac:dyDescent="0.3">
      <c r="A366" s="192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  <c r="AW366" s="193"/>
      <c r="AX366" s="193"/>
      <c r="AY366" s="193"/>
      <c r="AZ366" s="193"/>
      <c r="BA366" s="193"/>
      <c r="BB366" s="193"/>
      <c r="BC366" s="193"/>
      <c r="BD366" s="193"/>
      <c r="BE366" s="193"/>
      <c r="BF366" s="193"/>
      <c r="BG366" s="193"/>
      <c r="BH366" s="193"/>
      <c r="BI366" s="193"/>
      <c r="BJ366" s="193"/>
      <c r="BK366" s="193"/>
      <c r="BL366" s="192"/>
      <c r="BM366" s="192"/>
      <c r="BN366" s="192"/>
      <c r="BO366" s="192"/>
      <c r="BP366" s="192"/>
      <c r="BQ366" s="192"/>
      <c r="BR366" s="193"/>
      <c r="BS366" s="193"/>
      <c r="BT366" s="193"/>
      <c r="BU366" s="193"/>
      <c r="BV366" s="192"/>
      <c r="BW366" s="193"/>
      <c r="BX366" s="193"/>
      <c r="BY366" s="193"/>
      <c r="BZ366" s="193"/>
      <c r="CA366" s="192"/>
      <c r="CB366" s="193"/>
      <c r="CC366" s="193"/>
      <c r="CD366" s="193"/>
      <c r="CE366" s="193"/>
      <c r="CF366" s="192"/>
      <c r="CG366" s="193"/>
      <c r="CH366" s="193"/>
      <c r="CI366" s="193"/>
      <c r="CJ366" s="193"/>
      <c r="CK366" s="192"/>
      <c r="CL366" s="193"/>
      <c r="CM366" s="193"/>
      <c r="CN366" s="193"/>
      <c r="CO366" s="193"/>
      <c r="CP366" s="192"/>
      <c r="CQ366" s="193"/>
      <c r="CR366" s="193"/>
      <c r="CS366" s="193"/>
      <c r="CT366" s="193"/>
      <c r="CU366" s="193"/>
      <c r="CV366" s="193"/>
      <c r="CW366" s="193"/>
      <c r="CX366" s="193"/>
      <c r="CY366" s="193"/>
      <c r="CZ366" s="193"/>
      <c r="DA366" s="193"/>
      <c r="DB366" s="193"/>
      <c r="DC366" s="193"/>
      <c r="DD366" s="193"/>
      <c r="DE366" s="193"/>
      <c r="DF366" s="193"/>
      <c r="DG366" s="193"/>
      <c r="DH366" s="193"/>
      <c r="DI366" s="193"/>
      <c r="DJ366" s="193"/>
      <c r="DK366" s="193"/>
      <c r="DL366" s="193"/>
      <c r="DM366" s="193"/>
      <c r="DN366" s="193"/>
      <c r="DO366" s="193"/>
      <c r="DP366" s="193"/>
      <c r="DQ366" s="193"/>
      <c r="DR366" s="193"/>
      <c r="DS366" s="193"/>
      <c r="DT366" s="193"/>
      <c r="DU366" s="196"/>
      <c r="DV366" s="196"/>
      <c r="DW366" s="196"/>
      <c r="DX366" s="665"/>
      <c r="DY366" s="1191"/>
      <c r="DZ366" s="197"/>
      <c r="EB366" s="665"/>
      <c r="EC366" s="665"/>
      <c r="ED366" s="1204"/>
      <c r="EE366" s="197"/>
      <c r="EF366" s="197"/>
      <c r="EG366" s="197"/>
      <c r="EH366" s="197"/>
      <c r="EI366" s="1191"/>
      <c r="EJ366" s="197"/>
      <c r="EK366" s="197"/>
      <c r="EL366" s="197"/>
      <c r="EM366" s="197"/>
      <c r="EN366" s="1192"/>
      <c r="EO366" s="197"/>
      <c r="EP366" s="197"/>
      <c r="EQ366" s="197"/>
      <c r="ER366" s="197"/>
      <c r="ES366" s="198"/>
      <c r="ET366" s="197"/>
      <c r="EU366" s="197"/>
      <c r="EV366" s="197"/>
      <c r="EW366" s="197"/>
      <c r="EX366" s="198"/>
      <c r="EY366" s="197"/>
      <c r="EZ366" s="197"/>
      <c r="FA366" s="197"/>
      <c r="FB366" s="197"/>
      <c r="FC366" s="198"/>
      <c r="FD366" s="198"/>
      <c r="FE366" s="198"/>
      <c r="FF366" s="198"/>
      <c r="FG366" s="198"/>
      <c r="FH366" s="198"/>
      <c r="FI366" s="198"/>
      <c r="FJ366" s="193"/>
      <c r="FK366" s="193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</row>
    <row r="367" spans="1:177" ht="12.75" customHeight="1" x14ac:dyDescent="0.3">
      <c r="A367" s="60" t="s">
        <v>392</v>
      </c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  <c r="AW367" s="193"/>
      <c r="AX367" s="193"/>
      <c r="AY367" s="193"/>
      <c r="AZ367" s="193"/>
      <c r="BA367" s="193"/>
      <c r="BB367" s="193"/>
      <c r="BC367" s="193"/>
      <c r="BD367" s="193"/>
      <c r="BE367" s="193"/>
      <c r="BF367" s="193"/>
      <c r="BG367" s="193"/>
      <c r="BH367" s="193"/>
      <c r="BI367" s="193"/>
      <c r="BJ367" s="193"/>
      <c r="BK367" s="193"/>
      <c r="BL367" s="192"/>
      <c r="BM367" s="192"/>
      <c r="BN367" s="192"/>
      <c r="BO367" s="192"/>
      <c r="BP367" s="192"/>
      <c r="BQ367" s="192"/>
      <c r="BR367" s="193"/>
      <c r="BS367" s="193"/>
      <c r="BT367" s="193"/>
      <c r="BU367" s="193"/>
      <c r="BV367" s="192"/>
      <c r="BW367" s="193"/>
      <c r="BX367" s="193"/>
      <c r="BY367" s="193"/>
      <c r="BZ367" s="193"/>
      <c r="CA367" s="192"/>
      <c r="CB367" s="193"/>
      <c r="CC367" s="193"/>
      <c r="CD367" s="193"/>
      <c r="CE367" s="193"/>
      <c r="CF367" s="192"/>
      <c r="CG367" s="193"/>
      <c r="CH367" s="193"/>
      <c r="CI367" s="193"/>
      <c r="CJ367" s="193"/>
      <c r="CK367" s="192"/>
      <c r="CL367" s="193"/>
      <c r="CM367" s="193"/>
      <c r="CN367" s="193"/>
      <c r="CO367" s="193"/>
      <c r="CP367" s="192"/>
      <c r="CQ367" s="193"/>
      <c r="CR367" s="193"/>
      <c r="CS367" s="193"/>
      <c r="CT367" s="193"/>
      <c r="CU367" s="193"/>
      <c r="CV367" s="193"/>
      <c r="CW367" s="193"/>
      <c r="CX367" s="193"/>
      <c r="CY367" s="193"/>
      <c r="CZ367" s="193"/>
      <c r="DA367" s="193"/>
      <c r="DB367" s="193"/>
      <c r="DC367" s="193"/>
      <c r="DD367" s="193"/>
      <c r="DE367" s="193"/>
      <c r="DF367" s="193"/>
      <c r="DG367" s="193"/>
      <c r="DH367" s="193"/>
      <c r="DI367" s="193"/>
      <c r="DJ367" s="193"/>
      <c r="DK367" s="193"/>
      <c r="DL367" s="193"/>
      <c r="DM367" s="193"/>
      <c r="DN367" s="193"/>
      <c r="DO367" s="193"/>
      <c r="DP367" s="193"/>
      <c r="DQ367" s="193"/>
      <c r="DR367" s="193"/>
      <c r="DS367" s="193"/>
      <c r="DT367" s="193"/>
      <c r="DU367" s="196"/>
      <c r="DV367" s="196"/>
      <c r="DW367" s="196"/>
      <c r="DX367" s="665"/>
      <c r="DY367" s="1191"/>
      <c r="DZ367" s="85">
        <f>DZ369*DZ319*3/1000</f>
        <v>106.40362550471191</v>
      </c>
      <c r="EA367" s="85">
        <f>EA369*EA319*3/1000</f>
        <v>104.71730820996095</v>
      </c>
      <c r="EB367" s="85">
        <f>EB369*EB319*3/1000</f>
        <v>102.60409816406251</v>
      </c>
      <c r="EC367" s="85">
        <f>EC369*EC319*3/1000</f>
        <v>100.26651093750002</v>
      </c>
      <c r="ED367" s="85">
        <f>SUM(DZ367:EC367)</f>
        <v>413.99154281623538</v>
      </c>
      <c r="EE367" s="85">
        <f>EE369*EE319*3/1000</f>
        <v>97.974562500000005</v>
      </c>
      <c r="EF367" s="85">
        <f>EF369*EF319*3/1000</f>
        <v>95.715000000000003</v>
      </c>
      <c r="EG367" s="85">
        <f>EG369*EG319*3/1000</f>
        <v>93.24</v>
      </c>
      <c r="EH367" s="85">
        <f>EH369*EH319*3/1000</f>
        <v>90.652500000000003</v>
      </c>
      <c r="EI367" s="85">
        <f>SUM(EE367:EH367)</f>
        <v>377.58206250000001</v>
      </c>
      <c r="EJ367" s="85">
        <f>EJ369*EJ319*3/1000</f>
        <v>88.177500000000009</v>
      </c>
      <c r="EK367" s="85">
        <f>EK369*EK319*3/1000</f>
        <v>85.56750000000001</v>
      </c>
      <c r="EL367" s="85">
        <f>EL369*EL319*3/1000</f>
        <v>82.170000000000016</v>
      </c>
      <c r="EM367" s="85">
        <f>EM369*EM319*3/1000</f>
        <v>78.232500000000016</v>
      </c>
      <c r="EN367" s="85">
        <f>SUM(EJ367:EM367)</f>
        <v>334.14750000000004</v>
      </c>
      <c r="EO367" s="85">
        <f>EO369*EO319*3/1000</f>
        <v>74.362500000000011</v>
      </c>
      <c r="EP367" s="85">
        <f>EP369*EP319*3/1000</f>
        <v>70.695000000000022</v>
      </c>
      <c r="EQ367" s="85">
        <f>EQ369*EQ319*3/1000</f>
        <v>66.870000000000019</v>
      </c>
      <c r="ER367" s="85">
        <f>ER369*ER319*3/1000</f>
        <v>63.135000000000012</v>
      </c>
      <c r="ES367" s="85">
        <f>SUM(EO367:ER367)</f>
        <v>275.06250000000006</v>
      </c>
      <c r="ET367" s="85">
        <f>ET369*ET319*3/1000</f>
        <v>59.625000000000021</v>
      </c>
      <c r="EU367" s="85">
        <f>EU369*EU319*3/1000</f>
        <v>55.980000000000025</v>
      </c>
      <c r="EV367" s="85">
        <f>EV369*EV319*3/1000</f>
        <v>52.155000000000022</v>
      </c>
      <c r="EW367" s="85">
        <f>EW369*EW319*3/1000</f>
        <v>48.352500000000013</v>
      </c>
      <c r="EX367" s="85">
        <f>SUM(ET367:EW367)</f>
        <v>216.1125000000001</v>
      </c>
      <c r="EY367" s="85">
        <f t="shared" ref="EY367:FB367" si="1718">EY369*EY319*3/1000</f>
        <v>44.997087740208855</v>
      </c>
      <c r="EZ367" s="85">
        <f t="shared" si="1718"/>
        <v>41.900352100229824</v>
      </c>
      <c r="FA367" s="85">
        <f t="shared" si="1718"/>
        <v>38.683448293322208</v>
      </c>
      <c r="FB367" s="85">
        <f t="shared" si="1718"/>
        <v>35.509998054690463</v>
      </c>
      <c r="FC367" s="85">
        <f>SUM(EY367:FB367)</f>
        <v>161.09088618845135</v>
      </c>
      <c r="FD367" s="85">
        <f t="shared" ref="FD367:FI367" si="1719">FD369*FD319*12/1000</f>
        <v>116.33714555101854</v>
      </c>
      <c r="FE367" s="85">
        <f t="shared" si="1719"/>
        <v>85.81719671360166</v>
      </c>
      <c r="FF367" s="85">
        <f t="shared" si="1719"/>
        <v>67.93144462529186</v>
      </c>
      <c r="FG367" s="85">
        <f t="shared" si="1719"/>
        <v>55.974589393167747</v>
      </c>
      <c r="FH367" s="85">
        <f t="shared" si="1719"/>
        <v>47.474610182444913</v>
      </c>
      <c r="FI367" s="85">
        <f t="shared" si="1719"/>
        <v>41.405698075705068</v>
      </c>
      <c r="FJ367" s="193"/>
      <c r="FK367" s="193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</row>
    <row r="368" spans="1:177" ht="12.75" customHeight="1" x14ac:dyDescent="0.3">
      <c r="A368" s="70" t="s">
        <v>363</v>
      </c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  <c r="AW368" s="193"/>
      <c r="AX368" s="193"/>
      <c r="AY368" s="193"/>
      <c r="AZ368" s="193"/>
      <c r="BA368" s="193"/>
      <c r="BB368" s="193"/>
      <c r="BC368" s="193"/>
      <c r="BD368" s="193"/>
      <c r="BE368" s="193"/>
      <c r="BF368" s="193"/>
      <c r="BG368" s="193"/>
      <c r="BH368" s="193"/>
      <c r="BI368" s="193"/>
      <c r="BJ368" s="193"/>
      <c r="BK368" s="193"/>
      <c r="BL368" s="192"/>
      <c r="BM368" s="192"/>
      <c r="BN368" s="192"/>
      <c r="BO368" s="192"/>
      <c r="BP368" s="192"/>
      <c r="BQ368" s="192"/>
      <c r="BR368" s="193"/>
      <c r="BS368" s="193"/>
      <c r="BT368" s="193"/>
      <c r="BU368" s="193"/>
      <c r="BV368" s="192"/>
      <c r="BW368" s="193"/>
      <c r="BX368" s="193"/>
      <c r="BY368" s="193"/>
      <c r="BZ368" s="193"/>
      <c r="CA368" s="192"/>
      <c r="CB368" s="193"/>
      <c r="CC368" s="193"/>
      <c r="CD368" s="193"/>
      <c r="CE368" s="193"/>
      <c r="CF368" s="192"/>
      <c r="CG368" s="193"/>
      <c r="CH368" s="193"/>
      <c r="CI368" s="193"/>
      <c r="CJ368" s="193"/>
      <c r="CK368" s="192"/>
      <c r="CL368" s="193"/>
      <c r="CM368" s="193"/>
      <c r="CN368" s="193"/>
      <c r="CO368" s="193"/>
      <c r="CP368" s="192"/>
      <c r="CQ368" s="193"/>
      <c r="CR368" s="193"/>
      <c r="CS368" s="193"/>
      <c r="CT368" s="193"/>
      <c r="CU368" s="193"/>
      <c r="CV368" s="193"/>
      <c r="CW368" s="193"/>
      <c r="CX368" s="193"/>
      <c r="CY368" s="193"/>
      <c r="CZ368" s="193"/>
      <c r="DA368" s="193"/>
      <c r="DB368" s="193"/>
      <c r="DC368" s="193"/>
      <c r="DD368" s="193"/>
      <c r="DE368" s="193"/>
      <c r="DF368" s="193"/>
      <c r="DG368" s="193"/>
      <c r="DH368" s="193"/>
      <c r="DI368" s="193"/>
      <c r="DJ368" s="193"/>
      <c r="DK368" s="193"/>
      <c r="DL368" s="193"/>
      <c r="DM368" s="193"/>
      <c r="DN368" s="193"/>
      <c r="DO368" s="193"/>
      <c r="DP368" s="193"/>
      <c r="DQ368" s="193"/>
      <c r="DR368" s="193"/>
      <c r="DS368" s="193"/>
      <c r="DT368" s="193"/>
      <c r="DU368" s="196"/>
      <c r="DV368" s="196"/>
      <c r="DW368" s="196"/>
      <c r="DX368" s="665"/>
      <c r="DY368" s="1191"/>
      <c r="DZ368" s="197"/>
      <c r="EB368" s="665"/>
      <c r="EC368" s="665"/>
      <c r="ED368" s="1204"/>
      <c r="EE368" s="75">
        <f t="shared" ref="EE368:EW368" si="1720">+EE367/DZ367-1</f>
        <v>-7.9217817670495072E-2</v>
      </c>
      <c r="EF368" s="75">
        <f t="shared" si="1720"/>
        <v>-8.596771979576745E-2</v>
      </c>
      <c r="EG368" s="75">
        <f t="shared" si="1720"/>
        <v>-9.1264367911401023E-2</v>
      </c>
      <c r="EH368" s="75">
        <f t="shared" si="1720"/>
        <v>-9.5884566517855596E-2</v>
      </c>
      <c r="EI368" s="84">
        <f t="shared" si="1720"/>
        <v>-8.7947401216350474E-2</v>
      </c>
      <c r="EJ368" s="75">
        <f t="shared" si="1720"/>
        <v>-9.9995981099685882E-2</v>
      </c>
      <c r="EK368" s="75">
        <f t="shared" si="1720"/>
        <v>-0.10601786553831682</v>
      </c>
      <c r="EL368" s="75">
        <f t="shared" si="1720"/>
        <v>-0.11872586872586854</v>
      </c>
      <c r="EM368" s="75">
        <f t="shared" si="1720"/>
        <v>-0.13700670141474292</v>
      </c>
      <c r="EN368" s="84">
        <f t="shared" si="1720"/>
        <v>-0.11503343726769322</v>
      </c>
      <c r="EO368" s="75">
        <f t="shared" si="1720"/>
        <v>-0.15667262056647102</v>
      </c>
      <c r="EP368" s="75">
        <f t="shared" si="1720"/>
        <v>-0.1738101498816722</v>
      </c>
      <c r="EQ368" s="75">
        <f t="shared" si="1720"/>
        <v>-0.18619934282584882</v>
      </c>
      <c r="ER368" s="75">
        <f t="shared" si="1720"/>
        <v>-0.19298245614035092</v>
      </c>
      <c r="ES368" s="84">
        <f t="shared" ref="ES368" si="1721">+ES367/EN367-1</f>
        <v>-0.17682310955491209</v>
      </c>
      <c r="ET368" s="75">
        <f t="shared" si="1720"/>
        <v>-0.19818456883509816</v>
      </c>
      <c r="EU368" s="75">
        <f t="shared" si="1720"/>
        <v>-0.20814767663908329</v>
      </c>
      <c r="EV368" s="75">
        <f t="shared" si="1720"/>
        <v>-0.2200538358008074</v>
      </c>
      <c r="EW368" s="75">
        <f t="shared" si="1720"/>
        <v>-0.23414112615823235</v>
      </c>
      <c r="EX368" s="84">
        <f t="shared" ref="EX368" si="1722">+EX367/ES367-1</f>
        <v>-0.21431492842535771</v>
      </c>
      <c r="EY368" s="75">
        <f t="shared" ref="EY368" si="1723">+EY367/ET367-1</f>
        <v>-0.24533186179943245</v>
      </c>
      <c r="EZ368" s="75">
        <f t="shared" ref="EZ368" si="1724">+EZ367/EU367-1</f>
        <v>-0.25151210967792414</v>
      </c>
      <c r="FA368" s="75">
        <f t="shared" ref="FA368" si="1725">+FA367/EV367-1</f>
        <v>-0.25829837420530743</v>
      </c>
      <c r="FB368" s="75">
        <f t="shared" ref="FB368:FC368" si="1726">+FB367/EW367-1</f>
        <v>-0.26560161202232657</v>
      </c>
      <c r="FC368" s="84">
        <f t="shared" si="1726"/>
        <v>-0.25459709092046379</v>
      </c>
      <c r="FD368" s="75">
        <f t="shared" ref="FD368:FI368" si="1727">FD367/FC367-1</f>
        <v>-0.27781671388335327</v>
      </c>
      <c r="FE368" s="75">
        <f t="shared" si="1727"/>
        <v>-0.2623405335661485</v>
      </c>
      <c r="FF368" s="75">
        <f t="shared" si="1727"/>
        <v>-0.20841687649155038</v>
      </c>
      <c r="FG368" s="75">
        <f t="shared" si="1727"/>
        <v>-0.17601355746337832</v>
      </c>
      <c r="FH368" s="75">
        <f t="shared" si="1727"/>
        <v>-0.15185424855944263</v>
      </c>
      <c r="FI368" s="75">
        <f t="shared" si="1727"/>
        <v>-0.12783490129601949</v>
      </c>
      <c r="FJ368" s="193"/>
      <c r="FK368" s="193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</row>
    <row r="369" spans="1:177" ht="12.75" customHeight="1" x14ac:dyDescent="0.3">
      <c r="A369" s="61" t="s">
        <v>391</v>
      </c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  <c r="AW369" s="193"/>
      <c r="AX369" s="193"/>
      <c r="AY369" s="193"/>
      <c r="AZ369" s="193"/>
      <c r="BA369" s="193"/>
      <c r="BB369" s="193"/>
      <c r="BC369" s="193"/>
      <c r="BD369" s="193"/>
      <c r="BE369" s="193"/>
      <c r="BF369" s="193"/>
      <c r="BG369" s="193"/>
      <c r="BH369" s="193"/>
      <c r="BI369" s="193"/>
      <c r="BJ369" s="193"/>
      <c r="BK369" s="193"/>
      <c r="BL369" s="192"/>
      <c r="BM369" s="192"/>
      <c r="BN369" s="192"/>
      <c r="BO369" s="192"/>
      <c r="BP369" s="192"/>
      <c r="BQ369" s="192"/>
      <c r="BR369" s="193"/>
      <c r="BS369" s="193"/>
      <c r="BT369" s="193"/>
      <c r="BU369" s="193"/>
      <c r="BV369" s="192"/>
      <c r="BW369" s="193"/>
      <c r="BX369" s="193"/>
      <c r="BY369" s="193"/>
      <c r="BZ369" s="193"/>
      <c r="CA369" s="192"/>
      <c r="CB369" s="193"/>
      <c r="CC369" s="193"/>
      <c r="CD369" s="193"/>
      <c r="CE369" s="193"/>
      <c r="CF369" s="192"/>
      <c r="CG369" s="193"/>
      <c r="CH369" s="193"/>
      <c r="CI369" s="193"/>
      <c r="CJ369" s="193"/>
      <c r="CK369" s="192"/>
      <c r="CL369" s="193"/>
      <c r="CM369" s="193"/>
      <c r="CN369" s="193"/>
      <c r="CO369" s="193"/>
      <c r="CP369" s="192"/>
      <c r="CQ369" s="193"/>
      <c r="CR369" s="193"/>
      <c r="CS369" s="193"/>
      <c r="CT369" s="193"/>
      <c r="CU369" s="193"/>
      <c r="CV369" s="193"/>
      <c r="CW369" s="193"/>
      <c r="CX369" s="193"/>
      <c r="CY369" s="193"/>
      <c r="CZ369" s="193"/>
      <c r="DA369" s="193"/>
      <c r="DB369" s="193"/>
      <c r="DC369" s="193"/>
      <c r="DD369" s="193"/>
      <c r="DE369" s="193"/>
      <c r="DF369" s="193"/>
      <c r="DG369" s="193"/>
      <c r="DH369" s="193"/>
      <c r="DI369" s="193"/>
      <c r="DJ369" s="193"/>
      <c r="DK369" s="193"/>
      <c r="DL369" s="193"/>
      <c r="DM369" s="193"/>
      <c r="DN369" s="193"/>
      <c r="DO369" s="193"/>
      <c r="DP369" s="193"/>
      <c r="DQ369" s="193"/>
      <c r="DR369" s="193"/>
      <c r="DS369" s="193"/>
      <c r="DT369" s="193"/>
      <c r="DU369" s="196"/>
      <c r="DV369" s="196"/>
      <c r="DW369" s="196"/>
      <c r="DX369" s="665"/>
      <c r="DY369" s="1191"/>
      <c r="DZ369" s="111">
        <v>15</v>
      </c>
      <c r="EA369" s="111">
        <f>DZ369</f>
        <v>15</v>
      </c>
      <c r="EB369" s="111">
        <f>EA369</f>
        <v>15</v>
      </c>
      <c r="EC369" s="111">
        <f>EB369</f>
        <v>15</v>
      </c>
      <c r="ED369" s="112">
        <f>ED367/ED319*1000/12</f>
        <v>15</v>
      </c>
      <c r="EE369" s="111">
        <v>15</v>
      </c>
      <c r="EF369" s="111">
        <f>EE369</f>
        <v>15</v>
      </c>
      <c r="EG369" s="111">
        <f>EF369</f>
        <v>15</v>
      </c>
      <c r="EH369" s="111">
        <f>EG369</f>
        <v>15</v>
      </c>
      <c r="EI369" s="112">
        <f>EI367/EI319*1000/12</f>
        <v>15.000000000000002</v>
      </c>
      <c r="EJ369" s="111">
        <f>EI369</f>
        <v>15.000000000000002</v>
      </c>
      <c r="EK369" s="111">
        <f>EJ369</f>
        <v>15.000000000000002</v>
      </c>
      <c r="EL369" s="111">
        <f>EK369</f>
        <v>15.000000000000002</v>
      </c>
      <c r="EM369" s="111">
        <f>EL369</f>
        <v>15.000000000000002</v>
      </c>
      <c r="EN369" s="112">
        <f>EN367/EN319*1000/12</f>
        <v>15.000000000000002</v>
      </c>
      <c r="EO369" s="111">
        <f>EN369</f>
        <v>15.000000000000002</v>
      </c>
      <c r="EP369" s="111">
        <f>EO369</f>
        <v>15.000000000000002</v>
      </c>
      <c r="EQ369" s="111">
        <f>EP369</f>
        <v>15.000000000000002</v>
      </c>
      <c r="ER369" s="111">
        <f>EQ369</f>
        <v>15.000000000000002</v>
      </c>
      <c r="ES369" s="112">
        <f>ES367/ES319*1000/12</f>
        <v>15.000000000000005</v>
      </c>
      <c r="ET369" s="111">
        <f>ES369</f>
        <v>15.000000000000005</v>
      </c>
      <c r="EU369" s="111">
        <f>ET369</f>
        <v>15.000000000000005</v>
      </c>
      <c r="EV369" s="111">
        <f>EU369</f>
        <v>15.000000000000005</v>
      </c>
      <c r="EW369" s="111">
        <f>EV369</f>
        <v>15.000000000000005</v>
      </c>
      <c r="EX369" s="112">
        <f>EX367/EX319*1000/12</f>
        <v>15.000000000000007</v>
      </c>
      <c r="EY369" s="196">
        <f t="shared" ref="EY369" si="1728">ET369*(1+EY370)</f>
        <v>15.000000000000005</v>
      </c>
      <c r="EZ369" s="196">
        <f t="shared" ref="EZ369" si="1729">EU369*(1+EZ370)</f>
        <v>15.000000000000005</v>
      </c>
      <c r="FA369" s="196">
        <f t="shared" ref="FA369" si="1730">EV369*(1+FA370)</f>
        <v>15.000000000000005</v>
      </c>
      <c r="FB369" s="196">
        <f t="shared" ref="FB369" si="1731">EW369*(1+FB370)</f>
        <v>15.000000000000005</v>
      </c>
      <c r="FC369" s="112">
        <f>FC367/FC319*1000/12</f>
        <v>15.000000000000007</v>
      </c>
      <c r="FD369" s="112">
        <f t="shared" ref="FD369:FI369" si="1732">FC369*(1+FD370)</f>
        <v>15.000000000000007</v>
      </c>
      <c r="FE369" s="112">
        <f t="shared" si="1732"/>
        <v>15.000000000000007</v>
      </c>
      <c r="FF369" s="112">
        <f t="shared" si="1732"/>
        <v>15.000000000000007</v>
      </c>
      <c r="FG369" s="112">
        <f t="shared" si="1732"/>
        <v>15.000000000000007</v>
      </c>
      <c r="FH369" s="112">
        <f t="shared" si="1732"/>
        <v>15.000000000000007</v>
      </c>
      <c r="FI369" s="112">
        <f t="shared" si="1732"/>
        <v>15.000000000000007</v>
      </c>
      <c r="FJ369" s="193"/>
      <c r="FK369" s="193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</row>
    <row r="370" spans="1:177" ht="12.75" customHeight="1" x14ac:dyDescent="0.3">
      <c r="A370" s="70" t="s">
        <v>387</v>
      </c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  <c r="AW370" s="193"/>
      <c r="AX370" s="193"/>
      <c r="AY370" s="193"/>
      <c r="AZ370" s="193"/>
      <c r="BA370" s="193"/>
      <c r="BB370" s="193"/>
      <c r="BC370" s="193"/>
      <c r="BD370" s="193"/>
      <c r="BE370" s="193"/>
      <c r="BF370" s="193"/>
      <c r="BG370" s="193"/>
      <c r="BH370" s="193"/>
      <c r="BI370" s="193"/>
      <c r="BJ370" s="193"/>
      <c r="BK370" s="193"/>
      <c r="BL370" s="192"/>
      <c r="BM370" s="192"/>
      <c r="BN370" s="192"/>
      <c r="BO370" s="192"/>
      <c r="BP370" s="192"/>
      <c r="BQ370" s="192"/>
      <c r="BR370" s="193"/>
      <c r="BS370" s="193"/>
      <c r="BT370" s="193"/>
      <c r="BU370" s="193"/>
      <c r="BV370" s="192"/>
      <c r="BW370" s="193"/>
      <c r="BX370" s="193"/>
      <c r="BY370" s="193"/>
      <c r="BZ370" s="193"/>
      <c r="CA370" s="192"/>
      <c r="CB370" s="193"/>
      <c r="CC370" s="193"/>
      <c r="CD370" s="193"/>
      <c r="CE370" s="193"/>
      <c r="CF370" s="192"/>
      <c r="CG370" s="193"/>
      <c r="CH370" s="193"/>
      <c r="CI370" s="193"/>
      <c r="CJ370" s="193"/>
      <c r="CK370" s="192"/>
      <c r="CL370" s="193"/>
      <c r="CM370" s="193"/>
      <c r="CN370" s="193"/>
      <c r="CO370" s="193"/>
      <c r="CP370" s="192"/>
      <c r="CQ370" s="193"/>
      <c r="CR370" s="193"/>
      <c r="CS370" s="193"/>
      <c r="CT370" s="193"/>
      <c r="CU370" s="193"/>
      <c r="CV370" s="193"/>
      <c r="CW370" s="193"/>
      <c r="CX370" s="193"/>
      <c r="CY370" s="193"/>
      <c r="CZ370" s="193"/>
      <c r="DA370" s="193"/>
      <c r="DB370" s="193"/>
      <c r="DC370" s="193"/>
      <c r="DD370" s="193"/>
      <c r="DE370" s="193"/>
      <c r="DF370" s="193"/>
      <c r="DG370" s="193"/>
      <c r="DH370" s="193"/>
      <c r="DI370" s="193"/>
      <c r="DJ370" s="193"/>
      <c r="DK370" s="193"/>
      <c r="DL370" s="193"/>
      <c r="DM370" s="193"/>
      <c r="DN370" s="193"/>
      <c r="DO370" s="193"/>
      <c r="DP370" s="193"/>
      <c r="DQ370" s="193"/>
      <c r="DR370" s="193"/>
      <c r="DS370" s="193"/>
      <c r="DT370" s="193"/>
      <c r="DU370" s="196"/>
      <c r="DV370" s="196"/>
      <c r="DW370" s="196"/>
      <c r="DX370" s="665"/>
      <c r="DY370" s="1191"/>
      <c r="DZ370" s="197"/>
      <c r="EB370" s="665"/>
      <c r="EC370" s="665"/>
      <c r="ED370" s="1204"/>
      <c r="EE370" s="75">
        <f t="shared" ref="EE370:EW370" si="1733">+EE369/DZ369-1</f>
        <v>0</v>
      </c>
      <c r="EF370" s="75">
        <f t="shared" si="1733"/>
        <v>0</v>
      </c>
      <c r="EG370" s="75">
        <f t="shared" si="1733"/>
        <v>0</v>
      </c>
      <c r="EH370" s="75">
        <f t="shared" si="1733"/>
        <v>0</v>
      </c>
      <c r="EI370" s="84">
        <f t="shared" si="1733"/>
        <v>0</v>
      </c>
      <c r="EJ370" s="75">
        <f t="shared" si="1733"/>
        <v>0</v>
      </c>
      <c r="EK370" s="75">
        <f t="shared" si="1733"/>
        <v>0</v>
      </c>
      <c r="EL370" s="75">
        <f t="shared" si="1733"/>
        <v>0</v>
      </c>
      <c r="EM370" s="75">
        <f t="shared" si="1733"/>
        <v>0</v>
      </c>
      <c r="EN370" s="84">
        <f>+EN369/EI369-1</f>
        <v>0</v>
      </c>
      <c r="EO370" s="75">
        <f t="shared" si="1733"/>
        <v>0</v>
      </c>
      <c r="EP370" s="75">
        <f t="shared" si="1733"/>
        <v>0</v>
      </c>
      <c r="EQ370" s="75">
        <f t="shared" si="1733"/>
        <v>0</v>
      </c>
      <c r="ER370" s="75">
        <f t="shared" si="1733"/>
        <v>0</v>
      </c>
      <c r="ES370" s="84">
        <f>+ES369/EN369-1</f>
        <v>0</v>
      </c>
      <c r="ET370" s="75">
        <f t="shared" si="1733"/>
        <v>0</v>
      </c>
      <c r="EU370" s="75">
        <f t="shared" si="1733"/>
        <v>0</v>
      </c>
      <c r="EV370" s="75">
        <f t="shared" si="1733"/>
        <v>0</v>
      </c>
      <c r="EW370" s="75">
        <f t="shared" si="1733"/>
        <v>0</v>
      </c>
      <c r="EX370" s="84">
        <f>+EX369/ES369-1</f>
        <v>0</v>
      </c>
      <c r="EY370" s="87">
        <f>EX370</f>
        <v>0</v>
      </c>
      <c r="EZ370" s="87">
        <f>EY370</f>
        <v>0</v>
      </c>
      <c r="FA370" s="87">
        <f t="shared" ref="FA370:FB370" si="1734">EZ370</f>
        <v>0</v>
      </c>
      <c r="FB370" s="87">
        <f t="shared" si="1734"/>
        <v>0</v>
      </c>
      <c r="FC370" s="84">
        <f>+FC369/EX369-1</f>
        <v>0</v>
      </c>
      <c r="FD370" s="87">
        <f t="shared" ref="FD370:FI370" si="1735">FC370</f>
        <v>0</v>
      </c>
      <c r="FE370" s="87">
        <f t="shared" si="1735"/>
        <v>0</v>
      </c>
      <c r="FF370" s="87">
        <f t="shared" si="1735"/>
        <v>0</v>
      </c>
      <c r="FG370" s="87">
        <f t="shared" si="1735"/>
        <v>0</v>
      </c>
      <c r="FH370" s="87">
        <f t="shared" si="1735"/>
        <v>0</v>
      </c>
      <c r="FI370" s="87">
        <f t="shared" si="1735"/>
        <v>0</v>
      </c>
      <c r="FJ370" s="193"/>
      <c r="FK370" s="193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</row>
    <row r="371" spans="1:177" ht="12.75" customHeight="1" x14ac:dyDescent="0.3">
      <c r="A371" s="192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  <c r="AW371" s="193"/>
      <c r="AX371" s="193"/>
      <c r="AY371" s="193"/>
      <c r="AZ371" s="193"/>
      <c r="BA371" s="193"/>
      <c r="BB371" s="193"/>
      <c r="BC371" s="193"/>
      <c r="BD371" s="193"/>
      <c r="BE371" s="193"/>
      <c r="BF371" s="193"/>
      <c r="BG371" s="193"/>
      <c r="BH371" s="193"/>
      <c r="BI371" s="193"/>
      <c r="BJ371" s="193"/>
      <c r="BK371" s="193"/>
      <c r="BL371" s="192"/>
      <c r="BM371" s="192"/>
      <c r="BN371" s="192"/>
      <c r="BO371" s="192"/>
      <c r="BP371" s="192"/>
      <c r="BQ371" s="192"/>
      <c r="BR371" s="193"/>
      <c r="BS371" s="193"/>
      <c r="BT371" s="193"/>
      <c r="BU371" s="193"/>
      <c r="BV371" s="192"/>
      <c r="BW371" s="193"/>
      <c r="BX371" s="193"/>
      <c r="BY371" s="193"/>
      <c r="BZ371" s="193"/>
      <c r="CA371" s="192"/>
      <c r="CB371" s="193"/>
      <c r="CC371" s="193"/>
      <c r="CD371" s="193"/>
      <c r="CE371" s="193"/>
      <c r="CF371" s="192"/>
      <c r="CG371" s="193"/>
      <c r="CH371" s="193"/>
      <c r="CI371" s="193"/>
      <c r="CJ371" s="193"/>
      <c r="CK371" s="192"/>
      <c r="CL371" s="193"/>
      <c r="CM371" s="193"/>
      <c r="CN371" s="193"/>
      <c r="CO371" s="193"/>
      <c r="CP371" s="192"/>
      <c r="CQ371" s="193"/>
      <c r="CR371" s="193"/>
      <c r="CS371" s="193"/>
      <c r="CT371" s="193"/>
      <c r="CU371" s="193"/>
      <c r="CV371" s="193"/>
      <c r="CW371" s="193"/>
      <c r="CX371" s="193"/>
      <c r="CY371" s="193"/>
      <c r="CZ371" s="193"/>
      <c r="DA371" s="193"/>
      <c r="DB371" s="193"/>
      <c r="DC371" s="193"/>
      <c r="DD371" s="193"/>
      <c r="DE371" s="193"/>
      <c r="DF371" s="193"/>
      <c r="DG371" s="193"/>
      <c r="DH371" s="193"/>
      <c r="DI371" s="193"/>
      <c r="DJ371" s="193"/>
      <c r="DK371" s="193"/>
      <c r="DL371" s="193"/>
      <c r="DM371" s="193"/>
      <c r="DN371" s="193"/>
      <c r="DO371" s="193"/>
      <c r="DP371" s="193"/>
      <c r="DQ371" s="193"/>
      <c r="DR371" s="193"/>
      <c r="DS371" s="193"/>
      <c r="DT371" s="193"/>
      <c r="DU371" s="196"/>
      <c r="DV371" s="196"/>
      <c r="DW371" s="196"/>
      <c r="DX371" s="665"/>
      <c r="DY371" s="1191"/>
      <c r="DZ371" s="197"/>
      <c r="EB371" s="665"/>
      <c r="EC371" s="665"/>
      <c r="ED371" s="1204"/>
      <c r="EE371" s="197"/>
      <c r="EF371" s="197"/>
      <c r="EG371" s="197"/>
      <c r="EH371" s="197"/>
      <c r="EI371" s="1191"/>
      <c r="EJ371" s="197"/>
      <c r="EK371" s="197"/>
      <c r="EL371" s="197"/>
      <c r="EM371" s="197"/>
      <c r="EN371" s="1192"/>
      <c r="EO371" s="197"/>
      <c r="EP371" s="197"/>
      <c r="EQ371" s="197"/>
      <c r="ER371" s="197"/>
      <c r="ES371" s="198"/>
      <c r="ET371" s="197"/>
      <c r="EU371" s="197"/>
      <c r="EV371" s="197"/>
      <c r="EW371" s="197"/>
      <c r="EX371" s="198"/>
      <c r="EY371" s="197"/>
      <c r="EZ371" s="197"/>
      <c r="FA371" s="197"/>
      <c r="FB371" s="197"/>
      <c r="FC371" s="198"/>
      <c r="FD371" s="198"/>
      <c r="FE371" s="198"/>
      <c r="FF371" s="198"/>
      <c r="FG371" s="198"/>
      <c r="FH371" s="198"/>
      <c r="FI371" s="198"/>
      <c r="FJ371" s="193"/>
      <c r="FK371" s="193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</row>
    <row r="372" spans="1:177" x14ac:dyDescent="0.3">
      <c r="A372" s="55" t="s">
        <v>445</v>
      </c>
      <c r="DU372" s="76"/>
      <c r="DV372" s="76"/>
      <c r="DW372" s="76"/>
      <c r="DX372" s="76"/>
      <c r="DY372" s="85"/>
      <c r="DZ372" s="85">
        <f>DZ380-DZ355</f>
        <v>599.24242424242425</v>
      </c>
      <c r="EA372" s="85">
        <f>EA380-EA355</f>
        <v>585.59070598748883</v>
      </c>
      <c r="EB372" s="85">
        <f>EB380-EB355</f>
        <v>562.54789272030655</v>
      </c>
      <c r="EC372" s="85">
        <f>EC380-EC355</f>
        <v>546.77938144329892</v>
      </c>
      <c r="ED372" s="85">
        <f>+SUM(DZ372:EC372)</f>
        <v>2294.1604043935185</v>
      </c>
      <c r="EE372" s="85">
        <f>EE380-EE355</f>
        <v>543.70529801324506</v>
      </c>
      <c r="EF372" s="85">
        <f>EF380-EF355</f>
        <v>550.17021276595744</v>
      </c>
      <c r="EG372" s="85">
        <f>EG380-EG355</f>
        <v>568.01886792452831</v>
      </c>
      <c r="EH372" s="85">
        <f>EH380-EH355</f>
        <v>542.43236074270555</v>
      </c>
      <c r="EI372" s="85">
        <f>+SUM(EE372:EH372)</f>
        <v>2204.3267394464365</v>
      </c>
      <c r="EJ372" s="85">
        <f>EJ380-EJ355</f>
        <v>526.94853963838659</v>
      </c>
      <c r="EK372" s="85">
        <f>EK380-EK355</f>
        <v>517.62609970674487</v>
      </c>
      <c r="EL372" s="85">
        <f>EL380-EL355</f>
        <v>508.8798751950078</v>
      </c>
      <c r="EM372" s="85">
        <f>EM380-EM355</f>
        <v>505.56291390728478</v>
      </c>
      <c r="EN372" s="85">
        <f>+SUM(EJ372:EM372)</f>
        <v>2059.0174284474238</v>
      </c>
      <c r="EO372" s="85">
        <f>EO380-EO355</f>
        <v>504.06666666666666</v>
      </c>
      <c r="EP372" s="85">
        <f>EP380-EP355</f>
        <v>485.37853107344631</v>
      </c>
      <c r="EQ372" s="85">
        <f>EQ380-EQ355</f>
        <v>471.9103869653768</v>
      </c>
      <c r="ER372" s="85">
        <f>ER380-ER355</f>
        <v>464.67248908296943</v>
      </c>
      <c r="ES372" s="85">
        <f>+SUM(EO372:ER372)</f>
        <v>1926.0280737884591</v>
      </c>
      <c r="ET372" s="85">
        <f>ET380-ET355</f>
        <v>464.30769230769232</v>
      </c>
      <c r="EU372" s="85">
        <f>EU380-EU355</f>
        <v>457.15249999999997</v>
      </c>
      <c r="EV372" s="85">
        <f>EV380-EV355</f>
        <v>463.43817204301075</v>
      </c>
      <c r="EW372" s="85">
        <f>EW380-EW355</f>
        <v>454.87572254335259</v>
      </c>
      <c r="EX372" s="85">
        <f>+SUM(ET372:EW372)</f>
        <v>1839.7740868940557</v>
      </c>
      <c r="EY372" s="85">
        <f t="shared" ref="EY372:FB372" si="1736">EY360+EY367</f>
        <v>435.81451372745107</v>
      </c>
      <c r="EZ372" s="85">
        <f t="shared" si="1736"/>
        <v>414.20236216882688</v>
      </c>
      <c r="FA372" s="85">
        <f t="shared" si="1736"/>
        <v>409.69410451823649</v>
      </c>
      <c r="FB372" s="85">
        <f t="shared" si="1736"/>
        <v>392.94793894673228</v>
      </c>
      <c r="FC372" s="85">
        <f>+SUM(EY372:FB372)</f>
        <v>1652.6589193612467</v>
      </c>
      <c r="FD372" s="85">
        <f t="shared" ref="FD372:FI372" si="1737">FD360+FD367</f>
        <v>1449.1699796385785</v>
      </c>
      <c r="FE372" s="85">
        <f t="shared" si="1737"/>
        <v>1333.1944857018004</v>
      </c>
      <c r="FF372" s="85">
        <f t="shared" si="1737"/>
        <v>1279.9419699841187</v>
      </c>
      <c r="FG372" s="85">
        <f t="shared" si="1737"/>
        <v>1233.5694409825255</v>
      </c>
      <c r="FH372" s="85">
        <f t="shared" si="1737"/>
        <v>1191.5801594528834</v>
      </c>
      <c r="FI372" s="85">
        <f t="shared" si="1737"/>
        <v>1152.924225448061</v>
      </c>
    </row>
    <row r="373" spans="1:177" x14ac:dyDescent="0.3">
      <c r="A373" s="70" t="s">
        <v>363</v>
      </c>
      <c r="DZ373" s="75"/>
      <c r="EA373" s="75"/>
      <c r="EB373" s="75"/>
      <c r="EC373" s="75"/>
      <c r="ED373" s="84"/>
      <c r="EE373" s="75">
        <f t="shared" ref="EE373:EW373" si="1738">+EE372/DZ372-1</f>
        <v>-9.2678895856531662E-2</v>
      </c>
      <c r="EF373" s="75">
        <f t="shared" si="1738"/>
        <v>-6.04867749084258E-2</v>
      </c>
      <c r="EG373" s="75">
        <f t="shared" si="1738"/>
        <v>9.7253500991103525E-3</v>
      </c>
      <c r="EH373" s="75">
        <f t="shared" si="1738"/>
        <v>-7.9502279129816111E-3</v>
      </c>
      <c r="EI373" s="91">
        <f t="shared" si="1738"/>
        <v>-3.9157534396916049E-2</v>
      </c>
      <c r="EJ373" s="75">
        <f t="shared" si="1738"/>
        <v>-3.0819560589329109E-2</v>
      </c>
      <c r="EK373" s="75">
        <f t="shared" si="1738"/>
        <v>-5.9152808174761873E-2</v>
      </c>
      <c r="EL373" s="75">
        <f t="shared" si="1738"/>
        <v>-0.10411448645290111</v>
      </c>
      <c r="EM373" s="75">
        <f t="shared" si="1738"/>
        <v>-6.7970588600094972E-2</v>
      </c>
      <c r="EN373" s="91">
        <f t="shared" si="1738"/>
        <v>-6.5920041887938874E-2</v>
      </c>
      <c r="EO373" s="75">
        <f t="shared" si="1738"/>
        <v>-4.3423353990927449E-2</v>
      </c>
      <c r="EP373" s="75">
        <f t="shared" si="1738"/>
        <v>-6.2298961840540956E-2</v>
      </c>
      <c r="EQ373" s="75">
        <f t="shared" si="1738"/>
        <v>-7.2648752744375877E-2</v>
      </c>
      <c r="ER373" s="75">
        <f t="shared" si="1738"/>
        <v>-8.0880981771962457E-2</v>
      </c>
      <c r="ES373" s="91">
        <f t="shared" ref="ES373" si="1739">+ES372/EN372-1</f>
        <v>-6.4588746467893476E-2</v>
      </c>
      <c r="ET373" s="75">
        <f t="shared" si="1738"/>
        <v>-7.8876420497899113E-2</v>
      </c>
      <c r="EU373" s="75">
        <f t="shared" si="1738"/>
        <v>-5.8152615466989466E-2</v>
      </c>
      <c r="EV373" s="75">
        <f t="shared" si="1738"/>
        <v>-1.7953016412388556E-2</v>
      </c>
      <c r="EW373" s="75">
        <f t="shared" si="1738"/>
        <v>-2.1083164529388743E-2</v>
      </c>
      <c r="EX373" s="91">
        <f t="shared" ref="EX373" si="1740">+EX372/ES372-1</f>
        <v>-4.4783348731123884E-2</v>
      </c>
      <c r="EY373" s="75">
        <f t="shared" ref="EY373" si="1741">+EY372/ET372-1</f>
        <v>-6.136701814829959E-2</v>
      </c>
      <c r="EZ373" s="75">
        <f t="shared" ref="EZ373" si="1742">+EZ372/EU372-1</f>
        <v>-9.3951444717404131E-2</v>
      </c>
      <c r="FA373" s="75">
        <f t="shared" ref="FA373" si="1743">+FA372/EV372-1</f>
        <v>-0.11596815015873663</v>
      </c>
      <c r="FB373" s="75">
        <f t="shared" ref="FB373:FC373" si="1744">+FB372/EW372-1</f>
        <v>-0.13614220440335367</v>
      </c>
      <c r="FC373" s="91">
        <f t="shared" si="1744"/>
        <v>-0.10170551312020093</v>
      </c>
      <c r="FD373" s="1152">
        <f t="shared" ref="FD373:FI373" si="1745">FD372/FC372-1</f>
        <v>-0.12312821317136435</v>
      </c>
      <c r="FE373" s="1152">
        <f t="shared" si="1745"/>
        <v>-8.0028910042493573E-2</v>
      </c>
      <c r="FF373" s="1152">
        <f t="shared" si="1745"/>
        <v>-3.9943546338364389E-2</v>
      </c>
      <c r="FG373" s="1152">
        <f t="shared" si="1745"/>
        <v>-3.623018081215712E-2</v>
      </c>
      <c r="FH373" s="1152">
        <f t="shared" si="1745"/>
        <v>-3.4038847052013543E-2</v>
      </c>
      <c r="FI373" s="1152">
        <f t="shared" si="1745"/>
        <v>-3.244090101548136E-2</v>
      </c>
    </row>
    <row r="374" spans="1:177" x14ac:dyDescent="0.3">
      <c r="A374" s="61" t="s">
        <v>389</v>
      </c>
      <c r="DU374" s="111"/>
      <c r="DV374" s="111"/>
      <c r="DW374" s="111"/>
      <c r="DX374" s="111"/>
      <c r="DY374" s="112"/>
      <c r="DZ374" s="111">
        <f>DZ372/DZ107*1000/3</f>
        <v>16.683856733971581</v>
      </c>
      <c r="EA374" s="111">
        <f>EA372/EA107*1000/3</f>
        <v>16.315354563342495</v>
      </c>
      <c r="EB374" s="111">
        <f>EB372/EB107*1000/3</f>
        <v>15.684493684087004</v>
      </c>
      <c r="EC374" s="111">
        <f>EC372/EC107*1000/3</f>
        <v>15.288968527341076</v>
      </c>
      <c r="ED374" s="112">
        <f>ED372/ED107*1000/12</f>
        <v>15.993979352850468</v>
      </c>
      <c r="EE374" s="111">
        <f>EE372/EE107*1000/3</f>
        <v>15.308311456858549</v>
      </c>
      <c r="EF374" s="111">
        <f>EF372/EF107*1000/3</f>
        <v>15.596383120464841</v>
      </c>
      <c r="EG374" s="111">
        <f>EG372/EG107*1000/3</f>
        <v>16.269784974565795</v>
      </c>
      <c r="EH374" s="111">
        <f>EH372/EH107*1000/3</f>
        <v>15.792714378044822</v>
      </c>
      <c r="EI374" s="112">
        <f>EI372/EI107*1000/12</f>
        <v>15.739344953634626</v>
      </c>
      <c r="EJ374" s="111">
        <f>EJ372/EJ107*1000/3</f>
        <v>15.616760454571731</v>
      </c>
      <c r="EK374" s="111">
        <f>EK372/EK107*1000/3</f>
        <v>15.683500725862984</v>
      </c>
      <c r="EL374" s="111">
        <f>EL372/EL107*1000/3</f>
        <v>15.874467742735725</v>
      </c>
      <c r="EM374" s="111">
        <f>EM372/EM107*1000/3</f>
        <v>16.251600492061165</v>
      </c>
      <c r="EN374" s="112">
        <f>EN372/EN107*1000/12</f>
        <v>15.849324376866063</v>
      </c>
      <c r="EO374" s="111">
        <f>EO372/EO107*1000/3</f>
        <v>16.70284032230451</v>
      </c>
      <c r="EP374" s="111">
        <f>EP372/EP107*1000/3</f>
        <v>16.624829807968432</v>
      </c>
      <c r="EQ374" s="111">
        <f>EQ372/EQ107*1000/3</f>
        <v>16.720180944068058</v>
      </c>
      <c r="ER374" s="111">
        <f>ER372/ER107*1000/3</f>
        <v>17.06691969525901</v>
      </c>
      <c r="ES374" s="112">
        <f t="shared" ref="ES374:FI374" si="1746">ES372/ES107*1000/12</f>
        <v>16.773595243095659</v>
      </c>
      <c r="ET374" s="111">
        <f>ET372/ET107*1000/3</f>
        <v>17.691955963560904</v>
      </c>
      <c r="EU374" s="111">
        <f>EU372/EU107*1000/3</f>
        <v>18.156102307478452</v>
      </c>
      <c r="EV374" s="111">
        <f>EV372/EV107*1000/3</f>
        <v>19.28942881700738</v>
      </c>
      <c r="EW374" s="111">
        <f>EW372/EW107*1000/3</f>
        <v>19.570860386935681</v>
      </c>
      <c r="EX374" s="112">
        <f t="shared" ref="EX374" si="1747">EX372/EX107*1000/12</f>
        <v>18.641761527333351</v>
      </c>
      <c r="EY374" s="111">
        <f t="shared" ref="EY374:FB374" si="1748">EY372/EY107*1000/3</f>
        <v>19.273825604734874</v>
      </c>
      <c r="EZ374" s="111">
        <f t="shared" si="1748"/>
        <v>19.118622602560084</v>
      </c>
      <c r="FA374" s="111">
        <f t="shared" si="1748"/>
        <v>19.868844654787853</v>
      </c>
      <c r="FB374" s="111">
        <f t="shared" si="1748"/>
        <v>19.866383782563052</v>
      </c>
      <c r="FC374" s="112">
        <f t="shared" ref="FC374" si="1749">FC372/FC107*1000/12</f>
        <v>19.517428405417572</v>
      </c>
      <c r="FD374" s="112">
        <f t="shared" si="1746"/>
        <v>19.829489670541353</v>
      </c>
      <c r="FE374" s="112">
        <f t="shared" si="1746"/>
        <v>19.492321579465401</v>
      </c>
      <c r="FF374" s="112">
        <f t="shared" si="1746"/>
        <v>18.682006313528301</v>
      </c>
      <c r="FG374" s="112">
        <f t="shared" si="1746"/>
        <v>17.975420719045623</v>
      </c>
      <c r="FH374" s="112">
        <f t="shared" si="1746"/>
        <v>17.335655406496183</v>
      </c>
      <c r="FI374" s="112">
        <f t="shared" si="1746"/>
        <v>16.747071990595348</v>
      </c>
    </row>
    <row r="375" spans="1:177" x14ac:dyDescent="0.3">
      <c r="A375" s="70" t="s">
        <v>387</v>
      </c>
      <c r="DZ375" s="75"/>
      <c r="EA375" s="75"/>
      <c r="EB375" s="75"/>
      <c r="EC375" s="75"/>
      <c r="ED375" s="84"/>
      <c r="EE375" s="75">
        <f t="shared" ref="EE375:EW375" si="1750">+EE374/DZ374-1</f>
        <v>-8.2447679756932568E-2</v>
      </c>
      <c r="EF375" s="75">
        <f t="shared" si="1750"/>
        <v>-4.4067166305600702E-2</v>
      </c>
      <c r="EG375" s="75">
        <f t="shared" si="1750"/>
        <v>3.7316556228564002E-2</v>
      </c>
      <c r="EH375" s="75">
        <f t="shared" si="1750"/>
        <v>3.2948321517105805E-2</v>
      </c>
      <c r="EI375" s="84">
        <f t="shared" si="1750"/>
        <v>-1.5920640736006741E-2</v>
      </c>
      <c r="EJ375" s="75">
        <f t="shared" si="1750"/>
        <v>2.0149119553939387E-2</v>
      </c>
      <c r="EK375" s="75">
        <f t="shared" si="1750"/>
        <v>5.5857569492399062E-3</v>
      </c>
      <c r="EL375" s="75">
        <f t="shared" si="1750"/>
        <v>-2.4297631004224107E-2</v>
      </c>
      <c r="EM375" s="75">
        <f t="shared" si="1750"/>
        <v>2.9056823484016725E-2</v>
      </c>
      <c r="EN375" s="84">
        <f t="shared" si="1750"/>
        <v>6.9875476746596998E-3</v>
      </c>
      <c r="EO375" s="75">
        <f t="shared" si="1750"/>
        <v>6.9545785176901687E-2</v>
      </c>
      <c r="EP375" s="75">
        <f t="shared" si="1750"/>
        <v>6.0020342304900165E-2</v>
      </c>
      <c r="EQ375" s="75">
        <f t="shared" si="1750"/>
        <v>5.3275058731927505E-2</v>
      </c>
      <c r="ER375" s="75">
        <f t="shared" si="1750"/>
        <v>5.0168548235979937E-2</v>
      </c>
      <c r="ES375" s="84">
        <f t="shared" ref="ES375" si="1751">+ES374/EN374-1</f>
        <v>5.8316105106579696E-2</v>
      </c>
      <c r="ET375" s="75">
        <f t="shared" si="1750"/>
        <v>5.9218409693802654E-2</v>
      </c>
      <c r="EU375" s="75">
        <f t="shared" si="1750"/>
        <v>9.2107559427529795E-2</v>
      </c>
      <c r="EV375" s="75">
        <f t="shared" si="1750"/>
        <v>0.15366148736870167</v>
      </c>
      <c r="EW375" s="75">
        <f t="shared" si="1750"/>
        <v>0.14671309975005253</v>
      </c>
      <c r="EX375" s="84">
        <f t="shared" ref="EX375" si="1752">+EX374/ES374-1</f>
        <v>0.11137542412123391</v>
      </c>
      <c r="EY375" s="75">
        <f t="shared" ref="EY375" si="1753">+EY374/ET374-1</f>
        <v>8.9411800732042135E-2</v>
      </c>
      <c r="EZ375" s="75">
        <f t="shared" ref="EZ375" si="1754">+EZ374/EU374-1</f>
        <v>5.3013597234752963E-2</v>
      </c>
      <c r="FA375" s="75">
        <f t="shared" ref="FA375" si="1755">+FA374/EV374-1</f>
        <v>3.003799870266799E-2</v>
      </c>
      <c r="FB375" s="75">
        <f t="shared" ref="FB375:FC375" si="1756">+FB374/EW374-1</f>
        <v>1.5100173921052784E-2</v>
      </c>
      <c r="FC375" s="84">
        <f t="shared" si="1756"/>
        <v>4.6973397701729036E-2</v>
      </c>
      <c r="FD375" s="75">
        <f t="shared" ref="FD375:FI375" si="1757">+FD374/FC374-1</f>
        <v>1.5988851535233994E-2</v>
      </c>
      <c r="FE375" s="75">
        <f t="shared" si="1757"/>
        <v>-1.7003367039588935E-2</v>
      </c>
      <c r="FF375" s="75">
        <f t="shared" si="1757"/>
        <v>-4.1570998233003809E-2</v>
      </c>
      <c r="FG375" s="75">
        <f t="shared" si="1757"/>
        <v>-3.7821719071522542E-2</v>
      </c>
      <c r="FH375" s="75">
        <f t="shared" si="1757"/>
        <v>-3.5591117590454191E-2</v>
      </c>
      <c r="FI375" s="75">
        <f t="shared" si="1757"/>
        <v>-3.3952187102212261E-2</v>
      </c>
    </row>
    <row r="376" spans="1:177" x14ac:dyDescent="0.3">
      <c r="A376" s="61" t="s">
        <v>391</v>
      </c>
      <c r="DU376" s="111"/>
      <c r="DV376" s="111"/>
      <c r="DW376" s="111"/>
      <c r="DX376" s="111"/>
      <c r="DY376" s="112"/>
      <c r="DZ376" s="111">
        <f>DZ372/SUM(DZ260,DZ283,DZ305)*1000/3</f>
        <v>85.006709091470313</v>
      </c>
      <c r="EA376" s="111">
        <f>EA372/SUM(EA260,EA283,EA305)*1000/3</f>
        <v>84.709194585793753</v>
      </c>
      <c r="EB376" s="111">
        <f>EB372/SUM(EB260,EB283,EB305)*1000/3</f>
        <v>83.123775665858531</v>
      </c>
      <c r="EC376" s="111">
        <f>EC372/SUM(EC260,EC283,EC305)*1000/3</f>
        <v>82.829359698436875</v>
      </c>
      <c r="ED376" s="112">
        <f>ED372/SUM(ED260,ED283,ED305)*1000/12</f>
        <v>86.883231057391114</v>
      </c>
      <c r="EE376" s="111">
        <f>EE372/SUM(EE260,EE283,EE305)*1000/3</f>
        <v>84.138857631266646</v>
      </c>
      <c r="EF376" s="111">
        <f>EF372/SUM(EF260,EF283,EF305)*1000/3</f>
        <v>87.328605200945631</v>
      </c>
      <c r="EG376" s="111">
        <f>EG372/SUM(EG260,EG283,EG305)*1000/3</f>
        <v>92.631909315806965</v>
      </c>
      <c r="EH376" s="111">
        <f>EH372/SUM(EH260,EH283,EH305)*1000/3</f>
        <v>91.088557639413182</v>
      </c>
      <c r="EI376" s="112">
        <f>EI372/SUM(EI260,EI283,EI305)*1000/12</f>
        <v>92.541005014543927</v>
      </c>
      <c r="EJ376" s="111">
        <f>EJ372/SUM(EJ260,EJ283,EJ305)*1000/3</f>
        <v>90.821878600204514</v>
      </c>
      <c r="EK376" s="111">
        <f>EK372/SUM(EK260,EK283,EK305)*1000/3</f>
        <v>92.317834796993921</v>
      </c>
      <c r="EL376" s="111">
        <f>EL372/SUM(EL260,EL283,EL305)*1000/3</f>
        <v>95.135516020753002</v>
      </c>
      <c r="EM376" s="111">
        <f>EM372/SUM(EM260,EM283,EM305)*1000/3</f>
        <v>99.481092858576289</v>
      </c>
      <c r="EN376" s="112">
        <f t="shared" ref="EN376:FI376" si="1758">EN372/SUM(EN260,EN283,EN305)*1000/12</f>
        <v>101.28972001413932</v>
      </c>
      <c r="EO376" s="111">
        <f>EO372/SUM(EO260,EO283,EO305)*1000/3</f>
        <v>104.29684805848679</v>
      </c>
      <c r="EP376" s="111">
        <f>EP372/SUM(EP260,EP283,EP305)*1000/3</f>
        <v>105.67788614705994</v>
      </c>
      <c r="EQ376" s="111">
        <f>EQ372/SUM(EQ260,EQ283,EQ305)*1000/3</f>
        <v>109.16270806508832</v>
      </c>
      <c r="ER376" s="111">
        <f>ER372/SUM(ER260,ER283,ER305)*1000/3</f>
        <v>113.47313530719644</v>
      </c>
      <c r="ES376" s="112">
        <f t="shared" ref="ES376" si="1759">ES372/SUM(ES260,ES283,ES305)*1000/12</f>
        <v>117.58413148891692</v>
      </c>
      <c r="ET376" s="111">
        <f>ET372/SUM(ET260,ET283,ET305)*1000/3</f>
        <v>120.44298114337023</v>
      </c>
      <c r="EU376" s="111">
        <f>EU372/SUM(EU260,EU283,EU305)*1000/3</f>
        <v>126.6701302299806</v>
      </c>
      <c r="EV376" s="111">
        <f>EV372/SUM(EV260,EV283,EV305)*1000/3</f>
        <v>138.54653872735747</v>
      </c>
      <c r="EW376" s="111">
        <f>EW372/SUM(EW260,EW283,EW305)*1000/3</f>
        <v>146.63949791855339</v>
      </c>
      <c r="EX376" s="112">
        <f t="shared" ref="EX376" si="1760">EX372/SUM(EX260,EX283,EX305)*1000/12</f>
        <v>148.27321783478848</v>
      </c>
      <c r="EY376" s="111">
        <f t="shared" ref="EY376:FB376" si="1761">EY372/SUM(EY260,EY283,EY305)*1000/3</f>
        <v>150.4047329474142</v>
      </c>
      <c r="EZ376" s="111">
        <f t="shared" si="1761"/>
        <v>154.02999786259099</v>
      </c>
      <c r="FA376" s="111">
        <f t="shared" si="1761"/>
        <v>165.955995628012</v>
      </c>
      <c r="FB376" s="111">
        <f t="shared" si="1761"/>
        <v>173.41228453868973</v>
      </c>
      <c r="FC376" s="112">
        <f t="shared" ref="FC376" si="1762">FC372/SUM(FC260,FC283,FC305)*1000/12</f>
        <v>182.33417863054763</v>
      </c>
      <c r="FD376" s="112">
        <f t="shared" si="1758"/>
        <v>224.75701601813921</v>
      </c>
      <c r="FE376" s="112">
        <f t="shared" si="1758"/>
        <v>266.9285491521884</v>
      </c>
      <c r="FF376" s="112">
        <f t="shared" si="1758"/>
        <v>315.0276195620516</v>
      </c>
      <c r="FG376" s="112">
        <f t="shared" si="1758"/>
        <v>362.77965179374968</v>
      </c>
      <c r="FH376" s="112">
        <f t="shared" si="1758"/>
        <v>406.73525517603758</v>
      </c>
      <c r="FI376" s="112">
        <f t="shared" si="1758"/>
        <v>444.94886434732922</v>
      </c>
    </row>
    <row r="377" spans="1:177" x14ac:dyDescent="0.3">
      <c r="A377" s="70" t="s">
        <v>387</v>
      </c>
      <c r="DZ377" s="75"/>
      <c r="EA377" s="75"/>
      <c r="EB377" s="75"/>
      <c r="EC377" s="75"/>
      <c r="ED377" s="84"/>
      <c r="EE377" s="75">
        <f t="shared" ref="EE377:EW377" si="1763">+EE376/DZ376-1</f>
        <v>-1.0209211360833081E-2</v>
      </c>
      <c r="EF377" s="75">
        <f t="shared" si="1763"/>
        <v>3.0922388389597266E-2</v>
      </c>
      <c r="EG377" s="75">
        <f t="shared" si="1763"/>
        <v>0.11438524746721423</v>
      </c>
      <c r="EH377" s="75">
        <f t="shared" si="1763"/>
        <v>9.9713410450668727E-2</v>
      </c>
      <c r="EI377" s="84">
        <f t="shared" si="1763"/>
        <v>6.5119285831066076E-2</v>
      </c>
      <c r="EJ377" s="75">
        <f t="shared" si="1763"/>
        <v>7.9428472849319975E-2</v>
      </c>
      <c r="EK377" s="75">
        <f t="shared" si="1763"/>
        <v>5.7131676208132864E-2</v>
      </c>
      <c r="EL377" s="75">
        <f t="shared" si="1763"/>
        <v>2.7027475990056171E-2</v>
      </c>
      <c r="EM377" s="75">
        <f t="shared" si="1763"/>
        <v>9.2135998600242797E-2</v>
      </c>
      <c r="EN377" s="84">
        <f t="shared" si="1763"/>
        <v>9.4538793891642214E-2</v>
      </c>
      <c r="EO377" s="75">
        <f t="shared" si="1763"/>
        <v>0.14836699775390838</v>
      </c>
      <c r="EP377" s="75">
        <f t="shared" si="1763"/>
        <v>0.14471798845201089</v>
      </c>
      <c r="EQ377" s="75">
        <f t="shared" si="1763"/>
        <v>0.14744432606299629</v>
      </c>
      <c r="ER377" s="75">
        <f t="shared" si="1763"/>
        <v>0.14065026877530817</v>
      </c>
      <c r="ES377" s="84">
        <f t="shared" ref="ES377" si="1764">+ES376/EN376-1</f>
        <v>0.16086935053728069</v>
      </c>
      <c r="ET377" s="75">
        <f t="shared" si="1763"/>
        <v>0.15480940589718628</v>
      </c>
      <c r="EU377" s="75">
        <f t="shared" si="1763"/>
        <v>0.19864367890277568</v>
      </c>
      <c r="EV377" s="75">
        <f t="shared" si="1763"/>
        <v>0.26917462183833907</v>
      </c>
      <c r="EW377" s="75">
        <f t="shared" si="1763"/>
        <v>0.2922838301908941</v>
      </c>
      <c r="EX377" s="84">
        <f t="shared" ref="EX377" si="1765">+EX376/ES376-1</f>
        <v>0.26099683653966688</v>
      </c>
      <c r="EY377" s="75">
        <f t="shared" ref="EY377" si="1766">+EY376/ET376-1</f>
        <v>0.24876295421796946</v>
      </c>
      <c r="EZ377" s="75">
        <f t="shared" ref="EZ377" si="1767">+EZ376/EU376-1</f>
        <v>0.21599304889744864</v>
      </c>
      <c r="FA377" s="75">
        <f t="shared" ref="FA377" si="1768">+FA376/EV376-1</f>
        <v>0.19783573918503272</v>
      </c>
      <c r="FB377" s="75">
        <f t="shared" ref="FB377:FC377" si="1769">+FB376/EW376-1</f>
        <v>0.18257554751726235</v>
      </c>
      <c r="FC377" s="84">
        <f t="shared" si="1769"/>
        <v>0.2297175531302702</v>
      </c>
      <c r="FD377" s="75">
        <f t="shared" ref="FD377:FI377" si="1770">+FD376/FC376-1</f>
        <v>0.2326653055736212</v>
      </c>
      <c r="FE377" s="75">
        <f t="shared" si="1770"/>
        <v>0.18763166499169803</v>
      </c>
      <c r="FF377" s="75">
        <f t="shared" si="1770"/>
        <v>0.18019455229736292</v>
      </c>
      <c r="FG377" s="75">
        <f t="shared" si="1770"/>
        <v>0.15158046236733935</v>
      </c>
      <c r="FH377" s="75">
        <f t="shared" si="1770"/>
        <v>0.12116336504804259</v>
      </c>
      <c r="FI377" s="75">
        <f t="shared" si="1770"/>
        <v>9.3952045427565745E-2</v>
      </c>
    </row>
    <row r="378" spans="1:177" x14ac:dyDescent="0.3">
      <c r="A378" s="70" t="s">
        <v>394</v>
      </c>
      <c r="DU378" s="75"/>
      <c r="DV378" s="75"/>
      <c r="DW378" s="75"/>
      <c r="DX378" s="75"/>
      <c r="DY378" s="84"/>
      <c r="DZ378" s="75">
        <f t="shared" ref="DZ378:FI378" si="1771">+DZ372/DZ344</f>
        <v>0.6395330034604314</v>
      </c>
      <c r="EA378" s="75">
        <f t="shared" si="1771"/>
        <v>0.64279989680295146</v>
      </c>
      <c r="EB378" s="75">
        <f t="shared" si="1771"/>
        <v>0.63278728090023229</v>
      </c>
      <c r="EC378" s="75">
        <f t="shared" si="1771"/>
        <v>0.63065672600149814</v>
      </c>
      <c r="ED378" s="84">
        <f t="shared" si="1771"/>
        <v>0.6365594906752271</v>
      </c>
      <c r="EE378" s="75">
        <f t="shared" si="1771"/>
        <v>0.63442858577974914</v>
      </c>
      <c r="EF378" s="75">
        <f t="shared" si="1771"/>
        <v>0.65967651410786265</v>
      </c>
      <c r="EG378" s="75">
        <f t="shared" si="1771"/>
        <v>0.70212468223056657</v>
      </c>
      <c r="EH378" s="75">
        <f t="shared" ref="EH378:EJ378" si="1772">+EH372/EH344</f>
        <v>0.69187801115141012</v>
      </c>
      <c r="EI378" s="84">
        <f t="shared" si="1771"/>
        <v>0.67123225927114383</v>
      </c>
      <c r="EJ378" s="75">
        <f t="shared" si="1772"/>
        <v>0.68434875277712548</v>
      </c>
      <c r="EK378" s="75">
        <f t="shared" ref="EK378:EL378" si="1773">+EK372/EK344</f>
        <v>0.68378612907099723</v>
      </c>
      <c r="EL378" s="75">
        <f t="shared" si="1773"/>
        <v>0.69235357169388811</v>
      </c>
      <c r="EM378" s="75">
        <f t="shared" ref="EM378" si="1774">+EM372/EM344</f>
        <v>0.72017509103601818</v>
      </c>
      <c r="EN378" s="84">
        <f t="shared" si="1771"/>
        <v>0.69467524576498774</v>
      </c>
      <c r="EO378" s="75">
        <f t="shared" si="1771"/>
        <v>0.73159167876149012</v>
      </c>
      <c r="EP378" s="75">
        <f t="shared" ref="EP378:EQ378" si="1775">+EP372/EP344</f>
        <v>0.71169872591414418</v>
      </c>
      <c r="EQ378" s="75">
        <f t="shared" si="1775"/>
        <v>0.71393401961479097</v>
      </c>
      <c r="ER378" s="75">
        <f t="shared" ref="ER378" si="1776">+ER372/ER344</f>
        <v>0.71819550090103468</v>
      </c>
      <c r="ES378" s="84">
        <f t="shared" ref="ES378:ET378" si="1777">+ES372/ES344</f>
        <v>0.71893545120883129</v>
      </c>
      <c r="ET378" s="75">
        <f t="shared" si="1777"/>
        <v>0.72434897395895836</v>
      </c>
      <c r="EU378" s="75">
        <f t="shared" ref="EU378:EV378" si="1778">+EU372/EU344</f>
        <v>0.73027555910543129</v>
      </c>
      <c r="EV378" s="75">
        <f t="shared" si="1778"/>
        <v>0.76728174179306419</v>
      </c>
      <c r="EW378" s="75">
        <f t="shared" ref="EW378" si="1779">+EW372/EW344</f>
        <v>0.75812620423892096</v>
      </c>
      <c r="EX378" s="84">
        <f t="shared" ref="EX378" si="1780">+EX372/EX344</f>
        <v>0.74454637268071866</v>
      </c>
      <c r="EY378" s="75">
        <f t="shared" ref="EY378:FC378" si="1781">+EY372/EY344</f>
        <v>0.77835500800451396</v>
      </c>
      <c r="EZ378" s="75">
        <f t="shared" si="1781"/>
        <v>0.75680541983872363</v>
      </c>
      <c r="FA378" s="75">
        <f t="shared" si="1781"/>
        <v>0.77738808022288641</v>
      </c>
      <c r="FB378" s="75">
        <f t="shared" si="1781"/>
        <v>0.75046527126472018</v>
      </c>
      <c r="FC378" s="84">
        <f t="shared" si="1781"/>
        <v>0.76588560631509472</v>
      </c>
      <c r="FD378" s="75">
        <f t="shared" si="1771"/>
        <v>0.77158217186705336</v>
      </c>
      <c r="FE378" s="75">
        <f t="shared" si="1771"/>
        <v>0.80492911409420631</v>
      </c>
      <c r="FF378" s="75">
        <f t="shared" si="1771"/>
        <v>0.85672802513745794</v>
      </c>
      <c r="FG378" s="75">
        <f t="shared" si="1771"/>
        <v>0.90306117949061726</v>
      </c>
      <c r="FH378" s="75">
        <f t="shared" si="1771"/>
        <v>0.94539840524316832</v>
      </c>
      <c r="FI378" s="75">
        <f t="shared" si="1771"/>
        <v>0.98479742820945693</v>
      </c>
    </row>
    <row r="379" spans="1:177" x14ac:dyDescent="0.3">
      <c r="A379" s="90"/>
      <c r="EN379" s="916"/>
      <c r="EO379"/>
      <c r="EP379"/>
      <c r="EQ379"/>
      <c r="ER379"/>
      <c r="ES379" s="916"/>
      <c r="EX379" s="916"/>
      <c r="FC379" s="916"/>
      <c r="FD379" s="887"/>
      <c r="FE379" s="887"/>
      <c r="FF379" s="887"/>
      <c r="FG379" s="887"/>
      <c r="FH379" s="887"/>
      <c r="FI379" s="887"/>
    </row>
    <row r="380" spans="1:177" x14ac:dyDescent="0.3">
      <c r="A380" s="55" t="s">
        <v>294</v>
      </c>
      <c r="DZ380" s="916">
        <f>DZ344-DZ388</f>
        <v>625</v>
      </c>
      <c r="EA380" s="916">
        <f>EA344-EA388</f>
        <v>609</v>
      </c>
      <c r="EB380" s="916">
        <f>EB344-EB388</f>
        <v>583</v>
      </c>
      <c r="EC380" s="916">
        <f>EC344-EC388</f>
        <v>564</v>
      </c>
      <c r="ED380" s="916">
        <f>SUM(DZ380:EC380)</f>
        <v>2381</v>
      </c>
      <c r="EE380" s="916">
        <f>EE344-EE388</f>
        <v>560</v>
      </c>
      <c r="EF380" s="916">
        <f>EF344-EF388</f>
        <v>566</v>
      </c>
      <c r="EG380" s="916">
        <f>EG344-EG388</f>
        <v>582</v>
      </c>
      <c r="EH380" s="916">
        <f>EH344-EH388</f>
        <v>556</v>
      </c>
      <c r="EI380" s="916">
        <f>SUM(EE380:EH380)</f>
        <v>2264</v>
      </c>
      <c r="EJ380" s="916">
        <f>EJ344-EJ388</f>
        <v>540</v>
      </c>
      <c r="EK380" s="916">
        <f>EK344-EK388</f>
        <v>530</v>
      </c>
      <c r="EL380" s="916">
        <f>EL344-EL388</f>
        <v>520</v>
      </c>
      <c r="EM380" s="916">
        <f>EM344-EM388</f>
        <v>515</v>
      </c>
      <c r="EN380" s="916">
        <f>SUM(EJ380:EM380)</f>
        <v>2105</v>
      </c>
      <c r="EO380" s="916">
        <f>EO344-EO388</f>
        <v>513</v>
      </c>
      <c r="EP380" s="916">
        <f>EP344-EP388</f>
        <v>493</v>
      </c>
      <c r="EQ380" s="916">
        <f>EQ344-EQ388</f>
        <v>478</v>
      </c>
      <c r="ER380" s="916">
        <f>ER344-ER388</f>
        <v>470</v>
      </c>
      <c r="ES380" s="916">
        <f>SUM(EO380:ER380)</f>
        <v>1954</v>
      </c>
      <c r="ET380" s="916">
        <f>ET344-ET388</f>
        <v>469</v>
      </c>
      <c r="EU380" s="916">
        <f>EU344-EU388</f>
        <v>461</v>
      </c>
      <c r="EV380" s="916">
        <f>EV344-EV388</f>
        <v>467</v>
      </c>
      <c r="EW380" s="916">
        <f>EW344-EW388</f>
        <v>458</v>
      </c>
      <c r="EX380" s="916">
        <f>SUM(ET380:EW380)</f>
        <v>1855</v>
      </c>
      <c r="EY380" s="916">
        <f t="shared" ref="EY380:FB380" si="1782">EY355+EY372</f>
        <v>438.94795332053138</v>
      </c>
      <c r="EZ380" s="916">
        <f t="shared" si="1782"/>
        <v>416.91144453744363</v>
      </c>
      <c r="FA380" s="916">
        <f t="shared" si="1782"/>
        <v>412.02993449269536</v>
      </c>
      <c r="FB380" s="916">
        <f t="shared" si="1782"/>
        <v>394.87610507606809</v>
      </c>
      <c r="FC380" s="916">
        <f>SUM(EY380:FB380)</f>
        <v>1662.7654374267386</v>
      </c>
      <c r="FD380" s="916">
        <f t="shared" ref="FD380:FI380" si="1783">FD355+FD372</f>
        <v>1454.9200020182693</v>
      </c>
      <c r="FE380" s="916">
        <f t="shared" si="1783"/>
        <v>1335.9634446316079</v>
      </c>
      <c r="FF380" s="916">
        <f t="shared" si="1783"/>
        <v>1281.273559605132</v>
      </c>
      <c r="FG380" s="916">
        <f t="shared" si="1783"/>
        <v>1234.2090014907742</v>
      </c>
      <c r="FH380" s="916">
        <f t="shared" si="1783"/>
        <v>1191.8869875548446</v>
      </c>
      <c r="FI380" s="916">
        <f t="shared" si="1783"/>
        <v>1153.0712707066168</v>
      </c>
    </row>
    <row r="381" spans="1:177" x14ac:dyDescent="0.3">
      <c r="A381" s="70" t="s">
        <v>363</v>
      </c>
      <c r="EE381" s="75">
        <f t="shared" ref="EE381:EW381" si="1784">+EE380/DZ380-1</f>
        <v>-0.10399999999999998</v>
      </c>
      <c r="EF381" s="75">
        <f t="shared" si="1784"/>
        <v>-7.0607553366174081E-2</v>
      </c>
      <c r="EG381" s="75">
        <f t="shared" si="1784"/>
        <v>-1.7152658662092923E-3</v>
      </c>
      <c r="EH381" s="75">
        <f t="shared" si="1784"/>
        <v>-1.4184397163120588E-2</v>
      </c>
      <c r="EI381" s="84">
        <f t="shared" si="1784"/>
        <v>-4.9139017219655634E-2</v>
      </c>
      <c r="EJ381" s="75">
        <f t="shared" si="1784"/>
        <v>-3.5714285714285698E-2</v>
      </c>
      <c r="EK381" s="75">
        <f t="shared" si="1784"/>
        <v>-6.360424028268552E-2</v>
      </c>
      <c r="EL381" s="75">
        <f t="shared" si="1784"/>
        <v>-0.10652920962199308</v>
      </c>
      <c r="EM381" s="75">
        <f t="shared" si="1784"/>
        <v>-7.374100719424459E-2</v>
      </c>
      <c r="EN381" s="84">
        <f t="shared" si="1784"/>
        <v>-7.0229681978798641E-2</v>
      </c>
      <c r="EO381" s="75">
        <f t="shared" si="1784"/>
        <v>-5.0000000000000044E-2</v>
      </c>
      <c r="EP381" s="75">
        <f t="shared" si="1784"/>
        <v>-6.9811320754716966E-2</v>
      </c>
      <c r="EQ381" s="75">
        <f t="shared" si="1784"/>
        <v>-8.0769230769230815E-2</v>
      </c>
      <c r="ER381" s="75">
        <f t="shared" si="1784"/>
        <v>-8.737864077669899E-2</v>
      </c>
      <c r="ES381" s="84">
        <f t="shared" ref="ES381" si="1785">+ES380/EN380-1</f>
        <v>-7.1733966745843203E-2</v>
      </c>
      <c r="ET381" s="75">
        <f t="shared" si="1784"/>
        <v>-8.5769980506822607E-2</v>
      </c>
      <c r="EU381" s="75">
        <f t="shared" si="1784"/>
        <v>-6.4908722109533468E-2</v>
      </c>
      <c r="EV381" s="75">
        <f t="shared" si="1784"/>
        <v>-2.3012552301255207E-2</v>
      </c>
      <c r="EW381" s="75">
        <f t="shared" si="1784"/>
        <v>-2.5531914893617058E-2</v>
      </c>
      <c r="EX381" s="84">
        <f t="shared" ref="EX381" si="1786">+EX380/ES380-1</f>
        <v>-5.0665301944728736E-2</v>
      </c>
      <c r="EY381" s="75">
        <f t="shared" ref="EY381" si="1787">+EY380/ET380-1</f>
        <v>-6.4076858591617492E-2</v>
      </c>
      <c r="EZ381" s="75">
        <f t="shared" ref="EZ381" si="1788">+EZ380/EU380-1</f>
        <v>-9.563677974524154E-2</v>
      </c>
      <c r="FA381" s="75">
        <f t="shared" ref="FA381" si="1789">+FA380/EV380-1</f>
        <v>-0.11770891971585573</v>
      </c>
      <c r="FB381" s="75">
        <f t="shared" ref="FB381:FC381" si="1790">+FB380/EW380-1</f>
        <v>-0.13782509808718757</v>
      </c>
      <c r="FC381" s="84">
        <f t="shared" si="1790"/>
        <v>-0.1036304919532407</v>
      </c>
      <c r="FD381" s="75">
        <f t="shared" ref="FD381:FI381" si="1791">+FD380/FC380-1</f>
        <v>-0.12499985309420825</v>
      </c>
      <c r="FE381" s="75">
        <f t="shared" si="1791"/>
        <v>-8.1761579483163649E-2</v>
      </c>
      <c r="FF381" s="75">
        <f t="shared" si="1791"/>
        <v>-4.0936662785377775E-2</v>
      </c>
      <c r="FG381" s="75">
        <f t="shared" si="1791"/>
        <v>-3.6732638211048663E-2</v>
      </c>
      <c r="FH381" s="75">
        <f t="shared" si="1791"/>
        <v>-3.4290799925142168E-2</v>
      </c>
      <c r="FI381" s="75">
        <f t="shared" si="1791"/>
        <v>-3.2566608456610635E-2</v>
      </c>
    </row>
    <row r="382" spans="1:177" x14ac:dyDescent="0.3">
      <c r="A382" s="61" t="s">
        <v>389</v>
      </c>
      <c r="DU382" s="111"/>
      <c r="DV382" s="111"/>
      <c r="DW382" s="111"/>
      <c r="DX382" s="111"/>
      <c r="DY382" s="112"/>
      <c r="DZ382" s="111">
        <f>DZ380/DZ107*1000/3</f>
        <v>17.400988376139765</v>
      </c>
      <c r="EA382" s="111">
        <f>EA380/EA107*1000/3</f>
        <v>16.96756937479104</v>
      </c>
      <c r="EB382" s="111">
        <f>EB380/EB107*1000/3</f>
        <v>16.254722373245226</v>
      </c>
      <c r="EC382" s="111">
        <f>EC380/EC107*1000/3</f>
        <v>15.770489052931801</v>
      </c>
      <c r="ED382" s="112">
        <f>ED380/ED107*1000/12</f>
        <v>16.599390681753221</v>
      </c>
      <c r="EE382" s="111">
        <f>EE380/EE107*1000/3</f>
        <v>15.767097446293326</v>
      </c>
      <c r="EF382" s="111">
        <f>EF380/EF107*1000/3</f>
        <v>16.045130472991168</v>
      </c>
      <c r="EG382" s="111">
        <f>EG380/EG107*1000/3</f>
        <v>16.670247046186898</v>
      </c>
      <c r="EH382" s="111">
        <f>EH380/EH107*1000/3</f>
        <v>16.18773109733019</v>
      </c>
      <c r="EI382" s="112">
        <f>EI380/EI107*1000/12</f>
        <v>16.165424270985064</v>
      </c>
      <c r="EJ382" s="111">
        <f>EJ380/EJ107*1000/3</f>
        <v>16.003556345854633</v>
      </c>
      <c r="EK382" s="111">
        <f>EK380/EK107*1000/3</f>
        <v>16.058416276568348</v>
      </c>
      <c r="EL382" s="111">
        <f>EL380/EL107*1000/3</f>
        <v>16.221359162728309</v>
      </c>
      <c r="EM382" s="111">
        <f>EM380/EM107*1000/3</f>
        <v>16.5549608627867</v>
      </c>
      <c r="EN382" s="112">
        <f>EN380/EN107*1000/12</f>
        <v>16.203276063797031</v>
      </c>
      <c r="EO382" s="111">
        <f>EO380/EO107*1000/3</f>
        <v>16.998856802027934</v>
      </c>
      <c r="EP382" s="111">
        <f>EP380/EP107*1000/3</f>
        <v>16.885874777366762</v>
      </c>
      <c r="EQ382" s="111">
        <f>EQ380/EQ107*1000/3</f>
        <v>16.935941043083901</v>
      </c>
      <c r="ER382" s="111">
        <f>ER380/ER107*1000/3</f>
        <v>17.262593429195821</v>
      </c>
      <c r="ES382" s="112">
        <f t="shared" ref="ES382:FI382" si="1792">ES380/ES107*1000/12</f>
        <v>17.017200087089048</v>
      </c>
      <c r="ET382" s="111">
        <f>ET380/ET107*1000/3</f>
        <v>17.870751409846061</v>
      </c>
      <c r="EU382" s="111">
        <f>EU380/EU107*1000/3</f>
        <v>18.308908217165097</v>
      </c>
      <c r="EV382" s="111">
        <f>EV380/EV107*1000/3</f>
        <v>19.437680797486006</v>
      </c>
      <c r="EW382" s="111">
        <f>EW380/EW107*1000/3</f>
        <v>19.705281273529096</v>
      </c>
      <c r="EX382" s="112">
        <f t="shared" ref="EX382" si="1793">EX380/EX107*1000/12</f>
        <v>18.796040165769927</v>
      </c>
      <c r="EY382" s="111">
        <f t="shared" ref="EY382:FB382" si="1794">EY380/EY107*1000/3</f>
        <v>19.412401458355411</v>
      </c>
      <c r="EZ382" s="111">
        <f t="shared" si="1794"/>
        <v>19.243667576069242</v>
      </c>
      <c r="FA382" s="111">
        <f t="shared" si="1794"/>
        <v>19.982124886040133</v>
      </c>
      <c r="FB382" s="111">
        <f t="shared" si="1794"/>
        <v>19.963866641041964</v>
      </c>
      <c r="FC382" s="112">
        <f t="shared" ref="FC382" si="1795">FC380/FC107*1000/12</f>
        <v>19.636783488587145</v>
      </c>
      <c r="FD382" s="112">
        <f t="shared" si="1792"/>
        <v>19.908169198122994</v>
      </c>
      <c r="FE382" s="112">
        <f t="shared" si="1792"/>
        <v>19.532805873751787</v>
      </c>
      <c r="FF382" s="112">
        <f t="shared" si="1792"/>
        <v>18.701442167879655</v>
      </c>
      <c r="FG382" s="112">
        <f t="shared" si="1792"/>
        <v>17.98474031535623</v>
      </c>
      <c r="FH382" s="112">
        <f t="shared" si="1792"/>
        <v>17.340119282637819</v>
      </c>
      <c r="FI382" s="112">
        <f t="shared" si="1792"/>
        <v>16.74920793108177</v>
      </c>
    </row>
    <row r="383" spans="1:177" x14ac:dyDescent="0.3">
      <c r="A383" s="70" t="s">
        <v>387</v>
      </c>
      <c r="DZ383" s="75"/>
      <c r="EA383" s="75"/>
      <c r="EB383" s="75"/>
      <c r="EC383" s="75"/>
      <c r="ED383" s="84"/>
      <c r="EE383" s="75">
        <f t="shared" ref="EE383:EW383" si="1796">+EE382/DZ382-1</f>
        <v>-9.3896443956415165E-2</v>
      </c>
      <c r="EF383" s="75">
        <f t="shared" si="1796"/>
        <v>-5.4364822764205289E-2</v>
      </c>
      <c r="EG383" s="75">
        <f t="shared" si="1796"/>
        <v>2.5563320209369689E-2</v>
      </c>
      <c r="EH383" s="75">
        <f t="shared" si="1796"/>
        <v>2.6457140485495634E-2</v>
      </c>
      <c r="EI383" s="84">
        <f t="shared" si="1796"/>
        <v>-2.6143514487263153E-2</v>
      </c>
      <c r="EJ383" s="75">
        <f t="shared" si="1796"/>
        <v>1.4996983456641022E-2</v>
      </c>
      <c r="EK383" s="75">
        <f t="shared" si="1796"/>
        <v>8.2802714502960839E-4</v>
      </c>
      <c r="EL383" s="75">
        <f t="shared" si="1796"/>
        <v>-2.6927488369841934E-2</v>
      </c>
      <c r="EM383" s="75">
        <f t="shared" si="1796"/>
        <v>2.2685684809594875E-2</v>
      </c>
      <c r="EN383" s="84">
        <f t="shared" si="1796"/>
        <v>2.3415279535785594E-3</v>
      </c>
      <c r="EO383" s="75">
        <f t="shared" si="1796"/>
        <v>6.2192454893384319E-2</v>
      </c>
      <c r="EP383" s="75">
        <f t="shared" si="1796"/>
        <v>5.1528026584153341E-2</v>
      </c>
      <c r="EQ383" s="75">
        <f t="shared" si="1796"/>
        <v>4.4051911630036633E-2</v>
      </c>
      <c r="ER383" s="75">
        <f t="shared" si="1796"/>
        <v>4.2744442120656645E-2</v>
      </c>
      <c r="ES383" s="84">
        <f t="shared" ref="ES383" si="1797">+ES382/EN382-1</f>
        <v>5.0232065422286309E-2</v>
      </c>
      <c r="ET383" s="75">
        <f t="shared" si="1796"/>
        <v>5.129136729442374E-2</v>
      </c>
      <c r="EU383" s="75">
        <f t="shared" si="1796"/>
        <v>8.4273599002742783E-2</v>
      </c>
      <c r="EV383" s="75">
        <f t="shared" si="1796"/>
        <v>0.14771778834360894</v>
      </c>
      <c r="EW383" s="75">
        <f t="shared" si="1796"/>
        <v>0.14150178849731887</v>
      </c>
      <c r="EX383" s="84">
        <f t="shared" ref="EX383" si="1798">+EX382/ES382-1</f>
        <v>0.10453188947519543</v>
      </c>
      <c r="EY383" s="75">
        <f t="shared" ref="EY383" si="1799">+EY382/ET382-1</f>
        <v>8.6266660710190513E-2</v>
      </c>
      <c r="EZ383" s="75">
        <f t="shared" ref="EZ383" si="1800">+EZ382/EU382-1</f>
        <v>5.1054893487738617E-2</v>
      </c>
      <c r="FA383" s="75">
        <f t="shared" ref="FA383" si="1801">+FA382/EV382-1</f>
        <v>2.8009724731385743E-2</v>
      </c>
      <c r="FB383" s="75">
        <f t="shared" ref="FB383:FC383" si="1802">+FB382/EW382-1</f>
        <v>1.3122642804405782E-2</v>
      </c>
      <c r="FC383" s="84">
        <f t="shared" si="1802"/>
        <v>4.4729810928384905E-2</v>
      </c>
      <c r="FD383" s="75">
        <f t="shared" ref="FD383:FI383" si="1803">FD382/FC382-1</f>
        <v>1.3820273044899523E-2</v>
      </c>
      <c r="FE383" s="75">
        <f t="shared" si="1803"/>
        <v>-1.8854738506371427E-2</v>
      </c>
      <c r="FF383" s="75">
        <f t="shared" si="1803"/>
        <v>-4.2562431186055072E-2</v>
      </c>
      <c r="FG383" s="75">
        <f t="shared" si="1803"/>
        <v>-3.8323346728541763E-2</v>
      </c>
      <c r="FH383" s="75">
        <f t="shared" si="1803"/>
        <v>-3.5842665582888844E-2</v>
      </c>
      <c r="FI383" s="75">
        <f t="shared" si="1803"/>
        <v>-3.4077698193674566E-2</v>
      </c>
    </row>
    <row r="384" spans="1:177" x14ac:dyDescent="0.3">
      <c r="A384" s="61" t="s">
        <v>391</v>
      </c>
      <c r="DU384" s="111"/>
      <c r="DV384" s="111"/>
      <c r="DW384" s="111"/>
      <c r="DX384" s="111"/>
      <c r="DY384" s="112"/>
      <c r="DZ384" s="111">
        <f>DZ380/SUM(DZ260,DZ283,DZ305)*1000/3</f>
        <v>88.660600506274349</v>
      </c>
      <c r="EA384" s="111">
        <f>EA380/SUM(EA260,EA283,EA305)*1000/3</f>
        <v>88.095488837643146</v>
      </c>
      <c r="EB384" s="111">
        <f>EB380/SUM(EB260,EB283,EB305)*1000/3</f>
        <v>86.145840808064236</v>
      </c>
      <c r="EC384" s="111">
        <f>EC380/SUM(EC260,EC283,EC305)*1000/3</f>
        <v>85.43804037856323</v>
      </c>
      <c r="ED384" s="112">
        <f>ED380/SUM(ED260,ED283,ED305)*1000/12</f>
        <v>90.171974353439282</v>
      </c>
      <c r="EE384" s="111">
        <f>EE380/SUM(EE260,EE283,EE305)*1000/3</f>
        <v>86.660476632621467</v>
      </c>
      <c r="EF384" s="111">
        <f>EF380/SUM(EF260,EF283,EF305)*1000/3</f>
        <v>89.841269841269835</v>
      </c>
      <c r="EG384" s="111">
        <f>EG380/SUM(EG260,EG283,EG305)*1000/3</f>
        <v>94.911937377690819</v>
      </c>
      <c r="EH384" s="111">
        <f>EH380/SUM(EH260,EH283,EH305)*1000/3</f>
        <v>93.366918555835426</v>
      </c>
      <c r="EI384" s="112">
        <f>EI380/SUM(EI260,EI283,EI305)*1000/12</f>
        <v>95.046179680940384</v>
      </c>
      <c r="EJ384" s="111">
        <f>EJ380/SUM(EJ260,EJ283,EJ305)*1000/3</f>
        <v>93.071354705274032</v>
      </c>
      <c r="EK384" s="111">
        <f>EK380/SUM(EK260,EK283,EK305)*1000/3</f>
        <v>94.524701266274306</v>
      </c>
      <c r="EL384" s="111">
        <f>EL380/SUM(EL260,EL283,EL305)*1000/3</f>
        <v>97.214432604225081</v>
      </c>
      <c r="EM384" s="111">
        <f>EM380/SUM(EM260,EM283,EM305)*1000/3</f>
        <v>101.33805588351044</v>
      </c>
      <c r="EN384" s="112">
        <f t="shared" ref="EN384:FI384" si="1804">EN380/SUM(EN260,EN283,EN305)*1000/12</f>
        <v>103.55175127902402</v>
      </c>
      <c r="EO384" s="111">
        <f>EO380/SUM(EO260,EO283,EO305)*1000/3</f>
        <v>106.14525139664805</v>
      </c>
      <c r="EP384" s="111">
        <f>EP380/SUM(EP260,EP283,EP305)*1000/3</f>
        <v>107.33725234051819</v>
      </c>
      <c r="EQ384" s="111">
        <f>EQ380/SUM(EQ260,EQ283,EQ305)*1000/3</f>
        <v>110.57136247975943</v>
      </c>
      <c r="ER384" s="111">
        <f>ER380/SUM(ER260,ER283,ER305)*1000/3</f>
        <v>114.77411477411476</v>
      </c>
      <c r="ES384" s="112">
        <f t="shared" ref="ES384" si="1805">ES380/SUM(ES260,ES283,ES305)*1000/12</f>
        <v>119.29181929181929</v>
      </c>
      <c r="ET384" s="111">
        <f>ET380/SUM(ET260,ET283,ET305)*1000/3</f>
        <v>121.66018158236056</v>
      </c>
      <c r="EU384" s="111">
        <f>EU380/SUM(EU260,EU283,EU305)*1000/3</f>
        <v>127.73621501801053</v>
      </c>
      <c r="EV384" s="111">
        <f>EV380/SUM(EV260,EV283,EV305)*1000/3</f>
        <v>139.61136023916293</v>
      </c>
      <c r="EW384" s="111">
        <f>EW380/SUM(EW260,EW283,EW305)*1000/3</f>
        <v>147.64667956157317</v>
      </c>
      <c r="EX384" s="112">
        <f t="shared" ref="EX384" si="1806">EX380/SUM(EX260,EX283,EX305)*1000/12</f>
        <v>149.50032237266279</v>
      </c>
      <c r="EY384" s="111">
        <f t="shared" ref="EY384:FB384" si="1807">EY380/SUM(EY260,EY283,EY305)*1000/3</f>
        <v>151.48611993742807</v>
      </c>
      <c r="EZ384" s="111">
        <f t="shared" si="1807"/>
        <v>155.03742802127641</v>
      </c>
      <c r="FA384" s="111">
        <f t="shared" si="1807"/>
        <v>166.90217714430429</v>
      </c>
      <c r="FB384" s="111">
        <f t="shared" si="1807"/>
        <v>174.26320564125231</v>
      </c>
      <c r="FC384" s="112">
        <f t="shared" ref="FC384" si="1808">FC380/SUM(FC260,FC283,FC305)*1000/12</f>
        <v>183.4492082647316</v>
      </c>
      <c r="FD384" s="112">
        <f t="shared" si="1804"/>
        <v>225.64880779567736</v>
      </c>
      <c r="FE384" s="112">
        <f t="shared" si="1804"/>
        <v>267.48294252669024</v>
      </c>
      <c r="FF384" s="112">
        <f t="shared" si="1804"/>
        <v>315.35535903647991</v>
      </c>
      <c r="FG384" s="112">
        <f t="shared" si="1804"/>
        <v>362.96773973657247</v>
      </c>
      <c r="FH384" s="112">
        <f t="shared" si="1804"/>
        <v>406.83998821087067</v>
      </c>
      <c r="FI384" s="112">
        <f t="shared" si="1804"/>
        <v>445.00561362829495</v>
      </c>
    </row>
    <row r="385" spans="1:177" x14ac:dyDescent="0.3">
      <c r="A385" s="70" t="s">
        <v>387</v>
      </c>
      <c r="DZ385" s="75"/>
      <c r="EA385" s="75"/>
      <c r="EB385" s="75"/>
      <c r="EC385" s="75"/>
      <c r="ED385" s="84"/>
      <c r="EE385" s="75">
        <f t="shared" ref="EE385:EW385" si="1809">+EE384/DZ384-1</f>
        <v>-2.2559331453110731E-2</v>
      </c>
      <c r="EF385" s="75">
        <f t="shared" si="1809"/>
        <v>1.981691715048095E-2</v>
      </c>
      <c r="EG385" s="75">
        <f t="shared" si="1809"/>
        <v>0.1017587905277717</v>
      </c>
      <c r="EH385" s="75">
        <f t="shared" si="1809"/>
        <v>9.2802668953320122E-2</v>
      </c>
      <c r="EI385" s="84">
        <f t="shared" si="1809"/>
        <v>5.4054548128181112E-2</v>
      </c>
      <c r="EJ385" s="75">
        <f t="shared" si="1809"/>
        <v>7.397695375978719E-2</v>
      </c>
      <c r="EK385" s="75">
        <f t="shared" si="1809"/>
        <v>5.2130067098106414E-2</v>
      </c>
      <c r="EL385" s="75">
        <f t="shared" si="1809"/>
        <v>2.4259279603278561E-2</v>
      </c>
      <c r="EM385" s="75">
        <f t="shared" si="1809"/>
        <v>8.5374321558101984E-2</v>
      </c>
      <c r="EN385" s="84">
        <f t="shared" si="1809"/>
        <v>8.9488831919766865E-2</v>
      </c>
      <c r="EO385" s="75">
        <f t="shared" si="1809"/>
        <v>0.14047175667287415</v>
      </c>
      <c r="EP385" s="75">
        <f t="shared" si="1809"/>
        <v>0.13554712051563289</v>
      </c>
      <c r="EQ385" s="75">
        <f t="shared" si="1809"/>
        <v>0.1373965728927562</v>
      </c>
      <c r="ER385" s="75">
        <f t="shared" si="1809"/>
        <v>0.13258650734378863</v>
      </c>
      <c r="ES385" s="84">
        <f t="shared" ref="ES385" si="1810">+ES384/EN384-1</f>
        <v>0.15200194896156871</v>
      </c>
      <c r="ET385" s="75">
        <f t="shared" si="1809"/>
        <v>0.14616697385487054</v>
      </c>
      <c r="EU385" s="75">
        <f t="shared" si="1809"/>
        <v>0.190045508271242</v>
      </c>
      <c r="EV385" s="75">
        <f t="shared" si="1809"/>
        <v>0.26263579563577677</v>
      </c>
      <c r="EW385" s="75">
        <f t="shared" si="1809"/>
        <v>0.2864109634141323</v>
      </c>
      <c r="EX385" s="84">
        <f t="shared" ref="EX385" si="1811">+EX384/ES384-1</f>
        <v>0.2532319756725776</v>
      </c>
      <c r="EY385" s="75">
        <f t="shared" ref="EY385" si="1812">+EY384/ET384-1</f>
        <v>0.24515776622342278</v>
      </c>
      <c r="EZ385" s="75">
        <f t="shared" ref="EZ385" si="1813">+EZ384/EU384-1</f>
        <v>0.21373118813185821</v>
      </c>
      <c r="FA385" s="75">
        <f t="shared" ref="FA385" si="1814">+FA384/EV384-1</f>
        <v>0.19547705042333585</v>
      </c>
      <c r="FB385" s="75">
        <f t="shared" ref="FB385:FC385" si="1815">+FB384/EW384-1</f>
        <v>0.18027175523835082</v>
      </c>
      <c r="FC385" s="84">
        <f t="shared" si="1815"/>
        <v>0.22708235910985963</v>
      </c>
      <c r="FD385" s="75">
        <f t="shared" ref="FD385:FI385" si="1816">+FD384/FC384-1</f>
        <v>0.23003424179431953</v>
      </c>
      <c r="FE385" s="75">
        <f t="shared" si="1816"/>
        <v>0.1853948848198359</v>
      </c>
      <c r="FF385" s="75">
        <f t="shared" si="1816"/>
        <v>0.17897371719324795</v>
      </c>
      <c r="FG385" s="75">
        <f t="shared" si="1816"/>
        <v>0.15098009066839668</v>
      </c>
      <c r="FH385" s="75">
        <f t="shared" si="1816"/>
        <v>0.12087093058501264</v>
      </c>
      <c r="FI385" s="75">
        <f t="shared" si="1816"/>
        <v>9.3809916732281895E-2</v>
      </c>
    </row>
    <row r="386" spans="1:177" x14ac:dyDescent="0.3">
      <c r="A386" s="70" t="s">
        <v>394</v>
      </c>
      <c r="DU386" s="75"/>
      <c r="DV386" s="75"/>
      <c r="DW386" s="75"/>
      <c r="DX386" s="75"/>
      <c r="DY386" s="84"/>
      <c r="DZ386" s="75">
        <f t="shared" ref="DZ386:FI386" si="1817">DZ380/DZ344</f>
        <v>0.66702241195304157</v>
      </c>
      <c r="EA386" s="75">
        <f t="shared" si="1817"/>
        <v>0.66849615806805707</v>
      </c>
      <c r="EB386" s="75">
        <f t="shared" si="1817"/>
        <v>0.65579302587176602</v>
      </c>
      <c r="EC386" s="75">
        <f t="shared" si="1817"/>
        <v>0.65051903114186849</v>
      </c>
      <c r="ED386" s="84">
        <f t="shared" si="1817"/>
        <v>0.66065482796892339</v>
      </c>
      <c r="EE386" s="75">
        <f t="shared" si="1817"/>
        <v>0.6534422403733956</v>
      </c>
      <c r="EF386" s="75">
        <f t="shared" si="1817"/>
        <v>0.67865707434052758</v>
      </c>
      <c r="EG386" s="75">
        <f t="shared" si="1817"/>
        <v>0.71940667490729293</v>
      </c>
      <c r="EH386" s="75">
        <f t="shared" ref="EH386:EJ386" si="1818">EH380/EH344</f>
        <v>0.70918367346938771</v>
      </c>
      <c r="EI386" s="84">
        <f t="shared" si="1817"/>
        <v>0.68940316686967118</v>
      </c>
      <c r="EJ386" s="75">
        <f t="shared" si="1818"/>
        <v>0.70129870129870131</v>
      </c>
      <c r="EK386" s="75">
        <f t="shared" ref="EK386:EL386" si="1819">EK380/EK344</f>
        <v>0.70013210039630114</v>
      </c>
      <c r="EL386" s="75">
        <f t="shared" si="1819"/>
        <v>0.70748299319727892</v>
      </c>
      <c r="EM386" s="75">
        <f t="shared" ref="EM386" si="1820">EM380/EM344</f>
        <v>0.73361823361823364</v>
      </c>
      <c r="EN386" s="84">
        <f t="shared" si="1817"/>
        <v>0.71018893387314441</v>
      </c>
      <c r="EO386" s="75">
        <f t="shared" si="1817"/>
        <v>0.7445573294629898</v>
      </c>
      <c r="EP386" s="75">
        <f t="shared" ref="EP386:EQ386" si="1821">EP380/EP344</f>
        <v>0.72287390029325516</v>
      </c>
      <c r="EQ386" s="75">
        <f t="shared" si="1821"/>
        <v>0.72314674735249618</v>
      </c>
      <c r="ER386" s="75">
        <f t="shared" ref="ER386" si="1822">ER380/ER344</f>
        <v>0.72642967542503867</v>
      </c>
      <c r="ES386" s="84">
        <f t="shared" ref="ES386:ET386" si="1823">ES380/ES344</f>
        <v>0.72937663307204181</v>
      </c>
      <c r="ET386" s="75">
        <f t="shared" si="1823"/>
        <v>0.73166926677067079</v>
      </c>
      <c r="EU386" s="75">
        <f t="shared" ref="EU386:EV386" si="1824">EU380/EU344</f>
        <v>0.73642172523961658</v>
      </c>
      <c r="EV386" s="75">
        <f t="shared" si="1824"/>
        <v>0.77317880794701987</v>
      </c>
      <c r="EW386" s="75">
        <f t="shared" ref="EW386" si="1825">EW380/EW344</f>
        <v>0.76333333333333331</v>
      </c>
      <c r="EX386" s="84">
        <f t="shared" ref="EX386" si="1826">EX380/EX344</f>
        <v>0.75070821529745047</v>
      </c>
      <c r="EY386" s="75">
        <f t="shared" ref="EY386:FC386" si="1827">EY380/EY344</f>
        <v>0.78395126127908688</v>
      </c>
      <c r="EZ386" s="75">
        <f t="shared" si="1827"/>
        <v>0.76175529073908077</v>
      </c>
      <c r="FA386" s="75">
        <f t="shared" si="1827"/>
        <v>0.78182028063667297</v>
      </c>
      <c r="FB386" s="75">
        <f t="shared" si="1827"/>
        <v>0.75414774818818764</v>
      </c>
      <c r="FC386" s="84">
        <f t="shared" si="1827"/>
        <v>0.77056923257677701</v>
      </c>
      <c r="FD386" s="75">
        <f t="shared" si="1817"/>
        <v>0.77464365866179952</v>
      </c>
      <c r="FE386" s="75">
        <f t="shared" si="1817"/>
        <v>0.80660089993058404</v>
      </c>
      <c r="FF386" s="75">
        <f t="shared" si="1817"/>
        <v>0.85761932347211489</v>
      </c>
      <c r="FG386" s="75">
        <f t="shared" si="1817"/>
        <v>0.90352938358821122</v>
      </c>
      <c r="FH386" s="75">
        <f t="shared" si="1817"/>
        <v>0.94564184232625226</v>
      </c>
      <c r="FI386" s="75">
        <f t="shared" si="1817"/>
        <v>0.98492303038630413</v>
      </c>
    </row>
    <row r="387" spans="1:177" x14ac:dyDescent="0.3">
      <c r="EO387"/>
      <c r="EP387"/>
      <c r="EQ387"/>
      <c r="ER387"/>
      <c r="ES387" s="90"/>
      <c r="EX387" s="90"/>
      <c r="FC387" s="90"/>
    </row>
    <row r="388" spans="1:177" x14ac:dyDescent="0.3">
      <c r="A388" s="90" t="s">
        <v>446</v>
      </c>
      <c r="DZ388" s="471">
        <f>Inputs!DZ152</f>
        <v>312</v>
      </c>
      <c r="EA388" s="471">
        <f>Inputs!EA152</f>
        <v>302</v>
      </c>
      <c r="EB388" s="471">
        <f>Inputs!EB152</f>
        <v>306</v>
      </c>
      <c r="EC388" s="471">
        <f>Inputs!EC152</f>
        <v>303</v>
      </c>
      <c r="ED388" s="85">
        <f>SUM(DZ388:EC388)</f>
        <v>1223</v>
      </c>
      <c r="EE388" s="471">
        <f>Inputs!EE152</f>
        <v>297</v>
      </c>
      <c r="EF388" s="471">
        <f>Inputs!EF152</f>
        <v>268</v>
      </c>
      <c r="EG388" s="471">
        <f>Inputs!EG152</f>
        <v>227</v>
      </c>
      <c r="EH388" s="471">
        <f>Inputs!EH152</f>
        <v>228</v>
      </c>
      <c r="EI388" s="85">
        <f>SUM(EE388:EH388)</f>
        <v>1020</v>
      </c>
      <c r="EJ388" s="471">
        <f>Inputs!EJ152</f>
        <v>230</v>
      </c>
      <c r="EK388" s="471">
        <f>Inputs!EK152</f>
        <v>227</v>
      </c>
      <c r="EL388" s="471">
        <f>Inputs!EL152</f>
        <v>215</v>
      </c>
      <c r="EM388" s="471">
        <f>Inputs!EM152</f>
        <v>187</v>
      </c>
      <c r="EN388" s="85">
        <f>SUM(EJ388:EM388)</f>
        <v>859</v>
      </c>
      <c r="EO388" s="471">
        <f>Inputs!EO152</f>
        <v>176</v>
      </c>
      <c r="EP388" s="471">
        <f>Inputs!EP152</f>
        <v>189</v>
      </c>
      <c r="EQ388" s="471">
        <f>Inputs!EQ152</f>
        <v>183</v>
      </c>
      <c r="ER388" s="471">
        <f>Inputs!ER152</f>
        <v>177</v>
      </c>
      <c r="ES388" s="121">
        <f>SUM(EO388:ER388)</f>
        <v>725</v>
      </c>
      <c r="ET388" s="471">
        <f>Inputs!ET152</f>
        <v>172</v>
      </c>
      <c r="EU388" s="471">
        <f>Inputs!EU152</f>
        <v>165</v>
      </c>
      <c r="EV388" s="471">
        <f>Inputs!EV152</f>
        <v>137</v>
      </c>
      <c r="EW388" s="471">
        <f>Inputs!EW152</f>
        <v>142</v>
      </c>
      <c r="EX388" s="121">
        <f>SUM(ET388:EW388)</f>
        <v>616</v>
      </c>
      <c r="EY388" s="916">
        <f t="shared" ref="EY388:FB388" si="1828">EY344-EY380</f>
        <v>120.96944843777226</v>
      </c>
      <c r="EZ388" s="916">
        <f t="shared" si="1828"/>
        <v>130.39219694162244</v>
      </c>
      <c r="FA388" s="916">
        <f t="shared" si="1828"/>
        <v>114.98368321131204</v>
      </c>
      <c r="FB388" s="916">
        <f t="shared" si="1828"/>
        <v>128.72965523382271</v>
      </c>
      <c r="FC388" s="121">
        <f>SUM(EY388:FB388)</f>
        <v>495.07498382452945</v>
      </c>
      <c r="FD388" s="933">
        <f t="shared" ref="FD388:FI388" si="1829">FD344-FD380</f>
        <v>423.25970777455382</v>
      </c>
      <c r="FE388" s="933">
        <f t="shared" si="1829"/>
        <v>320.32462143251473</v>
      </c>
      <c r="FF388" s="933">
        <f t="shared" si="1829"/>
        <v>212.71511874907264</v>
      </c>
      <c r="FG388" s="933">
        <f t="shared" si="1829"/>
        <v>131.77756619485649</v>
      </c>
      <c r="FH388" s="933">
        <f t="shared" si="1829"/>
        <v>68.513022477321783</v>
      </c>
      <c r="FI388" s="933">
        <f t="shared" si="1829"/>
        <v>17.650943245839926</v>
      </c>
    </row>
    <row r="389" spans="1:177" x14ac:dyDescent="0.3">
      <c r="A389" s="46" t="s">
        <v>45</v>
      </c>
      <c r="DZ389" s="898">
        <f t="shared" ref="DZ389:FI389" si="1830">DZ388/DZ344</f>
        <v>0.33297758804695837</v>
      </c>
      <c r="EA389" s="898">
        <f t="shared" si="1830"/>
        <v>0.33150384193194293</v>
      </c>
      <c r="EB389" s="898">
        <f t="shared" si="1830"/>
        <v>0.34420697412823398</v>
      </c>
      <c r="EC389" s="898">
        <f t="shared" si="1830"/>
        <v>0.34948096885813151</v>
      </c>
      <c r="ED389" s="911">
        <f t="shared" si="1830"/>
        <v>0.33934517203107656</v>
      </c>
      <c r="EE389" s="898">
        <f t="shared" si="1830"/>
        <v>0.34655775962660446</v>
      </c>
      <c r="EF389" s="898">
        <f t="shared" si="1830"/>
        <v>0.32134292565947242</v>
      </c>
      <c r="EG389" s="898">
        <f t="shared" si="1830"/>
        <v>0.28059332509270707</v>
      </c>
      <c r="EH389" s="898">
        <f t="shared" ref="EH389:EJ389" si="1831">EH388/EH344</f>
        <v>0.29081632653061223</v>
      </c>
      <c r="EI389" s="911">
        <f t="shared" si="1830"/>
        <v>0.31059683313032888</v>
      </c>
      <c r="EJ389" s="898">
        <f t="shared" si="1831"/>
        <v>0.29870129870129869</v>
      </c>
      <c r="EK389" s="898">
        <f t="shared" ref="EK389:EL389" si="1832">EK388/EK344</f>
        <v>0.29986789960369881</v>
      </c>
      <c r="EL389" s="898">
        <f t="shared" si="1832"/>
        <v>0.29251700680272108</v>
      </c>
      <c r="EM389" s="898">
        <f t="shared" ref="EM389" si="1833">EM388/EM344</f>
        <v>0.26638176638176636</v>
      </c>
      <c r="EN389" s="911">
        <f t="shared" si="1830"/>
        <v>0.28981106612685559</v>
      </c>
      <c r="EO389" s="898">
        <f t="shared" si="1830"/>
        <v>0.25544267053701014</v>
      </c>
      <c r="EP389" s="898">
        <f t="shared" ref="EP389:EQ389" si="1834">EP388/EP344</f>
        <v>0.27712609970674484</v>
      </c>
      <c r="EQ389" s="898">
        <f t="shared" si="1834"/>
        <v>0.27685325264750377</v>
      </c>
      <c r="ER389" s="898">
        <f t="shared" ref="ER389" si="1835">ER388/ER344</f>
        <v>0.27357032457496139</v>
      </c>
      <c r="ES389" s="1296">
        <f t="shared" ref="ES389:ET389" si="1836">ES388/ES344</f>
        <v>0.27062336692795819</v>
      </c>
      <c r="ET389" s="898">
        <f t="shared" si="1836"/>
        <v>0.26833073322932915</v>
      </c>
      <c r="EU389" s="898">
        <f t="shared" ref="EU389:EV389" si="1837">EU388/EU344</f>
        <v>0.26357827476038337</v>
      </c>
      <c r="EV389" s="898">
        <f t="shared" si="1837"/>
        <v>0.22682119205298013</v>
      </c>
      <c r="EW389" s="898">
        <f t="shared" ref="EW389" si="1838">EW388/EW344</f>
        <v>0.23666666666666666</v>
      </c>
      <c r="EX389" s="1296">
        <f t="shared" ref="EX389" si="1839">EX388/EX344</f>
        <v>0.24929178470254956</v>
      </c>
      <c r="EY389" s="898">
        <f t="shared" ref="EY389:FC389" si="1840">EY388/EY344</f>
        <v>0.21604873872091307</v>
      </c>
      <c r="EZ389" s="898">
        <f t="shared" si="1840"/>
        <v>0.23824470926091917</v>
      </c>
      <c r="FA389" s="898">
        <f t="shared" si="1840"/>
        <v>0.218179719363327</v>
      </c>
      <c r="FB389" s="898">
        <f t="shared" si="1840"/>
        <v>0.24585225181181231</v>
      </c>
      <c r="FC389" s="1296">
        <f t="shared" si="1840"/>
        <v>0.22943076742322313</v>
      </c>
      <c r="FD389" s="932">
        <f t="shared" si="1830"/>
        <v>0.22535634133820051</v>
      </c>
      <c r="FE389" s="932">
        <f t="shared" si="1830"/>
        <v>0.19339910006941599</v>
      </c>
      <c r="FF389" s="932">
        <f t="shared" si="1830"/>
        <v>0.14238067652788514</v>
      </c>
      <c r="FG389" s="932">
        <f t="shared" si="1830"/>
        <v>9.647061641178882E-2</v>
      </c>
      <c r="FH389" s="932">
        <f t="shared" si="1830"/>
        <v>5.4358157673747777E-2</v>
      </c>
      <c r="FI389" s="932">
        <f t="shared" si="1830"/>
        <v>1.5076969613695854E-2</v>
      </c>
    </row>
    <row r="390" spans="1:177" x14ac:dyDescent="0.3">
      <c r="A390" s="46" t="s">
        <v>29</v>
      </c>
      <c r="EE390" s="898">
        <f t="shared" ref="EE390:EW390" si="1841">EE388/DZ388-1</f>
        <v>-4.8076923076923128E-2</v>
      </c>
      <c r="EF390" s="898">
        <f t="shared" si="1841"/>
        <v>-0.11258278145695366</v>
      </c>
      <c r="EG390" s="898">
        <f t="shared" si="1841"/>
        <v>-0.25816993464052285</v>
      </c>
      <c r="EH390" s="898">
        <f t="shared" si="1841"/>
        <v>-0.24752475247524752</v>
      </c>
      <c r="EI390" s="911">
        <f t="shared" si="1841"/>
        <v>-0.16598528209321339</v>
      </c>
      <c r="EJ390" s="898">
        <f t="shared" si="1841"/>
        <v>-0.22558922558922556</v>
      </c>
      <c r="EK390" s="898">
        <f t="shared" si="1841"/>
        <v>-0.15298507462686572</v>
      </c>
      <c r="EL390" s="898">
        <f t="shared" si="1841"/>
        <v>-5.2863436123347984E-2</v>
      </c>
      <c r="EM390" s="898">
        <f t="shared" si="1841"/>
        <v>-0.17982456140350878</v>
      </c>
      <c r="EN390" s="911">
        <f t="shared" si="1841"/>
        <v>-0.15784313725490196</v>
      </c>
      <c r="EO390" s="898">
        <f t="shared" si="1841"/>
        <v>-0.23478260869565215</v>
      </c>
      <c r="EP390" s="898">
        <f t="shared" si="1841"/>
        <v>-0.16740088105726869</v>
      </c>
      <c r="EQ390" s="898">
        <f t="shared" si="1841"/>
        <v>-0.14883720930232558</v>
      </c>
      <c r="ER390" s="898">
        <f t="shared" si="1841"/>
        <v>-5.3475935828876997E-2</v>
      </c>
      <c r="ES390" s="911">
        <f t="shared" ref="ES390" si="1842">ES388/EN388-1</f>
        <v>-0.15599534342258436</v>
      </c>
      <c r="ET390" s="898">
        <f t="shared" si="1841"/>
        <v>-2.2727272727272707E-2</v>
      </c>
      <c r="EU390" s="898">
        <f t="shared" si="1841"/>
        <v>-0.12698412698412698</v>
      </c>
      <c r="EV390" s="898">
        <f t="shared" si="1841"/>
        <v>-0.25136612021857918</v>
      </c>
      <c r="EW390" s="898">
        <f t="shared" si="1841"/>
        <v>-0.19774011299435024</v>
      </c>
      <c r="EX390" s="911">
        <f t="shared" ref="EX390" si="1843">EX388/ES388-1</f>
        <v>-0.15034482758620693</v>
      </c>
      <c r="EY390" s="898">
        <f t="shared" ref="EY390" si="1844">EY388/ET388-1</f>
        <v>-0.29668925326876594</v>
      </c>
      <c r="EZ390" s="898">
        <f t="shared" ref="EZ390" si="1845">EZ388/EU388-1</f>
        <v>-0.20974426095986398</v>
      </c>
      <c r="FA390" s="898">
        <f t="shared" ref="FA390" si="1846">FA388/EV388-1</f>
        <v>-0.16070304225319676</v>
      </c>
      <c r="FB390" s="898">
        <f t="shared" ref="FB390:FC390" si="1847">FB388/EW388-1</f>
        <v>-9.345313215617812E-2</v>
      </c>
      <c r="FC390" s="911">
        <f t="shared" si="1847"/>
        <v>-0.1963068444406989</v>
      </c>
      <c r="FD390" s="898">
        <f t="shared" ref="FD390:FI390" si="1848">FD388/FC388-1</f>
        <v>-0.14505939180200889</v>
      </c>
      <c r="FE390" s="898">
        <f t="shared" si="1848"/>
        <v>-0.24319604359049152</v>
      </c>
      <c r="FF390" s="898">
        <f t="shared" si="1848"/>
        <v>-0.33593890535858484</v>
      </c>
      <c r="FG390" s="898">
        <f t="shared" si="1848"/>
        <v>-0.38049741377195367</v>
      </c>
      <c r="FH390" s="898">
        <f t="shared" si="1848"/>
        <v>-0.48008584119687614</v>
      </c>
      <c r="FI390" s="898">
        <f t="shared" si="1848"/>
        <v>-0.74237097404829144</v>
      </c>
    </row>
    <row r="391" spans="1:177" x14ac:dyDescent="0.3">
      <c r="EO391"/>
      <c r="EP391"/>
      <c r="EQ391"/>
      <c r="ER391"/>
    </row>
    <row r="392" spans="1:177" ht="12.75" customHeight="1" x14ac:dyDescent="0.3">
      <c r="A392" s="105" t="s">
        <v>447</v>
      </c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5"/>
      <c r="BM392" s="105"/>
      <c r="BN392" s="105"/>
      <c r="BO392" s="105"/>
      <c r="BP392" s="105"/>
      <c r="BQ392" s="105"/>
      <c r="BR392" s="106"/>
      <c r="BS392" s="106"/>
      <c r="BT392" s="106"/>
      <c r="BU392" s="106"/>
      <c r="BV392" s="105"/>
      <c r="BW392" s="106"/>
      <c r="BX392" s="106"/>
      <c r="BY392" s="106"/>
      <c r="BZ392" s="106"/>
      <c r="CA392" s="105"/>
      <c r="CB392" s="106"/>
      <c r="CC392" s="106"/>
      <c r="CD392" s="106"/>
      <c r="CE392" s="106"/>
      <c r="CF392" s="105"/>
      <c r="CG392" s="106"/>
      <c r="CH392" s="106"/>
      <c r="CI392" s="106"/>
      <c r="CJ392" s="106"/>
      <c r="CK392" s="105"/>
      <c r="CL392" s="106"/>
      <c r="CM392" s="106"/>
      <c r="CN392" s="106"/>
      <c r="CO392" s="106"/>
      <c r="CP392" s="105"/>
      <c r="CQ392" s="106"/>
      <c r="CR392" s="106"/>
      <c r="CS392" s="106"/>
      <c r="CT392" s="106"/>
      <c r="CU392" s="106"/>
      <c r="CV392" s="106"/>
      <c r="CW392" s="106"/>
      <c r="CX392" s="106"/>
      <c r="CY392" s="106"/>
      <c r="CZ392" s="106"/>
      <c r="DA392" s="106"/>
      <c r="DB392" s="106"/>
      <c r="DC392" s="106"/>
      <c r="DD392" s="106"/>
      <c r="DE392" s="106"/>
      <c r="DF392" s="106"/>
      <c r="DG392" s="106"/>
      <c r="DH392" s="106"/>
      <c r="DI392" s="106"/>
      <c r="DJ392" s="106"/>
      <c r="DK392" s="106"/>
      <c r="DL392" s="106"/>
      <c r="DM392" s="106"/>
      <c r="DN392" s="106"/>
      <c r="DO392" s="106"/>
      <c r="DP392" s="106"/>
      <c r="DQ392" s="106"/>
      <c r="DR392" s="106"/>
      <c r="DS392" s="106"/>
      <c r="DT392" s="106"/>
      <c r="DU392" s="107"/>
      <c r="DV392" s="107"/>
      <c r="DW392" s="107"/>
      <c r="DX392" s="107"/>
      <c r="DY392" s="1205"/>
      <c r="DZ392" s="107"/>
      <c r="EA392" s="107"/>
      <c r="EB392" s="107"/>
      <c r="EC392" s="107"/>
      <c r="ED392" s="1205"/>
      <c r="EE392" s="107"/>
      <c r="EF392" s="107"/>
      <c r="EG392" s="107"/>
      <c r="EH392" s="107"/>
      <c r="EI392" s="1205"/>
      <c r="EJ392" s="107"/>
      <c r="EK392" s="107"/>
      <c r="EL392" s="107"/>
      <c r="EM392" s="107"/>
      <c r="EN392" s="105"/>
      <c r="EO392" s="105"/>
      <c r="EP392" s="105"/>
      <c r="EQ392" s="105"/>
      <c r="ER392" s="105"/>
      <c r="ES392" s="106"/>
      <c r="ET392" s="105"/>
      <c r="EU392" s="105"/>
      <c r="EV392" s="105"/>
      <c r="EW392" s="105"/>
      <c r="EX392" s="106"/>
      <c r="EY392" s="105"/>
      <c r="EZ392" s="105"/>
      <c r="FA392" s="105"/>
      <c r="FB392" s="105"/>
      <c r="FC392" s="106"/>
      <c r="FD392" s="106"/>
      <c r="FE392" s="106"/>
      <c r="FF392" s="106"/>
      <c r="FG392" s="106"/>
      <c r="FH392" s="106"/>
      <c r="FI392" s="106"/>
      <c r="FJ392" s="106"/>
      <c r="FK392" s="106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</row>
    <row r="393" spans="1:177" x14ac:dyDescent="0.3">
      <c r="A393" s="55" t="s">
        <v>448</v>
      </c>
      <c r="EN393" s="85"/>
      <c r="EO393" s="85"/>
      <c r="EP393" s="85"/>
      <c r="EQ393" s="85"/>
      <c r="ER393" s="85"/>
      <c r="ET393" s="85"/>
      <c r="EU393" s="85"/>
      <c r="EV393" s="85"/>
      <c r="EW393" s="85"/>
      <c r="EY393" s="85"/>
      <c r="EZ393" s="85"/>
      <c r="FA393" s="85"/>
      <c r="FB393" s="85"/>
    </row>
    <row r="394" spans="1:177" x14ac:dyDescent="0.3">
      <c r="A394" s="63" t="s">
        <v>449</v>
      </c>
      <c r="DU394" s="76">
        <f>+DU397-DU399</f>
        <v>2802</v>
      </c>
      <c r="DV394" s="76">
        <f>+DU397</f>
        <v>2776</v>
      </c>
      <c r="DW394" s="76">
        <f t="shared" ref="DW394:EC394" si="1849">+DV397</f>
        <v>2724</v>
      </c>
      <c r="DX394" s="76">
        <f t="shared" si="1849"/>
        <v>2676</v>
      </c>
      <c r="DY394" s="85">
        <f>+DU394</f>
        <v>2802</v>
      </c>
      <c r="DZ394" s="76">
        <f t="shared" si="1849"/>
        <v>2647</v>
      </c>
      <c r="EA394" s="76">
        <f t="shared" si="1849"/>
        <v>2634</v>
      </c>
      <c r="EB394" s="76">
        <f t="shared" si="1849"/>
        <v>2624</v>
      </c>
      <c r="EC394" s="76">
        <f t="shared" si="1849"/>
        <v>2610</v>
      </c>
      <c r="ED394" s="85">
        <f>+DZ394</f>
        <v>2647</v>
      </c>
      <c r="EE394" s="76">
        <f>+ED397</f>
        <v>2587</v>
      </c>
      <c r="EF394" s="76">
        <f>+EE397</f>
        <v>2578</v>
      </c>
      <c r="EG394" s="76">
        <f>+EF397</f>
        <v>2560</v>
      </c>
      <c r="EH394" s="76">
        <f>+EG397</f>
        <v>2556</v>
      </c>
      <c r="EI394" s="85">
        <f>+EE394</f>
        <v>2587</v>
      </c>
      <c r="EJ394" s="76">
        <f>+EI397</f>
        <v>2570</v>
      </c>
      <c r="EK394" s="76">
        <f>+EJ397</f>
        <v>2592</v>
      </c>
      <c r="EL394" s="76">
        <f>+EK397</f>
        <v>2601</v>
      </c>
      <c r="EM394" s="76">
        <f>+EL397</f>
        <v>2607</v>
      </c>
      <c r="EN394" s="85">
        <f>+EJ394</f>
        <v>2570</v>
      </c>
      <c r="EO394" s="76">
        <f>+EN397</f>
        <v>2618</v>
      </c>
      <c r="EP394" s="76">
        <f>+EO397</f>
        <v>2646</v>
      </c>
      <c r="EQ394" s="76">
        <f>+EP397</f>
        <v>2650</v>
      </c>
      <c r="ER394" s="76">
        <f>+EQ397</f>
        <v>2667</v>
      </c>
      <c r="ES394" s="85">
        <f>+EO394</f>
        <v>2618</v>
      </c>
      <c r="ET394" s="76">
        <f>+ES397</f>
        <v>2700</v>
      </c>
      <c r="EU394" s="76">
        <f>+ET397</f>
        <v>2734</v>
      </c>
      <c r="EV394" s="76">
        <f>+EU397</f>
        <v>2774</v>
      </c>
      <c r="EW394" s="76">
        <f>+EV397</f>
        <v>2823</v>
      </c>
      <c r="EX394" s="85">
        <f>+ET394</f>
        <v>2700</v>
      </c>
      <c r="EY394" s="76">
        <f t="shared" ref="EY394" si="1850">+EX397</f>
        <v>2861</v>
      </c>
      <c r="EZ394" s="76">
        <f t="shared" ref="EZ394" si="1851">+EY397</f>
        <v>2926.1699966895962</v>
      </c>
      <c r="FA394" s="76">
        <f t="shared" ref="FA394" si="1852">+EZ397</f>
        <v>2991.6884429760757</v>
      </c>
      <c r="FB394" s="76">
        <f t="shared" ref="FB394" si="1853">+FA397</f>
        <v>3063.4767543014759</v>
      </c>
      <c r="FC394" s="85">
        <f>+EY394</f>
        <v>2861</v>
      </c>
      <c r="FD394" s="76">
        <f t="shared" ref="FD394:FI394" si="1854">+FC397</f>
        <v>3141.083525828466</v>
      </c>
      <c r="FE394" s="76">
        <f t="shared" si="1854"/>
        <v>3484.2005256613897</v>
      </c>
      <c r="FF394" s="76">
        <f t="shared" si="1854"/>
        <v>3809.0935562417098</v>
      </c>
      <c r="FG394" s="76">
        <f t="shared" si="1854"/>
        <v>4054.1590691597398</v>
      </c>
      <c r="FH394" s="76">
        <f t="shared" si="1854"/>
        <v>4242.6083542920178</v>
      </c>
      <c r="FI394" s="76">
        <f t="shared" si="1854"/>
        <v>4375.376032489683</v>
      </c>
      <c r="FJ394" s="189">
        <f>+(FF394/ES394)^0.2-1</f>
        <v>7.7879964735173335E-2</v>
      </c>
    </row>
    <row r="395" spans="1:177" x14ac:dyDescent="0.3">
      <c r="A395" s="63" t="s">
        <v>336</v>
      </c>
      <c r="DU395" s="76">
        <f t="shared" ref="DU395:DX397" si="1855">+DU258+DU113</f>
        <v>186.85180000000014</v>
      </c>
      <c r="DV395" s="76">
        <f t="shared" si="1855"/>
        <v>171.74929999999995</v>
      </c>
      <c r="DW395" s="76">
        <f t="shared" si="1855"/>
        <v>179.62020000000007</v>
      </c>
      <c r="DX395" s="76">
        <f t="shared" si="1855"/>
        <v>162.5788</v>
      </c>
      <c r="DY395" s="85">
        <f>+SUM(DU395:DX395)</f>
        <v>700.80010000000016</v>
      </c>
      <c r="DZ395" s="76">
        <f t="shared" ref="DZ395:EC397" si="1856">+DZ258+DZ113</f>
        <v>159.22460000000001</v>
      </c>
      <c r="EA395" s="76">
        <f t="shared" si="1856"/>
        <v>131.82109999999989</v>
      </c>
      <c r="EB395" s="76">
        <f t="shared" si="1856"/>
        <v>140.72529999999983</v>
      </c>
      <c r="EC395" s="76">
        <f t="shared" si="1856"/>
        <v>115.72000000000003</v>
      </c>
      <c r="ED395" s="85">
        <f>+SUM(DZ395:EC395)</f>
        <v>547.49099999999976</v>
      </c>
      <c r="EE395" s="76">
        <f t="shared" ref="EE395:EH397" si="1857">+EE258+EE113</f>
        <v>108.92880000000014</v>
      </c>
      <c r="EF395" s="76">
        <f t="shared" si="1857"/>
        <v>105.9036000000001</v>
      </c>
      <c r="EG395" s="76">
        <f t="shared" si="1857"/>
        <v>128.64830000000006</v>
      </c>
      <c r="EH395" s="76">
        <f t="shared" si="1857"/>
        <v>129.24800000000005</v>
      </c>
      <c r="EI395" s="85">
        <f>+SUM(EE395:EH395)</f>
        <v>472.72870000000034</v>
      </c>
      <c r="EJ395" s="76">
        <f t="shared" ref="EJ395:EM397" si="1858">+EJ258+EJ113</f>
        <v>126.33580000000006</v>
      </c>
      <c r="EK395" s="76">
        <f t="shared" si="1858"/>
        <v>131.03279999999995</v>
      </c>
      <c r="EL395" s="76">
        <f t="shared" si="1858"/>
        <v>145.5018</v>
      </c>
      <c r="EM395" s="76">
        <f t="shared" si="1858"/>
        <v>132.80120000000011</v>
      </c>
      <c r="EN395" s="85">
        <f>+SUM(EJ395:EM395)</f>
        <v>535.67160000000013</v>
      </c>
      <c r="EO395" s="76">
        <f>+EO258+EO113</f>
        <v>138.20590000000016</v>
      </c>
      <c r="EP395" s="76">
        <f>+EP258+EP113</f>
        <v>128.65809999999999</v>
      </c>
      <c r="EQ395" s="76">
        <f>+EQ258+EQ113</f>
        <v>153.63139999999999</v>
      </c>
      <c r="ER395" s="76">
        <f>+ER258+ER113</f>
        <v>146.23800000000006</v>
      </c>
      <c r="ES395" s="85">
        <f>+SUM(EO395:ER395)</f>
        <v>566.73340000000019</v>
      </c>
      <c r="ET395" s="76">
        <f>+ET258+ET113</f>
        <v>151.45539999999994</v>
      </c>
      <c r="EU395" s="76">
        <f>+EU258+EU113</f>
        <v>169.16859999999997</v>
      </c>
      <c r="EV395" s="76">
        <f>+EV258+EV113</f>
        <v>192.03219999999999</v>
      </c>
      <c r="EW395" s="76">
        <f>+EW258+EW113</f>
        <v>173.51930000000016</v>
      </c>
      <c r="EX395" s="85">
        <f>+SUM(ET395:EW395)</f>
        <v>686.17550000000006</v>
      </c>
      <c r="EY395" s="76">
        <f t="shared" ref="EY395:FB395" si="1859">+EY258+EY113</f>
        <v>191.35455668959634</v>
      </c>
      <c r="EZ395" s="76">
        <f t="shared" si="1859"/>
        <v>204.92214714243278</v>
      </c>
      <c r="FA395" s="76">
        <f t="shared" si="1859"/>
        <v>225.86557747771596</v>
      </c>
      <c r="FB395" s="76">
        <f t="shared" si="1859"/>
        <v>222.17148949280312</v>
      </c>
      <c r="FC395" s="85">
        <f>+SUM(EY395:FB395)</f>
        <v>844.31377080254811</v>
      </c>
      <c r="FD395" s="76">
        <f t="shared" ref="FD395:FI395" si="1860">+FD258+FD113</f>
        <v>921.98952763454338</v>
      </c>
      <c r="FE395" s="76">
        <f t="shared" si="1860"/>
        <v>941.05163944831088</v>
      </c>
      <c r="FF395" s="76">
        <f t="shared" si="1860"/>
        <v>902.93904805065415</v>
      </c>
      <c r="FG395" s="76">
        <f t="shared" si="1860"/>
        <v>880.04954318257001</v>
      </c>
      <c r="FH395" s="76">
        <f t="shared" si="1860"/>
        <v>848.85178687674772</v>
      </c>
      <c r="FI395" s="76">
        <f t="shared" si="1860"/>
        <v>814.47328950823953</v>
      </c>
      <c r="FJ395" s="189">
        <f>+(FF395/ES395)^0.2-1</f>
        <v>9.7629890832547472E-2</v>
      </c>
    </row>
    <row r="396" spans="1:177" x14ac:dyDescent="0.3">
      <c r="A396" s="63" t="s">
        <v>337</v>
      </c>
      <c r="DU396" s="76">
        <f t="shared" si="1855"/>
        <v>-212.85180000000003</v>
      </c>
      <c r="DV396" s="76">
        <f t="shared" si="1855"/>
        <v>-223.74930000000001</v>
      </c>
      <c r="DW396" s="76">
        <f t="shared" si="1855"/>
        <v>-227.62020000000001</v>
      </c>
      <c r="DX396" s="76">
        <f t="shared" si="1855"/>
        <v>-191.5788</v>
      </c>
      <c r="DY396" s="85">
        <f>+SUM(DU396:DX396)</f>
        <v>-855.80010000000004</v>
      </c>
      <c r="DZ396" s="76">
        <f t="shared" si="1856"/>
        <v>-172.22460000000001</v>
      </c>
      <c r="EA396" s="76">
        <f t="shared" si="1856"/>
        <v>-141.8211</v>
      </c>
      <c r="EB396" s="76">
        <f t="shared" si="1856"/>
        <v>-154.7253</v>
      </c>
      <c r="EC396" s="76">
        <f t="shared" si="1856"/>
        <v>-138.72</v>
      </c>
      <c r="ED396" s="85">
        <f>+SUM(DZ396:EC396)</f>
        <v>-607.49099999999999</v>
      </c>
      <c r="EE396" s="76">
        <f t="shared" si="1857"/>
        <v>-117.9288</v>
      </c>
      <c r="EF396" s="76">
        <f t="shared" si="1857"/>
        <v>-123.9036</v>
      </c>
      <c r="EG396" s="76">
        <f t="shared" si="1857"/>
        <v>-132.64830000000001</v>
      </c>
      <c r="EH396" s="76">
        <f t="shared" si="1857"/>
        <v>-115.248</v>
      </c>
      <c r="EI396" s="85">
        <f>+SUM(EE396:EH396)</f>
        <v>-489.7287</v>
      </c>
      <c r="EJ396" s="76">
        <f t="shared" si="1858"/>
        <v>-104.33579999999999</v>
      </c>
      <c r="EK396" s="76">
        <f t="shared" si="1858"/>
        <v>-122.03280000000001</v>
      </c>
      <c r="EL396" s="76">
        <f t="shared" si="1858"/>
        <v>-139.5018</v>
      </c>
      <c r="EM396" s="76">
        <f t="shared" si="1858"/>
        <v>-121.80119999999999</v>
      </c>
      <c r="EN396" s="85">
        <f>+SUM(EJ396:EM396)</f>
        <v>-487.67160000000001</v>
      </c>
      <c r="EO396" s="76">
        <f t="shared" ref="EO396:EQ397" si="1861">+EO259+EO114</f>
        <v>-110.2059</v>
      </c>
      <c r="EP396" s="76">
        <f t="shared" si="1861"/>
        <v>-124.6581</v>
      </c>
      <c r="EQ396" s="76">
        <f t="shared" si="1861"/>
        <v>-136.63139999999999</v>
      </c>
      <c r="ER396" s="76">
        <f t="shared" ref="ER396" si="1862">+ER259+ER114</f>
        <v>-113.238</v>
      </c>
      <c r="ES396" s="85">
        <f>+SUM(EO396:ER396)</f>
        <v>-484.73340000000002</v>
      </c>
      <c r="ET396" s="76">
        <f t="shared" ref="ET396:EU396" si="1863">+ET259+ET114</f>
        <v>-117.4554</v>
      </c>
      <c r="EU396" s="76">
        <f t="shared" si="1863"/>
        <v>-129.1686</v>
      </c>
      <c r="EV396" s="76">
        <f t="shared" ref="EV396:EW396" si="1864">+EV259+EV114</f>
        <v>-143.03219999999999</v>
      </c>
      <c r="EW396" s="76">
        <f t="shared" si="1864"/>
        <v>-135.51930000000002</v>
      </c>
      <c r="EX396" s="85">
        <f>+SUM(ET396:EW396)</f>
        <v>-525.17550000000006</v>
      </c>
      <c r="EY396" s="76">
        <f t="shared" ref="EY396:FB396" si="1865">+EY397-SUM(EY394:EY395)</f>
        <v>-126.18456000000015</v>
      </c>
      <c r="EZ396" s="76">
        <f t="shared" si="1865"/>
        <v>-139.4037008559535</v>
      </c>
      <c r="FA396" s="76">
        <f t="shared" si="1865"/>
        <v>-154.07726615231559</v>
      </c>
      <c r="FB396" s="76">
        <f t="shared" si="1865"/>
        <v>-144.56471796581309</v>
      </c>
      <c r="FC396" s="85">
        <f>+SUM(EY396:FB396)</f>
        <v>-564.23024497408232</v>
      </c>
      <c r="FD396" s="76">
        <f t="shared" ref="FD396:FI396" si="1866">+FD397-SUM(FD394:FD395)</f>
        <v>-578.87252780161953</v>
      </c>
      <c r="FE396" s="76">
        <f t="shared" si="1866"/>
        <v>-616.15860886799055</v>
      </c>
      <c r="FF396" s="76">
        <f t="shared" si="1866"/>
        <v>-657.87353513262451</v>
      </c>
      <c r="FG396" s="76">
        <f t="shared" si="1866"/>
        <v>-691.60025805029181</v>
      </c>
      <c r="FH396" s="76">
        <f t="shared" si="1866"/>
        <v>-716.08410867908242</v>
      </c>
      <c r="FI396" s="76">
        <f t="shared" si="1866"/>
        <v>-733.47010023256644</v>
      </c>
      <c r="FJ396" s="189">
        <f>+(FF396/ES396)^0.2-1</f>
        <v>6.2986855262808561E-2</v>
      </c>
    </row>
    <row r="397" spans="1:177" x14ac:dyDescent="0.3">
      <c r="A397" s="64" t="s">
        <v>450</v>
      </c>
      <c r="DT397" s="79"/>
      <c r="DU397" s="803">
        <f t="shared" si="1855"/>
        <v>2776</v>
      </c>
      <c r="DV397" s="803">
        <f t="shared" si="1855"/>
        <v>2724</v>
      </c>
      <c r="DW397" s="803">
        <f t="shared" si="1855"/>
        <v>2676</v>
      </c>
      <c r="DX397" s="803">
        <f t="shared" si="1855"/>
        <v>2647</v>
      </c>
      <c r="DY397" s="803">
        <f>+DX397</f>
        <v>2647</v>
      </c>
      <c r="DZ397" s="803">
        <f t="shared" si="1856"/>
        <v>2634</v>
      </c>
      <c r="EA397" s="803">
        <f t="shared" si="1856"/>
        <v>2624</v>
      </c>
      <c r="EB397" s="803">
        <f t="shared" si="1856"/>
        <v>2610</v>
      </c>
      <c r="EC397" s="803">
        <f t="shared" si="1856"/>
        <v>2587</v>
      </c>
      <c r="ED397" s="803">
        <f>+EC397</f>
        <v>2587</v>
      </c>
      <c r="EE397" s="803">
        <f t="shared" si="1857"/>
        <v>2578</v>
      </c>
      <c r="EF397" s="803">
        <f t="shared" si="1857"/>
        <v>2560</v>
      </c>
      <c r="EG397" s="803">
        <f t="shared" si="1857"/>
        <v>2556</v>
      </c>
      <c r="EH397" s="803">
        <f t="shared" si="1857"/>
        <v>2570</v>
      </c>
      <c r="EI397" s="803">
        <f>+EH397</f>
        <v>2570</v>
      </c>
      <c r="EJ397" s="803">
        <f t="shared" si="1858"/>
        <v>2592</v>
      </c>
      <c r="EK397" s="803">
        <f t="shared" si="1858"/>
        <v>2601</v>
      </c>
      <c r="EL397" s="803">
        <f t="shared" si="1858"/>
        <v>2607</v>
      </c>
      <c r="EM397" s="803">
        <f t="shared" si="1858"/>
        <v>2618</v>
      </c>
      <c r="EN397" s="803">
        <f>+EM397</f>
        <v>2618</v>
      </c>
      <c r="EO397" s="803">
        <f t="shared" si="1861"/>
        <v>2646</v>
      </c>
      <c r="EP397" s="803">
        <f t="shared" si="1861"/>
        <v>2650</v>
      </c>
      <c r="EQ397" s="803">
        <f t="shared" si="1861"/>
        <v>2667</v>
      </c>
      <c r="ER397" s="803">
        <f t="shared" ref="ER397" si="1867">+ER260+ER115</f>
        <v>2700</v>
      </c>
      <c r="ES397" s="803">
        <f>+ER397</f>
        <v>2700</v>
      </c>
      <c r="ET397" s="803">
        <f t="shared" ref="ET397:EU397" si="1868">+ET260+ET115</f>
        <v>2734</v>
      </c>
      <c r="EU397" s="803">
        <f t="shared" si="1868"/>
        <v>2774</v>
      </c>
      <c r="EV397" s="803">
        <f t="shared" ref="EV397:EW397" si="1869">+EV260+EV115</f>
        <v>2823</v>
      </c>
      <c r="EW397" s="803">
        <f t="shared" si="1869"/>
        <v>2861</v>
      </c>
      <c r="EX397" s="803">
        <f>+EW397</f>
        <v>2861</v>
      </c>
      <c r="EY397" s="803">
        <f t="shared" ref="EY397:FB397" si="1870">+EY260+EY115</f>
        <v>2926.1699966895962</v>
      </c>
      <c r="EZ397" s="803">
        <f t="shared" si="1870"/>
        <v>2991.6884429760757</v>
      </c>
      <c r="FA397" s="803">
        <f t="shared" si="1870"/>
        <v>3063.4767543014759</v>
      </c>
      <c r="FB397" s="803">
        <f t="shared" si="1870"/>
        <v>3141.083525828466</v>
      </c>
      <c r="FC397" s="803">
        <f>+FB397</f>
        <v>3141.083525828466</v>
      </c>
      <c r="FD397" s="803">
        <f t="shared" ref="FD397:FI397" si="1871">+FD260+FD115</f>
        <v>3484.2005256613897</v>
      </c>
      <c r="FE397" s="803">
        <f t="shared" si="1871"/>
        <v>3809.0935562417098</v>
      </c>
      <c r="FF397" s="803">
        <f t="shared" si="1871"/>
        <v>4054.1590691597398</v>
      </c>
      <c r="FG397" s="803">
        <f t="shared" si="1871"/>
        <v>4242.6083542920178</v>
      </c>
      <c r="FH397" s="803">
        <f t="shared" si="1871"/>
        <v>4375.376032489683</v>
      </c>
      <c r="FI397" s="803">
        <f t="shared" si="1871"/>
        <v>4456.3792217653563</v>
      </c>
      <c r="FJ397" s="189">
        <f>+(FF397/ES397)^0.2-1</f>
        <v>8.469441522212251E-2</v>
      </c>
    </row>
    <row r="398" spans="1:177" x14ac:dyDescent="0.3">
      <c r="A398" s="61" t="s">
        <v>339</v>
      </c>
      <c r="DZ398" s="83">
        <f t="shared" ref="DZ398:EI398" si="1872">+DZ397/DU397-1</f>
        <v>-5.1152737752161337E-2</v>
      </c>
      <c r="EA398" s="83">
        <f t="shared" si="1872"/>
        <v>-3.6710719530102742E-2</v>
      </c>
      <c r="EB398" s="83">
        <f t="shared" si="1872"/>
        <v>-2.4663677130044803E-2</v>
      </c>
      <c r="EC398" s="83">
        <f t="shared" si="1872"/>
        <v>-2.2667170381564072E-2</v>
      </c>
      <c r="ED398" s="91">
        <f t="shared" si="1872"/>
        <v>-2.2667170381564072E-2</v>
      </c>
      <c r="EE398" s="83">
        <f>+EE397/DZ397-1</f>
        <v>-2.1260440394836766E-2</v>
      </c>
      <c r="EF398" s="83">
        <f>+EF397/EA397-1</f>
        <v>-2.4390243902439046E-2</v>
      </c>
      <c r="EG398" s="83">
        <f>+EG397/EB397-1</f>
        <v>-2.0689655172413834E-2</v>
      </c>
      <c r="EH398" s="83">
        <f>+EH397/EC397-1</f>
        <v>-6.571318129107051E-3</v>
      </c>
      <c r="EI398" s="91">
        <f t="shared" si="1872"/>
        <v>-6.571318129107051E-3</v>
      </c>
      <c r="EJ398" s="83">
        <f t="shared" ref="EJ398:EW398" si="1873">+EJ397/EE397-1</f>
        <v>5.430566330488773E-3</v>
      </c>
      <c r="EK398" s="83">
        <f t="shared" si="1873"/>
        <v>1.6015625000000089E-2</v>
      </c>
      <c r="EL398" s="83">
        <f t="shared" si="1873"/>
        <v>1.9953051643192499E-2</v>
      </c>
      <c r="EM398" s="83">
        <f t="shared" si="1873"/>
        <v>1.8677042801556354E-2</v>
      </c>
      <c r="EN398" s="91">
        <f t="shared" si="1873"/>
        <v>1.8677042801556354E-2</v>
      </c>
      <c r="EO398" s="83">
        <f t="shared" si="1873"/>
        <v>2.0833333333333259E-2</v>
      </c>
      <c r="EP398" s="83">
        <f t="shared" si="1873"/>
        <v>1.8838908112264408E-2</v>
      </c>
      <c r="EQ398" s="83">
        <f t="shared" si="1873"/>
        <v>2.3014959723820505E-2</v>
      </c>
      <c r="ER398" s="83">
        <f t="shared" si="1873"/>
        <v>3.1321619556913705E-2</v>
      </c>
      <c r="ES398" s="91">
        <f>+ES397/EN397-1</f>
        <v>3.1321619556913705E-2</v>
      </c>
      <c r="ET398" s="83">
        <f t="shared" si="1873"/>
        <v>3.3257747543461891E-2</v>
      </c>
      <c r="EU398" s="83">
        <f t="shared" si="1873"/>
        <v>4.6792452830188624E-2</v>
      </c>
      <c r="EV398" s="83">
        <f t="shared" si="1873"/>
        <v>5.8492688413948279E-2</v>
      </c>
      <c r="EW398" s="83">
        <f t="shared" si="1873"/>
        <v>5.9629629629629699E-2</v>
      </c>
      <c r="EX398" s="91">
        <f>+EX397/ES397-1</f>
        <v>5.9629629629629699E-2</v>
      </c>
      <c r="EY398" s="83">
        <f t="shared" ref="EY398" si="1874">+EY397/ET397-1</f>
        <v>7.0288952702851626E-2</v>
      </c>
      <c r="EZ398" s="83">
        <f t="shared" ref="EZ398" si="1875">+EZ397/EU397-1</f>
        <v>7.8474564879623454E-2</v>
      </c>
      <c r="FA398" s="83">
        <f t="shared" ref="FA398" si="1876">+FA397/EV397-1</f>
        <v>8.518482263601701E-2</v>
      </c>
      <c r="FB398" s="83">
        <f t="shared" ref="FB398" si="1877">+FB397/EW397-1</f>
        <v>9.7897072991424583E-2</v>
      </c>
      <c r="FC398" s="91">
        <f>+FC397/EX397-1</f>
        <v>9.7897072991424583E-2</v>
      </c>
      <c r="FD398" s="83">
        <f t="shared" ref="FD398:FI398" si="1878">+FD397/FC397-1</f>
        <v>0.10923523587053485</v>
      </c>
      <c r="FE398" s="83">
        <f t="shared" si="1878"/>
        <v>9.3247512072700545E-2</v>
      </c>
      <c r="FF398" s="83">
        <f t="shared" si="1878"/>
        <v>6.4336963453275553E-2</v>
      </c>
      <c r="FG398" s="83">
        <f t="shared" si="1878"/>
        <v>4.6482952917616061E-2</v>
      </c>
      <c r="FH398" s="83">
        <f t="shared" si="1878"/>
        <v>3.1293880346827452E-2</v>
      </c>
      <c r="FI398" s="83">
        <f t="shared" si="1878"/>
        <v>1.8513423457590328E-2</v>
      </c>
    </row>
    <row r="399" spans="1:177" x14ac:dyDescent="0.3">
      <c r="A399" s="65" t="s">
        <v>340</v>
      </c>
      <c r="DU399" s="77">
        <f>+DU262+DU117</f>
        <v>-26</v>
      </c>
      <c r="DV399" s="77">
        <f>+DV397-DU397</f>
        <v>-52</v>
      </c>
      <c r="DW399" s="77">
        <f>+DW397-DV397</f>
        <v>-48</v>
      </c>
      <c r="DX399" s="77">
        <f>+DX397-DW397</f>
        <v>-29</v>
      </c>
      <c r="DY399" s="86">
        <f>+SUM(DU399:DX399)</f>
        <v>-155</v>
      </c>
      <c r="DZ399" s="77">
        <f>+DZ397-DY397</f>
        <v>-13</v>
      </c>
      <c r="EA399" s="77">
        <f>+EA397-DZ397</f>
        <v>-10</v>
      </c>
      <c r="EB399" s="77">
        <f>+EB397-EA397</f>
        <v>-14</v>
      </c>
      <c r="EC399" s="77">
        <f>+EC397-EB397</f>
        <v>-23</v>
      </c>
      <c r="ED399" s="86">
        <f>+SUM(DZ399:EC399)</f>
        <v>-60</v>
      </c>
      <c r="EE399" s="77">
        <f>+EE397-ED397</f>
        <v>-9</v>
      </c>
      <c r="EF399" s="77">
        <f>+EF397-EE397</f>
        <v>-18</v>
      </c>
      <c r="EG399" s="77">
        <f>+EG397-EF397</f>
        <v>-4</v>
      </c>
      <c r="EH399" s="77">
        <f>+EH397-EG397</f>
        <v>14</v>
      </c>
      <c r="EI399" s="86">
        <f>+SUM(EE399:EH399)</f>
        <v>-17</v>
      </c>
      <c r="EJ399" s="77">
        <f>+EJ397-EI397</f>
        <v>22</v>
      </c>
      <c r="EK399" s="77">
        <f>+EK397-EJ397</f>
        <v>9</v>
      </c>
      <c r="EL399" s="77">
        <f>+EL397-EK397</f>
        <v>6</v>
      </c>
      <c r="EM399" s="77">
        <f>+EM397-EL397</f>
        <v>11</v>
      </c>
      <c r="EN399" s="86">
        <f>+SUM(EJ399:EM399)</f>
        <v>48</v>
      </c>
      <c r="EO399" s="77">
        <f>+EO397-EN397</f>
        <v>28</v>
      </c>
      <c r="EP399" s="77">
        <f>+EP397-EO397</f>
        <v>4</v>
      </c>
      <c r="EQ399" s="77">
        <f>+EQ397-EP397</f>
        <v>17</v>
      </c>
      <c r="ER399" s="77">
        <f>+ER397-EQ397</f>
        <v>33</v>
      </c>
      <c r="ES399" s="86">
        <f>+SUM(EO399:ER399)</f>
        <v>82</v>
      </c>
      <c r="ET399" s="77">
        <f>+ET397-ES397</f>
        <v>34</v>
      </c>
      <c r="EU399" s="77">
        <f>+EU397-ET397</f>
        <v>40</v>
      </c>
      <c r="EV399" s="77">
        <f>+EV397-EU397</f>
        <v>49</v>
      </c>
      <c r="EW399" s="77">
        <f>+EW397-EV397</f>
        <v>38</v>
      </c>
      <c r="EX399" s="86">
        <f>+SUM(ET399:EW399)</f>
        <v>161</v>
      </c>
      <c r="EY399" s="77">
        <f t="shared" ref="EY399" si="1879">+EY397-EX397</f>
        <v>65.169996689596246</v>
      </c>
      <c r="EZ399" s="77">
        <f t="shared" ref="EZ399" si="1880">+EZ397-EY397</f>
        <v>65.518446286479502</v>
      </c>
      <c r="FA399" s="77">
        <f t="shared" ref="FA399" si="1881">+FA397-EZ397</f>
        <v>71.788311325400173</v>
      </c>
      <c r="FB399" s="77">
        <f t="shared" ref="FB399" si="1882">+FB397-FA397</f>
        <v>77.606771526990087</v>
      </c>
      <c r="FC399" s="86">
        <f>+SUM(EY399:FB399)</f>
        <v>280.08352582846601</v>
      </c>
      <c r="FD399" s="77">
        <f t="shared" ref="FD399:FI399" si="1883">+FD397-FC397</f>
        <v>343.11699983292374</v>
      </c>
      <c r="FE399" s="77">
        <f t="shared" si="1883"/>
        <v>324.8930305803201</v>
      </c>
      <c r="FF399" s="77">
        <f t="shared" si="1883"/>
        <v>245.06551291802998</v>
      </c>
      <c r="FG399" s="77">
        <f t="shared" si="1883"/>
        <v>188.44928513227796</v>
      </c>
      <c r="FH399" s="77">
        <f t="shared" si="1883"/>
        <v>132.76767819766519</v>
      </c>
      <c r="FI399" s="77">
        <f t="shared" si="1883"/>
        <v>81.003189275673321</v>
      </c>
    </row>
    <row r="400" spans="1:177" x14ac:dyDescent="0.3">
      <c r="A400" s="65" t="s">
        <v>341</v>
      </c>
      <c r="DV400" s="83">
        <f>+DV395/AVERAGE(DU99:DV99)</f>
        <v>1.1299296052631575E-2</v>
      </c>
      <c r="DW400" s="83">
        <f>+DW395/AVERAGE(DV99:DW99)</f>
        <v>1.1817118421052637E-2</v>
      </c>
      <c r="DX400" s="83">
        <f>+DX395/AVERAGE(DW99:DX99)</f>
        <v>1.0695973684210526E-2</v>
      </c>
      <c r="DY400" s="91">
        <f>+DY395/AVERAGE(DU99:DX99)</f>
        <v>4.6105269736842112E-2</v>
      </c>
      <c r="DZ400" s="83">
        <f>+DZ395/AVERAGE(DY99:DZ99)</f>
        <v>1.0475302631578948E-2</v>
      </c>
      <c r="EA400" s="83">
        <f>+EA395/AVERAGE(DZ99:EA99)</f>
        <v>8.6724407894736774E-3</v>
      </c>
      <c r="EB400" s="83">
        <f>+EB395/AVERAGE(EA99:EB99)</f>
        <v>9.2582434210526209E-3</v>
      </c>
      <c r="EC400" s="83">
        <f>+EC395/AVERAGE(EB99:EC99)</f>
        <v>7.6131578947368442E-3</v>
      </c>
      <c r="ED400" s="91">
        <f>+ED395/AVERAGE(DZ99:EC99)</f>
        <v>3.601914473684209E-2</v>
      </c>
      <c r="EE400" s="83">
        <f>+EE395/AVERAGE(ED99:EE99)</f>
        <v>7.1663684210526409E-3</v>
      </c>
      <c r="EF400" s="83">
        <f>+EF395/AVERAGE(EE99:EF99)</f>
        <v>6.9444983606557443E-3</v>
      </c>
      <c r="EG400" s="83">
        <f>+EG395/AVERAGE(EF99:EG99)</f>
        <v>8.4083856209150373E-3</v>
      </c>
      <c r="EH400" s="83">
        <f>+EH395/AVERAGE(EG99:EH99)</f>
        <v>8.4475816993464081E-3</v>
      </c>
      <c r="EI400" s="91">
        <f>+EI395/AVERAGE(EE99:EH99)</f>
        <v>3.0947869067103131E-2</v>
      </c>
      <c r="EJ400" s="83">
        <f>+EJ395/AVERAGE(EI99:EJ99)</f>
        <v>8.2572418300653639E-3</v>
      </c>
      <c r="EK400" s="83">
        <f>+EK395/AVERAGE(EJ99:EK99)</f>
        <v>8.5642352941176433E-3</v>
      </c>
      <c r="EL400" s="83">
        <f>+EL395/AVERAGE(EK99:EL99)</f>
        <v>9.5099215686274517E-3</v>
      </c>
      <c r="EM400" s="83">
        <f>+EM395/AVERAGE(EL99:EM99)</f>
        <v>8.6515439739413749E-3</v>
      </c>
      <c r="EN400" s="91">
        <f>+EN395/AVERAGE(EJ99:EM99)</f>
        <v>3.4954101141924966E-2</v>
      </c>
      <c r="EO400" s="83">
        <f>+EO395/AVERAGE(EN99:EO99)</f>
        <v>8.9744090909091006E-3</v>
      </c>
      <c r="EP400" s="83">
        <f>+EP395/AVERAGE(EO99:EP99)</f>
        <v>8.354422077922077E-3</v>
      </c>
      <c r="EQ400" s="83">
        <f>+EQ395/AVERAGE(EP99:EQ99)</f>
        <v>9.9760649350649332E-3</v>
      </c>
      <c r="ER400" s="83">
        <f>+ER395/AVERAGE(EQ99:ER99)</f>
        <v>9.4959740259740293E-3</v>
      </c>
      <c r="ES400" s="91">
        <f>+ES395/AVERAGE(EO99:ER99)</f>
        <v>3.6800870129870142E-2</v>
      </c>
      <c r="ET400" s="83">
        <f>+ET395/AVERAGE(ES99:ET99)</f>
        <v>9.8347662337662303E-3</v>
      </c>
      <c r="EU400" s="83">
        <f>+EU395/AVERAGE(ET99:EU99)</f>
        <v>1.0984974025974025E-2</v>
      </c>
      <c r="EV400" s="83">
        <f>+EV395/AVERAGE(EU99:EV99)</f>
        <v>1.2469623376623376E-2</v>
      </c>
      <c r="EW400" s="83">
        <f>+EW395/AVERAGE(EV99:EW99)</f>
        <v>1.1231022653721693E-2</v>
      </c>
      <c r="EX400" s="91">
        <f>+EX395/AVERAGE(ET99:EW99)</f>
        <v>4.4484635332252838E-2</v>
      </c>
      <c r="EY400" s="83">
        <f t="shared" ref="EY400" si="1884">+EY395/AVERAGE(EX99:EY99)</f>
        <v>1.2331631908721439E-2</v>
      </c>
      <c r="EZ400" s="83">
        <f t="shared" ref="EZ400" si="1885">+EZ395/AVERAGE(EY99:EZ99)</f>
        <v>1.3179777572194434E-2</v>
      </c>
      <c r="FA400" s="83">
        <f t="shared" ref="FA400" si="1886">+FA395/AVERAGE(EZ99:FA99)</f>
        <v>1.4501639787528293E-2</v>
      </c>
      <c r="FB400" s="83">
        <f t="shared" ref="FB400" si="1887">+FB395/AVERAGE(FA99:FB99)</f>
        <v>1.4243063196016502E-2</v>
      </c>
      <c r="FC400" s="91">
        <f>+FC395/AVERAGE(EY99:FB99)</f>
        <v>5.4215121348103058E-2</v>
      </c>
      <c r="FD400" s="83">
        <f t="shared" ref="FD400:FI400" si="1888">+FD395/AVERAGE(FC99:FD99)</f>
        <v>5.8863684483909967E-2</v>
      </c>
      <c r="FE400" s="83">
        <f t="shared" si="1888"/>
        <v>5.9663048438039802E-2</v>
      </c>
      <c r="FF400" s="83">
        <f t="shared" si="1888"/>
        <v>5.6848753700396416E-2</v>
      </c>
      <c r="FG400" s="83">
        <f t="shared" si="1888"/>
        <v>5.5022480431073856E-2</v>
      </c>
      <c r="FH400" s="83">
        <f t="shared" si="1888"/>
        <v>5.2703012412901963E-2</v>
      </c>
      <c r="FI400" s="83">
        <f t="shared" si="1888"/>
        <v>5.0217021261349991E-2</v>
      </c>
    </row>
    <row r="401" spans="1:167" x14ac:dyDescent="0.3">
      <c r="A401" s="65" t="s">
        <v>342</v>
      </c>
      <c r="DV401" s="83">
        <f>+DV396/AVERAGE(DU394:DV394)/-3</f>
        <v>2.6741878809609178E-2</v>
      </c>
      <c r="DW401" s="83">
        <f t="shared" ref="DW401:EC401" si="1889">+DW396/AVERAGE(DV394:DW394)/-3</f>
        <v>2.7590327272727273E-2</v>
      </c>
      <c r="DX401" s="83">
        <f t="shared" si="1889"/>
        <v>2.3651703703703703E-2</v>
      </c>
      <c r="DY401" s="91">
        <f>+DY396/AVERAGE(DU394:DX394)/-12</f>
        <v>2.5985306977591549E-2</v>
      </c>
      <c r="DZ401" s="83">
        <f t="shared" si="1889"/>
        <v>2.1071095613874106E-2</v>
      </c>
      <c r="EA401" s="83">
        <f t="shared" si="1889"/>
        <v>1.7903313766332134E-2</v>
      </c>
      <c r="EB401" s="83">
        <f t="shared" si="1889"/>
        <v>1.961776340813998E-2</v>
      </c>
      <c r="EC401" s="83">
        <f t="shared" si="1889"/>
        <v>1.7669086740542607E-2</v>
      </c>
      <c r="ED401" s="91">
        <f>+ED396/AVERAGE(DZ394:EC394)/-12</f>
        <v>1.9257917261055635E-2</v>
      </c>
      <c r="EE401" s="83">
        <f>+EE396/AVERAGE(ED394:EE394)/-3</f>
        <v>1.5020863584256782E-2</v>
      </c>
      <c r="EF401" s="83">
        <f>+EF396/AVERAGE(EE394:EF394)/-3</f>
        <v>1.5992720232333012E-2</v>
      </c>
      <c r="EG401" s="83">
        <f>+EG396/AVERAGE(EF394:EG394)/-3</f>
        <v>1.7211405216037371E-2</v>
      </c>
      <c r="EH401" s="83">
        <f>+EH396/AVERAGE(EG394:EH394)/-3</f>
        <v>1.5017982799061767E-2</v>
      </c>
      <c r="EI401" s="91">
        <f>+EI396/AVERAGE(EE394:EH394)/-12</f>
        <v>1.5878114969360958E-2</v>
      </c>
      <c r="EJ401" s="83">
        <f>+EJ396/AVERAGE(EI394:EJ394)/-3</f>
        <v>1.3487919332945511E-2</v>
      </c>
      <c r="EK401" s="83">
        <f>+EK396/AVERAGE(EJ394:EK394)/-3</f>
        <v>1.5760402944595121E-2</v>
      </c>
      <c r="EL401" s="83">
        <f>+EL396/AVERAGE(EK394:EL394)/-3</f>
        <v>1.790895436164067E-2</v>
      </c>
      <c r="EM401" s="83">
        <f>+EM396/AVERAGE(EL394:EM394)/-3</f>
        <v>1.5591551459293395E-2</v>
      </c>
      <c r="EN401" s="91">
        <f>+EN396/AVERAGE(EJ394:EM394)/-12</f>
        <v>1.5675718418514947E-2</v>
      </c>
      <c r="EO401" s="83">
        <f>+EO396/AVERAGE(EN394:EO394)/-3</f>
        <v>1.4161642251349268E-2</v>
      </c>
      <c r="EP401" s="83">
        <f>+EP396/AVERAGE(EO394:EP394)/-3</f>
        <v>1.5787499999999999E-2</v>
      </c>
      <c r="EQ401" s="83">
        <f>+EQ396/AVERAGE(EP394:EQ394)/-3</f>
        <v>1.7199320241691841E-2</v>
      </c>
      <c r="ER401" s="83">
        <f>+ER396/AVERAGE(EQ394:ER394)/-3</f>
        <v>1.4198232085762647E-2</v>
      </c>
      <c r="ES401" s="91">
        <f>+ES396/AVERAGE(EO394:ER394)/-12</f>
        <v>1.5270560438521879E-2</v>
      </c>
      <c r="ET401" s="83">
        <f>+ET396/AVERAGE(ES394:ET394)/-3</f>
        <v>1.4724257239563747E-2</v>
      </c>
      <c r="EU401" s="83">
        <f>+EU396/AVERAGE(ET394:EU394)/-3</f>
        <v>1.5846963562753037E-2</v>
      </c>
      <c r="EV401" s="83">
        <f>+EV396/AVERAGE(EU394:EV394)/-3</f>
        <v>1.7312055192447346E-2</v>
      </c>
      <c r="EW401" s="83">
        <f>+EW396/AVERAGE(EV394:EW394)/-3</f>
        <v>1.6141897445059856E-2</v>
      </c>
      <c r="EX401" s="91">
        <f>+EX396/AVERAGE(ET394:EW394)/-12</f>
        <v>1.5869685431964466E-2</v>
      </c>
      <c r="EY401" s="83">
        <f t="shared" ref="EY401" si="1890">+EY396/AVERAGE(EX394:EY394)/-3</f>
        <v>1.5127322424024474E-2</v>
      </c>
      <c r="EZ401" s="83">
        <f t="shared" ref="EZ401" si="1891">+EZ396/AVERAGE(EY394:EZ394)/-3</f>
        <v>1.6058937377646975E-2</v>
      </c>
      <c r="FA401" s="83">
        <f t="shared" ref="FA401" si="1892">+FA396/AVERAGE(EZ394:FA394)/-3</f>
        <v>1.7357322498015026E-2</v>
      </c>
      <c r="FB401" s="83">
        <f t="shared" ref="FB401" si="1893">+FB396/AVERAGE(FA394:FB394)/-3</f>
        <v>1.5916407811170371E-2</v>
      </c>
      <c r="FC401" s="91">
        <f>+FC396/AVERAGE(EY394:FB394)/-12</f>
        <v>1.5881728159536156E-2</v>
      </c>
      <c r="FD401" s="83">
        <f t="shared" ref="FD401:FI401" si="1894">+FD396/AVERAGE(FC394:FD394)/-12</f>
        <v>1.6074210600107622E-2</v>
      </c>
      <c r="FE401" s="83">
        <f t="shared" si="1894"/>
        <v>1.5500180925058659E-2</v>
      </c>
      <c r="FF401" s="83">
        <f t="shared" si="1894"/>
        <v>1.5033754015326917E-2</v>
      </c>
      <c r="FG401" s="83">
        <f t="shared" si="1894"/>
        <v>1.4658909635268625E-2</v>
      </c>
      <c r="FH401" s="83">
        <f t="shared" si="1894"/>
        <v>1.4384801375673717E-2</v>
      </c>
      <c r="FI401" s="83">
        <f t="shared" si="1894"/>
        <v>1.4184873308998756E-2</v>
      </c>
    </row>
    <row r="402" spans="1:167" x14ac:dyDescent="0.3">
      <c r="A402" s="65" t="s">
        <v>210</v>
      </c>
      <c r="DU402" s="75">
        <f t="shared" ref="DU402:FI402" si="1895">+DU397/DU99</f>
        <v>0.18263157894736842</v>
      </c>
      <c r="DV402" s="75">
        <f t="shared" si="1895"/>
        <v>0.17921052631578949</v>
      </c>
      <c r="DW402" s="75">
        <f t="shared" si="1895"/>
        <v>0.17605263157894738</v>
      </c>
      <c r="DX402" s="75">
        <f t="shared" si="1895"/>
        <v>0.17414473684210527</v>
      </c>
      <c r="DY402" s="84">
        <f t="shared" si="1895"/>
        <v>0.17414473684210527</v>
      </c>
      <c r="DZ402" s="75">
        <f t="shared" si="1895"/>
        <v>0.17328947368421052</v>
      </c>
      <c r="EA402" s="75">
        <f t="shared" si="1895"/>
        <v>0.17263157894736841</v>
      </c>
      <c r="EB402" s="75">
        <f t="shared" si="1895"/>
        <v>0.17171052631578948</v>
      </c>
      <c r="EC402" s="75">
        <f t="shared" si="1895"/>
        <v>0.17019736842105262</v>
      </c>
      <c r="ED402" s="84">
        <f t="shared" si="1895"/>
        <v>0.17019736842105262</v>
      </c>
      <c r="EE402" s="75">
        <f t="shared" si="1895"/>
        <v>0.16960526315789473</v>
      </c>
      <c r="EF402" s="75">
        <f t="shared" si="1895"/>
        <v>0.16732026143790849</v>
      </c>
      <c r="EG402" s="75">
        <f t="shared" si="1895"/>
        <v>0.16705882352941176</v>
      </c>
      <c r="EH402" s="75">
        <f t="shared" si="1895"/>
        <v>0.16797385620915034</v>
      </c>
      <c r="EI402" s="84">
        <f t="shared" si="1895"/>
        <v>0.16797385620915034</v>
      </c>
      <c r="EJ402" s="75">
        <f t="shared" si="1895"/>
        <v>0.16941176470588235</v>
      </c>
      <c r="EK402" s="75">
        <f t="shared" si="1895"/>
        <v>0.17</v>
      </c>
      <c r="EL402" s="75">
        <f t="shared" si="1895"/>
        <v>0.17039215686274509</v>
      </c>
      <c r="EM402" s="75">
        <f t="shared" si="1895"/>
        <v>0.17</v>
      </c>
      <c r="EN402" s="84">
        <f t="shared" si="1895"/>
        <v>0.17</v>
      </c>
      <c r="EO402" s="75">
        <f t="shared" si="1895"/>
        <v>0.17181818181818181</v>
      </c>
      <c r="EP402" s="75">
        <f t="shared" si="1895"/>
        <v>0.17207792207792208</v>
      </c>
      <c r="EQ402" s="75">
        <f t="shared" ref="EQ402:ER402" si="1896">+EQ397/EQ99</f>
        <v>0.17318181818181819</v>
      </c>
      <c r="ER402" s="75">
        <f t="shared" si="1896"/>
        <v>0.17532467532467533</v>
      </c>
      <c r="ES402" s="84">
        <f t="shared" si="1895"/>
        <v>0.17532467532467533</v>
      </c>
      <c r="ET402" s="75">
        <f t="shared" ref="ET402:EU402" si="1897">+ET397/ET99</f>
        <v>0.17753246753246754</v>
      </c>
      <c r="EU402" s="75">
        <f t="shared" si="1897"/>
        <v>0.18012987012987014</v>
      </c>
      <c r="EV402" s="75">
        <f t="shared" ref="EV402:EW402" si="1898">+EV397/EV99</f>
        <v>0.18331168831168831</v>
      </c>
      <c r="EW402" s="75">
        <f t="shared" si="1898"/>
        <v>0.18458064516129033</v>
      </c>
      <c r="EX402" s="84">
        <f t="shared" ref="EX402" si="1899">+EX397/EX99</f>
        <v>0.18458064516129033</v>
      </c>
      <c r="EY402" s="75">
        <f t="shared" ref="EY402:FC402" si="1900">+EY397/EY99</f>
        <v>0.18836286368880067</v>
      </c>
      <c r="EZ402" s="75">
        <f t="shared" si="1900"/>
        <v>0.19224689095510619</v>
      </c>
      <c r="FA402" s="75">
        <f t="shared" si="1900"/>
        <v>0.19651969569536012</v>
      </c>
      <c r="FB402" s="75">
        <f t="shared" si="1900"/>
        <v>0.20124185705407094</v>
      </c>
      <c r="FC402" s="84">
        <f t="shared" si="1900"/>
        <v>0.20124185705407094</v>
      </c>
      <c r="FD402" s="75">
        <f t="shared" si="1895"/>
        <v>0.22167284883455499</v>
      </c>
      <c r="FE402" s="75">
        <f t="shared" si="1895"/>
        <v>0.24065867972437449</v>
      </c>
      <c r="FF402" s="75">
        <f t="shared" si="1895"/>
        <v>0.25436139861620172</v>
      </c>
      <c r="FG402" s="75">
        <f t="shared" si="1895"/>
        <v>0.26433452585117934</v>
      </c>
      <c r="FH402" s="75">
        <f t="shared" si="1895"/>
        <v>0.2707115976908655</v>
      </c>
      <c r="FI402" s="75">
        <f t="shared" si="1895"/>
        <v>0.27380674889155648</v>
      </c>
    </row>
    <row r="403" spans="1:167" x14ac:dyDescent="0.3">
      <c r="A403" s="66"/>
      <c r="EO403"/>
      <c r="EP403"/>
      <c r="EQ403"/>
      <c r="ER403"/>
      <c r="ES403" s="90"/>
    </row>
    <row r="404" spans="1:167" s="108" customFormat="1" x14ac:dyDescent="0.3">
      <c r="A404" s="78" t="s">
        <v>451</v>
      </c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  <c r="Z404" s="119"/>
      <c r="AA404" s="119"/>
      <c r="AB404" s="119"/>
      <c r="AC404" s="119"/>
      <c r="AD404" s="119"/>
      <c r="AE404" s="119"/>
      <c r="AF404" s="119"/>
      <c r="AG404" s="119"/>
      <c r="AH404" s="119"/>
      <c r="AI404" s="119"/>
      <c r="AJ404" s="119"/>
      <c r="AK404" s="119"/>
      <c r="AL404" s="119"/>
      <c r="AM404" s="119"/>
      <c r="AN404" s="119"/>
      <c r="AO404" s="119"/>
      <c r="AP404" s="119"/>
      <c r="AQ404" s="119"/>
      <c r="AR404" s="119"/>
      <c r="AS404" s="119"/>
      <c r="AT404" s="119"/>
      <c r="AU404" s="119"/>
      <c r="AV404" s="119"/>
      <c r="AW404" s="119"/>
      <c r="AX404" s="119"/>
      <c r="AY404" s="119"/>
      <c r="AZ404" s="119"/>
      <c r="BA404" s="119"/>
      <c r="BB404" s="119"/>
      <c r="BC404" s="119"/>
      <c r="BD404" s="119"/>
      <c r="BE404" s="119"/>
      <c r="BF404" s="119"/>
      <c r="BG404" s="119"/>
      <c r="BH404" s="119"/>
      <c r="BI404" s="119"/>
      <c r="BJ404" s="119"/>
      <c r="BK404" s="119"/>
      <c r="BL404" s="119"/>
      <c r="BM404" s="119"/>
      <c r="BN404" s="119"/>
      <c r="BO404" s="119"/>
      <c r="BP404" s="119"/>
      <c r="BQ404" s="119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19"/>
      <c r="CB404" s="119"/>
      <c r="CC404" s="119"/>
      <c r="CD404" s="119"/>
      <c r="CE404" s="119"/>
      <c r="CF404" s="119"/>
      <c r="CG404" s="119"/>
      <c r="CH404" s="119"/>
      <c r="CI404" s="119"/>
      <c r="CJ404" s="119"/>
      <c r="CK404" s="119"/>
      <c r="CL404" s="119"/>
      <c r="CM404" s="119"/>
      <c r="CN404" s="119"/>
      <c r="CO404" s="119"/>
      <c r="CP404" s="119"/>
      <c r="CQ404" s="119"/>
      <c r="CR404" s="119"/>
      <c r="CS404" s="119"/>
      <c r="CT404" s="119"/>
      <c r="CU404" s="119"/>
      <c r="CV404" s="119"/>
      <c r="CW404" s="119"/>
      <c r="CX404" s="119"/>
      <c r="CY404" s="119"/>
      <c r="CZ404" s="119"/>
      <c r="DA404" s="119"/>
      <c r="DB404" s="119"/>
      <c r="DC404" s="119"/>
      <c r="DD404" s="119"/>
      <c r="DE404" s="119"/>
      <c r="DF404" s="119"/>
      <c r="DG404" s="119"/>
      <c r="DH404" s="119"/>
      <c r="DI404" s="119"/>
      <c r="DJ404" s="119"/>
      <c r="DK404" s="119"/>
      <c r="DL404" s="119"/>
      <c r="DM404" s="119"/>
      <c r="DN404" s="119"/>
      <c r="DO404" s="119"/>
      <c r="DP404" s="119"/>
      <c r="DQ404" s="119"/>
      <c r="DR404" s="119"/>
      <c r="DS404" s="119"/>
      <c r="DT404" s="119"/>
      <c r="DU404" s="119"/>
      <c r="DV404" s="119"/>
      <c r="DW404" s="119"/>
      <c r="DX404" s="119"/>
      <c r="DY404" s="1202"/>
      <c r="DZ404" s="119"/>
      <c r="EA404" s="119"/>
      <c r="EB404" s="119"/>
      <c r="EC404" s="119"/>
      <c r="ED404" s="1202"/>
      <c r="EE404" s="119"/>
      <c r="EF404" s="119"/>
      <c r="EG404" s="119"/>
      <c r="EH404" s="119"/>
      <c r="EI404" s="1202"/>
      <c r="EJ404" s="119"/>
      <c r="EK404" s="119"/>
      <c r="EL404" s="119"/>
      <c r="EM404" s="119"/>
      <c r="EN404" s="1202"/>
      <c r="EO404" s="119"/>
      <c r="EP404" s="119"/>
      <c r="EQ404" s="119"/>
      <c r="ER404" s="119"/>
      <c r="ES404" s="1202"/>
      <c r="ET404" s="119"/>
      <c r="EU404" s="119"/>
      <c r="EV404" s="119"/>
      <c r="EW404" s="119"/>
      <c r="EX404" s="119"/>
      <c r="EY404" s="119"/>
      <c r="EZ404" s="119"/>
      <c r="FA404" s="119"/>
      <c r="FB404" s="119"/>
      <c r="FC404" s="119"/>
      <c r="FD404" s="119"/>
      <c r="FE404" s="119"/>
      <c r="FF404" s="119"/>
      <c r="FG404" s="119"/>
      <c r="FH404" s="119"/>
      <c r="FI404" s="119"/>
    </row>
    <row r="405" spans="1:167" s="108" customFormat="1" x14ac:dyDescent="0.3">
      <c r="A405" s="63" t="s">
        <v>344</v>
      </c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  <c r="AA405" s="119"/>
      <c r="AB405" s="119"/>
      <c r="AC405" s="119"/>
      <c r="AD405" s="119"/>
      <c r="AE405" s="119"/>
      <c r="AF405" s="119"/>
      <c r="AG405" s="119"/>
      <c r="AH405" s="119"/>
      <c r="AI405" s="119"/>
      <c r="AJ405" s="119"/>
      <c r="AK405" s="119"/>
      <c r="AL405" s="119"/>
      <c r="AM405" s="119"/>
      <c r="AN405" s="119"/>
      <c r="AO405" s="119"/>
      <c r="AP405" s="119"/>
      <c r="AQ405" s="119"/>
      <c r="AR405" s="119"/>
      <c r="AS405" s="119"/>
      <c r="AT405" s="119"/>
      <c r="AU405" s="119"/>
      <c r="AV405" s="119"/>
      <c r="AW405" s="119"/>
      <c r="AX405" s="119"/>
      <c r="AY405" s="119"/>
      <c r="AZ405" s="119"/>
      <c r="BA405" s="119"/>
      <c r="BB405" s="119"/>
      <c r="BC405" s="119"/>
      <c r="BD405" s="119"/>
      <c r="BE405" s="119"/>
      <c r="BF405" s="119"/>
      <c r="BG405" s="119"/>
      <c r="BH405" s="119"/>
      <c r="BI405" s="119"/>
      <c r="BJ405" s="119"/>
      <c r="BK405" s="119"/>
      <c r="BL405" s="119"/>
      <c r="BM405" s="119"/>
      <c r="BN405" s="119"/>
      <c r="BO405" s="119"/>
      <c r="BP405" s="119"/>
      <c r="BQ405" s="119"/>
      <c r="BR405" s="119"/>
      <c r="BS405" s="119"/>
      <c r="BT405" s="119"/>
      <c r="BU405" s="119"/>
      <c r="BV405" s="119"/>
      <c r="BW405" s="119"/>
      <c r="BX405" s="119"/>
      <c r="BY405" s="119"/>
      <c r="BZ405" s="119"/>
      <c r="CA405" s="119"/>
      <c r="CB405" s="119"/>
      <c r="CC405" s="119"/>
      <c r="CD405" s="119"/>
      <c r="CE405" s="119"/>
      <c r="CF405" s="119"/>
      <c r="CG405" s="119"/>
      <c r="CH405" s="119"/>
      <c r="CI405" s="119"/>
      <c r="CJ405" s="119"/>
      <c r="CK405" s="119"/>
      <c r="CL405" s="119"/>
      <c r="CM405" s="119"/>
      <c r="CN405" s="119"/>
      <c r="CO405" s="119"/>
      <c r="CP405" s="119"/>
      <c r="CQ405" s="119"/>
      <c r="CR405" s="119"/>
      <c r="CS405" s="119"/>
      <c r="CT405" s="119"/>
      <c r="CU405" s="119"/>
      <c r="CV405" s="119"/>
      <c r="CW405" s="119"/>
      <c r="CX405" s="119"/>
      <c r="CY405" s="119"/>
      <c r="CZ405" s="119"/>
      <c r="DA405" s="119"/>
      <c r="DB405" s="119"/>
      <c r="DC405" s="119"/>
      <c r="DD405" s="119"/>
      <c r="DE405" s="119"/>
      <c r="DF405" s="119"/>
      <c r="DG405" s="119"/>
      <c r="DH405" s="119"/>
      <c r="DI405" s="119"/>
      <c r="DJ405" s="119"/>
      <c r="DK405" s="119"/>
      <c r="DL405" s="119"/>
      <c r="DM405" s="119"/>
      <c r="DN405" s="119"/>
      <c r="DO405" s="119"/>
      <c r="DP405" s="119"/>
      <c r="DQ405" s="119"/>
      <c r="DR405" s="119"/>
      <c r="DS405" s="119"/>
      <c r="DT405" s="119"/>
      <c r="DU405" s="56"/>
      <c r="DV405" s="56"/>
      <c r="DW405" s="56"/>
      <c r="DX405" s="56"/>
      <c r="DY405" s="60"/>
      <c r="DZ405" s="56">
        <f t="shared" ref="DZ405:EC407" si="1901">DZ123+DZ268</f>
        <v>612</v>
      </c>
      <c r="EA405" s="56">
        <f t="shared" si="1901"/>
        <v>576</v>
      </c>
      <c r="EB405" s="56">
        <f t="shared" si="1901"/>
        <v>543</v>
      </c>
      <c r="EC405" s="56">
        <f t="shared" si="1901"/>
        <v>501</v>
      </c>
      <c r="ED405" s="60">
        <f>+DZ405</f>
        <v>612</v>
      </c>
      <c r="EE405" s="56">
        <f t="shared" ref="EE405:EH407" si="1902">EE123+EE268</f>
        <v>469</v>
      </c>
      <c r="EF405" s="56">
        <f t="shared" si="1902"/>
        <v>437</v>
      </c>
      <c r="EG405" s="56">
        <f t="shared" si="1902"/>
        <v>409</v>
      </c>
      <c r="EH405" s="56">
        <f t="shared" si="1902"/>
        <v>386</v>
      </c>
      <c r="EI405" s="60">
        <f>+EE405</f>
        <v>469</v>
      </c>
      <c r="EJ405" s="56">
        <f t="shared" ref="EJ405:EM407" si="1903">EJ123+EJ268</f>
        <v>368</v>
      </c>
      <c r="EK405" s="56">
        <f t="shared" si="1903"/>
        <v>351</v>
      </c>
      <c r="EL405" s="56">
        <f t="shared" si="1903"/>
        <v>331</v>
      </c>
      <c r="EM405" s="56">
        <f t="shared" si="1903"/>
        <v>310</v>
      </c>
      <c r="EN405" s="60">
        <f>+EJ405</f>
        <v>368</v>
      </c>
      <c r="EO405" s="56">
        <f t="shared" ref="EO405:EP407" si="1904">EO123+EO268</f>
        <v>294</v>
      </c>
      <c r="EP405" s="56">
        <f t="shared" si="1904"/>
        <v>276</v>
      </c>
      <c r="EQ405" s="56">
        <f t="shared" ref="EQ405:ER405" si="1905">EQ123+EQ268</f>
        <v>255</v>
      </c>
      <c r="ER405" s="56">
        <f t="shared" si="1905"/>
        <v>236</v>
      </c>
      <c r="ES405" s="60">
        <f>+EO405</f>
        <v>294</v>
      </c>
      <c r="ET405" s="56">
        <f t="shared" ref="ET405:EU405" si="1906">ET123+ET268</f>
        <v>222</v>
      </c>
      <c r="EU405" s="56">
        <f t="shared" si="1906"/>
        <v>207</v>
      </c>
      <c r="EV405" s="56">
        <f t="shared" ref="EV405:EW405" si="1907">EV123+EV268</f>
        <v>193</v>
      </c>
      <c r="EW405" s="56">
        <f t="shared" si="1907"/>
        <v>179</v>
      </c>
      <c r="EX405" s="60">
        <f>+ET405</f>
        <v>222</v>
      </c>
      <c r="EY405" s="56">
        <f t="shared" ref="EY405:FB405" si="1908">EY123+EY268</f>
        <v>167</v>
      </c>
      <c r="EZ405" s="56">
        <f t="shared" si="1908"/>
        <v>157.79802955665025</v>
      </c>
      <c r="FA405" s="56">
        <f t="shared" si="1908"/>
        <v>146.49991506709699</v>
      </c>
      <c r="FB405" s="56">
        <f t="shared" si="1908"/>
        <v>135.382209778413</v>
      </c>
      <c r="FC405" s="60">
        <f>+EY405</f>
        <v>167</v>
      </c>
      <c r="FD405" s="56">
        <f t="shared" ref="FD405:FI407" si="1909">FD123+FD268</f>
        <v>125.95697547570001</v>
      </c>
      <c r="FE405" s="56">
        <f t="shared" si="1909"/>
        <v>92.271662863314873</v>
      </c>
      <c r="FF405" s="56">
        <f t="shared" si="1909"/>
        <v>68.110865889666115</v>
      </c>
      <c r="FG405" s="56">
        <f t="shared" si="1909"/>
        <v>50.512238017526535</v>
      </c>
      <c r="FH405" s="56">
        <f t="shared" si="1909"/>
        <v>37.567748666145505</v>
      </c>
      <c r="FI405" s="56">
        <f t="shared" si="1909"/>
        <v>27.988768824033855</v>
      </c>
      <c r="FJ405" s="1068">
        <f>+(FF405/ES405)^0.2-1</f>
        <v>-0.25359624736231112</v>
      </c>
    </row>
    <row r="406" spans="1:167" s="108" customFormat="1" x14ac:dyDescent="0.3">
      <c r="A406" s="63" t="s">
        <v>336</v>
      </c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  <c r="AA406" s="119"/>
      <c r="AB406" s="119"/>
      <c r="AC406" s="119"/>
      <c r="AD406" s="119"/>
      <c r="AE406" s="119"/>
      <c r="AF406" s="119"/>
      <c r="AG406" s="119"/>
      <c r="AH406" s="119"/>
      <c r="AI406" s="119"/>
      <c r="AJ406" s="119"/>
      <c r="AK406" s="119"/>
      <c r="AL406" s="119"/>
      <c r="AM406" s="119"/>
      <c r="AN406" s="119"/>
      <c r="AO406" s="119"/>
      <c r="AP406" s="119"/>
      <c r="AQ406" s="119"/>
      <c r="AR406" s="119"/>
      <c r="AS406" s="119"/>
      <c r="AT406" s="119"/>
      <c r="AU406" s="119"/>
      <c r="AV406" s="119"/>
      <c r="AW406" s="119"/>
      <c r="AX406" s="119"/>
      <c r="AY406" s="119"/>
      <c r="AZ406" s="119"/>
      <c r="BA406" s="119"/>
      <c r="BB406" s="119"/>
      <c r="BC406" s="119"/>
      <c r="BD406" s="119"/>
      <c r="BE406" s="119"/>
      <c r="BF406" s="119"/>
      <c r="BG406" s="119"/>
      <c r="BH406" s="119"/>
      <c r="BI406" s="119"/>
      <c r="BJ406" s="119"/>
      <c r="BK406" s="119"/>
      <c r="BL406" s="119"/>
      <c r="BM406" s="119"/>
      <c r="BN406" s="119"/>
      <c r="BO406" s="119"/>
      <c r="BP406" s="119"/>
      <c r="BQ406" s="119"/>
      <c r="BR406" s="119"/>
      <c r="BS406" s="119"/>
      <c r="BT406" s="119"/>
      <c r="BU406" s="119"/>
      <c r="BV406" s="119"/>
      <c r="BW406" s="119"/>
      <c r="BX406" s="119"/>
      <c r="BY406" s="119"/>
      <c r="BZ406" s="119"/>
      <c r="CA406" s="119"/>
      <c r="CB406" s="119"/>
      <c r="CC406" s="119"/>
      <c r="CD406" s="119"/>
      <c r="CE406" s="119"/>
      <c r="CF406" s="119"/>
      <c r="CG406" s="119"/>
      <c r="CH406" s="119"/>
      <c r="CI406" s="119"/>
      <c r="CJ406" s="119"/>
      <c r="CK406" s="119"/>
      <c r="CL406" s="119"/>
      <c r="CM406" s="119"/>
      <c r="CN406" s="119"/>
      <c r="CO406" s="119"/>
      <c r="CP406" s="119"/>
      <c r="CQ406" s="119"/>
      <c r="CR406" s="119"/>
      <c r="CS406" s="119"/>
      <c r="CT406" s="119"/>
      <c r="CU406" s="119"/>
      <c r="CV406" s="119"/>
      <c r="CW406" s="119"/>
      <c r="CX406" s="119"/>
      <c r="CY406" s="119"/>
      <c r="CZ406" s="119"/>
      <c r="DA406" s="119"/>
      <c r="DB406" s="119"/>
      <c r="DC406" s="119"/>
      <c r="DD406" s="119"/>
      <c r="DE406" s="119"/>
      <c r="DF406" s="119"/>
      <c r="DG406" s="119"/>
      <c r="DH406" s="119"/>
      <c r="DI406" s="119"/>
      <c r="DJ406" s="119"/>
      <c r="DK406" s="119"/>
      <c r="DL406" s="119"/>
      <c r="DM406" s="119"/>
      <c r="DN406" s="119"/>
      <c r="DO406" s="119"/>
      <c r="DP406" s="119"/>
      <c r="DQ406" s="119"/>
      <c r="DR406" s="119"/>
      <c r="DS406" s="119"/>
      <c r="DT406" s="119"/>
      <c r="DU406" s="56"/>
      <c r="DV406" s="56"/>
      <c r="DW406" s="56"/>
      <c r="DX406" s="56"/>
      <c r="DY406" s="60"/>
      <c r="DZ406" s="56">
        <f t="shared" si="1901"/>
        <v>19.080000000000041</v>
      </c>
      <c r="EA406" s="56">
        <f t="shared" si="1901"/>
        <v>18.839999999999989</v>
      </c>
      <c r="EB406" s="56">
        <f t="shared" si="1901"/>
        <v>6.8700000000000045</v>
      </c>
      <c r="EC406" s="56">
        <f t="shared" si="1901"/>
        <v>13.089999999999975</v>
      </c>
      <c r="ED406" s="60">
        <f>+SUM(DZ406:EC406)</f>
        <v>57.88000000000001</v>
      </c>
      <c r="EE406" s="56">
        <f t="shared" si="1902"/>
        <v>10.210000000000008</v>
      </c>
      <c r="EF406" s="56">
        <f t="shared" si="1902"/>
        <v>11.329999999999998</v>
      </c>
      <c r="EG406" s="56">
        <f t="shared" si="1902"/>
        <v>0</v>
      </c>
      <c r="EH406" s="56">
        <f t="shared" si="1902"/>
        <v>0</v>
      </c>
      <c r="EI406" s="60">
        <f>+SUM(EE406:EH406)</f>
        <v>21.540000000000006</v>
      </c>
      <c r="EJ406" s="56">
        <f t="shared" si="1903"/>
        <v>0</v>
      </c>
      <c r="EK406" s="56">
        <f t="shared" si="1903"/>
        <v>0</v>
      </c>
      <c r="EL406" s="56">
        <f t="shared" si="1903"/>
        <v>0</v>
      </c>
      <c r="EM406" s="56">
        <f t="shared" si="1903"/>
        <v>0</v>
      </c>
      <c r="EN406" s="60">
        <f>+SUM(EJ406:EM406)</f>
        <v>0</v>
      </c>
      <c r="EO406" s="56">
        <f t="shared" si="1904"/>
        <v>0</v>
      </c>
      <c r="EP406" s="56">
        <f t="shared" si="1904"/>
        <v>0</v>
      </c>
      <c r="EQ406" s="56">
        <f t="shared" ref="EQ406:ER406" si="1910">EQ124+EQ269</f>
        <v>0</v>
      </c>
      <c r="ER406" s="56">
        <f t="shared" si="1910"/>
        <v>0</v>
      </c>
      <c r="ES406" s="60">
        <f>+SUM(EO406:ER406)</f>
        <v>0</v>
      </c>
      <c r="ET406" s="56">
        <f t="shared" ref="ET406:EU406" si="1911">ET124+ET269</f>
        <v>0</v>
      </c>
      <c r="EU406" s="56">
        <f t="shared" si="1911"/>
        <v>0</v>
      </c>
      <c r="EV406" s="56">
        <f t="shared" ref="EV406:EW406" si="1912">EV124+EV269</f>
        <v>0</v>
      </c>
      <c r="EW406" s="56">
        <f t="shared" si="1912"/>
        <v>0</v>
      </c>
      <c r="EX406" s="60">
        <f>+SUM(ET406:EW406)</f>
        <v>0</v>
      </c>
      <c r="EY406" s="56">
        <f t="shared" ref="EY406:FB406" si="1913">EY124+EY269</f>
        <v>0</v>
      </c>
      <c r="EZ406" s="56">
        <f t="shared" si="1913"/>
        <v>0</v>
      </c>
      <c r="FA406" s="56">
        <f t="shared" si="1913"/>
        <v>0</v>
      </c>
      <c r="FB406" s="56">
        <f t="shared" si="1913"/>
        <v>0</v>
      </c>
      <c r="FC406" s="60">
        <f>+SUM(EY406:FB406)</f>
        <v>0</v>
      </c>
      <c r="FD406" s="56">
        <f t="shared" si="1909"/>
        <v>0</v>
      </c>
      <c r="FE406" s="56">
        <f t="shared" si="1909"/>
        <v>0</v>
      </c>
      <c r="FF406" s="56">
        <f t="shared" si="1909"/>
        <v>0</v>
      </c>
      <c r="FG406" s="56">
        <f t="shared" si="1909"/>
        <v>0</v>
      </c>
      <c r="FH406" s="56">
        <f t="shared" si="1909"/>
        <v>0</v>
      </c>
      <c r="FI406" s="56">
        <f t="shared" si="1909"/>
        <v>0</v>
      </c>
      <c r="FJ406" s="1068" t="e">
        <f>+(FF406/ES406)^0.2-1</f>
        <v>#DIV/0!</v>
      </c>
    </row>
    <row r="407" spans="1:167" s="108" customFormat="1" x14ac:dyDescent="0.3">
      <c r="A407" s="63" t="s">
        <v>337</v>
      </c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  <c r="AA407" s="119"/>
      <c r="AB407" s="119"/>
      <c r="AC407" s="119"/>
      <c r="AD407" s="119"/>
      <c r="AE407" s="119"/>
      <c r="AF407" s="119"/>
      <c r="AG407" s="119"/>
      <c r="AH407" s="119"/>
      <c r="AI407" s="119"/>
      <c r="AJ407" s="119"/>
      <c r="AK407" s="119"/>
      <c r="AL407" s="119"/>
      <c r="AM407" s="119"/>
      <c r="AN407" s="119"/>
      <c r="AO407" s="119"/>
      <c r="AP407" s="119"/>
      <c r="AQ407" s="119"/>
      <c r="AR407" s="119"/>
      <c r="AS407" s="119"/>
      <c r="AT407" s="119"/>
      <c r="AU407" s="119"/>
      <c r="AV407" s="119"/>
      <c r="AW407" s="119"/>
      <c r="AX407" s="119"/>
      <c r="AY407" s="119"/>
      <c r="AZ407" s="119"/>
      <c r="BA407" s="119"/>
      <c r="BB407" s="119"/>
      <c r="BC407" s="119"/>
      <c r="BD407" s="119"/>
      <c r="BE407" s="119"/>
      <c r="BF407" s="119"/>
      <c r="BG407" s="119"/>
      <c r="BH407" s="119"/>
      <c r="BI407" s="119"/>
      <c r="BJ407" s="119"/>
      <c r="BK407" s="119"/>
      <c r="BL407" s="119"/>
      <c r="BM407" s="119"/>
      <c r="BN407" s="119"/>
      <c r="BO407" s="119"/>
      <c r="BP407" s="119"/>
      <c r="BQ407" s="119"/>
      <c r="BR407" s="119"/>
      <c r="BS407" s="119"/>
      <c r="BT407" s="119"/>
      <c r="BU407" s="119"/>
      <c r="BV407" s="119"/>
      <c r="BW407" s="119"/>
      <c r="BX407" s="119"/>
      <c r="BY407" s="119"/>
      <c r="BZ407" s="119"/>
      <c r="CA407" s="119"/>
      <c r="CB407" s="119"/>
      <c r="CC407" s="119"/>
      <c r="CD407" s="119"/>
      <c r="CE407" s="119"/>
      <c r="CF407" s="119"/>
      <c r="CG407" s="119"/>
      <c r="CH407" s="119"/>
      <c r="CI407" s="119"/>
      <c r="CJ407" s="119"/>
      <c r="CK407" s="119"/>
      <c r="CL407" s="119"/>
      <c r="CM407" s="119"/>
      <c r="CN407" s="119"/>
      <c r="CO407" s="119"/>
      <c r="CP407" s="119"/>
      <c r="CQ407" s="119"/>
      <c r="CR407" s="119"/>
      <c r="CS407" s="119"/>
      <c r="CT407" s="119"/>
      <c r="CU407" s="119"/>
      <c r="CV407" s="119"/>
      <c r="CW407" s="119"/>
      <c r="CX407" s="119"/>
      <c r="CY407" s="119"/>
      <c r="CZ407" s="119"/>
      <c r="DA407" s="119"/>
      <c r="DB407" s="119"/>
      <c r="DC407" s="119"/>
      <c r="DD407" s="119"/>
      <c r="DE407" s="119"/>
      <c r="DF407" s="119"/>
      <c r="DG407" s="119"/>
      <c r="DH407" s="119"/>
      <c r="DI407" s="119"/>
      <c r="DJ407" s="119"/>
      <c r="DK407" s="119"/>
      <c r="DL407" s="119"/>
      <c r="DM407" s="119"/>
      <c r="DN407" s="119"/>
      <c r="DO407" s="119"/>
      <c r="DP407" s="119"/>
      <c r="DQ407" s="119"/>
      <c r="DR407" s="119"/>
      <c r="DS407" s="119"/>
      <c r="DT407" s="119"/>
      <c r="DU407" s="56"/>
      <c r="DV407" s="56"/>
      <c r="DW407" s="56"/>
      <c r="DX407" s="56"/>
      <c r="DY407" s="60"/>
      <c r="DZ407" s="56">
        <f t="shared" si="1901"/>
        <v>-55.08</v>
      </c>
      <c r="EA407" s="56">
        <f t="shared" si="1901"/>
        <v>-51.839999999999996</v>
      </c>
      <c r="EB407" s="56">
        <f t="shared" si="1901"/>
        <v>-48.870000000000005</v>
      </c>
      <c r="EC407" s="56">
        <f t="shared" si="1901"/>
        <v>-45.089999999999996</v>
      </c>
      <c r="ED407" s="60">
        <f>+SUM(DZ407:EC407)</f>
        <v>-200.88</v>
      </c>
      <c r="EE407" s="56">
        <f t="shared" si="1902"/>
        <v>-42.210000000000008</v>
      </c>
      <c r="EF407" s="56">
        <f t="shared" si="1902"/>
        <v>-39.330000000000005</v>
      </c>
      <c r="EG407" s="56">
        <f t="shared" si="1902"/>
        <v>-23</v>
      </c>
      <c r="EH407" s="56">
        <f t="shared" si="1902"/>
        <v>-18</v>
      </c>
      <c r="EI407" s="60">
        <f>+SUM(EE407:EH407)</f>
        <v>-122.54000000000002</v>
      </c>
      <c r="EJ407" s="56">
        <f t="shared" si="1903"/>
        <v>-17</v>
      </c>
      <c r="EK407" s="56">
        <f t="shared" si="1903"/>
        <v>-20</v>
      </c>
      <c r="EL407" s="56">
        <f t="shared" si="1903"/>
        <v>-21</v>
      </c>
      <c r="EM407" s="56">
        <f t="shared" si="1903"/>
        <v>-16</v>
      </c>
      <c r="EN407" s="60">
        <f>+SUM(EJ407:EM407)</f>
        <v>-74</v>
      </c>
      <c r="EO407" s="56">
        <f t="shared" si="1904"/>
        <v>-18</v>
      </c>
      <c r="EP407" s="56">
        <f t="shared" si="1904"/>
        <v>-21</v>
      </c>
      <c r="EQ407" s="56">
        <f t="shared" ref="EQ407:ER407" si="1914">EQ125+EQ270</f>
        <v>-19</v>
      </c>
      <c r="ER407" s="56">
        <f t="shared" si="1914"/>
        <v>-14</v>
      </c>
      <c r="ES407" s="60">
        <f>+SUM(EO407:ER407)</f>
        <v>-72</v>
      </c>
      <c r="ET407" s="56">
        <f t="shared" ref="ET407:EU407" si="1915">ET125+ET270</f>
        <v>-15</v>
      </c>
      <c r="EU407" s="56">
        <f t="shared" si="1915"/>
        <v>-14</v>
      </c>
      <c r="EV407" s="56">
        <f t="shared" ref="EV407:EW407" si="1916">EV125+EV270</f>
        <v>-14</v>
      </c>
      <c r="EW407" s="56">
        <f t="shared" si="1916"/>
        <v>-12</v>
      </c>
      <c r="EX407" s="60">
        <f>+SUM(ET407:EW407)</f>
        <v>-55</v>
      </c>
      <c r="EY407" s="56">
        <f t="shared" ref="EY407:FB407" si="1917">EY125+EY270</f>
        <v>-9.2019704433497544</v>
      </c>
      <c r="EZ407" s="56">
        <f t="shared" si="1917"/>
        <v>-11.298114489553255</v>
      </c>
      <c r="FA407" s="56">
        <f t="shared" si="1917"/>
        <v>-11.117705288684007</v>
      </c>
      <c r="FB407" s="56">
        <f t="shared" si="1917"/>
        <v>-9.4252343027129868</v>
      </c>
      <c r="FC407" s="60">
        <f>+SUM(EY407:FB407)</f>
        <v>-41.043024524300002</v>
      </c>
      <c r="FD407" s="56">
        <f t="shared" si="1909"/>
        <v>-33.68531261238514</v>
      </c>
      <c r="FE407" s="56">
        <f t="shared" si="1909"/>
        <v>-24.160796973648772</v>
      </c>
      <c r="FF407" s="56">
        <f t="shared" si="1909"/>
        <v>-17.598627872139581</v>
      </c>
      <c r="FG407" s="56">
        <f t="shared" si="1909"/>
        <v>-12.944489351381023</v>
      </c>
      <c r="FH407" s="56">
        <f t="shared" si="1909"/>
        <v>-9.5789798421116519</v>
      </c>
      <c r="FI407" s="56">
        <f t="shared" si="1909"/>
        <v>-7.1147981706747769</v>
      </c>
      <c r="FJ407" s="1068">
        <f>+(FF407/ES407)^0.2-1</f>
        <v>-0.24555208555478791</v>
      </c>
    </row>
    <row r="408" spans="1:167" s="108" customFormat="1" x14ac:dyDescent="0.3">
      <c r="A408" s="64" t="s">
        <v>452</v>
      </c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  <c r="AA408" s="119"/>
      <c r="AB408" s="119"/>
      <c r="AC408" s="119"/>
      <c r="AD408" s="119"/>
      <c r="AE408" s="119"/>
      <c r="AF408" s="119"/>
      <c r="AG408" s="119"/>
      <c r="AH408" s="119"/>
      <c r="AI408" s="119"/>
      <c r="AJ408" s="119"/>
      <c r="AK408" s="119"/>
      <c r="AL408" s="119"/>
      <c r="AM408" s="119"/>
      <c r="AN408" s="119"/>
      <c r="AO408" s="119"/>
      <c r="AP408" s="119"/>
      <c r="AQ408" s="119"/>
      <c r="AR408" s="119"/>
      <c r="AS408" s="119"/>
      <c r="AT408" s="119"/>
      <c r="AU408" s="119"/>
      <c r="AV408" s="119"/>
      <c r="AW408" s="119"/>
      <c r="AX408" s="119"/>
      <c r="AY408" s="119"/>
      <c r="AZ408" s="119"/>
      <c r="BA408" s="119"/>
      <c r="BB408" s="119"/>
      <c r="BC408" s="119"/>
      <c r="BD408" s="119"/>
      <c r="BE408" s="119"/>
      <c r="BF408" s="119"/>
      <c r="BG408" s="119"/>
      <c r="BH408" s="119"/>
      <c r="BI408" s="119"/>
      <c r="BJ408" s="119"/>
      <c r="BK408" s="119"/>
      <c r="BL408" s="119"/>
      <c r="BM408" s="119"/>
      <c r="BN408" s="119"/>
      <c r="BO408" s="119"/>
      <c r="BP408" s="119"/>
      <c r="BQ408" s="119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19"/>
      <c r="CB408" s="119"/>
      <c r="CC408" s="119"/>
      <c r="CD408" s="119"/>
      <c r="CE408" s="119"/>
      <c r="CF408" s="119"/>
      <c r="CG408" s="119"/>
      <c r="CH408" s="119"/>
      <c r="CI408" s="119"/>
      <c r="CJ408" s="119"/>
      <c r="CK408" s="119"/>
      <c r="CL408" s="119"/>
      <c r="CM408" s="119"/>
      <c r="CN408" s="119"/>
      <c r="CO408" s="119"/>
      <c r="CP408" s="119"/>
      <c r="CQ408" s="119"/>
      <c r="CR408" s="119"/>
      <c r="CS408" s="119"/>
      <c r="CT408" s="119"/>
      <c r="CU408" s="119"/>
      <c r="CV408" s="119"/>
      <c r="CW408" s="119"/>
      <c r="CX408" s="119"/>
      <c r="CY408" s="119"/>
      <c r="CZ408" s="119"/>
      <c r="DA408" s="119"/>
      <c r="DB408" s="119"/>
      <c r="DC408" s="119"/>
      <c r="DD408" s="119"/>
      <c r="DE408" s="119"/>
      <c r="DF408" s="119"/>
      <c r="DG408" s="119"/>
      <c r="DH408" s="119"/>
      <c r="DI408" s="119"/>
      <c r="DJ408" s="119"/>
      <c r="DK408" s="119"/>
      <c r="DL408" s="119"/>
      <c r="DM408" s="119"/>
      <c r="DN408" s="119"/>
      <c r="DO408" s="119"/>
      <c r="DP408" s="119"/>
      <c r="DQ408" s="119"/>
      <c r="DR408" s="119"/>
      <c r="DS408" s="119"/>
      <c r="DT408" s="119"/>
      <c r="DU408" s="1798"/>
      <c r="DV408" s="1798"/>
      <c r="DW408" s="1798"/>
      <c r="DX408" s="1798"/>
      <c r="DY408" s="1797"/>
      <c r="DZ408" s="1796">
        <f>SUM(DZ405:DZ407)</f>
        <v>576</v>
      </c>
      <c r="EA408" s="1796">
        <f>SUM(EA405:EA407)</f>
        <v>543</v>
      </c>
      <c r="EB408" s="1796">
        <f>SUM(EB405:EB407)</f>
        <v>501</v>
      </c>
      <c r="EC408" s="1796">
        <f>SUM(EC405:EC407)</f>
        <v>468.99999999999994</v>
      </c>
      <c r="ED408" s="1797">
        <f>+EC408</f>
        <v>468.99999999999994</v>
      </c>
      <c r="EE408" s="1796">
        <f>SUM(EE405:EE407)</f>
        <v>437</v>
      </c>
      <c r="EF408" s="1796">
        <f>SUM(EF405:EF407)</f>
        <v>409</v>
      </c>
      <c r="EG408" s="1796">
        <f>SUM(EG405:EG407)</f>
        <v>386</v>
      </c>
      <c r="EH408" s="1796">
        <f>SUM(EH405:EH407)</f>
        <v>368</v>
      </c>
      <c r="EI408" s="1797">
        <f>+EH408</f>
        <v>368</v>
      </c>
      <c r="EJ408" s="1796">
        <f>SUM(EJ405:EJ407)</f>
        <v>351</v>
      </c>
      <c r="EK408" s="1796">
        <f>SUM(EK405:EK407)</f>
        <v>331</v>
      </c>
      <c r="EL408" s="1796">
        <f>SUM(EL405:EL407)</f>
        <v>310</v>
      </c>
      <c r="EM408" s="1796">
        <f>SUM(EM405:EM407)</f>
        <v>294</v>
      </c>
      <c r="EN408" s="1797">
        <f>+EM408</f>
        <v>294</v>
      </c>
      <c r="EO408" s="1796">
        <f>SUM(EO405:EO407)</f>
        <v>276</v>
      </c>
      <c r="EP408" s="1796">
        <f>SUM(EP405:EP407)</f>
        <v>255</v>
      </c>
      <c r="EQ408" s="1796">
        <f>SUM(EQ405:EQ407)</f>
        <v>236</v>
      </c>
      <c r="ER408" s="1796">
        <f>SUM(ER405:ER407)</f>
        <v>222</v>
      </c>
      <c r="ES408" s="1797">
        <f>+ER408</f>
        <v>222</v>
      </c>
      <c r="ET408" s="1796">
        <f>SUM(ET405:ET407)</f>
        <v>207</v>
      </c>
      <c r="EU408" s="1796">
        <f>SUM(EU405:EU407)</f>
        <v>193</v>
      </c>
      <c r="EV408" s="1796">
        <f>SUM(EV405:EV407)</f>
        <v>179</v>
      </c>
      <c r="EW408" s="1796">
        <f>SUM(EW405:EW407)</f>
        <v>167</v>
      </c>
      <c r="EX408" s="1797">
        <f>+EW408</f>
        <v>167</v>
      </c>
      <c r="EY408" s="1796">
        <f t="shared" ref="EY408:FB408" si="1918">SUM(EY405:EY407)</f>
        <v>157.79802955665025</v>
      </c>
      <c r="EZ408" s="1796">
        <f t="shared" si="1918"/>
        <v>146.49991506709699</v>
      </c>
      <c r="FA408" s="1796">
        <f t="shared" si="1918"/>
        <v>135.38220977841297</v>
      </c>
      <c r="FB408" s="1796">
        <f t="shared" si="1918"/>
        <v>125.95697547570001</v>
      </c>
      <c r="FC408" s="1797">
        <f>+FB408</f>
        <v>125.95697547570001</v>
      </c>
      <c r="FD408" s="1796">
        <f t="shared" ref="FD408:FI408" si="1919">SUM(FD405:FD407)</f>
        <v>92.271662863314873</v>
      </c>
      <c r="FE408" s="1796">
        <f t="shared" si="1919"/>
        <v>68.110865889666101</v>
      </c>
      <c r="FF408" s="1796">
        <f t="shared" si="1919"/>
        <v>50.512238017526535</v>
      </c>
      <c r="FG408" s="1796">
        <f t="shared" si="1919"/>
        <v>37.567748666145512</v>
      </c>
      <c r="FH408" s="1796">
        <f t="shared" si="1919"/>
        <v>27.988768824033855</v>
      </c>
      <c r="FI408" s="1796">
        <f t="shared" si="1919"/>
        <v>20.873970653359077</v>
      </c>
      <c r="FJ408" s="1068">
        <f>+(FF408/ES408)^0.2-1</f>
        <v>-0.25628125578767136</v>
      </c>
    </row>
    <row r="409" spans="1:167" s="108" customFormat="1" x14ac:dyDescent="0.3">
      <c r="A409" s="61" t="s">
        <v>339</v>
      </c>
      <c r="DY409" s="538"/>
      <c r="DZ409" s="122"/>
      <c r="EA409" s="122"/>
      <c r="EB409" s="122"/>
      <c r="EC409" s="122"/>
      <c r="ED409" s="123"/>
      <c r="EE409" s="122">
        <f t="shared" ref="EE409:EW409" si="1920">+EE408/DZ408-1</f>
        <v>-0.24131944444444442</v>
      </c>
      <c r="EF409" s="122">
        <f t="shared" si="1920"/>
        <v>-0.24677716390423576</v>
      </c>
      <c r="EG409" s="122">
        <f t="shared" si="1920"/>
        <v>-0.22954091816367261</v>
      </c>
      <c r="EH409" s="122">
        <f t="shared" si="1920"/>
        <v>-0.21535181236673762</v>
      </c>
      <c r="EI409" s="123">
        <f t="shared" si="1920"/>
        <v>-0.21535181236673762</v>
      </c>
      <c r="EJ409" s="122">
        <f t="shared" si="1920"/>
        <v>-0.19679633867276891</v>
      </c>
      <c r="EK409" s="122">
        <f t="shared" si="1920"/>
        <v>-0.19070904645476772</v>
      </c>
      <c r="EL409" s="122">
        <f t="shared" si="1920"/>
        <v>-0.19689119170984459</v>
      </c>
      <c r="EM409" s="122">
        <f t="shared" si="1920"/>
        <v>-0.20108695652173914</v>
      </c>
      <c r="EN409" s="123">
        <f t="shared" si="1920"/>
        <v>-0.20108695652173914</v>
      </c>
      <c r="EO409" s="122">
        <f t="shared" si="1920"/>
        <v>-0.21367521367521369</v>
      </c>
      <c r="EP409" s="122">
        <f t="shared" si="1920"/>
        <v>-0.22960725075528698</v>
      </c>
      <c r="EQ409" s="122">
        <f t="shared" si="1920"/>
        <v>-0.23870967741935489</v>
      </c>
      <c r="ER409" s="122">
        <f t="shared" si="1920"/>
        <v>-0.24489795918367352</v>
      </c>
      <c r="ES409" s="123">
        <f t="shared" ref="ES409" si="1921">+ES408/EN408-1</f>
        <v>-0.24489795918367352</v>
      </c>
      <c r="ET409" s="122">
        <f t="shared" si="1920"/>
        <v>-0.25</v>
      </c>
      <c r="EU409" s="122">
        <f t="shared" si="1920"/>
        <v>-0.24313725490196081</v>
      </c>
      <c r="EV409" s="122">
        <f t="shared" si="1920"/>
        <v>-0.24152542372881358</v>
      </c>
      <c r="EW409" s="122">
        <f t="shared" si="1920"/>
        <v>-0.24774774774774777</v>
      </c>
      <c r="EX409" s="123">
        <f t="shared" ref="EX409" si="1922">+EX408/ES408-1</f>
        <v>-0.24774774774774777</v>
      </c>
      <c r="EY409" s="122">
        <f t="shared" ref="EY409" si="1923">+EY408/ET408-1</f>
        <v>-0.23769067847028869</v>
      </c>
      <c r="EZ409" s="122">
        <f t="shared" ref="EZ409" si="1924">+EZ408/EU408-1</f>
        <v>-0.24093308255390156</v>
      </c>
      <c r="FA409" s="122">
        <f t="shared" ref="FA409" si="1925">+FA408/EV408-1</f>
        <v>-0.24367480570719013</v>
      </c>
      <c r="FB409" s="122">
        <f t="shared" ref="FB409:FC409" si="1926">+FB408/EW408-1</f>
        <v>-0.24576661391796406</v>
      </c>
      <c r="FC409" s="123">
        <f t="shared" si="1926"/>
        <v>-0.24576661391796406</v>
      </c>
      <c r="FD409" s="122">
        <f t="shared" ref="FD409:FI409" si="1927">FD408/FC408-1</f>
        <v>-0.26743507046883486</v>
      </c>
      <c r="FE409" s="122">
        <f t="shared" si="1927"/>
        <v>-0.26184416996406557</v>
      </c>
      <c r="FF409" s="122">
        <f t="shared" si="1927"/>
        <v>-0.25838208988045852</v>
      </c>
      <c r="FG409" s="122">
        <f t="shared" si="1927"/>
        <v>-0.25626441946384548</v>
      </c>
      <c r="FH409" s="122">
        <f t="shared" si="1927"/>
        <v>-0.2549788098093787</v>
      </c>
      <c r="FI409" s="122">
        <f t="shared" si="1927"/>
        <v>-0.25420189846169028</v>
      </c>
    </row>
    <row r="410" spans="1:167" s="108" customFormat="1" x14ac:dyDescent="0.3">
      <c r="A410" s="65" t="s">
        <v>340</v>
      </c>
      <c r="DU410" s="455"/>
      <c r="DV410" s="124"/>
      <c r="DW410" s="124"/>
      <c r="DX410" s="124"/>
      <c r="DY410" s="125"/>
      <c r="DZ410" s="124">
        <f>DZ128+DZ273</f>
        <v>-36</v>
      </c>
      <c r="EA410" s="124">
        <f>+EA408-DZ408</f>
        <v>-33</v>
      </c>
      <c r="EB410" s="124">
        <f>+EB408-EA408</f>
        <v>-42</v>
      </c>
      <c r="EC410" s="124">
        <f>+EC408-EB408</f>
        <v>-32.000000000000057</v>
      </c>
      <c r="ED410" s="125">
        <f>+SUM(DZ410:EC410)</f>
        <v>-143.00000000000006</v>
      </c>
      <c r="EE410" s="124">
        <f>+EE408-ED408</f>
        <v>-31.999999999999943</v>
      </c>
      <c r="EF410" s="124">
        <f>+EF408-EE408</f>
        <v>-28</v>
      </c>
      <c r="EG410" s="124">
        <f>+EG408-EF408</f>
        <v>-23</v>
      </c>
      <c r="EH410" s="124">
        <f>+EH408-EG408</f>
        <v>-18</v>
      </c>
      <c r="EI410" s="125">
        <f>+SUM(EE410:EH410)</f>
        <v>-100.99999999999994</v>
      </c>
      <c r="EJ410" s="124">
        <f>+EJ408-EI408</f>
        <v>-17</v>
      </c>
      <c r="EK410" s="124">
        <f>+EK408-EJ408</f>
        <v>-20</v>
      </c>
      <c r="EL410" s="124">
        <f>+EL408-EK408</f>
        <v>-21</v>
      </c>
      <c r="EM410" s="124">
        <f>+EM408-EL408</f>
        <v>-16</v>
      </c>
      <c r="EN410" s="125">
        <f>+SUM(EJ410:EM410)</f>
        <v>-74</v>
      </c>
      <c r="EO410" s="124">
        <f>+EO408-EN408</f>
        <v>-18</v>
      </c>
      <c r="EP410" s="124">
        <f>+EP408-EO408</f>
        <v>-21</v>
      </c>
      <c r="EQ410" s="124">
        <f>+EQ408-EP408</f>
        <v>-19</v>
      </c>
      <c r="ER410" s="124">
        <f>+ER408-EQ408</f>
        <v>-14</v>
      </c>
      <c r="ES410" s="125">
        <f>+SUM(EO410:ER410)</f>
        <v>-72</v>
      </c>
      <c r="ET410" s="124">
        <f>+ET408-ES408</f>
        <v>-15</v>
      </c>
      <c r="EU410" s="124">
        <f>+EU408-ET408</f>
        <v>-14</v>
      </c>
      <c r="EV410" s="124">
        <f>+EV408-EU408</f>
        <v>-14</v>
      </c>
      <c r="EW410" s="124">
        <f>+EW408-EV408</f>
        <v>-12</v>
      </c>
      <c r="EX410" s="125">
        <f>+SUM(ET410:EW410)</f>
        <v>-55</v>
      </c>
      <c r="EY410" s="124">
        <f t="shared" ref="EY410" si="1928">+EY408-EX408</f>
        <v>-9.2019704433497509</v>
      </c>
      <c r="EZ410" s="124">
        <f t="shared" ref="EZ410" si="1929">+EZ408-EY408</f>
        <v>-11.298114489553257</v>
      </c>
      <c r="FA410" s="124">
        <f t="shared" ref="FA410" si="1930">+FA408-EZ408</f>
        <v>-11.117705288684022</v>
      </c>
      <c r="FB410" s="124">
        <f t="shared" ref="FB410" si="1931">+FB408-FA408</f>
        <v>-9.4252343027129655</v>
      </c>
      <c r="FC410" s="125">
        <f>+SUM(EY410:FB410)</f>
        <v>-41.043024524299994</v>
      </c>
      <c r="FD410" s="124">
        <f t="shared" ref="FD410:FI410" si="1932">+FD408-FC408</f>
        <v>-33.685312612385133</v>
      </c>
      <c r="FE410" s="124">
        <f t="shared" si="1932"/>
        <v>-24.160796973648772</v>
      </c>
      <c r="FF410" s="124">
        <f t="shared" si="1932"/>
        <v>-17.598627872139566</v>
      </c>
      <c r="FG410" s="124">
        <f t="shared" si="1932"/>
        <v>-12.944489351381023</v>
      </c>
      <c r="FH410" s="124">
        <f t="shared" si="1932"/>
        <v>-9.5789798421116572</v>
      </c>
      <c r="FI410" s="124">
        <f t="shared" si="1932"/>
        <v>-7.1147981706747778</v>
      </c>
      <c r="FK410" s="1069" t="s">
        <v>346</v>
      </c>
    </row>
    <row r="411" spans="1:167" s="108" customFormat="1" x14ac:dyDescent="0.3">
      <c r="A411" s="65" t="s">
        <v>341</v>
      </c>
      <c r="DU411" s="122"/>
      <c r="DV411" s="122"/>
      <c r="DW411" s="122"/>
      <c r="DX411" s="122"/>
      <c r="DY411" s="123"/>
      <c r="DZ411" s="122">
        <f>+DZ406/AVERAGE(DY99:DZ99)</f>
        <v>1.2552631578947396E-3</v>
      </c>
      <c r="EA411" s="122">
        <f>+EA406/AVERAGE(DZ99:EA99)</f>
        <v>1.2394736842105255E-3</v>
      </c>
      <c r="EB411" s="122">
        <f>+EB406/AVERAGE(EA99:EB99)</f>
        <v>4.5197368421052661E-4</v>
      </c>
      <c r="EC411" s="122">
        <f>+EC406/AVERAGE(EB99:EC99)</f>
        <v>8.6118421052631413E-4</v>
      </c>
      <c r="ED411" s="123">
        <f>+ED406/AVERAGE(DZ99:EC99)</f>
        <v>3.807894736842106E-3</v>
      </c>
      <c r="EE411" s="122">
        <f>+EE406/AVERAGE(ED99:EE99)</f>
        <v>6.7171052631578995E-4</v>
      </c>
      <c r="EF411" s="122">
        <f>+EF406/AVERAGE(EE99:EF99)</f>
        <v>7.4295081967213098E-4</v>
      </c>
      <c r="EG411" s="122">
        <f>+EG406/AVERAGE(EF99:EG99)</f>
        <v>0</v>
      </c>
      <c r="EH411" s="122">
        <f>+EH406/AVERAGE(EG99:EH99)</f>
        <v>0</v>
      </c>
      <c r="EI411" s="123">
        <f>+EI406/AVERAGE(EE99:EH99)</f>
        <v>1.4101472995090021E-3</v>
      </c>
      <c r="EJ411" s="122">
        <f>+EJ406/AVERAGE(EI99:EJ99)</f>
        <v>0</v>
      </c>
      <c r="EK411" s="122">
        <f>+EK406/AVERAGE(EJ99:EK99)</f>
        <v>0</v>
      </c>
      <c r="EL411" s="122">
        <f>+EL406/AVERAGE(EK99:EL99)</f>
        <v>0</v>
      </c>
      <c r="EM411" s="122">
        <f>+EM406/AVERAGE(EL99:EM99)</f>
        <v>0</v>
      </c>
      <c r="EN411" s="123">
        <f>+EN406/AVERAGE(EJ99:EM99)</f>
        <v>0</v>
      </c>
      <c r="EO411" s="122">
        <f>+EO406/AVERAGE(EN99:EO99)</f>
        <v>0</v>
      </c>
      <c r="EP411" s="122">
        <f>+EP406/AVERAGE(EO99:EP99)</f>
        <v>0</v>
      </c>
      <c r="EQ411" s="122">
        <f>+EQ406/AVERAGE(EP99:EQ99)</f>
        <v>0</v>
      </c>
      <c r="ER411" s="122">
        <f>+ER406/AVERAGE(EQ99:ER99)</f>
        <v>0</v>
      </c>
      <c r="ES411" s="123">
        <f>+ES406/AVERAGE(EO99:ER99)</f>
        <v>0</v>
      </c>
      <c r="ET411" s="122">
        <f>+ET406/AVERAGE(ES99:ET99)</f>
        <v>0</v>
      </c>
      <c r="EU411" s="122">
        <f>+EU406/AVERAGE(ET99:EU99)</f>
        <v>0</v>
      </c>
      <c r="EV411" s="122">
        <f>+EV406/AVERAGE(EU99:EV99)</f>
        <v>0</v>
      </c>
      <c r="EW411" s="122">
        <f>+EW406/AVERAGE(EV99:EW99)</f>
        <v>0</v>
      </c>
      <c r="EX411" s="123">
        <f>+EX406/AVERAGE(ET99:EW99)</f>
        <v>0</v>
      </c>
      <c r="EY411" s="122">
        <f t="shared" ref="EY411" si="1933">+EY406/AVERAGE(EX99:EY99)</f>
        <v>0</v>
      </c>
      <c r="EZ411" s="122">
        <f t="shared" ref="EZ411" si="1934">+EZ406/AVERAGE(EY99:EZ99)</f>
        <v>0</v>
      </c>
      <c r="FA411" s="122">
        <f t="shared" ref="FA411" si="1935">+FA406/AVERAGE(EZ99:FA99)</f>
        <v>0</v>
      </c>
      <c r="FB411" s="122">
        <f t="shared" ref="FB411" si="1936">+FB406/AVERAGE(FA99:FB99)</f>
        <v>0</v>
      </c>
      <c r="FC411" s="123">
        <f>+FC406/AVERAGE(EY99:FB99)</f>
        <v>0</v>
      </c>
      <c r="FD411" s="122">
        <f t="shared" ref="FD411:FI411" si="1937">+FD406/AVERAGE(FC99:FD99)</f>
        <v>0</v>
      </c>
      <c r="FE411" s="122">
        <f t="shared" si="1937"/>
        <v>0</v>
      </c>
      <c r="FF411" s="122">
        <f t="shared" si="1937"/>
        <v>0</v>
      </c>
      <c r="FG411" s="122">
        <f t="shared" si="1937"/>
        <v>0</v>
      </c>
      <c r="FH411" s="122">
        <f t="shared" si="1937"/>
        <v>0</v>
      </c>
      <c r="FI411" s="122">
        <f t="shared" si="1937"/>
        <v>0</v>
      </c>
    </row>
    <row r="412" spans="1:167" s="108" customFormat="1" x14ac:dyDescent="0.3">
      <c r="A412" s="65" t="s">
        <v>342</v>
      </c>
      <c r="DU412" s="694"/>
      <c r="DV412" s="694"/>
      <c r="DW412" s="694"/>
      <c r="DX412" s="694"/>
      <c r="DY412" s="123"/>
      <c r="DZ412" s="1107">
        <f>-DZ407/DZ405/3</f>
        <v>0.03</v>
      </c>
      <c r="EA412" s="1107">
        <f>-EA407/EA405/3</f>
        <v>0.03</v>
      </c>
      <c r="EB412" s="1107">
        <f>-EB407/EB405/3</f>
        <v>3.0000000000000002E-2</v>
      </c>
      <c r="EC412" s="1107">
        <f>-EC407/EC405/3</f>
        <v>0.03</v>
      </c>
      <c r="ED412" s="123">
        <f>+ED407/AVERAGE(DZ405:EC405)/-12</f>
        <v>0.03</v>
      </c>
      <c r="EE412" s="1107">
        <f>-EE407/EE405/3</f>
        <v>3.0000000000000002E-2</v>
      </c>
      <c r="EF412" s="1107">
        <f>-EF407/EF405/3</f>
        <v>3.0000000000000002E-2</v>
      </c>
      <c r="EG412" s="1107">
        <f>-EG407/EG405/3</f>
        <v>1.8744906275468622E-2</v>
      </c>
      <c r="EH412" s="1107">
        <f>-EH407/EH405/3</f>
        <v>1.5544041450777202E-2</v>
      </c>
      <c r="EI412" s="123">
        <f>+EI407/AVERAGE(EE405:EH405)/-12</f>
        <v>2.4013325494806979E-2</v>
      </c>
      <c r="EJ412" s="1107">
        <f>-EJ407/EJ405/3</f>
        <v>1.539855072463768E-2</v>
      </c>
      <c r="EK412" s="1107">
        <f>-EK407/EK405/3</f>
        <v>1.8993352326685659E-2</v>
      </c>
      <c r="EL412" s="1107">
        <f>-EL407/EL405/3</f>
        <v>2.1148036253776436E-2</v>
      </c>
      <c r="EM412" s="1107">
        <f>-EM407/EM405/3</f>
        <v>1.7204301075268817E-2</v>
      </c>
      <c r="EN412" s="123">
        <f>+EN407/AVERAGE(EJ405:EM405)/-12</f>
        <v>1.8137254901960786E-2</v>
      </c>
      <c r="EO412" s="1107">
        <f>-EO407/EO405/3</f>
        <v>2.0408163265306121E-2</v>
      </c>
      <c r="EP412" s="1107">
        <f>-EP407/EP405/3</f>
        <v>2.5362318840579712E-2</v>
      </c>
      <c r="EQ412" s="1107">
        <f>-EQ407/EQ405/3</f>
        <v>2.4836601307189541E-2</v>
      </c>
      <c r="ER412" s="1107">
        <f>-ER407/ER405/3</f>
        <v>1.977401129943503E-2</v>
      </c>
      <c r="ES412" s="123">
        <f>+ES407/AVERAGE(EO405:ER405)/-12</f>
        <v>2.2620169651272382E-2</v>
      </c>
      <c r="ET412" s="1107">
        <f>-ET407/ET405/3</f>
        <v>2.2522522522522525E-2</v>
      </c>
      <c r="EU412" s="1107">
        <f>-EU407/EU405/3</f>
        <v>2.2544283413848631E-2</v>
      </c>
      <c r="EV412" s="1107">
        <f>-EV407/EV405/3</f>
        <v>2.4179620034542312E-2</v>
      </c>
      <c r="EW412" s="1107">
        <f>-EW407/EW405/3</f>
        <v>2.23463687150838E-2</v>
      </c>
      <c r="EX412" s="123">
        <f>+EX407/AVERAGE(ET405:EW405)/-12</f>
        <v>2.2888056595921764E-2</v>
      </c>
      <c r="EY412" s="1107">
        <f t="shared" ref="EY412:FB412" si="1938">-EY407/EY405/3</f>
        <v>1.8367206473752003E-2</v>
      </c>
      <c r="EZ412" s="1107">
        <f t="shared" si="1938"/>
        <v>2.3866192586596224E-2</v>
      </c>
      <c r="FA412" s="1107">
        <f t="shared" si="1938"/>
        <v>2.529627243263155E-2</v>
      </c>
      <c r="FB412" s="1107">
        <f t="shared" si="1938"/>
        <v>2.3206481654519082E-2</v>
      </c>
      <c r="FC412" s="123">
        <f>+FC407/AVERAGE(EY405:FB405)/-12</f>
        <v>2.2550611018829714E-2</v>
      </c>
      <c r="FD412" s="1107">
        <f t="shared" ref="FD412:FI412" si="1939">-FD407/FD405/12</f>
        <v>2.2286255872402908E-2</v>
      </c>
      <c r="FE412" s="1107">
        <f t="shared" si="1939"/>
        <v>2.1820347497005458E-2</v>
      </c>
      <c r="FF412" s="1107">
        <f t="shared" si="1939"/>
        <v>2.1531840823371562E-2</v>
      </c>
      <c r="FG412" s="1107">
        <f t="shared" si="1939"/>
        <v>2.1355368288653791E-2</v>
      </c>
      <c r="FH412" s="1107">
        <f t="shared" si="1939"/>
        <v>2.1248234150781548E-2</v>
      </c>
      <c r="FI412" s="1107">
        <f t="shared" si="1939"/>
        <v>2.1183491538474191E-2</v>
      </c>
    </row>
    <row r="413" spans="1:167" s="108" customFormat="1" x14ac:dyDescent="0.3">
      <c r="A413" s="65" t="s">
        <v>453</v>
      </c>
      <c r="DU413" s="126"/>
      <c r="DV413" s="126"/>
      <c r="DW413" s="126"/>
      <c r="DX413" s="126"/>
      <c r="DY413" s="127"/>
      <c r="DZ413" s="126">
        <f>+DZ408/DZ99</f>
        <v>3.7894736842105266E-2</v>
      </c>
      <c r="EA413" s="126">
        <f t="shared" ref="EA413:FI413" si="1940">+EA408/EA90</f>
        <v>0.1675925925925926</v>
      </c>
      <c r="EB413" s="126">
        <f t="shared" si="1940"/>
        <v>0.15420129270544783</v>
      </c>
      <c r="EC413" s="126">
        <f t="shared" si="1940"/>
        <v>0.14173466304019339</v>
      </c>
      <c r="ED413" s="127">
        <f t="shared" si="1940"/>
        <v>0.14173466304019339</v>
      </c>
      <c r="EE413" s="126">
        <f t="shared" si="1940"/>
        <v>0.12803984764137122</v>
      </c>
      <c r="EF413" s="126">
        <f t="shared" si="1940"/>
        <v>0.11456582633053221</v>
      </c>
      <c r="EG413" s="126">
        <f t="shared" si="1940"/>
        <v>0.10279627163781624</v>
      </c>
      <c r="EH413" s="126">
        <f t="shared" si="1940"/>
        <v>9.3235368634405874E-2</v>
      </c>
      <c r="EI413" s="127">
        <f t="shared" si="1940"/>
        <v>9.3235368634405874E-2</v>
      </c>
      <c r="EJ413" s="126">
        <f t="shared" si="1940"/>
        <v>8.4415584415584416E-2</v>
      </c>
      <c r="EK413" s="126">
        <f t="shared" si="1940"/>
        <v>7.456634377111962E-2</v>
      </c>
      <c r="EL413" s="126">
        <f t="shared" si="1940"/>
        <v>6.471816283924843E-2</v>
      </c>
      <c r="EM413" s="126">
        <f t="shared" si="1940"/>
        <v>5.685554051440727E-2</v>
      </c>
      <c r="EN413" s="127">
        <f t="shared" si="1940"/>
        <v>5.685554051440727E-2</v>
      </c>
      <c r="EO413" s="126">
        <f t="shared" si="1940"/>
        <v>5.0090744101633396E-2</v>
      </c>
      <c r="EP413" s="126">
        <f t="shared" si="1940"/>
        <v>4.3769309989701341E-2</v>
      </c>
      <c r="EQ413" s="126">
        <f t="shared" ref="EQ413:ER413" si="1941">+EQ408/EQ90</f>
        <v>3.8324131211432286E-2</v>
      </c>
      <c r="ER413" s="126">
        <f t="shared" si="1941"/>
        <v>3.4201201663842246E-2</v>
      </c>
      <c r="ES413" s="127">
        <f t="shared" si="1940"/>
        <v>3.4201201663842246E-2</v>
      </c>
      <c r="ET413" s="126">
        <f t="shared" ref="ET413:EU413" si="1942">+ET408/ET90</f>
        <v>3.0383091149273449E-2</v>
      </c>
      <c r="EU413" s="126">
        <f t="shared" si="1942"/>
        <v>2.6801833078739064E-2</v>
      </c>
      <c r="EV413" s="126">
        <f t="shared" ref="EV413:EW413" si="1943">+EV408/EV90</f>
        <v>2.3608546557636508E-2</v>
      </c>
      <c r="EW413" s="126">
        <f t="shared" si="1943"/>
        <v>2.1347309216413139E-2</v>
      </c>
      <c r="EX413" s="127">
        <f t="shared" ref="EX413" si="1944">+EX408/EX90</f>
        <v>2.1347309216413139E-2</v>
      </c>
      <c r="EY413" s="126">
        <f t="shared" ref="EY413:FC413" si="1945">+EY408/EY90</f>
        <v>1.9392024694299105E-2</v>
      </c>
      <c r="EZ413" s="126">
        <f t="shared" si="1945"/>
        <v>1.7203017451931105E-2</v>
      </c>
      <c r="FA413" s="126">
        <f t="shared" si="1945"/>
        <v>1.5232382063529316E-2</v>
      </c>
      <c r="FB413" s="126">
        <f t="shared" si="1945"/>
        <v>1.3806530250542586E-2</v>
      </c>
      <c r="FC413" s="127">
        <f t="shared" si="1945"/>
        <v>1.3806530250542586E-2</v>
      </c>
      <c r="FD413" s="126">
        <f t="shared" si="1940"/>
        <v>9.2059925035732695E-3</v>
      </c>
      <c r="FE413" s="126">
        <f t="shared" si="1940"/>
        <v>6.7281752849304129E-3</v>
      </c>
      <c r="FF413" s="126">
        <f t="shared" si="1940"/>
        <v>4.9403319739881619E-3</v>
      </c>
      <c r="FG413" s="126">
        <f t="shared" si="1940"/>
        <v>3.6379214541736754E-3</v>
      </c>
      <c r="FH413" s="126">
        <f t="shared" si="1940"/>
        <v>2.6834936352559077E-3</v>
      </c>
      <c r="FI413" s="126">
        <f t="shared" si="1940"/>
        <v>1.9815291669940528E-3</v>
      </c>
    </row>
    <row r="414" spans="1:167" s="108" customFormat="1" x14ac:dyDescent="0.3">
      <c r="A414" s="65" t="s">
        <v>454</v>
      </c>
      <c r="DU414" s="126"/>
      <c r="DV414" s="126"/>
      <c r="DW414" s="126"/>
      <c r="DX414" s="126"/>
      <c r="DY414" s="127"/>
      <c r="DZ414" s="126">
        <f t="shared" ref="DZ414:FI414" si="1946">+DZ408/DZ397</f>
        <v>0.21867881548974943</v>
      </c>
      <c r="EA414" s="126">
        <f t="shared" si="1946"/>
        <v>0.2069359756097561</v>
      </c>
      <c r="EB414" s="126">
        <f t="shared" si="1946"/>
        <v>0.19195402298850575</v>
      </c>
      <c r="EC414" s="126">
        <f t="shared" si="1946"/>
        <v>0.18129107073830689</v>
      </c>
      <c r="ED414" s="127">
        <f t="shared" si="1946"/>
        <v>0.18129107073830689</v>
      </c>
      <c r="EE414" s="126">
        <f t="shared" si="1946"/>
        <v>0.16951124903025602</v>
      </c>
      <c r="EF414" s="126">
        <f t="shared" si="1946"/>
        <v>0.15976562499999999</v>
      </c>
      <c r="EG414" s="126">
        <f t="shared" si="1946"/>
        <v>0.15101721439749607</v>
      </c>
      <c r="EH414" s="126">
        <f t="shared" ref="EH414:EJ414" si="1947">+EH408/EH397</f>
        <v>0.14319066147859921</v>
      </c>
      <c r="EI414" s="127">
        <f t="shared" si="1946"/>
        <v>0.14319066147859921</v>
      </c>
      <c r="EJ414" s="126">
        <f t="shared" si="1947"/>
        <v>0.13541666666666666</v>
      </c>
      <c r="EK414" s="126">
        <f t="shared" ref="EK414:EL414" si="1948">+EK408/EK397</f>
        <v>0.12725874663590928</v>
      </c>
      <c r="EL414" s="126">
        <f t="shared" si="1948"/>
        <v>0.11891062523973916</v>
      </c>
      <c r="EM414" s="126">
        <f t="shared" ref="EM414" si="1949">+EM408/EM397</f>
        <v>0.11229946524064172</v>
      </c>
      <c r="EN414" s="127">
        <f t="shared" si="1946"/>
        <v>0.11229946524064172</v>
      </c>
      <c r="EO414" s="126">
        <f t="shared" si="1946"/>
        <v>0.10430839002267574</v>
      </c>
      <c r="EP414" s="126">
        <f t="shared" ref="EP414:EQ414" si="1950">+EP408/EP397</f>
        <v>9.6226415094339629E-2</v>
      </c>
      <c r="EQ414" s="126">
        <f t="shared" si="1950"/>
        <v>8.8488938882639673E-2</v>
      </c>
      <c r="ER414" s="126">
        <f t="shared" ref="ER414" si="1951">+ER408/ER397</f>
        <v>8.2222222222222224E-2</v>
      </c>
      <c r="ES414" s="127">
        <f t="shared" ref="ES414:ET414" si="1952">+ES408/ES397</f>
        <v>8.2222222222222224E-2</v>
      </c>
      <c r="ET414" s="126">
        <f t="shared" si="1952"/>
        <v>7.5713240673006582E-2</v>
      </c>
      <c r="EU414" s="126">
        <f t="shared" ref="EU414:EV414" si="1953">+EU408/EU397</f>
        <v>6.9574621485219895E-2</v>
      </c>
      <c r="EV414" s="126">
        <f t="shared" si="1953"/>
        <v>6.340772228126107E-2</v>
      </c>
      <c r="EW414" s="126">
        <f t="shared" ref="EW414" si="1954">+EW408/EW397</f>
        <v>5.8371198881509961E-2</v>
      </c>
      <c r="EX414" s="127">
        <f t="shared" ref="EX414" si="1955">+EX408/EX397</f>
        <v>5.8371198881509961E-2</v>
      </c>
      <c r="EY414" s="126">
        <f t="shared" ref="EY414:FC414" si="1956">+EY408/EY397</f>
        <v>5.3926473764398054E-2</v>
      </c>
      <c r="EZ414" s="126">
        <f t="shared" si="1956"/>
        <v>4.896897449701066E-2</v>
      </c>
      <c r="FA414" s="126">
        <f t="shared" si="1956"/>
        <v>4.4192341132773628E-2</v>
      </c>
      <c r="FB414" s="126">
        <f t="shared" si="1956"/>
        <v>4.0099849125304191E-2</v>
      </c>
      <c r="FC414" s="127">
        <f t="shared" si="1956"/>
        <v>4.0099849125304191E-2</v>
      </c>
      <c r="FD414" s="126">
        <f t="shared" si="1946"/>
        <v>2.6482879554069111E-2</v>
      </c>
      <c r="FE414" s="126">
        <f t="shared" si="1946"/>
        <v>1.788112181651651E-2</v>
      </c>
      <c r="FF414" s="126">
        <f t="shared" si="1946"/>
        <v>1.2459362633739885E-2</v>
      </c>
      <c r="FG414" s="126">
        <f t="shared" si="1946"/>
        <v>8.85487076084698E-3</v>
      </c>
      <c r="FH414" s="126">
        <f t="shared" si="1946"/>
        <v>6.3968830601532651E-3</v>
      </c>
      <c r="FI414" s="126">
        <f t="shared" si="1946"/>
        <v>4.6840651602109463E-3</v>
      </c>
    </row>
    <row r="415" spans="1:167" s="108" customFormat="1" x14ac:dyDescent="0.3">
      <c r="A415" s="66"/>
      <c r="DY415" s="538"/>
      <c r="ED415" s="538"/>
      <c r="EI415" s="538"/>
      <c r="EN415" s="538"/>
      <c r="ES415" s="538"/>
      <c r="EX415" s="538"/>
      <c r="FC415" s="538"/>
      <c r="FI415" s="120"/>
    </row>
    <row r="416" spans="1:167" s="108" customFormat="1" x14ac:dyDescent="0.3">
      <c r="A416" s="78" t="s">
        <v>405</v>
      </c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  <c r="AA416" s="119"/>
      <c r="AB416" s="119"/>
      <c r="AC416" s="119"/>
      <c r="AD416" s="119"/>
      <c r="AE416" s="119"/>
      <c r="AF416" s="119"/>
      <c r="AG416" s="119"/>
      <c r="AH416" s="119"/>
      <c r="AI416" s="119"/>
      <c r="AJ416" s="119"/>
      <c r="AK416" s="119"/>
      <c r="AL416" s="119"/>
      <c r="AM416" s="119"/>
      <c r="AN416" s="119"/>
      <c r="AO416" s="119"/>
      <c r="AP416" s="119"/>
      <c r="AQ416" s="119"/>
      <c r="AR416" s="119"/>
      <c r="AS416" s="119"/>
      <c r="AT416" s="119"/>
      <c r="AU416" s="119"/>
      <c r="AV416" s="119"/>
      <c r="AW416" s="119"/>
      <c r="AX416" s="119"/>
      <c r="AY416" s="119"/>
      <c r="AZ416" s="119"/>
      <c r="BA416" s="119"/>
      <c r="BB416" s="119"/>
      <c r="BC416" s="119"/>
      <c r="BD416" s="119"/>
      <c r="BE416" s="119"/>
      <c r="BF416" s="119"/>
      <c r="BG416" s="119"/>
      <c r="BH416" s="119"/>
      <c r="BI416" s="119"/>
      <c r="BJ416" s="119"/>
      <c r="BK416" s="119"/>
      <c r="BL416" s="119"/>
      <c r="BM416" s="119"/>
      <c r="BN416" s="119"/>
      <c r="BO416" s="119"/>
      <c r="BP416" s="119"/>
      <c r="BQ416" s="119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19"/>
      <c r="CB416" s="119"/>
      <c r="CC416" s="119"/>
      <c r="CD416" s="119"/>
      <c r="CE416" s="119"/>
      <c r="CF416" s="119"/>
      <c r="CG416" s="119"/>
      <c r="CH416" s="119"/>
      <c r="CI416" s="119"/>
      <c r="CJ416" s="119"/>
      <c r="CK416" s="119"/>
      <c r="CL416" s="119"/>
      <c r="CM416" s="119"/>
      <c r="CN416" s="119"/>
      <c r="CO416" s="119"/>
      <c r="CP416" s="119"/>
      <c r="CQ416" s="119"/>
      <c r="CR416" s="119"/>
      <c r="CS416" s="119"/>
      <c r="CT416" s="119"/>
      <c r="CU416" s="119"/>
      <c r="CV416" s="119"/>
      <c r="CW416" s="119"/>
      <c r="CX416" s="119"/>
      <c r="CY416" s="119"/>
      <c r="CZ416" s="119"/>
      <c r="DA416" s="119"/>
      <c r="DB416" s="119"/>
      <c r="DC416" s="119"/>
      <c r="DD416" s="119"/>
      <c r="DE416" s="119"/>
      <c r="DF416" s="119"/>
      <c r="DG416" s="119"/>
      <c r="DH416" s="119"/>
      <c r="DI416" s="119"/>
      <c r="DJ416" s="119"/>
      <c r="DK416" s="119"/>
      <c r="DL416" s="119"/>
      <c r="DM416" s="119"/>
      <c r="DN416" s="119"/>
      <c r="DO416" s="119"/>
      <c r="DP416" s="119"/>
      <c r="DQ416" s="119"/>
      <c r="DR416" s="119"/>
      <c r="DS416" s="119"/>
      <c r="DT416" s="119"/>
      <c r="DU416" s="119"/>
      <c r="DV416" s="119"/>
      <c r="DW416" s="119"/>
      <c r="DX416" s="119"/>
      <c r="DY416" s="1202"/>
      <c r="DZ416" s="119"/>
      <c r="EA416" s="119"/>
      <c r="EB416" s="119"/>
      <c r="EC416" s="119"/>
      <c r="ED416" s="1202"/>
      <c r="EE416" s="119"/>
      <c r="EF416" s="119"/>
      <c r="EG416" s="119"/>
      <c r="EH416" s="119"/>
      <c r="EI416" s="1202"/>
      <c r="EJ416" s="119"/>
      <c r="EK416" s="119"/>
      <c r="EL416" s="119"/>
      <c r="EM416" s="119"/>
      <c r="EN416" s="1202"/>
      <c r="EO416" s="119"/>
      <c r="EP416" s="119"/>
      <c r="EQ416" s="119"/>
      <c r="ER416" s="119"/>
      <c r="ES416" s="1202"/>
      <c r="ET416" s="119"/>
      <c r="EU416" s="119"/>
      <c r="EV416" s="119"/>
      <c r="EW416" s="119"/>
      <c r="EX416" s="1202"/>
      <c r="EY416" s="119"/>
      <c r="EZ416" s="119"/>
      <c r="FA416" s="119"/>
      <c r="FB416" s="119"/>
      <c r="FC416" s="1202"/>
      <c r="FD416" s="119"/>
      <c r="FE416" s="119"/>
      <c r="FF416" s="119"/>
      <c r="FG416" s="119"/>
      <c r="FH416" s="119"/>
      <c r="FI416" s="119"/>
    </row>
    <row r="417" spans="1:167" s="108" customFormat="1" x14ac:dyDescent="0.3">
      <c r="A417" s="63" t="s">
        <v>406</v>
      </c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  <c r="AA417" s="119"/>
      <c r="AB417" s="119"/>
      <c r="AC417" s="119"/>
      <c r="AD417" s="119"/>
      <c r="AE417" s="119"/>
      <c r="AF417" s="119"/>
      <c r="AG417" s="119"/>
      <c r="AH417" s="119"/>
      <c r="AI417" s="119"/>
      <c r="AJ417" s="119"/>
      <c r="AK417" s="119"/>
      <c r="AL417" s="119"/>
      <c r="AM417" s="119"/>
      <c r="AN417" s="119"/>
      <c r="AO417" s="119"/>
      <c r="AP417" s="119"/>
      <c r="AQ417" s="119"/>
      <c r="AR417" s="119"/>
      <c r="AS417" s="119"/>
      <c r="AT417" s="119"/>
      <c r="AU417" s="119"/>
      <c r="AV417" s="119"/>
      <c r="AW417" s="119"/>
      <c r="AX417" s="119"/>
      <c r="AY417" s="119"/>
      <c r="AZ417" s="119"/>
      <c r="BA417" s="119"/>
      <c r="BB417" s="119"/>
      <c r="BC417" s="119"/>
      <c r="BD417" s="119"/>
      <c r="BE417" s="119"/>
      <c r="BF417" s="119"/>
      <c r="BG417" s="119"/>
      <c r="BH417" s="119"/>
      <c r="BI417" s="119"/>
      <c r="BJ417" s="119"/>
      <c r="BK417" s="119"/>
      <c r="BL417" s="119"/>
      <c r="BM417" s="119"/>
      <c r="BN417" s="119"/>
      <c r="BO417" s="119"/>
      <c r="BP417" s="119"/>
      <c r="BQ417" s="119"/>
      <c r="BR417" s="119"/>
      <c r="BS417" s="119"/>
      <c r="BT417" s="119"/>
      <c r="BU417" s="119"/>
      <c r="BV417" s="119"/>
      <c r="BW417" s="119"/>
      <c r="BX417" s="119"/>
      <c r="BY417" s="119"/>
      <c r="BZ417" s="119"/>
      <c r="CA417" s="119"/>
      <c r="CB417" s="119"/>
      <c r="CC417" s="119"/>
      <c r="CD417" s="119"/>
      <c r="CE417" s="119"/>
      <c r="CF417" s="119"/>
      <c r="CG417" s="119"/>
      <c r="CH417" s="119"/>
      <c r="CI417" s="119"/>
      <c r="CJ417" s="119"/>
      <c r="CK417" s="119"/>
      <c r="CL417" s="119"/>
      <c r="CM417" s="119"/>
      <c r="CN417" s="119"/>
      <c r="CO417" s="119"/>
      <c r="CP417" s="119"/>
      <c r="CQ417" s="119"/>
      <c r="CR417" s="119"/>
      <c r="CS417" s="119"/>
      <c r="CT417" s="119"/>
      <c r="CU417" s="119"/>
      <c r="CV417" s="119"/>
      <c r="CW417" s="119"/>
      <c r="CX417" s="119"/>
      <c r="CY417" s="119"/>
      <c r="CZ417" s="119"/>
      <c r="DA417" s="119"/>
      <c r="DB417" s="119"/>
      <c r="DC417" s="119"/>
      <c r="DD417" s="119"/>
      <c r="DE417" s="119"/>
      <c r="DF417" s="119"/>
      <c r="DG417" s="119"/>
      <c r="DH417" s="119"/>
      <c r="DI417" s="119"/>
      <c r="DJ417" s="119"/>
      <c r="DK417" s="119"/>
      <c r="DL417" s="119"/>
      <c r="DM417" s="119"/>
      <c r="DN417" s="119"/>
      <c r="DO417" s="119"/>
      <c r="DP417" s="119"/>
      <c r="DQ417" s="119"/>
      <c r="DR417" s="119"/>
      <c r="DS417" s="119"/>
      <c r="DT417" s="119"/>
      <c r="DU417" s="56"/>
      <c r="DV417" s="56"/>
      <c r="DW417" s="56"/>
      <c r="DX417" s="56"/>
      <c r="DY417" s="60"/>
      <c r="DZ417" s="56">
        <f>DZ280</f>
        <v>740</v>
      </c>
      <c r="EA417" s="56">
        <f t="shared" ref="EA417:EC417" si="1957">EA280</f>
        <v>740</v>
      </c>
      <c r="EB417" s="56">
        <f t="shared" si="1957"/>
        <v>718</v>
      </c>
      <c r="EC417" s="56">
        <f t="shared" si="1957"/>
        <v>696</v>
      </c>
      <c r="ED417" s="60">
        <f>DY420</f>
        <v>766</v>
      </c>
      <c r="EE417" s="56">
        <f>ED420</f>
        <v>677</v>
      </c>
      <c r="EF417" s="56">
        <f t="shared" ref="EF417:EW417" si="1958">EE420</f>
        <v>657</v>
      </c>
      <c r="EG417" s="56">
        <f t="shared" si="1958"/>
        <v>636</v>
      </c>
      <c r="EH417" s="56">
        <f t="shared" si="1958"/>
        <v>617</v>
      </c>
      <c r="EI417" s="60">
        <f>+EE417</f>
        <v>677</v>
      </c>
      <c r="EJ417" s="56">
        <f t="shared" si="1958"/>
        <v>595</v>
      </c>
      <c r="EK417" s="56">
        <f t="shared" si="1958"/>
        <v>577</v>
      </c>
      <c r="EL417" s="56">
        <f t="shared" si="1958"/>
        <v>558</v>
      </c>
      <c r="EM417" s="56">
        <f t="shared" si="1958"/>
        <v>535</v>
      </c>
      <c r="EN417" s="60">
        <f>+EJ417</f>
        <v>595</v>
      </c>
      <c r="EO417" s="56">
        <f t="shared" si="1958"/>
        <v>515</v>
      </c>
      <c r="EP417" s="56">
        <f t="shared" si="1958"/>
        <v>494</v>
      </c>
      <c r="EQ417" s="56">
        <f t="shared" si="1958"/>
        <v>477</v>
      </c>
      <c r="ER417" s="56">
        <f t="shared" si="1958"/>
        <v>450.99999999999994</v>
      </c>
      <c r="ES417" s="60">
        <f>+EO417</f>
        <v>515</v>
      </c>
      <c r="ET417" s="56">
        <f t="shared" si="1958"/>
        <v>429.00000000000006</v>
      </c>
      <c r="EU417" s="56">
        <f t="shared" si="1958"/>
        <v>406.00000000000006</v>
      </c>
      <c r="EV417" s="56">
        <f t="shared" si="1958"/>
        <v>380.00000000000006</v>
      </c>
      <c r="EW417" s="56">
        <f t="shared" si="1958"/>
        <v>353.00000000000006</v>
      </c>
      <c r="EX417" s="60">
        <f>+ET417</f>
        <v>429.00000000000006</v>
      </c>
      <c r="EY417" s="56">
        <f t="shared" ref="EY417" si="1959">EX420</f>
        <v>332</v>
      </c>
      <c r="EZ417" s="56">
        <f t="shared" ref="EZ417" si="1960">EY420</f>
        <v>311.6088189023896</v>
      </c>
      <c r="FA417" s="56">
        <f t="shared" ref="FA417" si="1961">EZ420</f>
        <v>288.70061790357192</v>
      </c>
      <c r="FB417" s="56">
        <f t="shared" ref="FB417" si="1962">FA420</f>
        <v>265.43564775493547</v>
      </c>
      <c r="FC417" s="60">
        <f>+EY417</f>
        <v>332</v>
      </c>
      <c r="FD417" s="56">
        <f t="shared" ref="FD417:FI417" si="1963">FC420</f>
        <v>247.14869251450148</v>
      </c>
      <c r="FE417" s="56">
        <f t="shared" si="1963"/>
        <v>185.16664131670007</v>
      </c>
      <c r="FF417" s="56">
        <f t="shared" si="1963"/>
        <v>171.71912109420526</v>
      </c>
      <c r="FG417" s="56">
        <f t="shared" si="1963"/>
        <v>168.33385255690732</v>
      </c>
      <c r="FH417" s="56">
        <f t="shared" si="1963"/>
        <v>164.3538919688412</v>
      </c>
      <c r="FI417" s="56">
        <f t="shared" si="1963"/>
        <v>160.50541284217982</v>
      </c>
      <c r="FJ417" s="1068">
        <f>+(FF417/ES417)^0.2-1</f>
        <v>-0.19720938712889313</v>
      </c>
    </row>
    <row r="418" spans="1:167" s="108" customFormat="1" x14ac:dyDescent="0.3">
      <c r="A418" s="63" t="s">
        <v>336</v>
      </c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  <c r="AA418" s="119"/>
      <c r="AB418" s="119"/>
      <c r="AC418" s="119"/>
      <c r="AD418" s="119"/>
      <c r="AE418" s="119"/>
      <c r="AF418" s="119"/>
      <c r="AG418" s="119"/>
      <c r="AH418" s="119"/>
      <c r="AI418" s="119"/>
      <c r="AJ418" s="119"/>
      <c r="AK418" s="119"/>
      <c r="AL418" s="119"/>
      <c r="AM418" s="119"/>
      <c r="AN418" s="119"/>
      <c r="AO418" s="119"/>
      <c r="AP418" s="119"/>
      <c r="AQ418" s="119"/>
      <c r="AR418" s="119"/>
      <c r="AS418" s="119"/>
      <c r="AT418" s="119"/>
      <c r="AU418" s="119"/>
      <c r="AV418" s="119"/>
      <c r="AW418" s="119"/>
      <c r="AX418" s="119"/>
      <c r="AY418" s="119"/>
      <c r="AZ418" s="119"/>
      <c r="BA418" s="119"/>
      <c r="BB418" s="119"/>
      <c r="BC418" s="119"/>
      <c r="BD418" s="119"/>
      <c r="BE418" s="119"/>
      <c r="BF418" s="119"/>
      <c r="BG418" s="119"/>
      <c r="BH418" s="119"/>
      <c r="BI418" s="119"/>
      <c r="BJ418" s="119"/>
      <c r="BK418" s="119"/>
      <c r="BL418" s="119"/>
      <c r="BM418" s="119"/>
      <c r="BN418" s="119"/>
      <c r="BO418" s="119"/>
      <c r="BP418" s="119"/>
      <c r="BQ418" s="119"/>
      <c r="BR418" s="119"/>
      <c r="BS418" s="119"/>
      <c r="BT418" s="119"/>
      <c r="BU418" s="119"/>
      <c r="BV418" s="119"/>
      <c r="BW418" s="119"/>
      <c r="BX418" s="119"/>
      <c r="BY418" s="119"/>
      <c r="BZ418" s="119"/>
      <c r="CA418" s="119"/>
      <c r="CB418" s="119"/>
      <c r="CC418" s="119"/>
      <c r="CD418" s="119"/>
      <c r="CE418" s="119"/>
      <c r="CF418" s="119"/>
      <c r="CG418" s="119"/>
      <c r="CH418" s="119"/>
      <c r="CI418" s="119"/>
      <c r="CJ418" s="119"/>
      <c r="CK418" s="119"/>
      <c r="CL418" s="119"/>
      <c r="CM418" s="119"/>
      <c r="CN418" s="119"/>
      <c r="CO418" s="119"/>
      <c r="CP418" s="119"/>
      <c r="CQ418" s="119"/>
      <c r="CR418" s="119"/>
      <c r="CS418" s="119"/>
      <c r="CT418" s="119"/>
      <c r="CU418" s="119"/>
      <c r="CV418" s="119"/>
      <c r="CW418" s="119"/>
      <c r="CX418" s="119"/>
      <c r="CY418" s="119"/>
      <c r="CZ418" s="119"/>
      <c r="DA418" s="119"/>
      <c r="DB418" s="119"/>
      <c r="DC418" s="119"/>
      <c r="DD418" s="119"/>
      <c r="DE418" s="119"/>
      <c r="DF418" s="119"/>
      <c r="DG418" s="119"/>
      <c r="DH418" s="119"/>
      <c r="DI418" s="119"/>
      <c r="DJ418" s="119"/>
      <c r="DK418" s="119"/>
      <c r="DL418" s="119"/>
      <c r="DM418" s="119"/>
      <c r="DN418" s="119"/>
      <c r="DO418" s="119"/>
      <c r="DP418" s="119"/>
      <c r="DQ418" s="119"/>
      <c r="DR418" s="119"/>
      <c r="DS418" s="119"/>
      <c r="DT418" s="119"/>
      <c r="DU418" s="56"/>
      <c r="DV418" s="56"/>
      <c r="DW418" s="56"/>
      <c r="DX418" s="56"/>
      <c r="DY418" s="60"/>
      <c r="DZ418" s="56">
        <f t="shared" ref="DZ418:EC418" si="1964">DZ281</f>
        <v>77.933999999999969</v>
      </c>
      <c r="EA418" s="56">
        <f t="shared" si="1964"/>
        <v>48.741499999999974</v>
      </c>
      <c r="EB418" s="56">
        <f t="shared" si="1964"/>
        <v>63.407299999999964</v>
      </c>
      <c r="EC418" s="56">
        <f t="shared" si="1964"/>
        <v>58.677800000000047</v>
      </c>
      <c r="ED418" s="60">
        <f>+SUM(DZ418:EC418)</f>
        <v>248.76059999999995</v>
      </c>
      <c r="EE418" s="56">
        <f t="shared" ref="EE418:EG418" si="1965">EE281</f>
        <v>50.212600000000066</v>
      </c>
      <c r="EF418" s="56">
        <f t="shared" si="1965"/>
        <v>56.168099999999981</v>
      </c>
      <c r="EG418" s="56">
        <f t="shared" si="1965"/>
        <v>61.703300000000013</v>
      </c>
      <c r="EH418" s="56">
        <f t="shared" ref="EH418:EJ418" si="1966">EH281</f>
        <v>47.940699999999993</v>
      </c>
      <c r="EI418" s="60">
        <f>+SUM(EE418:EH418)</f>
        <v>216.02470000000005</v>
      </c>
      <c r="EJ418" s="56">
        <f t="shared" si="1966"/>
        <v>49.541900000000055</v>
      </c>
      <c r="EK418" s="56">
        <f t="shared" ref="EK418:EL418" si="1967">EK281</f>
        <v>62.969500000000039</v>
      </c>
      <c r="EL418" s="56">
        <f t="shared" si="1967"/>
        <v>65.317400000000021</v>
      </c>
      <c r="EM418" s="56">
        <f t="shared" ref="EM418" si="1968">EM281</f>
        <v>56.895800000000008</v>
      </c>
      <c r="EN418" s="60">
        <f>+SUM(EJ418:EM418)</f>
        <v>234.72460000000012</v>
      </c>
      <c r="EO418" s="56">
        <f t="shared" ref="EO418:EP418" si="1969">EO281</f>
        <v>56.899800000000027</v>
      </c>
      <c r="EP418" s="56">
        <f t="shared" si="1969"/>
        <v>65.643599999999992</v>
      </c>
      <c r="EQ418" s="56">
        <f t="shared" ref="EQ418:ER418" si="1970">EQ281</f>
        <v>68.785799999999995</v>
      </c>
      <c r="ER418" s="56">
        <f t="shared" si="1970"/>
        <v>61.216200000000072</v>
      </c>
      <c r="ES418" s="60">
        <f>+SUM(EO418:ER418)</f>
        <v>252.54540000000009</v>
      </c>
      <c r="ET418" s="56">
        <f t="shared" ref="ET418:EU418" si="1971">ET281</f>
        <v>62.395100000000014</v>
      </c>
      <c r="EU418" s="56">
        <f t="shared" si="1971"/>
        <v>81.707400000000007</v>
      </c>
      <c r="EV418" s="56">
        <f t="shared" ref="EV418:EW418" si="1972">EV281</f>
        <v>91.052900000000022</v>
      </c>
      <c r="EW418" s="56">
        <f t="shared" si="1972"/>
        <v>87.321199999999976</v>
      </c>
      <c r="EX418" s="60">
        <f>+SUM(ET418:EW418)</f>
        <v>322.47660000000002</v>
      </c>
      <c r="EY418" s="56">
        <f t="shared" ref="EY418:FB418" si="1973">EY281</f>
        <v>45.695469718240417</v>
      </c>
      <c r="EZ418" s="56">
        <f t="shared" si="1973"/>
        <v>59.758241614599193</v>
      </c>
      <c r="FA418" s="56">
        <f t="shared" si="1973"/>
        <v>66.424359260070304</v>
      </c>
      <c r="FB418" s="56">
        <f t="shared" si="1973"/>
        <v>63.164341891554457</v>
      </c>
      <c r="FC418" s="60">
        <f>+SUM(EY418:FB418)</f>
        <v>235.04241248446436</v>
      </c>
      <c r="FD418" s="56">
        <f t="shared" ref="FD418:FI418" si="1974">FD281</f>
        <v>202.05180927313819</v>
      </c>
      <c r="FE418" s="56">
        <f t="shared" si="1974"/>
        <v>184.36968301606763</v>
      </c>
      <c r="FF418" s="56">
        <f t="shared" si="1974"/>
        <v>180.06568156845452</v>
      </c>
      <c r="FG418" s="56">
        <f t="shared" si="1974"/>
        <v>175.85443985464843</v>
      </c>
      <c r="FH418" s="56">
        <f t="shared" si="1974"/>
        <v>171.73405031524808</v>
      </c>
      <c r="FI418" s="56">
        <f t="shared" si="1974"/>
        <v>167.7026434409257</v>
      </c>
      <c r="FJ418" s="1068">
        <f>+(FF418/ES418)^0.2-1</f>
        <v>-6.5416095359482562E-2</v>
      </c>
    </row>
    <row r="419" spans="1:167" s="108" customFormat="1" x14ac:dyDescent="0.3">
      <c r="A419" s="63" t="s">
        <v>337</v>
      </c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  <c r="AA419" s="119"/>
      <c r="AB419" s="119"/>
      <c r="AC419" s="119"/>
      <c r="AD419" s="119"/>
      <c r="AE419" s="119"/>
      <c r="AF419" s="119"/>
      <c r="AG419" s="119"/>
      <c r="AH419" s="119"/>
      <c r="AI419" s="119"/>
      <c r="AJ419" s="119"/>
      <c r="AK419" s="119"/>
      <c r="AL419" s="119"/>
      <c r="AM419" s="119"/>
      <c r="AN419" s="119"/>
      <c r="AO419" s="119"/>
      <c r="AP419" s="119"/>
      <c r="AQ419" s="119"/>
      <c r="AR419" s="119"/>
      <c r="AS419" s="119"/>
      <c r="AT419" s="119"/>
      <c r="AU419" s="119"/>
      <c r="AV419" s="119"/>
      <c r="AW419" s="119"/>
      <c r="AX419" s="119"/>
      <c r="AY419" s="119"/>
      <c r="AZ419" s="119"/>
      <c r="BA419" s="119"/>
      <c r="BB419" s="119"/>
      <c r="BC419" s="119"/>
      <c r="BD419" s="119"/>
      <c r="BE419" s="119"/>
      <c r="BF419" s="119"/>
      <c r="BG419" s="119"/>
      <c r="BH419" s="119"/>
      <c r="BI419" s="119"/>
      <c r="BJ419" s="119"/>
      <c r="BK419" s="119"/>
      <c r="BL419" s="119"/>
      <c r="BM419" s="119"/>
      <c r="BN419" s="119"/>
      <c r="BO419" s="119"/>
      <c r="BP419" s="119"/>
      <c r="BQ419" s="119"/>
      <c r="BR419" s="119"/>
      <c r="BS419" s="119"/>
      <c r="BT419" s="119"/>
      <c r="BU419" s="119"/>
      <c r="BV419" s="119"/>
      <c r="BW419" s="119"/>
      <c r="BX419" s="119"/>
      <c r="BY419" s="119"/>
      <c r="BZ419" s="119"/>
      <c r="CA419" s="119"/>
      <c r="CB419" s="119"/>
      <c r="CC419" s="119"/>
      <c r="CD419" s="119"/>
      <c r="CE419" s="119"/>
      <c r="CF419" s="119"/>
      <c r="CG419" s="119"/>
      <c r="CH419" s="119"/>
      <c r="CI419" s="119"/>
      <c r="CJ419" s="119"/>
      <c r="CK419" s="119"/>
      <c r="CL419" s="119"/>
      <c r="CM419" s="119"/>
      <c r="CN419" s="119"/>
      <c r="CO419" s="119"/>
      <c r="CP419" s="119"/>
      <c r="CQ419" s="119"/>
      <c r="CR419" s="119"/>
      <c r="CS419" s="119"/>
      <c r="CT419" s="119"/>
      <c r="CU419" s="119"/>
      <c r="CV419" s="119"/>
      <c r="CW419" s="119"/>
      <c r="CX419" s="119"/>
      <c r="CY419" s="119"/>
      <c r="CZ419" s="119"/>
      <c r="DA419" s="119"/>
      <c r="DB419" s="119"/>
      <c r="DC419" s="119"/>
      <c r="DD419" s="119"/>
      <c r="DE419" s="119"/>
      <c r="DF419" s="119"/>
      <c r="DG419" s="119"/>
      <c r="DH419" s="119"/>
      <c r="DI419" s="119"/>
      <c r="DJ419" s="119"/>
      <c r="DK419" s="119"/>
      <c r="DL419" s="119"/>
      <c r="DM419" s="119"/>
      <c r="DN419" s="119"/>
      <c r="DO419" s="119"/>
      <c r="DP419" s="119"/>
      <c r="DQ419" s="119"/>
      <c r="DR419" s="119"/>
      <c r="DS419" s="119"/>
      <c r="DT419" s="119"/>
      <c r="DU419" s="56"/>
      <c r="DV419" s="56"/>
      <c r="DW419" s="56"/>
      <c r="DX419" s="56"/>
      <c r="DY419" s="1215"/>
      <c r="DZ419" s="56">
        <f t="shared" ref="DZ419:EC419" si="1975">DZ282</f>
        <v>-77.934000000000012</v>
      </c>
      <c r="EA419" s="56">
        <f t="shared" si="1975"/>
        <v>-70.741500000000002</v>
      </c>
      <c r="EB419" s="56">
        <f t="shared" si="1975"/>
        <v>-85.407299999999992</v>
      </c>
      <c r="EC419" s="56">
        <f t="shared" si="1975"/>
        <v>-77.677800000000019</v>
      </c>
      <c r="ED419" s="60">
        <f>+SUM(DZ419:EC419)</f>
        <v>-311.76060000000001</v>
      </c>
      <c r="EE419" s="56">
        <f t="shared" ref="EE419:EG419" si="1976">EE282</f>
        <v>-70.212600000000009</v>
      </c>
      <c r="EF419" s="56">
        <f t="shared" si="1976"/>
        <v>-77.168099999999995</v>
      </c>
      <c r="EG419" s="56">
        <f t="shared" si="1976"/>
        <v>-80.703300000000027</v>
      </c>
      <c r="EH419" s="56">
        <f t="shared" ref="EH419:EJ419" si="1977">EH282</f>
        <v>-69.940700000000021</v>
      </c>
      <c r="EI419" s="60">
        <f>+SUM(EE419:EH419)</f>
        <v>-298.02470000000005</v>
      </c>
      <c r="EJ419" s="56">
        <f t="shared" si="1977"/>
        <v>-67.541900000000012</v>
      </c>
      <c r="EK419" s="56">
        <f t="shared" ref="EK419:EL419" si="1978">EK282</f>
        <v>-81.969499999999996</v>
      </c>
      <c r="EL419" s="56">
        <f t="shared" si="1978"/>
        <v>-88.317400000000021</v>
      </c>
      <c r="EM419" s="56">
        <f t="shared" ref="EM419" si="1979">EM282</f>
        <v>-76.895800000000008</v>
      </c>
      <c r="EN419" s="60">
        <f>+SUM(EJ419:EM419)</f>
        <v>-314.72460000000001</v>
      </c>
      <c r="EO419" s="56">
        <f t="shared" ref="EO419:EP419" si="1980">EO282</f>
        <v>-77.899800000000027</v>
      </c>
      <c r="EP419" s="56">
        <f t="shared" si="1980"/>
        <v>-82.643599999999978</v>
      </c>
      <c r="EQ419" s="56">
        <f t="shared" ref="EQ419:ER419" si="1981">EQ282</f>
        <v>-94.785800000000037</v>
      </c>
      <c r="ER419" s="56">
        <f t="shared" si="1981"/>
        <v>-83.216200000000015</v>
      </c>
      <c r="ES419" s="60">
        <f>+SUM(EO419:ER419)</f>
        <v>-338.54540000000009</v>
      </c>
      <c r="ET419" s="56">
        <f t="shared" ref="ET419:EU419" si="1982">ET282</f>
        <v>-85.395099999999999</v>
      </c>
      <c r="EU419" s="56">
        <f t="shared" si="1982"/>
        <v>-107.70740000000001</v>
      </c>
      <c r="EV419" s="56">
        <f t="shared" ref="EV419:EW419" si="1983">EV282</f>
        <v>-118.05290000000001</v>
      </c>
      <c r="EW419" s="56">
        <f t="shared" si="1983"/>
        <v>-108.3212</v>
      </c>
      <c r="EX419" s="60">
        <f>+SUM(ET419:EW419)</f>
        <v>-419.47660000000008</v>
      </c>
      <c r="EY419" s="56">
        <f t="shared" ref="EY419:FB419" si="1984">EY282</f>
        <v>-66.086650815850817</v>
      </c>
      <c r="EZ419" s="56">
        <f t="shared" si="1984"/>
        <v>-82.666442613416848</v>
      </c>
      <c r="FA419" s="56">
        <f t="shared" si="1984"/>
        <v>-89.689329408706797</v>
      </c>
      <c r="FB419" s="56">
        <f t="shared" si="1984"/>
        <v>-81.45129713198844</v>
      </c>
      <c r="FC419" s="60">
        <f>+SUM(EY419:FB419)</f>
        <v>-319.89371996996289</v>
      </c>
      <c r="FD419" s="56">
        <f t="shared" ref="FD419:FI419" si="1985">FD282</f>
        <v>-264.0338604709396</v>
      </c>
      <c r="FE419" s="56">
        <f t="shared" si="1985"/>
        <v>-197.8172032385624</v>
      </c>
      <c r="FF419" s="56">
        <f t="shared" si="1985"/>
        <v>-183.45095010575247</v>
      </c>
      <c r="FG419" s="56">
        <f t="shared" si="1985"/>
        <v>-179.83440044271453</v>
      </c>
      <c r="FH419" s="56">
        <f t="shared" si="1985"/>
        <v>-175.58252944190949</v>
      </c>
      <c r="FI419" s="56">
        <f t="shared" si="1985"/>
        <v>-171.47112269961158</v>
      </c>
      <c r="FJ419" s="1068">
        <f>+(FF419/ES419)^0.2-1</f>
        <v>-0.11533140666947628</v>
      </c>
    </row>
    <row r="420" spans="1:167" s="108" customFormat="1" x14ac:dyDescent="0.3">
      <c r="A420" s="64" t="s">
        <v>407</v>
      </c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  <c r="AA420" s="119"/>
      <c r="AB420" s="119"/>
      <c r="AC420" s="119"/>
      <c r="AD420" s="119"/>
      <c r="AE420" s="119"/>
      <c r="AF420" s="119"/>
      <c r="AG420" s="119"/>
      <c r="AH420" s="119"/>
      <c r="AI420" s="119"/>
      <c r="AJ420" s="119"/>
      <c r="AK420" s="119"/>
      <c r="AL420" s="119"/>
      <c r="AM420" s="119"/>
      <c r="AN420" s="119"/>
      <c r="AO420" s="119"/>
      <c r="AP420" s="119"/>
      <c r="AQ420" s="119"/>
      <c r="AR420" s="119"/>
      <c r="AS420" s="119"/>
      <c r="AT420" s="119"/>
      <c r="AU420" s="119"/>
      <c r="AV420" s="119"/>
      <c r="AW420" s="119"/>
      <c r="AX420" s="119"/>
      <c r="AY420" s="119"/>
      <c r="AZ420" s="119"/>
      <c r="BA420" s="119"/>
      <c r="BB420" s="119"/>
      <c r="BC420" s="119"/>
      <c r="BD420" s="119"/>
      <c r="BE420" s="119"/>
      <c r="BF420" s="119"/>
      <c r="BG420" s="119"/>
      <c r="BH420" s="119"/>
      <c r="BI420" s="119"/>
      <c r="BJ420" s="119"/>
      <c r="BK420" s="119"/>
      <c r="BL420" s="119"/>
      <c r="BM420" s="119"/>
      <c r="BN420" s="119"/>
      <c r="BO420" s="119"/>
      <c r="BP420" s="119"/>
      <c r="BQ420" s="119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19"/>
      <c r="CB420" s="119"/>
      <c r="CC420" s="119"/>
      <c r="CD420" s="119"/>
      <c r="CE420" s="119"/>
      <c r="CF420" s="119"/>
      <c r="CG420" s="119"/>
      <c r="CH420" s="119"/>
      <c r="CI420" s="119"/>
      <c r="CJ420" s="119"/>
      <c r="CK420" s="119"/>
      <c r="CL420" s="119"/>
      <c r="CM420" s="119"/>
      <c r="CN420" s="119"/>
      <c r="CO420" s="119"/>
      <c r="CP420" s="119"/>
      <c r="CQ420" s="119"/>
      <c r="CR420" s="119"/>
      <c r="CS420" s="119"/>
      <c r="CT420" s="119"/>
      <c r="CU420" s="119"/>
      <c r="CV420" s="119"/>
      <c r="CW420" s="119"/>
      <c r="CX420" s="119"/>
      <c r="CY420" s="119"/>
      <c r="CZ420" s="119"/>
      <c r="DA420" s="119"/>
      <c r="DB420" s="119"/>
      <c r="DC420" s="119"/>
      <c r="DD420" s="119"/>
      <c r="DE420" s="119"/>
      <c r="DF420" s="119"/>
      <c r="DG420" s="119"/>
      <c r="DH420" s="119"/>
      <c r="DI420" s="119"/>
      <c r="DJ420" s="119"/>
      <c r="DK420" s="119"/>
      <c r="DL420" s="119"/>
      <c r="DM420" s="119"/>
      <c r="DN420" s="119"/>
      <c r="DO420" s="119"/>
      <c r="DP420" s="119"/>
      <c r="DQ420" s="119"/>
      <c r="DR420" s="119"/>
      <c r="DS420" s="119"/>
      <c r="DT420" s="119"/>
      <c r="DU420" s="1796">
        <f>+DU431-DU397</f>
        <v>866</v>
      </c>
      <c r="DV420" s="1796">
        <f>+DV431-DV397</f>
        <v>831</v>
      </c>
      <c r="DW420" s="1796">
        <f>+DW431-DW397</f>
        <v>795</v>
      </c>
      <c r="DX420" s="1796">
        <f>+DX431-DX397</f>
        <v>766</v>
      </c>
      <c r="DY420" s="121">
        <f>+DX420</f>
        <v>766</v>
      </c>
      <c r="DZ420" s="1796">
        <f>DZ283</f>
        <v>740</v>
      </c>
      <c r="EA420" s="1796">
        <f t="shared" ref="EA420:EC420" si="1986">EA283</f>
        <v>718</v>
      </c>
      <c r="EB420" s="1796">
        <f t="shared" si="1986"/>
        <v>696</v>
      </c>
      <c r="EC420" s="1796">
        <f t="shared" si="1986"/>
        <v>677</v>
      </c>
      <c r="ED420" s="1797">
        <f>+EC420</f>
        <v>677</v>
      </c>
      <c r="EE420" s="1796">
        <f>SUM(EE417:EE419)</f>
        <v>657</v>
      </c>
      <c r="EF420" s="1796">
        <f t="shared" ref="EF420:EG420" si="1987">SUM(EF417:EF419)</f>
        <v>636</v>
      </c>
      <c r="EG420" s="1796">
        <f t="shared" si="1987"/>
        <v>617</v>
      </c>
      <c r="EH420" s="1796">
        <f t="shared" ref="EH420:EJ420" si="1988">SUM(EH417:EH419)</f>
        <v>595</v>
      </c>
      <c r="EI420" s="1797">
        <f>+EH420</f>
        <v>595</v>
      </c>
      <c r="EJ420" s="1796">
        <f t="shared" si="1988"/>
        <v>577</v>
      </c>
      <c r="EK420" s="1796">
        <f t="shared" ref="EK420:EL420" si="1989">SUM(EK417:EK419)</f>
        <v>558</v>
      </c>
      <c r="EL420" s="1796">
        <f t="shared" si="1989"/>
        <v>535</v>
      </c>
      <c r="EM420" s="1796">
        <f t="shared" ref="EM420" si="1990">SUM(EM417:EM419)</f>
        <v>515</v>
      </c>
      <c r="EN420" s="1797">
        <f>+EM420</f>
        <v>515</v>
      </c>
      <c r="EO420" s="1796">
        <f t="shared" ref="EO420:EP420" si="1991">SUM(EO417:EO419)</f>
        <v>494</v>
      </c>
      <c r="EP420" s="1796">
        <f t="shared" si="1991"/>
        <v>477</v>
      </c>
      <c r="EQ420" s="1796">
        <f t="shared" ref="EQ420:ER420" si="1992">SUM(EQ417:EQ419)</f>
        <v>450.99999999999994</v>
      </c>
      <c r="ER420" s="1796">
        <f t="shared" si="1992"/>
        <v>429.00000000000006</v>
      </c>
      <c r="ES420" s="1797">
        <f>+ER420</f>
        <v>429.00000000000006</v>
      </c>
      <c r="ET420" s="1796">
        <f t="shared" ref="ET420:EU420" si="1993">SUM(ET417:ET419)</f>
        <v>406.00000000000006</v>
      </c>
      <c r="EU420" s="1796">
        <f t="shared" si="1993"/>
        <v>380.00000000000006</v>
      </c>
      <c r="EV420" s="1796">
        <f t="shared" ref="EV420:EW420" si="1994">SUM(EV417:EV419)</f>
        <v>353.00000000000006</v>
      </c>
      <c r="EW420" s="1796">
        <f t="shared" si="1994"/>
        <v>332</v>
      </c>
      <c r="EX420" s="1797">
        <f>+EW420</f>
        <v>332</v>
      </c>
      <c r="EY420" s="1796">
        <f t="shared" ref="EY420:FB420" si="1995">SUM(EY417:EY419)</f>
        <v>311.6088189023896</v>
      </c>
      <c r="EZ420" s="1796">
        <f t="shared" si="1995"/>
        <v>288.70061790357192</v>
      </c>
      <c r="FA420" s="1796">
        <f t="shared" si="1995"/>
        <v>265.43564775493547</v>
      </c>
      <c r="FB420" s="1796">
        <f t="shared" si="1995"/>
        <v>247.14869251450148</v>
      </c>
      <c r="FC420" s="1797">
        <f>+FB420</f>
        <v>247.14869251450148</v>
      </c>
      <c r="FD420" s="1796">
        <f t="shared" ref="FD420:FI420" si="1996">SUM(FD417:FD419)</f>
        <v>185.16664131670007</v>
      </c>
      <c r="FE420" s="1796">
        <f t="shared" si="1996"/>
        <v>171.71912109420526</v>
      </c>
      <c r="FF420" s="1796">
        <f t="shared" si="1996"/>
        <v>168.33385255690732</v>
      </c>
      <c r="FG420" s="1796">
        <f t="shared" si="1996"/>
        <v>164.3538919688412</v>
      </c>
      <c r="FH420" s="1796">
        <f t="shared" si="1996"/>
        <v>160.50541284217982</v>
      </c>
      <c r="FI420" s="1796">
        <f t="shared" si="1996"/>
        <v>156.73693358349394</v>
      </c>
      <c r="FJ420" s="1068">
        <f>+(FF420/ES420)^0.2-1</f>
        <v>-0.17064048003220877</v>
      </c>
    </row>
    <row r="421" spans="1:167" s="108" customFormat="1" x14ac:dyDescent="0.3">
      <c r="A421" s="61" t="s">
        <v>339</v>
      </c>
      <c r="DY421" s="538"/>
      <c r="DZ421" s="122">
        <f t="shared" ref="DZ421" si="1997">+DZ420/DU420-1</f>
        <v>-0.14549653579676669</v>
      </c>
      <c r="EA421" s="122">
        <f t="shared" ref="EA421" si="1998">+EA420/DV420-1</f>
        <v>-0.13598074608904931</v>
      </c>
      <c r="EB421" s="122">
        <f t="shared" ref="EB421" si="1999">+EB420/DW420-1</f>
        <v>-0.12452830188679243</v>
      </c>
      <c r="EC421" s="122">
        <f t="shared" ref="EC421" si="2000">+EC420/DX420-1</f>
        <v>-0.11618798955613574</v>
      </c>
      <c r="ED421" s="123">
        <f t="shared" ref="ED421" si="2001">+ED420/DY420-1</f>
        <v>-0.11618798955613574</v>
      </c>
      <c r="EE421" s="122">
        <f t="shared" ref="EE421" si="2002">+EE420/DZ420-1</f>
        <v>-0.11216216216216213</v>
      </c>
      <c r="EF421" s="122">
        <f t="shared" ref="EF421" si="2003">+EF420/EA420-1</f>
        <v>-0.11420612813370479</v>
      </c>
      <c r="EG421" s="122">
        <f t="shared" ref="EG421:EW421" si="2004">+EG420/EB420-1</f>
        <v>-0.1135057471264368</v>
      </c>
      <c r="EH421" s="122">
        <f t="shared" si="2004"/>
        <v>-0.12112259970457906</v>
      </c>
      <c r="EI421" s="123">
        <f t="shared" ref="EI421" si="2005">+EI420/ED420-1</f>
        <v>-0.12112259970457906</v>
      </c>
      <c r="EJ421" s="122">
        <f t="shared" si="2004"/>
        <v>-0.12176560121765601</v>
      </c>
      <c r="EK421" s="122">
        <f t="shared" si="2004"/>
        <v>-0.12264150943396224</v>
      </c>
      <c r="EL421" s="122">
        <f t="shared" si="2004"/>
        <v>-0.13290113452188002</v>
      </c>
      <c r="EM421" s="122">
        <f t="shared" si="2004"/>
        <v>-0.13445378151260501</v>
      </c>
      <c r="EN421" s="123">
        <f t="shared" ref="EN421" si="2006">+EN420/EI420-1</f>
        <v>-0.13445378151260501</v>
      </c>
      <c r="EO421" s="122">
        <f t="shared" si="2004"/>
        <v>-0.14384748700173311</v>
      </c>
      <c r="EP421" s="122">
        <f t="shared" si="2004"/>
        <v>-0.14516129032258063</v>
      </c>
      <c r="EQ421" s="122">
        <f t="shared" si="2004"/>
        <v>-0.15700934579439263</v>
      </c>
      <c r="ER421" s="122">
        <f t="shared" si="2004"/>
        <v>-0.16699029126213583</v>
      </c>
      <c r="ES421" s="123">
        <f t="shared" ref="ES421" si="2007">+ES420/EN420-1</f>
        <v>-0.16699029126213583</v>
      </c>
      <c r="ET421" s="122">
        <f t="shared" si="2004"/>
        <v>-0.17813765182186225</v>
      </c>
      <c r="EU421" s="122">
        <f t="shared" si="2004"/>
        <v>-0.20335429769392022</v>
      </c>
      <c r="EV421" s="122">
        <f t="shared" si="2004"/>
        <v>-0.21729490022172926</v>
      </c>
      <c r="EW421" s="122">
        <f t="shared" si="2004"/>
        <v>-0.22610722610722622</v>
      </c>
      <c r="EX421" s="123">
        <f t="shared" ref="EX421" si="2008">+EX420/ES420-1</f>
        <v>-0.22610722610722622</v>
      </c>
      <c r="EY421" s="122">
        <f t="shared" ref="EY421" si="2009">+EY420/ET420-1</f>
        <v>-0.23249059383647896</v>
      </c>
      <c r="EZ421" s="122">
        <f t="shared" ref="EZ421" si="2010">+EZ420/EU420-1</f>
        <v>-0.2402615318327056</v>
      </c>
      <c r="FA421" s="122">
        <f t="shared" ref="FA421" si="2011">+FA420/EV420-1</f>
        <v>-0.24805765508516875</v>
      </c>
      <c r="FB421" s="122">
        <f t="shared" ref="FB421:FC421" si="2012">+FB420/EW420-1</f>
        <v>-0.25557622736595942</v>
      </c>
      <c r="FC421" s="123">
        <f t="shared" si="2012"/>
        <v>-0.25557622736595942</v>
      </c>
      <c r="FD421" s="122">
        <f t="shared" ref="FD421" si="2013">+FD420/FC420-1</f>
        <v>-0.25078850536166442</v>
      </c>
      <c r="FE421" s="122">
        <f t="shared" ref="FE421" si="2014">+FE420/FD420-1</f>
        <v>-7.2623881531095114E-2</v>
      </c>
      <c r="FF421" s="122">
        <f t="shared" ref="FF421" si="2015">+FF420/FE420-1</f>
        <v>-1.9713987095477781E-2</v>
      </c>
      <c r="FG421" s="122">
        <f t="shared" ref="FG421" si="2016">+FG420/FF420-1</f>
        <v>-2.3643257298591513E-2</v>
      </c>
      <c r="FH421" s="122">
        <f t="shared" ref="FH421" si="2017">+FH420/FG420-1</f>
        <v>-2.341580768522955E-2</v>
      </c>
      <c r="FI421" s="122">
        <f t="shared" ref="FI421" si="2018">+FI420/FH420-1</f>
        <v>-2.3478829728884709E-2</v>
      </c>
    </row>
    <row r="422" spans="1:167" s="108" customFormat="1" x14ac:dyDescent="0.3">
      <c r="A422" s="65" t="s">
        <v>340</v>
      </c>
      <c r="DU422" s="455"/>
      <c r="DV422" s="124">
        <f t="shared" ref="DV422:EA422" si="2019">+DV420-DU420</f>
        <v>-35</v>
      </c>
      <c r="DW422" s="124">
        <f t="shared" si="2019"/>
        <v>-36</v>
      </c>
      <c r="DX422" s="124">
        <f t="shared" si="2019"/>
        <v>-29</v>
      </c>
      <c r="DY422" s="125"/>
      <c r="DZ422" s="124">
        <f t="shared" si="2019"/>
        <v>-26</v>
      </c>
      <c r="EA422" s="124">
        <f t="shared" si="2019"/>
        <v>-22</v>
      </c>
      <c r="EB422" s="124">
        <f t="shared" ref="EB422" si="2020">+EB420-EA420</f>
        <v>-22</v>
      </c>
      <c r="EC422" s="124">
        <f t="shared" ref="EC422" si="2021">+EC420-EB420</f>
        <v>-19</v>
      </c>
      <c r="ED422" s="125">
        <f>+SUM(DZ422:EC422)</f>
        <v>-89</v>
      </c>
      <c r="EE422" s="124">
        <f t="shared" ref="EE422" si="2022">+EE420-ED420</f>
        <v>-20</v>
      </c>
      <c r="EF422" s="124">
        <f t="shared" ref="EF422" si="2023">+EF420-EE420</f>
        <v>-21</v>
      </c>
      <c r="EG422" s="124">
        <f t="shared" ref="EG422:EW422" si="2024">+EG420-EF420</f>
        <v>-19</v>
      </c>
      <c r="EH422" s="124">
        <f t="shared" si="2024"/>
        <v>-22</v>
      </c>
      <c r="EI422" s="125">
        <f>+SUM(EE422:EH422)</f>
        <v>-82</v>
      </c>
      <c r="EJ422" s="124">
        <f t="shared" si="2024"/>
        <v>-18</v>
      </c>
      <c r="EK422" s="124">
        <f t="shared" si="2024"/>
        <v>-19</v>
      </c>
      <c r="EL422" s="124">
        <f t="shared" si="2024"/>
        <v>-23</v>
      </c>
      <c r="EM422" s="124">
        <f t="shared" si="2024"/>
        <v>-20</v>
      </c>
      <c r="EN422" s="125">
        <f>+SUM(EJ422:EM422)</f>
        <v>-80</v>
      </c>
      <c r="EO422" s="124">
        <f t="shared" si="2024"/>
        <v>-21</v>
      </c>
      <c r="EP422" s="124">
        <f t="shared" si="2024"/>
        <v>-17</v>
      </c>
      <c r="EQ422" s="124">
        <f t="shared" si="2024"/>
        <v>-26.000000000000057</v>
      </c>
      <c r="ER422" s="124">
        <f t="shared" si="2024"/>
        <v>-21.999999999999886</v>
      </c>
      <c r="ES422" s="125">
        <f>+SUM(EO422:ER422)</f>
        <v>-85.999999999999943</v>
      </c>
      <c r="ET422" s="124">
        <f t="shared" si="2024"/>
        <v>-23</v>
      </c>
      <c r="EU422" s="124">
        <f t="shared" si="2024"/>
        <v>-26</v>
      </c>
      <c r="EV422" s="124">
        <f t="shared" si="2024"/>
        <v>-27</v>
      </c>
      <c r="EW422" s="124">
        <f t="shared" si="2024"/>
        <v>-21.000000000000057</v>
      </c>
      <c r="EX422" s="125">
        <f>+SUM(ET422:EW422)</f>
        <v>-97.000000000000057</v>
      </c>
      <c r="EY422" s="124">
        <f t="shared" ref="EY422" si="2025">+EY420-EX420</f>
        <v>-20.391181097610399</v>
      </c>
      <c r="EZ422" s="124">
        <f t="shared" ref="EZ422" si="2026">+EZ420-EY420</f>
        <v>-22.908200998817676</v>
      </c>
      <c r="FA422" s="124">
        <f t="shared" ref="FA422" si="2027">+FA420-EZ420</f>
        <v>-23.264970148636451</v>
      </c>
      <c r="FB422" s="124">
        <f t="shared" ref="FB422" si="2028">+FB420-FA420</f>
        <v>-18.286955240433997</v>
      </c>
      <c r="FC422" s="125">
        <f>+SUM(EY422:FB422)</f>
        <v>-84.851307485498523</v>
      </c>
      <c r="FD422" s="124">
        <f t="shared" ref="FD422" si="2029">+FD420-FC420</f>
        <v>-61.982051197801411</v>
      </c>
      <c r="FE422" s="124">
        <f t="shared" ref="FE422" si="2030">+FE420-FD420</f>
        <v>-13.447520222494802</v>
      </c>
      <c r="FF422" s="124">
        <f t="shared" ref="FF422" si="2031">+FF420-FE420</f>
        <v>-3.3852685372979465</v>
      </c>
      <c r="FG422" s="124">
        <f t="shared" ref="FG422" si="2032">+FG420-FF420</f>
        <v>-3.9799605880661204</v>
      </c>
      <c r="FH422" s="124">
        <f t="shared" ref="FH422" si="2033">+FH420-FG420</f>
        <v>-3.848479126661374</v>
      </c>
      <c r="FI422" s="124">
        <f t="shared" ref="FI422" si="2034">+FI420-FH420</f>
        <v>-3.7684792586858862</v>
      </c>
      <c r="FK422" s="1069" t="s">
        <v>346</v>
      </c>
    </row>
    <row r="423" spans="1:167" s="108" customFormat="1" x14ac:dyDescent="0.3">
      <c r="A423" s="65" t="s">
        <v>341</v>
      </c>
      <c r="DU423" s="122"/>
      <c r="DV423" s="122"/>
      <c r="DW423" s="122"/>
      <c r="DX423" s="122"/>
      <c r="DY423" s="123"/>
      <c r="DZ423" s="122">
        <f>DZ297</f>
        <v>1.3115690123198988E-2</v>
      </c>
      <c r="EA423" s="122">
        <f t="shared" ref="EA423:FI423" si="2035">EA297</f>
        <v>9.7925944500167061E-3</v>
      </c>
      <c r="EB423" s="122">
        <f t="shared" si="2035"/>
        <v>1.1048521600936797E-2</v>
      </c>
      <c r="EC423" s="122">
        <f t="shared" si="2035"/>
        <v>9.0496267091686993E-3</v>
      </c>
      <c r="ED423" s="123">
        <f t="shared" si="2035"/>
        <v>4.3014025474243385E-2</v>
      </c>
      <c r="EE423" s="122">
        <f t="shared" si="2035"/>
        <v>7.9207703353323857E-3</v>
      </c>
      <c r="EF423" s="122">
        <f t="shared" si="2035"/>
        <v>7.8794744227580048E-3</v>
      </c>
      <c r="EG423" s="122">
        <f t="shared" si="2035"/>
        <v>8.785667024704619E-3</v>
      </c>
      <c r="EH423" s="122">
        <f t="shared" ref="EH423:EJ423" si="2036">EH297</f>
        <v>7.1644248405974388E-3</v>
      </c>
      <c r="EI423" s="123">
        <f t="shared" si="2035"/>
        <v>3.1761931282666453E-2</v>
      </c>
      <c r="EJ423" s="122">
        <f t="shared" si="2036"/>
        <v>6.7732829517670595E-3</v>
      </c>
      <c r="EK423" s="122">
        <f t="shared" ref="EK423:EL423" si="2037">EK297</f>
        <v>7.6768713357269437E-3</v>
      </c>
      <c r="EL423" s="122">
        <f t="shared" si="2037"/>
        <v>7.2804454634785585E-3</v>
      </c>
      <c r="EM423" s="122">
        <f t="shared" ref="EM423" si="2038">EM297</f>
        <v>5.5178938232316047E-3</v>
      </c>
      <c r="EN423" s="123">
        <f t="shared" si="2035"/>
        <v>2.7309495658599688E-2</v>
      </c>
      <c r="EO423" s="122">
        <f t="shared" si="2035"/>
        <v>5.408390079029787E-3</v>
      </c>
      <c r="EP423" s="122">
        <f t="shared" ref="EP423:EQ423" si="2039">EP297</f>
        <v>6.2809288943690891E-3</v>
      </c>
      <c r="EQ423" s="122">
        <f t="shared" si="2039"/>
        <v>7.5974702380952356E-3</v>
      </c>
      <c r="ER423" s="122">
        <f t="shared" ref="ER423" si="2040">ER297</f>
        <v>6.805377114208597E-3</v>
      </c>
      <c r="ES423" s="123">
        <f t="shared" ref="ES423:ET423" si="2041">ES297</f>
        <v>2.5998265186152864E-2</v>
      </c>
      <c r="ET423" s="122">
        <f t="shared" si="2041"/>
        <v>6.7431298582533153E-3</v>
      </c>
      <c r="EU423" s="122">
        <f t="shared" ref="EU423:EV423" si="2042">EU297</f>
        <v>9.3446920052424713E-3</v>
      </c>
      <c r="EV423" s="122">
        <f t="shared" si="2042"/>
        <v>1.0902915652119627E-2</v>
      </c>
      <c r="EW423" s="122">
        <f t="shared" ref="EW423" si="2043">EW297</f>
        <v>1.0851293965795412E-2</v>
      </c>
      <c r="EX423" s="123">
        <f t="shared" ref="EX423" si="2044">EX297</f>
        <v>3.7548141167887655E-2</v>
      </c>
      <c r="EY423" s="122">
        <f t="shared" ref="EY423:FC423" si="2045">EY297</f>
        <v>6.0626240283493385E-3</v>
      </c>
      <c r="EZ423" s="122">
        <f t="shared" si="2045"/>
        <v>8.2749064696771117E-3</v>
      </c>
      <c r="FA423" s="122">
        <f t="shared" si="2045"/>
        <v>9.66410251607667E-3</v>
      </c>
      <c r="FB423" s="122">
        <f t="shared" si="2045"/>
        <v>9.5802542755727624E-3</v>
      </c>
      <c r="FC423" s="123">
        <f t="shared" si="2045"/>
        <v>3.3309402714567615E-2</v>
      </c>
      <c r="FD423" s="122">
        <f t="shared" si="2035"/>
        <v>3.3176930142274602E-2</v>
      </c>
      <c r="FE423" s="122">
        <f t="shared" si="2035"/>
        <v>3.2347506888717736E-2</v>
      </c>
      <c r="FF423" s="122">
        <f t="shared" si="2035"/>
        <v>3.1538819216499793E-2</v>
      </c>
      <c r="FG423" s="122">
        <f t="shared" si="2035"/>
        <v>3.0750348736087299E-2</v>
      </c>
      <c r="FH423" s="122">
        <f t="shared" si="2035"/>
        <v>2.998159001768512E-2</v>
      </c>
      <c r="FI423" s="122">
        <f t="shared" si="2035"/>
        <v>2.9232050267242987E-2</v>
      </c>
    </row>
    <row r="424" spans="1:167" s="108" customFormat="1" x14ac:dyDescent="0.3">
      <c r="A424" s="65" t="s">
        <v>342</v>
      </c>
      <c r="DU424" s="694"/>
      <c r="DV424" s="694"/>
      <c r="DW424" s="694"/>
      <c r="DX424" s="694"/>
      <c r="DY424" s="123"/>
      <c r="DZ424" s="122">
        <f>DZ298</f>
        <v>2.7501924839596698E-2</v>
      </c>
      <c r="EA424" s="122">
        <f t="shared" ref="EA424:FI424" si="2046">EA298</f>
        <v>2.4264103751736914E-2</v>
      </c>
      <c r="EB424" s="122">
        <f t="shared" si="2046"/>
        <v>2.7385653610193489E-2</v>
      </c>
      <c r="EC424" s="122">
        <f t="shared" si="2046"/>
        <v>2.5498411169956672E-2</v>
      </c>
      <c r="ED424" s="123">
        <f t="shared" si="2046"/>
        <v>2.6166779899262037E-2</v>
      </c>
      <c r="EE424" s="122">
        <f t="shared" si="2046"/>
        <v>2.2338598223099703E-2</v>
      </c>
      <c r="EF424" s="122">
        <f t="shared" si="2046"/>
        <v>2.4134879032258066E-2</v>
      </c>
      <c r="EG424" s="122">
        <f t="shared" si="2046"/>
        <v>2.6598241076047597E-2</v>
      </c>
      <c r="EH424" s="122">
        <f t="shared" ref="EH424:EJ424" si="2047">EH298</f>
        <v>2.3750753145489991E-2</v>
      </c>
      <c r="EI424" s="123">
        <f t="shared" si="2046"/>
        <v>2.4185987559645541E-2</v>
      </c>
      <c r="EJ424" s="122">
        <f t="shared" si="2047"/>
        <v>2.2632130490249685E-2</v>
      </c>
      <c r="EK424" s="122">
        <f t="shared" ref="EK424:EL424" si="2048">EK298</f>
        <v>2.7036702227213175E-2</v>
      </c>
      <c r="EL424" s="122">
        <f t="shared" si="2048"/>
        <v>3.0756381948479572E-2</v>
      </c>
      <c r="EM424" s="122">
        <f t="shared" ref="EM424" si="2049">EM298</f>
        <v>2.8296300813008133E-2</v>
      </c>
      <c r="EN424" s="123">
        <f t="shared" si="2046"/>
        <v>2.7095710801893561E-2</v>
      </c>
      <c r="EO424" s="122">
        <f t="shared" si="2046"/>
        <v>2.8114184852374848E-2</v>
      </c>
      <c r="EP424" s="122">
        <f t="shared" ref="EP424:EQ424" si="2050">EP298</f>
        <v>3.0863380598694572E-2</v>
      </c>
      <c r="EQ424" s="122">
        <f t="shared" si="2050"/>
        <v>3.6886595492289447E-2</v>
      </c>
      <c r="ER424" s="122">
        <f t="shared" ref="ER424" si="2051">ER298</f>
        <v>3.324809487761797E-2</v>
      </c>
      <c r="ES424" s="123">
        <f t="shared" ref="ES424:ET424" si="2052">ES298</f>
        <v>3.213477305579647E-2</v>
      </c>
      <c r="ET424" s="122">
        <f t="shared" si="2052"/>
        <v>3.5435358379962693E-2</v>
      </c>
      <c r="EU424" s="122">
        <f t="shared" ref="EU424:EV424" si="2053">EU298</f>
        <v>4.3735485698102518E-2</v>
      </c>
      <c r="EV424" s="122">
        <f t="shared" si="2053"/>
        <v>5.1261277626400238E-2</v>
      </c>
      <c r="EW424" s="122">
        <f t="shared" ref="EW424" si="2054">EW298</f>
        <v>5.2034805364736675E-2</v>
      </c>
      <c r="EX424" s="123">
        <f t="shared" ref="EX424" si="2055">EX298</f>
        <v>4.5133780416300201E-2</v>
      </c>
      <c r="EY424" s="122">
        <f t="shared" ref="EY424:FC424" si="2056">EY298</f>
        <v>3.8350427547969919E-2</v>
      </c>
      <c r="EZ424" s="122">
        <f t="shared" si="2056"/>
        <v>4.6941596736493368E-2</v>
      </c>
      <c r="FA424" s="122">
        <f t="shared" si="2056"/>
        <v>5.4990795374709078E-2</v>
      </c>
      <c r="FB424" s="122">
        <f t="shared" si="2056"/>
        <v>5.5946008228241036E-2</v>
      </c>
      <c r="FC424" s="123">
        <f t="shared" si="2056"/>
        <v>4.8476438574153735E-2</v>
      </c>
      <c r="FD424" s="122">
        <f t="shared" si="2046"/>
        <v>4.8914895132913659E-2</v>
      </c>
      <c r="FE424" s="122">
        <f t="shared" si="2046"/>
        <v>5.0244686470318538E-2</v>
      </c>
      <c r="FF424" s="122">
        <f t="shared" si="2046"/>
        <v>5.4877376702564797E-2</v>
      </c>
      <c r="FG424" s="122">
        <f t="shared" si="2046"/>
        <v>6.050125114595379E-2</v>
      </c>
      <c r="FH424" s="122">
        <f t="shared" si="2046"/>
        <v>6.5888972376351398E-2</v>
      </c>
      <c r="FI424" s="122">
        <f t="shared" si="2046"/>
        <v>7.0804747261787357E-2</v>
      </c>
    </row>
    <row r="425" spans="1:167" s="108" customFormat="1" x14ac:dyDescent="0.3">
      <c r="A425" s="65" t="s">
        <v>403</v>
      </c>
      <c r="DU425" s="126"/>
      <c r="DV425" s="126"/>
      <c r="DW425" s="126"/>
      <c r="DX425" s="126"/>
      <c r="DY425" s="127"/>
      <c r="DZ425" s="126">
        <f>DZ299</f>
        <v>0.1803299227396116</v>
      </c>
      <c r="EA425" s="126">
        <f t="shared" ref="EA425:FI425" si="2057">EA299</f>
        <v>0.17711467736542963</v>
      </c>
      <c r="EB425" s="126">
        <f t="shared" si="2057"/>
        <v>0.17372757308351805</v>
      </c>
      <c r="EC425" s="126">
        <f t="shared" si="2057"/>
        <v>0.16995218521936079</v>
      </c>
      <c r="ED425" s="127">
        <f t="shared" si="2057"/>
        <v>0.1694936523539623</v>
      </c>
      <c r="EE425" s="126">
        <f t="shared" si="2057"/>
        <v>0.16758172142917477</v>
      </c>
      <c r="EF425" s="126">
        <f t="shared" si="2057"/>
        <v>0.1643917166305226</v>
      </c>
      <c r="EG425" s="126">
        <f t="shared" si="2057"/>
        <v>0.16163265306122448</v>
      </c>
      <c r="EH425" s="126">
        <f t="shared" ref="EH425:EJ425" si="2058">EH299</f>
        <v>0.15975194340117041</v>
      </c>
      <c r="EI425" s="127">
        <f t="shared" si="2057"/>
        <v>0.15671322080370148</v>
      </c>
      <c r="EJ425" s="126">
        <f t="shared" si="2058"/>
        <v>0.15834629917759502</v>
      </c>
      <c r="EK425" s="126">
        <f t="shared" ref="EK425:EL425" si="2059">EK299</f>
        <v>0.15643321365268373</v>
      </c>
      <c r="EL425" s="126">
        <f t="shared" si="2059"/>
        <v>0.15347901361658323</v>
      </c>
      <c r="EM425" s="126">
        <f t="shared" ref="EM425" si="2060">EM299</f>
        <v>0.15024832441294181</v>
      </c>
      <c r="EN425" s="127">
        <f t="shared" si="2057"/>
        <v>0.14391280251246999</v>
      </c>
      <c r="EO425" s="126">
        <f t="shared" si="2057"/>
        <v>0.14722401709826533</v>
      </c>
      <c r="EP425" s="126">
        <f t="shared" ref="EP425:EQ425" si="2061">EP299</f>
        <v>0.14436909165639128</v>
      </c>
      <c r="EQ425" s="126">
        <f t="shared" si="2061"/>
        <v>0.14041241496598639</v>
      </c>
      <c r="ER425" s="126">
        <f t="shared" ref="ER425" si="2062">ER299</f>
        <v>0.13784364497823812</v>
      </c>
      <c r="ES425" s="127">
        <f t="shared" ref="ES425:ET425" si="2063">ES299</f>
        <v>0.13073807968647944</v>
      </c>
      <c r="ET425" s="126">
        <f t="shared" si="2063"/>
        <v>0.13454503886602653</v>
      </c>
      <c r="EU425" s="126">
        <f t="shared" ref="EU425:EV425" si="2064">EU299</f>
        <v>0.13118074585964495</v>
      </c>
      <c r="EV425" s="126">
        <f t="shared" si="2064"/>
        <v>0.12723980770431417</v>
      </c>
      <c r="EW425" s="126">
        <f t="shared" ref="EW425" si="2065">EW299</f>
        <v>0.1218457566957083</v>
      </c>
      <c r="EX425" s="127">
        <f t="shared" ref="EX425" si="2066">EX299</f>
        <v>0.11478250296379609</v>
      </c>
      <c r="EY425" s="126">
        <f t="shared" ref="EY425:FC425" si="2067">EY299</f>
        <v>0.11689779331094198</v>
      </c>
      <c r="EZ425" s="126">
        <f t="shared" si="2067"/>
        <v>0.11310014129213976</v>
      </c>
      <c r="FA425" s="126">
        <f t="shared" si="2067"/>
        <v>0.10889178669010047</v>
      </c>
      <c r="FB425" s="126">
        <f t="shared" si="2067"/>
        <v>0.10404589991255453</v>
      </c>
      <c r="FC425" s="127">
        <f t="shared" si="2067"/>
        <v>9.7216620426072417E-2</v>
      </c>
      <c r="FD425" s="126">
        <f t="shared" si="2057"/>
        <v>7.9699722156402475E-2</v>
      </c>
      <c r="FE425" s="126">
        <f t="shared" si="2057"/>
        <v>6.6161379420895852E-2</v>
      </c>
      <c r="FF425" s="126">
        <f t="shared" si="2057"/>
        <v>5.4092745841947669E-2</v>
      </c>
      <c r="FG425" s="126">
        <f t="shared" si="2057"/>
        <v>4.5546474702620861E-2</v>
      </c>
      <c r="FH425" s="126">
        <f t="shared" si="2057"/>
        <v>3.9500618344597546E-2</v>
      </c>
      <c r="FI425" s="126">
        <f t="shared" si="2057"/>
        <v>3.5161417121998585E-2</v>
      </c>
    </row>
    <row r="426" spans="1:167" s="108" customFormat="1" x14ac:dyDescent="0.3">
      <c r="A426" s="65"/>
      <c r="DU426" s="126"/>
      <c r="DV426" s="126"/>
      <c r="DW426" s="126"/>
      <c r="DX426" s="126"/>
      <c r="DY426" s="127"/>
      <c r="DZ426" s="126"/>
      <c r="EA426" s="126"/>
      <c r="EB426" s="126"/>
      <c r="EC426" s="126"/>
      <c r="ED426" s="127"/>
      <c r="EE426" s="126"/>
      <c r="EF426" s="126"/>
      <c r="EG426" s="126"/>
      <c r="EH426" s="126"/>
      <c r="EI426" s="127"/>
      <c r="EJ426" s="126"/>
      <c r="EK426" s="126"/>
      <c r="EL426" s="126"/>
      <c r="EM426" s="126"/>
      <c r="EN426" s="127"/>
      <c r="EO426" s="126"/>
      <c r="EP426" s="126"/>
      <c r="EQ426" s="126"/>
      <c r="ER426" s="126"/>
      <c r="ES426" s="126"/>
      <c r="ET426" s="126"/>
      <c r="EU426" s="126"/>
      <c r="EV426" s="126"/>
      <c r="EW426" s="126"/>
      <c r="EX426" s="126"/>
      <c r="EY426" s="126"/>
      <c r="EZ426" s="126"/>
      <c r="FA426" s="126"/>
      <c r="FB426" s="126"/>
      <c r="FC426" s="126"/>
      <c r="FD426" s="126"/>
      <c r="FE426" s="126"/>
      <c r="FF426" s="126"/>
      <c r="FG426" s="126"/>
      <c r="FH426" s="126"/>
      <c r="FI426" s="126"/>
    </row>
    <row r="427" spans="1:167" x14ac:dyDescent="0.3">
      <c r="A427" s="68" t="s">
        <v>455</v>
      </c>
      <c r="ED427" s="85"/>
      <c r="EO427"/>
      <c r="EP427"/>
      <c r="EQ427"/>
      <c r="ER427"/>
    </row>
    <row r="428" spans="1:167" x14ac:dyDescent="0.3">
      <c r="A428" s="67" t="s">
        <v>456</v>
      </c>
      <c r="DU428" s="76">
        <f>+DU431-DU433</f>
        <v>3685.5</v>
      </c>
      <c r="DV428" s="76">
        <f>+DU431</f>
        <v>3642</v>
      </c>
      <c r="DW428" s="76">
        <f>+DV431</f>
        <v>3555</v>
      </c>
      <c r="DX428" s="76">
        <f>+DW431</f>
        <v>3471</v>
      </c>
      <c r="DY428" s="85">
        <f>+DU428</f>
        <v>3685.5</v>
      </c>
      <c r="DZ428" s="76">
        <f>+DY431</f>
        <v>3413</v>
      </c>
      <c r="EA428" s="76">
        <f>+DZ431</f>
        <v>3374</v>
      </c>
      <c r="EB428" s="76">
        <f>+EA431</f>
        <v>3342</v>
      </c>
      <c r="EC428" s="76">
        <f>+EB431</f>
        <v>3306</v>
      </c>
      <c r="ED428" s="85">
        <f>+DZ428</f>
        <v>3413</v>
      </c>
      <c r="EE428" s="76">
        <f>+ED431</f>
        <v>3264</v>
      </c>
      <c r="EF428" s="76">
        <f>+EE431</f>
        <v>3234</v>
      </c>
      <c r="EG428" s="76">
        <f>+EF431</f>
        <v>3196</v>
      </c>
      <c r="EH428" s="76">
        <f>+EG431</f>
        <v>3173</v>
      </c>
      <c r="EI428" s="85">
        <f>+EE428</f>
        <v>3264</v>
      </c>
      <c r="EJ428" s="76">
        <f>+EI431</f>
        <v>3165</v>
      </c>
      <c r="EK428" s="76">
        <f>+EJ431</f>
        <v>3169</v>
      </c>
      <c r="EL428" s="76">
        <f>+EK431</f>
        <v>3159</v>
      </c>
      <c r="EM428" s="76">
        <f>+EL431</f>
        <v>3142</v>
      </c>
      <c r="EN428" s="85">
        <f>+EJ428</f>
        <v>3165</v>
      </c>
      <c r="EO428" s="76">
        <f>+EN431</f>
        <v>3133</v>
      </c>
      <c r="EP428" s="76">
        <f>+EO431</f>
        <v>3140</v>
      </c>
      <c r="EQ428" s="76">
        <f>+EP431</f>
        <v>3127</v>
      </c>
      <c r="ER428" s="76">
        <f>+EQ431</f>
        <v>3118</v>
      </c>
      <c r="ES428" s="85">
        <f>+EO428</f>
        <v>3133</v>
      </c>
      <c r="ET428" s="76">
        <f>+ES431</f>
        <v>3129</v>
      </c>
      <c r="EU428" s="76">
        <f>+ET431</f>
        <v>3140</v>
      </c>
      <c r="EV428" s="76">
        <f>+EU431</f>
        <v>3154</v>
      </c>
      <c r="EW428" s="76">
        <f>+EV431</f>
        <v>3176</v>
      </c>
      <c r="EX428" s="85">
        <f>+ET428</f>
        <v>3129</v>
      </c>
      <c r="EY428" s="76">
        <f t="shared" ref="EY428" si="2068">+EX431</f>
        <v>3193</v>
      </c>
      <c r="EZ428" s="76">
        <f t="shared" ref="EZ428" si="2069">+EY431</f>
        <v>3237.7788155919857</v>
      </c>
      <c r="FA428" s="76">
        <f t="shared" ref="FA428" si="2070">+EZ431</f>
        <v>3280.3890608796478</v>
      </c>
      <c r="FB428" s="76">
        <f t="shared" ref="FB428" si="2071">+FA431</f>
        <v>3328.9124020564113</v>
      </c>
      <c r="FC428" s="85">
        <f>+EY428</f>
        <v>3193</v>
      </c>
      <c r="FD428" s="76">
        <f t="shared" ref="FD428:FI428" si="2072">+FC431</f>
        <v>3388.2322183429674</v>
      </c>
      <c r="FE428" s="76">
        <f t="shared" si="2072"/>
        <v>3669.3671669780897</v>
      </c>
      <c r="FF428" s="76">
        <f t="shared" si="2072"/>
        <v>3980.8126773359149</v>
      </c>
      <c r="FG428" s="76">
        <f t="shared" si="2072"/>
        <v>4222.4929217166473</v>
      </c>
      <c r="FH428" s="76">
        <f t="shared" si="2072"/>
        <v>4406.9622462608586</v>
      </c>
      <c r="FI428" s="76">
        <f t="shared" si="2072"/>
        <v>4535.8814453318628</v>
      </c>
      <c r="FJ428" s="189">
        <f>+(FF428/ES428)^0.2-1</f>
        <v>4.9064689564960018E-2</v>
      </c>
    </row>
    <row r="429" spans="1:167" x14ac:dyDescent="0.3">
      <c r="A429" s="67" t="s">
        <v>351</v>
      </c>
      <c r="DU429" s="76">
        <f>+DU431-DU430-DU428</f>
        <v>180.94695000000002</v>
      </c>
      <c r="DV429" s="76">
        <f t="shared" ref="DV429:EA429" si="2073">+DV431-DV430-DV428</f>
        <v>151.18679999999995</v>
      </c>
      <c r="DW429" s="76">
        <f t="shared" si="2073"/>
        <v>158.0954999999999</v>
      </c>
      <c r="DX429" s="76">
        <f t="shared" si="2073"/>
        <v>145.05349999999999</v>
      </c>
      <c r="DY429" s="85">
        <f>+SUM(DU429:DX429)</f>
        <v>635.28274999999985</v>
      </c>
      <c r="DZ429" s="76">
        <f t="shared" si="2073"/>
        <v>149.39760000000024</v>
      </c>
      <c r="EA429" s="76">
        <f t="shared" si="2073"/>
        <v>132.98860000000013</v>
      </c>
      <c r="EB429" s="76">
        <f>+EB431-EB430-EB428</f>
        <v>145.4706000000001</v>
      </c>
      <c r="EC429" s="76">
        <f>+EC431-EC430-EC428</f>
        <v>123.63059999999996</v>
      </c>
      <c r="ED429" s="85">
        <f>+SUM(DZ429:EC429)</f>
        <v>551.48740000000043</v>
      </c>
      <c r="EE429" s="76">
        <f>+EE431-EE430-EE428</f>
        <v>111.98399999999992</v>
      </c>
      <c r="EF429" s="76">
        <f>+EF431-EF430-EF428</f>
        <v>111.41080000000011</v>
      </c>
      <c r="EG429" s="76">
        <f>+EG431-EG430-EG428</f>
        <v>134.24319999999989</v>
      </c>
      <c r="EH429" s="76">
        <f>+EH431-EH430-EH428</f>
        <v>130.02550000000019</v>
      </c>
      <c r="EI429" s="85">
        <f>+SUM(EE429:EH429)</f>
        <v>487.66350000000011</v>
      </c>
      <c r="EJ429" s="76">
        <f>+EJ431-EJ430-EJ428</f>
        <v>132.18249999999989</v>
      </c>
      <c r="EK429" s="76">
        <f>+EK431-EK430-EK428</f>
        <v>135.45710000000008</v>
      </c>
      <c r="EL429" s="76">
        <f>+EL431-EL430-EL428</f>
        <v>149.79520000000002</v>
      </c>
      <c r="EM429" s="76">
        <f>+EM431-EM430-EM428</f>
        <v>135.2177999999999</v>
      </c>
      <c r="EN429" s="85">
        <f>+SUM(EJ429:EM429)</f>
        <v>552.65259999999989</v>
      </c>
      <c r="EO429" s="76">
        <f>+EO431-EO430-EO428</f>
        <v>141.40570000000025</v>
      </c>
      <c r="EP429" s="76">
        <f>+EP431-EP430-EP428</f>
        <v>131.1260000000002</v>
      </c>
      <c r="EQ429" s="76">
        <f>+EQ431-EQ430-EQ428</f>
        <v>150.47699999999986</v>
      </c>
      <c r="ER429" s="76">
        <f>+ER431-ER430-ER428</f>
        <v>144.76220000000012</v>
      </c>
      <c r="ES429" s="85">
        <f>+SUM(EO429:ER429)</f>
        <v>567.77090000000044</v>
      </c>
      <c r="ET429" s="76">
        <f>+ET431-ET430-ET428</f>
        <v>148.98889999999983</v>
      </c>
      <c r="EU429" s="76">
        <f>+EU431-EU430-EU428</f>
        <v>169.42999999999984</v>
      </c>
      <c r="EV429" s="76">
        <f>+EV431-EV430-EV428</f>
        <v>192.3159999999998</v>
      </c>
      <c r="EW429" s="76">
        <f>+EW431-EW430-EW428</f>
        <v>177.07040000000006</v>
      </c>
      <c r="EX429" s="85">
        <f>+SUM(ET429:EW429)</f>
        <v>687.80529999999953</v>
      </c>
      <c r="EY429" s="76">
        <f t="shared" ref="EY429:FB429" si="2074">+EY431-EY430-EY428</f>
        <v>202.87154699130315</v>
      </c>
      <c r="EZ429" s="76">
        <f t="shared" si="2074"/>
        <v>202.92007824218263</v>
      </c>
      <c r="FA429" s="76">
        <f t="shared" si="2074"/>
        <v>210.94290481187318</v>
      </c>
      <c r="FB429" s="76">
        <f t="shared" si="2074"/>
        <v>224.14188150113796</v>
      </c>
      <c r="FC429" s="85">
        <f>+SUM(EY429:FB429)</f>
        <v>840.87641154649691</v>
      </c>
      <c r="FD429" s="76">
        <f t="shared" ref="FD429:FH429" si="2075">+FD431-FD430-FD428</f>
        <v>952.17144849482565</v>
      </c>
      <c r="FE429" s="76">
        <f t="shared" si="2075"/>
        <v>1038.1605469184788</v>
      </c>
      <c r="FF429" s="76">
        <f t="shared" si="2075"/>
        <v>1030.0767985292628</v>
      </c>
      <c r="FG429" s="76">
        <f t="shared" si="2075"/>
        <v>1020.7304448805326</v>
      </c>
      <c r="FH429" s="76">
        <f t="shared" si="2075"/>
        <v>1001.7143117362721</v>
      </c>
      <c r="FI429" s="76">
        <f>+FI431-FI430-FI428</f>
        <v>975.56216005895112</v>
      </c>
      <c r="FJ429" s="189">
        <f>+(FF429/ES429)^0.2-1</f>
        <v>0.12652100793096577</v>
      </c>
    </row>
    <row r="430" spans="1:167" x14ac:dyDescent="0.3">
      <c r="A430" s="67" t="s">
        <v>337</v>
      </c>
      <c r="DU430" s="76">
        <f>+DU435*DU428*-3</f>
        <v>-224.44694999999996</v>
      </c>
      <c r="DV430" s="76">
        <f>+DV435*DV428*-3</f>
        <v>-238.18680000000001</v>
      </c>
      <c r="DW430" s="76">
        <f>+DW435*DW428*-3</f>
        <v>-242.09550000000002</v>
      </c>
      <c r="DX430" s="76">
        <f>+DX435*DX428*-3</f>
        <v>-203.05349999999999</v>
      </c>
      <c r="DY430" s="85">
        <f>+SUM(DU430:DX430)</f>
        <v>-907.78274999999996</v>
      </c>
      <c r="DZ430" s="76">
        <f>+DZ435*DZ428*-3</f>
        <v>-188.39760000000001</v>
      </c>
      <c r="EA430" s="76">
        <f>+EA435*EA428*-3</f>
        <v>-164.98859999999999</v>
      </c>
      <c r="EB430" s="76">
        <f>+EB435*EB428*-3</f>
        <v>-181.47059999999999</v>
      </c>
      <c r="EC430" s="76">
        <f>+EC435*EC428*-3</f>
        <v>-165.63060000000002</v>
      </c>
      <c r="ED430" s="85">
        <f>+SUM(DZ430:EC430)</f>
        <v>-700.48739999999998</v>
      </c>
      <c r="EE430" s="76">
        <f>+EE435*EE428*-3</f>
        <v>-141.98400000000001</v>
      </c>
      <c r="EF430" s="76">
        <f>+EF435*EF428*-3</f>
        <v>-149.41079999999999</v>
      </c>
      <c r="EG430" s="76">
        <f>+EG435*EG428*-3</f>
        <v>-157.24320000000003</v>
      </c>
      <c r="EH430" s="76">
        <f>+EH435*EH428*-3</f>
        <v>-138.02550000000002</v>
      </c>
      <c r="EI430" s="85">
        <f>+SUM(EE430:EH430)</f>
        <v>-586.66350000000011</v>
      </c>
      <c r="EJ430" s="76">
        <f>+EJ435*EJ428*-3</f>
        <v>-128.1825</v>
      </c>
      <c r="EK430" s="76">
        <f>+EK435*EK428*-3</f>
        <v>-145.4571</v>
      </c>
      <c r="EL430" s="76">
        <f>+EL435*EL428*-3</f>
        <v>-166.79520000000002</v>
      </c>
      <c r="EM430" s="76">
        <f>+EM435*EM428*-3</f>
        <v>-144.21780000000001</v>
      </c>
      <c r="EN430" s="85">
        <f>+SUM(EJ430:EM430)</f>
        <v>-584.65260000000001</v>
      </c>
      <c r="EO430" s="76">
        <f>+EO435*EO428*-3</f>
        <v>-134.40570000000002</v>
      </c>
      <c r="EP430" s="76">
        <f>+EP435*EP428*-3</f>
        <v>-144.12599999999998</v>
      </c>
      <c r="EQ430" s="76">
        <f>+EQ435*EQ428*-3</f>
        <v>-159.47700000000003</v>
      </c>
      <c r="ER430" s="76">
        <f>+ER435*ER428*-3</f>
        <v>-133.76220000000001</v>
      </c>
      <c r="ES430" s="85">
        <f>+SUM(EO430:ER430)</f>
        <v>-571.77089999999998</v>
      </c>
      <c r="ET430" s="76">
        <f>+ET435*ET428*-3</f>
        <v>-137.9889</v>
      </c>
      <c r="EU430" s="76">
        <f>+EU435*EU428*-3</f>
        <v>-155.43</v>
      </c>
      <c r="EV430" s="76">
        <f>+EV435*EV428*-3</f>
        <v>-170.316</v>
      </c>
      <c r="EW430" s="76">
        <f>+EW435*EW428*-3</f>
        <v>-160.07040000000001</v>
      </c>
      <c r="EX430" s="85">
        <f>+SUM(ET430:EW430)</f>
        <v>-623.80529999999999</v>
      </c>
      <c r="EY430" s="76">
        <f t="shared" ref="EY430:FB430" si="2076">+EY435*EY428*-3</f>
        <v>-158.09273139931739</v>
      </c>
      <c r="EZ430" s="76">
        <f t="shared" si="2076"/>
        <v>-160.30983295452046</v>
      </c>
      <c r="FA430" s="76">
        <f t="shared" si="2076"/>
        <v>-162.41956363510968</v>
      </c>
      <c r="FB430" s="76">
        <f t="shared" si="2076"/>
        <v>-164.82206521458212</v>
      </c>
      <c r="FC430" s="85">
        <f>+SUM(EY430:FB430)</f>
        <v>-645.64419320352965</v>
      </c>
      <c r="FD430" s="76">
        <f t="shared" ref="FD430:FI430" si="2077">+FD435*FD428*-12</f>
        <v>-671.03649985970321</v>
      </c>
      <c r="FE430" s="76">
        <f t="shared" si="2077"/>
        <v>-726.71503656065306</v>
      </c>
      <c r="FF430" s="76">
        <f t="shared" si="2077"/>
        <v>-788.39655414853041</v>
      </c>
      <c r="FG430" s="76">
        <f t="shared" si="2077"/>
        <v>-836.26112033632171</v>
      </c>
      <c r="FH430" s="76">
        <f t="shared" si="2077"/>
        <v>-872.79511266526833</v>
      </c>
      <c r="FI430" s="76">
        <f t="shared" si="2077"/>
        <v>-898.32745004196408</v>
      </c>
      <c r="FJ430" s="189">
        <f>+(FF430/ES430)^0.2-1</f>
        <v>6.6361688880795411E-2</v>
      </c>
    </row>
    <row r="431" spans="1:167" x14ac:dyDescent="0.3">
      <c r="A431" s="64" t="s">
        <v>457</v>
      </c>
      <c r="DU431" s="1082">
        <f>DV431-DV433</f>
        <v>3642</v>
      </c>
      <c r="DV431" s="1082">
        <f>DW431-DW433</f>
        <v>3555</v>
      </c>
      <c r="DW431" s="1082">
        <f>DX431-DX433</f>
        <v>3471</v>
      </c>
      <c r="DX431" s="1082">
        <f>DZ431-DZ433</f>
        <v>3413</v>
      </c>
      <c r="DY431" s="803">
        <f>+DX431</f>
        <v>3413</v>
      </c>
      <c r="DZ431" s="1082">
        <f>EA431-EA433</f>
        <v>3374</v>
      </c>
      <c r="EA431" s="1080">
        <f>Inputs!EA322</f>
        <v>3342</v>
      </c>
      <c r="EB431" s="1080">
        <f>Inputs!EB322</f>
        <v>3306</v>
      </c>
      <c r="EC431" s="1082">
        <f>EE431-EE433</f>
        <v>3264</v>
      </c>
      <c r="ED431" s="803">
        <f>+EC431</f>
        <v>3264</v>
      </c>
      <c r="EE431" s="1080">
        <f>Inputs!EE322</f>
        <v>3234</v>
      </c>
      <c r="EF431" s="1080">
        <f>Inputs!EF322</f>
        <v>3196</v>
      </c>
      <c r="EG431" s="1080">
        <f>Inputs!EG322</f>
        <v>3173</v>
      </c>
      <c r="EH431" s="1080">
        <f>Inputs!EH322</f>
        <v>3165</v>
      </c>
      <c r="EI431" s="803">
        <f>+EH431</f>
        <v>3165</v>
      </c>
      <c r="EJ431" s="1080">
        <f>Inputs!EJ322</f>
        <v>3169</v>
      </c>
      <c r="EK431" s="1080">
        <f>Inputs!EK322</f>
        <v>3159</v>
      </c>
      <c r="EL431" s="1080">
        <f>Inputs!EL322</f>
        <v>3142</v>
      </c>
      <c r="EM431" s="1080">
        <f>Inputs!EM322</f>
        <v>3133</v>
      </c>
      <c r="EN431" s="803">
        <f>+EM431</f>
        <v>3133</v>
      </c>
      <c r="EO431" s="1080">
        <f>Inputs!EO322</f>
        <v>3140</v>
      </c>
      <c r="EP431" s="1080">
        <f>Inputs!EP322</f>
        <v>3127</v>
      </c>
      <c r="EQ431" s="1080">
        <f>Inputs!EQ322</f>
        <v>3118</v>
      </c>
      <c r="ER431" s="1080">
        <f>Inputs!ER322</f>
        <v>3129</v>
      </c>
      <c r="ES431" s="803">
        <f>+ER431</f>
        <v>3129</v>
      </c>
      <c r="ET431" s="1080">
        <f>Inputs!ET322</f>
        <v>3140</v>
      </c>
      <c r="EU431" s="1080">
        <f>Inputs!EU322</f>
        <v>3154</v>
      </c>
      <c r="EV431" s="1080">
        <f>Inputs!EV322</f>
        <v>3176</v>
      </c>
      <c r="EW431" s="1080">
        <f>Inputs!EW322</f>
        <v>3193</v>
      </c>
      <c r="EX431" s="803">
        <f>+EW431</f>
        <v>3193</v>
      </c>
      <c r="EY431" s="1799">
        <f t="shared" ref="EY431:FB431" si="2078">+EY397+EY420</f>
        <v>3237.7788155919857</v>
      </c>
      <c r="EZ431" s="1799">
        <f t="shared" si="2078"/>
        <v>3280.3890608796478</v>
      </c>
      <c r="FA431" s="1799">
        <f t="shared" si="2078"/>
        <v>3328.9124020564113</v>
      </c>
      <c r="FB431" s="1799">
        <f t="shared" si="2078"/>
        <v>3388.2322183429674</v>
      </c>
      <c r="FC431" s="803">
        <f>+FB431</f>
        <v>3388.2322183429674</v>
      </c>
      <c r="FD431" s="1799">
        <f t="shared" ref="FD431:FI431" si="2079">+FD397+FD420</f>
        <v>3669.3671669780897</v>
      </c>
      <c r="FE431" s="1799">
        <f t="shared" si="2079"/>
        <v>3980.8126773359149</v>
      </c>
      <c r="FF431" s="1799">
        <f t="shared" si="2079"/>
        <v>4222.4929217166473</v>
      </c>
      <c r="FG431" s="1799">
        <f t="shared" si="2079"/>
        <v>4406.9622462608586</v>
      </c>
      <c r="FH431" s="1799">
        <f t="shared" si="2079"/>
        <v>4535.8814453318628</v>
      </c>
      <c r="FI431" s="1799">
        <f t="shared" si="2079"/>
        <v>4613.11615534885</v>
      </c>
      <c r="FJ431" s="189">
        <f>+(FF431/ES431)^0.2-1</f>
        <v>6.1775435084427954E-2</v>
      </c>
    </row>
    <row r="432" spans="1:167" x14ac:dyDescent="0.3">
      <c r="A432" s="69" t="s">
        <v>339</v>
      </c>
      <c r="DZ432" s="83">
        <f t="shared" ref="DZ432:EW432" si="2080">+DZ431/DU431-1</f>
        <v>-7.3585941790225151E-2</v>
      </c>
      <c r="EA432" s="83">
        <f t="shared" si="2080"/>
        <v>-5.9915611814346015E-2</v>
      </c>
      <c r="EB432" s="83">
        <f t="shared" si="2080"/>
        <v>-4.7536732929991388E-2</v>
      </c>
      <c r="EC432" s="83">
        <f t="shared" si="2080"/>
        <v>-4.3656607090536204E-2</v>
      </c>
      <c r="ED432" s="91">
        <f t="shared" si="2080"/>
        <v>-4.3656607090536204E-2</v>
      </c>
      <c r="EE432" s="83">
        <f t="shared" si="2080"/>
        <v>-4.1493775933609922E-2</v>
      </c>
      <c r="EF432" s="83">
        <f t="shared" si="2080"/>
        <v>-4.3686415320167593E-2</v>
      </c>
      <c r="EG432" s="83">
        <f t="shared" si="2080"/>
        <v>-4.0229885057471271E-2</v>
      </c>
      <c r="EH432" s="83">
        <f t="shared" si="2080"/>
        <v>-3.0330882352941124E-2</v>
      </c>
      <c r="EI432" s="91">
        <f t="shared" si="2080"/>
        <v>-3.0330882352941124E-2</v>
      </c>
      <c r="EJ432" s="83">
        <f t="shared" si="2080"/>
        <v>-2.0098948670377204E-2</v>
      </c>
      <c r="EK432" s="83">
        <f t="shared" si="2080"/>
        <v>-1.1576971214017573E-2</v>
      </c>
      <c r="EL432" s="83">
        <f t="shared" si="2080"/>
        <v>-9.7699338165774252E-3</v>
      </c>
      <c r="EM432" s="83">
        <f t="shared" si="2080"/>
        <v>-1.0110584518167487E-2</v>
      </c>
      <c r="EN432" s="91">
        <f>+EN431/EI431-1</f>
        <v>-1.0110584518167487E-2</v>
      </c>
      <c r="EO432" s="83">
        <f t="shared" si="2080"/>
        <v>-9.151151782896827E-3</v>
      </c>
      <c r="EP432" s="83">
        <f t="shared" si="2080"/>
        <v>-1.012978790756569E-2</v>
      </c>
      <c r="EQ432" s="83">
        <f t="shared" si="2080"/>
        <v>-7.6384468491407231E-3</v>
      </c>
      <c r="ER432" s="83">
        <f t="shared" si="2080"/>
        <v>-1.2767315671879942E-3</v>
      </c>
      <c r="ES432" s="91">
        <f>+ES431/EN431-1</f>
        <v>-1.2767315671879942E-3</v>
      </c>
      <c r="ET432" s="83">
        <f t="shared" si="2080"/>
        <v>0</v>
      </c>
      <c r="EU432" s="83">
        <f t="shared" si="2080"/>
        <v>8.6344739366805978E-3</v>
      </c>
      <c r="EV432" s="83">
        <f t="shared" si="2080"/>
        <v>1.8601667735728133E-2</v>
      </c>
      <c r="EW432" s="83">
        <f t="shared" si="2080"/>
        <v>2.0453819111537319E-2</v>
      </c>
      <c r="EX432" s="91">
        <f>+EX431/ES431-1</f>
        <v>2.0453819111537319E-2</v>
      </c>
      <c r="EY432" s="83">
        <f t="shared" ref="EY432" si="2081">+EY431/ET431-1</f>
        <v>3.1139750188530435E-2</v>
      </c>
      <c r="EZ432" s="83">
        <f t="shared" ref="EZ432" si="2082">+EZ431/EU431-1</f>
        <v>4.0072625516692328E-2</v>
      </c>
      <c r="FA432" s="83">
        <f t="shared" ref="FA432" si="2083">+FA431/EV431-1</f>
        <v>4.8146222309953135E-2</v>
      </c>
      <c r="FB432" s="83">
        <f t="shared" ref="FB432" si="2084">+FB431/EW431-1</f>
        <v>6.1143820339169208E-2</v>
      </c>
      <c r="FC432" s="91">
        <f>+FC431/EX431-1</f>
        <v>6.1143820339169208E-2</v>
      </c>
      <c r="FD432" s="83">
        <f t="shared" ref="FD432:FI432" si="2085">+FD431/FC431-1</f>
        <v>8.2973931690140335E-2</v>
      </c>
      <c r="FE432" s="83">
        <f t="shared" si="2085"/>
        <v>8.4877172598215811E-2</v>
      </c>
      <c r="FF432" s="83">
        <f t="shared" si="2085"/>
        <v>6.0711282838476155E-2</v>
      </c>
      <c r="FG432" s="83">
        <f t="shared" si="2085"/>
        <v>4.3687302255847493E-2</v>
      </c>
      <c r="FH432" s="83">
        <f t="shared" si="2085"/>
        <v>2.9253529271866974E-2</v>
      </c>
      <c r="FI432" s="83">
        <f t="shared" si="2085"/>
        <v>1.7027497510208045E-2</v>
      </c>
    </row>
    <row r="433" spans="1:165" x14ac:dyDescent="0.3">
      <c r="A433" s="65" t="s">
        <v>340</v>
      </c>
      <c r="DU433" s="96">
        <f>+DV433/DV399*DU399</f>
        <v>-43.5</v>
      </c>
      <c r="DV433" s="80">
        <f>Inputs!DV562</f>
        <v>-87</v>
      </c>
      <c r="DW433" s="80">
        <f>Inputs!DW562</f>
        <v>-84</v>
      </c>
      <c r="DX433" s="80">
        <f>Inputs!DX562</f>
        <v>-58</v>
      </c>
      <c r="DY433" s="86">
        <f>+SUM(DU433:DX433)</f>
        <v>-272.5</v>
      </c>
      <c r="DZ433" s="80">
        <f>Inputs!DZ562</f>
        <v>-39</v>
      </c>
      <c r="EA433" s="80">
        <f>Inputs!EA323</f>
        <v>-32</v>
      </c>
      <c r="EB433" s="80">
        <f>Inputs!EB323</f>
        <v>-36</v>
      </c>
      <c r="EC433" s="80">
        <f>Inputs!EC562</f>
        <v>-41</v>
      </c>
      <c r="ED433" s="86">
        <f>+SUM(DZ433:EC433)</f>
        <v>-148</v>
      </c>
      <c r="EE433" s="80">
        <f>Inputs!EE323</f>
        <v>-30</v>
      </c>
      <c r="EF433" s="80">
        <f>Inputs!EF323</f>
        <v>-38</v>
      </c>
      <c r="EG433" s="80">
        <f>Inputs!EG323</f>
        <v>-23</v>
      </c>
      <c r="EH433" s="80">
        <f>Inputs!EH323</f>
        <v>-8</v>
      </c>
      <c r="EI433" s="86">
        <f>+SUM(EE433:EH433)</f>
        <v>-99</v>
      </c>
      <c r="EJ433" s="80">
        <f>Inputs!EJ323</f>
        <v>4</v>
      </c>
      <c r="EK433" s="80">
        <f>Inputs!EK323</f>
        <v>-10</v>
      </c>
      <c r="EL433" s="80">
        <f>Inputs!EL323</f>
        <v>-17</v>
      </c>
      <c r="EM433" s="80">
        <f>Inputs!EM323</f>
        <v>-9</v>
      </c>
      <c r="EN433" s="86">
        <f>+SUM(EJ433:EM433)</f>
        <v>-32</v>
      </c>
      <c r="EO433" s="80">
        <f>Inputs!EO323</f>
        <v>7</v>
      </c>
      <c r="EP433" s="80">
        <f>Inputs!EP323</f>
        <v>-13</v>
      </c>
      <c r="EQ433" s="80">
        <f>Inputs!EQ323</f>
        <v>-9</v>
      </c>
      <c r="ER433" s="80">
        <f>Inputs!ER323</f>
        <v>11</v>
      </c>
      <c r="ES433" s="86">
        <f>+SUM(EO433:ER433)</f>
        <v>-4</v>
      </c>
      <c r="ET433" s="80">
        <f>Inputs!ET323</f>
        <v>11</v>
      </c>
      <c r="EU433" s="80">
        <f>Inputs!EU323</f>
        <v>14</v>
      </c>
      <c r="EV433" s="80">
        <f>Inputs!EV323</f>
        <v>22</v>
      </c>
      <c r="EW433" s="80">
        <f>Inputs!EW323</f>
        <v>17</v>
      </c>
      <c r="EX433" s="86">
        <f>+SUM(ET433:EW433)</f>
        <v>64</v>
      </c>
      <c r="EY433" s="77">
        <f t="shared" ref="EY433" si="2086">+EY431-EX431</f>
        <v>44.778815591985676</v>
      </c>
      <c r="EZ433" s="77">
        <f t="shared" ref="EZ433" si="2087">+EZ431-EY431</f>
        <v>42.61024528766211</v>
      </c>
      <c r="FA433" s="77">
        <f t="shared" ref="FA433" si="2088">+FA431-EZ431</f>
        <v>48.523341176763552</v>
      </c>
      <c r="FB433" s="77">
        <f t="shared" ref="FB433" si="2089">+FB431-FA431</f>
        <v>59.319816286556033</v>
      </c>
      <c r="FC433" s="86">
        <f>+SUM(EY433:FB433)</f>
        <v>195.23221834296737</v>
      </c>
      <c r="FD433" s="77">
        <f t="shared" ref="FD433:FI433" si="2090">+FD431-FC431</f>
        <v>281.13494863512233</v>
      </c>
      <c r="FE433" s="77">
        <f t="shared" si="2090"/>
        <v>311.44551035782524</v>
      </c>
      <c r="FF433" s="77">
        <f t="shared" si="2090"/>
        <v>241.68024438073235</v>
      </c>
      <c r="FG433" s="77">
        <f t="shared" si="2090"/>
        <v>184.4693245442113</v>
      </c>
      <c r="FH433" s="77">
        <f t="shared" si="2090"/>
        <v>128.91919907100419</v>
      </c>
      <c r="FI433" s="77">
        <f t="shared" si="2090"/>
        <v>77.234710016987265</v>
      </c>
    </row>
    <row r="434" spans="1:165" x14ac:dyDescent="0.3">
      <c r="A434" s="65" t="s">
        <v>341</v>
      </c>
      <c r="DU434" s="83">
        <f>+DU429/AVERAGE(DT99:DU99)</f>
        <v>1.1904404605263159E-2</v>
      </c>
      <c r="DV434" s="83">
        <f>+DV429/AVERAGE(DU99:DV99)</f>
        <v>9.946499999999997E-3</v>
      </c>
      <c r="DW434" s="83">
        <f>+DW429/AVERAGE(DV99:DW99)</f>
        <v>1.0401019736842099E-2</v>
      </c>
      <c r="DX434" s="83">
        <f>+DX429/AVERAGE(DW99:DX99)</f>
        <v>9.5429934210526299E-3</v>
      </c>
      <c r="DY434" s="91">
        <f>+DY429/AVERAGE(DU99:DX99)</f>
        <v>4.1794917763157885E-2</v>
      </c>
      <c r="DZ434" s="83">
        <f>+DZ429/AVERAGE(DY99:DZ99)</f>
        <v>9.8287894736842265E-3</v>
      </c>
      <c r="EA434" s="83">
        <f>+EA429/AVERAGE(DZ99:EA99)</f>
        <v>8.7492500000000088E-3</v>
      </c>
      <c r="EB434" s="83">
        <f>+EB429/AVERAGE(EA99:EB99)</f>
        <v>9.570434210526323E-3</v>
      </c>
      <c r="EC434" s="83">
        <f>+EC429/AVERAGE(EB99:EC99)</f>
        <v>8.1335921052631543E-3</v>
      </c>
      <c r="ED434" s="91">
        <f>+ED429/AVERAGE(DZ99:EC99)</f>
        <v>3.6282065789473711E-2</v>
      </c>
      <c r="EE434" s="83">
        <f>+EE429/AVERAGE(ED99:EE99)</f>
        <v>7.3673684210526268E-3</v>
      </c>
      <c r="EF434" s="83">
        <f>+EF429/AVERAGE(EE99:EF99)</f>
        <v>7.3056262295082041E-3</v>
      </c>
      <c r="EG434" s="83">
        <f>+EG429/AVERAGE(EF99:EG99)</f>
        <v>8.7740653594771175E-3</v>
      </c>
      <c r="EH434" s="83">
        <f>+EH429/AVERAGE(EG99:EH99)</f>
        <v>8.4983986928104695E-3</v>
      </c>
      <c r="EI434" s="91">
        <f>+EI429/AVERAGE(EE99:EH99)</f>
        <v>3.1925597381342069E-2</v>
      </c>
      <c r="EJ434" s="83">
        <f>+EJ429/AVERAGE(EI99:EJ99)</f>
        <v>8.6393790849673135E-3</v>
      </c>
      <c r="EK434" s="83">
        <f>+EK429/AVERAGE(EJ99:EK99)</f>
        <v>8.8534052287581756E-3</v>
      </c>
      <c r="EL434" s="83">
        <f>+EL429/AVERAGE(EK99:EL99)</f>
        <v>9.7905359477124202E-3</v>
      </c>
      <c r="EM434" s="83">
        <f>+EM429/AVERAGE(EL99:EM99)</f>
        <v>8.8089771986970614E-3</v>
      </c>
      <c r="EN434" s="91">
        <f>+EN429/AVERAGE(EJ99:EM99)</f>
        <v>3.6062159869494285E-2</v>
      </c>
      <c r="EO434" s="83">
        <f>+EO429/AVERAGE(EN99:EO99)</f>
        <v>9.1821883116883288E-3</v>
      </c>
      <c r="EP434" s="83">
        <f>+EP429/AVERAGE(EO99:EP99)</f>
        <v>8.514675324675338E-3</v>
      </c>
      <c r="EQ434" s="83">
        <f>+EQ429/AVERAGE(EP99:EQ99)</f>
        <v>9.7712337662337577E-3</v>
      </c>
      <c r="ER434" s="83">
        <f>+ER429/AVERAGE(EQ99:ER99)</f>
        <v>9.4001428571428656E-3</v>
      </c>
      <c r="ES434" s="91">
        <f>+ES429/AVERAGE(EO99:ER99)</f>
        <v>3.6868240259740288E-2</v>
      </c>
      <c r="ET434" s="83">
        <f>+ET429/AVERAGE(ES99:ET99)</f>
        <v>9.6746038961038859E-3</v>
      </c>
      <c r="EU434" s="83">
        <f>+EU429/AVERAGE(ET99:EU99)</f>
        <v>1.1001948051948041E-2</v>
      </c>
      <c r="EV434" s="83">
        <f>+EV429/AVERAGE(EU99:EV99)</f>
        <v>1.2488051948051936E-2</v>
      </c>
      <c r="EW434" s="83">
        <f>+EW429/AVERAGE(EV99:EW99)</f>
        <v>1.1460867313915862E-2</v>
      </c>
      <c r="EX434" s="91">
        <f>+EX429/AVERAGE(ET99:EW99)</f>
        <v>4.4590294975688789E-2</v>
      </c>
      <c r="EY434" s="83">
        <f t="shared" ref="EY434" si="2091">+EY429/AVERAGE(EX99:EY99)</f>
        <v>1.3073831559223332E-2</v>
      </c>
      <c r="EZ434" s="83">
        <f t="shared" ref="EZ434" si="2092">+EZ429/AVERAGE(EY99:EZ99)</f>
        <v>1.3051012462334617E-2</v>
      </c>
      <c r="FA434" s="83">
        <f t="shared" ref="FA434" si="2093">+FA429/AVERAGE(EZ99:FA99)</f>
        <v>1.3543533527672928E-2</v>
      </c>
      <c r="FB434" s="83">
        <f t="shared" ref="FB434" si="2094">+FB429/AVERAGE(FA99:FB99)</f>
        <v>1.4369381914767082E-2</v>
      </c>
      <c r="FC434" s="91">
        <f>+FC429/AVERAGE(EY99:FB99)</f>
        <v>5.3994401450325358E-2</v>
      </c>
      <c r="FD434" s="83">
        <f t="shared" ref="FD434:FI434" si="2095">+FD429/AVERAGE(FC99:FD99)</f>
        <v>6.0790625098079511E-2</v>
      </c>
      <c r="FE434" s="83">
        <f t="shared" si="2095"/>
        <v>6.5819791816707482E-2</v>
      </c>
      <c r="FF434" s="83">
        <f t="shared" si="2095"/>
        <v>6.4853305811177889E-2</v>
      </c>
      <c r="FG434" s="83">
        <f t="shared" si="2095"/>
        <v>6.3818135426483749E-2</v>
      </c>
      <c r="FH434" s="83">
        <f t="shared" si="2095"/>
        <v>6.2193851296308611E-2</v>
      </c>
      <c r="FI434" s="83">
        <f t="shared" si="2095"/>
        <v>6.0149088207702699E-2</v>
      </c>
    </row>
    <row r="435" spans="1:165" x14ac:dyDescent="0.3">
      <c r="A435" s="65" t="s">
        <v>342</v>
      </c>
      <c r="DU435" s="1235">
        <f>+Inputs!DU564</f>
        <v>2.0299999999999999E-2</v>
      </c>
      <c r="DV435" s="1235">
        <f>+Inputs!DV564</f>
        <v>2.18E-2</v>
      </c>
      <c r="DW435" s="1235">
        <f>+Inputs!DW564</f>
        <v>2.2700000000000001E-2</v>
      </c>
      <c r="DX435" s="1235">
        <f>+Inputs!DX564</f>
        <v>1.95E-2</v>
      </c>
      <c r="DY435" s="1236">
        <f>+DY430/AVERAGE(DU428:DX428)/-12</f>
        <v>2.1081565471836136E-2</v>
      </c>
      <c r="DZ435" s="1235">
        <f>+Inputs!DZ564</f>
        <v>1.84E-2</v>
      </c>
      <c r="EA435" s="1235">
        <f>Inputs!EA325</f>
        <v>1.6299999999999999E-2</v>
      </c>
      <c r="EB435" s="1235">
        <f>Inputs!EB325</f>
        <v>1.8100000000000002E-2</v>
      </c>
      <c r="EC435" s="1235">
        <f>+Inputs!EC564</f>
        <v>1.67E-2</v>
      </c>
      <c r="ED435" s="1236">
        <f>+ED430/AVERAGE(DZ428:EC428)/-12</f>
        <v>1.7379665053963527E-2</v>
      </c>
      <c r="EE435" s="1235">
        <f>Inputs!EE325</f>
        <v>1.4500000000000001E-2</v>
      </c>
      <c r="EF435" s="1235">
        <f>Inputs!EF325</f>
        <v>1.54E-2</v>
      </c>
      <c r="EG435" s="1235">
        <f>Inputs!EG325</f>
        <v>1.6400000000000001E-2</v>
      </c>
      <c r="EH435" s="1235">
        <f>Inputs!EH325</f>
        <v>1.4500000000000001E-2</v>
      </c>
      <c r="EI435" s="1236">
        <f>+EI430/AVERAGE(EE428:EH428)/-12</f>
        <v>1.5198142535167485E-2</v>
      </c>
      <c r="EJ435" s="1235">
        <f>Inputs!EJ325</f>
        <v>1.35E-2</v>
      </c>
      <c r="EK435" s="1235">
        <f>Inputs!EK325</f>
        <v>1.5299999999999999E-2</v>
      </c>
      <c r="EL435" s="1235">
        <f>Inputs!EL325</f>
        <v>1.7600000000000001E-2</v>
      </c>
      <c r="EM435" s="1235">
        <f>Inputs!EM325</f>
        <v>1.5299999999999999E-2</v>
      </c>
      <c r="EN435" s="1236">
        <f>+EN430/AVERAGE(EJ428:EM428)/-12</f>
        <v>1.5424155124653741E-2</v>
      </c>
      <c r="EO435" s="1235">
        <f>Inputs!EO325</f>
        <v>1.43E-2</v>
      </c>
      <c r="EP435" s="1235">
        <f>Inputs!EP325</f>
        <v>1.5299999999999999E-2</v>
      </c>
      <c r="EQ435" s="1235">
        <f>Inputs!EQ325</f>
        <v>1.7000000000000001E-2</v>
      </c>
      <c r="ER435" s="1235">
        <f>Inputs!ER325</f>
        <v>1.43E-2</v>
      </c>
      <c r="ES435" s="1236">
        <f>+ES430/AVERAGE(EO428:ER428)/-12</f>
        <v>1.5225299568621184E-2</v>
      </c>
      <c r="ET435" s="1235">
        <f>Inputs!ET325</f>
        <v>1.47E-2</v>
      </c>
      <c r="EU435" s="1235">
        <f>Inputs!EU325</f>
        <v>1.6500000000000001E-2</v>
      </c>
      <c r="EV435" s="1235">
        <f>Inputs!EV325</f>
        <v>1.7999999999999999E-2</v>
      </c>
      <c r="EW435" s="1235">
        <f>Inputs!EW325</f>
        <v>1.6799999999999999E-2</v>
      </c>
      <c r="EX435" s="1236">
        <f>+EX430/AVERAGE(ET428:EW428)/-12</f>
        <v>1.650409556313993E-2</v>
      </c>
      <c r="EY435" s="1186">
        <f t="shared" ref="EY435" si="2096">+EX435</f>
        <v>1.650409556313993E-2</v>
      </c>
      <c r="EZ435" s="1186">
        <f t="shared" ref="EZ435" si="2097">+EY435</f>
        <v>1.650409556313993E-2</v>
      </c>
      <c r="FA435" s="1186">
        <f t="shared" ref="FA435" si="2098">+EZ435</f>
        <v>1.650409556313993E-2</v>
      </c>
      <c r="FB435" s="1186">
        <f t="shared" ref="FB435" si="2099">+FA435</f>
        <v>1.650409556313993E-2</v>
      </c>
      <c r="FC435" s="1236">
        <f>+FC430/AVERAGE(EY428:FB428)/-12</f>
        <v>1.650409556313993E-2</v>
      </c>
      <c r="FD435" s="1186">
        <f t="shared" ref="FD435:FI435" si="2100">+FC435</f>
        <v>1.650409556313993E-2</v>
      </c>
      <c r="FE435" s="1186">
        <f t="shared" si="2100"/>
        <v>1.650409556313993E-2</v>
      </c>
      <c r="FF435" s="1186">
        <f t="shared" si="2100"/>
        <v>1.650409556313993E-2</v>
      </c>
      <c r="FG435" s="1186">
        <f t="shared" si="2100"/>
        <v>1.650409556313993E-2</v>
      </c>
      <c r="FH435" s="1186">
        <f t="shared" si="2100"/>
        <v>1.650409556313993E-2</v>
      </c>
      <c r="FI435" s="1186">
        <f t="shared" si="2100"/>
        <v>1.650409556313993E-2</v>
      </c>
    </row>
    <row r="436" spans="1:165" x14ac:dyDescent="0.3">
      <c r="A436" s="65" t="s">
        <v>210</v>
      </c>
      <c r="DU436" s="75">
        <f t="shared" ref="DU436:FI436" si="2101">+DU431/DU99</f>
        <v>0.23960526315789474</v>
      </c>
      <c r="DV436" s="75">
        <f t="shared" si="2101"/>
        <v>0.23388157894736841</v>
      </c>
      <c r="DW436" s="75">
        <f t="shared" si="2101"/>
        <v>0.22835526315789473</v>
      </c>
      <c r="DX436" s="75">
        <f t="shared" si="2101"/>
        <v>0.22453947368421054</v>
      </c>
      <c r="DY436" s="84">
        <f t="shared" si="2101"/>
        <v>0.22453947368421054</v>
      </c>
      <c r="DZ436" s="75">
        <f t="shared" si="2101"/>
        <v>0.22197368421052632</v>
      </c>
      <c r="EA436" s="75">
        <f t="shared" si="2101"/>
        <v>0.21986842105263157</v>
      </c>
      <c r="EB436" s="75">
        <f t="shared" si="2101"/>
        <v>0.2175</v>
      </c>
      <c r="EC436" s="75">
        <f t="shared" si="2101"/>
        <v>0.21473684210526317</v>
      </c>
      <c r="ED436" s="84">
        <f t="shared" si="2101"/>
        <v>0.21473684210526317</v>
      </c>
      <c r="EE436" s="75">
        <f t="shared" si="2101"/>
        <v>0.21276315789473685</v>
      </c>
      <c r="EF436" s="75">
        <f t="shared" si="2101"/>
        <v>0.2088888888888889</v>
      </c>
      <c r="EG436" s="75">
        <f t="shared" si="2101"/>
        <v>0.20738562091503268</v>
      </c>
      <c r="EH436" s="75">
        <f t="shared" si="2101"/>
        <v>0.2068627450980392</v>
      </c>
      <c r="EI436" s="84">
        <f t="shared" si="2101"/>
        <v>0.2068627450980392</v>
      </c>
      <c r="EJ436" s="75">
        <f t="shared" si="2101"/>
        <v>0.20712418300653596</v>
      </c>
      <c r="EK436" s="75">
        <f t="shared" si="2101"/>
        <v>0.20647058823529413</v>
      </c>
      <c r="EL436" s="75">
        <f t="shared" si="2101"/>
        <v>0.20535947712418301</v>
      </c>
      <c r="EM436" s="75">
        <f t="shared" si="2101"/>
        <v>0.20344155844155845</v>
      </c>
      <c r="EN436" s="84">
        <f t="shared" si="2101"/>
        <v>0.20344155844155845</v>
      </c>
      <c r="EO436" s="75">
        <f t="shared" si="2101"/>
        <v>0.20389610389610391</v>
      </c>
      <c r="EP436" s="75">
        <f t="shared" si="2101"/>
        <v>0.20305194805194804</v>
      </c>
      <c r="EQ436" s="75">
        <f t="shared" ref="EQ436:ER436" si="2102">+EQ431/EQ99</f>
        <v>0.20246753246753246</v>
      </c>
      <c r="ER436" s="75">
        <f t="shared" si="2102"/>
        <v>0.20318181818181819</v>
      </c>
      <c r="ES436" s="84">
        <f t="shared" si="2101"/>
        <v>0.20318181818181819</v>
      </c>
      <c r="ET436" s="75">
        <f t="shared" ref="ET436:EU436" si="2103">+ET431/ET99</f>
        <v>0.20389610389610391</v>
      </c>
      <c r="EU436" s="75">
        <f t="shared" si="2103"/>
        <v>0.2048051948051948</v>
      </c>
      <c r="EV436" s="75">
        <f t="shared" ref="EV436:EW436" si="2104">+EV431/EV99</f>
        <v>0.20623376623376624</v>
      </c>
      <c r="EW436" s="75">
        <f t="shared" si="2104"/>
        <v>0.20599999999999999</v>
      </c>
      <c r="EX436" s="84">
        <f t="shared" ref="EX436" si="2105">+EX431/EX99</f>
        <v>0.20599999999999999</v>
      </c>
      <c r="EY436" s="75">
        <f t="shared" ref="EY436:FC436" si="2106">+EY431/EY99</f>
        <v>0.20842168786700691</v>
      </c>
      <c r="EZ436" s="75">
        <f t="shared" si="2106"/>
        <v>0.21079888835279231</v>
      </c>
      <c r="FA436" s="75">
        <f t="shared" si="2106"/>
        <v>0.21354718991422678</v>
      </c>
      <c r="FB436" s="75">
        <f t="shared" si="2106"/>
        <v>0.21707609432956196</v>
      </c>
      <c r="FC436" s="84">
        <f t="shared" si="2106"/>
        <v>0.21707609432956196</v>
      </c>
      <c r="FD436" s="75">
        <f t="shared" si="2101"/>
        <v>0.23345357631780092</v>
      </c>
      <c r="FE436" s="75">
        <f t="shared" si="2101"/>
        <v>0.25150790050506228</v>
      </c>
      <c r="FF436" s="75">
        <f t="shared" si="2101"/>
        <v>0.26492280813181374</v>
      </c>
      <c r="FG436" s="75">
        <f t="shared" si="2101"/>
        <v>0.2745745490815652</v>
      </c>
      <c r="FH436" s="75">
        <f t="shared" si="2101"/>
        <v>0.28064232739864198</v>
      </c>
      <c r="FI436" s="75">
        <f t="shared" si="2101"/>
        <v>0.28343690559054752</v>
      </c>
    </row>
    <row r="437" spans="1:165" x14ac:dyDescent="0.3">
      <c r="A437" s="65"/>
      <c r="EO437"/>
      <c r="EP437"/>
      <c r="EQ437"/>
      <c r="ER437"/>
    </row>
    <row r="438" spans="1:165" x14ac:dyDescent="0.3">
      <c r="A438" s="68" t="s">
        <v>458</v>
      </c>
      <c r="EO438"/>
      <c r="EP438"/>
      <c r="EQ438"/>
      <c r="ER438"/>
    </row>
    <row r="439" spans="1:165" x14ac:dyDescent="0.3">
      <c r="A439" s="67" t="s">
        <v>350</v>
      </c>
      <c r="DU439" s="76">
        <f t="shared" ref="DU439:DX441" si="2107">DU135+DU302</f>
        <v>321.04959869888103</v>
      </c>
      <c r="DV439" s="76">
        <f t="shared" si="2107"/>
        <v>314.04959869888103</v>
      </c>
      <c r="DW439" s="76">
        <f t="shared" si="2107"/>
        <v>307.61497302449339</v>
      </c>
      <c r="DX439" s="76">
        <f t="shared" si="2107"/>
        <v>301.19484412768554</v>
      </c>
      <c r="DY439" s="85">
        <f>+DU439</f>
        <v>321.04959869888103</v>
      </c>
      <c r="DZ439" s="76">
        <f t="shared" ref="DZ439:EC441" si="2108">DZ135+DZ302</f>
        <v>295.78958372070309</v>
      </c>
      <c r="EA439" s="76">
        <f t="shared" si="2108"/>
        <v>288.39957304687499</v>
      </c>
      <c r="EB439" s="76">
        <f t="shared" si="2108"/>
        <v>282.02520312499996</v>
      </c>
      <c r="EC439" s="76">
        <f t="shared" si="2108"/>
        <v>276.666875</v>
      </c>
      <c r="ED439" s="85">
        <f>+DZ439</f>
        <v>295.78958372070309</v>
      </c>
      <c r="EE439" s="76">
        <f t="shared" ref="EE439:EH441" si="2109">EE135+EE302</f>
        <v>273.32500000000005</v>
      </c>
      <c r="EF439" s="76">
        <f t="shared" si="2109"/>
        <v>269</v>
      </c>
      <c r="EG439" s="76">
        <f t="shared" si="2109"/>
        <v>267</v>
      </c>
      <c r="EH439" s="76">
        <f t="shared" si="2109"/>
        <v>263</v>
      </c>
      <c r="EI439" s="85">
        <f>+EE439</f>
        <v>273.32500000000005</v>
      </c>
      <c r="EJ439" s="76">
        <f t="shared" ref="EJ439:EM441" si="2110">EJ135+EJ302</f>
        <v>257</v>
      </c>
      <c r="EK439" s="76">
        <f t="shared" si="2110"/>
        <v>257</v>
      </c>
      <c r="EL439" s="76">
        <f t="shared" si="2110"/>
        <v>256</v>
      </c>
      <c r="EM439" s="76">
        <f t="shared" si="2110"/>
        <v>253</v>
      </c>
      <c r="EN439" s="85">
        <f>+EJ439</f>
        <v>257</v>
      </c>
      <c r="EO439" s="76">
        <f t="shared" ref="EO439:EP441" si="2111">EO135+EO302</f>
        <v>250</v>
      </c>
      <c r="EP439" s="76">
        <f t="shared" si="2111"/>
        <v>248</v>
      </c>
      <c r="EQ439" s="76">
        <f t="shared" ref="EQ439:ER439" si="2112">EQ135+EQ302</f>
        <v>248</v>
      </c>
      <c r="ER439" s="76">
        <f t="shared" si="2112"/>
        <v>246</v>
      </c>
      <c r="ES439" s="85">
        <f>+EO439</f>
        <v>250</v>
      </c>
      <c r="ET439" s="76">
        <f t="shared" ref="ET439:EU439" si="2113">ET135+ET302</f>
        <v>243</v>
      </c>
      <c r="EU439" s="76">
        <f t="shared" si="2113"/>
        <v>240</v>
      </c>
      <c r="EV439" s="76">
        <f t="shared" ref="EV439:EW439" si="2114">EV135+EV302</f>
        <v>236</v>
      </c>
      <c r="EW439" s="76">
        <f t="shared" si="2114"/>
        <v>234</v>
      </c>
      <c r="EX439" s="85">
        <f>+ET439</f>
        <v>243</v>
      </c>
      <c r="EY439" s="76">
        <f t="shared" ref="EY439:FB439" si="2115">EY135+EY302</f>
        <v>233</v>
      </c>
      <c r="EZ439" s="76">
        <f t="shared" si="2115"/>
        <v>232.33438871053156</v>
      </c>
      <c r="FA439" s="76">
        <f t="shared" si="2115"/>
        <v>230.32131247523324</v>
      </c>
      <c r="FB439" s="76">
        <f t="shared" si="2115"/>
        <v>230.78672173101026</v>
      </c>
      <c r="FC439" s="85">
        <f>+EY439</f>
        <v>233</v>
      </c>
      <c r="FD439" s="76">
        <f t="shared" ref="FD439:FI441" si="2116">FD135+FD302</f>
        <v>232.32007349361709</v>
      </c>
      <c r="FE439" s="76">
        <f t="shared" si="2116"/>
        <v>239.51737318372966</v>
      </c>
      <c r="FF439" s="76">
        <f t="shared" si="2116"/>
        <v>252.66077577366212</v>
      </c>
      <c r="FG439" s="76">
        <f t="shared" si="2116"/>
        <v>269.85801141161016</v>
      </c>
      <c r="FH439" s="76">
        <f t="shared" si="2116"/>
        <v>290.5019464749048</v>
      </c>
      <c r="FI439" s="76">
        <f t="shared" si="2116"/>
        <v>314.21718541985325</v>
      </c>
    </row>
    <row r="440" spans="1:165" x14ac:dyDescent="0.3">
      <c r="A440" s="67" t="s">
        <v>351</v>
      </c>
      <c r="DU440" s="76">
        <f t="shared" si="2107"/>
        <v>14.909087769489631</v>
      </c>
      <c r="DV440" s="76">
        <f t="shared" si="2107"/>
        <v>14.828687518697606</v>
      </c>
      <c r="DW440" s="76">
        <f t="shared" si="2107"/>
        <v>15.067811906750492</v>
      </c>
      <c r="DX440" s="76">
        <f t="shared" si="2107"/>
        <v>14.204289753084495</v>
      </c>
      <c r="DY440" s="85">
        <f>+SUM(DU440:DX440)</f>
        <v>59.009876948022224</v>
      </c>
      <c r="DZ440" s="76">
        <f t="shared" si="2108"/>
        <v>12.043170184761721</v>
      </c>
      <c r="EA440" s="76">
        <f t="shared" si="2108"/>
        <v>10.327965571015611</v>
      </c>
      <c r="EB440" s="76">
        <f t="shared" si="2108"/>
        <v>10.627505264062492</v>
      </c>
      <c r="EC440" s="76">
        <f t="shared" si="2108"/>
        <v>10.40520987500004</v>
      </c>
      <c r="ED440" s="85">
        <f>+SUM(DZ440:EC440)</f>
        <v>43.403850894839863</v>
      </c>
      <c r="EE440" s="76">
        <f t="shared" si="2109"/>
        <v>8.4801024999999868</v>
      </c>
      <c r="EF440" s="76">
        <f t="shared" si="2109"/>
        <v>10.00869999999999</v>
      </c>
      <c r="EG440" s="76">
        <f t="shared" si="2109"/>
        <v>7.7759000000000071</v>
      </c>
      <c r="EH440" s="76">
        <f t="shared" si="2109"/>
        <v>5.7128999999999905</v>
      </c>
      <c r="EI440" s="85">
        <f>+SUM(EE440:EH440)</f>
        <v>31.977602499999975</v>
      </c>
      <c r="EJ440" s="76">
        <f t="shared" si="2110"/>
        <v>10.917600000000007</v>
      </c>
      <c r="EK440" s="76">
        <f t="shared" si="2110"/>
        <v>10.076899999999995</v>
      </c>
      <c r="EL440" s="76">
        <f t="shared" si="2110"/>
        <v>9.0671999999999855</v>
      </c>
      <c r="EM440" s="76">
        <f t="shared" si="2110"/>
        <v>9.087900000000019</v>
      </c>
      <c r="EN440" s="85">
        <f>+SUM(EJ440:EM440)</f>
        <v>39.149600000000007</v>
      </c>
      <c r="EO440" s="76">
        <f t="shared" si="2111"/>
        <v>10.561000000000007</v>
      </c>
      <c r="EP440" s="76">
        <f t="shared" si="2111"/>
        <v>11.157600000000002</v>
      </c>
      <c r="EQ440" s="76">
        <f t="shared" ref="EQ440:ER440" si="2117">EQ136+EQ303</f>
        <v>8.8888000000000034</v>
      </c>
      <c r="ER440" s="76">
        <f t="shared" si="2117"/>
        <v>7.650599999999983</v>
      </c>
      <c r="ES440" s="85">
        <f>+SUM(EO440:ER440)</f>
        <v>38.257999999999996</v>
      </c>
      <c r="ET440" s="76">
        <f t="shared" ref="ET440:EU440" si="2118">ET136+ET303</f>
        <v>8.9825999999999908</v>
      </c>
      <c r="EU440" s="76">
        <f t="shared" si="2118"/>
        <v>7.6351999999999975</v>
      </c>
      <c r="EV440" s="76">
        <f t="shared" ref="EV440:EW440" si="2119">EV136+EV303</f>
        <v>10.302999999999997</v>
      </c>
      <c r="EW440" s="76">
        <f t="shared" si="2119"/>
        <v>10.442599999999985</v>
      </c>
      <c r="EX440" s="85">
        <f>+SUM(ET440:EW440)</f>
        <v>37.36339999999997</v>
      </c>
      <c r="EY440" s="76">
        <f t="shared" ref="EY440:FB440" si="2120">EY136+EY303</f>
        <v>10.966888710531579</v>
      </c>
      <c r="EZ440" s="76">
        <f t="shared" si="2120"/>
        <v>9.3534063292943106</v>
      </c>
      <c r="FA440" s="76">
        <f t="shared" si="2120"/>
        <v>12.632828806330958</v>
      </c>
      <c r="FB440" s="76">
        <f t="shared" si="2120"/>
        <v>12.812207542020589</v>
      </c>
      <c r="FC440" s="85">
        <f>+SUM(EY440:FB440)</f>
        <v>45.765331388177437</v>
      </c>
      <c r="FD440" s="76">
        <f t="shared" si="2116"/>
        <v>52.405378163735499</v>
      </c>
      <c r="FE440" s="76">
        <f t="shared" si="2116"/>
        <v>57.697750742185455</v>
      </c>
      <c r="FF440" s="76">
        <f t="shared" si="2116"/>
        <v>62.551032583629556</v>
      </c>
      <c r="FG440" s="76">
        <f t="shared" si="2116"/>
        <v>67.82027383368694</v>
      </c>
      <c r="FH440" s="76">
        <f t="shared" si="2116"/>
        <v>73.541146051008212</v>
      </c>
      <c r="FI440" s="76">
        <f t="shared" si="2116"/>
        <v>79.752379696733016</v>
      </c>
    </row>
    <row r="441" spans="1:165" x14ac:dyDescent="0.3">
      <c r="A441" s="67" t="s">
        <v>337</v>
      </c>
      <c r="DU441" s="76">
        <f t="shared" si="2107"/>
        <v>-21.909087769489631</v>
      </c>
      <c r="DV441" s="76">
        <f t="shared" si="2107"/>
        <v>-21.263313193085253</v>
      </c>
      <c r="DW441" s="76">
        <f t="shared" si="2107"/>
        <v>-21.487940803558345</v>
      </c>
      <c r="DX441" s="76">
        <f t="shared" si="2107"/>
        <v>-19.609550160066945</v>
      </c>
      <c r="DY441" s="85">
        <f>+SUM(DU441:DX441)</f>
        <v>-84.269891926200174</v>
      </c>
      <c r="DZ441" s="76">
        <f t="shared" si="2108"/>
        <v>-19.433180858589843</v>
      </c>
      <c r="EA441" s="76">
        <f t="shared" si="2108"/>
        <v>-16.702335492890626</v>
      </c>
      <c r="EB441" s="76">
        <f t="shared" si="2108"/>
        <v>-15.985833389062499</v>
      </c>
      <c r="EC441" s="76">
        <f t="shared" si="2108"/>
        <v>-13.747084874999999</v>
      </c>
      <c r="ED441" s="85">
        <f>+SUM(DZ441:EC441)</f>
        <v>-65.868434615542967</v>
      </c>
      <c r="EE441" s="76">
        <f t="shared" si="2109"/>
        <v>-12.8051025</v>
      </c>
      <c r="EF441" s="76">
        <f t="shared" si="2109"/>
        <v>-12.008700000000001</v>
      </c>
      <c r="EG441" s="76">
        <f t="shared" si="2109"/>
        <v>-11.7759</v>
      </c>
      <c r="EH441" s="76">
        <f t="shared" si="2109"/>
        <v>-11.712899999999999</v>
      </c>
      <c r="EI441" s="85">
        <f>+SUM(EE441:EH441)</f>
        <v>-48.302602499999999</v>
      </c>
      <c r="EJ441" s="76">
        <f t="shared" si="2110"/>
        <v>-10.9176</v>
      </c>
      <c r="EK441" s="76">
        <f t="shared" si="2110"/>
        <v>-11.0769</v>
      </c>
      <c r="EL441" s="76">
        <f t="shared" si="2110"/>
        <v>-12.0672</v>
      </c>
      <c r="EM441" s="76">
        <f t="shared" si="2110"/>
        <v>-12.087900000000001</v>
      </c>
      <c r="EN441" s="85">
        <f>+SUM(EJ441:EM441)</f>
        <v>-46.149600000000007</v>
      </c>
      <c r="EO441" s="76">
        <f t="shared" si="2111"/>
        <v>-12.561</v>
      </c>
      <c r="EP441" s="76">
        <f t="shared" si="2111"/>
        <v>-11.157599999999999</v>
      </c>
      <c r="EQ441" s="76">
        <f t="shared" ref="EQ441:ER441" si="2121">EQ137+EQ304</f>
        <v>-10.8888</v>
      </c>
      <c r="ER441" s="76">
        <f t="shared" si="2121"/>
        <v>-10.650600000000001</v>
      </c>
      <c r="ES441" s="85">
        <f>+SUM(EO441:ER441)</f>
        <v>-45.257999999999996</v>
      </c>
      <c r="ET441" s="76">
        <f t="shared" ref="ET441:EU441" si="2122">ET137+ET304</f>
        <v>-11.982600000000001</v>
      </c>
      <c r="EU441" s="76">
        <f t="shared" si="2122"/>
        <v>-11.635199999999999</v>
      </c>
      <c r="EV441" s="76">
        <f t="shared" ref="EV441:EW441" si="2123">EV137+EV304</f>
        <v>-12.303000000000001</v>
      </c>
      <c r="EW441" s="76">
        <f t="shared" si="2123"/>
        <v>-11.442599999999999</v>
      </c>
      <c r="EX441" s="85">
        <f>+SUM(ET441:EW441)</f>
        <v>-47.363399999999999</v>
      </c>
      <c r="EY441" s="76">
        <f t="shared" ref="EY441:FB441" si="2124">EY137+EY304</f>
        <v>-11.6325</v>
      </c>
      <c r="EZ441" s="76">
        <f t="shared" si="2124"/>
        <v>-11.36648256459263</v>
      </c>
      <c r="FA441" s="76">
        <f t="shared" si="2124"/>
        <v>-12.167419550553966</v>
      </c>
      <c r="FB441" s="76">
        <f t="shared" si="2124"/>
        <v>-11.278855779413771</v>
      </c>
      <c r="FC441" s="85">
        <f>+SUM(EY441:FB441)</f>
        <v>-46.44525789456037</v>
      </c>
      <c r="FD441" s="76">
        <f t="shared" si="2116"/>
        <v>-45.208078473622933</v>
      </c>
      <c r="FE441" s="76">
        <f t="shared" si="2116"/>
        <v>-44.55434815225297</v>
      </c>
      <c r="FF441" s="76">
        <f t="shared" si="2116"/>
        <v>-45.35379694568153</v>
      </c>
      <c r="FG441" s="76">
        <f t="shared" si="2116"/>
        <v>-47.176338770392327</v>
      </c>
      <c r="FH441" s="76">
        <f t="shared" si="2116"/>
        <v>-49.825907106059717</v>
      </c>
      <c r="FI441" s="76">
        <f t="shared" si="2116"/>
        <v>-53.170278728355079</v>
      </c>
    </row>
    <row r="442" spans="1:165" x14ac:dyDescent="0.3">
      <c r="A442" s="64" t="s">
        <v>459</v>
      </c>
      <c r="DU442" s="1082">
        <f>DU305+DU138</f>
        <v>314.04959869888103</v>
      </c>
      <c r="DV442" s="1082">
        <f>DV305+DV138</f>
        <v>307.61497302449339</v>
      </c>
      <c r="DW442" s="1082">
        <f>DW305+DW138</f>
        <v>301.19484412768554</v>
      </c>
      <c r="DX442" s="1082">
        <f>DX305+DX138</f>
        <v>295.78958372070309</v>
      </c>
      <c r="DY442" s="803">
        <f>+DX442</f>
        <v>295.78958372070309</v>
      </c>
      <c r="DZ442" s="1082">
        <f>DZ305+DZ138</f>
        <v>288.39957304687499</v>
      </c>
      <c r="EA442" s="1082">
        <f>EA305+EA138</f>
        <v>282.02520312499996</v>
      </c>
      <c r="EB442" s="1082">
        <f>EB305+EB138</f>
        <v>276.666875</v>
      </c>
      <c r="EC442" s="1082">
        <f>EC305+EC138</f>
        <v>273.32500000000005</v>
      </c>
      <c r="ED442" s="803">
        <f>+EC442</f>
        <v>273.32500000000005</v>
      </c>
      <c r="EE442" s="1082">
        <f>EE305+EE138</f>
        <v>269</v>
      </c>
      <c r="EF442" s="1082">
        <f>EF305+EF138</f>
        <v>267</v>
      </c>
      <c r="EG442" s="1082">
        <f>EG305+EG138</f>
        <v>263</v>
      </c>
      <c r="EH442" s="1082">
        <f>EH305+EH138</f>
        <v>257</v>
      </c>
      <c r="EI442" s="803">
        <f>+EH442</f>
        <v>257</v>
      </c>
      <c r="EJ442" s="1082">
        <f>EJ305+EJ138</f>
        <v>257</v>
      </c>
      <c r="EK442" s="1082">
        <f>EK305+EK138</f>
        <v>256</v>
      </c>
      <c r="EL442" s="1082">
        <f>EL305+EL138</f>
        <v>253</v>
      </c>
      <c r="EM442" s="1082">
        <f>EM305+EM138</f>
        <v>250</v>
      </c>
      <c r="EN442" s="803">
        <f>+EM442</f>
        <v>250</v>
      </c>
      <c r="EO442" s="1082">
        <f>EO305+EO138</f>
        <v>248</v>
      </c>
      <c r="EP442" s="1082">
        <f>EP305+EP138</f>
        <v>248</v>
      </c>
      <c r="EQ442" s="1082">
        <f>EQ305+EQ138</f>
        <v>246</v>
      </c>
      <c r="ER442" s="1082">
        <f>ER305+ER138</f>
        <v>243</v>
      </c>
      <c r="ES442" s="803">
        <f>+ER442</f>
        <v>243</v>
      </c>
      <c r="ET442" s="1082">
        <f>ET305+ET138</f>
        <v>240</v>
      </c>
      <c r="EU442" s="1082">
        <f>EU305+EU138</f>
        <v>236</v>
      </c>
      <c r="EV442" s="1082">
        <f>EV305+EV138</f>
        <v>234</v>
      </c>
      <c r="EW442" s="1082">
        <f>EW305+EW138</f>
        <v>233</v>
      </c>
      <c r="EX442" s="803">
        <f>+EW442</f>
        <v>233</v>
      </c>
      <c r="EY442" s="1082">
        <f t="shared" ref="EY442:FB442" si="2125">EY305+EY138</f>
        <v>232.33438871053156</v>
      </c>
      <c r="EZ442" s="1082">
        <f t="shared" si="2125"/>
        <v>230.32131247523324</v>
      </c>
      <c r="FA442" s="1082">
        <f t="shared" si="2125"/>
        <v>230.78672173101026</v>
      </c>
      <c r="FB442" s="1082">
        <f t="shared" si="2125"/>
        <v>232.32007349361709</v>
      </c>
      <c r="FC442" s="803">
        <f>+FB442</f>
        <v>232.32007349361709</v>
      </c>
      <c r="FD442" s="1082">
        <f t="shared" ref="FD442:FI442" si="2126">FD305+FD138</f>
        <v>239.51737318372966</v>
      </c>
      <c r="FE442" s="1082">
        <f t="shared" si="2126"/>
        <v>252.66077577366212</v>
      </c>
      <c r="FF442" s="1082">
        <f t="shared" si="2126"/>
        <v>269.85801141161016</v>
      </c>
      <c r="FG442" s="1082">
        <f t="shared" si="2126"/>
        <v>290.5019464749048</v>
      </c>
      <c r="FH442" s="1082">
        <f t="shared" si="2126"/>
        <v>314.21718541985325</v>
      </c>
      <c r="FI442" s="1082">
        <f t="shared" si="2126"/>
        <v>340.79928638823117</v>
      </c>
    </row>
    <row r="443" spans="1:165" x14ac:dyDescent="0.3">
      <c r="A443" s="69" t="s">
        <v>339</v>
      </c>
      <c r="DU443" s="79"/>
      <c r="DZ443" s="83">
        <f t="shared" ref="DZ443:EW443" si="2127">+DZ442/DU442-1</f>
        <v>-8.1675078580819793E-2</v>
      </c>
      <c r="EA443" s="83">
        <f t="shared" si="2127"/>
        <v>-8.3187660366115801E-2</v>
      </c>
      <c r="EB443" s="83">
        <f t="shared" si="2127"/>
        <v>-8.1435554445571379E-2</v>
      </c>
      <c r="EC443" s="83">
        <f t="shared" si="2127"/>
        <v>-7.5947852652969217E-2</v>
      </c>
      <c r="ED443" s="91">
        <f t="shared" si="2127"/>
        <v>-7.5947852652969217E-2</v>
      </c>
      <c r="EE443" s="83">
        <f t="shared" si="2127"/>
        <v>-6.7266302934927968E-2</v>
      </c>
      <c r="EF443" s="83">
        <f t="shared" si="2127"/>
        <v>-5.3276100711965313E-2</v>
      </c>
      <c r="EG443" s="83">
        <f t="shared" si="2127"/>
        <v>-4.9398306175974294E-2</v>
      </c>
      <c r="EH443" s="83">
        <f t="shared" si="2127"/>
        <v>-5.972743071435116E-2</v>
      </c>
      <c r="EI443" s="91">
        <f t="shared" si="2127"/>
        <v>-5.972743071435116E-2</v>
      </c>
      <c r="EJ443" s="83">
        <f t="shared" si="2127"/>
        <v>-4.4609665427509326E-2</v>
      </c>
      <c r="EK443" s="83">
        <f t="shared" si="2127"/>
        <v>-4.1198501872659166E-2</v>
      </c>
      <c r="EL443" s="83">
        <f t="shared" si="2127"/>
        <v>-3.802281368821292E-2</v>
      </c>
      <c r="EM443" s="83">
        <f t="shared" si="2127"/>
        <v>-2.7237354085603127E-2</v>
      </c>
      <c r="EN443" s="91">
        <f>+EN442/EI442-1</f>
        <v>-2.7237354085603127E-2</v>
      </c>
      <c r="EO443" s="83">
        <f t="shared" si="2127"/>
        <v>-3.5019455252918275E-2</v>
      </c>
      <c r="EP443" s="83">
        <f t="shared" si="2127"/>
        <v>-3.125E-2</v>
      </c>
      <c r="EQ443" s="83">
        <f t="shared" si="2127"/>
        <v>-2.7667984189723271E-2</v>
      </c>
      <c r="ER443" s="83">
        <f t="shared" si="2127"/>
        <v>-2.8000000000000025E-2</v>
      </c>
      <c r="ES443" s="91">
        <f>+ES442/EN442-1</f>
        <v>-2.8000000000000025E-2</v>
      </c>
      <c r="ET443" s="83">
        <f t="shared" si="2127"/>
        <v>-3.2258064516129004E-2</v>
      </c>
      <c r="EU443" s="83">
        <f t="shared" si="2127"/>
        <v>-4.8387096774193505E-2</v>
      </c>
      <c r="EV443" s="83">
        <f t="shared" si="2127"/>
        <v>-4.8780487804878092E-2</v>
      </c>
      <c r="EW443" s="83">
        <f t="shared" si="2127"/>
        <v>-4.1152263374485631E-2</v>
      </c>
      <c r="EX443" s="91">
        <f>+EX442/ES442-1</f>
        <v>-4.1152263374485631E-2</v>
      </c>
      <c r="EY443" s="83">
        <f t="shared" ref="EY443" si="2128">+EY442/ET442-1</f>
        <v>-3.1940047039451858E-2</v>
      </c>
      <c r="EZ443" s="83">
        <f t="shared" ref="EZ443" si="2129">+EZ442/EU442-1</f>
        <v>-2.4062235274435406E-2</v>
      </c>
      <c r="FA443" s="83">
        <f t="shared" ref="FA443" si="2130">+FA442/EV442-1</f>
        <v>-1.3731958414486045E-2</v>
      </c>
      <c r="FB443" s="83">
        <f t="shared" ref="FB443" si="2131">+FB442/EW442-1</f>
        <v>-2.9181395123729637E-3</v>
      </c>
      <c r="FC443" s="91">
        <f>+FC442/EX442-1</f>
        <v>-2.9181395123729637E-3</v>
      </c>
      <c r="FD443" s="83">
        <f t="shared" ref="FD443:FI443" si="2132">+FD442/FC442-1</f>
        <v>3.098010250203509E-2</v>
      </c>
      <c r="FE443" s="83">
        <f t="shared" si="2132"/>
        <v>5.4874527117706684E-2</v>
      </c>
      <c r="FF443" s="83">
        <f t="shared" si="2132"/>
        <v>6.8064524797286419E-2</v>
      </c>
      <c r="FG443" s="83">
        <f t="shared" si="2132"/>
        <v>7.6499248457763125E-2</v>
      </c>
      <c r="FH443" s="83">
        <f t="shared" si="2132"/>
        <v>8.1635387413822702E-2</v>
      </c>
      <c r="FI443" s="83">
        <f t="shared" si="2132"/>
        <v>8.459785842986034E-2</v>
      </c>
    </row>
    <row r="444" spans="1:165" x14ac:dyDescent="0.3">
      <c r="A444" s="65" t="s">
        <v>340</v>
      </c>
      <c r="DU444" s="80">
        <f>Inputs!DU392</f>
        <v>-7</v>
      </c>
      <c r="DV444" s="77">
        <f>+DV442-DU442</f>
        <v>-6.4346256743876324</v>
      </c>
      <c r="DW444" s="77">
        <f>+DW442-DV442</f>
        <v>-6.4201288968078529</v>
      </c>
      <c r="DX444" s="77">
        <f>+DX442-DW442</f>
        <v>-5.4052604069824497</v>
      </c>
      <c r="DY444" s="86">
        <f>+SUM(DU444:DX444)</f>
        <v>-25.260014978177935</v>
      </c>
      <c r="DZ444" s="77">
        <f>+DZ442-DY442</f>
        <v>-7.3900106738281011</v>
      </c>
      <c r="EA444" s="77">
        <f>+EA442-DZ442</f>
        <v>-6.3743699218750294</v>
      </c>
      <c r="EB444" s="77">
        <f>+EB442-EA442</f>
        <v>-5.3583281249999573</v>
      </c>
      <c r="EC444" s="77">
        <f>+EC442-EB442</f>
        <v>-3.3418749999999591</v>
      </c>
      <c r="ED444" s="86">
        <f>+SUM(DZ444:EC444)</f>
        <v>-22.464583720703047</v>
      </c>
      <c r="EE444" s="77">
        <f>+EE442-ED442</f>
        <v>-4.3250000000000455</v>
      </c>
      <c r="EF444" s="77">
        <f>+EF442-EE442</f>
        <v>-2</v>
      </c>
      <c r="EG444" s="77">
        <f>+EG442-EF442</f>
        <v>-4</v>
      </c>
      <c r="EH444" s="77">
        <f>+EH442-EG442</f>
        <v>-6</v>
      </c>
      <c r="EI444" s="86">
        <f>+SUM(EE444:EH444)</f>
        <v>-16.325000000000045</v>
      </c>
      <c r="EJ444" s="77">
        <f>+EJ442-EI442</f>
        <v>0</v>
      </c>
      <c r="EK444" s="77">
        <f>+EK442-EJ442</f>
        <v>-1</v>
      </c>
      <c r="EL444" s="77">
        <f>+EL442-EK442</f>
        <v>-3</v>
      </c>
      <c r="EM444" s="77">
        <f>+EM442-EL442</f>
        <v>-3</v>
      </c>
      <c r="EN444" s="86">
        <f>+SUM(EJ444:EM444)</f>
        <v>-7</v>
      </c>
      <c r="EO444" s="77">
        <f>+EO442-EN442</f>
        <v>-2</v>
      </c>
      <c r="EP444" s="77">
        <f>+EP442-EO442</f>
        <v>0</v>
      </c>
      <c r="EQ444" s="77">
        <f>+EQ442-EP442</f>
        <v>-2</v>
      </c>
      <c r="ER444" s="77">
        <f>+ER442-EQ442</f>
        <v>-3</v>
      </c>
      <c r="ES444" s="86">
        <f>+SUM(EO444:ER444)</f>
        <v>-7</v>
      </c>
      <c r="ET444" s="77">
        <f>+ET442-ES442</f>
        <v>-3</v>
      </c>
      <c r="EU444" s="77">
        <f>+EU442-ET442</f>
        <v>-4</v>
      </c>
      <c r="EV444" s="77">
        <f>+EV442-EU442</f>
        <v>-2</v>
      </c>
      <c r="EW444" s="77">
        <f>+EW442-EV442</f>
        <v>-1</v>
      </c>
      <c r="EX444" s="86">
        <f>+SUM(ET444:EW444)</f>
        <v>-10</v>
      </c>
      <c r="EY444" s="77">
        <f t="shared" ref="EY444" si="2133">+EY442-EX442</f>
        <v>-0.66561128946844406</v>
      </c>
      <c r="EZ444" s="77">
        <f t="shared" ref="EZ444" si="2134">+EZ442-EY442</f>
        <v>-2.013076235298314</v>
      </c>
      <c r="FA444" s="77">
        <f t="shared" ref="FA444" si="2135">+FA442-EZ442</f>
        <v>0.46540925577701842</v>
      </c>
      <c r="FB444" s="77">
        <f t="shared" ref="FB444" si="2136">+FB442-FA442</f>
        <v>1.5333517626068272</v>
      </c>
      <c r="FC444" s="86">
        <f>+SUM(EY444:FB444)</f>
        <v>-0.67992650638291252</v>
      </c>
      <c r="FD444" s="77">
        <f t="shared" ref="FD444:FI444" si="2137">+FD442-FC442</f>
        <v>7.1972996901125725</v>
      </c>
      <c r="FE444" s="77">
        <f>+FE442-FD442</f>
        <v>13.143402589932464</v>
      </c>
      <c r="FF444" s="77">
        <f t="shared" si="2137"/>
        <v>17.19723563794804</v>
      </c>
      <c r="FG444" s="77">
        <f t="shared" si="2137"/>
        <v>20.643935063294634</v>
      </c>
      <c r="FH444" s="77">
        <f t="shared" si="2137"/>
        <v>23.715238944948453</v>
      </c>
      <c r="FI444" s="77">
        <f t="shared" si="2137"/>
        <v>26.582100968377915</v>
      </c>
    </row>
    <row r="445" spans="1:165" x14ac:dyDescent="0.3">
      <c r="A445" s="65" t="s">
        <v>341</v>
      </c>
      <c r="DU445" s="96"/>
      <c r="DV445" s="83">
        <f>+DV440/AVERAGE(DU99:DV99)</f>
        <v>9.755715472827372E-4</v>
      </c>
      <c r="DW445" s="83">
        <f>+DW440/AVERAGE(DV99:DW99)</f>
        <v>9.9130341491779545E-4</v>
      </c>
      <c r="DX445" s="83">
        <f>+DX440/AVERAGE(DW99:DX99)</f>
        <v>9.344927469134536E-4</v>
      </c>
      <c r="DY445" s="91">
        <f>+DY440/AVERAGE(DU99:DX99)</f>
        <v>3.8822287465804096E-3</v>
      </c>
      <c r="DZ445" s="83">
        <f t="shared" ref="DZ445:FI445" si="2138">+DZ440/AVERAGE(DY99:DZ99)</f>
        <v>7.9231382794485005E-4</v>
      </c>
      <c r="EA445" s="83">
        <f t="shared" si="2138"/>
        <v>6.7947141914576385E-4</v>
      </c>
      <c r="EB445" s="83">
        <f t="shared" si="2138"/>
        <v>6.9917797789884821E-4</v>
      </c>
      <c r="EC445" s="83">
        <f t="shared" si="2138"/>
        <v>6.8455328125000263E-4</v>
      </c>
      <c r="ED445" s="91">
        <f t="shared" si="2138"/>
        <v>2.8555165062394646E-3</v>
      </c>
      <c r="EE445" s="83">
        <f t="shared" si="2138"/>
        <v>5.5790148026315701E-4</v>
      </c>
      <c r="EF445" s="83">
        <f t="shared" si="2138"/>
        <v>6.5630819672131088E-4</v>
      </c>
      <c r="EG445" s="83">
        <f t="shared" si="2138"/>
        <v>5.0822875816993515E-4</v>
      </c>
      <c r="EH445" s="83">
        <f t="shared" si="2138"/>
        <v>3.7339215686274448E-4</v>
      </c>
      <c r="EI445" s="91">
        <f t="shared" si="2138"/>
        <v>2.0900393790849658E-3</v>
      </c>
      <c r="EJ445" s="83">
        <f t="shared" si="2138"/>
        <v>7.1356862745098086E-4</v>
      </c>
      <c r="EK445" s="83">
        <f t="shared" si="2138"/>
        <v>6.5862091503267935E-4</v>
      </c>
      <c r="EL445" s="83">
        <f t="shared" si="2138"/>
        <v>5.9262745098039124E-4</v>
      </c>
      <c r="EM445" s="83">
        <f t="shared" si="2138"/>
        <v>5.9204560260586443E-4</v>
      </c>
      <c r="EN445" s="91">
        <f t="shared" si="2138"/>
        <v>2.5421818181818184E-3</v>
      </c>
      <c r="EO445" s="83">
        <f t="shared" si="2138"/>
        <v>6.8577922077922126E-4</v>
      </c>
      <c r="EP445" s="83">
        <f t="shared" si="2138"/>
        <v>7.2451948051948062E-4</v>
      </c>
      <c r="EQ445" s="83">
        <f t="shared" si="2138"/>
        <v>5.7719480519480542E-4</v>
      </c>
      <c r="ER445" s="83">
        <f t="shared" si="2138"/>
        <v>4.9679220779220664E-4</v>
      </c>
      <c r="ES445" s="91">
        <f t="shared" si="2138"/>
        <v>2.484285714285714E-3</v>
      </c>
      <c r="ET445" s="83">
        <f t="shared" si="2138"/>
        <v>5.832857142857137E-4</v>
      </c>
      <c r="EU445" s="83">
        <f t="shared" si="2138"/>
        <v>4.9579220779220759E-4</v>
      </c>
      <c r="EV445" s="83">
        <f t="shared" si="2138"/>
        <v>6.6902597402597388E-4</v>
      </c>
      <c r="EW445" s="83">
        <f t="shared" si="2138"/>
        <v>6.7589644012944889E-4</v>
      </c>
      <c r="EX445" s="91">
        <f t="shared" si="2138"/>
        <v>2.4105419354838692E-3</v>
      </c>
      <c r="EY445" s="83">
        <f t="shared" ref="EY445" si="2139">+EY440/AVERAGE(EX99:EY99)</f>
        <v>7.0674896434039778E-4</v>
      </c>
      <c r="EZ445" s="83">
        <f t="shared" ref="EZ445" si="2140">+EZ440/AVERAGE(EY99:EZ99)</f>
        <v>6.0157389858291293E-4</v>
      </c>
      <c r="FA445" s="83">
        <f t="shared" ref="FA445" si="2141">+FA440/AVERAGE(EZ99:FA99)</f>
        <v>8.1108743923140238E-4</v>
      </c>
      <c r="FB445" s="83">
        <f t="shared" ref="FB445" si="2142">+FB440/AVERAGE(FA99:FB99)</f>
        <v>8.2137038428321742E-4</v>
      </c>
      <c r="FC445" s="91">
        <f t="shared" si="2138"/>
        <v>2.9320774826650507E-3</v>
      </c>
      <c r="FD445" s="83">
        <f t="shared" si="2138"/>
        <v>3.3457794834225586E-3</v>
      </c>
      <c r="FE445" s="83">
        <f t="shared" si="2138"/>
        <v>3.6580603582127224E-3</v>
      </c>
      <c r="FF445" s="83">
        <f t="shared" si="2138"/>
        <v>3.9381930073011323E-3</v>
      </c>
      <c r="FG445" s="83">
        <f t="shared" si="2138"/>
        <v>4.240260924798827E-3</v>
      </c>
      <c r="FH445" s="83">
        <f t="shared" si="2138"/>
        <v>4.5659795892590725E-3</v>
      </c>
      <c r="FI445" s="83">
        <f t="shared" si="2138"/>
        <v>4.9171986343372704E-3</v>
      </c>
    </row>
    <row r="446" spans="1:165" x14ac:dyDescent="0.3">
      <c r="A446" s="65" t="s">
        <v>342</v>
      </c>
      <c r="DU446" s="1235">
        <f>Inputs!DU422</f>
        <v>2.2800000000000001E-2</v>
      </c>
      <c r="DV446" s="1235">
        <f>Inputs!DV422</f>
        <v>2.2599999999999999E-2</v>
      </c>
      <c r="DW446" s="1235">
        <f>Inputs!DW422</f>
        <v>2.3300000000000001E-2</v>
      </c>
      <c r="DX446" s="1235">
        <f>Inputs!DX422</f>
        <v>2.1700000000000001E-2</v>
      </c>
      <c r="DY446" s="1236">
        <f>+DY441/AVERAGE(DU439:DX439)/-12</f>
        <v>2.2582008528624822E-2</v>
      </c>
      <c r="DZ446" s="1235">
        <f>Inputs!DZ422</f>
        <v>2.1899999999999999E-2</v>
      </c>
      <c r="EA446" s="1235">
        <f>Inputs!EA422</f>
        <v>1.9300000000000001E-2</v>
      </c>
      <c r="EB446" s="1235">
        <f>Inputs!EB422</f>
        <v>1.8800000000000001E-2</v>
      </c>
      <c r="EC446" s="1235">
        <f>Inputs!EC422</f>
        <v>1.6500000000000001E-2</v>
      </c>
      <c r="ED446" s="1236">
        <f>+ED441/AVERAGE(DZ439:EC439)/-12</f>
        <v>1.9211221780110303E-2</v>
      </c>
      <c r="EE446" s="1235">
        <f>Inputs!EE422</f>
        <v>1.5699999999999999E-2</v>
      </c>
      <c r="EF446" s="1235">
        <f>Inputs!EF422</f>
        <v>1.4999999999999999E-2</v>
      </c>
      <c r="EG446" s="1235">
        <f>Inputs!EG422</f>
        <v>1.4800000000000001E-2</v>
      </c>
      <c r="EH446" s="1235">
        <f>Inputs!EH422</f>
        <v>1.47E-2</v>
      </c>
      <c r="EI446" s="1236">
        <f>+EI441/AVERAGE(EE439:EH439)/-12</f>
        <v>1.501491385540764E-2</v>
      </c>
      <c r="EJ446" s="1235">
        <f>Inputs!EJ422</f>
        <v>1.44E-2</v>
      </c>
      <c r="EK446" s="1235">
        <f>Inputs!EK422</f>
        <v>1.4800000000000001E-2</v>
      </c>
      <c r="EL446" s="1235">
        <f>Inputs!EL422</f>
        <v>1.61E-2</v>
      </c>
      <c r="EM446" s="1235">
        <f>Inputs!EM422</f>
        <v>1.61E-2</v>
      </c>
      <c r="EN446" s="1236">
        <f>+EN441/AVERAGE(EJ439:EM439)/-12</f>
        <v>1.5037341153470189E-2</v>
      </c>
      <c r="EO446" s="1235">
        <f>Inputs!EO422</f>
        <v>1.72E-2</v>
      </c>
      <c r="EP446" s="1235">
        <f>Inputs!EP422</f>
        <v>1.5599999999999999E-2</v>
      </c>
      <c r="EQ446" s="1235">
        <f>Inputs!EQ422</f>
        <v>1.5299999999999999E-2</v>
      </c>
      <c r="ER446" s="1235">
        <f>Inputs!ER426</f>
        <v>1.44E-2</v>
      </c>
      <c r="ES446" s="1236">
        <f>+ES441/AVERAGE(EO439:ER439)/-12</f>
        <v>1.5207661290322578E-2</v>
      </c>
      <c r="ET446" s="1235">
        <f>Inputs!ET426</f>
        <v>1.6400000000000001E-2</v>
      </c>
      <c r="EU446" s="1235">
        <f>Inputs!EU426</f>
        <v>1.61E-2</v>
      </c>
      <c r="EV446" s="1235">
        <f>Inputs!EV426</f>
        <v>1.7299999999999999E-2</v>
      </c>
      <c r="EW446" s="1235">
        <f>Inputs!EW426</f>
        <v>1.6299999999999999E-2</v>
      </c>
      <c r="EX446" s="1236">
        <f>+EX441/AVERAGE(ET439:EW439)/-12</f>
        <v>1.6566421825813221E-2</v>
      </c>
      <c r="EY446" s="1247">
        <f t="shared" ref="EY446:FB446" si="2143">-EY441/EY439/3</f>
        <v>1.6641630901287553E-2</v>
      </c>
      <c r="EZ446" s="1247">
        <f t="shared" si="2143"/>
        <v>1.6307648396602304E-2</v>
      </c>
      <c r="FA446" s="1247">
        <f t="shared" si="2143"/>
        <v>1.7609340938813244E-2</v>
      </c>
      <c r="FB446" s="1247">
        <f t="shared" si="2143"/>
        <v>1.6290445849479532E-2</v>
      </c>
      <c r="FC446" s="1236">
        <f>+FC441/AVERAGE(EY439:FB439)/-12</f>
        <v>1.671097118240546E-2</v>
      </c>
      <c r="FD446" s="1247">
        <f t="shared" ref="FD446:FI446" si="2144">-FD441/FD439/12</f>
        <v>1.6216161677933601E-2</v>
      </c>
      <c r="FE446" s="1247">
        <f t="shared" si="2144"/>
        <v>1.5501432303923139E-2</v>
      </c>
      <c r="FF446" s="1247">
        <f t="shared" si="2144"/>
        <v>1.495872506222541E-2</v>
      </c>
      <c r="FG446" s="1247">
        <f t="shared" si="2144"/>
        <v>1.456825959560977E-2</v>
      </c>
      <c r="FH446" s="1247">
        <f t="shared" si="2144"/>
        <v>1.429305027346405E-2</v>
      </c>
      <c r="FI446" s="1247">
        <f t="shared" si="2144"/>
        <v>1.4101254693551529E-2</v>
      </c>
    </row>
    <row r="447" spans="1:165" x14ac:dyDescent="0.3">
      <c r="A447" s="65" t="s">
        <v>210</v>
      </c>
      <c r="DU447" s="75">
        <f t="shared" ref="DU447:FI447" si="2145">+DU442/DU99</f>
        <v>2.066115780913691E-2</v>
      </c>
      <c r="DV447" s="75">
        <f t="shared" si="2145"/>
        <v>2.0237827172664039E-2</v>
      </c>
      <c r="DW447" s="75">
        <f t="shared" si="2145"/>
        <v>1.981545027155826E-2</v>
      </c>
      <c r="DX447" s="75">
        <f t="shared" si="2145"/>
        <v>1.9459841034256783E-2</v>
      </c>
      <c r="DY447" s="84">
        <f t="shared" si="2145"/>
        <v>1.9459841034256783E-2</v>
      </c>
      <c r="DZ447" s="75">
        <f t="shared" si="2145"/>
        <v>1.8973656121504933E-2</v>
      </c>
      <c r="EA447" s="75">
        <f t="shared" si="2145"/>
        <v>1.8554289679276314E-2</v>
      </c>
      <c r="EB447" s="75">
        <f t="shared" si="2145"/>
        <v>1.8201768092105265E-2</v>
      </c>
      <c r="EC447" s="75">
        <f t="shared" si="2145"/>
        <v>1.7981907894736845E-2</v>
      </c>
      <c r="ED447" s="84">
        <f t="shared" si="2145"/>
        <v>1.7981907894736845E-2</v>
      </c>
      <c r="EE447" s="75">
        <f t="shared" si="2145"/>
        <v>1.7697368421052632E-2</v>
      </c>
      <c r="EF447" s="75">
        <f t="shared" si="2145"/>
        <v>1.7450980392156864E-2</v>
      </c>
      <c r="EG447" s="75">
        <f t="shared" si="2145"/>
        <v>1.7189542483660131E-2</v>
      </c>
      <c r="EH447" s="75">
        <f t="shared" si="2145"/>
        <v>1.6797385620915033E-2</v>
      </c>
      <c r="EI447" s="84">
        <f t="shared" si="2145"/>
        <v>1.6797385620915033E-2</v>
      </c>
      <c r="EJ447" s="75">
        <f t="shared" si="2145"/>
        <v>1.6797385620915033E-2</v>
      </c>
      <c r="EK447" s="75">
        <f t="shared" si="2145"/>
        <v>1.6732026143790851E-2</v>
      </c>
      <c r="EL447" s="75">
        <f t="shared" si="2145"/>
        <v>1.65359477124183E-2</v>
      </c>
      <c r="EM447" s="75">
        <f t="shared" si="2145"/>
        <v>1.6233766233766232E-2</v>
      </c>
      <c r="EN447" s="84">
        <f t="shared" si="2145"/>
        <v>1.6233766233766232E-2</v>
      </c>
      <c r="EO447" s="75">
        <f t="shared" si="2145"/>
        <v>1.6103896103896103E-2</v>
      </c>
      <c r="EP447" s="75">
        <f t="shared" si="2145"/>
        <v>1.6103896103896103E-2</v>
      </c>
      <c r="EQ447" s="75">
        <f t="shared" ref="EQ447:ER447" si="2146">+EQ442/EQ99</f>
        <v>1.5974025974025974E-2</v>
      </c>
      <c r="ER447" s="75">
        <f t="shared" si="2146"/>
        <v>1.5779220779220778E-2</v>
      </c>
      <c r="ES447" s="84">
        <f t="shared" si="2145"/>
        <v>1.5779220779220778E-2</v>
      </c>
      <c r="ET447" s="75">
        <f t="shared" ref="ET447:EU447" si="2147">+ET442/ET99</f>
        <v>1.5584415584415584E-2</v>
      </c>
      <c r="EU447" s="75">
        <f t="shared" si="2147"/>
        <v>1.5324675324675324E-2</v>
      </c>
      <c r="EV447" s="75">
        <f t="shared" ref="EV447:EW447" si="2148">+EV442/EV99</f>
        <v>1.5194805194805195E-2</v>
      </c>
      <c r="EW447" s="75">
        <f t="shared" si="2148"/>
        <v>1.5032258064516128E-2</v>
      </c>
      <c r="EX447" s="84">
        <f t="shared" ref="EX447" si="2149">+EX442/EX99</f>
        <v>1.5032258064516128E-2</v>
      </c>
      <c r="EY447" s="75">
        <f t="shared" ref="EY447:FC447" si="2150">+EY442/EY99</f>
        <v>1.4955785494490195E-2</v>
      </c>
      <c r="EZ447" s="75">
        <f t="shared" si="2150"/>
        <v>1.4800523880760667E-2</v>
      </c>
      <c r="FA447" s="75">
        <f t="shared" si="2150"/>
        <v>1.4804792059030784E-2</v>
      </c>
      <c r="FB447" s="75">
        <f t="shared" si="2150"/>
        <v>1.488420242134844E-2</v>
      </c>
      <c r="FC447" s="84">
        <f t="shared" si="2150"/>
        <v>1.488420242134844E-2</v>
      </c>
      <c r="FD447" s="75">
        <f t="shared" si="2145"/>
        <v>1.5238646015911473E-2</v>
      </c>
      <c r="FE447" s="75">
        <f t="shared" si="2145"/>
        <v>1.5963117686145726E-2</v>
      </c>
      <c r="FF447" s="75">
        <f t="shared" si="2145"/>
        <v>1.6931121852767024E-2</v>
      </c>
      <c r="FG447" s="75">
        <f t="shared" si="2145"/>
        <v>1.809964245288035E-2</v>
      </c>
      <c r="FH447" s="75">
        <f t="shared" si="2145"/>
        <v>1.9441125895305771E-2</v>
      </c>
      <c r="FI447" s="75">
        <f t="shared" si="2145"/>
        <v>2.0939228909149891E-2</v>
      </c>
    </row>
    <row r="448" spans="1:165" x14ac:dyDescent="0.3">
      <c r="A448" s="65"/>
      <c r="ET448" s="90"/>
      <c r="EU448" s="90"/>
      <c r="EV448" s="90"/>
      <c r="EW448" s="90"/>
      <c r="EY448" s="90"/>
      <c r="EZ448" s="90"/>
      <c r="FA448" s="90"/>
      <c r="FB448" s="90"/>
    </row>
    <row r="449" spans="1:177" ht="12.75" customHeight="1" x14ac:dyDescent="0.3">
      <c r="A449" s="105" t="s">
        <v>19</v>
      </c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  <c r="AE449" s="106"/>
      <c r="AF449" s="106"/>
      <c r="AG449" s="106"/>
      <c r="AH449" s="106"/>
      <c r="AI449" s="106"/>
      <c r="AJ449" s="106"/>
      <c r="AK449" s="106"/>
      <c r="AL449" s="106"/>
      <c r="AM449" s="106"/>
      <c r="AN449" s="106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5"/>
      <c r="BM449" s="105"/>
      <c r="BN449" s="105"/>
      <c r="BO449" s="105"/>
      <c r="BP449" s="105"/>
      <c r="BQ449" s="105"/>
      <c r="BR449" s="106"/>
      <c r="BS449" s="106"/>
      <c r="BT449" s="106"/>
      <c r="BU449" s="106"/>
      <c r="BV449" s="105"/>
      <c r="BW449" s="106"/>
      <c r="BX449" s="106"/>
      <c r="BY449" s="106"/>
      <c r="BZ449" s="106"/>
      <c r="CA449" s="105"/>
      <c r="CB449" s="106"/>
      <c r="CC449" s="106"/>
      <c r="CD449" s="106"/>
      <c r="CE449" s="106"/>
      <c r="CF449" s="105"/>
      <c r="CG449" s="106"/>
      <c r="CH449" s="106"/>
      <c r="CI449" s="106"/>
      <c r="CJ449" s="106"/>
      <c r="CK449" s="105"/>
      <c r="CL449" s="106"/>
      <c r="CM449" s="106"/>
      <c r="CN449" s="106"/>
      <c r="CO449" s="106"/>
      <c r="CP449" s="105"/>
      <c r="CQ449" s="106"/>
      <c r="CR449" s="106"/>
      <c r="CS449" s="106"/>
      <c r="CT449" s="106"/>
      <c r="CU449" s="106"/>
      <c r="CV449" s="106"/>
      <c r="CW449" s="106"/>
      <c r="CX449" s="106"/>
      <c r="CY449" s="106"/>
      <c r="CZ449" s="106"/>
      <c r="DA449" s="106"/>
      <c r="DB449" s="106"/>
      <c r="DC449" s="106"/>
      <c r="DD449" s="106"/>
      <c r="DE449" s="106"/>
      <c r="DF449" s="106"/>
      <c r="DG449" s="106"/>
      <c r="DH449" s="106"/>
      <c r="DI449" s="106"/>
      <c r="DJ449" s="106"/>
      <c r="DK449" s="106"/>
      <c r="DL449" s="106"/>
      <c r="DM449" s="106"/>
      <c r="DN449" s="106"/>
      <c r="DO449" s="106"/>
      <c r="DP449" s="106"/>
      <c r="DQ449" s="106"/>
      <c r="DR449" s="106"/>
      <c r="DS449" s="106"/>
      <c r="DT449" s="106"/>
      <c r="DU449" s="107"/>
      <c r="DV449" s="107"/>
      <c r="DW449" s="107"/>
      <c r="DX449" s="107"/>
      <c r="DY449" s="1205"/>
      <c r="DZ449" s="107"/>
      <c r="EA449" s="107"/>
      <c r="EB449" s="107"/>
      <c r="EC449" s="107"/>
      <c r="ED449" s="1205"/>
      <c r="EE449" s="107"/>
      <c r="EF449" s="107"/>
      <c r="EG449" s="107"/>
      <c r="EH449" s="107"/>
      <c r="EI449" s="1205"/>
      <c r="EJ449" s="107"/>
      <c r="EK449" s="107"/>
      <c r="EL449" s="107"/>
      <c r="EM449" s="107"/>
      <c r="EN449" s="105"/>
      <c r="EO449" s="105"/>
      <c r="EP449" s="105"/>
      <c r="EQ449" s="105"/>
      <c r="ER449" s="105"/>
      <c r="ES449" s="106"/>
      <c r="ET449" s="105"/>
      <c r="EU449" s="105"/>
      <c r="EV449" s="105"/>
      <c r="EW449" s="105"/>
      <c r="EX449" s="106"/>
      <c r="EY449" s="105"/>
      <c r="EZ449" s="105"/>
      <c r="FA449" s="105"/>
      <c r="FB449" s="105"/>
      <c r="FC449" s="106"/>
      <c r="FD449" s="106"/>
      <c r="FE449" s="106"/>
      <c r="FF449" s="106"/>
      <c r="FG449" s="106"/>
      <c r="FH449" s="106"/>
      <c r="FI449" s="106"/>
      <c r="FJ449" s="106"/>
      <c r="FK449" s="106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</row>
    <row r="450" spans="1:177" x14ac:dyDescent="0.3">
      <c r="A450" s="55" t="s">
        <v>357</v>
      </c>
      <c r="ET450" s="90"/>
      <c r="EU450" s="90"/>
      <c r="EV450" s="90"/>
      <c r="EW450" s="90"/>
      <c r="EY450" s="90"/>
      <c r="EZ450" s="90"/>
      <c r="FA450" s="90"/>
      <c r="FB450" s="90"/>
    </row>
    <row r="451" spans="1:177" x14ac:dyDescent="0.3">
      <c r="A451" s="56" t="s">
        <v>460</v>
      </c>
      <c r="DU451" s="76">
        <f>AVERAGE(DU394,DU397)</f>
        <v>2789</v>
      </c>
      <c r="DV451" s="76">
        <f>AVERAGE(DV394,DV397)</f>
        <v>2750</v>
      </c>
      <c r="DW451" s="76">
        <f>AVERAGE(DW394,DW397)</f>
        <v>2700</v>
      </c>
      <c r="DX451" s="76">
        <f>AVERAGE(DX394,DX397)</f>
        <v>2661.5</v>
      </c>
      <c r="DY451" s="85">
        <f>AVERAGE(DU451:DX451)</f>
        <v>2725.125</v>
      </c>
      <c r="DZ451" s="76">
        <f>AVERAGE(DZ394,DZ397)</f>
        <v>2640.5</v>
      </c>
      <c r="EA451" s="76">
        <f>AVERAGE(EA394,EA397)</f>
        <v>2629</v>
      </c>
      <c r="EB451" s="76">
        <f>AVERAGE(EB394,EB397)</f>
        <v>2617</v>
      </c>
      <c r="EC451" s="76">
        <f>AVERAGE(EC394,EC397)</f>
        <v>2598.5</v>
      </c>
      <c r="ED451" s="85">
        <f>AVERAGE(DZ451:EC451)</f>
        <v>2621.25</v>
      </c>
      <c r="EE451" s="76">
        <f>AVERAGE(EE394,EE397)</f>
        <v>2582.5</v>
      </c>
      <c r="EF451" s="76">
        <f>AVERAGE(EF394,EF397)</f>
        <v>2569</v>
      </c>
      <c r="EG451" s="76">
        <f>AVERAGE(EG394,EG397)</f>
        <v>2558</v>
      </c>
      <c r="EH451" s="76">
        <f>AVERAGE(EH394,EH397)</f>
        <v>2563</v>
      </c>
      <c r="EI451" s="85">
        <f>AVERAGE(EE451:EH451)</f>
        <v>2568.125</v>
      </c>
      <c r="EJ451" s="76">
        <f>AVERAGE(EJ394,EJ397)</f>
        <v>2581</v>
      </c>
      <c r="EK451" s="76">
        <f>AVERAGE(EK394,EK397)</f>
        <v>2596.5</v>
      </c>
      <c r="EL451" s="76">
        <f>AVERAGE(EL394,EL397)</f>
        <v>2604</v>
      </c>
      <c r="EM451" s="76">
        <f>AVERAGE(EM394,EM397)</f>
        <v>2612.5</v>
      </c>
      <c r="EN451" s="85">
        <f>AVERAGE(EJ451:EM451)</f>
        <v>2598.5</v>
      </c>
      <c r="EO451" s="76">
        <f>AVERAGE(EO394,EO397)</f>
        <v>2632</v>
      </c>
      <c r="EP451" s="76">
        <f>AVERAGE(EP394,EP397)</f>
        <v>2648</v>
      </c>
      <c r="EQ451" s="76">
        <f>AVERAGE(EQ394,EQ397)</f>
        <v>2658.5</v>
      </c>
      <c r="ER451" s="76">
        <f>AVERAGE(ER394,ER397)</f>
        <v>2683.5</v>
      </c>
      <c r="ES451" s="85">
        <f>AVERAGE(EO451:ER451)</f>
        <v>2655.5</v>
      </c>
      <c r="ET451" s="76">
        <f>AVERAGE(ET394,ET397)</f>
        <v>2717</v>
      </c>
      <c r="EU451" s="76">
        <f>AVERAGE(EU394,EU397)</f>
        <v>2754</v>
      </c>
      <c r="EV451" s="76">
        <f>AVERAGE(EV394,EV397)</f>
        <v>2798.5</v>
      </c>
      <c r="EW451" s="76">
        <f>AVERAGE(EW394,EW397)</f>
        <v>2842</v>
      </c>
      <c r="EX451" s="85">
        <f>AVERAGE(ET451:EW451)</f>
        <v>2777.875</v>
      </c>
      <c r="EY451" s="76">
        <f t="shared" ref="EY451:FB451" si="2151">AVERAGE(EY394,EY397)</f>
        <v>2893.5849983447979</v>
      </c>
      <c r="EZ451" s="76">
        <f t="shared" si="2151"/>
        <v>2958.9292198328358</v>
      </c>
      <c r="FA451" s="76">
        <f t="shared" si="2151"/>
        <v>3027.5825986387758</v>
      </c>
      <c r="FB451" s="76">
        <f t="shared" si="2151"/>
        <v>3102.280140064971</v>
      </c>
      <c r="FC451" s="85">
        <f>AVERAGE(EY451:FB451)</f>
        <v>2995.5942392203451</v>
      </c>
      <c r="FD451" s="76">
        <f t="shared" ref="FD451:FI451" si="2152">AVERAGE(FD394,FD397)</f>
        <v>3312.6420257449281</v>
      </c>
      <c r="FE451" s="76">
        <f t="shared" si="2152"/>
        <v>3646.6470409515496</v>
      </c>
      <c r="FF451" s="76">
        <f t="shared" si="2152"/>
        <v>3931.6263127007251</v>
      </c>
      <c r="FG451" s="76">
        <f t="shared" si="2152"/>
        <v>4148.383711725879</v>
      </c>
      <c r="FH451" s="76">
        <f t="shared" si="2152"/>
        <v>4308.9921933908499</v>
      </c>
      <c r="FI451" s="76">
        <f t="shared" si="2152"/>
        <v>4415.8776271275201</v>
      </c>
    </row>
    <row r="452" spans="1:177" x14ac:dyDescent="0.3">
      <c r="A452" s="56" t="s">
        <v>461</v>
      </c>
      <c r="DZ452" s="76">
        <f>AVERAGE(DZ405,DZ408)</f>
        <v>594</v>
      </c>
      <c r="EA452" s="76">
        <f>AVERAGE(EA405,EA408)</f>
        <v>559.5</v>
      </c>
      <c r="EB452" s="76">
        <f>AVERAGE(EB405,EB408)</f>
        <v>522</v>
      </c>
      <c r="EC452" s="76">
        <f>AVERAGE(EC405,EC408)</f>
        <v>485</v>
      </c>
      <c r="ED452" s="85">
        <f>AVERAGE(DZ452:EC452)</f>
        <v>540.125</v>
      </c>
      <c r="EE452" s="76">
        <f>AVERAGE(EE405,EE408)</f>
        <v>453</v>
      </c>
      <c r="EF452" s="76">
        <f>AVERAGE(EF405,EF408)</f>
        <v>423</v>
      </c>
      <c r="EG452" s="76">
        <f>AVERAGE(EG405,EG408)</f>
        <v>397.5</v>
      </c>
      <c r="EH452" s="76">
        <f>AVERAGE(EH405,EH408)</f>
        <v>377</v>
      </c>
      <c r="EI452" s="85">
        <f>AVERAGE(EE452:EH452)</f>
        <v>412.625</v>
      </c>
      <c r="EJ452" s="76">
        <f>AVERAGE(EJ405,EJ408)</f>
        <v>359.5</v>
      </c>
      <c r="EK452" s="76">
        <f>AVERAGE(EK405,EK408)</f>
        <v>341</v>
      </c>
      <c r="EL452" s="76">
        <f>AVERAGE(EL405,EL408)</f>
        <v>320.5</v>
      </c>
      <c r="EM452" s="76">
        <f>AVERAGE(EM405,EM408)</f>
        <v>302</v>
      </c>
      <c r="EN452" s="85">
        <f>AVERAGE(EJ452:EM452)</f>
        <v>330.75</v>
      </c>
      <c r="EO452" s="76">
        <f>AVERAGE(EO405,EO408)</f>
        <v>285</v>
      </c>
      <c r="EP452" s="76">
        <f>AVERAGE(EP405,EP408)</f>
        <v>265.5</v>
      </c>
      <c r="EQ452" s="76">
        <f>AVERAGE(EQ405,EQ408)</f>
        <v>245.5</v>
      </c>
      <c r="ER452" s="76">
        <f>AVERAGE(ER405,ER408)</f>
        <v>229</v>
      </c>
      <c r="ES452" s="85">
        <f>AVERAGE(EO452:ER452)</f>
        <v>256.25</v>
      </c>
      <c r="ET452" s="76">
        <f>AVERAGE(ET405,ET408)</f>
        <v>214.5</v>
      </c>
      <c r="EU452" s="76">
        <f>AVERAGE(EU405,EU408)</f>
        <v>200</v>
      </c>
      <c r="EV452" s="76">
        <f>AVERAGE(EV405,EV408)</f>
        <v>186</v>
      </c>
      <c r="EW452" s="76">
        <f>AVERAGE(EW405,EW408)</f>
        <v>173</v>
      </c>
      <c r="EX452" s="85">
        <f>AVERAGE(ET452:EW452)</f>
        <v>193.375</v>
      </c>
      <c r="EY452" s="76">
        <f t="shared" ref="EY452:FB452" si="2153">AVERAGE(EY405,EY408)</f>
        <v>162.39901477832512</v>
      </c>
      <c r="EZ452" s="76">
        <f t="shared" si="2153"/>
        <v>152.14897231187362</v>
      </c>
      <c r="FA452" s="76">
        <f t="shared" si="2153"/>
        <v>140.94106242275498</v>
      </c>
      <c r="FB452" s="76">
        <f t="shared" si="2153"/>
        <v>130.66959262705649</v>
      </c>
      <c r="FC452" s="85">
        <f>AVERAGE(EY452:FB452)</f>
        <v>146.53966053500255</v>
      </c>
      <c r="FD452" s="76">
        <f t="shared" ref="FD452:FI452" si="2154">AVERAGE(FD405,FD408)</f>
        <v>109.11431916950744</v>
      </c>
      <c r="FE452" s="76">
        <f t="shared" si="2154"/>
        <v>80.191264376490494</v>
      </c>
      <c r="FF452" s="76">
        <f t="shared" si="2154"/>
        <v>59.311551953596322</v>
      </c>
      <c r="FG452" s="76">
        <f t="shared" si="2154"/>
        <v>44.039993341836023</v>
      </c>
      <c r="FH452" s="76">
        <f t="shared" si="2154"/>
        <v>32.77825874508968</v>
      </c>
      <c r="FI452" s="76">
        <f t="shared" si="2154"/>
        <v>24.431369738696468</v>
      </c>
    </row>
    <row r="453" spans="1:177" x14ac:dyDescent="0.3">
      <c r="A453" s="56" t="s">
        <v>462</v>
      </c>
      <c r="DZ453" s="76">
        <f>DZ316</f>
        <v>740</v>
      </c>
      <c r="EA453" s="76">
        <f>EA316</f>
        <v>729</v>
      </c>
      <c r="EB453" s="76">
        <f>EB316</f>
        <v>707</v>
      </c>
      <c r="EC453" s="76">
        <f>EC316</f>
        <v>686.5</v>
      </c>
      <c r="ED453" s="85">
        <f>AVERAGE(DZ453:EC453)</f>
        <v>715.625</v>
      </c>
      <c r="EE453" s="76">
        <f>EE316</f>
        <v>667</v>
      </c>
      <c r="EF453" s="76">
        <f>EF316</f>
        <v>646.5</v>
      </c>
      <c r="EG453" s="76">
        <f>EG316</f>
        <v>626.5</v>
      </c>
      <c r="EH453" s="76">
        <f>EH316</f>
        <v>606</v>
      </c>
      <c r="EI453" s="85">
        <f>AVERAGE(EE453:EH453)</f>
        <v>636.5</v>
      </c>
      <c r="EJ453" s="76">
        <f>EJ316</f>
        <v>586</v>
      </c>
      <c r="EK453" s="76">
        <f>EK316</f>
        <v>567.5</v>
      </c>
      <c r="EL453" s="76">
        <f>EL316</f>
        <v>546.5</v>
      </c>
      <c r="EM453" s="76">
        <f>EM316</f>
        <v>525</v>
      </c>
      <c r="EN453" s="85">
        <f>AVERAGE(EJ453:EM453)</f>
        <v>556.25</v>
      </c>
      <c r="EO453" s="76">
        <f>EO316</f>
        <v>504.5</v>
      </c>
      <c r="EP453" s="76">
        <f>EP316</f>
        <v>485.5</v>
      </c>
      <c r="EQ453" s="76">
        <f>EQ316</f>
        <v>464</v>
      </c>
      <c r="ER453" s="76">
        <f>ER316</f>
        <v>440</v>
      </c>
      <c r="ES453" s="85">
        <f>AVERAGE(EO453:ER453)</f>
        <v>473.5</v>
      </c>
      <c r="ET453" s="76">
        <f>ET316</f>
        <v>417.5</v>
      </c>
      <c r="EU453" s="76">
        <f>EU316</f>
        <v>393</v>
      </c>
      <c r="EV453" s="76">
        <f>EV316</f>
        <v>366.5</v>
      </c>
      <c r="EW453" s="76">
        <f>EW316</f>
        <v>342.5</v>
      </c>
      <c r="EX453" s="85">
        <f>AVERAGE(ET453:EW453)</f>
        <v>379.875</v>
      </c>
      <c r="EY453" s="76">
        <f t="shared" ref="EY453:FB453" si="2155">EY316</f>
        <v>321.80440945119483</v>
      </c>
      <c r="EZ453" s="76">
        <f t="shared" si="2155"/>
        <v>300.15471840298073</v>
      </c>
      <c r="FA453" s="76">
        <f t="shared" si="2155"/>
        <v>277.06813282925373</v>
      </c>
      <c r="FB453" s="76">
        <f t="shared" si="2155"/>
        <v>256.2921701347185</v>
      </c>
      <c r="FC453" s="85">
        <f>AVERAGE(EY453:FB453)</f>
        <v>288.82985770453695</v>
      </c>
      <c r="FD453" s="76">
        <f t="shared" ref="FD453:FI453" si="2156">FD316</f>
        <v>216.15766691560077</v>
      </c>
      <c r="FE453" s="76">
        <f t="shared" si="2156"/>
        <v>178.44288120545266</v>
      </c>
      <c r="FF453" s="76">
        <f t="shared" si="2156"/>
        <v>170.02648682555628</v>
      </c>
      <c r="FG453" s="76">
        <f t="shared" si="2156"/>
        <v>166.34387226287424</v>
      </c>
      <c r="FH453" s="76">
        <f t="shared" si="2156"/>
        <v>162.42965240551052</v>
      </c>
      <c r="FI453" s="76">
        <f t="shared" si="2156"/>
        <v>158.62117321283688</v>
      </c>
    </row>
    <row r="454" spans="1:177" x14ac:dyDescent="0.3">
      <c r="A454" s="56" t="s">
        <v>24</v>
      </c>
      <c r="DZ454" s="76">
        <f>AVERAGE(DZ439,DZ442)</f>
        <v>292.09457838378904</v>
      </c>
      <c r="EA454" s="76">
        <f>AVERAGE(EA439,EA442)</f>
        <v>285.2123880859375</v>
      </c>
      <c r="EB454" s="76">
        <f>AVERAGE(EB439,EB442)</f>
        <v>279.34603906249998</v>
      </c>
      <c r="EC454" s="76">
        <f>AVERAGE(EC439,EC442)</f>
        <v>274.99593750000003</v>
      </c>
      <c r="ED454" s="85">
        <f>AVERAGE(DZ454:EC454)</f>
        <v>282.91223575805668</v>
      </c>
      <c r="EE454" s="76">
        <f>AVERAGE(EE439,EE442)</f>
        <v>271.16250000000002</v>
      </c>
      <c r="EF454" s="76">
        <f>AVERAGE(EF439,EF442)</f>
        <v>268</v>
      </c>
      <c r="EG454" s="76">
        <f>AVERAGE(EG439,EG442)</f>
        <v>265</v>
      </c>
      <c r="EH454" s="76">
        <f>AVERAGE(EH439,EH442)</f>
        <v>260</v>
      </c>
      <c r="EI454" s="85">
        <f>AVERAGE(EE454:EH454)</f>
        <v>266.04062499999998</v>
      </c>
      <c r="EJ454" s="76">
        <f>AVERAGE(EJ439,EJ442)</f>
        <v>257</v>
      </c>
      <c r="EK454" s="76">
        <f>AVERAGE(EK439,EK442)</f>
        <v>256.5</v>
      </c>
      <c r="EL454" s="76">
        <f>AVERAGE(EL439,EL442)</f>
        <v>254.5</v>
      </c>
      <c r="EM454" s="76">
        <f>AVERAGE(EM439,EM442)</f>
        <v>251.5</v>
      </c>
      <c r="EN454" s="85">
        <f>AVERAGE(EJ454:EM454)</f>
        <v>254.875</v>
      </c>
      <c r="EO454" s="76">
        <f>AVERAGE(EO439,EO442)</f>
        <v>249</v>
      </c>
      <c r="EP454" s="76">
        <f>AVERAGE(EP439,EP442)</f>
        <v>248</v>
      </c>
      <c r="EQ454" s="76">
        <f>AVERAGE(EQ439,EQ442)</f>
        <v>247</v>
      </c>
      <c r="ER454" s="76">
        <f>AVERAGE(ER439,ER442)</f>
        <v>244.5</v>
      </c>
      <c r="ES454" s="85">
        <f>AVERAGE(EO454:ER454)</f>
        <v>247.125</v>
      </c>
      <c r="ET454" s="76">
        <f>AVERAGE(ET439,ET442)</f>
        <v>241.5</v>
      </c>
      <c r="EU454" s="76">
        <f>AVERAGE(EU439,EU442)</f>
        <v>238</v>
      </c>
      <c r="EV454" s="76">
        <f>AVERAGE(EV439,EV442)</f>
        <v>235</v>
      </c>
      <c r="EW454" s="76">
        <f>AVERAGE(EW439,EW442)</f>
        <v>233.5</v>
      </c>
      <c r="EX454" s="85">
        <f>AVERAGE(ET454:EW454)</f>
        <v>237</v>
      </c>
      <c r="EY454" s="76">
        <f t="shared" ref="EY454:FB454" si="2157">AVERAGE(EY439,EY442)</f>
        <v>232.66719435526579</v>
      </c>
      <c r="EZ454" s="76">
        <f t="shared" si="2157"/>
        <v>231.32785059288238</v>
      </c>
      <c r="FA454" s="76">
        <f t="shared" si="2157"/>
        <v>230.55401710312174</v>
      </c>
      <c r="FB454" s="76">
        <f t="shared" si="2157"/>
        <v>231.55339761231369</v>
      </c>
      <c r="FC454" s="85">
        <f>AVERAGE(EY454:FB454)</f>
        <v>231.52561491589589</v>
      </c>
      <c r="FD454" s="76">
        <f t="shared" ref="FD454:FI454" si="2158">AVERAGE(FD439,FD442)</f>
        <v>235.91872333867337</v>
      </c>
      <c r="FE454" s="76">
        <f t="shared" si="2158"/>
        <v>246.08907447869589</v>
      </c>
      <c r="FF454" s="76">
        <f t="shared" si="2158"/>
        <v>261.25939359263612</v>
      </c>
      <c r="FG454" s="76">
        <f t="shared" si="2158"/>
        <v>280.17997894325748</v>
      </c>
      <c r="FH454" s="76">
        <f t="shared" si="2158"/>
        <v>302.359565947379</v>
      </c>
      <c r="FI454" s="76">
        <f t="shared" si="2158"/>
        <v>327.50823590404218</v>
      </c>
    </row>
    <row r="455" spans="1:177" x14ac:dyDescent="0.3">
      <c r="A455" s="56" t="s">
        <v>463</v>
      </c>
      <c r="DZ455" s="76">
        <f>DZ451+DZ453+DZ454</f>
        <v>3672.5945783837892</v>
      </c>
      <c r="EA455" s="76">
        <f>EA451+EA453+EA454</f>
        <v>3643.2123880859376</v>
      </c>
      <c r="EB455" s="76">
        <f>EB451+EB453+EB454</f>
        <v>3603.3460390625</v>
      </c>
      <c r="EC455" s="76">
        <f>EC451+EC453+EC454</f>
        <v>3559.9959374999999</v>
      </c>
      <c r="ED455" s="85">
        <f>AVERAGE(DZ455:EC455)</f>
        <v>3619.7872357580568</v>
      </c>
      <c r="EE455" s="76">
        <f>EE451+EE453+EE454</f>
        <v>3520.6624999999999</v>
      </c>
      <c r="EF455" s="76">
        <f>EF451+EF453+EF454</f>
        <v>3483.5</v>
      </c>
      <c r="EG455" s="76">
        <f>EG451+EG453+EG454</f>
        <v>3449.5</v>
      </c>
      <c r="EH455" s="76">
        <f>EH451+EH453+EH454</f>
        <v>3429</v>
      </c>
      <c r="EI455" s="85">
        <f>AVERAGE(EE455:EH455)</f>
        <v>3470.6656250000001</v>
      </c>
      <c r="EJ455" s="76">
        <f>EJ451+EJ453+EJ454</f>
        <v>3424</v>
      </c>
      <c r="EK455" s="76">
        <f>EK451+EK453+EK454</f>
        <v>3420.5</v>
      </c>
      <c r="EL455" s="76">
        <f>EL451+EL453+EL454</f>
        <v>3405</v>
      </c>
      <c r="EM455" s="76">
        <f>EM451+EM453+EM454</f>
        <v>3389</v>
      </c>
      <c r="EN455" s="85">
        <f>AVERAGE(EJ455:EM455)</f>
        <v>3409.625</v>
      </c>
      <c r="EO455" s="76">
        <f>EO451+EO453+EO454</f>
        <v>3385.5</v>
      </c>
      <c r="EP455" s="76">
        <f>EP451+EP453+EP454</f>
        <v>3381.5</v>
      </c>
      <c r="EQ455" s="76">
        <f>EQ451+EQ453+EQ454</f>
        <v>3369.5</v>
      </c>
      <c r="ER455" s="76">
        <f>ER451+ER453+ER454</f>
        <v>3368</v>
      </c>
      <c r="ES455" s="85">
        <f>AVERAGE(EO455:ER455)</f>
        <v>3376.125</v>
      </c>
      <c r="ET455" s="76">
        <f>ET451+ET453+ET454</f>
        <v>3376</v>
      </c>
      <c r="EU455" s="76">
        <f>EU451+EU453+EU454</f>
        <v>3385</v>
      </c>
      <c r="EV455" s="76">
        <f>EV451+EV453+EV454</f>
        <v>3400</v>
      </c>
      <c r="EW455" s="76">
        <f>EW451+EW453+EW454</f>
        <v>3418</v>
      </c>
      <c r="EX455" s="85">
        <f>AVERAGE(ET455:EW455)</f>
        <v>3394.75</v>
      </c>
      <c r="EY455" s="76">
        <f t="shared" ref="EY455:FB455" si="2159">EY451+EY453+EY454</f>
        <v>3448.0566021512586</v>
      </c>
      <c r="EZ455" s="76">
        <f t="shared" si="2159"/>
        <v>3490.4117888286987</v>
      </c>
      <c r="FA455" s="76">
        <f t="shared" si="2159"/>
        <v>3535.204748571151</v>
      </c>
      <c r="FB455" s="76">
        <f t="shared" si="2159"/>
        <v>3590.1257078120034</v>
      </c>
      <c r="FC455" s="85">
        <f>AVERAGE(EY455:FB455)</f>
        <v>3515.949711840778</v>
      </c>
      <c r="FD455" s="76">
        <f t="shared" ref="FD455:FI455" si="2160">FD451+FD453+FD454</f>
        <v>3764.7184159992021</v>
      </c>
      <c r="FE455" s="76">
        <f t="shared" si="2160"/>
        <v>4071.1789966356978</v>
      </c>
      <c r="FF455" s="76">
        <f t="shared" si="2160"/>
        <v>4362.9121931189175</v>
      </c>
      <c r="FG455" s="76">
        <f t="shared" si="2160"/>
        <v>4594.9075629320105</v>
      </c>
      <c r="FH455" s="76">
        <f t="shared" si="2160"/>
        <v>4773.7814117437392</v>
      </c>
      <c r="FI455" s="76">
        <f t="shared" si="2160"/>
        <v>4902.0070362443994</v>
      </c>
    </row>
    <row r="456" spans="1:177" x14ac:dyDescent="0.3">
      <c r="A456" s="55"/>
      <c r="EO456"/>
      <c r="EP456"/>
      <c r="EQ456"/>
      <c r="ER456"/>
      <c r="ES456" s="90"/>
      <c r="EX456" s="90"/>
      <c r="FC456" s="90"/>
    </row>
    <row r="457" spans="1:177" hidden="1" x14ac:dyDescent="0.3">
      <c r="A457" s="60" t="s">
        <v>464</v>
      </c>
      <c r="DU457" s="102">
        <f>+DU619/DU599/3*1000</f>
        <v>47.424903191107923</v>
      </c>
      <c r="DV457" s="102">
        <f>+DV619/DV599/3*1000</f>
        <v>47.389687272727272</v>
      </c>
      <c r="DW457" s="102">
        <f>+DW619/DW599/3*1000</f>
        <v>47.698007407407403</v>
      </c>
      <c r="DX457" s="102">
        <f>+DX619/DX599/3*1000</f>
        <v>48.075451812887465</v>
      </c>
      <c r="DY457" s="102">
        <f>+DY619/DY599/12*1000</f>
        <v>47.642505389661018</v>
      </c>
      <c r="DZ457" s="102">
        <f>+DZ619/DZ599/3*1000</f>
        <v>48.321558416966482</v>
      </c>
      <c r="EA457" s="102">
        <f>+EA619/EA599/3*1000</f>
        <v>48.880479269684301</v>
      </c>
      <c r="EB457" s="102">
        <f>+EB619/EB599/3*1000</f>
        <v>49.3838899503248</v>
      </c>
      <c r="EC457" s="102">
        <f>+EC619/EC599/3*1000</f>
        <v>50.732064652684244</v>
      </c>
      <c r="ED457" s="102">
        <f>+ED619/ED599/12*1000</f>
        <v>49.324250357653789</v>
      </c>
      <c r="EE457" s="102">
        <f>+EE619/EE599/3*1000</f>
        <v>51.663204259438523</v>
      </c>
      <c r="EF457" s="102">
        <f>+EF619/EF599/3*1000</f>
        <v>53.754106656286488</v>
      </c>
      <c r="EG457" s="102">
        <f>+EG619/EG599/3*1000</f>
        <v>54.384497654417515</v>
      </c>
      <c r="EH457" s="102">
        <f>+EH619/EH599/3*1000</f>
        <v>53.984046039797121</v>
      </c>
      <c r="EI457" s="102">
        <f>+EI619/EI599/12*1000</f>
        <v>53.442801654903867</v>
      </c>
      <c r="EJ457" s="102">
        <f>+EJ619/EJ599/3*1000</f>
        <v>54.363765982177455</v>
      </c>
      <c r="EK457" s="102">
        <f>+EK619/EK599/3*1000</f>
        <v>56.567608318890812</v>
      </c>
      <c r="EL457" s="102">
        <f>+EL619/EL599/3*1000</f>
        <v>57.169354838709673</v>
      </c>
      <c r="EM457" s="102">
        <f>+EM619/EM599/3*1000</f>
        <v>56.061244019138762</v>
      </c>
      <c r="EN457" s="102">
        <f t="shared" ref="EN457:FI457" si="2161">+EN619/EN599/12*1000</f>
        <v>56.043840196267077</v>
      </c>
      <c r="EO457" s="102" t="e">
        <f>+EO619/EO599/3*1000</f>
        <v>#DIV/0!</v>
      </c>
      <c r="EP457" s="102" t="e">
        <f>+EP619/EP599/3*1000</f>
        <v>#DIV/0!</v>
      </c>
      <c r="EQ457" s="102" t="e">
        <f>+EQ619/EQ599/3*1000</f>
        <v>#DIV/0!</v>
      </c>
      <c r="ER457" s="102" t="e">
        <f>+ER619/ER599/3*1000</f>
        <v>#DIV/0!</v>
      </c>
      <c r="ES457" s="102">
        <f t="shared" ref="ES457" si="2162">+ES619/ES599/12*1000</f>
        <v>59.478231458714646</v>
      </c>
      <c r="ET457" s="102" t="e">
        <f>+ET619/ET599/3*1000</f>
        <v>#DIV/0!</v>
      </c>
      <c r="EU457" s="102" t="e">
        <f>+EU619/EU599/3*1000</f>
        <v>#DIV/0!</v>
      </c>
      <c r="EV457" s="102" t="e">
        <f>+EV619/EV599/3*1000</f>
        <v>#DIV/0!</v>
      </c>
      <c r="EW457" s="102" t="e">
        <f>+EW619/EW599/3*1000</f>
        <v>#DIV/0!</v>
      </c>
      <c r="EX457" s="102">
        <f t="shared" ref="EX457" si="2163">+EX619/EX599/12*1000</f>
        <v>63.645563512036468</v>
      </c>
      <c r="EY457" s="102" t="e">
        <f t="shared" ref="EY457:FB457" si="2164">+EY619/EY599/3*1000</f>
        <v>#DIV/0!</v>
      </c>
      <c r="EZ457" s="102" t="e">
        <f t="shared" si="2164"/>
        <v>#DIV/0!</v>
      </c>
      <c r="FA457" s="102" t="e">
        <f t="shared" si="2164"/>
        <v>#DIV/0!</v>
      </c>
      <c r="FB457" s="102" t="e">
        <f t="shared" si="2164"/>
        <v>#DIV/0!</v>
      </c>
      <c r="FC457" s="102">
        <f t="shared" ref="FC457" si="2165">+FC619/FC599/12*1000</f>
        <v>66.811920865831382</v>
      </c>
      <c r="FD457" s="102">
        <f t="shared" si="2161"/>
        <v>69.754627741694733</v>
      </c>
      <c r="FE457" s="102">
        <f t="shared" si="2161"/>
        <v>72.381242553765475</v>
      </c>
      <c r="FF457" s="102">
        <f t="shared" si="2161"/>
        <v>75.012737492616154</v>
      </c>
      <c r="FG457" s="102">
        <f t="shared" si="2161"/>
        <v>77.691570984740878</v>
      </c>
      <c r="FH457" s="102">
        <f t="shared" si="2161"/>
        <v>80.441150467977124</v>
      </c>
      <c r="FI457" s="102">
        <f t="shared" si="2161"/>
        <v>83.274662714057172</v>
      </c>
      <c r="FJ457" s="189">
        <f>+(FF457/ES457)^0.2-1</f>
        <v>4.7503285071542223E-2</v>
      </c>
    </row>
    <row r="458" spans="1:177" hidden="1" x14ac:dyDescent="0.3">
      <c r="A458" s="70" t="s">
        <v>363</v>
      </c>
      <c r="DZ458" s="75">
        <f t="shared" ref="DZ458:EW458" si="2166">+DZ457/DU457-1</f>
        <v>1.8906843567931153E-2</v>
      </c>
      <c r="EA458" s="75">
        <f t="shared" si="2166"/>
        <v>3.1458152242650028E-2</v>
      </c>
      <c r="EB458" s="75">
        <f t="shared" si="2166"/>
        <v>3.5344926015831613E-2</v>
      </c>
      <c r="EC458" s="75">
        <f t="shared" si="2166"/>
        <v>5.5259238127110644E-2</v>
      </c>
      <c r="ED458" s="84">
        <f t="shared" si="2166"/>
        <v>3.529925544926793E-2</v>
      </c>
      <c r="EE458" s="75">
        <f t="shared" si="2166"/>
        <v>6.9154347499246427E-2</v>
      </c>
      <c r="EF458" s="75">
        <f t="shared" si="2166"/>
        <v>9.9704983654381074E-2</v>
      </c>
      <c r="EG458" s="75">
        <f t="shared" si="2166"/>
        <v>0.10125989890879028</v>
      </c>
      <c r="EH458" s="75">
        <f t="shared" si="2166"/>
        <v>6.4101104683521148E-2</v>
      </c>
      <c r="EI458" s="84">
        <f t="shared" si="2166"/>
        <v>8.34995213791625E-2</v>
      </c>
      <c r="EJ458" s="75">
        <f t="shared" si="2166"/>
        <v>5.2272439571836138E-2</v>
      </c>
      <c r="EK458" s="75">
        <f t="shared" si="2166"/>
        <v>5.2340218033839925E-2</v>
      </c>
      <c r="EL458" s="75">
        <f t="shared" si="2166"/>
        <v>5.1206820038834255E-2</v>
      </c>
      <c r="EM458" s="75">
        <f t="shared" si="2166"/>
        <v>3.8477997329253943E-2</v>
      </c>
      <c r="EN458" s="84">
        <f>+EN457/EI457-1</f>
        <v>4.8669576833918482E-2</v>
      </c>
      <c r="EO458" s="75" t="e">
        <f t="shared" si="2166"/>
        <v>#DIV/0!</v>
      </c>
      <c r="EP458" s="75" t="e">
        <f t="shared" si="2166"/>
        <v>#DIV/0!</v>
      </c>
      <c r="EQ458" s="75" t="e">
        <f t="shared" si="2166"/>
        <v>#DIV/0!</v>
      </c>
      <c r="ER458" s="75" t="e">
        <f t="shared" si="2166"/>
        <v>#DIV/0!</v>
      </c>
      <c r="ES458" s="84">
        <f>+ES457/EN457-1</f>
        <v>6.1280441354843562E-2</v>
      </c>
      <c r="ET458" s="75" t="e">
        <f t="shared" si="2166"/>
        <v>#DIV/0!</v>
      </c>
      <c r="EU458" s="75" t="e">
        <f t="shared" si="2166"/>
        <v>#DIV/0!</v>
      </c>
      <c r="EV458" s="75" t="e">
        <f t="shared" si="2166"/>
        <v>#DIV/0!</v>
      </c>
      <c r="EW458" s="75" t="e">
        <f t="shared" si="2166"/>
        <v>#DIV/0!</v>
      </c>
      <c r="EX458" s="84">
        <f>+EX457/ES457-1</f>
        <v>7.00648279398568E-2</v>
      </c>
      <c r="EY458" s="75" t="e">
        <f t="shared" ref="EY458" si="2167">+EY457/ET457-1</f>
        <v>#DIV/0!</v>
      </c>
      <c r="EZ458" s="75" t="e">
        <f t="shared" ref="EZ458" si="2168">+EZ457/EU457-1</f>
        <v>#DIV/0!</v>
      </c>
      <c r="FA458" s="75" t="e">
        <f t="shared" ref="FA458" si="2169">+FA457/EV457-1</f>
        <v>#DIV/0!</v>
      </c>
      <c r="FB458" s="75" t="e">
        <f t="shared" ref="FB458" si="2170">+FB457/EW457-1</f>
        <v>#DIV/0!</v>
      </c>
      <c r="FC458" s="84">
        <f>+FC457/EX457-1</f>
        <v>4.9749851821110802E-2</v>
      </c>
      <c r="FD458" s="75">
        <f t="shared" ref="FD458:FI458" si="2171">+FD457/FC457-1</f>
        <v>4.4044638108411194E-2</v>
      </c>
      <c r="FE458" s="75">
        <f t="shared" si="2171"/>
        <v>3.765506170855426E-2</v>
      </c>
      <c r="FF458" s="75">
        <f t="shared" si="2171"/>
        <v>3.6356034326102904E-2</v>
      </c>
      <c r="FG458" s="75">
        <f t="shared" si="2171"/>
        <v>3.5711714858938537E-2</v>
      </c>
      <c r="FH458" s="75">
        <f t="shared" si="2171"/>
        <v>3.5390962602317222E-2</v>
      </c>
      <c r="FI458" s="75">
        <f t="shared" si="2171"/>
        <v>3.5224660880602832E-2</v>
      </c>
    </row>
    <row r="459" spans="1:177" hidden="1" x14ac:dyDescent="0.3">
      <c r="EO459"/>
      <c r="EP459"/>
      <c r="EQ459"/>
      <c r="ER459"/>
      <c r="ES459" s="90"/>
      <c r="EX459" s="90"/>
      <c r="FC459" s="90"/>
    </row>
    <row r="460" spans="1:177" x14ac:dyDescent="0.3">
      <c r="A460" s="90" t="s">
        <v>284</v>
      </c>
      <c r="EG460" s="816"/>
      <c r="EH460" s="816"/>
      <c r="EJ460" s="816"/>
      <c r="EK460" s="816"/>
      <c r="EL460" s="816"/>
      <c r="EM460" s="816"/>
      <c r="EO460" s="816"/>
      <c r="EP460" s="816"/>
      <c r="EQ460" s="816"/>
      <c r="ER460" s="816"/>
      <c r="ES460" s="90"/>
      <c r="ET460" s="816"/>
      <c r="EU460" s="816"/>
      <c r="EV460" s="816"/>
      <c r="EW460" s="816"/>
      <c r="EX460" s="90"/>
      <c r="FC460" s="90"/>
    </row>
    <row r="461" spans="1:177" x14ac:dyDescent="0.3">
      <c r="A461" t="s">
        <v>20</v>
      </c>
      <c r="DZ461" s="885">
        <f t="shared" ref="DZ461:EC463" si="2172">DZ199+DZ337</f>
        <v>382.779225</v>
      </c>
      <c r="EA461" s="885">
        <f t="shared" si="2172"/>
        <v>385.52034000000003</v>
      </c>
      <c r="EB461" s="885">
        <f t="shared" si="2172"/>
        <v>387.71291999999994</v>
      </c>
      <c r="EC461" s="885">
        <f t="shared" si="2172"/>
        <v>395.48181</v>
      </c>
      <c r="ED461" s="1079">
        <f>+SUM(DZ461:EC461)</f>
        <v>1551.494295</v>
      </c>
      <c r="EE461" s="885">
        <f t="shared" ref="EE461:EG463" si="2173">EE199+EE337</f>
        <v>400.26067499999999</v>
      </c>
      <c r="EF461" s="885">
        <f t="shared" si="2173"/>
        <v>414.28289999999993</v>
      </c>
      <c r="EG461" s="885">
        <f t="shared" si="2173"/>
        <v>417.34663499999999</v>
      </c>
      <c r="EH461" s="885">
        <f t="shared" ref="EH461:EJ461" si="2174">EH199+EH337</f>
        <v>415.08333000000005</v>
      </c>
      <c r="EI461" s="1079">
        <f>+SUM(EE461:EH461)</f>
        <v>1646.97354</v>
      </c>
      <c r="EJ461" s="885">
        <f t="shared" si="2174"/>
        <v>420.93863999999996</v>
      </c>
      <c r="EK461" s="885">
        <f t="shared" ref="EK461" si="2175">EK199+EK337</f>
        <v>440.63338499999998</v>
      </c>
      <c r="EL461" s="885">
        <f t="shared" ref="EL461:EM461" si="2176">EL199+EL337</f>
        <v>446.60699999999997</v>
      </c>
      <c r="EM461" s="885">
        <f t="shared" si="2176"/>
        <v>439.38000000000005</v>
      </c>
      <c r="EN461" s="1079">
        <f>+SUM(EJ461:EM461)</f>
        <v>1747.559025</v>
      </c>
      <c r="EO461" s="885">
        <f t="shared" ref="EO461:EP461" si="2177">EO199+EO337</f>
        <v>446.88504</v>
      </c>
      <c r="EP461" s="885">
        <f t="shared" si="2177"/>
        <v>469.19583</v>
      </c>
      <c r="EQ461" s="885">
        <f t="shared" ref="EQ461:ER461" si="2178">EQ199+EQ337</f>
        <v>487.72060499999998</v>
      </c>
      <c r="ER461" s="885">
        <f t="shared" si="2178"/>
        <v>491.29236000000003</v>
      </c>
      <c r="ES461" s="1079">
        <f>+SUM(EO461:ER461)</f>
        <v>1895.0938350000001</v>
      </c>
      <c r="ET461" s="885">
        <f t="shared" ref="ET461:EU461" si="2179">ET199+ET337</f>
        <v>509.72889000000009</v>
      </c>
      <c r="EU461" s="885">
        <f t="shared" si="2179"/>
        <v>523.87356</v>
      </c>
      <c r="EV461" s="885">
        <f t="shared" ref="EV461:EW461" si="2180">EV199+EV337</f>
        <v>536.08338000000003</v>
      </c>
      <c r="EW461" s="885">
        <f t="shared" si="2180"/>
        <v>555.14585999999997</v>
      </c>
      <c r="EX461" s="1079">
        <f>+SUM(ET461:EW461)</f>
        <v>2124.83169</v>
      </c>
      <c r="EY461" s="885">
        <f t="shared" ref="EY461:FB463" si="2181">EY199+EY337</f>
        <v>573.0048442503263</v>
      </c>
      <c r="EZ461" s="885">
        <f t="shared" si="2181"/>
        <v>591.88795296323497</v>
      </c>
      <c r="FA461" s="885">
        <f t="shared" si="2181"/>
        <v>608.55430303556091</v>
      </c>
      <c r="FB461" s="885">
        <f t="shared" si="2181"/>
        <v>633.429159832099</v>
      </c>
      <c r="FC461" s="1079">
        <f>+SUM(EY461:FB461)</f>
        <v>2406.8762600812211</v>
      </c>
      <c r="FD461" s="885">
        <f t="shared" ref="FD461:FI461" si="2182">FD199+FD337</f>
        <v>2772.8653361679717</v>
      </c>
      <c r="FE461" s="885">
        <f t="shared" si="2182"/>
        <v>3167.3861277490228</v>
      </c>
      <c r="FF461" s="885">
        <f t="shared" si="2182"/>
        <v>3539.0646301641827</v>
      </c>
      <c r="FG461" s="885">
        <f t="shared" si="2182"/>
        <v>3867.5333713379277</v>
      </c>
      <c r="FH461" s="885">
        <f t="shared" si="2182"/>
        <v>4159.4434727267053</v>
      </c>
      <c r="FI461" s="885">
        <f t="shared" si="2182"/>
        <v>4412.7686398271444</v>
      </c>
    </row>
    <row r="462" spans="1:177" x14ac:dyDescent="0.3">
      <c r="A462" t="s">
        <v>21</v>
      </c>
      <c r="DZ462" s="885">
        <f t="shared" si="2172"/>
        <v>189.15551999999997</v>
      </c>
      <c r="EA462" s="885">
        <f t="shared" si="2172"/>
        <v>176.92068</v>
      </c>
      <c r="EB462" s="885">
        <f t="shared" si="2172"/>
        <v>166.32964499999997</v>
      </c>
      <c r="EC462" s="885">
        <f t="shared" si="2172"/>
        <v>157.26242999999999</v>
      </c>
      <c r="ED462" s="1079">
        <f>+SUM(DZ462:EC462)</f>
        <v>689.66827499999999</v>
      </c>
      <c r="EE462" s="885">
        <f t="shared" si="2173"/>
        <v>150.88261499999999</v>
      </c>
      <c r="EF462" s="885">
        <f t="shared" si="2173"/>
        <v>145.75359</v>
      </c>
      <c r="EG462" s="885">
        <f t="shared" si="2173"/>
        <v>138.31398000000002</v>
      </c>
      <c r="EH462" s="885">
        <f t="shared" ref="EH462:EJ462" si="2183">EH200+EH338</f>
        <v>132.15633</v>
      </c>
      <c r="EI462" s="1079">
        <f>+SUM(EE462:EH462)</f>
        <v>567.10651500000006</v>
      </c>
      <c r="EJ462" s="885">
        <f t="shared" si="2183"/>
        <v>127.35054</v>
      </c>
      <c r="EK462" s="885">
        <f t="shared" ref="EK462" si="2184">EK200+EK338</f>
        <v>124.74431999999999</v>
      </c>
      <c r="EL462" s="885">
        <f t="shared" ref="EL462:EM462" si="2185">EL200+EL338</f>
        <v>117.460725</v>
      </c>
      <c r="EM462" s="885">
        <f t="shared" si="2185"/>
        <v>111.01582500000001</v>
      </c>
      <c r="EN462" s="1079">
        <f>+SUM(EJ462:EM462)</f>
        <v>480.57140999999996</v>
      </c>
      <c r="EO462" s="885">
        <f t="shared" ref="EO462:EP462" si="2186">EO200+EO338</f>
        <v>109.645965</v>
      </c>
      <c r="EP462" s="885">
        <f t="shared" si="2186"/>
        <v>104.77818000000001</v>
      </c>
      <c r="EQ462" s="885">
        <f t="shared" ref="EQ462:ER462" si="2187">EQ200+EQ338</f>
        <v>97.200809999999976</v>
      </c>
      <c r="ER462" s="885">
        <f t="shared" si="2187"/>
        <v>90.525750000000002</v>
      </c>
      <c r="ES462" s="1079">
        <f>+SUM(EO462:ER462)</f>
        <v>402.15070500000002</v>
      </c>
      <c r="ET462" s="885">
        <f t="shared" ref="ET462:EU462" si="2188">ET200+ET338</f>
        <v>87.156630000000007</v>
      </c>
      <c r="EU462" s="885">
        <f t="shared" si="2188"/>
        <v>81.821685000000016</v>
      </c>
      <c r="EV462" s="885">
        <f t="shared" ref="EV462:EW462" si="2189">EV200+EV338</f>
        <v>75.824954999999989</v>
      </c>
      <c r="EW462" s="885">
        <f t="shared" si="2189"/>
        <v>70.973970000000008</v>
      </c>
      <c r="EX462" s="1079">
        <f>+SUM(ET462:EW462)</f>
        <v>315.77724000000001</v>
      </c>
      <c r="EY462" s="885">
        <f t="shared" si="2181"/>
        <v>69.286284693252256</v>
      </c>
      <c r="EZ462" s="885">
        <f t="shared" si="2181"/>
        <v>65.438057461979</v>
      </c>
      <c r="FA462" s="885">
        <f t="shared" si="2181"/>
        <v>60.559804514637456</v>
      </c>
      <c r="FB462" s="885">
        <f t="shared" si="2181"/>
        <v>56.629027759771041</v>
      </c>
      <c r="FC462" s="1079">
        <f>+SUM(EY462:FB462)</f>
        <v>251.91317442963975</v>
      </c>
      <c r="FD462" s="885">
        <f t="shared" ref="FD462:FI462" si="2190">FD200+FD338</f>
        <v>197.83887563582894</v>
      </c>
      <c r="FE462" s="885">
        <f t="shared" si="2190"/>
        <v>153.52288510876116</v>
      </c>
      <c r="FF462" s="885">
        <f t="shared" si="2190"/>
        <v>119.81610263529966</v>
      </c>
      <c r="FG462" s="885">
        <f t="shared" si="2190"/>
        <v>93.821133882064245</v>
      </c>
      <c r="FH462" s="885">
        <f t="shared" si="2190"/>
        <v>73.607167119789324</v>
      </c>
      <c r="FI462" s="885">
        <f t="shared" si="2190"/>
        <v>57.812180423491618</v>
      </c>
    </row>
    <row r="463" spans="1:177" x14ac:dyDescent="0.3">
      <c r="A463" t="s">
        <v>22</v>
      </c>
      <c r="DZ463" s="901">
        <f t="shared" si="2172"/>
        <v>308.06525500000009</v>
      </c>
      <c r="EA463" s="901">
        <f t="shared" si="2172"/>
        <v>296.55897999999991</v>
      </c>
      <c r="EB463" s="901">
        <f t="shared" si="2172"/>
        <v>284.95743500000003</v>
      </c>
      <c r="EC463" s="901">
        <f t="shared" si="2172"/>
        <v>285.25576000000001</v>
      </c>
      <c r="ED463" s="1111">
        <f>+SUM(DZ463:EC463)</f>
        <v>1174.83743</v>
      </c>
      <c r="EE463" s="901">
        <f t="shared" si="2173"/>
        <v>268.85670999999996</v>
      </c>
      <c r="EF463" s="901">
        <f t="shared" si="2173"/>
        <v>255.96351000000004</v>
      </c>
      <c r="EG463" s="901">
        <f t="shared" si="2173"/>
        <v>244.33938499999999</v>
      </c>
      <c r="EH463" s="901">
        <f t="shared" ref="EH463:EJ463" si="2191">EH201+EH339</f>
        <v>234.76033999999999</v>
      </c>
      <c r="EI463" s="1111">
        <f>+SUM(EE463:EH463)</f>
        <v>1003.9199450000001</v>
      </c>
      <c r="EJ463" s="901">
        <f t="shared" si="2191"/>
        <v>227.71082000000001</v>
      </c>
      <c r="EK463" s="901">
        <f t="shared" ref="EK463" si="2192">EK201+EK339</f>
        <v>225.62229500000001</v>
      </c>
      <c r="EL463" s="901">
        <f t="shared" ref="EL463:EM463" si="2193">EL201+EL339</f>
        <v>220.93227500000006</v>
      </c>
      <c r="EM463" s="901">
        <f t="shared" si="2193"/>
        <v>213.60417499999994</v>
      </c>
      <c r="EN463" s="1111">
        <f>+SUM(EJ463:EM463)</f>
        <v>887.86956499999997</v>
      </c>
      <c r="EO463" s="901">
        <f t="shared" ref="EO463:EP463" si="2194">EO201+EO339</f>
        <v>204.46899500000001</v>
      </c>
      <c r="EP463" s="901">
        <f t="shared" si="2194"/>
        <v>201.02598999999998</v>
      </c>
      <c r="EQ463" s="901">
        <f t="shared" ref="EQ463:ER463" si="2195">EQ201+EQ339</f>
        <v>202.07858500000003</v>
      </c>
      <c r="ER463" s="901">
        <f t="shared" si="2195"/>
        <v>192.18188999999995</v>
      </c>
      <c r="ES463" s="1111">
        <f>+SUM(EO463:ER463)</f>
        <v>799.75545999999997</v>
      </c>
      <c r="ET463" s="901">
        <f t="shared" ref="ET463:EU463" si="2196">ET201+ET339</f>
        <v>190.11447999999993</v>
      </c>
      <c r="EU463" s="901">
        <f t="shared" si="2196"/>
        <v>183.30475499999997</v>
      </c>
      <c r="EV463" s="901">
        <f t="shared" ref="EV463:EW463" si="2197">EV201+EV339</f>
        <v>177.09166500000003</v>
      </c>
      <c r="EW463" s="901">
        <f t="shared" si="2197"/>
        <v>171.88016999999996</v>
      </c>
      <c r="EX463" s="1111">
        <f>+SUM(ET463:EW463)</f>
        <v>722.3910699999999</v>
      </c>
      <c r="EY463" s="901">
        <f t="shared" si="2181"/>
        <v>156.53652380998432</v>
      </c>
      <c r="EZ463" s="901">
        <f t="shared" si="2181"/>
        <v>151.63959991793706</v>
      </c>
      <c r="FA463" s="901">
        <f t="shared" si="2181"/>
        <v>145.98626044039904</v>
      </c>
      <c r="FB463" s="901">
        <f t="shared" si="2181"/>
        <v>141.58336044436004</v>
      </c>
      <c r="FC463" s="1111">
        <f>+SUM(EY463:FB463)</f>
        <v>595.74574461268048</v>
      </c>
      <c r="FD463" s="901">
        <f t="shared" ref="FD463:FI463" si="2198">FD201+FD339</f>
        <v>493.85802786410704</v>
      </c>
      <c r="FE463" s="901">
        <f t="shared" si="2198"/>
        <v>426.81580998570007</v>
      </c>
      <c r="FF463" s="901">
        <f t="shared" si="2198"/>
        <v>390.39520210774793</v>
      </c>
      <c r="FG463" s="901">
        <f t="shared" si="2198"/>
        <v>367.63014655101699</v>
      </c>
      <c r="FH463" s="901">
        <f t="shared" si="2198"/>
        <v>352.47554230184409</v>
      </c>
      <c r="FI463" s="901">
        <f t="shared" si="2198"/>
        <v>342.55501206700882</v>
      </c>
    </row>
    <row r="464" spans="1:177" s="90" customFormat="1" x14ac:dyDescent="0.3">
      <c r="A464" s="90" t="s">
        <v>23</v>
      </c>
      <c r="DZ464" s="1151">
        <f>SUM(DZ461:DZ463)</f>
        <v>880.00000000000011</v>
      </c>
      <c r="EA464" s="1151">
        <f>SUM(EA461:EA463)</f>
        <v>858.99999999999989</v>
      </c>
      <c r="EB464" s="1151">
        <f>SUM(EB461:EB463)</f>
        <v>839</v>
      </c>
      <c r="EC464" s="1151">
        <f>SUM(EC461:EC463)</f>
        <v>838</v>
      </c>
      <c r="ED464" s="1079">
        <f>SUM(DZ464:EC464)</f>
        <v>3416</v>
      </c>
      <c r="EE464" s="1151">
        <f>SUM(EE461:EE463)</f>
        <v>820</v>
      </c>
      <c r="EF464" s="1151">
        <f>SUM(EF461:EF463)</f>
        <v>816</v>
      </c>
      <c r="EG464" s="1151">
        <f>SUM(EG461:EG463)</f>
        <v>800</v>
      </c>
      <c r="EH464" s="1151">
        <f>SUM(EH461:EH463)</f>
        <v>782</v>
      </c>
      <c r="EI464" s="1079">
        <f>SUM(EE464:EH464)</f>
        <v>3218</v>
      </c>
      <c r="EJ464" s="1151">
        <f>SUM(EJ461:EJ463)</f>
        <v>776</v>
      </c>
      <c r="EK464" s="1151">
        <f>SUM(EK461:EK463)</f>
        <v>791</v>
      </c>
      <c r="EL464" s="1151">
        <f>SUM(EL461:EL463)</f>
        <v>785</v>
      </c>
      <c r="EM464" s="1151">
        <f>SUM(EM461:EM463)</f>
        <v>764</v>
      </c>
      <c r="EN464" s="1079">
        <f>SUM(EJ464:EM464)</f>
        <v>3116</v>
      </c>
      <c r="EO464" s="1151">
        <f>SUM(EO461:EO463)</f>
        <v>761</v>
      </c>
      <c r="EP464" s="1151">
        <f>SUM(EP461:EP463)</f>
        <v>775</v>
      </c>
      <c r="EQ464" s="1151">
        <f>SUM(EQ461:EQ463)</f>
        <v>787</v>
      </c>
      <c r="ER464" s="1151">
        <f>SUM(ER461:ER463)</f>
        <v>774</v>
      </c>
      <c r="ES464" s="1079">
        <f>SUM(EO464:ER464)</f>
        <v>3097</v>
      </c>
      <c r="ET464" s="1151">
        <f>SUM(ET461:ET463)</f>
        <v>787</v>
      </c>
      <c r="EU464" s="1151">
        <f>SUM(EU461:EU463)</f>
        <v>789</v>
      </c>
      <c r="EV464" s="1151">
        <f>SUM(EV461:EV463)</f>
        <v>789.00000000000011</v>
      </c>
      <c r="EW464" s="1151">
        <f>SUM(EW461:EW463)</f>
        <v>798</v>
      </c>
      <c r="EX464" s="1079">
        <f>SUM(ET464:EW464)</f>
        <v>3163</v>
      </c>
      <c r="EY464" s="1151">
        <f t="shared" ref="EY464:FB464" si="2199">SUM(EY461:EY463)</f>
        <v>798.82765275356292</v>
      </c>
      <c r="EZ464" s="1151">
        <f t="shared" si="2199"/>
        <v>808.96561034315107</v>
      </c>
      <c r="FA464" s="1151">
        <f t="shared" si="2199"/>
        <v>815.10036799059742</v>
      </c>
      <c r="FB464" s="1151">
        <f t="shared" si="2199"/>
        <v>831.64154803623001</v>
      </c>
      <c r="FC464" s="1079">
        <f>SUM(EY464:FB464)</f>
        <v>3254.5351791235416</v>
      </c>
      <c r="FD464" s="1151">
        <f t="shared" ref="FD464:FI464" si="2200">SUM(FD461:FD463)</f>
        <v>3464.5622396679078</v>
      </c>
      <c r="FE464" s="1151">
        <f t="shared" si="2200"/>
        <v>3747.7248228434842</v>
      </c>
      <c r="FF464" s="1151">
        <f t="shared" si="2200"/>
        <v>4049.2759349072303</v>
      </c>
      <c r="FG464" s="1151">
        <f t="shared" si="2200"/>
        <v>4328.9846517710093</v>
      </c>
      <c r="FH464" s="1151">
        <f t="shared" si="2200"/>
        <v>4585.5261821483391</v>
      </c>
      <c r="FI464" s="1151">
        <f t="shared" si="2200"/>
        <v>4813.1358323176446</v>
      </c>
    </row>
    <row r="465" spans="1:167" x14ac:dyDescent="0.3">
      <c r="A465" t="s">
        <v>24</v>
      </c>
      <c r="DZ465" s="919">
        <f t="shared" ref="DZ465:EC466" si="2201">DZ203+DZ341</f>
        <v>67.46624570499273</v>
      </c>
      <c r="EA465" s="919">
        <f t="shared" si="2201"/>
        <v>65.75035108013671</v>
      </c>
      <c r="EB465" s="919">
        <f t="shared" si="2201"/>
        <v>64.888547649374999</v>
      </c>
      <c r="EC465" s="919">
        <f t="shared" si="2201"/>
        <v>65.004899062500002</v>
      </c>
      <c r="ED465" s="1151">
        <f>SUM(DZ465:EC465)</f>
        <v>263.11004349700443</v>
      </c>
      <c r="EE465" s="919">
        <f t="shared" ref="EE465:EG466" si="2202">EE203+EE341</f>
        <v>61.672804499999998</v>
      </c>
      <c r="EF465" s="919">
        <f t="shared" si="2202"/>
        <v>61.207440000000005</v>
      </c>
      <c r="EG465" s="919">
        <f t="shared" si="2202"/>
        <v>60.125250000000001</v>
      </c>
      <c r="EH465" s="919">
        <f t="shared" ref="EH465:EJ465" si="2203">EH203+EH341</f>
        <v>59.386109999999988</v>
      </c>
      <c r="EI465" s="1151">
        <f>SUM(EE465:EH465)</f>
        <v>242.39160449999997</v>
      </c>
      <c r="EJ465" s="919">
        <f t="shared" si="2203"/>
        <v>59.439525000000003</v>
      </c>
      <c r="EK465" s="919">
        <f t="shared" ref="EK465" si="2204">EK203+EK341</f>
        <v>59.293064999999999</v>
      </c>
      <c r="EL465" s="919">
        <f t="shared" ref="EL465:EM465" si="2205">EL203+EL341</f>
        <v>60.266295</v>
      </c>
      <c r="EM465" s="919">
        <f t="shared" si="2205"/>
        <v>60.579569999999997</v>
      </c>
      <c r="EN465" s="1151">
        <f>SUM(EJ465:EM465)</f>
        <v>239.57845499999999</v>
      </c>
      <c r="EO465" s="919">
        <f t="shared" ref="EO465:EP465" si="2206">EO203+EO341</f>
        <v>59.643569999999997</v>
      </c>
      <c r="EP465" s="919">
        <f t="shared" si="2206"/>
        <v>59.631839999999997</v>
      </c>
      <c r="EQ465" s="919">
        <f t="shared" ref="EQ465:ER465" si="2207">EQ203+EQ341</f>
        <v>58.748910000000009</v>
      </c>
      <c r="ER465" s="919">
        <f t="shared" si="2207"/>
        <v>58.828319999999998</v>
      </c>
      <c r="ES465" s="1151">
        <f>SUM(EO465:ER465)</f>
        <v>236.85263999999998</v>
      </c>
      <c r="ET465" s="919">
        <f t="shared" ref="ET465:EU465" si="2208">ET203+ET341</f>
        <v>58.773330000000009</v>
      </c>
      <c r="EU465" s="919">
        <f t="shared" si="2208"/>
        <v>59.140619999999998</v>
      </c>
      <c r="EV465" s="919">
        <f t="shared" ref="EV465:EW465" si="2209">EV203+EV341</f>
        <v>59.572739999999996</v>
      </c>
      <c r="EW465" s="919">
        <f t="shared" si="2209"/>
        <v>60.30198</v>
      </c>
      <c r="EX465" s="1151">
        <f>SUM(ET465:EW465)</f>
        <v>237.78867000000002</v>
      </c>
      <c r="EY465" s="919">
        <f t="shared" ref="EY465:FB466" si="2210">EY203+EY341</f>
        <v>60.427871019831137</v>
      </c>
      <c r="EZ465" s="919">
        <f t="shared" si="2210"/>
        <v>61.11669029222233</v>
      </c>
      <c r="FA465" s="919">
        <f t="shared" si="2210"/>
        <v>62.087843579854393</v>
      </c>
      <c r="FB465" s="919">
        <f t="shared" si="2210"/>
        <v>63.553413959481851</v>
      </c>
      <c r="FC465" s="1151">
        <f>SUM(EY465:FB465)</f>
        <v>247.18581885138971</v>
      </c>
      <c r="FD465" s="919">
        <f t="shared" ref="FD465:FI465" si="2211">FD203+FD341</f>
        <v>266.57718348215235</v>
      </c>
      <c r="FE465" s="919">
        <f t="shared" si="2211"/>
        <v>291.57736368985638</v>
      </c>
      <c r="FF465" s="919">
        <f t="shared" si="2211"/>
        <v>321.77680488488249</v>
      </c>
      <c r="FG465" s="919">
        <f t="shared" si="2211"/>
        <v>356.48197490952299</v>
      </c>
      <c r="FH465" s="919">
        <f t="shared" si="2211"/>
        <v>395.74611455110499</v>
      </c>
      <c r="FI465" s="919">
        <f t="shared" si="2211"/>
        <v>439.73777693891213</v>
      </c>
    </row>
    <row r="466" spans="1:167" x14ac:dyDescent="0.3">
      <c r="A466" t="s">
        <v>308</v>
      </c>
      <c r="DZ466" s="919">
        <f t="shared" si="2201"/>
        <v>713.53375429500727</v>
      </c>
      <c r="EA466" s="919">
        <f t="shared" si="2201"/>
        <v>696.24964891986338</v>
      </c>
      <c r="EB466" s="919">
        <f t="shared" si="2201"/>
        <v>674.11145235062497</v>
      </c>
      <c r="EC466" s="919">
        <f t="shared" si="2201"/>
        <v>653.99510093749996</v>
      </c>
      <c r="ED466" s="1151">
        <f>SUM(DZ466:EC466)</f>
        <v>2737.8899565029956</v>
      </c>
      <c r="EE466" s="919">
        <f t="shared" si="2202"/>
        <v>653.32719550000002</v>
      </c>
      <c r="EF466" s="919">
        <f t="shared" si="2202"/>
        <v>636.79255999999998</v>
      </c>
      <c r="EG466" s="919">
        <f t="shared" si="2202"/>
        <v>632.87474999999995</v>
      </c>
      <c r="EH466" s="919">
        <f t="shared" ref="EH466:EJ466" si="2212">EH204+EH342</f>
        <v>617.61389000000008</v>
      </c>
      <c r="EI466" s="1151">
        <f>SUM(EE466:EH466)</f>
        <v>2540.6083954999999</v>
      </c>
      <c r="EJ466" s="919">
        <f t="shared" si="2212"/>
        <v>606.560475</v>
      </c>
      <c r="EK466" s="919">
        <f t="shared" ref="EK466" si="2213">EK204+EK342</f>
        <v>591.70693499999993</v>
      </c>
      <c r="EL466" s="919">
        <f t="shared" ref="EL466:EM466" si="2214">EL204+EL342</f>
        <v>580.73370499999999</v>
      </c>
      <c r="EM466" s="919">
        <f t="shared" si="2214"/>
        <v>598.42043000000001</v>
      </c>
      <c r="EN466" s="1151">
        <f>SUM(EJ466:EM466)</f>
        <v>2377.4215450000002</v>
      </c>
      <c r="EO466" s="919">
        <f t="shared" ref="EO466:EP466" si="2215">EO204+EO342</f>
        <v>597.35643000000005</v>
      </c>
      <c r="EP466" s="919">
        <f t="shared" si="2215"/>
        <v>593.36815999999999</v>
      </c>
      <c r="EQ466" s="919">
        <f t="shared" ref="EQ466:ER466" si="2216">EQ204+EQ342</f>
        <v>575.25108999999998</v>
      </c>
      <c r="ER466" s="919">
        <f t="shared" si="2216"/>
        <v>576.17168000000004</v>
      </c>
      <c r="ES466" s="1151">
        <f>SUM(EO466:ER466)</f>
        <v>2342.1473599999999</v>
      </c>
      <c r="ET466" s="919">
        <f t="shared" ref="ET466:EU466" si="2217">ET204+ET342</f>
        <v>600.22667000000001</v>
      </c>
      <c r="EU466" s="919">
        <f t="shared" si="2217"/>
        <v>617.85937999999999</v>
      </c>
      <c r="EV466" s="919">
        <f t="shared" ref="EV466:EW466" si="2218">EV204+EV342</f>
        <v>622.42725999999993</v>
      </c>
      <c r="EW466" s="919">
        <f t="shared" si="2218"/>
        <v>631.69802000000004</v>
      </c>
      <c r="EX466" s="1151">
        <f>SUM(ET466:EW466)</f>
        <v>2472.2113300000001</v>
      </c>
      <c r="EY466" s="919">
        <f t="shared" si="2210"/>
        <v>595.36782687499999</v>
      </c>
      <c r="EZ466" s="919">
        <f t="shared" si="2210"/>
        <v>613.45234677500002</v>
      </c>
      <c r="FA466" s="919">
        <f t="shared" si="2210"/>
        <v>618.64276434999999</v>
      </c>
      <c r="FB466" s="919">
        <f t="shared" si="2210"/>
        <v>627.63944315000003</v>
      </c>
      <c r="FC466" s="1151">
        <f>SUM(EY466:FB466)</f>
        <v>2455.1023811499999</v>
      </c>
      <c r="FD466" s="919">
        <f t="shared" ref="FD466:FI466" si="2219">FD204+FD342</f>
        <v>2431.0580295852496</v>
      </c>
      <c r="FE466" s="919">
        <f t="shared" si="2219"/>
        <v>2400.9627674790318</v>
      </c>
      <c r="FF466" s="919">
        <f t="shared" si="2219"/>
        <v>2366.1432402383371</v>
      </c>
      <c r="FG466" s="919">
        <f t="shared" si="2219"/>
        <v>2327.6726907015855</v>
      </c>
      <c r="FH466" s="919">
        <f t="shared" si="2219"/>
        <v>2286.4018583281991</v>
      </c>
      <c r="FI466" s="919">
        <f t="shared" si="2219"/>
        <v>2242.9953421770638</v>
      </c>
    </row>
    <row r="467" spans="1:167" x14ac:dyDescent="0.3">
      <c r="A467" t="s">
        <v>26</v>
      </c>
      <c r="DZ467" s="1153">
        <f>SUM(DZ465:DZ466)</f>
        <v>781</v>
      </c>
      <c r="EA467" s="1153">
        <f>SUM(EA465:EA466)</f>
        <v>762.00000000000011</v>
      </c>
      <c r="EB467" s="1153">
        <f>SUM(EB465:EB466)</f>
        <v>739</v>
      </c>
      <c r="EC467" s="1153">
        <f>SUM(EC465:EC466)</f>
        <v>719</v>
      </c>
      <c r="ED467" s="1153">
        <f>SUM(DZ467:EC467)</f>
        <v>3001</v>
      </c>
      <c r="EE467" s="1153">
        <f>SUM(EE465:EE466)</f>
        <v>715</v>
      </c>
      <c r="EF467" s="1153">
        <f>SUM(EF465:EF466)</f>
        <v>698</v>
      </c>
      <c r="EG467" s="1153">
        <f>SUM(EG465:EG466)</f>
        <v>693</v>
      </c>
      <c r="EH467" s="1153">
        <f>SUM(EH465:EH466)</f>
        <v>677.00000000000011</v>
      </c>
      <c r="EI467" s="1153">
        <f>SUM(EE467:EH467)</f>
        <v>2783</v>
      </c>
      <c r="EJ467" s="1153">
        <f>SUM(EJ465:EJ466)</f>
        <v>666</v>
      </c>
      <c r="EK467" s="1153">
        <f>SUM(EK465:EK466)</f>
        <v>650.99999999999989</v>
      </c>
      <c r="EL467" s="1153">
        <f>SUM(EL465:EL466)</f>
        <v>641</v>
      </c>
      <c r="EM467" s="1153">
        <f>SUM(EM465:EM466)</f>
        <v>659</v>
      </c>
      <c r="EN467" s="1153">
        <f>SUM(EJ467:EM467)</f>
        <v>2617</v>
      </c>
      <c r="EO467" s="1153">
        <f>SUM(EO465:EO466)</f>
        <v>657</v>
      </c>
      <c r="EP467" s="1153">
        <f>SUM(EP465:EP466)</f>
        <v>653</v>
      </c>
      <c r="EQ467" s="1153">
        <f>SUM(EQ465:EQ466)</f>
        <v>634</v>
      </c>
      <c r="ER467" s="1153">
        <f>SUM(ER465:ER466)</f>
        <v>635</v>
      </c>
      <c r="ES467" s="1153">
        <f>SUM(EO467:ER467)</f>
        <v>2579</v>
      </c>
      <c r="ET467" s="1153">
        <f>SUM(ET465:ET466)</f>
        <v>659</v>
      </c>
      <c r="EU467" s="1153">
        <f>SUM(EU465:EU466)</f>
        <v>677</v>
      </c>
      <c r="EV467" s="1153">
        <f>SUM(EV465:EV466)</f>
        <v>681.99999999999989</v>
      </c>
      <c r="EW467" s="1153">
        <f>SUM(EW465:EW466)</f>
        <v>692</v>
      </c>
      <c r="EX467" s="1153">
        <f>SUM(ET467:EW467)</f>
        <v>2710</v>
      </c>
      <c r="EY467" s="1153">
        <f t="shared" ref="EY467:FB467" si="2220">SUM(EY465:EY466)</f>
        <v>655.79569789483116</v>
      </c>
      <c r="EZ467" s="1153">
        <f t="shared" si="2220"/>
        <v>674.56903706722233</v>
      </c>
      <c r="FA467" s="1153">
        <f t="shared" si="2220"/>
        <v>680.73060792985439</v>
      </c>
      <c r="FB467" s="1153">
        <f t="shared" si="2220"/>
        <v>691.19285710948191</v>
      </c>
      <c r="FC467" s="1153">
        <f>SUM(EY467:FB467)</f>
        <v>2702.2882000013897</v>
      </c>
      <c r="FD467" s="1153">
        <f t="shared" ref="FD467:FI467" si="2221">SUM(FD465:FD466)</f>
        <v>2697.6352130674022</v>
      </c>
      <c r="FE467" s="1153">
        <f t="shared" si="2221"/>
        <v>2692.5401311688884</v>
      </c>
      <c r="FF467" s="1153">
        <f t="shared" si="2221"/>
        <v>2687.9200451232196</v>
      </c>
      <c r="FG467" s="1153">
        <f t="shared" si="2221"/>
        <v>2684.1546656111086</v>
      </c>
      <c r="FH467" s="1153">
        <f t="shared" si="2221"/>
        <v>2682.1479728793042</v>
      </c>
      <c r="FI467" s="1153">
        <f t="shared" si="2221"/>
        <v>2682.733119115976</v>
      </c>
    </row>
    <row r="468" spans="1:167" s="90" customFormat="1" x14ac:dyDescent="0.3">
      <c r="A468" s="90" t="s">
        <v>27</v>
      </c>
      <c r="DZ468" s="1151">
        <f>DZ464+DZ467</f>
        <v>1661</v>
      </c>
      <c r="EA468" s="1151">
        <f>EA464+EA467</f>
        <v>1621</v>
      </c>
      <c r="EB468" s="1151">
        <f>EB464+EB467</f>
        <v>1578</v>
      </c>
      <c r="EC468" s="1151">
        <f>EC464+EC467</f>
        <v>1557</v>
      </c>
      <c r="ED468" s="900">
        <f>SUM(DZ468:EC468)</f>
        <v>6417</v>
      </c>
      <c r="EE468" s="1151">
        <f>EE464+EE467</f>
        <v>1535</v>
      </c>
      <c r="EF468" s="1151">
        <f>EF464+EF467</f>
        <v>1514</v>
      </c>
      <c r="EG468" s="1151">
        <f>EG464+EG467</f>
        <v>1493</v>
      </c>
      <c r="EH468" s="1151">
        <f>EH464+EH467</f>
        <v>1459</v>
      </c>
      <c r="EI468" s="900">
        <f>SUM(EE468:EH468)</f>
        <v>6001</v>
      </c>
      <c r="EJ468" s="1151">
        <f>EJ464+EJ467</f>
        <v>1442</v>
      </c>
      <c r="EK468" s="1151">
        <f>EK464+EK467</f>
        <v>1442</v>
      </c>
      <c r="EL468" s="1151">
        <f>EL464+EL467</f>
        <v>1426</v>
      </c>
      <c r="EM468" s="1151">
        <f>EM464+EM467</f>
        <v>1423</v>
      </c>
      <c r="EN468" s="900">
        <f>SUM(EJ468:EM468)</f>
        <v>5733</v>
      </c>
      <c r="EO468" s="1151">
        <f>EO464+EO467</f>
        <v>1418</v>
      </c>
      <c r="EP468" s="1151">
        <f>EP464+EP467</f>
        <v>1428</v>
      </c>
      <c r="EQ468" s="1151">
        <f>EQ464+EQ467</f>
        <v>1421</v>
      </c>
      <c r="ER468" s="1151">
        <f>ER464+ER467</f>
        <v>1409</v>
      </c>
      <c r="ES468" s="900">
        <f>SUM(EO468:ER468)</f>
        <v>5676</v>
      </c>
      <c r="ET468" s="1151">
        <f>ET464+ET467</f>
        <v>1446</v>
      </c>
      <c r="EU468" s="1151">
        <f>EU464+EU467</f>
        <v>1466</v>
      </c>
      <c r="EV468" s="1151">
        <f>EV464+EV467</f>
        <v>1471</v>
      </c>
      <c r="EW468" s="1151">
        <f>EW464+EW467</f>
        <v>1490</v>
      </c>
      <c r="EX468" s="900">
        <f>SUM(ET468:EW468)</f>
        <v>5873</v>
      </c>
      <c r="EY468" s="1151">
        <f t="shared" ref="EY468:FB468" si="2222">EY464+EY467</f>
        <v>1454.6233506483941</v>
      </c>
      <c r="EZ468" s="1151">
        <f t="shared" si="2222"/>
        <v>1483.5346474103735</v>
      </c>
      <c r="FA468" s="1151">
        <f t="shared" si="2222"/>
        <v>1495.8309759204517</v>
      </c>
      <c r="FB468" s="1151">
        <f t="shared" si="2222"/>
        <v>1522.834405145712</v>
      </c>
      <c r="FC468" s="900">
        <f>SUM(EY468:FB468)</f>
        <v>5956.8233791249313</v>
      </c>
      <c r="FD468" s="1151">
        <f t="shared" ref="FD468:FI468" si="2223">FD464+FD467</f>
        <v>6162.1974527353104</v>
      </c>
      <c r="FE468" s="1151">
        <f t="shared" si="2223"/>
        <v>6440.264954012373</v>
      </c>
      <c r="FF468" s="1151">
        <f t="shared" si="2223"/>
        <v>6737.1959800304503</v>
      </c>
      <c r="FG468" s="1151">
        <f t="shared" si="2223"/>
        <v>7013.139317382118</v>
      </c>
      <c r="FH468" s="1151">
        <f t="shared" si="2223"/>
        <v>7267.6741550276438</v>
      </c>
      <c r="FI468" s="1151">
        <f t="shared" si="2223"/>
        <v>7495.8689514336202</v>
      </c>
    </row>
    <row r="469" spans="1:167" ht="12" customHeight="1" x14ac:dyDescent="0.3">
      <c r="A469" s="1" t="s">
        <v>465</v>
      </c>
      <c r="DU469" s="79">
        <f>+Inputs!DU744</f>
        <v>0</v>
      </c>
      <c r="DV469" s="79">
        <f>+Inputs!DV744</f>
        <v>0</v>
      </c>
      <c r="DW469" s="79">
        <f>+Inputs!DW744</f>
        <v>0</v>
      </c>
      <c r="DX469" s="79">
        <f>+Inputs!DX744</f>
        <v>0</v>
      </c>
      <c r="DY469" s="100">
        <f>+SUM(DU469:DX469)</f>
        <v>0</v>
      </c>
      <c r="DZ469" s="79">
        <f>Inputs!DZ172</f>
        <v>128</v>
      </c>
      <c r="EA469" s="79">
        <f>Inputs!EA172</f>
        <v>133</v>
      </c>
      <c r="EB469" s="79">
        <f>Inputs!EB172</f>
        <v>149</v>
      </c>
      <c r="EC469" s="79">
        <f>Inputs!EC172</f>
        <v>139</v>
      </c>
      <c r="ED469" s="85">
        <f>+SUM(DZ469:EC469)</f>
        <v>549</v>
      </c>
      <c r="EE469" s="79">
        <f>Inputs!EE172</f>
        <v>140</v>
      </c>
      <c r="EF469" s="79">
        <f>Inputs!EF172</f>
        <v>103</v>
      </c>
      <c r="EG469" s="79">
        <f>Inputs!EG172</f>
        <v>83</v>
      </c>
      <c r="EH469" s="79">
        <f>Inputs!EH172</f>
        <v>84</v>
      </c>
      <c r="EI469" s="85">
        <f>+SUM(EE469:EH469)</f>
        <v>410</v>
      </c>
      <c r="EJ469" s="79">
        <f>Inputs!EJ172</f>
        <v>5</v>
      </c>
      <c r="EK469" s="79">
        <f>Inputs!EK172</f>
        <v>17</v>
      </c>
      <c r="EL469" s="79">
        <f>Inputs!EL172</f>
        <v>18</v>
      </c>
      <c r="EM469" s="79">
        <f>Inputs!EM172</f>
        <v>14</v>
      </c>
      <c r="EN469" s="132">
        <f>+SUM(EJ469:EM469)</f>
        <v>54</v>
      </c>
      <c r="EO469" s="79">
        <f>Inputs!EO172</f>
        <v>22</v>
      </c>
      <c r="EP469" s="79">
        <f>Inputs!EP172</f>
        <v>21</v>
      </c>
      <c r="EQ469" s="79">
        <f>Inputs!EQ172</f>
        <v>15</v>
      </c>
      <c r="ER469" s="79">
        <f>Inputs!ER172</f>
        <v>17</v>
      </c>
      <c r="ES469" s="132">
        <f>+SUM(EO469:ER469)</f>
        <v>75</v>
      </c>
      <c r="ET469" s="79">
        <f>Inputs!ET172</f>
        <v>16</v>
      </c>
      <c r="EU469" s="79">
        <f>Inputs!EU172</f>
        <v>14</v>
      </c>
      <c r="EV469" s="79">
        <f>Inputs!EV172</f>
        <v>18</v>
      </c>
      <c r="EW469" s="79">
        <f>Inputs!EW172</f>
        <v>16</v>
      </c>
      <c r="EX469" s="132">
        <f>+SUM(ET469:EW469)</f>
        <v>64</v>
      </c>
      <c r="EY469" s="134">
        <f t="shared" ref="EY469:FB469" si="2224">EY11</f>
        <v>16</v>
      </c>
      <c r="EZ469" s="134">
        <f t="shared" si="2224"/>
        <v>14</v>
      </c>
      <c r="FA469" s="134">
        <f t="shared" si="2224"/>
        <v>18</v>
      </c>
      <c r="FB469" s="134">
        <f t="shared" si="2224"/>
        <v>16</v>
      </c>
      <c r="FC469" s="132">
        <f>+SUM(EY469:FB469)</f>
        <v>64</v>
      </c>
      <c r="FD469" s="134">
        <f t="shared" ref="FD469:FI469" si="2225">FD11</f>
        <v>64</v>
      </c>
      <c r="FE469" s="134">
        <f t="shared" si="2225"/>
        <v>64</v>
      </c>
      <c r="FF469" s="134">
        <f t="shared" si="2225"/>
        <v>64</v>
      </c>
      <c r="FG469" s="134">
        <f t="shared" si="2225"/>
        <v>64</v>
      </c>
      <c r="FH469" s="134">
        <f t="shared" si="2225"/>
        <v>64</v>
      </c>
      <c r="FI469" s="134">
        <f t="shared" si="2225"/>
        <v>64</v>
      </c>
      <c r="FJ469" s="189">
        <f>+(FF469/ES469)^0.2-1</f>
        <v>-3.1223172733021665E-2</v>
      </c>
      <c r="FK469" s="98"/>
    </row>
    <row r="470" spans="1:167" x14ac:dyDescent="0.3">
      <c r="A470" s="4" t="s">
        <v>19</v>
      </c>
      <c r="DU470" s="803">
        <f>+DU468+DU469</f>
        <v>0</v>
      </c>
      <c r="DV470" s="803">
        <f>+DV468+DV469</f>
        <v>0</v>
      </c>
      <c r="DW470" s="803">
        <f>+DW468+DW469</f>
        <v>0</v>
      </c>
      <c r="DX470" s="803">
        <f>+DX468+DX469</f>
        <v>0</v>
      </c>
      <c r="DY470" s="85">
        <f>+SUM(DU470:DX470)</f>
        <v>0</v>
      </c>
      <c r="DZ470" s="803">
        <f>+DZ468+DZ469</f>
        <v>1789</v>
      </c>
      <c r="EA470" s="803">
        <f>+EA468+EA469</f>
        <v>1754</v>
      </c>
      <c r="EB470" s="803">
        <f>+EB468+EB469</f>
        <v>1727</v>
      </c>
      <c r="EC470" s="803">
        <f>+EC468+EC469</f>
        <v>1696</v>
      </c>
      <c r="ED470" s="803">
        <f>+SUM(DZ470:EC470)</f>
        <v>6966</v>
      </c>
      <c r="EE470" s="803">
        <f>+EE468+EE469</f>
        <v>1675</v>
      </c>
      <c r="EF470" s="803">
        <f>+EF468+EF469</f>
        <v>1617</v>
      </c>
      <c r="EG470" s="803">
        <f>+EG468+EG469</f>
        <v>1576</v>
      </c>
      <c r="EH470" s="803">
        <f>+EH468+EH469</f>
        <v>1543</v>
      </c>
      <c r="EI470" s="803">
        <f>+SUM(EE470:EH470)</f>
        <v>6411</v>
      </c>
      <c r="EJ470" s="803">
        <f>+EJ468+EJ469</f>
        <v>1447</v>
      </c>
      <c r="EK470" s="803">
        <f>+EK468+EK469</f>
        <v>1459</v>
      </c>
      <c r="EL470" s="803">
        <f>+EL468+EL469</f>
        <v>1444</v>
      </c>
      <c r="EM470" s="803">
        <f>+EM468+EM469</f>
        <v>1437</v>
      </c>
      <c r="EN470" s="803">
        <f>+SUM(EJ470:EM470)</f>
        <v>5787</v>
      </c>
      <c r="EO470" s="803">
        <f>+EO468+EO469</f>
        <v>1440</v>
      </c>
      <c r="EP470" s="803">
        <f>+EP468+EP469</f>
        <v>1449</v>
      </c>
      <c r="EQ470" s="803">
        <f>+EQ468+EQ469</f>
        <v>1436</v>
      </c>
      <c r="ER470" s="803">
        <f>+ER468+ER469</f>
        <v>1426</v>
      </c>
      <c r="ES470" s="803">
        <f>+SUM(EO470:ER470)</f>
        <v>5751</v>
      </c>
      <c r="ET470" s="803">
        <f>+ET468+ET469</f>
        <v>1462</v>
      </c>
      <c r="EU470" s="803">
        <f>+EU468+EU469</f>
        <v>1480</v>
      </c>
      <c r="EV470" s="803">
        <f>+EV468+EV469</f>
        <v>1489</v>
      </c>
      <c r="EW470" s="803">
        <f>+EW468+EW469</f>
        <v>1506</v>
      </c>
      <c r="EX470" s="803">
        <f>+SUM(ET470:EW470)</f>
        <v>5937</v>
      </c>
      <c r="EY470" s="803">
        <f t="shared" ref="EY470:FB470" si="2226">+EY468+EY469</f>
        <v>1470.6233506483941</v>
      </c>
      <c r="EZ470" s="803">
        <f t="shared" si="2226"/>
        <v>1497.5346474103735</v>
      </c>
      <c r="FA470" s="803">
        <f t="shared" si="2226"/>
        <v>1513.8309759204517</v>
      </c>
      <c r="FB470" s="803">
        <f t="shared" si="2226"/>
        <v>1538.834405145712</v>
      </c>
      <c r="FC470" s="803">
        <f>+SUM(EY470:FB470)</f>
        <v>6020.8233791249313</v>
      </c>
      <c r="FD470" s="803">
        <f t="shared" ref="FD470:FI470" si="2227">+FD468+FD469</f>
        <v>6226.1974527353104</v>
      </c>
      <c r="FE470" s="803">
        <f t="shared" si="2227"/>
        <v>6504.264954012373</v>
      </c>
      <c r="FF470" s="803">
        <f t="shared" si="2227"/>
        <v>6801.1959800304503</v>
      </c>
      <c r="FG470" s="803">
        <f t="shared" si="2227"/>
        <v>7077.139317382118</v>
      </c>
      <c r="FH470" s="803">
        <f t="shared" si="2227"/>
        <v>7331.6741550276438</v>
      </c>
      <c r="FI470" s="803">
        <f t="shared" si="2227"/>
        <v>7559.8689514336202</v>
      </c>
      <c r="FJ470" s="189">
        <f>+(FF470/ES470)^0.2-1</f>
        <v>3.4113920601426262E-2</v>
      </c>
    </row>
    <row r="471" spans="1:167" s="94" customFormat="1" x14ac:dyDescent="0.3">
      <c r="A471" s="73" t="s">
        <v>466</v>
      </c>
      <c r="DY471" s="141"/>
      <c r="ED471" s="141"/>
      <c r="EE471" s="1168">
        <f t="shared" ref="EE471:EE480" si="2228">EE461/DZ461-1</f>
        <v>4.5669798302141462E-2</v>
      </c>
      <c r="EF471" s="1168">
        <f t="shared" ref="EF471:EF480" si="2229">EF461/EA461-1</f>
        <v>7.4607114114912498E-2</v>
      </c>
      <c r="EG471" s="1168">
        <f t="shared" ref="EG471:EW480" si="2230">EG461/EB461-1</f>
        <v>7.6432106002554789E-2</v>
      </c>
      <c r="EH471" s="1168">
        <f t="shared" si="2230"/>
        <v>4.9563644912012705E-2</v>
      </c>
      <c r="EI471" s="1169">
        <f t="shared" ref="EI471:EI480" si="2231">EI461/ED461-1</f>
        <v>6.1540184393652497E-2</v>
      </c>
      <c r="EJ471" s="1168">
        <f t="shared" si="2230"/>
        <v>5.1661245512065301E-2</v>
      </c>
      <c r="EK471" s="1168">
        <f t="shared" si="2230"/>
        <v>6.3605051041208949E-2</v>
      </c>
      <c r="EL471" s="1168">
        <f t="shared" si="2230"/>
        <v>7.0110461055951756E-2</v>
      </c>
      <c r="EM471" s="1168">
        <f t="shared" si="2230"/>
        <v>5.8534439337758926E-2</v>
      </c>
      <c r="EN471" s="1169">
        <f t="shared" ref="EN471:EN480" si="2232">EN461/EI461-1</f>
        <v>6.1072921062229168E-2</v>
      </c>
      <c r="EO471" s="1168">
        <f t="shared" si="2230"/>
        <v>6.1639387631413634E-2</v>
      </c>
      <c r="EP471" s="1168">
        <f t="shared" si="2230"/>
        <v>6.4821336676520902E-2</v>
      </c>
      <c r="EQ471" s="1168">
        <f t="shared" si="2230"/>
        <v>9.2057681585823836E-2</v>
      </c>
      <c r="ER471" s="1168">
        <f t="shared" si="2230"/>
        <v>0.11814911921343696</v>
      </c>
      <c r="ES471" s="1169">
        <f t="shared" ref="ES471:ES480" si="2233">ES461/EN461-1</f>
        <v>8.4423363039197064E-2</v>
      </c>
      <c r="ET471" s="1168">
        <f t="shared" si="2230"/>
        <v>0.14062643493279636</v>
      </c>
      <c r="EU471" s="1168">
        <f t="shared" si="2230"/>
        <v>0.116534987107622</v>
      </c>
      <c r="EV471" s="1168">
        <f t="shared" si="2230"/>
        <v>9.9160819748429718E-2</v>
      </c>
      <c r="EW471" s="1168">
        <f t="shared" si="2230"/>
        <v>0.12997047216447633</v>
      </c>
      <c r="EX471" s="1169">
        <f t="shared" ref="EX471:EX480" si="2234">EX461/ES461-1</f>
        <v>0.12122769371997877</v>
      </c>
      <c r="EY471" s="1168">
        <f t="shared" ref="EY471:EY480" si="2235">EY461/ET461-1</f>
        <v>0.12413648802665711</v>
      </c>
      <c r="EZ471" s="1168">
        <f t="shared" ref="EZ471:EZ480" si="2236">EZ461/EU461-1</f>
        <v>0.12982978748390162</v>
      </c>
      <c r="FA471" s="1168">
        <f t="shared" ref="FA471:FA480" si="2237">FA461/EV461-1</f>
        <v>0.1351859164810536</v>
      </c>
      <c r="FB471" s="1168">
        <f t="shared" ref="FB471:FC480" si="2238">FB461/EW461-1</f>
        <v>0.14101393070300317</v>
      </c>
      <c r="FC471" s="1169">
        <f t="shared" si="2238"/>
        <v>0.1327373699331551</v>
      </c>
      <c r="FD471" s="1168">
        <f t="shared" ref="FD471:FI471" si="2239">FD461/FC461-1</f>
        <v>0.15205978061971503</v>
      </c>
      <c r="FE471" s="1168">
        <f t="shared" si="2239"/>
        <v>0.14227910257130216</v>
      </c>
      <c r="FF471" s="1168">
        <f t="shared" si="2239"/>
        <v>0.11734549796721572</v>
      </c>
      <c r="FG471" s="1168">
        <f t="shared" si="2239"/>
        <v>9.2812303673162067E-2</v>
      </c>
      <c r="FH471" s="1168">
        <f t="shared" si="2239"/>
        <v>7.5477073721485377E-2</v>
      </c>
      <c r="FI471" s="1168">
        <f t="shared" si="2239"/>
        <v>6.0903620583253826E-2</v>
      </c>
    </row>
    <row r="472" spans="1:167" s="94" customFormat="1" x14ac:dyDescent="0.3">
      <c r="A472" s="73" t="s">
        <v>467</v>
      </c>
      <c r="DY472" s="141"/>
      <c r="ED472" s="141"/>
      <c r="EE472" s="1168">
        <f t="shared" si="2228"/>
        <v>-0.20233564952267846</v>
      </c>
      <c r="EF472" s="1168">
        <f t="shared" si="2229"/>
        <v>-0.1761641996854183</v>
      </c>
      <c r="EG472" s="1168">
        <f t="shared" si="2230"/>
        <v>-0.16843458663066324</v>
      </c>
      <c r="EH472" s="1168">
        <f t="shared" si="2230"/>
        <v>-0.15964461441934985</v>
      </c>
      <c r="EI472" s="1169">
        <f t="shared" si="2231"/>
        <v>-0.17771117570980044</v>
      </c>
      <c r="EJ472" s="1168">
        <f t="shared" si="2230"/>
        <v>-0.15596279929268186</v>
      </c>
      <c r="EK472" s="1168">
        <f t="shared" si="2230"/>
        <v>-0.14414238441742677</v>
      </c>
      <c r="EL472" s="1168">
        <f t="shared" si="2230"/>
        <v>-0.15076751460698345</v>
      </c>
      <c r="EM472" s="1168">
        <f t="shared" si="2230"/>
        <v>-0.15996589039662334</v>
      </c>
      <c r="EN472" s="1169">
        <f t="shared" si="2232"/>
        <v>-0.15259056757618117</v>
      </c>
      <c r="EO472" s="1168">
        <f t="shared" si="2230"/>
        <v>-0.13902237870369449</v>
      </c>
      <c r="EP472" s="1168">
        <f t="shared" si="2230"/>
        <v>-0.16005650597959076</v>
      </c>
      <c r="EQ472" s="1168">
        <f t="shared" si="2230"/>
        <v>-0.17248246169091852</v>
      </c>
      <c r="ER472" s="1168">
        <f t="shared" si="2230"/>
        <v>-0.18456895672306184</v>
      </c>
      <c r="ES472" s="1169">
        <f t="shared" si="2233"/>
        <v>-0.16318221052725534</v>
      </c>
      <c r="ET472" s="1168">
        <f t="shared" si="2230"/>
        <v>-0.2051086421648074</v>
      </c>
      <c r="EU472" s="1168">
        <f t="shared" si="2230"/>
        <v>-0.21909614196390881</v>
      </c>
      <c r="EV472" s="1168">
        <f t="shared" si="2230"/>
        <v>-0.21991437108394463</v>
      </c>
      <c r="EW472" s="1168">
        <f t="shared" si="2230"/>
        <v>-0.21598031499324766</v>
      </c>
      <c r="EX472" s="1169">
        <f t="shared" si="2234"/>
        <v>-0.21477884764618282</v>
      </c>
      <c r="EY472" s="1168">
        <f t="shared" si="2235"/>
        <v>-0.2050371303565518</v>
      </c>
      <c r="EZ472" s="1168">
        <f t="shared" si="2236"/>
        <v>-0.20023576314788694</v>
      </c>
      <c r="FA472" s="1168">
        <f t="shared" si="2237"/>
        <v>-0.20132093036339471</v>
      </c>
      <c r="FB472" s="1168">
        <f t="shared" si="2238"/>
        <v>-0.20211553954539907</v>
      </c>
      <c r="FC472" s="1169">
        <f t="shared" si="2238"/>
        <v>-0.20224404257368345</v>
      </c>
      <c r="FD472" s="1168">
        <f t="shared" ref="FD472:FI472" si="2240">FD462/FC462-1</f>
        <v>-0.2146545091031512</v>
      </c>
      <c r="FE472" s="1168">
        <f t="shared" si="2240"/>
        <v>-0.22400041642291912</v>
      </c>
      <c r="FF472" s="1168">
        <f t="shared" si="2240"/>
        <v>-0.2195554262127265</v>
      </c>
      <c r="FG472" s="1168">
        <f t="shared" si="2240"/>
        <v>-0.2169572217881246</v>
      </c>
      <c r="FH472" s="1168">
        <f t="shared" si="2240"/>
        <v>-0.215452168673259</v>
      </c>
      <c r="FI472" s="1168">
        <f t="shared" si="2240"/>
        <v>-0.21458490136691066</v>
      </c>
    </row>
    <row r="473" spans="1:167" s="94" customFormat="1" x14ac:dyDescent="0.3">
      <c r="A473" s="73" t="s">
        <v>468</v>
      </c>
      <c r="DY473" s="141"/>
      <c r="ED473" s="141"/>
      <c r="EE473" s="1168">
        <f t="shared" si="2228"/>
        <v>-0.12727350573825702</v>
      </c>
      <c r="EF473" s="1168">
        <f t="shared" si="2229"/>
        <v>-0.13688835185499992</v>
      </c>
      <c r="EG473" s="1168">
        <f t="shared" si="2230"/>
        <v>-0.14254076227209178</v>
      </c>
      <c r="EH473" s="1168">
        <f t="shared" si="2230"/>
        <v>-0.1770180556564398</v>
      </c>
      <c r="EI473" s="1169">
        <f t="shared" si="2231"/>
        <v>-0.14548181785457748</v>
      </c>
      <c r="EJ473" s="1168">
        <f t="shared" si="2230"/>
        <v>-0.15304021982564597</v>
      </c>
      <c r="EK473" s="1168">
        <f t="shared" si="2230"/>
        <v>-0.11853726728470015</v>
      </c>
      <c r="EL473" s="1168">
        <f t="shared" si="2230"/>
        <v>-9.5797531781460221E-2</v>
      </c>
      <c r="EM473" s="1168">
        <f t="shared" si="2230"/>
        <v>-9.0118139205284997E-2</v>
      </c>
      <c r="EN473" s="1169">
        <f t="shared" si="2232"/>
        <v>-0.11559724515683378</v>
      </c>
      <c r="EO473" s="1168">
        <f t="shared" si="2230"/>
        <v>-0.10206728428627154</v>
      </c>
      <c r="EP473" s="1168">
        <f t="shared" si="2230"/>
        <v>-0.10901540115971264</v>
      </c>
      <c r="EQ473" s="1168">
        <f t="shared" si="2230"/>
        <v>-8.5336965819050259E-2</v>
      </c>
      <c r="ER473" s="1168">
        <f t="shared" si="2230"/>
        <v>-0.10028963619273823</v>
      </c>
      <c r="ES473" s="1169">
        <f t="shared" si="2233"/>
        <v>-9.9242173032476955E-2</v>
      </c>
      <c r="ET473" s="1168">
        <f t="shared" si="2230"/>
        <v>-7.0203871251971806E-2</v>
      </c>
      <c r="EU473" s="1168">
        <f t="shared" si="2230"/>
        <v>-8.815394964601353E-2</v>
      </c>
      <c r="EV473" s="1168">
        <f t="shared" si="2230"/>
        <v>-0.12364951981428407</v>
      </c>
      <c r="EW473" s="1168">
        <f t="shared" si="2230"/>
        <v>-0.1056380494540875</v>
      </c>
      <c r="EX473" s="1169">
        <f t="shared" si="2234"/>
        <v>-9.6735056988545121E-2</v>
      </c>
      <c r="EY473" s="1168">
        <f t="shared" si="2235"/>
        <v>-0.17661966721322664</v>
      </c>
      <c r="EZ473" s="1168">
        <f t="shared" si="2236"/>
        <v>-0.1727459556739972</v>
      </c>
      <c r="FA473" s="1168">
        <f t="shared" si="2237"/>
        <v>-0.17564578524687191</v>
      </c>
      <c r="FB473" s="1168">
        <f t="shared" si="2238"/>
        <v>-0.17626704439284613</v>
      </c>
      <c r="FC473" s="1169">
        <f t="shared" si="2238"/>
        <v>-0.17531407937714327</v>
      </c>
      <c r="FD473" s="1168">
        <f t="shared" ref="FD473:FI473" si="2241">FD463/FC463-1</f>
        <v>-0.17102550487341706</v>
      </c>
      <c r="FE473" s="1168">
        <f t="shared" si="2241"/>
        <v>-0.13575200583122793</v>
      </c>
      <c r="FF473" s="1168">
        <f t="shared" si="2241"/>
        <v>-8.5330971875602124E-2</v>
      </c>
      <c r="FG473" s="1168">
        <f t="shared" si="2241"/>
        <v>-5.8312846658519768E-2</v>
      </c>
      <c r="FH473" s="1168">
        <f t="shared" si="2241"/>
        <v>-4.1222419846001057E-2</v>
      </c>
      <c r="FI473" s="1168">
        <f t="shared" si="2241"/>
        <v>-2.8145301004572354E-2</v>
      </c>
    </row>
    <row r="474" spans="1:167" s="141" customFormat="1" x14ac:dyDescent="0.3">
      <c r="A474" s="1108" t="s">
        <v>469</v>
      </c>
      <c r="EE474" s="1169">
        <f t="shared" si="2228"/>
        <v>-6.8181818181818343E-2</v>
      </c>
      <c r="EF474" s="1169">
        <f t="shared" si="2229"/>
        <v>-5.0058207217694828E-2</v>
      </c>
      <c r="EG474" s="1169">
        <f t="shared" si="2230"/>
        <v>-4.6483909415971358E-2</v>
      </c>
      <c r="EH474" s="1169">
        <f t="shared" si="2230"/>
        <v>-6.6825775656324637E-2</v>
      </c>
      <c r="EI474" s="1169">
        <f t="shared" si="2231"/>
        <v>-5.7962529274004693E-2</v>
      </c>
      <c r="EJ474" s="1169">
        <f t="shared" si="2230"/>
        <v>-5.3658536585365901E-2</v>
      </c>
      <c r="EK474" s="1169">
        <f t="shared" si="2230"/>
        <v>-3.0637254901960786E-2</v>
      </c>
      <c r="EL474" s="1169">
        <f t="shared" si="2230"/>
        <v>-1.8750000000000044E-2</v>
      </c>
      <c r="EM474" s="1169">
        <f t="shared" si="2230"/>
        <v>-2.3017902813299185E-2</v>
      </c>
      <c r="EN474" s="1169">
        <f t="shared" si="2232"/>
        <v>-3.1696706028589205E-2</v>
      </c>
      <c r="EO474" s="1169">
        <f t="shared" si="2230"/>
        <v>-1.9329896907216537E-2</v>
      </c>
      <c r="EP474" s="1169">
        <f t="shared" si="2230"/>
        <v>-2.0227560050568916E-2</v>
      </c>
      <c r="EQ474" s="1169">
        <f t="shared" si="2230"/>
        <v>2.5477707006369421E-3</v>
      </c>
      <c r="ER474" s="1169">
        <f t="shared" si="2230"/>
        <v>1.308900523560208E-2</v>
      </c>
      <c r="ES474" s="1169">
        <f t="shared" si="2233"/>
        <v>-6.0975609756097615E-3</v>
      </c>
      <c r="ET474" s="1169">
        <f t="shared" si="2230"/>
        <v>3.4165571616294299E-2</v>
      </c>
      <c r="EU474" s="1169">
        <f t="shared" si="2230"/>
        <v>1.806451612903226E-2</v>
      </c>
      <c r="EV474" s="1169">
        <f t="shared" si="2230"/>
        <v>2.5412960609911828E-3</v>
      </c>
      <c r="EW474" s="1169">
        <f t="shared" si="2230"/>
        <v>3.1007751937984551E-2</v>
      </c>
      <c r="EX474" s="1169">
        <f t="shared" si="2234"/>
        <v>2.131094607684858E-2</v>
      </c>
      <c r="EY474" s="1169">
        <f t="shared" si="2235"/>
        <v>1.5028783676700019E-2</v>
      </c>
      <c r="EZ474" s="1169">
        <f t="shared" si="2236"/>
        <v>2.5304956074969631E-2</v>
      </c>
      <c r="FA474" s="1169">
        <f t="shared" si="2237"/>
        <v>3.3080314310009351E-2</v>
      </c>
      <c r="FB474" s="1169">
        <f t="shared" si="2238"/>
        <v>4.2157328366203117E-2</v>
      </c>
      <c r="FC474" s="1169">
        <f t="shared" si="2238"/>
        <v>2.8939354765583847E-2</v>
      </c>
      <c r="FD474" s="1169">
        <f t="shared" ref="FD474:FI474" si="2242">FD464/FC464-1</f>
        <v>6.4533658106263658E-2</v>
      </c>
      <c r="FE474" s="1169">
        <f t="shared" si="2242"/>
        <v>8.1731128952879928E-2</v>
      </c>
      <c r="FF474" s="1169">
        <f t="shared" si="2242"/>
        <v>8.0462447569710438E-2</v>
      </c>
      <c r="FG474" s="1169">
        <f t="shared" si="2242"/>
        <v>6.9076230259469185E-2</v>
      </c>
      <c r="FH474" s="1169">
        <f t="shared" si="2242"/>
        <v>5.9261362886185553E-2</v>
      </c>
      <c r="FI474" s="1169">
        <f t="shared" si="2242"/>
        <v>4.96365392166771E-2</v>
      </c>
    </row>
    <row r="475" spans="1:167" s="94" customFormat="1" x14ac:dyDescent="0.3">
      <c r="A475" s="73" t="s">
        <v>470</v>
      </c>
      <c r="DY475" s="141"/>
      <c r="ED475" s="141"/>
      <c r="EE475" s="1168">
        <f t="shared" si="2228"/>
        <v>-8.5871699906431842E-2</v>
      </c>
      <c r="EF475" s="1168">
        <f t="shared" si="2229"/>
        <v>-6.9093335708577341E-2</v>
      </c>
      <c r="EG475" s="1168">
        <f t="shared" si="2230"/>
        <v>-7.3407370359303781E-2</v>
      </c>
      <c r="EH475" s="1168">
        <f t="shared" si="2230"/>
        <v>-8.6436393926213717E-2</v>
      </c>
      <c r="EI475" s="1169">
        <f t="shared" si="2231"/>
        <v>-7.8744386651436793E-2</v>
      </c>
      <c r="EJ475" s="1168">
        <f t="shared" si="2230"/>
        <v>-3.6211739000777787E-2</v>
      </c>
      <c r="EK475" s="1168">
        <f t="shared" si="2230"/>
        <v>-3.1276834973003376E-2</v>
      </c>
      <c r="EL475" s="1168">
        <f t="shared" si="2230"/>
        <v>2.3458530317961301E-3</v>
      </c>
      <c r="EM475" s="1168">
        <f t="shared" si="2230"/>
        <v>2.0096618552722267E-2</v>
      </c>
      <c r="EN475" s="1169">
        <f t="shared" si="2232"/>
        <v>-1.1605804193601799E-2</v>
      </c>
      <c r="EO475" s="1168">
        <f t="shared" si="2230"/>
        <v>3.4328167999322368E-3</v>
      </c>
      <c r="EP475" s="1168">
        <f t="shared" si="2230"/>
        <v>5.7135686947538122E-3</v>
      </c>
      <c r="EQ475" s="1168">
        <f t="shared" si="2230"/>
        <v>-2.5178003724967479E-2</v>
      </c>
      <c r="ER475" s="1168">
        <f t="shared" si="2230"/>
        <v>-2.8908260656191453E-2</v>
      </c>
      <c r="ES475" s="1169">
        <f t="shared" si="2233"/>
        <v>-1.1377546449241493E-2</v>
      </c>
      <c r="ET475" s="1168">
        <f t="shared" si="2230"/>
        <v>-1.4590675910244655E-2</v>
      </c>
      <c r="EU475" s="1168">
        <f t="shared" si="2230"/>
        <v>-8.2375455796768193E-3</v>
      </c>
      <c r="EV475" s="1168">
        <f t="shared" si="2230"/>
        <v>1.4022898467392686E-2</v>
      </c>
      <c r="EW475" s="1168">
        <f t="shared" si="2230"/>
        <v>2.5050179913347792E-2</v>
      </c>
      <c r="EX475" s="1169">
        <f t="shared" si="2234"/>
        <v>3.9519508838914419E-3</v>
      </c>
      <c r="EY475" s="1168">
        <f t="shared" si="2235"/>
        <v>2.8151221307881169E-2</v>
      </c>
      <c r="EZ475" s="1168">
        <f t="shared" si="2236"/>
        <v>3.34130804212458E-2</v>
      </c>
      <c r="FA475" s="1168">
        <f t="shared" si="2237"/>
        <v>4.2219034743985251E-2</v>
      </c>
      <c r="FB475" s="1168">
        <f t="shared" si="2238"/>
        <v>5.3919190704548203E-2</v>
      </c>
      <c r="FC475" s="1169">
        <f t="shared" si="2238"/>
        <v>3.9518909170019212E-2</v>
      </c>
      <c r="FD475" s="1168">
        <f t="shared" ref="FD475:FI475" si="2243">FD465/FC465-1</f>
        <v>7.8448532043097874E-2</v>
      </c>
      <c r="FE475" s="1168">
        <f t="shared" si="2243"/>
        <v>9.3782145497751657E-2</v>
      </c>
      <c r="FF475" s="1168">
        <f t="shared" si="2243"/>
        <v>0.10357265328439036</v>
      </c>
      <c r="FG475" s="1168">
        <f t="shared" si="2243"/>
        <v>0.10785479095379946</v>
      </c>
      <c r="FH475" s="1168">
        <f t="shared" si="2243"/>
        <v>0.11014340809671364</v>
      </c>
      <c r="FI475" s="1168">
        <f t="shared" si="2243"/>
        <v>0.11116132482489927</v>
      </c>
    </row>
    <row r="476" spans="1:167" s="94" customFormat="1" x14ac:dyDescent="0.3">
      <c r="A476" s="73" t="s">
        <v>471</v>
      </c>
      <c r="DY476" s="141"/>
      <c r="ED476" s="141"/>
      <c r="EE476" s="1168">
        <f t="shared" si="2228"/>
        <v>-8.4378010756468225E-2</v>
      </c>
      <c r="EF476" s="1168">
        <f t="shared" si="2229"/>
        <v>-8.5396221042413401E-2</v>
      </c>
      <c r="EG476" s="1168">
        <f t="shared" si="2230"/>
        <v>-6.1171935600311755E-2</v>
      </c>
      <c r="EH476" s="1168">
        <f t="shared" si="2230"/>
        <v>-5.562917961517988E-2</v>
      </c>
      <c r="EI476" s="1169">
        <f t="shared" si="2231"/>
        <v>-7.2056059278210016E-2</v>
      </c>
      <c r="EJ476" s="1168">
        <f t="shared" si="2230"/>
        <v>-7.1582387541986203E-2</v>
      </c>
      <c r="EK476" s="1168">
        <f t="shared" si="2230"/>
        <v>-7.0801117714063833E-2</v>
      </c>
      <c r="EL476" s="1168">
        <f t="shared" si="2230"/>
        <v>-8.2387620931313799E-2</v>
      </c>
      <c r="EM476" s="1168">
        <f t="shared" si="2230"/>
        <v>-3.1076794597349577E-2</v>
      </c>
      <c r="EN476" s="1169">
        <f t="shared" si="2232"/>
        <v>-6.423140645722536E-2</v>
      </c>
      <c r="EO476" s="1168">
        <f t="shared" si="2230"/>
        <v>-1.517415885036022E-2</v>
      </c>
      <c r="EP476" s="1168">
        <f t="shared" si="2230"/>
        <v>2.8075131483797922E-3</v>
      </c>
      <c r="EQ476" s="1168">
        <f t="shared" si="2230"/>
        <v>-9.4408417365753339E-3</v>
      </c>
      <c r="ER476" s="1168">
        <f t="shared" si="2230"/>
        <v>-3.7179128393059702E-2</v>
      </c>
      <c r="ES476" s="1169">
        <f t="shared" si="2233"/>
        <v>-1.4837160483459955E-2</v>
      </c>
      <c r="ET476" s="1168">
        <f t="shared" si="2230"/>
        <v>4.8049034978998595E-3</v>
      </c>
      <c r="EU476" s="1168">
        <f t="shared" si="2230"/>
        <v>4.1274914380306393E-2</v>
      </c>
      <c r="EV476" s="1168">
        <f t="shared" si="2230"/>
        <v>8.2009701189788231E-2</v>
      </c>
      <c r="EW476" s="1168">
        <f t="shared" si="2230"/>
        <v>9.6371171870162087E-2</v>
      </c>
      <c r="EX476" s="1169">
        <f t="shared" si="2234"/>
        <v>5.5531932884018032E-2</v>
      </c>
      <c r="EY476" s="1168">
        <f t="shared" si="2235"/>
        <v>-8.095013713735888E-3</v>
      </c>
      <c r="EZ476" s="1168">
        <f t="shared" si="2236"/>
        <v>-7.1327447112641273E-3</v>
      </c>
      <c r="FA476" s="1168">
        <f t="shared" si="2237"/>
        <v>-6.0802215667737913E-3</v>
      </c>
      <c r="FB476" s="1168">
        <f t="shared" si="2238"/>
        <v>-6.4248687212918876E-3</v>
      </c>
      <c r="FC476" s="1169">
        <f t="shared" si="2238"/>
        <v>-6.9205041827876679E-3</v>
      </c>
      <c r="FD476" s="1168">
        <f t="shared" ref="FD476:FI476" si="2244">FD466/FC466-1</f>
        <v>-9.7936247992589376E-3</v>
      </c>
      <c r="FE476" s="1168">
        <f t="shared" si="2244"/>
        <v>-1.237949145597006E-2</v>
      </c>
      <c r="FF476" s="1168">
        <f t="shared" si="2244"/>
        <v>-1.450231869994989E-2</v>
      </c>
      <c r="FG476" s="1168">
        <f t="shared" si="2244"/>
        <v>-1.6258757662057866E-2</v>
      </c>
      <c r="FH476" s="1168">
        <f t="shared" si="2244"/>
        <v>-1.7730513632029155E-2</v>
      </c>
      <c r="FI476" s="1168">
        <f t="shared" si="2244"/>
        <v>-1.89846399892597E-2</v>
      </c>
    </row>
    <row r="477" spans="1:167" s="94" customFormat="1" x14ac:dyDescent="0.3">
      <c r="A477" s="73" t="s">
        <v>472</v>
      </c>
      <c r="DY477" s="141"/>
      <c r="ED477" s="141"/>
      <c r="EE477" s="1169">
        <f t="shared" si="2228"/>
        <v>-8.4507042253521125E-2</v>
      </c>
      <c r="EF477" s="1169">
        <f t="shared" si="2229"/>
        <v>-8.3989501312336068E-2</v>
      </c>
      <c r="EG477" s="1169">
        <f t="shared" si="2230"/>
        <v>-6.224627875507438E-2</v>
      </c>
      <c r="EH477" s="1169">
        <f t="shared" si="2230"/>
        <v>-5.841446453407495E-2</v>
      </c>
      <c r="EI477" s="1169">
        <f t="shared" si="2231"/>
        <v>-7.2642452515828015E-2</v>
      </c>
      <c r="EJ477" s="1169">
        <f t="shared" si="2230"/>
        <v>-6.853146853146852E-2</v>
      </c>
      <c r="EK477" s="1169">
        <f t="shared" si="2230"/>
        <v>-6.7335243553008794E-2</v>
      </c>
      <c r="EL477" s="1169">
        <f t="shared" si="2230"/>
        <v>-7.5036075036075012E-2</v>
      </c>
      <c r="EM477" s="1169">
        <f t="shared" si="2230"/>
        <v>-2.6587887740029736E-2</v>
      </c>
      <c r="EN477" s="1169">
        <f t="shared" si="2232"/>
        <v>-5.964786201940353E-2</v>
      </c>
      <c r="EO477" s="1169">
        <f t="shared" si="2230"/>
        <v>-1.3513513513513487E-2</v>
      </c>
      <c r="EP477" s="1169">
        <f t="shared" si="2230"/>
        <v>3.0721966205840001E-3</v>
      </c>
      <c r="EQ477" s="1169">
        <f t="shared" si="2230"/>
        <v>-1.0920436817472678E-2</v>
      </c>
      <c r="ER477" s="1169">
        <f t="shared" si="2230"/>
        <v>-3.6418816388467334E-2</v>
      </c>
      <c r="ES477" s="1169">
        <f t="shared" si="2233"/>
        <v>-1.4520443255636173E-2</v>
      </c>
      <c r="ET477" s="1169">
        <f t="shared" si="2230"/>
        <v>3.0441400304415112E-3</v>
      </c>
      <c r="EU477" s="1169">
        <f t="shared" si="2230"/>
        <v>3.6753445635528292E-2</v>
      </c>
      <c r="EV477" s="1169">
        <f t="shared" si="2230"/>
        <v>7.5709779179810477E-2</v>
      </c>
      <c r="EW477" s="1169">
        <f t="shared" si="2230"/>
        <v>8.9763779527558984E-2</v>
      </c>
      <c r="EX477" s="1169">
        <f t="shared" si="2234"/>
        <v>5.0794881737107334E-2</v>
      </c>
      <c r="EY477" s="1169">
        <f t="shared" si="2235"/>
        <v>-4.8623704175551063E-3</v>
      </c>
      <c r="EZ477" s="1169">
        <f t="shared" si="2236"/>
        <v>-3.5907871976036398E-3</v>
      </c>
      <c r="FA477" s="1169">
        <f t="shared" si="2237"/>
        <v>-1.861278695228008E-3</v>
      </c>
      <c r="FB477" s="1169">
        <f t="shared" si="2238"/>
        <v>-1.1663914602862979E-3</v>
      </c>
      <c r="FC477" s="1169">
        <f t="shared" si="2238"/>
        <v>-2.8456826563137971E-3</v>
      </c>
      <c r="FD477" s="1169">
        <f t="shared" ref="FD477:FI477" si="2245">FD467/FC467-1</f>
        <v>-1.7218692417726444E-3</v>
      </c>
      <c r="FE477" s="1169">
        <f t="shared" si="2245"/>
        <v>-1.8887216009908503E-3</v>
      </c>
      <c r="FF477" s="1169">
        <f t="shared" si="2245"/>
        <v>-1.7158838199611282E-3</v>
      </c>
      <c r="FG477" s="1169">
        <f t="shared" si="2245"/>
        <v>-1.4008524989210791E-3</v>
      </c>
      <c r="FH477" s="1169">
        <f t="shared" si="2245"/>
        <v>-7.4760696822495643E-4</v>
      </c>
      <c r="FI477" s="1169">
        <f t="shared" si="2245"/>
        <v>2.1816329396751044E-4</v>
      </c>
    </row>
    <row r="478" spans="1:167" s="141" customFormat="1" x14ac:dyDescent="0.3">
      <c r="A478" s="1108" t="s">
        <v>473</v>
      </c>
      <c r="EE478" s="1169">
        <f t="shared" si="2228"/>
        <v>-7.585791691751953E-2</v>
      </c>
      <c r="EF478" s="1169">
        <f t="shared" si="2229"/>
        <v>-6.6008636644046881E-2</v>
      </c>
      <c r="EG478" s="1169">
        <f t="shared" si="2230"/>
        <v>-5.3865652724968349E-2</v>
      </c>
      <c r="EH478" s="1169">
        <f t="shared" si="2230"/>
        <v>-6.2941554271034095E-2</v>
      </c>
      <c r="EI478" s="1169">
        <f t="shared" si="2231"/>
        <v>-6.482780115318687E-2</v>
      </c>
      <c r="EJ478" s="1169">
        <f t="shared" si="2230"/>
        <v>-6.0586319218241091E-2</v>
      </c>
      <c r="EK478" s="1169">
        <f t="shared" si="2230"/>
        <v>-4.7556142668428003E-2</v>
      </c>
      <c r="EL478" s="1169">
        <f t="shared" si="2230"/>
        <v>-4.4876088412592052E-2</v>
      </c>
      <c r="EM478" s="1169">
        <f t="shared" si="2230"/>
        <v>-2.4674434544208368E-2</v>
      </c>
      <c r="EN478" s="1169">
        <f t="shared" si="2232"/>
        <v>-4.4659223462756192E-2</v>
      </c>
      <c r="EO478" s="1169">
        <f t="shared" si="2230"/>
        <v>-1.6643550624133141E-2</v>
      </c>
      <c r="EP478" s="1169">
        <f t="shared" si="2230"/>
        <v>-9.7087378640776656E-3</v>
      </c>
      <c r="EQ478" s="1169">
        <f t="shared" si="2230"/>
        <v>-3.5063113604487661E-3</v>
      </c>
      <c r="ER478" s="1169">
        <f t="shared" si="2230"/>
        <v>-9.8383696416022293E-3</v>
      </c>
      <c r="ES478" s="1169">
        <f t="shared" si="2233"/>
        <v>-9.9424385138671134E-3</v>
      </c>
      <c r="ET478" s="1169">
        <f t="shared" si="2230"/>
        <v>1.9746121297602226E-2</v>
      </c>
      <c r="EU478" s="1169">
        <f t="shared" si="2230"/>
        <v>2.6610644257702987E-2</v>
      </c>
      <c r="EV478" s="1169">
        <f t="shared" si="2230"/>
        <v>3.5186488388458725E-2</v>
      </c>
      <c r="EW478" s="1169">
        <f t="shared" si="2230"/>
        <v>5.7487579843860992E-2</v>
      </c>
      <c r="EX478" s="1169">
        <f t="shared" si="2234"/>
        <v>3.4707540521494051E-2</v>
      </c>
      <c r="EY478" s="1169">
        <f t="shared" si="2235"/>
        <v>5.9635896600236382E-3</v>
      </c>
      <c r="EZ478" s="1169">
        <f t="shared" si="2236"/>
        <v>1.1960878178972401E-2</v>
      </c>
      <c r="FA478" s="1169">
        <f t="shared" si="2237"/>
        <v>1.688033713151027E-2</v>
      </c>
      <c r="FB478" s="1169">
        <f t="shared" si="2238"/>
        <v>2.20365135206122E-2</v>
      </c>
      <c r="FC478" s="1169">
        <f t="shared" si="2238"/>
        <v>1.427266799334781E-2</v>
      </c>
      <c r="FD478" s="1169">
        <f t="shared" ref="FD478:FI478" si="2246">FD468/FC468-1</f>
        <v>3.4477113142231453E-2</v>
      </c>
      <c r="FE478" s="1169">
        <f t="shared" si="2246"/>
        <v>4.5124730813945746E-2</v>
      </c>
      <c r="FF478" s="1169">
        <f t="shared" si="2246"/>
        <v>4.6105405311482661E-2</v>
      </c>
      <c r="FG478" s="1169">
        <f t="shared" si="2246"/>
        <v>4.0958187674751345E-2</v>
      </c>
      <c r="FH478" s="1169">
        <f t="shared" si="2246"/>
        <v>3.6293994190969459E-2</v>
      </c>
      <c r="FI478" s="1169">
        <f t="shared" si="2246"/>
        <v>3.1398600369021201E-2</v>
      </c>
    </row>
    <row r="479" spans="1:167" s="94" customFormat="1" x14ac:dyDescent="0.3">
      <c r="A479" s="73" t="s">
        <v>474</v>
      </c>
      <c r="DY479" s="141"/>
      <c r="ED479" s="141"/>
      <c r="EE479" s="1169">
        <f t="shared" si="2228"/>
        <v>9.375E-2</v>
      </c>
      <c r="EF479" s="1169">
        <f t="shared" si="2229"/>
        <v>-0.22556390977443608</v>
      </c>
      <c r="EG479" s="1169">
        <f t="shared" si="2230"/>
        <v>-0.44295302013422821</v>
      </c>
      <c r="EH479" s="1169">
        <f t="shared" si="2230"/>
        <v>-0.39568345323741005</v>
      </c>
      <c r="EI479" s="1169">
        <f t="shared" si="2231"/>
        <v>-0.25318761384335153</v>
      </c>
      <c r="EJ479" s="1169">
        <f t="shared" si="2230"/>
        <v>-0.9642857142857143</v>
      </c>
      <c r="EK479" s="1169">
        <f t="shared" si="2230"/>
        <v>-0.83495145631067957</v>
      </c>
      <c r="EL479" s="1169">
        <f t="shared" si="2230"/>
        <v>-0.7831325301204819</v>
      </c>
      <c r="EM479" s="1169">
        <f t="shared" si="2230"/>
        <v>-0.83333333333333337</v>
      </c>
      <c r="EN479" s="1169">
        <f t="shared" si="2232"/>
        <v>-0.86829268292682926</v>
      </c>
      <c r="EO479" s="1169">
        <f t="shared" si="2230"/>
        <v>3.4000000000000004</v>
      </c>
      <c r="EP479" s="1169">
        <f t="shared" si="2230"/>
        <v>0.23529411764705888</v>
      </c>
      <c r="EQ479" s="1169">
        <f t="shared" si="2230"/>
        <v>-0.16666666666666663</v>
      </c>
      <c r="ER479" s="1169">
        <f t="shared" si="2230"/>
        <v>0.21428571428571419</v>
      </c>
      <c r="ES479" s="1169">
        <f t="shared" si="2233"/>
        <v>0.38888888888888884</v>
      </c>
      <c r="ET479" s="1169">
        <f t="shared" si="2230"/>
        <v>-0.27272727272727271</v>
      </c>
      <c r="EU479" s="1169">
        <f t="shared" si="2230"/>
        <v>-0.33333333333333337</v>
      </c>
      <c r="EV479" s="1169">
        <f t="shared" si="2230"/>
        <v>0.19999999999999996</v>
      </c>
      <c r="EW479" s="1169">
        <f t="shared" si="2230"/>
        <v>-5.8823529411764719E-2</v>
      </c>
      <c r="EX479" s="1169">
        <f t="shared" si="2234"/>
        <v>-0.14666666666666661</v>
      </c>
      <c r="EY479" s="1169">
        <f t="shared" si="2235"/>
        <v>0</v>
      </c>
      <c r="EZ479" s="1169">
        <f t="shared" si="2236"/>
        <v>0</v>
      </c>
      <c r="FA479" s="1169">
        <f t="shared" si="2237"/>
        <v>0</v>
      </c>
      <c r="FB479" s="1169">
        <f t="shared" si="2238"/>
        <v>0</v>
      </c>
      <c r="FC479" s="1169">
        <f t="shared" si="2238"/>
        <v>0</v>
      </c>
      <c r="FD479" s="1169">
        <f t="shared" ref="FD479:FI479" si="2247">FD469/FC469-1</f>
        <v>0</v>
      </c>
      <c r="FE479" s="1169">
        <f t="shared" si="2247"/>
        <v>0</v>
      </c>
      <c r="FF479" s="1169">
        <f t="shared" si="2247"/>
        <v>0</v>
      </c>
      <c r="FG479" s="1169">
        <f t="shared" si="2247"/>
        <v>0</v>
      </c>
      <c r="FH479" s="1169">
        <f t="shared" si="2247"/>
        <v>0</v>
      </c>
      <c r="FI479" s="1169">
        <f t="shared" si="2247"/>
        <v>0</v>
      </c>
    </row>
    <row r="480" spans="1:167" s="141" customFormat="1" x14ac:dyDescent="0.3">
      <c r="A480" s="1108" t="s">
        <v>475</v>
      </c>
      <c r="EE480" s="1169">
        <f t="shared" si="2228"/>
        <v>-6.3722750139742823E-2</v>
      </c>
      <c r="EF480" s="1169">
        <f t="shared" si="2229"/>
        <v>-7.8107183580387707E-2</v>
      </c>
      <c r="EG480" s="1169">
        <f t="shared" si="2230"/>
        <v>-8.7434858135495119E-2</v>
      </c>
      <c r="EH480" s="1169">
        <f t="shared" si="2230"/>
        <v>-9.0212264150943411E-2</v>
      </c>
      <c r="EI480" s="1169">
        <f t="shared" si="2231"/>
        <v>-7.9672695951765737E-2</v>
      </c>
      <c r="EJ480" s="1169">
        <f t="shared" si="2230"/>
        <v>-0.13611940298507463</v>
      </c>
      <c r="EK480" s="1169">
        <f t="shared" si="2230"/>
        <v>-9.7711811997526321E-2</v>
      </c>
      <c r="EL480" s="1169">
        <f t="shared" si="2230"/>
        <v>-8.3756345177664948E-2</v>
      </c>
      <c r="EM480" s="1169">
        <f t="shared" si="2230"/>
        <v>-6.8697342838626052E-2</v>
      </c>
      <c r="EN480" s="1169">
        <f t="shared" si="2232"/>
        <v>-9.7332709405708928E-2</v>
      </c>
      <c r="EO480" s="1169">
        <f t="shared" si="2230"/>
        <v>-4.8375950241880128E-3</v>
      </c>
      <c r="EP480" s="1169">
        <f t="shared" si="2230"/>
        <v>-6.8540095956134417E-3</v>
      </c>
      <c r="EQ480" s="1169">
        <f t="shared" si="2230"/>
        <v>-5.5401662049860967E-3</v>
      </c>
      <c r="ER480" s="1169">
        <f t="shared" si="2230"/>
        <v>-7.6548364648573175E-3</v>
      </c>
      <c r="ES480" s="1169">
        <f t="shared" si="2233"/>
        <v>-6.2208398133748455E-3</v>
      </c>
      <c r="ET480" s="1169">
        <f t="shared" si="2230"/>
        <v>1.5277777777777724E-2</v>
      </c>
      <c r="EU480" s="1169">
        <f t="shared" si="2230"/>
        <v>2.1394064872325647E-2</v>
      </c>
      <c r="EV480" s="1169">
        <f t="shared" si="2230"/>
        <v>3.6908077994429078E-2</v>
      </c>
      <c r="EW480" s="1169">
        <f t="shared" si="2230"/>
        <v>5.6100981767180924E-2</v>
      </c>
      <c r="EX480" s="1169">
        <f t="shared" si="2234"/>
        <v>3.234220135628596E-2</v>
      </c>
      <c r="EY480" s="1169">
        <f t="shared" si="2235"/>
        <v>5.898324656904208E-3</v>
      </c>
      <c r="EZ480" s="1169">
        <f t="shared" si="2236"/>
        <v>1.1847734736738946E-2</v>
      </c>
      <c r="FA480" s="1169">
        <f t="shared" si="2237"/>
        <v>1.6676276642344945E-2</v>
      </c>
      <c r="FB480" s="1169">
        <f t="shared" si="2238"/>
        <v>2.1802393855054447E-2</v>
      </c>
      <c r="FC480" s="1169">
        <f t="shared" si="2238"/>
        <v>1.4118810699836892E-2</v>
      </c>
      <c r="FD480" s="1169">
        <f t="shared" ref="FD480:FI480" si="2248">FD470/FC470-1</f>
        <v>3.4110629174481488E-2</v>
      </c>
      <c r="FE480" s="1169">
        <f t="shared" si="2248"/>
        <v>4.4660887064367216E-2</v>
      </c>
      <c r="FF480" s="1169">
        <f t="shared" si="2248"/>
        <v>4.5651742067319256E-2</v>
      </c>
      <c r="FG480" s="1169">
        <f t="shared" si="2248"/>
        <v>4.0572766637204438E-2</v>
      </c>
      <c r="FH480" s="1169">
        <f t="shared" si="2248"/>
        <v>3.5965780272314785E-2</v>
      </c>
      <c r="FI480" s="1169">
        <f t="shared" si="2248"/>
        <v>3.1124514207917064E-2</v>
      </c>
    </row>
    <row r="481" spans="1:177" x14ac:dyDescent="0.3">
      <c r="ET481" s="90"/>
      <c r="EU481" s="90"/>
      <c r="EV481" s="90"/>
      <c r="EW481" s="90"/>
      <c r="EY481" s="90"/>
      <c r="EZ481" s="90"/>
      <c r="FA481" s="90"/>
      <c r="FB481" s="90"/>
    </row>
    <row r="482" spans="1:177" ht="12.75" customHeight="1" x14ac:dyDescent="0.3">
      <c r="A482" s="105" t="s">
        <v>476</v>
      </c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  <c r="AE482" s="106"/>
      <c r="AF482" s="106"/>
      <c r="AG482" s="106"/>
      <c r="AH482" s="106"/>
      <c r="AI482" s="106"/>
      <c r="AJ482" s="106"/>
      <c r="AK482" s="106"/>
      <c r="AL482" s="106"/>
      <c r="AM482" s="106"/>
      <c r="AN482" s="106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5"/>
      <c r="BM482" s="105"/>
      <c r="BN482" s="105"/>
      <c r="BO482" s="105"/>
      <c r="BP482" s="105"/>
      <c r="BQ482" s="105"/>
      <c r="BR482" s="106"/>
      <c r="BS482" s="106"/>
      <c r="BT482" s="106"/>
      <c r="BU482" s="106"/>
      <c r="BV482" s="105"/>
      <c r="BW482" s="106"/>
      <c r="BX482" s="106"/>
      <c r="BY482" s="106"/>
      <c r="BZ482" s="106"/>
      <c r="CA482" s="105"/>
      <c r="CB482" s="106"/>
      <c r="CC482" s="106"/>
      <c r="CD482" s="106"/>
      <c r="CE482" s="106"/>
      <c r="CF482" s="105"/>
      <c r="CG482" s="106"/>
      <c r="CH482" s="106"/>
      <c r="CI482" s="106"/>
      <c r="CJ482" s="106"/>
      <c r="CK482" s="105"/>
      <c r="CL482" s="106"/>
      <c r="CM482" s="106"/>
      <c r="CN482" s="106"/>
      <c r="CO482" s="106"/>
      <c r="CP482" s="105"/>
      <c r="CQ482" s="106"/>
      <c r="CR482" s="106"/>
      <c r="CS482" s="106"/>
      <c r="CT482" s="106"/>
      <c r="CU482" s="106"/>
      <c r="CV482" s="106"/>
      <c r="CW482" s="106"/>
      <c r="CX482" s="106"/>
      <c r="CY482" s="106"/>
      <c r="CZ482" s="106"/>
      <c r="DA482" s="106"/>
      <c r="DB482" s="106"/>
      <c r="DC482" s="106"/>
      <c r="DD482" s="106"/>
      <c r="DE482" s="106"/>
      <c r="DF482" s="106"/>
      <c r="DG482" s="106"/>
      <c r="DH482" s="106"/>
      <c r="DI482" s="106"/>
      <c r="DJ482" s="106"/>
      <c r="DK482" s="106"/>
      <c r="DL482" s="106"/>
      <c r="DM482" s="106"/>
      <c r="DN482" s="106"/>
      <c r="DO482" s="106"/>
      <c r="DP482" s="106"/>
      <c r="DQ482" s="106"/>
      <c r="DR482" s="106"/>
      <c r="DS482" s="106"/>
      <c r="DT482" s="106"/>
      <c r="DU482" s="107"/>
      <c r="DV482" s="107"/>
      <c r="DW482" s="107"/>
      <c r="DX482" s="107"/>
      <c r="DY482" s="1205"/>
      <c r="DZ482" s="107"/>
      <c r="EA482" s="107"/>
      <c r="EB482" s="107"/>
      <c r="EC482" s="107"/>
      <c r="ED482" s="1205"/>
      <c r="EE482" s="107"/>
      <c r="EF482" s="107"/>
      <c r="EG482" s="107"/>
      <c r="EH482" s="107"/>
      <c r="EI482" s="1205"/>
      <c r="EJ482" s="107"/>
      <c r="EK482" s="107"/>
      <c r="EL482" s="107"/>
      <c r="EM482" s="107"/>
      <c r="EN482" s="105"/>
      <c r="EO482" s="105"/>
      <c r="EP482" s="105"/>
      <c r="EQ482" s="105"/>
      <c r="ER482" s="105"/>
      <c r="ES482" s="106"/>
      <c r="ET482" s="105"/>
      <c r="EU482" s="105"/>
      <c r="EV482" s="105"/>
      <c r="EW482" s="105"/>
      <c r="EX482" s="106"/>
      <c r="EY482" s="105"/>
      <c r="EZ482" s="105"/>
      <c r="FA482" s="105"/>
      <c r="FB482" s="105"/>
      <c r="FC482" s="106"/>
      <c r="FD482" s="106"/>
      <c r="FE482" s="106"/>
      <c r="FF482" s="106"/>
      <c r="FG482" s="106"/>
      <c r="FH482" s="106"/>
      <c r="FI482" s="106"/>
      <c r="FJ482" s="106"/>
      <c r="FK482" s="106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</row>
    <row r="483" spans="1:177" ht="12.75" customHeight="1" x14ac:dyDescent="0.3">
      <c r="A483" s="110" t="s">
        <v>477</v>
      </c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3"/>
      <c r="AK483" s="193"/>
      <c r="AL483" s="193"/>
      <c r="AM483" s="193"/>
      <c r="AN483" s="193"/>
      <c r="AO483" s="193"/>
      <c r="AP483" s="193"/>
      <c r="AQ483" s="193"/>
      <c r="AR483" s="193"/>
      <c r="AS483" s="193"/>
      <c r="AT483" s="193"/>
      <c r="AU483" s="193"/>
      <c r="AV483" s="193"/>
      <c r="AW483" s="193"/>
      <c r="AX483" s="193"/>
      <c r="AY483" s="193"/>
      <c r="AZ483" s="193"/>
      <c r="BA483" s="193"/>
      <c r="BB483" s="193"/>
      <c r="BC483" s="193"/>
      <c r="BD483" s="193"/>
      <c r="BE483" s="193"/>
      <c r="BF483" s="193"/>
      <c r="BG483" s="193"/>
      <c r="BH483" s="193"/>
      <c r="BI483" s="193"/>
      <c r="BJ483" s="193"/>
      <c r="BK483" s="193"/>
      <c r="BL483" s="192"/>
      <c r="BM483" s="192"/>
      <c r="BN483" s="192"/>
      <c r="BO483" s="192"/>
      <c r="BP483" s="192"/>
      <c r="BQ483" s="192"/>
      <c r="BR483" s="193"/>
      <c r="BS483" s="193"/>
      <c r="BT483" s="193"/>
      <c r="BU483" s="193"/>
      <c r="BV483" s="192"/>
      <c r="BW483" s="193"/>
      <c r="BX483" s="193"/>
      <c r="BY483" s="193"/>
      <c r="BZ483" s="193"/>
      <c r="CA483" s="192"/>
      <c r="CB483" s="193"/>
      <c r="CC483" s="193"/>
      <c r="CD483" s="193"/>
      <c r="CE483" s="193"/>
      <c r="CF483" s="192"/>
      <c r="CG483" s="193"/>
      <c r="CH483" s="193"/>
      <c r="CI483" s="193"/>
      <c r="CJ483" s="193"/>
      <c r="CK483" s="192"/>
      <c r="CL483" s="193"/>
      <c r="CM483" s="193"/>
      <c r="CN483" s="193"/>
      <c r="CO483" s="193"/>
      <c r="CP483" s="192"/>
      <c r="CQ483" s="193"/>
      <c r="CR483" s="193"/>
      <c r="CS483" s="193"/>
      <c r="CT483" s="193"/>
      <c r="CU483" s="193"/>
      <c r="CV483" s="193"/>
      <c r="CW483" s="193"/>
      <c r="CX483" s="193"/>
      <c r="CY483" s="193"/>
      <c r="CZ483" s="193"/>
      <c r="DA483" s="193"/>
      <c r="DB483" s="193"/>
      <c r="DC483" s="193"/>
      <c r="DD483" s="193"/>
      <c r="DE483" s="193"/>
      <c r="DF483" s="193"/>
      <c r="DG483" s="193"/>
      <c r="DH483" s="193"/>
      <c r="DI483" s="193"/>
      <c r="DJ483" s="193"/>
      <c r="DK483" s="193"/>
      <c r="DL483" s="193"/>
      <c r="DM483" s="193"/>
      <c r="DN483" s="193"/>
      <c r="DO483" s="193"/>
      <c r="DP483" s="193"/>
      <c r="DQ483" s="193"/>
      <c r="DR483" s="193"/>
      <c r="DS483" s="193"/>
      <c r="DT483" s="193"/>
      <c r="DU483" s="76"/>
      <c r="DV483" s="76"/>
      <c r="DW483" s="76"/>
      <c r="DX483" s="76"/>
      <c r="DY483" s="475"/>
      <c r="DZ483" s="79">
        <f>Inputs!DZ140</f>
        <v>170</v>
      </c>
      <c r="EA483" s="79">
        <f>Inputs!EA140</f>
        <v>155</v>
      </c>
      <c r="EB483" s="79">
        <f>Inputs!EB140</f>
        <v>136</v>
      </c>
      <c r="EC483" s="79">
        <f>Inputs!EC140</f>
        <v>116</v>
      </c>
      <c r="ED483" s="85">
        <f>+SUM(DZ483:EC483)</f>
        <v>577</v>
      </c>
      <c r="EE483" s="79">
        <f>Inputs!EE140</f>
        <v>111</v>
      </c>
      <c r="EF483" s="79">
        <f>Inputs!EF140</f>
        <v>108</v>
      </c>
      <c r="EG483" s="79">
        <f>Inputs!EG140</f>
        <v>95</v>
      </c>
      <c r="EH483" s="79">
        <f>Inputs!EH140</f>
        <v>93</v>
      </c>
      <c r="EI483" s="85">
        <f>+SUM(EE483:EH483)</f>
        <v>407</v>
      </c>
      <c r="EJ483" s="79">
        <f>Inputs!EJ140</f>
        <v>92</v>
      </c>
      <c r="EK483" s="79">
        <f>Inputs!EK140</f>
        <v>87</v>
      </c>
      <c r="EL483" s="79">
        <f>Inputs!EL140</f>
        <v>81</v>
      </c>
      <c r="EM483" s="79">
        <f>Inputs!EM140</f>
        <v>76</v>
      </c>
      <c r="EN483" s="85">
        <f>+SUM(EJ483:EM483)</f>
        <v>336</v>
      </c>
      <c r="EO483" s="79">
        <f>Inputs!EO140</f>
        <v>76</v>
      </c>
      <c r="EP483" s="79">
        <f>Inputs!EP140</f>
        <v>71</v>
      </c>
      <c r="EQ483" s="79">
        <f>Inputs!EQ140</f>
        <v>65</v>
      </c>
      <c r="ER483" s="79">
        <f>Inputs!ER140</f>
        <v>61</v>
      </c>
      <c r="ES483" s="85">
        <f>+SUM(EO483:ER483)</f>
        <v>273</v>
      </c>
      <c r="ET483" s="79">
        <f>Inputs!ET140</f>
        <v>61</v>
      </c>
      <c r="EU483" s="79">
        <f>Inputs!EU140</f>
        <v>57</v>
      </c>
      <c r="EV483" s="79">
        <f>Inputs!EV140</f>
        <v>53</v>
      </c>
      <c r="EW483" s="79">
        <f>Inputs!EW140</f>
        <v>47</v>
      </c>
      <c r="EX483" s="85">
        <f>+SUM(ET483:EW483)</f>
        <v>218</v>
      </c>
      <c r="EY483" s="76">
        <f t="shared" ref="EY483:FB483" si="2249">EY217+EY355</f>
        <v>49.687399261702026</v>
      </c>
      <c r="EZ483" s="76">
        <f t="shared" si="2249"/>
        <v>46.686441301633643</v>
      </c>
      <c r="FA483" s="76">
        <f t="shared" si="2249"/>
        <v>43.254997888725207</v>
      </c>
      <c r="FB483" s="76">
        <f t="shared" si="2249"/>
        <v>38.400289902459981</v>
      </c>
      <c r="FC483" s="85">
        <f>+SUM(EY483:FB483)</f>
        <v>178.02912835452085</v>
      </c>
      <c r="FD483" s="76">
        <f t="shared" ref="FD483:FI483" si="2250">FD217+FD355</f>
        <v>142.61633023532823</v>
      </c>
      <c r="FE483" s="76">
        <f t="shared" si="2250"/>
        <v>112.59424568469657</v>
      </c>
      <c r="FF483" s="76">
        <f t="shared" si="2250"/>
        <v>89.338150118245863</v>
      </c>
      <c r="FG483" s="76">
        <f t="shared" si="2250"/>
        <v>71.07400611300136</v>
      </c>
      <c r="FH483" s="76">
        <f t="shared" si="2250"/>
        <v>56.613182578264407</v>
      </c>
      <c r="FI483" s="76">
        <f t="shared" si="2250"/>
        <v>45.111788397872537</v>
      </c>
      <c r="FJ483" s="189">
        <f>+(FF483/ES483)^0.2-1</f>
        <v>-0.20021204053279673</v>
      </c>
      <c r="FK483" s="193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</row>
    <row r="484" spans="1:177" ht="12.75" customHeight="1" x14ac:dyDescent="0.3">
      <c r="A484" s="70" t="s">
        <v>363</v>
      </c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3"/>
      <c r="AK484" s="193"/>
      <c r="AL484" s="193"/>
      <c r="AM484" s="193"/>
      <c r="AN484" s="193"/>
      <c r="AO484" s="193"/>
      <c r="AP484" s="193"/>
      <c r="AQ484" s="193"/>
      <c r="AR484" s="193"/>
      <c r="AS484" s="193"/>
      <c r="AT484" s="193"/>
      <c r="AU484" s="193"/>
      <c r="AV484" s="193"/>
      <c r="AW484" s="193"/>
      <c r="AX484" s="193"/>
      <c r="AY484" s="193"/>
      <c r="AZ484" s="193"/>
      <c r="BA484" s="193"/>
      <c r="BB484" s="193"/>
      <c r="BC484" s="193"/>
      <c r="BD484" s="193"/>
      <c r="BE484" s="193"/>
      <c r="BF484" s="193"/>
      <c r="BG484" s="193"/>
      <c r="BH484" s="193"/>
      <c r="BI484" s="193"/>
      <c r="BJ484" s="193"/>
      <c r="BK484" s="193"/>
      <c r="BL484" s="192"/>
      <c r="BM484" s="192"/>
      <c r="BN484" s="192"/>
      <c r="BO484" s="192"/>
      <c r="BP484" s="192"/>
      <c r="BQ484" s="192"/>
      <c r="BR484" s="193"/>
      <c r="BS484" s="193"/>
      <c r="BT484" s="193"/>
      <c r="BU484" s="193"/>
      <c r="BV484" s="192"/>
      <c r="BW484" s="193"/>
      <c r="BX484" s="193"/>
      <c r="BY484" s="193"/>
      <c r="BZ484" s="193"/>
      <c r="CA484" s="192"/>
      <c r="CB484" s="193"/>
      <c r="CC484" s="193"/>
      <c r="CD484" s="193"/>
      <c r="CE484" s="193"/>
      <c r="CF484" s="192"/>
      <c r="CG484" s="193"/>
      <c r="CH484" s="193"/>
      <c r="CI484" s="193"/>
      <c r="CJ484" s="193"/>
      <c r="CK484" s="192"/>
      <c r="CL484" s="193"/>
      <c r="CM484" s="193"/>
      <c r="CN484" s="193"/>
      <c r="CO484" s="193"/>
      <c r="CP484" s="192"/>
      <c r="CQ484" s="193"/>
      <c r="CR484" s="193"/>
      <c r="CS484" s="193"/>
      <c r="CT484" s="193"/>
      <c r="CU484" s="193"/>
      <c r="CV484" s="193"/>
      <c r="CW484" s="193"/>
      <c r="CX484" s="193"/>
      <c r="CY484" s="193"/>
      <c r="CZ484" s="193"/>
      <c r="DA484" s="193"/>
      <c r="DB484" s="193"/>
      <c r="DC484" s="193"/>
      <c r="DD484" s="193"/>
      <c r="DE484" s="193"/>
      <c r="DF484" s="193"/>
      <c r="DG484" s="193"/>
      <c r="DH484" s="193"/>
      <c r="DI484" s="193"/>
      <c r="DJ484" s="193"/>
      <c r="DK484" s="193"/>
      <c r="DL484" s="193"/>
      <c r="DM484" s="193"/>
      <c r="DN484" s="193"/>
      <c r="DO484" s="193"/>
      <c r="DP484" s="193"/>
      <c r="DQ484" s="193"/>
      <c r="DR484" s="193"/>
      <c r="DS484" s="193"/>
      <c r="DT484" s="193"/>
      <c r="DU484" s="194"/>
      <c r="DV484" s="194"/>
      <c r="DW484" s="194"/>
      <c r="DX484" s="194"/>
      <c r="DY484" s="1208"/>
      <c r="DZ484" s="75"/>
      <c r="EA484" s="75"/>
      <c r="EB484" s="75"/>
      <c r="EC484" s="75"/>
      <c r="ED484" s="84"/>
      <c r="EE484" s="75">
        <f t="shared" ref="EE484:EW484" si="2251">+EE483/DZ483-1</f>
        <v>-0.34705882352941175</v>
      </c>
      <c r="EF484" s="75">
        <f t="shared" si="2251"/>
        <v>-0.3032258064516129</v>
      </c>
      <c r="EG484" s="75">
        <f t="shared" si="2251"/>
        <v>-0.30147058823529416</v>
      </c>
      <c r="EH484" s="75">
        <f t="shared" si="2251"/>
        <v>-0.19827586206896552</v>
      </c>
      <c r="EI484" s="84">
        <f t="shared" si="2251"/>
        <v>-0.29462738301559788</v>
      </c>
      <c r="EJ484" s="75">
        <f t="shared" si="2251"/>
        <v>-0.1711711711711712</v>
      </c>
      <c r="EK484" s="75">
        <f t="shared" si="2251"/>
        <v>-0.19444444444444442</v>
      </c>
      <c r="EL484" s="75">
        <f t="shared" si="2251"/>
        <v>-0.14736842105263159</v>
      </c>
      <c r="EM484" s="75">
        <f t="shared" si="2251"/>
        <v>-0.18279569892473113</v>
      </c>
      <c r="EN484" s="84">
        <f t="shared" si="2251"/>
        <v>-0.1744471744471745</v>
      </c>
      <c r="EO484" s="75">
        <f t="shared" si="2251"/>
        <v>-0.17391304347826086</v>
      </c>
      <c r="EP484" s="75">
        <f t="shared" si="2251"/>
        <v>-0.18390804597701149</v>
      </c>
      <c r="EQ484" s="75">
        <f t="shared" si="2251"/>
        <v>-0.19753086419753085</v>
      </c>
      <c r="ER484" s="75">
        <f t="shared" si="2251"/>
        <v>-0.19736842105263153</v>
      </c>
      <c r="ES484" s="84">
        <f t="shared" ref="ES484" si="2252">+ES483/EN483-1</f>
        <v>-0.1875</v>
      </c>
      <c r="ET484" s="75">
        <f t="shared" si="2251"/>
        <v>-0.19736842105263153</v>
      </c>
      <c r="EU484" s="75">
        <f t="shared" si="2251"/>
        <v>-0.19718309859154926</v>
      </c>
      <c r="EV484" s="75">
        <f t="shared" si="2251"/>
        <v>-0.18461538461538463</v>
      </c>
      <c r="EW484" s="75">
        <f t="shared" si="2251"/>
        <v>-0.22950819672131151</v>
      </c>
      <c r="EX484" s="84">
        <f t="shared" ref="EX484" si="2253">+EX483/ES483-1</f>
        <v>-0.20146520146520142</v>
      </c>
      <c r="EY484" s="75">
        <f t="shared" ref="EY484" si="2254">+EY483/ET483-1</f>
        <v>-0.18545247111963892</v>
      </c>
      <c r="EZ484" s="75">
        <f t="shared" ref="EZ484" si="2255">+EZ483/EU483-1</f>
        <v>-0.18093962628712912</v>
      </c>
      <c r="FA484" s="75">
        <f t="shared" ref="FA484" si="2256">+FA483/EV483-1</f>
        <v>-0.18386796436367536</v>
      </c>
      <c r="FB484" s="75">
        <f t="shared" ref="FB484:FC484" si="2257">+FB483/EW483-1</f>
        <v>-0.18297255526680889</v>
      </c>
      <c r="FC484" s="84">
        <f t="shared" si="2257"/>
        <v>-0.18335262222696858</v>
      </c>
      <c r="FD484" s="75">
        <f t="shared" ref="FD484:FI484" si="2258">+FD483/FC483-1</f>
        <v>-0.19891575298101127</v>
      </c>
      <c r="FE484" s="75">
        <f t="shared" si="2258"/>
        <v>-0.21050944517428571</v>
      </c>
      <c r="FF484" s="75">
        <f t="shared" si="2258"/>
        <v>-0.20654781623188756</v>
      </c>
      <c r="FG484" s="75">
        <f t="shared" si="2258"/>
        <v>-0.20443835003378197</v>
      </c>
      <c r="FH484" s="75">
        <f t="shared" si="2258"/>
        <v>-0.20346149493452681</v>
      </c>
      <c r="FI484" s="75">
        <f t="shared" si="2258"/>
        <v>-0.20315752721535951</v>
      </c>
      <c r="FJ484" s="193"/>
      <c r="FK484" s="193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</row>
    <row r="485" spans="1:177" ht="12.75" customHeight="1" x14ac:dyDescent="0.3">
      <c r="A485" s="61" t="s">
        <v>386</v>
      </c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3"/>
      <c r="AK485" s="193"/>
      <c r="AL485" s="193"/>
      <c r="AM485" s="193"/>
      <c r="AN485" s="193"/>
      <c r="AO485" s="193"/>
      <c r="AP485" s="193"/>
      <c r="AQ485" s="193"/>
      <c r="AR485" s="193"/>
      <c r="AS485" s="193"/>
      <c r="AT485" s="193"/>
      <c r="AU485" s="193"/>
      <c r="AV485" s="193"/>
      <c r="AW485" s="193"/>
      <c r="AX485" s="193"/>
      <c r="AY485" s="193"/>
      <c r="AZ485" s="193"/>
      <c r="BA485" s="193"/>
      <c r="BB485" s="193"/>
      <c r="BC485" s="193"/>
      <c r="BD485" s="193"/>
      <c r="BE485" s="193"/>
      <c r="BF485" s="193"/>
      <c r="BG485" s="193"/>
      <c r="BH485" s="193"/>
      <c r="BI485" s="193"/>
      <c r="BJ485" s="193"/>
      <c r="BK485" s="193"/>
      <c r="BL485" s="192"/>
      <c r="BM485" s="192"/>
      <c r="BN485" s="192"/>
      <c r="BO485" s="192"/>
      <c r="BP485" s="192"/>
      <c r="BQ485" s="192"/>
      <c r="BR485" s="193"/>
      <c r="BS485" s="193"/>
      <c r="BT485" s="193"/>
      <c r="BU485" s="193"/>
      <c r="BV485" s="192"/>
      <c r="BW485" s="193"/>
      <c r="BX485" s="193"/>
      <c r="BY485" s="193"/>
      <c r="BZ485" s="193"/>
      <c r="CA485" s="192"/>
      <c r="CB485" s="193"/>
      <c r="CC485" s="193"/>
      <c r="CD485" s="193"/>
      <c r="CE485" s="193"/>
      <c r="CF485" s="192"/>
      <c r="CG485" s="193"/>
      <c r="CH485" s="193"/>
      <c r="CI485" s="193"/>
      <c r="CJ485" s="193"/>
      <c r="CK485" s="192"/>
      <c r="CL485" s="193"/>
      <c r="CM485" s="193"/>
      <c r="CN485" s="193"/>
      <c r="CO485" s="193"/>
      <c r="CP485" s="192"/>
      <c r="CQ485" s="193"/>
      <c r="CR485" s="193"/>
      <c r="CS485" s="193"/>
      <c r="CT485" s="193"/>
      <c r="CU485" s="193"/>
      <c r="CV485" s="193"/>
      <c r="CW485" s="193"/>
      <c r="CX485" s="193"/>
      <c r="CY485" s="193"/>
      <c r="CZ485" s="193"/>
      <c r="DA485" s="193"/>
      <c r="DB485" s="193"/>
      <c r="DC485" s="193"/>
      <c r="DD485" s="193"/>
      <c r="DE485" s="193"/>
      <c r="DF485" s="193"/>
      <c r="DG485" s="193"/>
      <c r="DH485" s="193"/>
      <c r="DI485" s="193"/>
      <c r="DJ485" s="193"/>
      <c r="DK485" s="193"/>
      <c r="DL485" s="193"/>
      <c r="DM485" s="193"/>
      <c r="DN485" s="193"/>
      <c r="DO485" s="193"/>
      <c r="DP485" s="193"/>
      <c r="DQ485" s="193"/>
      <c r="DR485" s="193"/>
      <c r="DS485" s="193"/>
      <c r="DT485" s="193"/>
      <c r="DU485" s="111"/>
      <c r="DV485" s="111"/>
      <c r="DW485" s="111"/>
      <c r="DX485" s="111"/>
      <c r="DY485" s="112"/>
      <c r="DZ485" s="111">
        <f>DZ483/DZ452*1000/3</f>
        <v>95.398428731762053</v>
      </c>
      <c r="EA485" s="111">
        <f t="shared" ref="EA485:EC485" si="2259">EA483/EA452*1000/3</f>
        <v>92.344355078939529</v>
      </c>
      <c r="EB485" s="111">
        <f t="shared" si="2259"/>
        <v>86.845466155810982</v>
      </c>
      <c r="EC485" s="111">
        <f t="shared" si="2259"/>
        <v>79.725085910652922</v>
      </c>
      <c r="ED485" s="112">
        <f>ED483/ED452*1000/12</f>
        <v>89.022602792563461</v>
      </c>
      <c r="EE485" s="111">
        <f>EE483/EE452*1000/3</f>
        <v>81.677704194260485</v>
      </c>
      <c r="EF485" s="111">
        <f t="shared" ref="EF485:EH485" si="2260">EF483/EF452*1000/3</f>
        <v>85.106382978723403</v>
      </c>
      <c r="EG485" s="111">
        <f t="shared" si="2260"/>
        <v>79.664570230607964</v>
      </c>
      <c r="EH485" s="111">
        <f t="shared" si="2260"/>
        <v>82.228116710875327</v>
      </c>
      <c r="EI485" s="112">
        <f>EI483/EI452*1000/12</f>
        <v>82.197313945269102</v>
      </c>
      <c r="EJ485" s="111">
        <f>EJ483/EJ452*1000/3</f>
        <v>85.303662494204914</v>
      </c>
      <c r="EK485" s="111">
        <f t="shared" ref="EK485:EM485" si="2261">EK483/EK452*1000/3</f>
        <v>85.043988269794724</v>
      </c>
      <c r="EL485" s="111">
        <f t="shared" si="2261"/>
        <v>84.243369734789397</v>
      </c>
      <c r="EM485" s="111">
        <f t="shared" si="2261"/>
        <v>83.885209713024281</v>
      </c>
      <c r="EN485" s="112">
        <f>EN483/EN452*1000/12</f>
        <v>84.656084656084644</v>
      </c>
      <c r="EO485" s="111">
        <f>EO483/EO452*1000/3</f>
        <v>88.8888888888889</v>
      </c>
      <c r="EP485" s="111">
        <f>EP483/EP452*1000/3</f>
        <v>89.139987445072208</v>
      </c>
      <c r="EQ485" s="111">
        <f>EQ483/EQ452*1000/3</f>
        <v>88.255261371350983</v>
      </c>
      <c r="ER485" s="111">
        <f>ER483/ER452*1000/3</f>
        <v>88.791848617176129</v>
      </c>
      <c r="ES485" s="112">
        <f>ES483/ES452*1000/12</f>
        <v>88.780487804878064</v>
      </c>
      <c r="ET485" s="111">
        <f>ET483/ET452*1000/3</f>
        <v>94.794094794094789</v>
      </c>
      <c r="EU485" s="111">
        <f>EU483/EU452*1000/3</f>
        <v>95</v>
      </c>
      <c r="EV485" s="111">
        <f>EV483/EV452*1000/3</f>
        <v>94.982078853046616</v>
      </c>
      <c r="EW485" s="111">
        <f>EW483/EW452*1000/3</f>
        <v>90.558766859344885</v>
      </c>
      <c r="EX485" s="112">
        <f>EX483/EX452*1000/12</f>
        <v>93.945270415858658</v>
      </c>
      <c r="EY485" s="111">
        <f t="shared" ref="EY485:FB485" si="2262">EY483/EY452*1000/3</f>
        <v>101.98624938196288</v>
      </c>
      <c r="EZ485" s="111">
        <f t="shared" si="2262"/>
        <v>102.28230177358934</v>
      </c>
      <c r="FA485" s="111">
        <f t="shared" si="2262"/>
        <v>102.30043950092448</v>
      </c>
      <c r="FB485" s="111">
        <f t="shared" si="2262"/>
        <v>97.957729696808869</v>
      </c>
      <c r="FC485" s="112">
        <f>FC483/FC452*1000/12</f>
        <v>101.2405832117128</v>
      </c>
      <c r="FD485" s="111">
        <f t="shared" ref="FD485:FI485" si="2263">FD483/FD452*1000/12</f>
        <v>108.91965671173425</v>
      </c>
      <c r="FE485" s="111">
        <f t="shared" si="2263"/>
        <v>117.00593424997548</v>
      </c>
      <c r="FF485" s="111">
        <f t="shared" si="2263"/>
        <v>125.52100894294239</v>
      </c>
      <c r="FG485" s="111">
        <f t="shared" si="2263"/>
        <v>134.4876189416606</v>
      </c>
      <c r="FH485" s="111">
        <f t="shared" si="2263"/>
        <v>143.9297081502875</v>
      </c>
      <c r="FI485" s="111">
        <f t="shared" si="2263"/>
        <v>153.87249016449493</v>
      </c>
      <c r="FJ485" s="189">
        <f>+(FF485/ES485)^0.2-1</f>
        <v>7.1716158975847932E-2</v>
      </c>
      <c r="FK485" s="193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</row>
    <row r="486" spans="1:177" ht="12.75" customHeight="1" x14ac:dyDescent="0.3">
      <c r="A486" s="70" t="s">
        <v>387</v>
      </c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3"/>
      <c r="AS486" s="193"/>
      <c r="AT486" s="193"/>
      <c r="AU486" s="193"/>
      <c r="AV486" s="193"/>
      <c r="AW486" s="193"/>
      <c r="AX486" s="193"/>
      <c r="AY486" s="193"/>
      <c r="AZ486" s="193"/>
      <c r="BA486" s="193"/>
      <c r="BB486" s="193"/>
      <c r="BC486" s="193"/>
      <c r="BD486" s="193"/>
      <c r="BE486" s="193"/>
      <c r="BF486" s="193"/>
      <c r="BG486" s="193"/>
      <c r="BH486" s="193"/>
      <c r="BI486" s="193"/>
      <c r="BJ486" s="193"/>
      <c r="BK486" s="193"/>
      <c r="BL486" s="192"/>
      <c r="BM486" s="192"/>
      <c r="BN486" s="192"/>
      <c r="BO486" s="192"/>
      <c r="BP486" s="192"/>
      <c r="BQ486" s="192"/>
      <c r="BR486" s="193"/>
      <c r="BS486" s="193"/>
      <c r="BT486" s="193"/>
      <c r="BU486" s="193"/>
      <c r="BV486" s="192"/>
      <c r="BW486" s="193"/>
      <c r="BX486" s="193"/>
      <c r="BY486" s="193"/>
      <c r="BZ486" s="193"/>
      <c r="CA486" s="192"/>
      <c r="CB486" s="193"/>
      <c r="CC486" s="193"/>
      <c r="CD486" s="193"/>
      <c r="CE486" s="193"/>
      <c r="CF486" s="192"/>
      <c r="CG486" s="193"/>
      <c r="CH486" s="193"/>
      <c r="CI486" s="193"/>
      <c r="CJ486" s="193"/>
      <c r="CK486" s="192"/>
      <c r="CL486" s="193"/>
      <c r="CM486" s="193"/>
      <c r="CN486" s="193"/>
      <c r="CO486" s="193"/>
      <c r="CP486" s="192"/>
      <c r="CQ486" s="193"/>
      <c r="CR486" s="193"/>
      <c r="CS486" s="193"/>
      <c r="CT486" s="193"/>
      <c r="CU486" s="193"/>
      <c r="CV486" s="193"/>
      <c r="CW486" s="193"/>
      <c r="CX486" s="193"/>
      <c r="CY486" s="193"/>
      <c r="CZ486" s="193"/>
      <c r="DA486" s="193"/>
      <c r="DB486" s="193"/>
      <c r="DC486" s="193"/>
      <c r="DD486" s="193"/>
      <c r="DE486" s="193"/>
      <c r="DF486" s="193"/>
      <c r="DG486" s="193"/>
      <c r="DH486" s="193"/>
      <c r="DI486" s="193"/>
      <c r="DJ486" s="193"/>
      <c r="DK486" s="193"/>
      <c r="DL486" s="193"/>
      <c r="DM486" s="193"/>
      <c r="DN486" s="193"/>
      <c r="DO486" s="193"/>
      <c r="DP486" s="193"/>
      <c r="DQ486" s="193"/>
      <c r="DR486" s="193"/>
      <c r="DS486" s="193"/>
      <c r="DT486" s="193"/>
      <c r="DU486" s="194"/>
      <c r="DV486" s="194"/>
      <c r="DW486" s="194"/>
      <c r="DX486" s="194"/>
      <c r="DY486" s="1208"/>
      <c r="DZ486" s="195"/>
      <c r="EA486" s="195"/>
      <c r="EB486" s="195"/>
      <c r="EC486" s="195"/>
      <c r="ED486" s="199"/>
      <c r="EE486" s="195">
        <f t="shared" ref="EE486:EW486" si="2264">+EE485/DZ485-1</f>
        <v>-0.14382547721075178</v>
      </c>
      <c r="EF486" s="195">
        <f t="shared" si="2264"/>
        <v>-7.838023335621136E-2</v>
      </c>
      <c r="EG486" s="195">
        <f t="shared" si="2264"/>
        <v>-8.2685904550499512E-2</v>
      </c>
      <c r="EH486" s="195">
        <f t="shared" si="2264"/>
        <v>3.1395774261410381E-2</v>
      </c>
      <c r="EI486" s="199">
        <f t="shared" si="2264"/>
        <v>-7.666916752814279E-2</v>
      </c>
      <c r="EJ486" s="195">
        <f t="shared" si="2264"/>
        <v>4.4393489456076463E-2</v>
      </c>
      <c r="EK486" s="195">
        <f t="shared" si="2264"/>
        <v>-7.3313782991202281E-4</v>
      </c>
      <c r="EL486" s="195">
        <f t="shared" si="2264"/>
        <v>5.7475983249856366E-2</v>
      </c>
      <c r="EM486" s="195">
        <f t="shared" si="2264"/>
        <v>2.0152389090650091E-2</v>
      </c>
      <c r="EN486" s="199">
        <f t="shared" si="2264"/>
        <v>2.9913029913029909E-2</v>
      </c>
      <c r="EO486" s="195">
        <f t="shared" si="2264"/>
        <v>4.202898550724643E-2</v>
      </c>
      <c r="EP486" s="195">
        <f t="shared" si="2264"/>
        <v>4.8163300647228402E-2</v>
      </c>
      <c r="EQ486" s="195">
        <f t="shared" si="2264"/>
        <v>4.7622639611777373E-2</v>
      </c>
      <c r="ER486" s="195">
        <f t="shared" si="2264"/>
        <v>5.8492300620547111E-2</v>
      </c>
      <c r="ES486" s="199">
        <f t="shared" ref="ES486" si="2265">+ES485/EN485-1</f>
        <v>4.8719512195122272E-2</v>
      </c>
      <c r="ET486" s="195">
        <f t="shared" si="2264"/>
        <v>6.6433566433566238E-2</v>
      </c>
      <c r="EU486" s="195">
        <f t="shared" si="2264"/>
        <v>6.573943661971815E-2</v>
      </c>
      <c r="EV486" s="195">
        <f t="shared" si="2264"/>
        <v>7.6220016542597469E-2</v>
      </c>
      <c r="EW486" s="195">
        <f t="shared" si="2264"/>
        <v>1.989955462901527E-2</v>
      </c>
      <c r="EX486" s="199">
        <f t="shared" ref="EX486" si="2266">+EX485/ES485-1</f>
        <v>5.8174749189616515E-2</v>
      </c>
      <c r="EY486" s="195">
        <f t="shared" ref="EY486" si="2267">+EY485/ET485-1</f>
        <v>7.5871335693329822E-2</v>
      </c>
      <c r="EZ486" s="195">
        <f t="shared" ref="EZ486" si="2268">+EZ485/EU485-1</f>
        <v>7.6655808143045734E-2</v>
      </c>
      <c r="FA486" s="195">
        <f t="shared" ref="FA486" si="2269">+FA485/EV485-1</f>
        <v>7.7049910217280138E-2</v>
      </c>
      <c r="FB486" s="195">
        <f t="shared" ref="FB486:FC486" si="2270">+FB485/EW485-1</f>
        <v>8.1703440694549156E-2</v>
      </c>
      <c r="FC486" s="199">
        <f t="shared" si="2270"/>
        <v>7.7654923590731784E-2</v>
      </c>
      <c r="FD486" s="195">
        <f t="shared" ref="FD486:FI486" si="2271">FD485/FC485-1</f>
        <v>7.5849755665305496E-2</v>
      </c>
      <c r="FE486" s="195">
        <f t="shared" si="2271"/>
        <v>7.4240754904711936E-2</v>
      </c>
      <c r="FF486" s="195">
        <f t="shared" si="2271"/>
        <v>7.2774725038945443E-2</v>
      </c>
      <c r="FG486" s="195">
        <f t="shared" si="2271"/>
        <v>7.1435133243663795E-2</v>
      </c>
      <c r="FH486" s="195">
        <f t="shared" si="2271"/>
        <v>7.020786956398406E-2</v>
      </c>
      <c r="FI486" s="195">
        <f t="shared" si="2271"/>
        <v>6.9080818282667877E-2</v>
      </c>
      <c r="FJ486" s="193"/>
      <c r="FK486" s="193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</row>
    <row r="487" spans="1:177" ht="12.75" customHeight="1" x14ac:dyDescent="0.3">
      <c r="A487" s="192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3"/>
      <c r="AK487" s="193"/>
      <c r="AL487" s="193"/>
      <c r="AM487" s="193"/>
      <c r="AN487" s="193"/>
      <c r="AO487" s="193"/>
      <c r="AP487" s="193"/>
      <c r="AQ487" s="193"/>
      <c r="AR487" s="193"/>
      <c r="AS487" s="193"/>
      <c r="AT487" s="193"/>
      <c r="AU487" s="193"/>
      <c r="AV487" s="193"/>
      <c r="AW487" s="193"/>
      <c r="AX487" s="193"/>
      <c r="AY487" s="193"/>
      <c r="AZ487" s="193"/>
      <c r="BA487" s="193"/>
      <c r="BB487" s="193"/>
      <c r="BC487" s="193"/>
      <c r="BD487" s="193"/>
      <c r="BE487" s="193"/>
      <c r="BF487" s="193"/>
      <c r="BG487" s="193"/>
      <c r="BH487" s="193"/>
      <c r="BI487" s="193"/>
      <c r="BJ487" s="193"/>
      <c r="BK487" s="193"/>
      <c r="BL487" s="192"/>
      <c r="BM487" s="192"/>
      <c r="BN487" s="192"/>
      <c r="BO487" s="192"/>
      <c r="BP487" s="192"/>
      <c r="BQ487" s="192"/>
      <c r="BR487" s="193"/>
      <c r="BS487" s="193"/>
      <c r="BT487" s="193"/>
      <c r="BU487" s="193"/>
      <c r="BV487" s="192"/>
      <c r="BW487" s="193"/>
      <c r="BX487" s="193"/>
      <c r="BY487" s="193"/>
      <c r="BZ487" s="193"/>
      <c r="CA487" s="192"/>
      <c r="CB487" s="193"/>
      <c r="CC487" s="193"/>
      <c r="CD487" s="193"/>
      <c r="CE487" s="193"/>
      <c r="CF487" s="192"/>
      <c r="CG487" s="193"/>
      <c r="CH487" s="193"/>
      <c r="CI487" s="193"/>
      <c r="CJ487" s="193"/>
      <c r="CK487" s="192"/>
      <c r="CL487" s="193"/>
      <c r="CM487" s="193"/>
      <c r="CN487" s="193"/>
      <c r="CO487" s="193"/>
      <c r="CP487" s="192"/>
      <c r="CQ487" s="193"/>
      <c r="CR487" s="193"/>
      <c r="CS487" s="193"/>
      <c r="CT487" s="193"/>
      <c r="CU487" s="193"/>
      <c r="CV487" s="193"/>
      <c r="CW487" s="193"/>
      <c r="CX487" s="193"/>
      <c r="CY487" s="193"/>
      <c r="CZ487" s="193"/>
      <c r="DA487" s="193"/>
      <c r="DB487" s="193"/>
      <c r="DC487" s="193"/>
      <c r="DD487" s="193"/>
      <c r="DE487" s="193"/>
      <c r="DF487" s="193"/>
      <c r="DG487" s="193"/>
      <c r="DH487" s="193"/>
      <c r="DI487" s="193"/>
      <c r="DJ487" s="193"/>
      <c r="DK487" s="193"/>
      <c r="DL487" s="193"/>
      <c r="DM487" s="193"/>
      <c r="DN487" s="193"/>
      <c r="DO487" s="193"/>
      <c r="DP487" s="193"/>
      <c r="DQ487" s="193"/>
      <c r="DR487" s="193"/>
      <c r="DS487" s="193"/>
      <c r="DT487" s="193"/>
      <c r="DU487" s="196"/>
      <c r="DV487" s="196"/>
      <c r="DW487" s="196"/>
      <c r="DX487" s="665"/>
      <c r="DY487" s="1191"/>
      <c r="DZ487" s="197"/>
      <c r="EB487" s="665"/>
      <c r="EC487" s="665"/>
      <c r="ED487" s="1204"/>
      <c r="EE487" s="197"/>
      <c r="EF487" s="197"/>
      <c r="EG487" s="197"/>
      <c r="EH487" s="197"/>
      <c r="EI487" s="1191"/>
      <c r="EJ487" s="197"/>
      <c r="EK487" s="197"/>
      <c r="EL487" s="197"/>
      <c r="EM487" s="197"/>
      <c r="EN487" s="1192"/>
      <c r="EO487" s="197"/>
      <c r="EP487" s="197"/>
      <c r="EQ487" s="197"/>
      <c r="ER487" s="197"/>
      <c r="ES487" s="1192"/>
      <c r="ET487" s="197"/>
      <c r="EU487" s="197"/>
      <c r="EV487" s="197"/>
      <c r="EW487" s="197"/>
      <c r="EX487" s="1192"/>
      <c r="EY487" s="197"/>
      <c r="EZ487" s="197"/>
      <c r="FA487" s="197"/>
      <c r="FB487" s="197"/>
      <c r="FC487" s="1192"/>
      <c r="FD487" s="198"/>
      <c r="FE487" s="198"/>
      <c r="FF487" s="198"/>
      <c r="FG487" s="198"/>
      <c r="FH487" s="198"/>
      <c r="FI487" s="198"/>
      <c r="FJ487" s="193"/>
      <c r="FK487" s="193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</row>
    <row r="488" spans="1:177" ht="12.75" hidden="1" customHeight="1" x14ac:dyDescent="0.3">
      <c r="A488" s="4" t="s">
        <v>478</v>
      </c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3"/>
      <c r="AK488" s="193"/>
      <c r="AL488" s="193"/>
      <c r="AM488" s="193"/>
      <c r="AN488" s="193"/>
      <c r="AO488" s="193"/>
      <c r="AP488" s="193"/>
      <c r="AQ488" s="193"/>
      <c r="AR488" s="193"/>
      <c r="AS488" s="193"/>
      <c r="AT488" s="193"/>
      <c r="AU488" s="193"/>
      <c r="AV488" s="193"/>
      <c r="AW488" s="193"/>
      <c r="AX488" s="193"/>
      <c r="AY488" s="193"/>
      <c r="AZ488" s="193"/>
      <c r="BA488" s="193"/>
      <c r="BB488" s="193"/>
      <c r="BC488" s="193"/>
      <c r="BD488" s="193"/>
      <c r="BE488" s="193"/>
      <c r="BF488" s="193"/>
      <c r="BG488" s="193"/>
      <c r="BH488" s="193"/>
      <c r="BI488" s="193"/>
      <c r="BJ488" s="193"/>
      <c r="BK488" s="193"/>
      <c r="BL488" s="192"/>
      <c r="BM488" s="192"/>
      <c r="BN488" s="192"/>
      <c r="BO488" s="192"/>
      <c r="BP488" s="192"/>
      <c r="BQ488" s="192"/>
      <c r="BR488" s="193"/>
      <c r="BS488" s="193"/>
      <c r="BT488" s="193"/>
      <c r="BU488" s="193"/>
      <c r="BV488" s="192"/>
      <c r="BW488" s="193"/>
      <c r="BX488" s="193"/>
      <c r="BY488" s="193"/>
      <c r="BZ488" s="193"/>
      <c r="CA488" s="192"/>
      <c r="CB488" s="193"/>
      <c r="CC488" s="193"/>
      <c r="CD488" s="193"/>
      <c r="CE488" s="193"/>
      <c r="CF488" s="192"/>
      <c r="CG488" s="193"/>
      <c r="CH488" s="193"/>
      <c r="CI488" s="193"/>
      <c r="CJ488" s="193"/>
      <c r="CK488" s="192"/>
      <c r="CL488" s="193"/>
      <c r="CM488" s="193"/>
      <c r="CN488" s="193"/>
      <c r="CO488" s="193"/>
      <c r="CP488" s="192"/>
      <c r="CQ488" s="193"/>
      <c r="CR488" s="193"/>
      <c r="CS488" s="193"/>
      <c r="CT488" s="193"/>
      <c r="CU488" s="193"/>
      <c r="CV488" s="193"/>
      <c r="CW488" s="193"/>
      <c r="CX488" s="193"/>
      <c r="CY488" s="193"/>
      <c r="CZ488" s="193"/>
      <c r="DA488" s="193"/>
      <c r="DB488" s="193"/>
      <c r="DC488" s="193"/>
      <c r="DD488" s="193"/>
      <c r="DE488" s="193"/>
      <c r="DF488" s="193"/>
      <c r="DG488" s="193"/>
      <c r="DH488" s="193"/>
      <c r="DI488" s="193"/>
      <c r="DJ488" s="193"/>
      <c r="DK488" s="193"/>
      <c r="DL488" s="193"/>
      <c r="DM488" s="193"/>
      <c r="DN488" s="193"/>
      <c r="DO488" s="193"/>
      <c r="DP488" s="193"/>
      <c r="DQ488" s="193"/>
      <c r="DR488" s="193"/>
      <c r="DS488" s="193"/>
      <c r="DT488" s="193"/>
      <c r="DU488" s="196"/>
      <c r="DV488" s="196"/>
      <c r="DW488" s="196"/>
      <c r="DX488" s="665"/>
      <c r="DY488" s="1191"/>
      <c r="DZ488" s="134" t="e">
        <f>DZ490*DZ180*3/1000</f>
        <v>#REF!</v>
      </c>
      <c r="EA488" s="134" t="e">
        <f>EA490*EA180*3/1000</f>
        <v>#REF!</v>
      </c>
      <c r="EB488" s="134" t="e">
        <f>EB490*EB180*3/1000</f>
        <v>#REF!</v>
      </c>
      <c r="EC488" s="134" t="e">
        <f>EC490*EC180*3/1000</f>
        <v>#REF!</v>
      </c>
      <c r="ED488" s="85" t="e">
        <f>SUM(DZ488:EC488)</f>
        <v>#REF!</v>
      </c>
      <c r="EE488" s="134" t="e">
        <f>EE490*EE180*3/1000</f>
        <v>#REF!</v>
      </c>
      <c r="EF488" s="134" t="e">
        <f>EF490*EF180*3/1000</f>
        <v>#REF!</v>
      </c>
      <c r="EG488" s="134" t="e">
        <f>EG490*EG180*3/1000</f>
        <v>#REF!</v>
      </c>
      <c r="EH488" s="134" t="e">
        <f>EH490*EH180*3/1000</f>
        <v>#REF!</v>
      </c>
      <c r="EI488" s="731" t="e">
        <f>SUM(EE488:EH488)</f>
        <v>#REF!</v>
      </c>
      <c r="EJ488" s="134" t="e">
        <f>EJ490*EJ180*3/1000</f>
        <v>#REF!</v>
      </c>
      <c r="EK488" s="134" t="e">
        <f>EK490*EK180*3/1000</f>
        <v>#REF!</v>
      </c>
      <c r="EL488" s="1129" t="e">
        <f>EL490*EL180*3/1000</f>
        <v>#REF!</v>
      </c>
      <c r="EM488" s="1129" t="e">
        <f>EM490*EM180*3/1000</f>
        <v>#REF!</v>
      </c>
      <c r="EN488" s="731" t="e">
        <f>SUM(EJ488:EM488)</f>
        <v>#REF!</v>
      </c>
      <c r="EO488" s="134" t="e">
        <f>EO490*EO180*3/1000</f>
        <v>#REF!</v>
      </c>
      <c r="EP488" s="1129" t="e">
        <f t="shared" ref="EP488" si="2272">EP490*EP180*3/1000</f>
        <v>#REF!</v>
      </c>
      <c r="EQ488" s="1129" t="e">
        <f t="shared" ref="EQ488:ER488" si="2273">EQ490*EQ180*3/1000</f>
        <v>#REF!</v>
      </c>
      <c r="ER488" s="1129" t="e">
        <f t="shared" si="2273"/>
        <v>#REF!</v>
      </c>
      <c r="ES488" s="731" t="e">
        <f>SUM(EO488:ER488)</f>
        <v>#REF!</v>
      </c>
      <c r="ET488" s="134" t="e">
        <f>ET490*ET180*3/1000</f>
        <v>#REF!</v>
      </c>
      <c r="EU488" s="134" t="e">
        <f>EU490*EU180*3/1000</f>
        <v>#REF!</v>
      </c>
      <c r="EV488" s="134" t="e">
        <f>EV490*EV180*3/1000</f>
        <v>#REF!</v>
      </c>
      <c r="EW488" s="134" t="e">
        <f>EW490*EW180*3/1000</f>
        <v>#REF!</v>
      </c>
      <c r="EX488" s="731" t="e">
        <f>SUM(ET488:EW488)</f>
        <v>#REF!</v>
      </c>
      <c r="EY488" s="1129" t="e">
        <f t="shared" ref="EY488:FB488" si="2274">EY490*EY180*3/1000</f>
        <v>#REF!</v>
      </c>
      <c r="EZ488" s="1129" t="e">
        <f t="shared" si="2274"/>
        <v>#REF!</v>
      </c>
      <c r="FA488" s="1129" t="e">
        <f t="shared" si="2274"/>
        <v>#REF!</v>
      </c>
      <c r="FB488" s="1129" t="e">
        <f t="shared" si="2274"/>
        <v>#REF!</v>
      </c>
      <c r="FC488" s="731" t="e">
        <f>SUM(EY488:FB488)</f>
        <v>#REF!</v>
      </c>
      <c r="FD488" s="1129" t="e">
        <f t="shared" ref="FD488:FI488" si="2275">FD490*FD180*12/1000</f>
        <v>#REF!</v>
      </c>
      <c r="FE488" s="1129" t="e">
        <f t="shared" si="2275"/>
        <v>#REF!</v>
      </c>
      <c r="FF488" s="1129" t="e">
        <f t="shared" si="2275"/>
        <v>#REF!</v>
      </c>
      <c r="FG488" s="1129" t="e">
        <f t="shared" si="2275"/>
        <v>#REF!</v>
      </c>
      <c r="FH488" s="1129" t="e">
        <f t="shared" si="2275"/>
        <v>#REF!</v>
      </c>
      <c r="FI488" s="1129" t="e">
        <f t="shared" si="2275"/>
        <v>#REF!</v>
      </c>
      <c r="FJ488" s="189"/>
      <c r="FK488" s="193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</row>
    <row r="489" spans="1:177" ht="12.75" hidden="1" customHeight="1" x14ac:dyDescent="0.3">
      <c r="A489" s="70" t="s">
        <v>363</v>
      </c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3"/>
      <c r="AQ489" s="193"/>
      <c r="AR489" s="193"/>
      <c r="AS489" s="193"/>
      <c r="AT489" s="193"/>
      <c r="AU489" s="193"/>
      <c r="AV489" s="193"/>
      <c r="AW489" s="193"/>
      <c r="AX489" s="193"/>
      <c r="AY489" s="193"/>
      <c r="AZ489" s="193"/>
      <c r="BA489" s="193"/>
      <c r="BB489" s="193"/>
      <c r="BC489" s="193"/>
      <c r="BD489" s="193"/>
      <c r="BE489" s="193"/>
      <c r="BF489" s="193"/>
      <c r="BG489" s="193"/>
      <c r="BH489" s="193"/>
      <c r="BI489" s="193"/>
      <c r="BJ489" s="193"/>
      <c r="BK489" s="193"/>
      <c r="BL489" s="192"/>
      <c r="BM489" s="192"/>
      <c r="BN489" s="192"/>
      <c r="BO489" s="192"/>
      <c r="BP489" s="192"/>
      <c r="BQ489" s="192"/>
      <c r="BR489" s="193"/>
      <c r="BS489" s="193"/>
      <c r="BT489" s="193"/>
      <c r="BU489" s="193"/>
      <c r="BV489" s="192"/>
      <c r="BW489" s="193"/>
      <c r="BX489" s="193"/>
      <c r="BY489" s="193"/>
      <c r="BZ489" s="193"/>
      <c r="CA489" s="192"/>
      <c r="CB489" s="193"/>
      <c r="CC489" s="193"/>
      <c r="CD489" s="193"/>
      <c r="CE489" s="193"/>
      <c r="CF489" s="192"/>
      <c r="CG489" s="193"/>
      <c r="CH489" s="193"/>
      <c r="CI489" s="193"/>
      <c r="CJ489" s="193"/>
      <c r="CK489" s="192"/>
      <c r="CL489" s="193"/>
      <c r="CM489" s="193"/>
      <c r="CN489" s="193"/>
      <c r="CO489" s="193"/>
      <c r="CP489" s="192"/>
      <c r="CQ489" s="193"/>
      <c r="CR489" s="193"/>
      <c r="CS489" s="193"/>
      <c r="CT489" s="193"/>
      <c r="CU489" s="193"/>
      <c r="CV489" s="193"/>
      <c r="CW489" s="193"/>
      <c r="CX489" s="193"/>
      <c r="CY489" s="193"/>
      <c r="CZ489" s="193"/>
      <c r="DA489" s="193"/>
      <c r="DB489" s="193"/>
      <c r="DC489" s="193"/>
      <c r="DD489" s="193"/>
      <c r="DE489" s="193"/>
      <c r="DF489" s="193"/>
      <c r="DG489" s="193"/>
      <c r="DH489" s="193"/>
      <c r="DI489" s="193"/>
      <c r="DJ489" s="193"/>
      <c r="DK489" s="193"/>
      <c r="DL489" s="193"/>
      <c r="DM489" s="193"/>
      <c r="DN489" s="193"/>
      <c r="DO489" s="193"/>
      <c r="DP489" s="193"/>
      <c r="DQ489" s="193"/>
      <c r="DR489" s="193"/>
      <c r="DS489" s="193"/>
      <c r="DT489" s="193"/>
      <c r="DU489" s="196"/>
      <c r="DV489" s="196"/>
      <c r="DW489" s="196"/>
      <c r="DX489" s="665"/>
      <c r="DY489" s="1191"/>
      <c r="DZ489" s="197"/>
      <c r="EB489" s="665"/>
      <c r="EC489" s="665"/>
      <c r="ED489" s="1204"/>
      <c r="EE489" s="75" t="e">
        <f t="shared" ref="EE489:EO489" si="2276">+EE488/DZ488-1</f>
        <v>#REF!</v>
      </c>
      <c r="EF489" s="75" t="e">
        <f t="shared" si="2276"/>
        <v>#REF!</v>
      </c>
      <c r="EG489" s="75" t="e">
        <f t="shared" si="2276"/>
        <v>#REF!</v>
      </c>
      <c r="EH489" s="75" t="e">
        <f t="shared" si="2276"/>
        <v>#REF!</v>
      </c>
      <c r="EI489" s="1119" t="e">
        <f t="shared" si="2276"/>
        <v>#REF!</v>
      </c>
      <c r="EJ489" s="75" t="e">
        <f t="shared" si="2276"/>
        <v>#REF!</v>
      </c>
      <c r="EK489" s="75" t="e">
        <f t="shared" si="2276"/>
        <v>#REF!</v>
      </c>
      <c r="EL489" s="735" t="e">
        <f t="shared" si="2276"/>
        <v>#REF!</v>
      </c>
      <c r="EM489" s="735" t="e">
        <f t="shared" si="2276"/>
        <v>#REF!</v>
      </c>
      <c r="EN489" s="1119" t="e">
        <f t="shared" si="2276"/>
        <v>#REF!</v>
      </c>
      <c r="EO489" s="75" t="e">
        <f t="shared" si="2276"/>
        <v>#REF!</v>
      </c>
      <c r="EP489" s="735" t="e">
        <f t="shared" ref="EP489:ER489" si="2277">+EP488/EK488-1</f>
        <v>#REF!</v>
      </c>
      <c r="EQ489" s="735" t="e">
        <f t="shared" si="2277"/>
        <v>#REF!</v>
      </c>
      <c r="ER489" s="735" t="e">
        <f t="shared" si="2277"/>
        <v>#REF!</v>
      </c>
      <c r="ES489" s="1119" t="e">
        <f t="shared" ref="ES489:EW489" si="2278">+ES488/EN488-1</f>
        <v>#REF!</v>
      </c>
      <c r="ET489" s="75" t="e">
        <f t="shared" si="2278"/>
        <v>#REF!</v>
      </c>
      <c r="EU489" s="75" t="e">
        <f t="shared" si="2278"/>
        <v>#REF!</v>
      </c>
      <c r="EV489" s="75" t="e">
        <f t="shared" si="2278"/>
        <v>#REF!</v>
      </c>
      <c r="EW489" s="75" t="e">
        <f t="shared" si="2278"/>
        <v>#REF!</v>
      </c>
      <c r="EX489" s="1119" t="e">
        <f t="shared" ref="EX489" si="2279">+EX488/ES488-1</f>
        <v>#REF!</v>
      </c>
      <c r="EY489" s="735" t="e">
        <f t="shared" ref="EY489" si="2280">+EY488/ET488-1</f>
        <v>#REF!</v>
      </c>
      <c r="EZ489" s="735" t="e">
        <f t="shared" ref="EZ489" si="2281">+EZ488/EU488-1</f>
        <v>#REF!</v>
      </c>
      <c r="FA489" s="735" t="e">
        <f t="shared" ref="FA489" si="2282">+FA488/EV488-1</f>
        <v>#REF!</v>
      </c>
      <c r="FB489" s="735" t="e">
        <f t="shared" ref="FB489:FC489" si="2283">+FB488/EW488-1</f>
        <v>#REF!</v>
      </c>
      <c r="FC489" s="1119" t="e">
        <f t="shared" si="2283"/>
        <v>#REF!</v>
      </c>
      <c r="FD489" s="735" t="e">
        <f t="shared" ref="FD489:FI489" si="2284">FD488/FC488-1</f>
        <v>#REF!</v>
      </c>
      <c r="FE489" s="735" t="e">
        <f t="shared" si="2284"/>
        <v>#REF!</v>
      </c>
      <c r="FF489" s="735" t="e">
        <f t="shared" si="2284"/>
        <v>#REF!</v>
      </c>
      <c r="FG489" s="735" t="e">
        <f t="shared" si="2284"/>
        <v>#REF!</v>
      </c>
      <c r="FH489" s="735" t="e">
        <f t="shared" si="2284"/>
        <v>#REF!</v>
      </c>
      <c r="FI489" s="735" t="e">
        <f t="shared" si="2284"/>
        <v>#REF!</v>
      </c>
      <c r="FJ489" s="193"/>
      <c r="FK489" s="193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</row>
    <row r="490" spans="1:177" ht="12.75" hidden="1" customHeight="1" x14ac:dyDescent="0.3">
      <c r="A490" s="61" t="s">
        <v>391</v>
      </c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3"/>
      <c r="AK490" s="193"/>
      <c r="AL490" s="193"/>
      <c r="AM490" s="193"/>
      <c r="AN490" s="193"/>
      <c r="AO490" s="193"/>
      <c r="AP490" s="193"/>
      <c r="AQ490" s="193"/>
      <c r="AR490" s="193"/>
      <c r="AS490" s="193"/>
      <c r="AT490" s="193"/>
      <c r="AU490" s="193"/>
      <c r="AV490" s="193"/>
      <c r="AW490" s="193"/>
      <c r="AX490" s="193"/>
      <c r="AY490" s="193"/>
      <c r="AZ490" s="193"/>
      <c r="BA490" s="193"/>
      <c r="BB490" s="193"/>
      <c r="BC490" s="193"/>
      <c r="BD490" s="193"/>
      <c r="BE490" s="193"/>
      <c r="BF490" s="193"/>
      <c r="BG490" s="193"/>
      <c r="BH490" s="193"/>
      <c r="BI490" s="193"/>
      <c r="BJ490" s="193"/>
      <c r="BK490" s="193"/>
      <c r="BL490" s="192"/>
      <c r="BM490" s="192"/>
      <c r="BN490" s="192"/>
      <c r="BO490" s="192"/>
      <c r="BP490" s="192"/>
      <c r="BQ490" s="192"/>
      <c r="BR490" s="193"/>
      <c r="BS490" s="193"/>
      <c r="BT490" s="193"/>
      <c r="BU490" s="193"/>
      <c r="BV490" s="192"/>
      <c r="BW490" s="193"/>
      <c r="BX490" s="193"/>
      <c r="BY490" s="193"/>
      <c r="BZ490" s="193"/>
      <c r="CA490" s="192"/>
      <c r="CB490" s="193"/>
      <c r="CC490" s="193"/>
      <c r="CD490" s="193"/>
      <c r="CE490" s="193"/>
      <c r="CF490" s="192"/>
      <c r="CG490" s="193"/>
      <c r="CH490" s="193"/>
      <c r="CI490" s="193"/>
      <c r="CJ490" s="193"/>
      <c r="CK490" s="192"/>
      <c r="CL490" s="193"/>
      <c r="CM490" s="193"/>
      <c r="CN490" s="193"/>
      <c r="CO490" s="193"/>
      <c r="CP490" s="192"/>
      <c r="CQ490" s="193"/>
      <c r="CR490" s="193"/>
      <c r="CS490" s="193"/>
      <c r="CT490" s="193"/>
      <c r="CU490" s="193"/>
      <c r="CV490" s="193"/>
      <c r="CW490" s="193"/>
      <c r="CX490" s="193"/>
      <c r="CY490" s="193"/>
      <c r="CZ490" s="193"/>
      <c r="DA490" s="193"/>
      <c r="DB490" s="193"/>
      <c r="DC490" s="193"/>
      <c r="DD490" s="193"/>
      <c r="DE490" s="193"/>
      <c r="DF490" s="193"/>
      <c r="DG490" s="193"/>
      <c r="DH490" s="193"/>
      <c r="DI490" s="193"/>
      <c r="DJ490" s="193"/>
      <c r="DK490" s="193"/>
      <c r="DL490" s="193"/>
      <c r="DM490" s="193"/>
      <c r="DN490" s="193"/>
      <c r="DO490" s="193"/>
      <c r="DP490" s="193"/>
      <c r="DQ490" s="193"/>
      <c r="DR490" s="193"/>
      <c r="DS490" s="193"/>
      <c r="DT490" s="193"/>
      <c r="DU490" s="196"/>
      <c r="DV490" s="196"/>
      <c r="DW490" s="196"/>
      <c r="DX490" s="665"/>
      <c r="DY490" s="1191"/>
      <c r="DZ490" s="111" t="e">
        <f>#REF!</f>
        <v>#REF!</v>
      </c>
      <c r="EA490" s="111" t="e">
        <f>#REF!</f>
        <v>#REF!</v>
      </c>
      <c r="EB490" s="111" t="e">
        <f>#REF!</f>
        <v>#REF!</v>
      </c>
      <c r="EC490" s="111" t="e">
        <f>#REF!</f>
        <v>#REF!</v>
      </c>
      <c r="ED490" s="112" t="e">
        <f>ED488/ED180*1000/12</f>
        <v>#REF!</v>
      </c>
      <c r="EE490" s="111" t="e">
        <f>#REF!</f>
        <v>#REF!</v>
      </c>
      <c r="EF490" s="111" t="e">
        <f>#REF!</f>
        <v>#REF!</v>
      </c>
      <c r="EG490" s="111" t="e">
        <f>#REF!</f>
        <v>#REF!</v>
      </c>
      <c r="EH490" s="111" t="e">
        <f>#REF!</f>
        <v>#REF!</v>
      </c>
      <c r="EI490" s="1123" t="e">
        <f>EI488/EI180*1000/12</f>
        <v>#REF!</v>
      </c>
      <c r="EJ490" s="111" t="e">
        <f>#REF!</f>
        <v>#REF!</v>
      </c>
      <c r="EK490" s="111" t="e">
        <f>#REF!</f>
        <v>#REF!</v>
      </c>
      <c r="EL490" s="1122" t="e">
        <f>#REF!</f>
        <v>#REF!</v>
      </c>
      <c r="EM490" s="1122" t="e">
        <f>#REF!</f>
        <v>#REF!</v>
      </c>
      <c r="EN490" s="1123" t="e">
        <f>EN488/EN180*1000/12</f>
        <v>#REF!</v>
      </c>
      <c r="EO490" s="111" t="e">
        <f>#REF!</f>
        <v>#REF!</v>
      </c>
      <c r="EP490" s="1122" t="e">
        <f>#REF!</f>
        <v>#REF!</v>
      </c>
      <c r="EQ490" s="1122" t="e">
        <f>#REF!</f>
        <v>#REF!</v>
      </c>
      <c r="ER490" s="1122" t="e">
        <f>#REF!</f>
        <v>#REF!</v>
      </c>
      <c r="ES490" s="1123" t="e">
        <f>ES488/ES180*1000/12</f>
        <v>#REF!</v>
      </c>
      <c r="ET490" s="111" t="e">
        <f>#REF!</f>
        <v>#REF!</v>
      </c>
      <c r="EU490" s="111" t="e">
        <f>#REF!</f>
        <v>#REF!</v>
      </c>
      <c r="EV490" s="111" t="e">
        <f>#REF!</f>
        <v>#REF!</v>
      </c>
      <c r="EW490" s="111" t="e">
        <f>#REF!</f>
        <v>#REF!</v>
      </c>
      <c r="EX490" s="1123" t="e">
        <f>EX488/EX180*1000/12</f>
        <v>#REF!</v>
      </c>
      <c r="EY490" s="1122" t="e">
        <f>#REF!</f>
        <v>#REF!</v>
      </c>
      <c r="EZ490" s="1122" t="e">
        <f>#REF!</f>
        <v>#REF!</v>
      </c>
      <c r="FA490" s="1122" t="e">
        <f>#REF!</f>
        <v>#REF!</v>
      </c>
      <c r="FB490" s="1122" t="e">
        <f>#REF!</f>
        <v>#REF!</v>
      </c>
      <c r="FC490" s="1123" t="e">
        <f>FC488/FC180*1000/12</f>
        <v>#REF!</v>
      </c>
      <c r="FD490" s="1122" t="e">
        <f>#REF!</f>
        <v>#REF!</v>
      </c>
      <c r="FE490" s="1122" t="e">
        <f>#REF!</f>
        <v>#REF!</v>
      </c>
      <c r="FF490" s="1122" t="e">
        <f>#REF!</f>
        <v>#REF!</v>
      </c>
      <c r="FG490" s="1122" t="e">
        <f>#REF!</f>
        <v>#REF!</v>
      </c>
      <c r="FH490" s="1122" t="e">
        <f>#REF!</f>
        <v>#REF!</v>
      </c>
      <c r="FI490" s="1122" t="e">
        <f>#REF!</f>
        <v>#REF!</v>
      </c>
      <c r="FJ490" s="189"/>
      <c r="FK490" s="193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</row>
    <row r="491" spans="1:177" ht="12.75" hidden="1" customHeight="1" x14ac:dyDescent="0.3">
      <c r="A491" s="70" t="s">
        <v>387</v>
      </c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/>
      <c r="AG491" s="193"/>
      <c r="AH491" s="193"/>
      <c r="AI491" s="193"/>
      <c r="AJ491" s="193"/>
      <c r="AK491" s="193"/>
      <c r="AL491" s="193"/>
      <c r="AM491" s="193"/>
      <c r="AN491" s="193"/>
      <c r="AO491" s="193"/>
      <c r="AP491" s="193"/>
      <c r="AQ491" s="193"/>
      <c r="AR491" s="193"/>
      <c r="AS491" s="193"/>
      <c r="AT491" s="193"/>
      <c r="AU491" s="193"/>
      <c r="AV491" s="193"/>
      <c r="AW491" s="193"/>
      <c r="AX491" s="193"/>
      <c r="AY491" s="193"/>
      <c r="AZ491" s="193"/>
      <c r="BA491" s="193"/>
      <c r="BB491" s="193"/>
      <c r="BC491" s="193"/>
      <c r="BD491" s="193"/>
      <c r="BE491" s="193"/>
      <c r="BF491" s="193"/>
      <c r="BG491" s="193"/>
      <c r="BH491" s="193"/>
      <c r="BI491" s="193"/>
      <c r="BJ491" s="193"/>
      <c r="BK491" s="193"/>
      <c r="BL491" s="192"/>
      <c r="BM491" s="192"/>
      <c r="BN491" s="192"/>
      <c r="BO491" s="192"/>
      <c r="BP491" s="192"/>
      <c r="BQ491" s="192"/>
      <c r="BR491" s="193"/>
      <c r="BS491" s="193"/>
      <c r="BT491" s="193"/>
      <c r="BU491" s="193"/>
      <c r="BV491" s="192"/>
      <c r="BW491" s="193"/>
      <c r="BX491" s="193"/>
      <c r="BY491" s="193"/>
      <c r="BZ491" s="193"/>
      <c r="CA491" s="192"/>
      <c r="CB491" s="193"/>
      <c r="CC491" s="193"/>
      <c r="CD491" s="193"/>
      <c r="CE491" s="193"/>
      <c r="CF491" s="192"/>
      <c r="CG491" s="193"/>
      <c r="CH491" s="193"/>
      <c r="CI491" s="193"/>
      <c r="CJ491" s="193"/>
      <c r="CK491" s="192"/>
      <c r="CL491" s="193"/>
      <c r="CM491" s="193"/>
      <c r="CN491" s="193"/>
      <c r="CO491" s="193"/>
      <c r="CP491" s="192"/>
      <c r="CQ491" s="193"/>
      <c r="CR491" s="193"/>
      <c r="CS491" s="193"/>
      <c r="CT491" s="193"/>
      <c r="CU491" s="193"/>
      <c r="CV491" s="193"/>
      <c r="CW491" s="193"/>
      <c r="CX491" s="193"/>
      <c r="CY491" s="193"/>
      <c r="CZ491" s="193"/>
      <c r="DA491" s="193"/>
      <c r="DB491" s="193"/>
      <c r="DC491" s="193"/>
      <c r="DD491" s="193"/>
      <c r="DE491" s="193"/>
      <c r="DF491" s="193"/>
      <c r="DG491" s="193"/>
      <c r="DH491" s="193"/>
      <c r="DI491" s="193"/>
      <c r="DJ491" s="193"/>
      <c r="DK491" s="193"/>
      <c r="DL491" s="193"/>
      <c r="DM491" s="193"/>
      <c r="DN491" s="193"/>
      <c r="DO491" s="193"/>
      <c r="DP491" s="193"/>
      <c r="DQ491" s="193"/>
      <c r="DR491" s="193"/>
      <c r="DS491" s="193"/>
      <c r="DT491" s="193"/>
      <c r="DU491" s="196"/>
      <c r="DV491" s="196"/>
      <c r="DW491" s="196"/>
      <c r="DX491" s="665"/>
      <c r="DY491" s="1191"/>
      <c r="DZ491" s="197"/>
      <c r="EB491" s="665"/>
      <c r="EC491" s="665"/>
      <c r="ED491" s="1204"/>
      <c r="EE491" s="75" t="e">
        <f t="shared" ref="EE491:EK491" si="2285">+EE490/DZ490-1</f>
        <v>#REF!</v>
      </c>
      <c r="EF491" s="75" t="e">
        <f t="shared" si="2285"/>
        <v>#REF!</v>
      </c>
      <c r="EG491" s="75" t="e">
        <f t="shared" si="2285"/>
        <v>#REF!</v>
      </c>
      <c r="EH491" s="75" t="e">
        <f t="shared" si="2285"/>
        <v>#REF!</v>
      </c>
      <c r="EI491" s="1119" t="e">
        <f t="shared" si="2285"/>
        <v>#REF!</v>
      </c>
      <c r="EJ491" s="75" t="e">
        <f t="shared" si="2285"/>
        <v>#REF!</v>
      </c>
      <c r="EK491" s="75" t="e">
        <f t="shared" si="2285"/>
        <v>#REF!</v>
      </c>
      <c r="EL491" s="1120" t="e">
        <f>EK491*0.9</f>
        <v>#REF!</v>
      </c>
      <c r="EM491" s="1120" t="e">
        <f>EL491*0.9</f>
        <v>#REF!</v>
      </c>
      <c r="EN491" s="1119" t="e">
        <f>+EN490/EI490-1</f>
        <v>#REF!</v>
      </c>
      <c r="EO491" s="75" t="e">
        <f t="shared" ref="EO491" si="2286">+EO490/EJ490-1</f>
        <v>#REF!</v>
      </c>
      <c r="EP491" s="1120" t="e">
        <f t="shared" ref="EP491:ER491" si="2287">EO491*0.9</f>
        <v>#REF!</v>
      </c>
      <c r="EQ491" s="1120" t="e">
        <f t="shared" si="2287"/>
        <v>#REF!</v>
      </c>
      <c r="ER491" s="1120" t="e">
        <f t="shared" si="2287"/>
        <v>#REF!</v>
      </c>
      <c r="ES491" s="1119" t="e">
        <f>+ES490/EN490-1</f>
        <v>#REF!</v>
      </c>
      <c r="ET491" s="75" t="e">
        <f t="shared" ref="ET491:EW491" si="2288">+ET490/EO490-1</f>
        <v>#REF!</v>
      </c>
      <c r="EU491" s="75" t="e">
        <f t="shared" si="2288"/>
        <v>#REF!</v>
      </c>
      <c r="EV491" s="75" t="e">
        <f t="shared" si="2288"/>
        <v>#REF!</v>
      </c>
      <c r="EW491" s="75" t="e">
        <f t="shared" si="2288"/>
        <v>#REF!</v>
      </c>
      <c r="EX491" s="1119" t="e">
        <f>+EX490/ES490-1</f>
        <v>#REF!</v>
      </c>
      <c r="EY491" s="1120" t="e">
        <f t="shared" ref="EY491" si="2289">EX491*0.9</f>
        <v>#REF!</v>
      </c>
      <c r="EZ491" s="1120" t="e">
        <f t="shared" ref="EZ491" si="2290">EY491*0.9</f>
        <v>#REF!</v>
      </c>
      <c r="FA491" s="1120" t="e">
        <f t="shared" ref="FA491" si="2291">EZ491*0.9</f>
        <v>#REF!</v>
      </c>
      <c r="FB491" s="1120" t="e">
        <f t="shared" ref="FB491" si="2292">FA491*0.9</f>
        <v>#REF!</v>
      </c>
      <c r="FC491" s="1119" t="e">
        <f>+FC490/EX490-1</f>
        <v>#REF!</v>
      </c>
      <c r="FD491" s="1120" t="e">
        <f t="shared" ref="FD491:FI491" si="2293">FC491*0.8</f>
        <v>#REF!</v>
      </c>
      <c r="FE491" s="1120" t="e">
        <f t="shared" si="2293"/>
        <v>#REF!</v>
      </c>
      <c r="FF491" s="1120" t="e">
        <f t="shared" si="2293"/>
        <v>#REF!</v>
      </c>
      <c r="FG491" s="1120" t="e">
        <f t="shared" si="2293"/>
        <v>#REF!</v>
      </c>
      <c r="FH491" s="1120" t="e">
        <f t="shared" si="2293"/>
        <v>#REF!</v>
      </c>
      <c r="FI491" s="1120" t="e">
        <f t="shared" si="2293"/>
        <v>#REF!</v>
      </c>
      <c r="FJ491" s="193"/>
      <c r="FK491" s="193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</row>
    <row r="492" spans="1:177" ht="12.75" hidden="1" customHeight="1" x14ac:dyDescent="0.3">
      <c r="A492" s="192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/>
      <c r="AG492" s="193"/>
      <c r="AH492" s="193"/>
      <c r="AI492" s="193"/>
      <c r="AJ492" s="193"/>
      <c r="AK492" s="193"/>
      <c r="AL492" s="193"/>
      <c r="AM492" s="193"/>
      <c r="AN492" s="193"/>
      <c r="AO492" s="193"/>
      <c r="AP492" s="193"/>
      <c r="AQ492" s="193"/>
      <c r="AR492" s="193"/>
      <c r="AS492" s="193"/>
      <c r="AT492" s="193"/>
      <c r="AU492" s="193"/>
      <c r="AV492" s="193"/>
      <c r="AW492" s="193"/>
      <c r="AX492" s="193"/>
      <c r="AY492" s="193"/>
      <c r="AZ492" s="193"/>
      <c r="BA492" s="193"/>
      <c r="BB492" s="193"/>
      <c r="BC492" s="193"/>
      <c r="BD492" s="193"/>
      <c r="BE492" s="193"/>
      <c r="BF492" s="193"/>
      <c r="BG492" s="193"/>
      <c r="BH492" s="193"/>
      <c r="BI492" s="193"/>
      <c r="BJ492" s="193"/>
      <c r="BK492" s="193"/>
      <c r="BL492" s="192"/>
      <c r="BM492" s="192"/>
      <c r="BN492" s="192"/>
      <c r="BO492" s="192"/>
      <c r="BP492" s="192"/>
      <c r="BQ492" s="192"/>
      <c r="BR492" s="193"/>
      <c r="BS492" s="193"/>
      <c r="BT492" s="193"/>
      <c r="BU492" s="193"/>
      <c r="BV492" s="192"/>
      <c r="BW492" s="193"/>
      <c r="BX492" s="193"/>
      <c r="BY492" s="193"/>
      <c r="BZ492" s="193"/>
      <c r="CA492" s="192"/>
      <c r="CB492" s="193"/>
      <c r="CC492" s="193"/>
      <c r="CD492" s="193"/>
      <c r="CE492" s="193"/>
      <c r="CF492" s="192"/>
      <c r="CG492" s="193"/>
      <c r="CH492" s="193"/>
      <c r="CI492" s="193"/>
      <c r="CJ492" s="193"/>
      <c r="CK492" s="192"/>
      <c r="CL492" s="193"/>
      <c r="CM492" s="193"/>
      <c r="CN492" s="193"/>
      <c r="CO492" s="193"/>
      <c r="CP492" s="192"/>
      <c r="CQ492" s="193"/>
      <c r="CR492" s="193"/>
      <c r="CS492" s="193"/>
      <c r="CT492" s="193"/>
      <c r="CU492" s="193"/>
      <c r="CV492" s="193"/>
      <c r="CW492" s="193"/>
      <c r="CX492" s="193"/>
      <c r="CY492" s="193"/>
      <c r="CZ492" s="193"/>
      <c r="DA492" s="193"/>
      <c r="DB492" s="193"/>
      <c r="DC492" s="193"/>
      <c r="DD492" s="193"/>
      <c r="DE492" s="193"/>
      <c r="DF492" s="193"/>
      <c r="DG492" s="193"/>
      <c r="DH492" s="193"/>
      <c r="DI492" s="193"/>
      <c r="DJ492" s="193"/>
      <c r="DK492" s="193"/>
      <c r="DL492" s="193"/>
      <c r="DM492" s="193"/>
      <c r="DN492" s="193"/>
      <c r="DO492" s="193"/>
      <c r="DP492" s="193"/>
      <c r="DQ492" s="193"/>
      <c r="DR492" s="193"/>
      <c r="DS492" s="193"/>
      <c r="DT492" s="193"/>
      <c r="DU492" s="196"/>
      <c r="DV492" s="196"/>
      <c r="DW492" s="196"/>
      <c r="DX492" s="665"/>
      <c r="DY492" s="1191"/>
      <c r="DZ492" s="197"/>
      <c r="EB492" s="665"/>
      <c r="EC492" s="665"/>
      <c r="ED492" s="1204"/>
      <c r="EE492" s="75"/>
      <c r="EF492" s="75"/>
      <c r="EG492" s="75"/>
      <c r="EH492" s="75"/>
      <c r="EI492" s="1119"/>
      <c r="EJ492" s="75"/>
      <c r="EK492" s="75"/>
      <c r="EL492" s="1120"/>
      <c r="EM492" s="1120"/>
      <c r="EN492" s="1119"/>
      <c r="EO492" s="75"/>
      <c r="EP492" s="1120"/>
      <c r="EQ492" s="1120"/>
      <c r="ER492" s="1120"/>
      <c r="ES492" s="1119"/>
      <c r="ET492" s="75"/>
      <c r="EU492" s="75"/>
      <c r="EV492" s="75"/>
      <c r="EW492" s="75"/>
      <c r="EX492" s="1119"/>
      <c r="EY492" s="1120"/>
      <c r="EZ492" s="1120"/>
      <c r="FA492" s="1120"/>
      <c r="FB492" s="1120"/>
      <c r="FC492" s="1119"/>
      <c r="FD492" s="1120"/>
      <c r="FE492" s="1120"/>
      <c r="FF492" s="1120"/>
      <c r="FG492" s="1120"/>
      <c r="FH492" s="1120"/>
      <c r="FI492" s="1120"/>
      <c r="FJ492" s="193"/>
      <c r="FK492" s="193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</row>
    <row r="493" spans="1:177" ht="12.75" hidden="1" customHeight="1" x14ac:dyDescent="0.3">
      <c r="A493" s="4" t="s">
        <v>479</v>
      </c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  <c r="AE493" s="193"/>
      <c r="AF493" s="193"/>
      <c r="AG493" s="193"/>
      <c r="AH493" s="193"/>
      <c r="AI493" s="193"/>
      <c r="AJ493" s="193"/>
      <c r="AK493" s="193"/>
      <c r="AL493" s="193"/>
      <c r="AM493" s="193"/>
      <c r="AN493" s="193"/>
      <c r="AO493" s="193"/>
      <c r="AP493" s="193"/>
      <c r="AQ493" s="193"/>
      <c r="AR493" s="193"/>
      <c r="AS493" s="193"/>
      <c r="AT493" s="193"/>
      <c r="AU493" s="193"/>
      <c r="AV493" s="193"/>
      <c r="AW493" s="193"/>
      <c r="AX493" s="193"/>
      <c r="AY493" s="193"/>
      <c r="AZ493" s="193"/>
      <c r="BA493" s="193"/>
      <c r="BB493" s="193"/>
      <c r="BC493" s="193"/>
      <c r="BD493" s="193"/>
      <c r="BE493" s="193"/>
      <c r="BF493" s="193"/>
      <c r="BG493" s="193"/>
      <c r="BH493" s="193"/>
      <c r="BI493" s="193"/>
      <c r="BJ493" s="193"/>
      <c r="BK493" s="193"/>
      <c r="BL493" s="192"/>
      <c r="BM493" s="192"/>
      <c r="BN493" s="192"/>
      <c r="BO493" s="192"/>
      <c r="BP493" s="192"/>
      <c r="BQ493" s="192"/>
      <c r="BR493" s="193"/>
      <c r="BS493" s="193"/>
      <c r="BT493" s="193"/>
      <c r="BU493" s="193"/>
      <c r="BV493" s="192"/>
      <c r="BW493" s="193"/>
      <c r="BX493" s="193"/>
      <c r="BY493" s="193"/>
      <c r="BZ493" s="193"/>
      <c r="CA493" s="192"/>
      <c r="CB493" s="193"/>
      <c r="CC493" s="193"/>
      <c r="CD493" s="193"/>
      <c r="CE493" s="193"/>
      <c r="CF493" s="192"/>
      <c r="CG493" s="193"/>
      <c r="CH493" s="193"/>
      <c r="CI493" s="193"/>
      <c r="CJ493" s="193"/>
      <c r="CK493" s="192"/>
      <c r="CL493" s="193"/>
      <c r="CM493" s="193"/>
      <c r="CN493" s="193"/>
      <c r="CO493" s="193"/>
      <c r="CP493" s="192"/>
      <c r="CQ493" s="193"/>
      <c r="CR493" s="193"/>
      <c r="CS493" s="193"/>
      <c r="CT493" s="193"/>
      <c r="CU493" s="193"/>
      <c r="CV493" s="193"/>
      <c r="CW493" s="193"/>
      <c r="CX493" s="193"/>
      <c r="CY493" s="193"/>
      <c r="CZ493" s="193"/>
      <c r="DA493" s="193"/>
      <c r="DB493" s="193"/>
      <c r="DC493" s="193"/>
      <c r="DD493" s="193"/>
      <c r="DE493" s="193"/>
      <c r="DF493" s="193"/>
      <c r="DG493" s="193"/>
      <c r="DH493" s="193"/>
      <c r="DI493" s="193"/>
      <c r="DJ493" s="193"/>
      <c r="DK493" s="193"/>
      <c r="DL493" s="193"/>
      <c r="DM493" s="193"/>
      <c r="DN493" s="193"/>
      <c r="DO493" s="193"/>
      <c r="DP493" s="193"/>
      <c r="DQ493" s="193"/>
      <c r="DR493" s="193"/>
      <c r="DS493" s="193"/>
      <c r="DT493" s="193"/>
      <c r="DU493" s="196"/>
      <c r="DV493" s="196"/>
      <c r="DW493" s="196"/>
      <c r="DX493" s="665"/>
      <c r="DY493" s="1191"/>
      <c r="DZ493" s="134" t="e">
        <f>DZ495*DZ598*3/1000</f>
        <v>#REF!</v>
      </c>
      <c r="EA493" s="134" t="e">
        <f>EA495*EA598*3/1000</f>
        <v>#REF!</v>
      </c>
      <c r="EB493" s="134" t="e">
        <f>EB495*EB598*3/1000</f>
        <v>#REF!</v>
      </c>
      <c r="EC493" s="134" t="e">
        <f>EC495*EC598*3/1000</f>
        <v>#REF!</v>
      </c>
      <c r="ED493" s="85" t="e">
        <f>SUM(DZ493:EC493)</f>
        <v>#REF!</v>
      </c>
      <c r="EE493" s="134" t="e">
        <f>EE495*EE598*3/1000</f>
        <v>#REF!</v>
      </c>
      <c r="EF493" s="134" t="e">
        <f>EF495*EF598*3/1000</f>
        <v>#REF!</v>
      </c>
      <c r="EG493" s="134" t="e">
        <f>EG495*EG598*3/1000</f>
        <v>#REF!</v>
      </c>
      <c r="EH493" s="134" t="e">
        <f>EH495*EH598*3/1000</f>
        <v>#REF!</v>
      </c>
      <c r="EI493" s="731" t="e">
        <f>SUM(EE493:EH493)</f>
        <v>#REF!</v>
      </c>
      <c r="EJ493" s="134" t="e">
        <f>EJ495*EJ598*3/1000</f>
        <v>#REF!</v>
      </c>
      <c r="EK493" s="134" t="e">
        <f>EK495*EK598*3/1000</f>
        <v>#REF!</v>
      </c>
      <c r="EL493" s="609" t="e">
        <f>EL495*EL598*3/1000</f>
        <v>#REF!</v>
      </c>
      <c r="EM493" s="609" t="e">
        <f>EM495*EM598*3/1000</f>
        <v>#REF!</v>
      </c>
      <c r="EN493" s="731" t="e">
        <f>SUM(EJ493:EM493)</f>
        <v>#REF!</v>
      </c>
      <c r="EO493" s="134" t="e">
        <f>EO495*EO598*3/1000</f>
        <v>#REF!</v>
      </c>
      <c r="EP493" s="609" t="e">
        <f>EP495*EP598*3/1000</f>
        <v>#REF!</v>
      </c>
      <c r="EQ493" s="609" t="e">
        <f>EQ495*EQ598*3/1000</f>
        <v>#REF!</v>
      </c>
      <c r="ER493" s="609" t="e">
        <f>ER495*ER598*3/1000</f>
        <v>#REF!</v>
      </c>
      <c r="ES493" s="731" t="e">
        <f>SUM(EO493:ER493)</f>
        <v>#REF!</v>
      </c>
      <c r="ET493" s="134" t="e">
        <f>ET495*ET598*3/1000</f>
        <v>#REF!</v>
      </c>
      <c r="EU493" s="134" t="e">
        <f>EU495*EU598*3/1000</f>
        <v>#REF!</v>
      </c>
      <c r="EV493" s="134" t="e">
        <f>EV495*EV598*3/1000</f>
        <v>#REF!</v>
      </c>
      <c r="EW493" s="134" t="e">
        <f>EW495*EW598*3/1000</f>
        <v>#REF!</v>
      </c>
      <c r="EX493" s="731" t="e">
        <f>SUM(ET493:EW493)</f>
        <v>#REF!</v>
      </c>
      <c r="EY493" s="609" t="e">
        <f t="shared" ref="EY493:FB493" si="2294">EY495*EY598*3/1000</f>
        <v>#REF!</v>
      </c>
      <c r="EZ493" s="609" t="e">
        <f t="shared" si="2294"/>
        <v>#REF!</v>
      </c>
      <c r="FA493" s="609" t="e">
        <f t="shared" si="2294"/>
        <v>#REF!</v>
      </c>
      <c r="FB493" s="609" t="e">
        <f t="shared" si="2294"/>
        <v>#REF!</v>
      </c>
      <c r="FC493" s="731" t="e">
        <f>SUM(EY493:FB493)</f>
        <v>#REF!</v>
      </c>
      <c r="FD493" s="609" t="e">
        <f t="shared" ref="FD493:FI493" si="2295">FD495*FD598*12/1000</f>
        <v>#REF!</v>
      </c>
      <c r="FE493" s="609" t="e">
        <f t="shared" si="2295"/>
        <v>#REF!</v>
      </c>
      <c r="FF493" s="609" t="e">
        <f t="shared" si="2295"/>
        <v>#REF!</v>
      </c>
      <c r="FG493" s="609" t="e">
        <f t="shared" si="2295"/>
        <v>#REF!</v>
      </c>
      <c r="FH493" s="609" t="e">
        <f t="shared" si="2295"/>
        <v>#REF!</v>
      </c>
      <c r="FI493" s="609" t="e">
        <f t="shared" si="2295"/>
        <v>#REF!</v>
      </c>
      <c r="FJ493" s="189"/>
      <c r="FK493" s="193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</row>
    <row r="494" spans="1:177" ht="12.75" hidden="1" customHeight="1" x14ac:dyDescent="0.3">
      <c r="A494" s="70" t="s">
        <v>363</v>
      </c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  <c r="AE494" s="193"/>
      <c r="AF494" s="193"/>
      <c r="AG494" s="193"/>
      <c r="AH494" s="193"/>
      <c r="AI494" s="193"/>
      <c r="AJ494" s="193"/>
      <c r="AK494" s="193"/>
      <c r="AL494" s="193"/>
      <c r="AM494" s="193"/>
      <c r="AN494" s="193"/>
      <c r="AO494" s="193"/>
      <c r="AP494" s="193"/>
      <c r="AQ494" s="193"/>
      <c r="AR494" s="193"/>
      <c r="AS494" s="193"/>
      <c r="AT494" s="193"/>
      <c r="AU494" s="193"/>
      <c r="AV494" s="193"/>
      <c r="AW494" s="193"/>
      <c r="AX494" s="193"/>
      <c r="AY494" s="193"/>
      <c r="AZ494" s="193"/>
      <c r="BA494" s="193"/>
      <c r="BB494" s="193"/>
      <c r="BC494" s="193"/>
      <c r="BD494" s="193"/>
      <c r="BE494" s="193"/>
      <c r="BF494" s="193"/>
      <c r="BG494" s="193"/>
      <c r="BH494" s="193"/>
      <c r="BI494" s="193"/>
      <c r="BJ494" s="193"/>
      <c r="BK494" s="193"/>
      <c r="BL494" s="192"/>
      <c r="BM494" s="192"/>
      <c r="BN494" s="192"/>
      <c r="BO494" s="192"/>
      <c r="BP494" s="192"/>
      <c r="BQ494" s="192"/>
      <c r="BR494" s="193"/>
      <c r="BS494" s="193"/>
      <c r="BT494" s="193"/>
      <c r="BU494" s="193"/>
      <c r="BV494" s="192"/>
      <c r="BW494" s="193"/>
      <c r="BX494" s="193"/>
      <c r="BY494" s="193"/>
      <c r="BZ494" s="193"/>
      <c r="CA494" s="192"/>
      <c r="CB494" s="193"/>
      <c r="CC494" s="193"/>
      <c r="CD494" s="193"/>
      <c r="CE494" s="193"/>
      <c r="CF494" s="192"/>
      <c r="CG494" s="193"/>
      <c r="CH494" s="193"/>
      <c r="CI494" s="193"/>
      <c r="CJ494" s="193"/>
      <c r="CK494" s="192"/>
      <c r="CL494" s="193"/>
      <c r="CM494" s="193"/>
      <c r="CN494" s="193"/>
      <c r="CO494" s="193"/>
      <c r="CP494" s="192"/>
      <c r="CQ494" s="193"/>
      <c r="CR494" s="193"/>
      <c r="CS494" s="193"/>
      <c r="CT494" s="193"/>
      <c r="CU494" s="193"/>
      <c r="CV494" s="193"/>
      <c r="CW494" s="193"/>
      <c r="CX494" s="193"/>
      <c r="CY494" s="193"/>
      <c r="CZ494" s="193"/>
      <c r="DA494" s="193"/>
      <c r="DB494" s="193"/>
      <c r="DC494" s="193"/>
      <c r="DD494" s="193"/>
      <c r="DE494" s="193"/>
      <c r="DF494" s="193"/>
      <c r="DG494" s="193"/>
      <c r="DH494" s="193"/>
      <c r="DI494" s="193"/>
      <c r="DJ494" s="193"/>
      <c r="DK494" s="193"/>
      <c r="DL494" s="193"/>
      <c r="DM494" s="193"/>
      <c r="DN494" s="193"/>
      <c r="DO494" s="193"/>
      <c r="DP494" s="193"/>
      <c r="DQ494" s="193"/>
      <c r="DR494" s="193"/>
      <c r="DS494" s="193"/>
      <c r="DT494" s="193"/>
      <c r="DU494" s="196"/>
      <c r="DV494" s="196"/>
      <c r="DW494" s="196"/>
      <c r="DX494" s="665"/>
      <c r="DY494" s="1191"/>
      <c r="DZ494" s="197"/>
      <c r="EB494" s="665"/>
      <c r="EC494" s="665"/>
      <c r="ED494" s="1204"/>
      <c r="EE494" s="75" t="e">
        <f t="shared" ref="EE494:EO494" si="2296">+EE493/DZ493-1</f>
        <v>#REF!</v>
      </c>
      <c r="EF494" s="75" t="e">
        <f t="shared" si="2296"/>
        <v>#REF!</v>
      </c>
      <c r="EG494" s="75" t="e">
        <f t="shared" si="2296"/>
        <v>#REF!</v>
      </c>
      <c r="EH494" s="75" t="e">
        <f t="shared" si="2296"/>
        <v>#REF!</v>
      </c>
      <c r="EI494" s="1119" t="e">
        <f t="shared" si="2296"/>
        <v>#REF!</v>
      </c>
      <c r="EJ494" s="75" t="e">
        <f t="shared" si="2296"/>
        <v>#REF!</v>
      </c>
      <c r="EK494" s="75" t="e">
        <f t="shared" si="2296"/>
        <v>#REF!</v>
      </c>
      <c r="EL494" s="735" t="e">
        <f t="shared" si="2296"/>
        <v>#REF!</v>
      </c>
      <c r="EM494" s="735" t="e">
        <f t="shared" si="2296"/>
        <v>#REF!</v>
      </c>
      <c r="EN494" s="1119" t="e">
        <f t="shared" si="2296"/>
        <v>#REF!</v>
      </c>
      <c r="EO494" s="75" t="e">
        <f t="shared" si="2296"/>
        <v>#REF!</v>
      </c>
      <c r="EP494" s="735" t="e">
        <f t="shared" ref="EP494:ER494" si="2297">+EP493/EK493-1</f>
        <v>#REF!</v>
      </c>
      <c r="EQ494" s="735" t="e">
        <f t="shared" si="2297"/>
        <v>#REF!</v>
      </c>
      <c r="ER494" s="735" t="e">
        <f t="shared" si="2297"/>
        <v>#REF!</v>
      </c>
      <c r="ES494" s="1119" t="e">
        <f t="shared" ref="ES494:EW494" si="2298">+ES493/EN493-1</f>
        <v>#REF!</v>
      </c>
      <c r="ET494" s="75" t="e">
        <f t="shared" si="2298"/>
        <v>#REF!</v>
      </c>
      <c r="EU494" s="75" t="e">
        <f t="shared" si="2298"/>
        <v>#REF!</v>
      </c>
      <c r="EV494" s="75" t="e">
        <f t="shared" si="2298"/>
        <v>#REF!</v>
      </c>
      <c r="EW494" s="75" t="e">
        <f t="shared" si="2298"/>
        <v>#REF!</v>
      </c>
      <c r="EX494" s="1119" t="e">
        <f t="shared" ref="EX494" si="2299">+EX493/ES493-1</f>
        <v>#REF!</v>
      </c>
      <c r="EY494" s="735" t="e">
        <f t="shared" ref="EY494" si="2300">+EY493/ET493-1</f>
        <v>#REF!</v>
      </c>
      <c r="EZ494" s="735" t="e">
        <f t="shared" ref="EZ494" si="2301">+EZ493/EU493-1</f>
        <v>#REF!</v>
      </c>
      <c r="FA494" s="735" t="e">
        <f t="shared" ref="FA494" si="2302">+FA493/EV493-1</f>
        <v>#REF!</v>
      </c>
      <c r="FB494" s="735" t="e">
        <f t="shared" ref="FB494:FC494" si="2303">+FB493/EW493-1</f>
        <v>#REF!</v>
      </c>
      <c r="FC494" s="1119" t="e">
        <f t="shared" si="2303"/>
        <v>#REF!</v>
      </c>
      <c r="FD494" s="735" t="e">
        <f t="shared" ref="FD494:FI494" si="2304">FD493/FC493-1</f>
        <v>#REF!</v>
      </c>
      <c r="FE494" s="735" t="e">
        <f t="shared" si="2304"/>
        <v>#REF!</v>
      </c>
      <c r="FF494" s="735" t="e">
        <f t="shared" si="2304"/>
        <v>#REF!</v>
      </c>
      <c r="FG494" s="735" t="e">
        <f t="shared" si="2304"/>
        <v>#REF!</v>
      </c>
      <c r="FH494" s="735" t="e">
        <f t="shared" si="2304"/>
        <v>#REF!</v>
      </c>
      <c r="FI494" s="735" t="e">
        <f t="shared" si="2304"/>
        <v>#REF!</v>
      </c>
      <c r="FJ494" s="193"/>
      <c r="FK494" s="193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</row>
    <row r="495" spans="1:177" ht="12.75" hidden="1" customHeight="1" x14ac:dyDescent="0.3">
      <c r="A495" s="61" t="s">
        <v>391</v>
      </c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  <c r="AH495" s="193"/>
      <c r="AI495" s="193"/>
      <c r="AJ495" s="193"/>
      <c r="AK495" s="193"/>
      <c r="AL495" s="193"/>
      <c r="AM495" s="193"/>
      <c r="AN495" s="193"/>
      <c r="AO495" s="193"/>
      <c r="AP495" s="193"/>
      <c r="AQ495" s="193"/>
      <c r="AR495" s="193"/>
      <c r="AS495" s="193"/>
      <c r="AT495" s="193"/>
      <c r="AU495" s="193"/>
      <c r="AV495" s="193"/>
      <c r="AW495" s="193"/>
      <c r="AX495" s="193"/>
      <c r="AY495" s="193"/>
      <c r="AZ495" s="193"/>
      <c r="BA495" s="193"/>
      <c r="BB495" s="193"/>
      <c r="BC495" s="193"/>
      <c r="BD495" s="193"/>
      <c r="BE495" s="193"/>
      <c r="BF495" s="193"/>
      <c r="BG495" s="193"/>
      <c r="BH495" s="193"/>
      <c r="BI495" s="193"/>
      <c r="BJ495" s="193"/>
      <c r="BK495" s="193"/>
      <c r="BL495" s="192"/>
      <c r="BM495" s="192"/>
      <c r="BN495" s="192"/>
      <c r="BO495" s="192"/>
      <c r="BP495" s="192"/>
      <c r="BQ495" s="192"/>
      <c r="BR495" s="193"/>
      <c r="BS495" s="193"/>
      <c r="BT495" s="193"/>
      <c r="BU495" s="193"/>
      <c r="BV495" s="192"/>
      <c r="BW495" s="193"/>
      <c r="BX495" s="193"/>
      <c r="BY495" s="193"/>
      <c r="BZ495" s="193"/>
      <c r="CA495" s="192"/>
      <c r="CB495" s="193"/>
      <c r="CC495" s="193"/>
      <c r="CD495" s="193"/>
      <c r="CE495" s="193"/>
      <c r="CF495" s="192"/>
      <c r="CG495" s="193"/>
      <c r="CH495" s="193"/>
      <c r="CI495" s="193"/>
      <c r="CJ495" s="193"/>
      <c r="CK495" s="192"/>
      <c r="CL495" s="193"/>
      <c r="CM495" s="193"/>
      <c r="CN495" s="193"/>
      <c r="CO495" s="193"/>
      <c r="CP495" s="192"/>
      <c r="CQ495" s="193"/>
      <c r="CR495" s="193"/>
      <c r="CS495" s="193"/>
      <c r="CT495" s="193"/>
      <c r="CU495" s="193"/>
      <c r="CV495" s="193"/>
      <c r="CW495" s="193"/>
      <c r="CX495" s="193"/>
      <c r="CY495" s="193"/>
      <c r="CZ495" s="193"/>
      <c r="DA495" s="193"/>
      <c r="DB495" s="193"/>
      <c r="DC495" s="193"/>
      <c r="DD495" s="193"/>
      <c r="DE495" s="193"/>
      <c r="DF495" s="193"/>
      <c r="DG495" s="193"/>
      <c r="DH495" s="193"/>
      <c r="DI495" s="193"/>
      <c r="DJ495" s="193"/>
      <c r="DK495" s="193"/>
      <c r="DL495" s="193"/>
      <c r="DM495" s="193"/>
      <c r="DN495" s="193"/>
      <c r="DO495" s="193"/>
      <c r="DP495" s="193"/>
      <c r="DQ495" s="193"/>
      <c r="DR495" s="193"/>
      <c r="DS495" s="193"/>
      <c r="DT495" s="193"/>
      <c r="DU495" s="196"/>
      <c r="DV495" s="196"/>
      <c r="DW495" s="196"/>
      <c r="DX495" s="665"/>
      <c r="DY495" s="1191"/>
      <c r="DZ495" s="111" t="e">
        <f>#REF!</f>
        <v>#REF!</v>
      </c>
      <c r="EA495" s="111" t="e">
        <f>#REF!</f>
        <v>#REF!</v>
      </c>
      <c r="EB495" s="111" t="e">
        <f>#REF!</f>
        <v>#REF!</v>
      </c>
      <c r="EC495" s="111" t="e">
        <f>#REF!</f>
        <v>#REF!</v>
      </c>
      <c r="ED495" s="112" t="e">
        <f>ED493/ED598*1000/12</f>
        <v>#REF!</v>
      </c>
      <c r="EE495" s="111" t="e">
        <f>#REF!</f>
        <v>#REF!</v>
      </c>
      <c r="EF495" s="111" t="e">
        <f>#REF!</f>
        <v>#REF!</v>
      </c>
      <c r="EG495" s="111" t="e">
        <f>#REF!</f>
        <v>#REF!</v>
      </c>
      <c r="EH495" s="111" t="e">
        <f>#REF!</f>
        <v>#REF!</v>
      </c>
      <c r="EI495" s="1123" t="e">
        <f>EI493/EI598*1000/12</f>
        <v>#REF!</v>
      </c>
      <c r="EJ495" s="111" t="e">
        <f>#REF!</f>
        <v>#REF!</v>
      </c>
      <c r="EK495" s="111" t="e">
        <f>#REF!</f>
        <v>#REF!</v>
      </c>
      <c r="EL495" s="1122" t="e">
        <f>#REF!</f>
        <v>#REF!</v>
      </c>
      <c r="EM495" s="1122" t="e">
        <f>#REF!</f>
        <v>#REF!</v>
      </c>
      <c r="EN495" s="1123" t="e">
        <f>EN493/EN598*1000/12</f>
        <v>#REF!</v>
      </c>
      <c r="EO495" s="111" t="e">
        <f>#REF!</f>
        <v>#REF!</v>
      </c>
      <c r="EP495" s="1122" t="e">
        <f>#REF!</f>
        <v>#REF!</v>
      </c>
      <c r="EQ495" s="1122" t="e">
        <f>#REF!</f>
        <v>#REF!</v>
      </c>
      <c r="ER495" s="1122" t="e">
        <f>#REF!</f>
        <v>#REF!</v>
      </c>
      <c r="ES495" s="1123" t="e">
        <f>ES493/ES598*1000/12</f>
        <v>#REF!</v>
      </c>
      <c r="ET495" s="111" t="e">
        <f>#REF!</f>
        <v>#REF!</v>
      </c>
      <c r="EU495" s="111" t="e">
        <f>#REF!</f>
        <v>#REF!</v>
      </c>
      <c r="EV495" s="111" t="e">
        <f>#REF!</f>
        <v>#REF!</v>
      </c>
      <c r="EW495" s="111" t="e">
        <f>#REF!</f>
        <v>#REF!</v>
      </c>
      <c r="EX495" s="1123" t="e">
        <f>EX493/EX598*1000/12</f>
        <v>#REF!</v>
      </c>
      <c r="EY495" s="1122" t="e">
        <f>#REF!</f>
        <v>#REF!</v>
      </c>
      <c r="EZ495" s="1122" t="e">
        <f>#REF!</f>
        <v>#REF!</v>
      </c>
      <c r="FA495" s="1122" t="e">
        <f>#REF!</f>
        <v>#REF!</v>
      </c>
      <c r="FB495" s="1122" t="e">
        <f>#REF!</f>
        <v>#REF!</v>
      </c>
      <c r="FC495" s="1123" t="e">
        <f>FC493/FC598*1000/12</f>
        <v>#REF!</v>
      </c>
      <c r="FD495" s="1122" t="e">
        <f>#REF!</f>
        <v>#REF!</v>
      </c>
      <c r="FE495" s="1122" t="e">
        <f>#REF!</f>
        <v>#REF!</v>
      </c>
      <c r="FF495" s="1122" t="e">
        <f>#REF!</f>
        <v>#REF!</v>
      </c>
      <c r="FG495" s="1122" t="e">
        <f>#REF!</f>
        <v>#REF!</v>
      </c>
      <c r="FH495" s="1122" t="e">
        <f>#REF!</f>
        <v>#REF!</v>
      </c>
      <c r="FI495" s="1122" t="e">
        <f>#REF!</f>
        <v>#REF!</v>
      </c>
      <c r="FJ495" s="189"/>
      <c r="FK495" s="193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</row>
    <row r="496" spans="1:177" ht="12.75" hidden="1" customHeight="1" x14ac:dyDescent="0.3">
      <c r="A496" s="70" t="s">
        <v>387</v>
      </c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  <c r="AH496" s="193"/>
      <c r="AI496" s="193"/>
      <c r="AJ496" s="193"/>
      <c r="AK496" s="193"/>
      <c r="AL496" s="193"/>
      <c r="AM496" s="193"/>
      <c r="AN496" s="193"/>
      <c r="AO496" s="193"/>
      <c r="AP496" s="193"/>
      <c r="AQ496" s="193"/>
      <c r="AR496" s="193"/>
      <c r="AS496" s="193"/>
      <c r="AT496" s="193"/>
      <c r="AU496" s="193"/>
      <c r="AV496" s="193"/>
      <c r="AW496" s="193"/>
      <c r="AX496" s="193"/>
      <c r="AY496" s="193"/>
      <c r="AZ496" s="193"/>
      <c r="BA496" s="193"/>
      <c r="BB496" s="193"/>
      <c r="BC496" s="193"/>
      <c r="BD496" s="193"/>
      <c r="BE496" s="193"/>
      <c r="BF496" s="193"/>
      <c r="BG496" s="193"/>
      <c r="BH496" s="193"/>
      <c r="BI496" s="193"/>
      <c r="BJ496" s="193"/>
      <c r="BK496" s="193"/>
      <c r="BL496" s="192"/>
      <c r="BM496" s="192"/>
      <c r="BN496" s="192"/>
      <c r="BO496" s="192"/>
      <c r="BP496" s="192"/>
      <c r="BQ496" s="192"/>
      <c r="BR496" s="193"/>
      <c r="BS496" s="193"/>
      <c r="BT496" s="193"/>
      <c r="BU496" s="193"/>
      <c r="BV496" s="192"/>
      <c r="BW496" s="193"/>
      <c r="BX496" s="193"/>
      <c r="BY496" s="193"/>
      <c r="BZ496" s="193"/>
      <c r="CA496" s="192"/>
      <c r="CB496" s="193"/>
      <c r="CC496" s="193"/>
      <c r="CD496" s="193"/>
      <c r="CE496" s="193"/>
      <c r="CF496" s="192"/>
      <c r="CG496" s="193"/>
      <c r="CH496" s="193"/>
      <c r="CI496" s="193"/>
      <c r="CJ496" s="193"/>
      <c r="CK496" s="192"/>
      <c r="CL496" s="193"/>
      <c r="CM496" s="193"/>
      <c r="CN496" s="193"/>
      <c r="CO496" s="193"/>
      <c r="CP496" s="192"/>
      <c r="CQ496" s="193"/>
      <c r="CR496" s="193"/>
      <c r="CS496" s="193"/>
      <c r="CT496" s="193"/>
      <c r="CU496" s="193"/>
      <c r="CV496" s="193"/>
      <c r="CW496" s="193"/>
      <c r="CX496" s="193"/>
      <c r="CY496" s="193"/>
      <c r="CZ496" s="193"/>
      <c r="DA496" s="193"/>
      <c r="DB496" s="193"/>
      <c r="DC496" s="193"/>
      <c r="DD496" s="193"/>
      <c r="DE496" s="193"/>
      <c r="DF496" s="193"/>
      <c r="DG496" s="193"/>
      <c r="DH496" s="193"/>
      <c r="DI496" s="193"/>
      <c r="DJ496" s="193"/>
      <c r="DK496" s="193"/>
      <c r="DL496" s="193"/>
      <c r="DM496" s="193"/>
      <c r="DN496" s="193"/>
      <c r="DO496" s="193"/>
      <c r="DP496" s="193"/>
      <c r="DQ496" s="193"/>
      <c r="DR496" s="193"/>
      <c r="DS496" s="193"/>
      <c r="DT496" s="193"/>
      <c r="DU496" s="196"/>
      <c r="DV496" s="196"/>
      <c r="DW496" s="196"/>
      <c r="DX496" s="665"/>
      <c r="DY496" s="1191"/>
      <c r="DZ496" s="197"/>
      <c r="EB496" s="665"/>
      <c r="EC496" s="665"/>
      <c r="ED496" s="1204"/>
      <c r="EE496" s="75" t="e">
        <f t="shared" ref="EE496:EK496" si="2305">+EE495/DZ495-1</f>
        <v>#REF!</v>
      </c>
      <c r="EF496" s="75" t="e">
        <f t="shared" si="2305"/>
        <v>#REF!</v>
      </c>
      <c r="EG496" s="75" t="e">
        <f t="shared" si="2305"/>
        <v>#REF!</v>
      </c>
      <c r="EH496" s="75" t="e">
        <f t="shared" si="2305"/>
        <v>#REF!</v>
      </c>
      <c r="EI496" s="1119" t="e">
        <f t="shared" si="2305"/>
        <v>#REF!</v>
      </c>
      <c r="EJ496" s="75" t="e">
        <f t="shared" si="2305"/>
        <v>#REF!</v>
      </c>
      <c r="EK496" s="75" t="e">
        <f t="shared" si="2305"/>
        <v>#REF!</v>
      </c>
      <c r="EL496" s="1120" t="e">
        <f>EK496*0.9</f>
        <v>#REF!</v>
      </c>
      <c r="EM496" s="1120" t="e">
        <f>EL496*0.9</f>
        <v>#REF!</v>
      </c>
      <c r="EN496" s="1119" t="e">
        <f>+EN495/EI495-1</f>
        <v>#REF!</v>
      </c>
      <c r="EO496" s="75" t="e">
        <f t="shared" ref="EO496" si="2306">+EO495/EJ495-1</f>
        <v>#REF!</v>
      </c>
      <c r="EP496" s="1120" t="e">
        <f t="shared" ref="EP496:ER496" si="2307">EO496*0.9</f>
        <v>#REF!</v>
      </c>
      <c r="EQ496" s="1120" t="e">
        <f t="shared" si="2307"/>
        <v>#REF!</v>
      </c>
      <c r="ER496" s="1120" t="e">
        <f t="shared" si="2307"/>
        <v>#REF!</v>
      </c>
      <c r="ES496" s="1119" t="e">
        <f>+ES495/EN495-1</f>
        <v>#REF!</v>
      </c>
      <c r="ET496" s="75" t="e">
        <f t="shared" ref="ET496:EW496" si="2308">+ET495/EO495-1</f>
        <v>#REF!</v>
      </c>
      <c r="EU496" s="75" t="e">
        <f t="shared" si="2308"/>
        <v>#REF!</v>
      </c>
      <c r="EV496" s="75" t="e">
        <f t="shared" si="2308"/>
        <v>#REF!</v>
      </c>
      <c r="EW496" s="75" t="e">
        <f t="shared" si="2308"/>
        <v>#REF!</v>
      </c>
      <c r="EX496" s="1119" t="e">
        <f>+EX495/ES495-1</f>
        <v>#REF!</v>
      </c>
      <c r="EY496" s="1120" t="e">
        <f t="shared" ref="EY496" si="2309">EX496*0.9</f>
        <v>#REF!</v>
      </c>
      <c r="EZ496" s="1120" t="e">
        <f t="shared" ref="EZ496" si="2310">EY496*0.9</f>
        <v>#REF!</v>
      </c>
      <c r="FA496" s="1120" t="e">
        <f t="shared" ref="FA496" si="2311">EZ496*0.9</f>
        <v>#REF!</v>
      </c>
      <c r="FB496" s="1120" t="e">
        <f t="shared" ref="FB496" si="2312">FA496*0.9</f>
        <v>#REF!</v>
      </c>
      <c r="FC496" s="1119" t="e">
        <f>+FC495/EX495-1</f>
        <v>#REF!</v>
      </c>
      <c r="FD496" s="1120" t="e">
        <f t="shared" ref="FD496:FI496" si="2313">FC496*0.8</f>
        <v>#REF!</v>
      </c>
      <c r="FE496" s="1120" t="e">
        <f t="shared" si="2313"/>
        <v>#REF!</v>
      </c>
      <c r="FF496" s="1120" t="e">
        <f t="shared" si="2313"/>
        <v>#REF!</v>
      </c>
      <c r="FG496" s="1120" t="e">
        <f t="shared" si="2313"/>
        <v>#REF!</v>
      </c>
      <c r="FH496" s="1120" t="e">
        <f t="shared" si="2313"/>
        <v>#REF!</v>
      </c>
      <c r="FI496" s="1120" t="e">
        <f t="shared" si="2313"/>
        <v>#REF!</v>
      </c>
      <c r="FJ496" s="193"/>
      <c r="FK496" s="193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</row>
    <row r="497" spans="1:177" ht="12.75" hidden="1" customHeight="1" x14ac:dyDescent="0.3">
      <c r="A497" s="192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  <c r="AH497" s="193"/>
      <c r="AI497" s="193"/>
      <c r="AJ497" s="193"/>
      <c r="AK497" s="193"/>
      <c r="AL497" s="193"/>
      <c r="AM497" s="193"/>
      <c r="AN497" s="193"/>
      <c r="AO497" s="193"/>
      <c r="AP497" s="193"/>
      <c r="AQ497" s="193"/>
      <c r="AR497" s="193"/>
      <c r="AS497" s="193"/>
      <c r="AT497" s="193"/>
      <c r="AU497" s="193"/>
      <c r="AV497" s="193"/>
      <c r="AW497" s="193"/>
      <c r="AX497" s="193"/>
      <c r="AY497" s="193"/>
      <c r="AZ497" s="193"/>
      <c r="BA497" s="193"/>
      <c r="BB497" s="193"/>
      <c r="BC497" s="193"/>
      <c r="BD497" s="193"/>
      <c r="BE497" s="193"/>
      <c r="BF497" s="193"/>
      <c r="BG497" s="193"/>
      <c r="BH497" s="193"/>
      <c r="BI497" s="193"/>
      <c r="BJ497" s="193"/>
      <c r="BK497" s="193"/>
      <c r="BL497" s="192"/>
      <c r="BM497" s="192"/>
      <c r="BN497" s="192"/>
      <c r="BO497" s="192"/>
      <c r="BP497" s="192"/>
      <c r="BQ497" s="192"/>
      <c r="BR497" s="193"/>
      <c r="BS497" s="193"/>
      <c r="BT497" s="193"/>
      <c r="BU497" s="193"/>
      <c r="BV497" s="192"/>
      <c r="BW497" s="193"/>
      <c r="BX497" s="193"/>
      <c r="BY497" s="193"/>
      <c r="BZ497" s="193"/>
      <c r="CA497" s="192"/>
      <c r="CB497" s="193"/>
      <c r="CC497" s="193"/>
      <c r="CD497" s="193"/>
      <c r="CE497" s="193"/>
      <c r="CF497" s="192"/>
      <c r="CG497" s="193"/>
      <c r="CH497" s="193"/>
      <c r="CI497" s="193"/>
      <c r="CJ497" s="193"/>
      <c r="CK497" s="192"/>
      <c r="CL497" s="193"/>
      <c r="CM497" s="193"/>
      <c r="CN497" s="193"/>
      <c r="CO497" s="193"/>
      <c r="CP497" s="192"/>
      <c r="CQ497" s="193"/>
      <c r="CR497" s="193"/>
      <c r="CS497" s="193"/>
      <c r="CT497" s="193"/>
      <c r="CU497" s="193"/>
      <c r="CV497" s="193"/>
      <c r="CW497" s="193"/>
      <c r="CX497" s="193"/>
      <c r="CY497" s="193"/>
      <c r="CZ497" s="193"/>
      <c r="DA497" s="193"/>
      <c r="DB497" s="193"/>
      <c r="DC497" s="193"/>
      <c r="DD497" s="193"/>
      <c r="DE497" s="193"/>
      <c r="DF497" s="193"/>
      <c r="DG497" s="193"/>
      <c r="DH497" s="193"/>
      <c r="DI497" s="193"/>
      <c r="DJ497" s="193"/>
      <c r="DK497" s="193"/>
      <c r="DL497" s="193"/>
      <c r="DM497" s="193"/>
      <c r="DN497" s="193"/>
      <c r="DO497" s="193"/>
      <c r="DP497" s="193"/>
      <c r="DQ497" s="193"/>
      <c r="DR497" s="193"/>
      <c r="DS497" s="193"/>
      <c r="DT497" s="193"/>
      <c r="DU497" s="196"/>
      <c r="DV497" s="196"/>
      <c r="DW497" s="196"/>
      <c r="DX497" s="665"/>
      <c r="DY497" s="1191"/>
      <c r="DZ497" s="197"/>
      <c r="EB497" s="665"/>
      <c r="EC497" s="665"/>
      <c r="ED497" s="1204"/>
      <c r="EE497" s="75"/>
      <c r="EF497" s="75"/>
      <c r="EG497" s="75"/>
      <c r="EH497" s="75"/>
      <c r="EI497" s="1119"/>
      <c r="EJ497" s="75"/>
      <c r="EK497" s="75"/>
      <c r="EL497" s="1120"/>
      <c r="EM497" s="1120"/>
      <c r="EN497" s="1119"/>
      <c r="EO497" s="75"/>
      <c r="EP497" s="1120"/>
      <c r="EQ497" s="1120"/>
      <c r="ER497" s="1120"/>
      <c r="ES497" s="1119"/>
      <c r="ET497" s="75"/>
      <c r="EU497" s="75"/>
      <c r="EV497" s="75"/>
      <c r="EW497" s="75"/>
      <c r="EX497" s="1119"/>
      <c r="EY497" s="1120"/>
      <c r="EZ497" s="1120"/>
      <c r="FA497" s="1120"/>
      <c r="FB497" s="1120"/>
      <c r="FC497" s="1119"/>
      <c r="FD497" s="1120"/>
      <c r="FE497" s="1120"/>
      <c r="FF497" s="1120"/>
      <c r="FG497" s="1120"/>
      <c r="FH497" s="1120"/>
      <c r="FI497" s="1120"/>
      <c r="FJ497" s="193"/>
      <c r="FK497" s="193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</row>
    <row r="498" spans="1:177" ht="12.75" customHeight="1" x14ac:dyDescent="0.3">
      <c r="A498" s="60" t="s">
        <v>388</v>
      </c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  <c r="AH498" s="193"/>
      <c r="AI498" s="193"/>
      <c r="AJ498" s="193"/>
      <c r="AK498" s="193"/>
      <c r="AL498" s="193"/>
      <c r="AM498" s="193"/>
      <c r="AN498" s="193"/>
      <c r="AO498" s="193"/>
      <c r="AP498" s="193"/>
      <c r="AQ498" s="193"/>
      <c r="AR498" s="193"/>
      <c r="AS498" s="193"/>
      <c r="AT498" s="193"/>
      <c r="AU498" s="193"/>
      <c r="AV498" s="193"/>
      <c r="AW498" s="193"/>
      <c r="AX498" s="193"/>
      <c r="AY498" s="193"/>
      <c r="AZ498" s="193"/>
      <c r="BA498" s="193"/>
      <c r="BB498" s="193"/>
      <c r="BC498" s="193"/>
      <c r="BD498" s="193"/>
      <c r="BE498" s="193"/>
      <c r="BF498" s="193"/>
      <c r="BG498" s="193"/>
      <c r="BH498" s="193"/>
      <c r="BI498" s="193"/>
      <c r="BJ498" s="193"/>
      <c r="BK498" s="193"/>
      <c r="BL498" s="192"/>
      <c r="BM498" s="192"/>
      <c r="BN498" s="192"/>
      <c r="BO498" s="192"/>
      <c r="BP498" s="192"/>
      <c r="BQ498" s="192"/>
      <c r="BR498" s="193"/>
      <c r="BS498" s="193"/>
      <c r="BT498" s="193"/>
      <c r="BU498" s="193"/>
      <c r="BV498" s="192"/>
      <c r="BW498" s="193"/>
      <c r="BX498" s="193"/>
      <c r="BY498" s="193"/>
      <c r="BZ498" s="193"/>
      <c r="CA498" s="192"/>
      <c r="CB498" s="193"/>
      <c r="CC498" s="193"/>
      <c r="CD498" s="193"/>
      <c r="CE498" s="193"/>
      <c r="CF498" s="192"/>
      <c r="CG498" s="193"/>
      <c r="CH498" s="193"/>
      <c r="CI498" s="193"/>
      <c r="CJ498" s="193"/>
      <c r="CK498" s="192"/>
      <c r="CL498" s="193"/>
      <c r="CM498" s="193"/>
      <c r="CN498" s="193"/>
      <c r="CO498" s="193"/>
      <c r="CP498" s="192"/>
      <c r="CQ498" s="193"/>
      <c r="CR498" s="193"/>
      <c r="CS498" s="193"/>
      <c r="CT498" s="193"/>
      <c r="CU498" s="193"/>
      <c r="CV498" s="193"/>
      <c r="CW498" s="193"/>
      <c r="CX498" s="193"/>
      <c r="CY498" s="193"/>
      <c r="CZ498" s="193"/>
      <c r="DA498" s="193"/>
      <c r="DB498" s="193"/>
      <c r="DC498" s="193"/>
      <c r="DD498" s="193"/>
      <c r="DE498" s="193"/>
      <c r="DF498" s="193"/>
      <c r="DG498" s="193"/>
      <c r="DH498" s="193"/>
      <c r="DI498" s="193"/>
      <c r="DJ498" s="193"/>
      <c r="DK498" s="193"/>
      <c r="DL498" s="193"/>
      <c r="DM498" s="193"/>
      <c r="DN498" s="193"/>
      <c r="DO498" s="193"/>
      <c r="DP498" s="193"/>
      <c r="DQ498" s="193"/>
      <c r="DR498" s="193"/>
      <c r="DS498" s="193"/>
      <c r="DT498" s="193"/>
      <c r="DU498" s="196"/>
      <c r="DV498" s="196"/>
      <c r="DW498" s="196"/>
      <c r="DX498" s="665"/>
      <c r="DY498" s="1191"/>
      <c r="DZ498" s="85">
        <f>DZ222+DZ360</f>
        <v>752.7332439727295</v>
      </c>
      <c r="EA498" s="85">
        <f>EA222+EA360</f>
        <v>720.05544253613277</v>
      </c>
      <c r="EB498" s="85">
        <f>EB222+EB360</f>
        <v>713.84942824218751</v>
      </c>
      <c r="EC498" s="85">
        <f>EC222+EC360</f>
        <v>702.8001828125</v>
      </c>
      <c r="ED498" s="85">
        <f>SUM(DZ498:EC498)</f>
        <v>2889.4382975635499</v>
      </c>
      <c r="EE498" s="85">
        <f>EE222+EE360</f>
        <v>699.57018749999997</v>
      </c>
      <c r="EF498" s="85">
        <f>EF222+EF360</f>
        <v>705.24249999999995</v>
      </c>
      <c r="EG498" s="85">
        <f>EG222+EG360</f>
        <v>737.77250000000004</v>
      </c>
      <c r="EH498" s="85">
        <f>EH222+EH360</f>
        <v>710.69499999999994</v>
      </c>
      <c r="EI498" s="85">
        <f>SUM(EE498:EH498)</f>
        <v>2853.2801874999996</v>
      </c>
      <c r="EJ498" s="85">
        <f>EJ222+EJ360</f>
        <v>691.91999999999985</v>
      </c>
      <c r="EK498" s="85">
        <f>EK222+EK360</f>
        <v>682.07749999999999</v>
      </c>
      <c r="EL498" s="85">
        <f>EL222+EL360</f>
        <v>700.77499999999998</v>
      </c>
      <c r="EM498" s="85">
        <f>EM222+EM360</f>
        <v>681.495</v>
      </c>
      <c r="EN498" s="85">
        <f>SUM(EJ498:EM498)</f>
        <v>2756.2674999999999</v>
      </c>
      <c r="EO498" s="85">
        <f>EO222+EO360</f>
        <v>691.65249999999992</v>
      </c>
      <c r="EP498" s="85">
        <f>EP222+EP360</f>
        <v>692.83249999999998</v>
      </c>
      <c r="EQ498" s="85">
        <f>EQ222+EQ360</f>
        <v>693.37249999999995</v>
      </c>
      <c r="ER498" s="85">
        <f>ER222+ER360</f>
        <v>663.44</v>
      </c>
      <c r="ES498" s="85">
        <f>SUM(EO498:ER498)</f>
        <v>2741.2975000000001</v>
      </c>
      <c r="ET498" s="85">
        <f>ET222+ET360</f>
        <v>701.07999999999993</v>
      </c>
      <c r="EU498" s="85">
        <f>EU222+EU360</f>
        <v>709.67499999999995</v>
      </c>
      <c r="EV498" s="85">
        <f>EV222+EV360</f>
        <v>734</v>
      </c>
      <c r="EW498" s="85">
        <f>EW222+EW360</f>
        <v>709.18999999999994</v>
      </c>
      <c r="EX498" s="85">
        <f>SUM(ET498:EW498)</f>
        <v>2853.9450000000002</v>
      </c>
      <c r="EY498" s="85">
        <f t="shared" ref="EY498:FB498" si="2314">EY222+EY360</f>
        <v>708.7666735069015</v>
      </c>
      <c r="EZ498" s="85">
        <f t="shared" si="2314"/>
        <v>700.11047621536954</v>
      </c>
      <c r="FA498" s="85">
        <f t="shared" si="2314"/>
        <v>710.73537342075281</v>
      </c>
      <c r="FB498" s="85">
        <f t="shared" si="2314"/>
        <v>673.8561825843517</v>
      </c>
      <c r="FC498" s="85">
        <f>SUM(EY498:FB498)</f>
        <v>2793.4687057273754</v>
      </c>
      <c r="FD498" s="85">
        <f t="shared" ref="FD498:FI498" si="2315">FD222+FD360</f>
        <v>2728.9187686438654</v>
      </c>
      <c r="FE498" s="85">
        <f t="shared" si="2315"/>
        <v>2664.9821644467547</v>
      </c>
      <c r="FF498" s="85">
        <f>FF222+FF360</f>
        <v>2654.5298065035668</v>
      </c>
      <c r="FG498" s="85">
        <f t="shared" si="2315"/>
        <v>2645.3025028468965</v>
      </c>
      <c r="FH498" s="85">
        <f t="shared" si="2315"/>
        <v>2637.2771274593088</v>
      </c>
      <c r="FI498" s="85">
        <f t="shared" si="2315"/>
        <v>2630.4312077852414</v>
      </c>
      <c r="FJ498" s="193"/>
      <c r="FK498" s="193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</row>
    <row r="499" spans="1:177" ht="12.75" customHeight="1" x14ac:dyDescent="0.3">
      <c r="A499" s="70" t="s">
        <v>363</v>
      </c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  <c r="AH499" s="193"/>
      <c r="AI499" s="193"/>
      <c r="AJ499" s="193"/>
      <c r="AK499" s="193"/>
      <c r="AL499" s="193"/>
      <c r="AM499" s="193"/>
      <c r="AN499" s="193"/>
      <c r="AO499" s="193"/>
      <c r="AP499" s="193"/>
      <c r="AQ499" s="193"/>
      <c r="AR499" s="193"/>
      <c r="AS499" s="193"/>
      <c r="AT499" s="193"/>
      <c r="AU499" s="193"/>
      <c r="AV499" s="193"/>
      <c r="AW499" s="193"/>
      <c r="AX499" s="193"/>
      <c r="AY499" s="193"/>
      <c r="AZ499" s="193"/>
      <c r="BA499" s="193"/>
      <c r="BB499" s="193"/>
      <c r="BC499" s="193"/>
      <c r="BD499" s="193"/>
      <c r="BE499" s="193"/>
      <c r="BF499" s="193"/>
      <c r="BG499" s="193"/>
      <c r="BH499" s="193"/>
      <c r="BI499" s="193"/>
      <c r="BJ499" s="193"/>
      <c r="BK499" s="193"/>
      <c r="BL499" s="192"/>
      <c r="BM499" s="192"/>
      <c r="BN499" s="192"/>
      <c r="BO499" s="192"/>
      <c r="BP499" s="192"/>
      <c r="BQ499" s="192"/>
      <c r="BR499" s="193"/>
      <c r="BS499" s="193"/>
      <c r="BT499" s="193"/>
      <c r="BU499" s="193"/>
      <c r="BV499" s="192"/>
      <c r="BW499" s="193"/>
      <c r="BX499" s="193"/>
      <c r="BY499" s="193"/>
      <c r="BZ499" s="193"/>
      <c r="CA499" s="192"/>
      <c r="CB499" s="193"/>
      <c r="CC499" s="193"/>
      <c r="CD499" s="193"/>
      <c r="CE499" s="193"/>
      <c r="CF499" s="192"/>
      <c r="CG499" s="193"/>
      <c r="CH499" s="193"/>
      <c r="CI499" s="193"/>
      <c r="CJ499" s="193"/>
      <c r="CK499" s="192"/>
      <c r="CL499" s="193"/>
      <c r="CM499" s="193"/>
      <c r="CN499" s="193"/>
      <c r="CO499" s="193"/>
      <c r="CP499" s="192"/>
      <c r="CQ499" s="193"/>
      <c r="CR499" s="193"/>
      <c r="CS499" s="193"/>
      <c r="CT499" s="193"/>
      <c r="CU499" s="193"/>
      <c r="CV499" s="193"/>
      <c r="CW499" s="193"/>
      <c r="CX499" s="193"/>
      <c r="CY499" s="193"/>
      <c r="CZ499" s="193"/>
      <c r="DA499" s="193"/>
      <c r="DB499" s="193"/>
      <c r="DC499" s="193"/>
      <c r="DD499" s="193"/>
      <c r="DE499" s="193"/>
      <c r="DF499" s="193"/>
      <c r="DG499" s="193"/>
      <c r="DH499" s="193"/>
      <c r="DI499" s="193"/>
      <c r="DJ499" s="193"/>
      <c r="DK499" s="193"/>
      <c r="DL499" s="193"/>
      <c r="DM499" s="193"/>
      <c r="DN499" s="193"/>
      <c r="DO499" s="193"/>
      <c r="DP499" s="193"/>
      <c r="DQ499" s="193"/>
      <c r="DR499" s="193"/>
      <c r="DS499" s="193"/>
      <c r="DT499" s="193"/>
      <c r="DU499" s="196"/>
      <c r="DV499" s="196"/>
      <c r="DW499" s="196"/>
      <c r="DX499" s="665"/>
      <c r="DY499" s="1191"/>
      <c r="DZ499" s="197"/>
      <c r="EB499" s="665"/>
      <c r="EC499" s="665"/>
      <c r="ED499" s="1204"/>
      <c r="EE499" s="75">
        <f t="shared" ref="EE499" si="2316">+EE498/DZ498-1</f>
        <v>-7.0626688668815496E-2</v>
      </c>
      <c r="EF499" s="75">
        <f t="shared" ref="EF499" si="2317">+EF498/EA498-1</f>
        <v>-2.0571947187788209E-2</v>
      </c>
      <c r="EG499" s="75">
        <f t="shared" ref="EG499:EW499" si="2318">+EG498/EB498-1</f>
        <v>3.3512770076347564E-2</v>
      </c>
      <c r="EH499" s="75">
        <f t="shared" si="2318"/>
        <v>1.1233373838785976E-2</v>
      </c>
      <c r="EI499" s="84">
        <f t="shared" ref="EI499" si="2319">+EI498/ED498-1</f>
        <v>-1.2513888977674248E-2</v>
      </c>
      <c r="EJ499" s="75">
        <f t="shared" si="2318"/>
        <v>-1.0935553911093576E-2</v>
      </c>
      <c r="EK499" s="75">
        <f t="shared" si="2318"/>
        <v>-3.2846857641165905E-2</v>
      </c>
      <c r="EL499" s="75">
        <f t="shared" si="2318"/>
        <v>-5.014757259182212E-2</v>
      </c>
      <c r="EM499" s="75">
        <f t="shared" si="2318"/>
        <v>-4.1086542046869567E-2</v>
      </c>
      <c r="EN499" s="84">
        <f t="shared" ref="EN499" si="2320">+EN498/EI498-1</f>
        <v>-3.4000406943911377E-2</v>
      </c>
      <c r="EO499" s="75">
        <f t="shared" si="2318"/>
        <v>-3.8660538790602494E-4</v>
      </c>
      <c r="EP499" s="75">
        <f t="shared" si="2318"/>
        <v>1.5768002902895928E-2</v>
      </c>
      <c r="EQ499" s="75">
        <f t="shared" si="2318"/>
        <v>-1.0563304912418414E-2</v>
      </c>
      <c r="ER499" s="75">
        <f t="shared" si="2318"/>
        <v>-2.6493224455058306E-2</v>
      </c>
      <c r="ES499" s="84">
        <f t="shared" ref="ES499" si="2321">+ES498/EN498-1</f>
        <v>-5.4312580328287341E-3</v>
      </c>
      <c r="ET499" s="75">
        <f t="shared" si="2318"/>
        <v>1.3630399658788317E-2</v>
      </c>
      <c r="EU499" s="75">
        <f t="shared" si="2318"/>
        <v>2.430962750736998E-2</v>
      </c>
      <c r="EV499" s="75">
        <f t="shared" si="2318"/>
        <v>5.8594045769049252E-2</v>
      </c>
      <c r="EW499" s="75">
        <f t="shared" si="2318"/>
        <v>6.8958760400337438E-2</v>
      </c>
      <c r="EX499" s="84">
        <f t="shared" ref="EX499" si="2322">+EX498/ES498-1</f>
        <v>4.1092767202392411E-2</v>
      </c>
      <c r="EY499" s="75">
        <f t="shared" ref="EY499" si="2323">+EY498/ET498-1</f>
        <v>1.0964046195728772E-2</v>
      </c>
      <c r="EZ499" s="75">
        <f t="shared" ref="EZ499" si="2324">+EZ498/EU498-1</f>
        <v>-1.3477329460147791E-2</v>
      </c>
      <c r="FA499" s="75">
        <f t="shared" ref="FA499" si="2325">+FA498/EV498-1</f>
        <v>-3.169567653848393E-2</v>
      </c>
      <c r="FB499" s="75">
        <f t="shared" ref="FB499:FC499" si="2326">+FB498/EW498-1</f>
        <v>-4.982278009510599E-2</v>
      </c>
      <c r="FC499" s="84">
        <f t="shared" si="2326"/>
        <v>-2.1190420373421559E-2</v>
      </c>
      <c r="FD499" s="75">
        <f t="shared" ref="FD499" si="2327">FD498/FC498-1</f>
        <v>-2.3107449512917433E-2</v>
      </c>
      <c r="FE499" s="75">
        <f t="shared" ref="FE499" si="2328">FE498/FD498-1</f>
        <v>-2.342928083157414E-2</v>
      </c>
      <c r="FF499" s="75">
        <f t="shared" ref="FF499" si="2329">FF498/FE498-1</f>
        <v>-3.922111780946147E-3</v>
      </c>
      <c r="FG499" s="75">
        <f t="shared" ref="FG499" si="2330">FG498/FF498-1</f>
        <v>-3.476059539457288E-3</v>
      </c>
      <c r="FH499" s="75">
        <f t="shared" ref="FH499" si="2331">FH498/FG498-1</f>
        <v>-3.0338214170027022E-3</v>
      </c>
      <c r="FI499" s="75">
        <f t="shared" ref="FI499" si="2332">FI498/FH498-1</f>
        <v>-2.5958287063531094E-3</v>
      </c>
      <c r="FJ499" s="193"/>
      <c r="FK499" s="193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</row>
    <row r="500" spans="1:177" ht="12.75" customHeight="1" x14ac:dyDescent="0.3">
      <c r="A500" s="61" t="s">
        <v>389</v>
      </c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  <c r="AH500" s="193"/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193"/>
      <c r="AS500" s="193"/>
      <c r="AT500" s="193"/>
      <c r="AU500" s="193"/>
      <c r="AV500" s="193"/>
      <c r="AW500" s="193"/>
      <c r="AX500" s="193"/>
      <c r="AY500" s="193"/>
      <c r="AZ500" s="193"/>
      <c r="BA500" s="193"/>
      <c r="BB500" s="193"/>
      <c r="BC500" s="193"/>
      <c r="BD500" s="193"/>
      <c r="BE500" s="193"/>
      <c r="BF500" s="193"/>
      <c r="BG500" s="193"/>
      <c r="BH500" s="193"/>
      <c r="BI500" s="193"/>
      <c r="BJ500" s="193"/>
      <c r="BK500" s="193"/>
      <c r="BL500" s="192"/>
      <c r="BM500" s="192"/>
      <c r="BN500" s="192"/>
      <c r="BO500" s="192"/>
      <c r="BP500" s="192"/>
      <c r="BQ500" s="192"/>
      <c r="BR500" s="193"/>
      <c r="BS500" s="193"/>
      <c r="BT500" s="193"/>
      <c r="BU500" s="193"/>
      <c r="BV500" s="192"/>
      <c r="BW500" s="193"/>
      <c r="BX500" s="193"/>
      <c r="BY500" s="193"/>
      <c r="BZ500" s="193"/>
      <c r="CA500" s="192"/>
      <c r="CB500" s="193"/>
      <c r="CC500" s="193"/>
      <c r="CD500" s="193"/>
      <c r="CE500" s="193"/>
      <c r="CF500" s="192"/>
      <c r="CG500" s="193"/>
      <c r="CH500" s="193"/>
      <c r="CI500" s="193"/>
      <c r="CJ500" s="193"/>
      <c r="CK500" s="192"/>
      <c r="CL500" s="193"/>
      <c r="CM500" s="193"/>
      <c r="CN500" s="193"/>
      <c r="CO500" s="193"/>
      <c r="CP500" s="192"/>
      <c r="CQ500" s="193"/>
      <c r="CR500" s="193"/>
      <c r="CS500" s="193"/>
      <c r="CT500" s="193"/>
      <c r="CU500" s="193"/>
      <c r="CV500" s="193"/>
      <c r="CW500" s="193"/>
      <c r="CX500" s="193"/>
      <c r="CY500" s="193"/>
      <c r="CZ500" s="193"/>
      <c r="DA500" s="193"/>
      <c r="DB500" s="193"/>
      <c r="DC500" s="193"/>
      <c r="DD500" s="193"/>
      <c r="DE500" s="193"/>
      <c r="DF500" s="193"/>
      <c r="DG500" s="193"/>
      <c r="DH500" s="193"/>
      <c r="DI500" s="193"/>
      <c r="DJ500" s="193"/>
      <c r="DK500" s="193"/>
      <c r="DL500" s="193"/>
      <c r="DM500" s="193"/>
      <c r="DN500" s="193"/>
      <c r="DO500" s="193"/>
      <c r="DP500" s="193"/>
      <c r="DQ500" s="193"/>
      <c r="DR500" s="193"/>
      <c r="DS500" s="193"/>
      <c r="DT500" s="193"/>
      <c r="DU500" s="196"/>
      <c r="DV500" s="196"/>
      <c r="DW500" s="196"/>
      <c r="DX500" s="665"/>
      <c r="DY500" s="1191"/>
      <c r="DZ500" s="111">
        <f>DZ498/DZ108*1000/3</f>
        <v>16.507307981858101</v>
      </c>
      <c r="EA500" s="111">
        <f>EA498/EA108*1000/3</f>
        <v>15.790689529301156</v>
      </c>
      <c r="EB500" s="111">
        <f>EB498/EB108*1000/3</f>
        <v>15.654592724609374</v>
      </c>
      <c r="EC500" s="111">
        <f>EC498/EC108*1000/3</f>
        <v>15.412284710800437</v>
      </c>
      <c r="ED500" s="112">
        <f>ED498/ED108*1000/12</f>
        <v>15.84121873664227</v>
      </c>
      <c r="EE500" s="111">
        <f>EE498/EE108*1000/3</f>
        <v>15.341451480263158</v>
      </c>
      <c r="EF500" s="111">
        <f>EF498/EF108*1000/3</f>
        <v>15.415136612021856</v>
      </c>
      <c r="EG500" s="111">
        <f>EG498/EG108*1000/3</f>
        <v>16.073474945533771</v>
      </c>
      <c r="EH500" s="111">
        <f>EH498/EH108*1000/3</f>
        <v>15.48355119825708</v>
      </c>
      <c r="EI500" s="112">
        <f>EI498/EI108*1000/12</f>
        <v>15.5789254026754</v>
      </c>
      <c r="EJ500" s="111">
        <f>EJ498/EJ108*1000/3</f>
        <v>15.074509803921565</v>
      </c>
      <c r="EK500" s="111">
        <f>EK498/EK108*1000/3</f>
        <v>14.860076252723312</v>
      </c>
      <c r="EL500" s="111">
        <f>EL498/EL108*1000/3</f>
        <v>15.267429193899781</v>
      </c>
      <c r="EM500" s="111">
        <f>EM498/EM108*1000/3</f>
        <v>14.799022801302931</v>
      </c>
      <c r="EN500" s="112">
        <f>EN498/EN108*1000/12</f>
        <v>15.000095238095239</v>
      </c>
      <c r="EO500" s="111">
        <f>EO498/EO108*1000/3</f>
        <v>14.970833333333331</v>
      </c>
      <c r="EP500" s="111">
        <f>EP498/EP108*1000/3</f>
        <v>14.996374458874458</v>
      </c>
      <c r="EQ500" s="111">
        <f>EQ498/EQ108*1000/3</f>
        <v>15.008062770562768</v>
      </c>
      <c r="ER500" s="111">
        <f>ER498/ER108*1000/3</f>
        <v>14.360173160173161</v>
      </c>
      <c r="ES500" s="112">
        <f t="shared" ref="ES500:FI500" si="2333">ES498/ES108*1000/12</f>
        <v>14.833860930735932</v>
      </c>
      <c r="ET500" s="111">
        <f>ET498/ET108*1000/3</f>
        <v>15.174891774891774</v>
      </c>
      <c r="EU500" s="111">
        <f>EU498/EU108*1000/3</f>
        <v>15.360930735930735</v>
      </c>
      <c r="EV500" s="111">
        <f>EV498/EV108*1000/3</f>
        <v>15.887445887445887</v>
      </c>
      <c r="EW500" s="111">
        <f>EW498/EW108*1000/3</f>
        <v>15.300755124056094</v>
      </c>
      <c r="EX500" s="112">
        <f t="shared" ref="EX500" si="2334">EX498/EX108*1000/12</f>
        <v>15.430900243309003</v>
      </c>
      <c r="EY500" s="111">
        <f t="shared" ref="EY500:FB500" si="2335">EY498/EY108*1000/3</f>
        <v>15.225227065507783</v>
      </c>
      <c r="EZ500" s="111">
        <f t="shared" si="2335"/>
        <v>15.009440546329664</v>
      </c>
      <c r="FA500" s="111">
        <f t="shared" si="2335"/>
        <v>15.210859020219738</v>
      </c>
      <c r="FB500" s="111">
        <f t="shared" si="2335"/>
        <v>14.39995176021638</v>
      </c>
      <c r="FC500" s="112">
        <f t="shared" ref="FC500" si="2336">FC498/FC108*1000/12</f>
        <v>14.960892670673113</v>
      </c>
      <c r="FD500" s="111">
        <f t="shared" si="2333"/>
        <v>14.518803139391016</v>
      </c>
      <c r="FE500" s="111">
        <f t="shared" si="2333"/>
        <v>14.080077480933353</v>
      </c>
      <c r="FF500" s="111">
        <f t="shared" si="2333"/>
        <v>13.927362307019614</v>
      </c>
      <c r="FG500" s="111">
        <f t="shared" si="2333"/>
        <v>13.782472657808164</v>
      </c>
      <c r="FH500" s="111">
        <f t="shared" si="2333"/>
        <v>13.645143095411774</v>
      </c>
      <c r="FI500" s="111">
        <f t="shared" si="2333"/>
        <v>13.515116823497921</v>
      </c>
      <c r="FJ500" s="193"/>
      <c r="FK500" s="193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</row>
    <row r="501" spans="1:177" ht="12.75" customHeight="1" x14ac:dyDescent="0.3">
      <c r="A501" s="70" t="s">
        <v>387</v>
      </c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3"/>
      <c r="AF501" s="193"/>
      <c r="AG501" s="193"/>
      <c r="AH501" s="193"/>
      <c r="AI501" s="193"/>
      <c r="AJ501" s="193"/>
      <c r="AK501" s="193"/>
      <c r="AL501" s="193"/>
      <c r="AM501" s="193"/>
      <c r="AN501" s="193"/>
      <c r="AO501" s="193"/>
      <c r="AP501" s="193"/>
      <c r="AQ501" s="193"/>
      <c r="AR501" s="193"/>
      <c r="AS501" s="193"/>
      <c r="AT501" s="193"/>
      <c r="AU501" s="193"/>
      <c r="AV501" s="193"/>
      <c r="AW501" s="193"/>
      <c r="AX501" s="193"/>
      <c r="AY501" s="193"/>
      <c r="AZ501" s="193"/>
      <c r="BA501" s="193"/>
      <c r="BB501" s="193"/>
      <c r="BC501" s="193"/>
      <c r="BD501" s="193"/>
      <c r="BE501" s="193"/>
      <c r="BF501" s="193"/>
      <c r="BG501" s="193"/>
      <c r="BH501" s="193"/>
      <c r="BI501" s="193"/>
      <c r="BJ501" s="193"/>
      <c r="BK501" s="193"/>
      <c r="BL501" s="192"/>
      <c r="BM501" s="192"/>
      <c r="BN501" s="192"/>
      <c r="BO501" s="192"/>
      <c r="BP501" s="192"/>
      <c r="BQ501" s="192"/>
      <c r="BR501" s="193"/>
      <c r="BS501" s="193"/>
      <c r="BT501" s="193"/>
      <c r="BU501" s="193"/>
      <c r="BV501" s="192"/>
      <c r="BW501" s="193"/>
      <c r="BX501" s="193"/>
      <c r="BY501" s="193"/>
      <c r="BZ501" s="193"/>
      <c r="CA501" s="192"/>
      <c r="CB501" s="193"/>
      <c r="CC501" s="193"/>
      <c r="CD501" s="193"/>
      <c r="CE501" s="193"/>
      <c r="CF501" s="192"/>
      <c r="CG501" s="193"/>
      <c r="CH501" s="193"/>
      <c r="CI501" s="193"/>
      <c r="CJ501" s="193"/>
      <c r="CK501" s="192"/>
      <c r="CL501" s="193"/>
      <c r="CM501" s="193"/>
      <c r="CN501" s="193"/>
      <c r="CO501" s="193"/>
      <c r="CP501" s="192"/>
      <c r="CQ501" s="193"/>
      <c r="CR501" s="193"/>
      <c r="CS501" s="193"/>
      <c r="CT501" s="193"/>
      <c r="CU501" s="193"/>
      <c r="CV501" s="193"/>
      <c r="CW501" s="193"/>
      <c r="CX501" s="193"/>
      <c r="CY501" s="193"/>
      <c r="CZ501" s="193"/>
      <c r="DA501" s="193"/>
      <c r="DB501" s="193"/>
      <c r="DC501" s="193"/>
      <c r="DD501" s="193"/>
      <c r="DE501" s="193"/>
      <c r="DF501" s="193"/>
      <c r="DG501" s="193"/>
      <c r="DH501" s="193"/>
      <c r="DI501" s="193"/>
      <c r="DJ501" s="193"/>
      <c r="DK501" s="193"/>
      <c r="DL501" s="193"/>
      <c r="DM501" s="193"/>
      <c r="DN501" s="193"/>
      <c r="DO501" s="193"/>
      <c r="DP501" s="193"/>
      <c r="DQ501" s="193"/>
      <c r="DR501" s="193"/>
      <c r="DS501" s="193"/>
      <c r="DT501" s="193"/>
      <c r="DU501" s="196"/>
      <c r="DV501" s="196"/>
      <c r="DW501" s="196"/>
      <c r="DX501" s="665"/>
      <c r="DY501" s="1191"/>
      <c r="DZ501" s="197"/>
      <c r="EB501" s="665"/>
      <c r="EC501" s="665"/>
      <c r="ED501" s="1204"/>
      <c r="EE501" s="75">
        <f t="shared" ref="EE501" si="2337">+EE500/DZ500-1</f>
        <v>-7.0626688668815385E-2</v>
      </c>
      <c r="EF501" s="75">
        <f t="shared" ref="EF501" si="2338">+EF500/EA500-1</f>
        <v>-2.3783186705205295E-2</v>
      </c>
      <c r="EG501" s="75">
        <f t="shared" ref="EG501:EW501" si="2339">+EG500/EB500-1</f>
        <v>2.6757784651012084E-2</v>
      </c>
      <c r="EH501" s="75">
        <f t="shared" si="2339"/>
        <v>4.6240053823234373E-3</v>
      </c>
      <c r="EI501" s="84">
        <f t="shared" ref="EI501" si="2340">+EI500/ED500-1</f>
        <v>-1.6557648646070344E-2</v>
      </c>
      <c r="EJ501" s="75">
        <f t="shared" si="2339"/>
        <v>-1.7400027414942731E-2</v>
      </c>
      <c r="EK501" s="75">
        <f t="shared" si="2339"/>
        <v>-3.6007488825344991E-2</v>
      </c>
      <c r="EL501" s="75">
        <f t="shared" si="2339"/>
        <v>-5.0147572591822231E-2</v>
      </c>
      <c r="EM501" s="75">
        <f t="shared" si="2339"/>
        <v>-4.4210038652580219E-2</v>
      </c>
      <c r="EN501" s="84">
        <f t="shared" ref="EN501" si="2341">+EN500/EI500-1</f>
        <v>-3.7154691329400524E-2</v>
      </c>
      <c r="EO501" s="75">
        <f t="shared" si="2339"/>
        <v>-6.8776014568157073E-3</v>
      </c>
      <c r="EP501" s="75">
        <f t="shared" si="2339"/>
        <v>9.1721067801497913E-3</v>
      </c>
      <c r="EQ501" s="75">
        <f t="shared" si="2339"/>
        <v>-1.6988218516883369E-2</v>
      </c>
      <c r="ER501" s="75">
        <f t="shared" si="2339"/>
        <v>-2.9653960739295049E-2</v>
      </c>
      <c r="ES501" s="84">
        <f t="shared" ref="ES501" si="2342">+ES500/EN500-1</f>
        <v>-1.1082216794005895E-2</v>
      </c>
      <c r="ET501" s="75">
        <f t="shared" si="2339"/>
        <v>1.3630399658788317E-2</v>
      </c>
      <c r="EU501" s="75">
        <f t="shared" si="2339"/>
        <v>2.4309627507370202E-2</v>
      </c>
      <c r="EV501" s="75">
        <f t="shared" si="2339"/>
        <v>5.8594045769049252E-2</v>
      </c>
      <c r="EW501" s="75">
        <f t="shared" si="2339"/>
        <v>6.5499346936258807E-2</v>
      </c>
      <c r="EX501" s="84">
        <f t="shared" ref="EX501" si="2343">+EX500/ES500-1</f>
        <v>4.0248409726964418E-2</v>
      </c>
      <c r="EY501" s="75">
        <f t="shared" ref="EY501" si="2344">+EY500/ET500-1</f>
        <v>3.3170115057619132E-3</v>
      </c>
      <c r="EZ501" s="75">
        <f t="shared" ref="EZ501" si="2345">+EZ500/EU500-1</f>
        <v>-2.2882089350152457E-2</v>
      </c>
      <c r="FA501" s="75">
        <f t="shared" ref="FA501" si="2346">+FA500/EV500-1</f>
        <v>-4.258625785537884E-2</v>
      </c>
      <c r="FB501" s="75">
        <f t="shared" ref="FB501:FC501" si="2347">+FB500/EW500-1</f>
        <v>-5.8873131197522133E-2</v>
      </c>
      <c r="FC501" s="84">
        <f t="shared" si="2347"/>
        <v>-3.0458856270533574E-2</v>
      </c>
      <c r="FD501" s="75">
        <f t="shared" ref="FD501" si="2348">FD500/FC500-1</f>
        <v>-2.9549676012895709E-2</v>
      </c>
      <c r="FE501" s="75">
        <f t="shared" ref="FE501" si="2349">FE500/FD500-1</f>
        <v>-3.0217756535823148E-2</v>
      </c>
      <c r="FF501" s="75">
        <f t="shared" ref="FF501" si="2350">FF500/FE500-1</f>
        <v>-1.0846188461714035E-2</v>
      </c>
      <c r="FG501" s="75">
        <f t="shared" ref="FG501" si="2351">FG500/FF500-1</f>
        <v>-1.0403236881288191E-2</v>
      </c>
      <c r="FH501" s="75">
        <f t="shared" ref="FH501" si="2352">FH500/FG500-1</f>
        <v>-9.9640729066557965E-3</v>
      </c>
      <c r="FI501" s="75">
        <f t="shared" ref="FI501" si="2353">FI500/FH500-1</f>
        <v>-9.5291248325255484E-3</v>
      </c>
      <c r="FJ501" s="193"/>
      <c r="FK501" s="193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</row>
    <row r="502" spans="1:177" ht="12.75" customHeight="1" x14ac:dyDescent="0.3">
      <c r="A502" s="61" t="s">
        <v>391</v>
      </c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  <c r="AE502" s="193"/>
      <c r="AF502" s="193"/>
      <c r="AG502" s="193"/>
      <c r="AH502" s="193"/>
      <c r="AI502" s="193"/>
      <c r="AJ502" s="193"/>
      <c r="AK502" s="193"/>
      <c r="AL502" s="193"/>
      <c r="AM502" s="193"/>
      <c r="AN502" s="193"/>
      <c r="AO502" s="193"/>
      <c r="AP502" s="193"/>
      <c r="AQ502" s="193"/>
      <c r="AR502" s="193"/>
      <c r="AS502" s="193"/>
      <c r="AT502" s="193"/>
      <c r="AU502" s="193"/>
      <c r="AV502" s="193"/>
      <c r="AW502" s="193"/>
      <c r="AX502" s="193"/>
      <c r="AY502" s="193"/>
      <c r="AZ502" s="193"/>
      <c r="BA502" s="193"/>
      <c r="BB502" s="193"/>
      <c r="BC502" s="193"/>
      <c r="BD502" s="193"/>
      <c r="BE502" s="193"/>
      <c r="BF502" s="193"/>
      <c r="BG502" s="193"/>
      <c r="BH502" s="193"/>
      <c r="BI502" s="193"/>
      <c r="BJ502" s="193"/>
      <c r="BK502" s="193"/>
      <c r="BL502" s="192"/>
      <c r="BM502" s="192"/>
      <c r="BN502" s="192"/>
      <c r="BO502" s="192"/>
      <c r="BP502" s="192"/>
      <c r="BQ502" s="192"/>
      <c r="BR502" s="193"/>
      <c r="BS502" s="193"/>
      <c r="BT502" s="193"/>
      <c r="BU502" s="193"/>
      <c r="BV502" s="192"/>
      <c r="BW502" s="193"/>
      <c r="BX502" s="193"/>
      <c r="BY502" s="193"/>
      <c r="BZ502" s="193"/>
      <c r="CA502" s="192"/>
      <c r="CB502" s="193"/>
      <c r="CC502" s="193"/>
      <c r="CD502" s="193"/>
      <c r="CE502" s="193"/>
      <c r="CF502" s="192"/>
      <c r="CG502" s="193"/>
      <c r="CH502" s="193"/>
      <c r="CI502" s="193"/>
      <c r="CJ502" s="193"/>
      <c r="CK502" s="192"/>
      <c r="CL502" s="193"/>
      <c r="CM502" s="193"/>
      <c r="CN502" s="193"/>
      <c r="CO502" s="193"/>
      <c r="CP502" s="192"/>
      <c r="CQ502" s="193"/>
      <c r="CR502" s="193"/>
      <c r="CS502" s="193"/>
      <c r="CT502" s="193"/>
      <c r="CU502" s="193"/>
      <c r="CV502" s="193"/>
      <c r="CW502" s="193"/>
      <c r="CX502" s="193"/>
      <c r="CY502" s="193"/>
      <c r="CZ502" s="193"/>
      <c r="DA502" s="193"/>
      <c r="DB502" s="193"/>
      <c r="DC502" s="193"/>
      <c r="DD502" s="193"/>
      <c r="DE502" s="193"/>
      <c r="DF502" s="193"/>
      <c r="DG502" s="193"/>
      <c r="DH502" s="193"/>
      <c r="DI502" s="193"/>
      <c r="DJ502" s="193"/>
      <c r="DK502" s="193"/>
      <c r="DL502" s="193"/>
      <c r="DM502" s="193"/>
      <c r="DN502" s="193"/>
      <c r="DO502" s="193"/>
      <c r="DP502" s="193"/>
      <c r="DQ502" s="193"/>
      <c r="DR502" s="193"/>
      <c r="DS502" s="193"/>
      <c r="DT502" s="193"/>
      <c r="DU502" s="196"/>
      <c r="DV502" s="196"/>
      <c r="DW502" s="196"/>
      <c r="DX502" s="665"/>
      <c r="DY502" s="1191"/>
      <c r="DZ502" s="111">
        <f>DZ498/DZ455*1000/3</f>
        <v>68.319841999729363</v>
      </c>
      <c r="EA502" s="111">
        <f t="shared" ref="EA502:EG502" si="2354">EA498/EA455*1000/3</f>
        <v>65.881001511272842</v>
      </c>
      <c r="EB502" s="111">
        <f t="shared" si="2354"/>
        <v>66.035791965173303</v>
      </c>
      <c r="EC502" s="111">
        <f t="shared" si="2354"/>
        <v>65.805335656837869</v>
      </c>
      <c r="ED502" s="112">
        <f>ED498/ED455*1000/12</f>
        <v>66.519524246716372</v>
      </c>
      <c r="EE502" s="111">
        <f>EE498/EE455*1000/3</f>
        <v>66.234710796618529</v>
      </c>
      <c r="EF502" s="111">
        <f t="shared" si="2354"/>
        <v>67.484091670255012</v>
      </c>
      <c r="EG502" s="111">
        <f t="shared" si="2354"/>
        <v>71.292699425037441</v>
      </c>
      <c r="EH502" s="111">
        <f t="shared" ref="EH502:EJ502" si="2355">EH498/EH455*1000/3</f>
        <v>69.086711383299303</v>
      </c>
      <c r="EI502" s="112">
        <f>EI498/EI455*1000/12</f>
        <v>68.509437280732939</v>
      </c>
      <c r="EJ502" s="111">
        <f t="shared" si="2355"/>
        <v>67.359813084112133</v>
      </c>
      <c r="EK502" s="111">
        <f t="shared" ref="EK502:EL502" si="2356">EK498/EK455*1000/3</f>
        <v>66.469570725527461</v>
      </c>
      <c r="EL502" s="111">
        <f t="shared" si="2356"/>
        <v>68.602545276554082</v>
      </c>
      <c r="EM502" s="111">
        <f t="shared" ref="EM502" si="2357">EM498/EM455*1000/3</f>
        <v>67.030097373856592</v>
      </c>
      <c r="EN502" s="112">
        <f>EN498/EN455*1000/12</f>
        <v>67.364873947525993</v>
      </c>
      <c r="EO502" s="111">
        <f t="shared" ref="EO502:EP502" si="2358">EO498/EO455*1000/3</f>
        <v>68.099492935558501</v>
      </c>
      <c r="EP502" s="111">
        <f t="shared" si="2358"/>
        <v>68.296367489772777</v>
      </c>
      <c r="EQ502" s="111">
        <f t="shared" ref="EQ502:ER502" si="2359">EQ498/EQ455*1000/3</f>
        <v>68.593015778800009</v>
      </c>
      <c r="ER502" s="111">
        <f t="shared" si="2359"/>
        <v>65.661124307205071</v>
      </c>
      <c r="ES502" s="112">
        <f>ES498/ES455*1000/12</f>
        <v>67.663803423550178</v>
      </c>
      <c r="ET502" s="111">
        <f t="shared" ref="ET502:EU502" si="2360">ET498/ET455*1000/3</f>
        <v>69.221958925750386</v>
      </c>
      <c r="EU502" s="111">
        <f t="shared" si="2360"/>
        <v>69.884293451501719</v>
      </c>
      <c r="EV502" s="111">
        <f t="shared" ref="EV502:EW502" si="2361">EV498/EV455*1000/3</f>
        <v>71.960784313725483</v>
      </c>
      <c r="EW502" s="111">
        <f t="shared" si="2361"/>
        <v>69.162278135361802</v>
      </c>
      <c r="EX502" s="112">
        <f>EX498/EX455*1000/12</f>
        <v>70.057809853450195</v>
      </c>
      <c r="EY502" s="111">
        <f t="shared" ref="EY502:FB502" si="2362">EY498/EY455*1000/3</f>
        <v>68.518468544928439</v>
      </c>
      <c r="EZ502" s="111">
        <f t="shared" si="2362"/>
        <v>66.860351401910137</v>
      </c>
      <c r="FA502" s="111">
        <f t="shared" si="2362"/>
        <v>67.015012704994035</v>
      </c>
      <c r="FB502" s="111">
        <f t="shared" si="2362"/>
        <v>62.565699869325961</v>
      </c>
      <c r="FC502" s="112">
        <f>FC498/FC455*1000/12</f>
        <v>66.209439238178902</v>
      </c>
      <c r="FD502" s="111">
        <f t="shared" ref="FD502:FI502" si="2363">FD498/FD455*1000/12</f>
        <v>60.405552888244749</v>
      </c>
      <c r="FE502" s="111">
        <f t="shared" si="2363"/>
        <v>54.549762420358199</v>
      </c>
      <c r="FF502" s="111">
        <f t="shared" si="2363"/>
        <v>50.702559991356019</v>
      </c>
      <c r="FG502" s="111">
        <f t="shared" si="2363"/>
        <v>47.97525787364858</v>
      </c>
      <c r="FH502" s="111">
        <f t="shared" si="2363"/>
        <v>46.037527695400904</v>
      </c>
      <c r="FI502" s="111">
        <f t="shared" si="2363"/>
        <v>44.716908610704273</v>
      </c>
      <c r="FJ502" s="193"/>
      <c r="FK502" s="193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</row>
    <row r="503" spans="1:177" ht="12.75" customHeight="1" x14ac:dyDescent="0.3">
      <c r="A503" s="70" t="s">
        <v>387</v>
      </c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  <c r="AE503" s="193"/>
      <c r="AF503" s="193"/>
      <c r="AG503" s="193"/>
      <c r="AH503" s="193"/>
      <c r="AI503" s="193"/>
      <c r="AJ503" s="193"/>
      <c r="AK503" s="193"/>
      <c r="AL503" s="193"/>
      <c r="AM503" s="193"/>
      <c r="AN503" s="193"/>
      <c r="AO503" s="193"/>
      <c r="AP503" s="193"/>
      <c r="AQ503" s="193"/>
      <c r="AR503" s="193"/>
      <c r="AS503" s="193"/>
      <c r="AT503" s="193"/>
      <c r="AU503" s="193"/>
      <c r="AV503" s="193"/>
      <c r="AW503" s="193"/>
      <c r="AX503" s="193"/>
      <c r="AY503" s="193"/>
      <c r="AZ503" s="193"/>
      <c r="BA503" s="193"/>
      <c r="BB503" s="193"/>
      <c r="BC503" s="193"/>
      <c r="BD503" s="193"/>
      <c r="BE503" s="193"/>
      <c r="BF503" s="193"/>
      <c r="BG503" s="193"/>
      <c r="BH503" s="193"/>
      <c r="BI503" s="193"/>
      <c r="BJ503" s="193"/>
      <c r="BK503" s="193"/>
      <c r="BL503" s="192"/>
      <c r="BM503" s="192"/>
      <c r="BN503" s="192"/>
      <c r="BO503" s="192"/>
      <c r="BP503" s="192"/>
      <c r="BQ503" s="192"/>
      <c r="BR503" s="193"/>
      <c r="BS503" s="193"/>
      <c r="BT503" s="193"/>
      <c r="BU503" s="193"/>
      <c r="BV503" s="192"/>
      <c r="BW503" s="193"/>
      <c r="BX503" s="193"/>
      <c r="BY503" s="193"/>
      <c r="BZ503" s="193"/>
      <c r="CA503" s="192"/>
      <c r="CB503" s="193"/>
      <c r="CC503" s="193"/>
      <c r="CD503" s="193"/>
      <c r="CE503" s="193"/>
      <c r="CF503" s="192"/>
      <c r="CG503" s="193"/>
      <c r="CH503" s="193"/>
      <c r="CI503" s="193"/>
      <c r="CJ503" s="193"/>
      <c r="CK503" s="192"/>
      <c r="CL503" s="193"/>
      <c r="CM503" s="193"/>
      <c r="CN503" s="193"/>
      <c r="CO503" s="193"/>
      <c r="CP503" s="192"/>
      <c r="CQ503" s="193"/>
      <c r="CR503" s="193"/>
      <c r="CS503" s="193"/>
      <c r="CT503" s="193"/>
      <c r="CU503" s="193"/>
      <c r="CV503" s="193"/>
      <c r="CW503" s="193"/>
      <c r="CX503" s="193"/>
      <c r="CY503" s="193"/>
      <c r="CZ503" s="193"/>
      <c r="DA503" s="193"/>
      <c r="DB503" s="193"/>
      <c r="DC503" s="193"/>
      <c r="DD503" s="193"/>
      <c r="DE503" s="193"/>
      <c r="DF503" s="193"/>
      <c r="DG503" s="193"/>
      <c r="DH503" s="193"/>
      <c r="DI503" s="193"/>
      <c r="DJ503" s="193"/>
      <c r="DK503" s="193"/>
      <c r="DL503" s="193"/>
      <c r="DM503" s="193"/>
      <c r="DN503" s="193"/>
      <c r="DO503" s="193"/>
      <c r="DP503" s="193"/>
      <c r="DQ503" s="193"/>
      <c r="DR503" s="193"/>
      <c r="DS503" s="193"/>
      <c r="DT503" s="193"/>
      <c r="DU503" s="196"/>
      <c r="DV503" s="196"/>
      <c r="DW503" s="196"/>
      <c r="DX503" s="665"/>
      <c r="DY503" s="1191"/>
      <c r="DZ503" s="197"/>
      <c r="EB503" s="665"/>
      <c r="EC503" s="665"/>
      <c r="ED503" s="1204"/>
      <c r="EE503" s="75">
        <f t="shared" ref="EE503:EW503" si="2364">+EE502/DZ502-1</f>
        <v>-3.0520140885558433E-2</v>
      </c>
      <c r="EF503" s="75">
        <f t="shared" si="2364"/>
        <v>2.4333117624325551E-2</v>
      </c>
      <c r="EG503" s="75">
        <f t="shared" si="2364"/>
        <v>7.9606941984379898E-2</v>
      </c>
      <c r="EH503" s="75">
        <f t="shared" si="2364"/>
        <v>4.986488851866322E-2</v>
      </c>
      <c r="EI503" s="84">
        <f t="shared" si="2364"/>
        <v>2.9914721377683362E-2</v>
      </c>
      <c r="EJ503" s="75">
        <f t="shared" si="2364"/>
        <v>1.6986596211590044E-2</v>
      </c>
      <c r="EK503" s="75">
        <f t="shared" si="2364"/>
        <v>-1.5033482997515391E-2</v>
      </c>
      <c r="EL503" s="75">
        <f t="shared" si="2364"/>
        <v>-3.7733935875327473E-2</v>
      </c>
      <c r="EM503" s="75">
        <f t="shared" si="2364"/>
        <v>-2.9768590344855683E-2</v>
      </c>
      <c r="EN503" s="84">
        <f>+EN502/EI502-1</f>
        <v>-1.6706652085271667E-2</v>
      </c>
      <c r="EO503" s="75">
        <f t="shared" si="2364"/>
        <v>1.0981025890358875E-2</v>
      </c>
      <c r="EP503" s="75">
        <f t="shared" si="2364"/>
        <v>2.7483203882701535E-2</v>
      </c>
      <c r="EQ503" s="75">
        <f t="shared" si="2364"/>
        <v>-1.389088074743583E-4</v>
      </c>
      <c r="ER503" s="75">
        <f t="shared" si="2364"/>
        <v>-2.0423259405639049E-2</v>
      </c>
      <c r="ES503" s="84">
        <f>+ES502/EN502-1</f>
        <v>4.437468052816973E-3</v>
      </c>
      <c r="ET503" s="75">
        <f t="shared" si="2364"/>
        <v>1.6482736387685826E-2</v>
      </c>
      <c r="EU503" s="75">
        <f t="shared" si="2364"/>
        <v>2.3250518586756863E-2</v>
      </c>
      <c r="EV503" s="75">
        <f t="shared" si="2364"/>
        <v>4.9097834476121038E-2</v>
      </c>
      <c r="EW503" s="75">
        <f t="shared" si="2364"/>
        <v>5.3321563788278681E-2</v>
      </c>
      <c r="EX503" s="84">
        <f>+EX502/ES502-1</f>
        <v>3.538090247328296E-2</v>
      </c>
      <c r="EY503" s="75">
        <f t="shared" ref="EY503" si="2365">+EY502/ET502-1</f>
        <v>-1.0162821043197212E-2</v>
      </c>
      <c r="EZ503" s="75">
        <f t="shared" ref="EZ503" si="2366">+EZ502/EU502-1</f>
        <v>-4.3270696464723368E-2</v>
      </c>
      <c r="FA503" s="75">
        <f t="shared" ref="FA503" si="2367">+FA502/EV502-1</f>
        <v>-6.872870627937433E-2</v>
      </c>
      <c r="FB503" s="75">
        <f t="shared" ref="FB503" si="2368">+FB502/EW502-1</f>
        <v>-9.5378267516365911E-2</v>
      </c>
      <c r="FC503" s="84">
        <f>+FC502/EX502-1</f>
        <v>-5.4931357736153541E-2</v>
      </c>
      <c r="FD503" s="75">
        <f t="shared" ref="FD503" si="2369">FD502/FC502-1</f>
        <v>-8.7659500166668236E-2</v>
      </c>
      <c r="FE503" s="75">
        <f t="shared" ref="FE503" si="2370">FE502/FD502-1</f>
        <v>-9.6941260991688094E-2</v>
      </c>
      <c r="FF503" s="75">
        <f t="shared" ref="FF503" si="2371">FF502/FE502-1</f>
        <v>-7.0526474512497384E-2</v>
      </c>
      <c r="FG503" s="75">
        <f t="shared" ref="FG503" si="2372">FG502/FF502-1</f>
        <v>-5.3790225151795101E-2</v>
      </c>
      <c r="FH503" s="75">
        <f t="shared" ref="FH503" si="2373">FH502/FG502-1</f>
        <v>-4.0390198284103729E-2</v>
      </c>
      <c r="FI503" s="75">
        <f t="shared" ref="FI503" si="2374">FI502/FH502-1</f>
        <v>-2.8685708177777713E-2</v>
      </c>
      <c r="FJ503" s="193"/>
      <c r="FK503" s="193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</row>
    <row r="504" spans="1:177" ht="12.75" customHeight="1" x14ac:dyDescent="0.3">
      <c r="A504" s="192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  <c r="AW504" s="193"/>
      <c r="AX504" s="193"/>
      <c r="AY504" s="193"/>
      <c r="AZ504" s="193"/>
      <c r="BA504" s="193"/>
      <c r="BB504" s="193"/>
      <c r="BC504" s="193"/>
      <c r="BD504" s="193"/>
      <c r="BE504" s="193"/>
      <c r="BF504" s="193"/>
      <c r="BG504" s="193"/>
      <c r="BH504" s="193"/>
      <c r="BI504" s="193"/>
      <c r="BJ504" s="193"/>
      <c r="BK504" s="193"/>
      <c r="BL504" s="192"/>
      <c r="BM504" s="192"/>
      <c r="BN504" s="192"/>
      <c r="BO504" s="192"/>
      <c r="BP504" s="192"/>
      <c r="BQ504" s="192"/>
      <c r="BR504" s="193"/>
      <c r="BS504" s="193"/>
      <c r="BT504" s="193"/>
      <c r="BU504" s="193"/>
      <c r="BV504" s="192"/>
      <c r="BW504" s="193"/>
      <c r="BX504" s="193"/>
      <c r="BY504" s="193"/>
      <c r="BZ504" s="193"/>
      <c r="CA504" s="192"/>
      <c r="CB504" s="193"/>
      <c r="CC504" s="193"/>
      <c r="CD504" s="193"/>
      <c r="CE504" s="193"/>
      <c r="CF504" s="192"/>
      <c r="CG504" s="193"/>
      <c r="CH504" s="193"/>
      <c r="CI504" s="193"/>
      <c r="CJ504" s="193"/>
      <c r="CK504" s="192"/>
      <c r="CL504" s="193"/>
      <c r="CM504" s="193"/>
      <c r="CN504" s="193"/>
      <c r="CO504" s="193"/>
      <c r="CP504" s="192"/>
      <c r="CQ504" s="193"/>
      <c r="CR504" s="193"/>
      <c r="CS504" s="193"/>
      <c r="CT504" s="193"/>
      <c r="CU504" s="193"/>
      <c r="CV504" s="193"/>
      <c r="CW504" s="193"/>
      <c r="CX504" s="193"/>
      <c r="CY504" s="193"/>
      <c r="CZ504" s="193"/>
      <c r="DA504" s="193"/>
      <c r="DB504" s="193"/>
      <c r="DC504" s="193"/>
      <c r="DD504" s="193"/>
      <c r="DE504" s="193"/>
      <c r="DF504" s="193"/>
      <c r="DG504" s="193"/>
      <c r="DH504" s="193"/>
      <c r="DI504" s="193"/>
      <c r="DJ504" s="193"/>
      <c r="DK504" s="193"/>
      <c r="DL504" s="193"/>
      <c r="DM504" s="193"/>
      <c r="DN504" s="193"/>
      <c r="DO504" s="193"/>
      <c r="DP504" s="193"/>
      <c r="DQ504" s="193"/>
      <c r="DR504" s="193"/>
      <c r="DS504" s="193"/>
      <c r="DT504" s="193"/>
      <c r="DU504" s="196"/>
      <c r="DV504" s="196"/>
      <c r="DW504" s="196"/>
      <c r="DX504" s="665"/>
      <c r="DY504" s="1191"/>
      <c r="DZ504" s="197"/>
      <c r="EB504" s="665"/>
      <c r="EC504" s="665"/>
      <c r="ED504" s="1204"/>
      <c r="EE504" s="197"/>
      <c r="EF504" s="197"/>
      <c r="EG504" s="197"/>
      <c r="EH504" s="197"/>
      <c r="EI504" s="1191"/>
      <c r="EJ504" s="197"/>
      <c r="EK504" s="197"/>
      <c r="EL504" s="197"/>
      <c r="EM504" s="197"/>
      <c r="EN504" s="1192"/>
      <c r="EO504" s="197"/>
      <c r="EP504" s="197"/>
      <c r="EQ504" s="197"/>
      <c r="ER504" s="197"/>
      <c r="ES504" s="1192"/>
      <c r="ET504" s="197"/>
      <c r="EU504" s="197"/>
      <c r="EV504" s="197"/>
      <c r="EW504" s="197"/>
      <c r="EX504" s="1192"/>
      <c r="EY504" s="197"/>
      <c r="EZ504" s="197"/>
      <c r="FA504" s="197"/>
      <c r="FB504" s="197"/>
      <c r="FC504" s="1192"/>
      <c r="FD504" s="198"/>
      <c r="FE504" s="198"/>
      <c r="FF504" s="198"/>
      <c r="FG504" s="198"/>
      <c r="FH504" s="198"/>
      <c r="FI504" s="198"/>
      <c r="FJ504" s="193"/>
      <c r="FK504" s="193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</row>
    <row r="505" spans="1:177" ht="12.75" customHeight="1" x14ac:dyDescent="0.3">
      <c r="A505" s="60" t="s">
        <v>392</v>
      </c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  <c r="AW505" s="193"/>
      <c r="AX505" s="193"/>
      <c r="AY505" s="193"/>
      <c r="AZ505" s="193"/>
      <c r="BA505" s="193"/>
      <c r="BB505" s="193"/>
      <c r="BC505" s="193"/>
      <c r="BD505" s="193"/>
      <c r="BE505" s="193"/>
      <c r="BF505" s="193"/>
      <c r="BG505" s="193"/>
      <c r="BH505" s="193"/>
      <c r="BI505" s="193"/>
      <c r="BJ505" s="193"/>
      <c r="BK505" s="193"/>
      <c r="BL505" s="192"/>
      <c r="BM505" s="192"/>
      <c r="BN505" s="192"/>
      <c r="BO505" s="192"/>
      <c r="BP505" s="192"/>
      <c r="BQ505" s="192"/>
      <c r="BR505" s="193"/>
      <c r="BS505" s="193"/>
      <c r="BT505" s="193"/>
      <c r="BU505" s="193"/>
      <c r="BV505" s="192"/>
      <c r="BW505" s="193"/>
      <c r="BX505" s="193"/>
      <c r="BY505" s="193"/>
      <c r="BZ505" s="193"/>
      <c r="CA505" s="192"/>
      <c r="CB505" s="193"/>
      <c r="CC505" s="193"/>
      <c r="CD505" s="193"/>
      <c r="CE505" s="193"/>
      <c r="CF505" s="192"/>
      <c r="CG505" s="193"/>
      <c r="CH505" s="193"/>
      <c r="CI505" s="193"/>
      <c r="CJ505" s="193"/>
      <c r="CK505" s="192"/>
      <c r="CL505" s="193"/>
      <c r="CM505" s="193"/>
      <c r="CN505" s="193"/>
      <c r="CO505" s="193"/>
      <c r="CP505" s="192"/>
      <c r="CQ505" s="193"/>
      <c r="CR505" s="193"/>
      <c r="CS505" s="193"/>
      <c r="CT505" s="193"/>
      <c r="CU505" s="193"/>
      <c r="CV505" s="193"/>
      <c r="CW505" s="193"/>
      <c r="CX505" s="193"/>
      <c r="CY505" s="193"/>
      <c r="CZ505" s="193"/>
      <c r="DA505" s="193"/>
      <c r="DB505" s="193"/>
      <c r="DC505" s="193"/>
      <c r="DD505" s="193"/>
      <c r="DE505" s="193"/>
      <c r="DF505" s="193"/>
      <c r="DG505" s="193"/>
      <c r="DH505" s="193"/>
      <c r="DI505" s="193"/>
      <c r="DJ505" s="193"/>
      <c r="DK505" s="193"/>
      <c r="DL505" s="193"/>
      <c r="DM505" s="193"/>
      <c r="DN505" s="193"/>
      <c r="DO505" s="193"/>
      <c r="DP505" s="193"/>
      <c r="DQ505" s="193"/>
      <c r="DR505" s="193"/>
      <c r="DS505" s="193"/>
      <c r="DT505" s="193"/>
      <c r="DU505" s="196"/>
      <c r="DV505" s="196"/>
      <c r="DW505" s="196"/>
      <c r="DX505" s="665"/>
      <c r="DY505" s="1191"/>
      <c r="DZ505" s="85">
        <f>DZ230+DZ367</f>
        <v>165.2667560272705</v>
      </c>
      <c r="EA505" s="85">
        <f>EA230+EA367</f>
        <v>163.9445574638672</v>
      </c>
      <c r="EB505" s="85">
        <f>EB230+EB367</f>
        <v>162.15057175781251</v>
      </c>
      <c r="EC505" s="85">
        <f>EC230+EC367</f>
        <v>160.1998171875</v>
      </c>
      <c r="ED505" s="85">
        <f>SUM(DZ505:EC505)</f>
        <v>651.56170243645022</v>
      </c>
      <c r="EE505" s="85">
        <f>EE230+EE367</f>
        <v>158.4298125</v>
      </c>
      <c r="EF505" s="85">
        <f>EF230+EF367</f>
        <v>156.75749999999999</v>
      </c>
      <c r="EG505" s="85">
        <f>EG230+EG367</f>
        <v>155.22749999999999</v>
      </c>
      <c r="EH505" s="85">
        <f>EH230+EH367</f>
        <v>154.30500000000001</v>
      </c>
      <c r="EI505" s="85">
        <f>SUM(EE505:EH505)</f>
        <v>624.71981249999999</v>
      </c>
      <c r="EJ505" s="85">
        <f>EJ230+EJ367</f>
        <v>154.08000000000004</v>
      </c>
      <c r="EK505" s="85">
        <f>EK230+EK367</f>
        <v>153.92250000000001</v>
      </c>
      <c r="EL505" s="85">
        <f>EL230+EL367</f>
        <v>153.22500000000002</v>
      </c>
      <c r="EM505" s="85">
        <f>EM230+EM367</f>
        <v>152.50500000000002</v>
      </c>
      <c r="EN505" s="85">
        <f>SUM(EJ505:EM505)</f>
        <v>613.73250000000007</v>
      </c>
      <c r="EO505" s="85">
        <f>EO230+EO367</f>
        <v>152.34750000000003</v>
      </c>
      <c r="EP505" s="85">
        <f>EP230+EP367</f>
        <v>152.16750000000002</v>
      </c>
      <c r="EQ505" s="85">
        <f>EQ230+EQ367</f>
        <v>151.62750000000005</v>
      </c>
      <c r="ER505" s="85">
        <f>ER230+ER367</f>
        <v>151.56000000000003</v>
      </c>
      <c r="ES505" s="85">
        <f>SUM(EO505:ER505)</f>
        <v>607.7025000000001</v>
      </c>
      <c r="ET505" s="85">
        <f>ET230+ET367</f>
        <v>151.92000000000004</v>
      </c>
      <c r="EU505" s="85">
        <f>EU230+EU367</f>
        <v>152.32500000000005</v>
      </c>
      <c r="EV505" s="85">
        <f>EV230+EV367</f>
        <v>153.00000000000006</v>
      </c>
      <c r="EW505" s="85">
        <f>EW230+EW367</f>
        <v>153.81000000000006</v>
      </c>
      <c r="EX505" s="85">
        <f>SUM(ET505:EW505)</f>
        <v>611.05500000000029</v>
      </c>
      <c r="EY505" s="85">
        <f t="shared" ref="EY505:FB505" si="2375">EY230+EY367</f>
        <v>155.16254709680669</v>
      </c>
      <c r="EZ505" s="85">
        <f t="shared" si="2375"/>
        <v>157.0685304972915</v>
      </c>
      <c r="FA505" s="85">
        <f t="shared" si="2375"/>
        <v>159.08421368570183</v>
      </c>
      <c r="FB505" s="85">
        <f t="shared" si="2375"/>
        <v>161.55565685154022</v>
      </c>
      <c r="FC505" s="85">
        <f>SUM(EY505:FB505)</f>
        <v>632.87094813134024</v>
      </c>
      <c r="FD505" s="85">
        <f t="shared" ref="FD505:FI505" si="2376">FD230+FD367</f>
        <v>677.64931487985666</v>
      </c>
      <c r="FE505" s="85">
        <f t="shared" si="2376"/>
        <v>732.81221939442594</v>
      </c>
      <c r="FF505" s="85">
        <f t="shared" si="2376"/>
        <v>785.32419476140535</v>
      </c>
      <c r="FG505" s="85">
        <f t="shared" si="2376"/>
        <v>827.0833613277623</v>
      </c>
      <c r="FH505" s="85">
        <f t="shared" si="2376"/>
        <v>859.28065411387354</v>
      </c>
      <c r="FI505" s="85">
        <f t="shared" si="2376"/>
        <v>882.36126652399196</v>
      </c>
      <c r="FJ505" s="193"/>
      <c r="FK505" s="193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</row>
    <row r="506" spans="1:177" ht="12.75" customHeight="1" x14ac:dyDescent="0.3">
      <c r="A506" s="70" t="s">
        <v>363</v>
      </c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  <c r="AW506" s="193"/>
      <c r="AX506" s="193"/>
      <c r="AY506" s="193"/>
      <c r="AZ506" s="193"/>
      <c r="BA506" s="193"/>
      <c r="BB506" s="193"/>
      <c r="BC506" s="193"/>
      <c r="BD506" s="193"/>
      <c r="BE506" s="193"/>
      <c r="BF506" s="193"/>
      <c r="BG506" s="193"/>
      <c r="BH506" s="193"/>
      <c r="BI506" s="193"/>
      <c r="BJ506" s="193"/>
      <c r="BK506" s="193"/>
      <c r="BL506" s="192"/>
      <c r="BM506" s="192"/>
      <c r="BN506" s="192"/>
      <c r="BO506" s="192"/>
      <c r="BP506" s="192"/>
      <c r="BQ506" s="192"/>
      <c r="BR506" s="193"/>
      <c r="BS506" s="193"/>
      <c r="BT506" s="193"/>
      <c r="BU506" s="193"/>
      <c r="BV506" s="192"/>
      <c r="BW506" s="193"/>
      <c r="BX506" s="193"/>
      <c r="BY506" s="193"/>
      <c r="BZ506" s="193"/>
      <c r="CA506" s="192"/>
      <c r="CB506" s="193"/>
      <c r="CC506" s="193"/>
      <c r="CD506" s="193"/>
      <c r="CE506" s="193"/>
      <c r="CF506" s="192"/>
      <c r="CG506" s="193"/>
      <c r="CH506" s="193"/>
      <c r="CI506" s="193"/>
      <c r="CJ506" s="193"/>
      <c r="CK506" s="192"/>
      <c r="CL506" s="193"/>
      <c r="CM506" s="193"/>
      <c r="CN506" s="193"/>
      <c r="CO506" s="193"/>
      <c r="CP506" s="192"/>
      <c r="CQ506" s="193"/>
      <c r="CR506" s="193"/>
      <c r="CS506" s="193"/>
      <c r="CT506" s="193"/>
      <c r="CU506" s="193"/>
      <c r="CV506" s="193"/>
      <c r="CW506" s="193"/>
      <c r="CX506" s="193"/>
      <c r="CY506" s="193"/>
      <c r="CZ506" s="193"/>
      <c r="DA506" s="193"/>
      <c r="DB506" s="193"/>
      <c r="DC506" s="193"/>
      <c r="DD506" s="193"/>
      <c r="DE506" s="193"/>
      <c r="DF506" s="193"/>
      <c r="DG506" s="193"/>
      <c r="DH506" s="193"/>
      <c r="DI506" s="193"/>
      <c r="DJ506" s="193"/>
      <c r="DK506" s="193"/>
      <c r="DL506" s="193"/>
      <c r="DM506" s="193"/>
      <c r="DN506" s="193"/>
      <c r="DO506" s="193"/>
      <c r="DP506" s="193"/>
      <c r="DQ506" s="193"/>
      <c r="DR506" s="193"/>
      <c r="DS506" s="193"/>
      <c r="DT506" s="193"/>
      <c r="DU506" s="196"/>
      <c r="DV506" s="196"/>
      <c r="DW506" s="196"/>
      <c r="DX506" s="665"/>
      <c r="DY506" s="1191"/>
      <c r="DZ506" s="197"/>
      <c r="EB506" s="665"/>
      <c r="EC506" s="665"/>
      <c r="ED506" s="1204"/>
      <c r="EE506" s="75">
        <f t="shared" ref="EE506" si="2377">+EE505/DZ505-1</f>
        <v>-4.1369139756953555E-2</v>
      </c>
      <c r="EF506" s="75">
        <f t="shared" ref="EF506" si="2378">+EF505/EA505-1</f>
        <v>-4.3838341296881467E-2</v>
      </c>
      <c r="EG506" s="75">
        <f t="shared" ref="EG506:EW506" si="2379">+EG505/EB505-1</f>
        <v>-4.2695327452516141E-2</v>
      </c>
      <c r="EH506" s="75">
        <f t="shared" si="2379"/>
        <v>-3.6796653647866662E-2</v>
      </c>
      <c r="EI506" s="84">
        <f t="shared" ref="EI506" si="2380">+EI505/ED505-1</f>
        <v>-4.1196236421013777E-2</v>
      </c>
      <c r="EJ506" s="75">
        <f t="shared" si="2379"/>
        <v>-2.7455770043279926E-2</v>
      </c>
      <c r="EK506" s="75">
        <f t="shared" si="2379"/>
        <v>-1.8085259078512883E-2</v>
      </c>
      <c r="EL506" s="75">
        <f t="shared" si="2379"/>
        <v>-1.2900420350775321E-2</v>
      </c>
      <c r="EM506" s="75">
        <f t="shared" si="2379"/>
        <v>-1.1665208515602155E-2</v>
      </c>
      <c r="EN506" s="84">
        <f t="shared" ref="EN506" si="2381">+EN505/EI505-1</f>
        <v>-1.7587584514137555E-2</v>
      </c>
      <c r="EO506" s="75">
        <f t="shared" si="2379"/>
        <v>-1.1244158878504829E-2</v>
      </c>
      <c r="EP506" s="75">
        <f t="shared" si="2379"/>
        <v>-1.1401841835988913E-2</v>
      </c>
      <c r="EQ506" s="75">
        <f t="shared" si="2379"/>
        <v>-1.0425844346549029E-2</v>
      </c>
      <c r="ER506" s="75">
        <f t="shared" si="2379"/>
        <v>-6.1965181469459951E-3</v>
      </c>
      <c r="ES506" s="84">
        <f t="shared" ref="ES506" si="2382">+ES505/EN505-1</f>
        <v>-9.8251273967078223E-3</v>
      </c>
      <c r="ET506" s="75">
        <f t="shared" si="2379"/>
        <v>-2.8060847732978011E-3</v>
      </c>
      <c r="EU506" s="75">
        <f t="shared" si="2379"/>
        <v>1.0350436196955304E-3</v>
      </c>
      <c r="EV506" s="75">
        <f t="shared" si="2379"/>
        <v>9.051788099124547E-3</v>
      </c>
      <c r="EW506" s="75">
        <f t="shared" si="2379"/>
        <v>1.4845605700712694E-2</v>
      </c>
      <c r="EX506" s="84">
        <f t="shared" ref="EX506" si="2383">+EX505/ES505-1</f>
        <v>5.5166796253103279E-3</v>
      </c>
      <c r="EY506" s="75">
        <f t="shared" ref="EY506" si="2384">+EY505/ET505-1</f>
        <v>2.1343780258074263E-2</v>
      </c>
      <c r="EZ506" s="75">
        <f t="shared" ref="EZ506" si="2385">+EZ505/EU505-1</f>
        <v>3.1140853420590586E-2</v>
      </c>
      <c r="FA506" s="75">
        <f t="shared" ref="FA506" si="2386">+FA505/EV505-1</f>
        <v>3.9766102520926605E-2</v>
      </c>
      <c r="FB506" s="75">
        <f t="shared" ref="FB506:FC506" si="2387">+FB505/EW505-1</f>
        <v>5.0358603806905711E-2</v>
      </c>
      <c r="FC506" s="84">
        <f t="shared" si="2387"/>
        <v>3.5702102317041851E-2</v>
      </c>
      <c r="FD506" s="75">
        <f t="shared" ref="FD506" si="2388">FD505/FC505-1</f>
        <v>7.0754340803179883E-2</v>
      </c>
      <c r="FE506" s="75">
        <f t="shared" ref="FE506" si="2389">FE505/FD505-1</f>
        <v>8.1403320719581007E-2</v>
      </c>
      <c r="FF506" s="75">
        <f t="shared" ref="FF506" si="2390">FF505/FE505-1</f>
        <v>7.1658160135994686E-2</v>
      </c>
      <c r="FG506" s="75">
        <f t="shared" ref="FG506" si="2391">FG505/FF505-1</f>
        <v>5.317443018426804E-2</v>
      </c>
      <c r="FH506" s="75">
        <f t="shared" ref="FH506" si="2392">FH505/FG505-1</f>
        <v>3.8928715401097103E-2</v>
      </c>
      <c r="FI506" s="75">
        <f t="shared" ref="FI506" si="2393">FI505/FH505-1</f>
        <v>2.6860388744490038E-2</v>
      </c>
      <c r="FJ506" s="193"/>
      <c r="FK506" s="193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</row>
    <row r="507" spans="1:177" ht="12.75" customHeight="1" x14ac:dyDescent="0.3">
      <c r="A507" s="61" t="s">
        <v>391</v>
      </c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  <c r="AW507" s="193"/>
      <c r="AX507" s="193"/>
      <c r="AY507" s="193"/>
      <c r="AZ507" s="193"/>
      <c r="BA507" s="193"/>
      <c r="BB507" s="193"/>
      <c r="BC507" s="193"/>
      <c r="BD507" s="193"/>
      <c r="BE507" s="193"/>
      <c r="BF507" s="193"/>
      <c r="BG507" s="193"/>
      <c r="BH507" s="193"/>
      <c r="BI507" s="193"/>
      <c r="BJ507" s="193"/>
      <c r="BK507" s="193"/>
      <c r="BL507" s="192"/>
      <c r="BM507" s="192"/>
      <c r="BN507" s="192"/>
      <c r="BO507" s="192"/>
      <c r="BP507" s="192"/>
      <c r="BQ507" s="192"/>
      <c r="BR507" s="193"/>
      <c r="BS507" s="193"/>
      <c r="BT507" s="193"/>
      <c r="BU507" s="193"/>
      <c r="BV507" s="192"/>
      <c r="BW507" s="193"/>
      <c r="BX507" s="193"/>
      <c r="BY507" s="193"/>
      <c r="BZ507" s="193"/>
      <c r="CA507" s="192"/>
      <c r="CB507" s="193"/>
      <c r="CC507" s="193"/>
      <c r="CD507" s="193"/>
      <c r="CE507" s="193"/>
      <c r="CF507" s="192"/>
      <c r="CG507" s="193"/>
      <c r="CH507" s="193"/>
      <c r="CI507" s="193"/>
      <c r="CJ507" s="193"/>
      <c r="CK507" s="192"/>
      <c r="CL507" s="193"/>
      <c r="CM507" s="193"/>
      <c r="CN507" s="193"/>
      <c r="CO507" s="193"/>
      <c r="CP507" s="192"/>
      <c r="CQ507" s="193"/>
      <c r="CR507" s="193"/>
      <c r="CS507" s="193"/>
      <c r="CT507" s="193"/>
      <c r="CU507" s="193"/>
      <c r="CV507" s="193"/>
      <c r="CW507" s="193"/>
      <c r="CX507" s="193"/>
      <c r="CY507" s="193"/>
      <c r="CZ507" s="193"/>
      <c r="DA507" s="193"/>
      <c r="DB507" s="193"/>
      <c r="DC507" s="193"/>
      <c r="DD507" s="193"/>
      <c r="DE507" s="193"/>
      <c r="DF507" s="193"/>
      <c r="DG507" s="193"/>
      <c r="DH507" s="193"/>
      <c r="DI507" s="193"/>
      <c r="DJ507" s="193"/>
      <c r="DK507" s="193"/>
      <c r="DL507" s="193"/>
      <c r="DM507" s="193"/>
      <c r="DN507" s="193"/>
      <c r="DO507" s="193"/>
      <c r="DP507" s="193"/>
      <c r="DQ507" s="193"/>
      <c r="DR507" s="193"/>
      <c r="DS507" s="193"/>
      <c r="DT507" s="193"/>
      <c r="DU507" s="196"/>
      <c r="DV507" s="196"/>
      <c r="DW507" s="196"/>
      <c r="DX507" s="665"/>
      <c r="DY507" s="1191"/>
      <c r="DZ507" s="111">
        <f>DZ505/DZ455*1000/3</f>
        <v>15</v>
      </c>
      <c r="EA507" s="111">
        <f t="shared" ref="EA507:EG507" si="2394">EA505/EA455*1000/3</f>
        <v>15</v>
      </c>
      <c r="EB507" s="111">
        <f t="shared" si="2394"/>
        <v>15.000000000000002</v>
      </c>
      <c r="EC507" s="111">
        <f t="shared" si="2394"/>
        <v>15.000000000000002</v>
      </c>
      <c r="ED507" s="112">
        <f>ED505/ED455*1000/12</f>
        <v>15</v>
      </c>
      <c r="EE507" s="111">
        <f>EE505/EE455*1000/3</f>
        <v>15</v>
      </c>
      <c r="EF507" s="111">
        <f t="shared" si="2394"/>
        <v>15</v>
      </c>
      <c r="EG507" s="111">
        <f t="shared" si="2394"/>
        <v>15</v>
      </c>
      <c r="EH507" s="111">
        <f t="shared" ref="EH507:EJ507" si="2395">EH505/EH455*1000/3</f>
        <v>15.000000000000002</v>
      </c>
      <c r="EI507" s="112">
        <f>EI505/EI455*1000/12</f>
        <v>15</v>
      </c>
      <c r="EJ507" s="111">
        <f t="shared" si="2395"/>
        <v>15.000000000000005</v>
      </c>
      <c r="EK507" s="111">
        <f t="shared" ref="EK507:EL507" si="2396">EK505/EK455*1000/3</f>
        <v>15.000000000000002</v>
      </c>
      <c r="EL507" s="111">
        <f t="shared" si="2396"/>
        <v>15.000000000000002</v>
      </c>
      <c r="EM507" s="111">
        <f t="shared" ref="EM507" si="2397">EM505/EM455*1000/3</f>
        <v>15.000000000000002</v>
      </c>
      <c r="EN507" s="112">
        <f>EN505/EN455*1000/12</f>
        <v>15.000000000000002</v>
      </c>
      <c r="EO507" s="111">
        <f t="shared" ref="EO507:EP507" si="2398">EO505/EO455*1000/3</f>
        <v>15.000000000000002</v>
      </c>
      <c r="EP507" s="111">
        <f t="shared" si="2398"/>
        <v>15.000000000000002</v>
      </c>
      <c r="EQ507" s="111">
        <f t="shared" ref="EQ507:ER507" si="2399">EQ505/EQ455*1000/3</f>
        <v>15.000000000000007</v>
      </c>
      <c r="ER507" s="111">
        <f t="shared" si="2399"/>
        <v>15.000000000000005</v>
      </c>
      <c r="ES507" s="112">
        <f>ES505/ES455*1000/12</f>
        <v>15.000000000000002</v>
      </c>
      <c r="ET507" s="111">
        <f t="shared" ref="ET507:EU507" si="2400">ET505/ET455*1000/3</f>
        <v>15.000000000000005</v>
      </c>
      <c r="EU507" s="111">
        <f t="shared" si="2400"/>
        <v>15.000000000000005</v>
      </c>
      <c r="EV507" s="111">
        <f t="shared" ref="EV507:EW507" si="2401">EV505/EV455*1000/3</f>
        <v>15.000000000000007</v>
      </c>
      <c r="EW507" s="111">
        <f t="shared" si="2401"/>
        <v>15.000000000000007</v>
      </c>
      <c r="EX507" s="112">
        <f>EX505/EX455*1000/12</f>
        <v>15.000000000000007</v>
      </c>
      <c r="EY507" s="111">
        <f t="shared" ref="EY507:FB507" si="2402">EY505/EY455*1000/3</f>
        <v>15.000000000000005</v>
      </c>
      <c r="EZ507" s="111">
        <f t="shared" si="2402"/>
        <v>15.000000000000007</v>
      </c>
      <c r="FA507" s="111">
        <f t="shared" si="2402"/>
        <v>15.000000000000005</v>
      </c>
      <c r="FB507" s="111">
        <f t="shared" si="2402"/>
        <v>15.000000000000007</v>
      </c>
      <c r="FC507" s="112">
        <f>FC505/FC455*1000/12</f>
        <v>15.000000000000005</v>
      </c>
      <c r="FD507" s="111">
        <f t="shared" ref="FD507:FI507" si="2403">FD505/FD455*1000/12</f>
        <v>15.000000000000007</v>
      </c>
      <c r="FE507" s="111">
        <f t="shared" si="2403"/>
        <v>15.000000000000007</v>
      </c>
      <c r="FF507" s="111">
        <f t="shared" si="2403"/>
        <v>15.000000000000005</v>
      </c>
      <c r="FG507" s="111">
        <f t="shared" si="2403"/>
        <v>15.000000000000009</v>
      </c>
      <c r="FH507" s="111">
        <f t="shared" si="2403"/>
        <v>15.000000000000009</v>
      </c>
      <c r="FI507" s="111">
        <f t="shared" si="2403"/>
        <v>15.000000000000002</v>
      </c>
      <c r="FJ507" s="193"/>
      <c r="FK507" s="193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</row>
    <row r="508" spans="1:177" ht="12.75" customHeight="1" x14ac:dyDescent="0.3">
      <c r="A508" s="70" t="s">
        <v>387</v>
      </c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  <c r="AE508" s="193"/>
      <c r="AF508" s="193"/>
      <c r="AG508" s="193"/>
      <c r="AH508" s="193"/>
      <c r="AI508" s="193"/>
      <c r="AJ508" s="193"/>
      <c r="AK508" s="193"/>
      <c r="AL508" s="193"/>
      <c r="AM508" s="193"/>
      <c r="AN508" s="193"/>
      <c r="AO508" s="193"/>
      <c r="AP508" s="193"/>
      <c r="AQ508" s="193"/>
      <c r="AR508" s="193"/>
      <c r="AS508" s="193"/>
      <c r="AT508" s="193"/>
      <c r="AU508" s="193"/>
      <c r="AV508" s="193"/>
      <c r="AW508" s="193"/>
      <c r="AX508" s="193"/>
      <c r="AY508" s="193"/>
      <c r="AZ508" s="193"/>
      <c r="BA508" s="193"/>
      <c r="BB508" s="193"/>
      <c r="BC508" s="193"/>
      <c r="BD508" s="193"/>
      <c r="BE508" s="193"/>
      <c r="BF508" s="193"/>
      <c r="BG508" s="193"/>
      <c r="BH508" s="193"/>
      <c r="BI508" s="193"/>
      <c r="BJ508" s="193"/>
      <c r="BK508" s="193"/>
      <c r="BL508" s="192"/>
      <c r="BM508" s="192"/>
      <c r="BN508" s="192"/>
      <c r="BO508" s="192"/>
      <c r="BP508" s="192"/>
      <c r="BQ508" s="192"/>
      <c r="BR508" s="193"/>
      <c r="BS508" s="193"/>
      <c r="BT508" s="193"/>
      <c r="BU508" s="193"/>
      <c r="BV508" s="192"/>
      <c r="BW508" s="193"/>
      <c r="BX508" s="193"/>
      <c r="BY508" s="193"/>
      <c r="BZ508" s="193"/>
      <c r="CA508" s="192"/>
      <c r="CB508" s="193"/>
      <c r="CC508" s="193"/>
      <c r="CD508" s="193"/>
      <c r="CE508" s="193"/>
      <c r="CF508" s="192"/>
      <c r="CG508" s="193"/>
      <c r="CH508" s="193"/>
      <c r="CI508" s="193"/>
      <c r="CJ508" s="193"/>
      <c r="CK508" s="192"/>
      <c r="CL508" s="193"/>
      <c r="CM508" s="193"/>
      <c r="CN508" s="193"/>
      <c r="CO508" s="193"/>
      <c r="CP508" s="192"/>
      <c r="CQ508" s="193"/>
      <c r="CR508" s="193"/>
      <c r="CS508" s="193"/>
      <c r="CT508" s="193"/>
      <c r="CU508" s="193"/>
      <c r="CV508" s="193"/>
      <c r="CW508" s="193"/>
      <c r="CX508" s="193"/>
      <c r="CY508" s="193"/>
      <c r="CZ508" s="193"/>
      <c r="DA508" s="193"/>
      <c r="DB508" s="193"/>
      <c r="DC508" s="193"/>
      <c r="DD508" s="193"/>
      <c r="DE508" s="193"/>
      <c r="DF508" s="193"/>
      <c r="DG508" s="193"/>
      <c r="DH508" s="193"/>
      <c r="DI508" s="193"/>
      <c r="DJ508" s="193"/>
      <c r="DK508" s="193"/>
      <c r="DL508" s="193"/>
      <c r="DM508" s="193"/>
      <c r="DN508" s="193"/>
      <c r="DO508" s="193"/>
      <c r="DP508" s="193"/>
      <c r="DQ508" s="193"/>
      <c r="DR508" s="193"/>
      <c r="DS508" s="193"/>
      <c r="DT508" s="193"/>
      <c r="DU508" s="196"/>
      <c r="DV508" s="196"/>
      <c r="DW508" s="196"/>
      <c r="DX508" s="665"/>
      <c r="DY508" s="1191"/>
      <c r="DZ508" s="197"/>
      <c r="EB508" s="665"/>
      <c r="EC508" s="665"/>
      <c r="ED508" s="1204"/>
      <c r="EE508" s="75">
        <f t="shared" ref="EE508:EW508" si="2404">+EE507/DZ507-1</f>
        <v>0</v>
      </c>
      <c r="EF508" s="75">
        <f t="shared" si="2404"/>
        <v>0</v>
      </c>
      <c r="EG508" s="75">
        <f t="shared" si="2404"/>
        <v>0</v>
      </c>
      <c r="EH508" s="75">
        <f t="shared" si="2404"/>
        <v>0</v>
      </c>
      <c r="EI508" s="84">
        <f t="shared" si="2404"/>
        <v>0</v>
      </c>
      <c r="EJ508" s="75">
        <f t="shared" si="2404"/>
        <v>0</v>
      </c>
      <c r="EK508" s="75">
        <f t="shared" si="2404"/>
        <v>0</v>
      </c>
      <c r="EL508" s="75">
        <f t="shared" si="2404"/>
        <v>0</v>
      </c>
      <c r="EM508" s="75">
        <f t="shared" si="2404"/>
        <v>0</v>
      </c>
      <c r="EN508" s="84">
        <f t="shared" si="2404"/>
        <v>0</v>
      </c>
      <c r="EO508" s="75">
        <f t="shared" si="2404"/>
        <v>0</v>
      </c>
      <c r="EP508" s="75">
        <f t="shared" si="2404"/>
        <v>0</v>
      </c>
      <c r="EQ508" s="75">
        <f t="shared" si="2404"/>
        <v>0</v>
      </c>
      <c r="ER508" s="75">
        <f t="shared" si="2404"/>
        <v>0</v>
      </c>
      <c r="ES508" s="84">
        <f t="shared" ref="ES508" si="2405">+ES507/EN507-1</f>
        <v>0</v>
      </c>
      <c r="ET508" s="75">
        <f t="shared" si="2404"/>
        <v>0</v>
      </c>
      <c r="EU508" s="75">
        <f t="shared" si="2404"/>
        <v>0</v>
      </c>
      <c r="EV508" s="75">
        <f t="shared" si="2404"/>
        <v>0</v>
      </c>
      <c r="EW508" s="75">
        <f t="shared" si="2404"/>
        <v>0</v>
      </c>
      <c r="EX508" s="84">
        <f t="shared" ref="EX508" si="2406">+EX507/ES507-1</f>
        <v>0</v>
      </c>
      <c r="EY508" s="75">
        <f t="shared" ref="EY508" si="2407">+EY507/ET507-1</f>
        <v>0</v>
      </c>
      <c r="EZ508" s="75">
        <f t="shared" ref="EZ508" si="2408">+EZ507/EU507-1</f>
        <v>0</v>
      </c>
      <c r="FA508" s="75">
        <f t="shared" ref="FA508" si="2409">+FA507/EV507-1</f>
        <v>0</v>
      </c>
      <c r="FB508" s="75">
        <f t="shared" ref="FB508:FC508" si="2410">+FB507/EW507-1</f>
        <v>0</v>
      </c>
      <c r="FC508" s="84">
        <f t="shared" si="2410"/>
        <v>0</v>
      </c>
      <c r="FD508" s="75">
        <f t="shared" ref="FD508" si="2411">FD507/FC507-1</f>
        <v>0</v>
      </c>
      <c r="FE508" s="75">
        <f t="shared" ref="FE508" si="2412">FE507/FD507-1</f>
        <v>0</v>
      </c>
      <c r="FF508" s="75">
        <f t="shared" ref="FF508" si="2413">FF507/FE507-1</f>
        <v>0</v>
      </c>
      <c r="FG508" s="75">
        <f t="shared" ref="FG508" si="2414">FG507/FF507-1</f>
        <v>0</v>
      </c>
      <c r="FH508" s="75">
        <f t="shared" ref="FH508" si="2415">FH507/FG507-1</f>
        <v>0</v>
      </c>
      <c r="FI508" s="75">
        <f t="shared" ref="FI508" si="2416">FI507/FH507-1</f>
        <v>0</v>
      </c>
      <c r="FJ508" s="193"/>
      <c r="FK508" s="193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</row>
    <row r="509" spans="1:177" ht="12.75" customHeight="1" x14ac:dyDescent="0.3">
      <c r="A509" s="192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  <c r="AW509" s="193"/>
      <c r="AX509" s="193"/>
      <c r="AY509" s="193"/>
      <c r="AZ509" s="193"/>
      <c r="BA509" s="193"/>
      <c r="BB509" s="193"/>
      <c r="BC509" s="193"/>
      <c r="BD509" s="193"/>
      <c r="BE509" s="193"/>
      <c r="BF509" s="193"/>
      <c r="BG509" s="193"/>
      <c r="BH509" s="193"/>
      <c r="BI509" s="193"/>
      <c r="BJ509" s="193"/>
      <c r="BK509" s="193"/>
      <c r="BL509" s="192"/>
      <c r="BM509" s="192"/>
      <c r="BN509" s="192"/>
      <c r="BO509" s="192"/>
      <c r="BP509" s="192"/>
      <c r="BQ509" s="192"/>
      <c r="BR509" s="193"/>
      <c r="BS509" s="193"/>
      <c r="BT509" s="193"/>
      <c r="BU509" s="193"/>
      <c r="BV509" s="192"/>
      <c r="BW509" s="193"/>
      <c r="BX509" s="193"/>
      <c r="BY509" s="193"/>
      <c r="BZ509" s="193"/>
      <c r="CA509" s="192"/>
      <c r="CB509" s="193"/>
      <c r="CC509" s="193"/>
      <c r="CD509" s="193"/>
      <c r="CE509" s="193"/>
      <c r="CF509" s="192"/>
      <c r="CG509" s="193"/>
      <c r="CH509" s="193"/>
      <c r="CI509" s="193"/>
      <c r="CJ509" s="193"/>
      <c r="CK509" s="192"/>
      <c r="CL509" s="193"/>
      <c r="CM509" s="193"/>
      <c r="CN509" s="193"/>
      <c r="CO509" s="193"/>
      <c r="CP509" s="192"/>
      <c r="CQ509" s="193"/>
      <c r="CR509" s="193"/>
      <c r="CS509" s="193"/>
      <c r="CT509" s="193"/>
      <c r="CU509" s="193"/>
      <c r="CV509" s="193"/>
      <c r="CW509" s="193"/>
      <c r="CX509" s="193"/>
      <c r="CY509" s="193"/>
      <c r="CZ509" s="193"/>
      <c r="DA509" s="193"/>
      <c r="DB509" s="193"/>
      <c r="DC509" s="193"/>
      <c r="DD509" s="193"/>
      <c r="DE509" s="193"/>
      <c r="DF509" s="193"/>
      <c r="DG509" s="193"/>
      <c r="DH509" s="193"/>
      <c r="DI509" s="193"/>
      <c r="DJ509" s="193"/>
      <c r="DK509" s="193"/>
      <c r="DL509" s="193"/>
      <c r="DM509" s="193"/>
      <c r="DN509" s="193"/>
      <c r="DO509" s="193"/>
      <c r="DP509" s="193"/>
      <c r="DQ509" s="193"/>
      <c r="DR509" s="193"/>
      <c r="DS509" s="193"/>
      <c r="DT509" s="193"/>
      <c r="DU509" s="196"/>
      <c r="DV509" s="196"/>
      <c r="DW509" s="196"/>
      <c r="DX509" s="665"/>
      <c r="DY509" s="1191"/>
      <c r="DZ509" s="197"/>
      <c r="EB509" s="665"/>
      <c r="EC509" s="665"/>
      <c r="ED509" s="1204"/>
      <c r="EE509" s="197"/>
      <c r="EF509" s="197"/>
      <c r="EG509" s="197"/>
      <c r="EH509" s="197"/>
      <c r="EI509" s="1191"/>
      <c r="EJ509" s="197"/>
      <c r="EK509" s="197"/>
      <c r="EL509" s="197"/>
      <c r="EM509" s="197"/>
      <c r="EN509" s="1192"/>
      <c r="EO509" s="197"/>
      <c r="EP509" s="197"/>
      <c r="EQ509" s="197"/>
      <c r="ER509" s="197"/>
      <c r="ES509" s="1192"/>
      <c r="ET509" s="197"/>
      <c r="EU509" s="197"/>
      <c r="EV509" s="197"/>
      <c r="EW509" s="197"/>
      <c r="EX509" s="1192"/>
      <c r="EY509" s="197"/>
      <c r="EZ509" s="197"/>
      <c r="FA509" s="197"/>
      <c r="FB509" s="197"/>
      <c r="FC509" s="1192"/>
      <c r="FD509" s="198"/>
      <c r="FE509" s="198"/>
      <c r="FF509" s="198"/>
      <c r="FG509" s="198"/>
      <c r="FH509" s="198"/>
      <c r="FI509" s="198"/>
      <c r="FJ509" s="193"/>
      <c r="FK509" s="193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</row>
    <row r="510" spans="1:177" x14ac:dyDescent="0.3">
      <c r="A510" s="55" t="s">
        <v>445</v>
      </c>
      <c r="DU510" s="76"/>
      <c r="DV510" s="76"/>
      <c r="DW510" s="76"/>
      <c r="DX510" s="76"/>
      <c r="DY510" s="85"/>
      <c r="DZ510" s="85">
        <f>DZ498+DZ505</f>
        <v>918</v>
      </c>
      <c r="EA510" s="85">
        <f t="shared" ref="EA510:EC510" si="2417">EA498+EA505</f>
        <v>884</v>
      </c>
      <c r="EB510" s="85">
        <f t="shared" si="2417"/>
        <v>876</v>
      </c>
      <c r="EC510" s="85">
        <f t="shared" si="2417"/>
        <v>863</v>
      </c>
      <c r="ED510" s="85">
        <f>+SUM(DZ510:EC510)</f>
        <v>3541</v>
      </c>
      <c r="EE510" s="85">
        <f>EE498+EE505</f>
        <v>858</v>
      </c>
      <c r="EF510" s="85">
        <f t="shared" ref="EF510:EG510" si="2418">EF498+EF505</f>
        <v>862</v>
      </c>
      <c r="EG510" s="85">
        <f t="shared" si="2418"/>
        <v>893</v>
      </c>
      <c r="EH510" s="85">
        <f t="shared" ref="EH510:EJ510" si="2419">EH498+EH505</f>
        <v>865</v>
      </c>
      <c r="EI510" s="85">
        <f>+SUM(EE510:EH510)</f>
        <v>3478</v>
      </c>
      <c r="EJ510" s="85">
        <f t="shared" si="2419"/>
        <v>845.99999999999989</v>
      </c>
      <c r="EK510" s="85">
        <f t="shared" ref="EK510:EL510" si="2420">EK498+EK505</f>
        <v>836</v>
      </c>
      <c r="EL510" s="85">
        <f t="shared" si="2420"/>
        <v>854</v>
      </c>
      <c r="EM510" s="85">
        <f t="shared" ref="EM510" si="2421">EM498+EM505</f>
        <v>834</v>
      </c>
      <c r="EN510" s="85">
        <f>+SUM(EJ510:EM510)</f>
        <v>3370</v>
      </c>
      <c r="EO510" s="85">
        <f t="shared" ref="EO510:EP510" si="2422">EO498+EO505</f>
        <v>844</v>
      </c>
      <c r="EP510" s="85">
        <f t="shared" si="2422"/>
        <v>845</v>
      </c>
      <c r="EQ510" s="85">
        <f t="shared" ref="EQ510:ER510" si="2423">EQ498+EQ505</f>
        <v>845</v>
      </c>
      <c r="ER510" s="85">
        <f t="shared" si="2423"/>
        <v>815.00000000000011</v>
      </c>
      <c r="ES510" s="85">
        <f>+SUM(EO510:ER510)</f>
        <v>3349</v>
      </c>
      <c r="ET510" s="85">
        <f t="shared" ref="ET510:EU510" si="2424">ET498+ET505</f>
        <v>853</v>
      </c>
      <c r="EU510" s="85">
        <f t="shared" si="2424"/>
        <v>862</v>
      </c>
      <c r="EV510" s="85">
        <f t="shared" ref="EV510:EW510" si="2425">EV498+EV505</f>
        <v>887</v>
      </c>
      <c r="EW510" s="85">
        <f t="shared" si="2425"/>
        <v>863</v>
      </c>
      <c r="EX510" s="85">
        <f>+SUM(ET510:EW510)</f>
        <v>3465</v>
      </c>
      <c r="EY510" s="85">
        <f t="shared" ref="EY510:FB510" si="2426">EY498+EY505</f>
        <v>863.92922060370825</v>
      </c>
      <c r="EZ510" s="85">
        <f t="shared" si="2426"/>
        <v>857.17900671266102</v>
      </c>
      <c r="FA510" s="85">
        <f t="shared" si="2426"/>
        <v>869.81958710645461</v>
      </c>
      <c r="FB510" s="85">
        <f t="shared" si="2426"/>
        <v>835.41183943589192</v>
      </c>
      <c r="FC510" s="85">
        <f>+SUM(EY510:FB510)</f>
        <v>3426.3396538587158</v>
      </c>
      <c r="FD510" s="85">
        <f t="shared" ref="FD510:FI510" si="2427">FD498+FD505</f>
        <v>3406.5680835237222</v>
      </c>
      <c r="FE510" s="85">
        <f t="shared" si="2427"/>
        <v>3397.7943838411807</v>
      </c>
      <c r="FF510" s="85">
        <f t="shared" si="2427"/>
        <v>3439.8540012649719</v>
      </c>
      <c r="FG510" s="85">
        <f t="shared" si="2427"/>
        <v>3472.3858641746588</v>
      </c>
      <c r="FH510" s="85">
        <f t="shared" si="2427"/>
        <v>3496.5577815731822</v>
      </c>
      <c r="FI510" s="85">
        <f t="shared" si="2427"/>
        <v>3512.7924743092335</v>
      </c>
    </row>
    <row r="511" spans="1:177" x14ac:dyDescent="0.3">
      <c r="A511" s="70" t="s">
        <v>363</v>
      </c>
      <c r="DZ511" s="75"/>
      <c r="EA511" s="75"/>
      <c r="EB511" s="75"/>
      <c r="EC511" s="75"/>
      <c r="ED511" s="84"/>
      <c r="EE511" s="75">
        <f t="shared" ref="EE511:EW511" si="2428">+EE510/DZ510-1</f>
        <v>-6.5359477124182996E-2</v>
      </c>
      <c r="EF511" s="75">
        <f t="shared" si="2428"/>
        <v>-2.4886877828054321E-2</v>
      </c>
      <c r="EG511" s="75">
        <f t="shared" si="2428"/>
        <v>1.9406392694063967E-2</v>
      </c>
      <c r="EH511" s="75">
        <f t="shared" si="2428"/>
        <v>2.3174971031285629E-3</v>
      </c>
      <c r="EI511" s="91">
        <f t="shared" ref="EI511:EN511" si="2429">+EI510/ED510-1</f>
        <v>-1.7791584298220808E-2</v>
      </c>
      <c r="EJ511" s="75">
        <f t="shared" si="2428"/>
        <v>-1.3986013986014068E-2</v>
      </c>
      <c r="EK511" s="75">
        <f t="shared" si="2428"/>
        <v>-3.0162412993039456E-2</v>
      </c>
      <c r="EL511" s="75">
        <f t="shared" si="2428"/>
        <v>-4.3673012318029114E-2</v>
      </c>
      <c r="EM511" s="75">
        <f t="shared" si="2428"/>
        <v>-3.5838150289017379E-2</v>
      </c>
      <c r="EN511" s="91">
        <f t="shared" si="2429"/>
        <v>-3.1052328924669359E-2</v>
      </c>
      <c r="EO511" s="75">
        <f t="shared" si="2428"/>
        <v>-2.3640661938533203E-3</v>
      </c>
      <c r="EP511" s="75">
        <f t="shared" si="2428"/>
        <v>1.0765550239234534E-2</v>
      </c>
      <c r="EQ511" s="75">
        <f t="shared" si="2428"/>
        <v>-1.0538641686182681E-2</v>
      </c>
      <c r="ER511" s="75">
        <f t="shared" si="2428"/>
        <v>-2.278177458033559E-2</v>
      </c>
      <c r="ES511" s="91">
        <f t="shared" ref="ES511" si="2430">+ES510/EN510-1</f>
        <v>-6.2314540059347223E-3</v>
      </c>
      <c r="ET511" s="75">
        <f t="shared" si="2428"/>
        <v>1.0663507109004655E-2</v>
      </c>
      <c r="EU511" s="75">
        <f t="shared" si="2428"/>
        <v>2.0118343195266286E-2</v>
      </c>
      <c r="EV511" s="75">
        <f t="shared" si="2428"/>
        <v>4.9704142011834263E-2</v>
      </c>
      <c r="EW511" s="75">
        <f t="shared" si="2428"/>
        <v>5.8895705521472275E-2</v>
      </c>
      <c r="EX511" s="91">
        <f t="shared" ref="EX511" si="2431">+EX510/ES510-1</f>
        <v>3.4637205135861437E-2</v>
      </c>
      <c r="EY511" s="75">
        <f t="shared" ref="EY511" si="2432">+EY510/ET510-1</f>
        <v>1.2812685350185538E-2</v>
      </c>
      <c r="EZ511" s="75">
        <f t="shared" ref="EZ511" si="2433">+EZ510/EU510-1</f>
        <v>-5.592799637284207E-3</v>
      </c>
      <c r="FA511" s="75">
        <f t="shared" ref="FA511" si="2434">+FA510/EV510-1</f>
        <v>-1.9369123893512308E-2</v>
      </c>
      <c r="FB511" s="75">
        <f t="shared" ref="FB511:FC511" si="2435">+FB510/EW510-1</f>
        <v>-3.1967741093983815E-2</v>
      </c>
      <c r="FC511" s="91">
        <f t="shared" si="2435"/>
        <v>-1.115738705376168E-2</v>
      </c>
      <c r="FD511" s="75">
        <f t="shared" ref="FD511:FI511" si="2436">FD510/FC510-1</f>
        <v>-5.7704642074019041E-3</v>
      </c>
      <c r="FE511" s="75">
        <f t="shared" si="2436"/>
        <v>-2.5755245359623258E-3</v>
      </c>
      <c r="FF511" s="75">
        <f t="shared" si="2436"/>
        <v>1.2378505781224902E-2</v>
      </c>
      <c r="FG511" s="75">
        <f t="shared" si="2436"/>
        <v>9.4573382759046698E-3</v>
      </c>
      <c r="FH511" s="75">
        <f t="shared" si="2436"/>
        <v>6.9611841379468853E-3</v>
      </c>
      <c r="FI511" s="75">
        <f t="shared" si="2436"/>
        <v>4.643050036698293E-3</v>
      </c>
    </row>
    <row r="512" spans="1:177" x14ac:dyDescent="0.3">
      <c r="A512" s="61" t="s">
        <v>389</v>
      </c>
      <c r="DU512" s="111"/>
      <c r="DV512" s="111"/>
      <c r="DW512" s="111"/>
      <c r="DX512" s="111"/>
      <c r="DY512" s="112"/>
      <c r="DZ512" s="111">
        <f>DZ510/DZ99/3*1000</f>
        <v>20.131578947368421</v>
      </c>
      <c r="EA512" s="111">
        <f>EA510/EA99/3*1000</f>
        <v>19.385964912280702</v>
      </c>
      <c r="EB512" s="111">
        <f>EB510/EB99/3*1000</f>
        <v>19.210526315789473</v>
      </c>
      <c r="EC512" s="111">
        <f>EC510/EC99/3*1000</f>
        <v>18.925438596491226</v>
      </c>
      <c r="ED512" s="112">
        <f>ED510/ED99/12*1000</f>
        <v>19.413377192982455</v>
      </c>
      <c r="EE512" s="111">
        <f>EE510/EE99/3*1000</f>
        <v>18.815789473684212</v>
      </c>
      <c r="EF512" s="111">
        <f>EF510/EF99/3*1000</f>
        <v>18.77995642701525</v>
      </c>
      <c r="EG512" s="111">
        <f>EG510/EG99/3*1000</f>
        <v>19.455337690631808</v>
      </c>
      <c r="EH512" s="111">
        <f>EH510/EH99/3*1000</f>
        <v>18.845315904139436</v>
      </c>
      <c r="EI512" s="112">
        <f>EI510/EI99/12*1000</f>
        <v>18.943355119825707</v>
      </c>
      <c r="EJ512" s="111">
        <f>EJ510/EJ99/3*1000</f>
        <v>18.431372549019606</v>
      </c>
      <c r="EK512" s="111">
        <f>EK510/EK99/3*1000</f>
        <v>18.213507625272332</v>
      </c>
      <c r="EL512" s="111">
        <f>EL510/EL99/3*1000</f>
        <v>18.605664488017428</v>
      </c>
      <c r="EM512" s="111">
        <f>EM510/EM99/3*1000</f>
        <v>18.051948051948052</v>
      </c>
      <c r="EN512" s="112">
        <f>EN510/EN99/12*1000</f>
        <v>18.235930735930733</v>
      </c>
      <c r="EO512" s="111">
        <f>EO510/EO99/3*1000</f>
        <v>18.268398268398272</v>
      </c>
      <c r="EP512" s="111">
        <f>EP510/EP99/3*1000</f>
        <v>18.29004329004329</v>
      </c>
      <c r="EQ512" s="111">
        <f>EQ510/EQ99/3*1000</f>
        <v>18.29004329004329</v>
      </c>
      <c r="ER512" s="111">
        <f>ER510/ER99/3*1000</f>
        <v>17.640692640692645</v>
      </c>
      <c r="ES512" s="112">
        <f t="shared" ref="ES512:FI512" si="2437">ES510/ES99/12*1000</f>
        <v>18.122294372294373</v>
      </c>
      <c r="ET512" s="111">
        <f>ET510/ET99/3*1000</f>
        <v>18.463203463203463</v>
      </c>
      <c r="EU512" s="111">
        <f>EU510/EU99/3*1000</f>
        <v>18.658008658008658</v>
      </c>
      <c r="EV512" s="111">
        <f>EV510/EV99/3*1000</f>
        <v>19.1991341991342</v>
      </c>
      <c r="EW512" s="111">
        <f>EW510/EW99/3*1000</f>
        <v>18.55913978494624</v>
      </c>
      <c r="EX512" s="112">
        <f t="shared" ref="EX512" si="2438">EX510/EX99/12*1000</f>
        <v>18.629032258064516</v>
      </c>
      <c r="EY512" s="111">
        <f t="shared" ref="EY512:FB512" si="2439">EY510/EY99/3*1000</f>
        <v>18.537563003453727</v>
      </c>
      <c r="EZ512" s="111">
        <f t="shared" si="2439"/>
        <v>18.360869029147654</v>
      </c>
      <c r="FA512" s="111">
        <f t="shared" si="2439"/>
        <v>18.599420884349712</v>
      </c>
      <c r="FB512" s="111">
        <f t="shared" si="2439"/>
        <v>17.840959294313823</v>
      </c>
      <c r="FC512" s="112">
        <f t="shared" ref="FC512" si="2440">FC510/FC99/12*1000</f>
        <v>18.293129031503753</v>
      </c>
      <c r="FD512" s="111">
        <f t="shared" si="2437"/>
        <v>18.061141196808421</v>
      </c>
      <c r="FE512" s="111">
        <f t="shared" si="2437"/>
        <v>17.88939849504326</v>
      </c>
      <c r="FF512" s="111">
        <f t="shared" si="2437"/>
        <v>17.984947882558878</v>
      </c>
      <c r="FG512" s="111">
        <f t="shared" si="2437"/>
        <v>18.02883576818148</v>
      </c>
      <c r="FH512" s="111">
        <f t="shared" si="2437"/>
        <v>18.028140827960872</v>
      </c>
      <c r="FI512" s="111">
        <f t="shared" si="2437"/>
        <v>17.985944774472429</v>
      </c>
    </row>
    <row r="513" spans="1:166" x14ac:dyDescent="0.3">
      <c r="A513" s="70" t="s">
        <v>387</v>
      </c>
      <c r="DZ513" s="75"/>
      <c r="EA513" s="75"/>
      <c r="EB513" s="75"/>
      <c r="EC513" s="75"/>
      <c r="ED513" s="84"/>
      <c r="EE513" s="75">
        <f t="shared" ref="EE513:EW513" si="2441">+EE512/DZ512-1</f>
        <v>-6.5359477124182885E-2</v>
      </c>
      <c r="EF513" s="75">
        <f t="shared" si="2441"/>
        <v>-3.1260166208263107E-2</v>
      </c>
      <c r="EG513" s="75">
        <f t="shared" si="2441"/>
        <v>1.2743605813710701E-2</v>
      </c>
      <c r="EH513" s="75">
        <f t="shared" si="2441"/>
        <v>-4.2335976491791882E-3</v>
      </c>
      <c r="EI513" s="84">
        <f t="shared" si="2441"/>
        <v>-2.4211247145944914E-2</v>
      </c>
      <c r="EJ513" s="75">
        <f t="shared" si="2441"/>
        <v>-2.0430549842314738E-2</v>
      </c>
      <c r="EK513" s="75">
        <f t="shared" si="2441"/>
        <v>-3.0162412993039345E-2</v>
      </c>
      <c r="EL513" s="75">
        <f t="shared" si="2441"/>
        <v>-4.3673012318029114E-2</v>
      </c>
      <c r="EM513" s="75">
        <f t="shared" si="2441"/>
        <v>-4.2098941520906985E-2</v>
      </c>
      <c r="EN513" s="84">
        <f t="shared" si="2441"/>
        <v>-3.7344196918665085E-2</v>
      </c>
      <c r="EO513" s="75">
        <f t="shared" si="2441"/>
        <v>-8.8422216081788241E-3</v>
      </c>
      <c r="EP513" s="75">
        <f t="shared" si="2441"/>
        <v>4.2021375753433787E-3</v>
      </c>
      <c r="EQ513" s="75">
        <f t="shared" si="2441"/>
        <v>-1.6963715441467131E-2</v>
      </c>
      <c r="ER513" s="75">
        <f t="shared" si="2441"/>
        <v>-2.2781774580335479E-2</v>
      </c>
      <c r="ES513" s="84">
        <f t="shared" ref="ES513" si="2442">+ES512/EN512-1</f>
        <v>-6.2314540059345003E-3</v>
      </c>
      <c r="ET513" s="75">
        <f t="shared" si="2441"/>
        <v>1.0663507109004433E-2</v>
      </c>
      <c r="EU513" s="75">
        <f t="shared" si="2441"/>
        <v>2.0118343195266286E-2</v>
      </c>
      <c r="EV513" s="75">
        <f t="shared" si="2441"/>
        <v>4.9704142011834485E-2</v>
      </c>
      <c r="EW513" s="75">
        <f t="shared" si="2441"/>
        <v>5.2064120324559537E-2</v>
      </c>
      <c r="EX513" s="84">
        <f t="shared" ref="EX513" si="2443">+EX512/ES512-1</f>
        <v>2.7962126393049402E-2</v>
      </c>
      <c r="EY513" s="75">
        <f t="shared" ref="EY513" si="2444">+EY512/ET512-1</f>
        <v>4.0274452046449305E-3</v>
      </c>
      <c r="EZ513" s="75">
        <f t="shared" ref="EZ513" si="2445">+EZ512/EU512-1</f>
        <v>-1.5925581036401848E-2</v>
      </c>
      <c r="FA513" s="75">
        <f t="shared" ref="FA513" si="2446">+FA512/EV512-1</f>
        <v>-3.1236477049654265E-2</v>
      </c>
      <c r="FB513" s="75">
        <f t="shared" ref="FB513:FC513" si="2447">+FB512/EW512-1</f>
        <v>-3.8696863052615771E-2</v>
      </c>
      <c r="FC513" s="84">
        <f t="shared" si="2447"/>
        <v>-1.8031168871660008E-2</v>
      </c>
      <c r="FD513" s="75">
        <f t="shared" ref="FD513:FI513" si="2448">+FD512/FC512-1</f>
        <v>-1.2681692360875574E-2</v>
      </c>
      <c r="FE513" s="75">
        <f t="shared" si="2448"/>
        <v>-9.5089618033389334E-3</v>
      </c>
      <c r="FF513" s="75">
        <f t="shared" si="2448"/>
        <v>5.3411179555362676E-3</v>
      </c>
      <c r="FG513" s="75">
        <f t="shared" si="2448"/>
        <v>2.4402564805408034E-3</v>
      </c>
      <c r="FH513" s="75">
        <f t="shared" si="2448"/>
        <v>-3.8546039774489671E-5</v>
      </c>
      <c r="FI513" s="75">
        <f t="shared" si="2448"/>
        <v>-2.3405660012927321E-3</v>
      </c>
    </row>
    <row r="514" spans="1:166" x14ac:dyDescent="0.3">
      <c r="A514" s="61" t="s">
        <v>391</v>
      </c>
      <c r="DU514" s="111"/>
      <c r="DV514" s="111"/>
      <c r="DW514" s="111"/>
      <c r="DX514" s="111"/>
      <c r="DY514" s="112"/>
      <c r="DZ514" s="111">
        <f>+DZ510/DZ455/3*1000</f>
        <v>83.319841999729363</v>
      </c>
      <c r="EA514" s="111">
        <f>+EA510/EA455/3*1000</f>
        <v>80.881001511272856</v>
      </c>
      <c r="EB514" s="111">
        <f>+EB510/EB455/3*1000</f>
        <v>81.035791965173317</v>
      </c>
      <c r="EC514" s="111">
        <f>+EC510/EC455/3*1000</f>
        <v>80.805335656837855</v>
      </c>
      <c r="ED514" s="112">
        <f>+ED510/ED455/12*1000</f>
        <v>81.519524246716372</v>
      </c>
      <c r="EE514" s="111">
        <f>+EE510/EE455/3*1000</f>
        <v>81.234710796618543</v>
      </c>
      <c r="EF514" s="111">
        <f>+EF510/EF455/3*1000</f>
        <v>82.484091670255012</v>
      </c>
      <c r="EG514" s="111">
        <f>+EG510/EG455/3*1000</f>
        <v>86.292699425037441</v>
      </c>
      <c r="EH514" s="111">
        <f>+EH510/EH455/3*1000</f>
        <v>84.086711383299317</v>
      </c>
      <c r="EI514" s="112">
        <f>+EI510/EI455/12*1000</f>
        <v>83.509437280732953</v>
      </c>
      <c r="EJ514" s="111">
        <f>+EJ510/EJ455/3*1000</f>
        <v>82.359813084112133</v>
      </c>
      <c r="EK514" s="111">
        <f>+EK510/EK455/3*1000</f>
        <v>81.469570725527447</v>
      </c>
      <c r="EL514" s="111">
        <f>+EL510/EL455/3*1000</f>
        <v>83.602545276554082</v>
      </c>
      <c r="EM514" s="111">
        <f>+EM510/EM455/3*1000</f>
        <v>82.030097373856592</v>
      </c>
      <c r="EN514" s="112">
        <f t="shared" ref="EN514:FI514" si="2449">+EN510/EN455/12*1000</f>
        <v>82.364873947525993</v>
      </c>
      <c r="EO514" s="111">
        <f>+EO510/EO455/3*1000</f>
        <v>83.099492935558501</v>
      </c>
      <c r="EP514" s="111">
        <f>+EP510/EP455/3*1000</f>
        <v>83.296367489772777</v>
      </c>
      <c r="EQ514" s="111">
        <f>+EQ510/EQ455/3*1000</f>
        <v>83.593015778800023</v>
      </c>
      <c r="ER514" s="111">
        <f>+ER510/ER455/3*1000</f>
        <v>80.661124307205085</v>
      </c>
      <c r="ES514" s="112">
        <f t="shared" ref="ES514" si="2450">+ES510/ES455/12*1000</f>
        <v>82.663803423550178</v>
      </c>
      <c r="ET514" s="111">
        <f>+ET510/ET455/3*1000</f>
        <v>84.221958925750386</v>
      </c>
      <c r="EU514" s="111">
        <f>+EU510/EU455/3*1000</f>
        <v>84.884293451501719</v>
      </c>
      <c r="EV514" s="111">
        <f>+EV510/EV455/3*1000</f>
        <v>86.960784313725483</v>
      </c>
      <c r="EW514" s="111">
        <f>+EW510/EW455/3*1000</f>
        <v>84.162278135361817</v>
      </c>
      <c r="EX514" s="112">
        <f t="shared" ref="EX514" si="2451">+EX510/EX455/12*1000</f>
        <v>85.057809853450181</v>
      </c>
      <c r="EY514" s="111">
        <f t="shared" ref="EY514:FB514" si="2452">+EY510/EY455/3*1000</f>
        <v>83.518468544928453</v>
      </c>
      <c r="EZ514" s="111">
        <f t="shared" si="2452"/>
        <v>81.860351401910123</v>
      </c>
      <c r="FA514" s="111">
        <f t="shared" si="2452"/>
        <v>82.015012704994049</v>
      </c>
      <c r="FB514" s="111">
        <f t="shared" si="2452"/>
        <v>77.565699869325968</v>
      </c>
      <c r="FC514" s="112">
        <f t="shared" ref="FC514" si="2453">+FC510/FC455/12*1000</f>
        <v>81.209439238178916</v>
      </c>
      <c r="FD514" s="111">
        <f t="shared" si="2449"/>
        <v>75.405552888244756</v>
      </c>
      <c r="FE514" s="111">
        <f t="shared" si="2449"/>
        <v>69.549762420358192</v>
      </c>
      <c r="FF514" s="111">
        <f t="shared" si="2449"/>
        <v>65.702559991356026</v>
      </c>
      <c r="FG514" s="111">
        <f t="shared" si="2449"/>
        <v>62.975257873648587</v>
      </c>
      <c r="FH514" s="111">
        <f t="shared" si="2449"/>
        <v>61.037527695400904</v>
      </c>
      <c r="FI514" s="111">
        <f t="shared" si="2449"/>
        <v>59.71690861070428</v>
      </c>
    </row>
    <row r="515" spans="1:166" x14ac:dyDescent="0.3">
      <c r="A515" s="70" t="s">
        <v>387</v>
      </c>
      <c r="DZ515" s="75"/>
      <c r="EA515" s="75"/>
      <c r="EB515" s="75"/>
      <c r="EC515" s="75"/>
      <c r="ED515" s="84"/>
      <c r="EE515" s="75">
        <f t="shared" ref="EE515:EW515" si="2454">+EE514/DZ514-1</f>
        <v>-2.5025625986155764E-2</v>
      </c>
      <c r="EF515" s="75">
        <f t="shared" si="2454"/>
        <v>1.9820354953922426E-2</v>
      </c>
      <c r="EG515" s="75">
        <f t="shared" si="2454"/>
        <v>6.487142696308057E-2</v>
      </c>
      <c r="EH515" s="75">
        <f t="shared" si="2454"/>
        <v>4.0608404133072762E-2</v>
      </c>
      <c r="EI515" s="84">
        <f t="shared" si="2454"/>
        <v>2.4410263092240037E-2</v>
      </c>
      <c r="EJ515" s="75">
        <f t="shared" si="2454"/>
        <v>1.3850018993856406E-2</v>
      </c>
      <c r="EK515" s="75">
        <f t="shared" si="2454"/>
        <v>-1.2299595281758058E-2</v>
      </c>
      <c r="EL515" s="75">
        <f t="shared" si="2454"/>
        <v>-3.1174759468734603E-2</v>
      </c>
      <c r="EM515" s="75">
        <f t="shared" si="2454"/>
        <v>-2.4458252387442037E-2</v>
      </c>
      <c r="EN515" s="84">
        <f>+EN514/EI514-1</f>
        <v>-1.3705796260598535E-2</v>
      </c>
      <c r="EO515" s="75">
        <f t="shared" si="2454"/>
        <v>8.9810773452212445E-3</v>
      </c>
      <c r="EP515" s="75">
        <f t="shared" si="2454"/>
        <v>2.2423056215673975E-2</v>
      </c>
      <c r="EQ515" s="75">
        <f t="shared" si="2454"/>
        <v>-1.1398573718701677E-4</v>
      </c>
      <c r="ER515" s="75">
        <f t="shared" si="2454"/>
        <v>-1.6688668067920687E-2</v>
      </c>
      <c r="ES515" s="84">
        <f>+ES514/EN514-1</f>
        <v>3.6293320404354734E-3</v>
      </c>
      <c r="ET515" s="75">
        <f t="shared" si="2454"/>
        <v>1.3507495058511676E-2</v>
      </c>
      <c r="EU515" s="75">
        <f t="shared" si="2454"/>
        <v>1.9063567951194349E-2</v>
      </c>
      <c r="EV515" s="75">
        <f t="shared" si="2454"/>
        <v>4.0287678384963277E-2</v>
      </c>
      <c r="EW515" s="75">
        <f t="shared" si="2454"/>
        <v>4.3405715680608026E-2</v>
      </c>
      <c r="EX515" s="84">
        <f>+EX514/ES514-1</f>
        <v>2.8960758285384802E-2</v>
      </c>
      <c r="EY515" s="75">
        <f t="shared" ref="EY515" si="2455">+EY514/ET514-1</f>
        <v>-8.3528142754566437E-3</v>
      </c>
      <c r="EZ515" s="75">
        <f t="shared" ref="EZ515" si="2456">+EZ514/EU514-1</f>
        <v>-3.5624282498379012E-2</v>
      </c>
      <c r="FA515" s="75">
        <f t="shared" ref="FA515" si="2457">+FA514/EV514-1</f>
        <v>-5.6873585579549801E-2</v>
      </c>
      <c r="FB515" s="75">
        <f t="shared" ref="FB515" si="2458">+FB514/EW514-1</f>
        <v>-7.8379274090303097E-2</v>
      </c>
      <c r="FC515" s="84">
        <f>+FC514/EX514-1</f>
        <v>-4.524417712966966E-2</v>
      </c>
      <c r="FD515" s="75">
        <f t="shared" ref="FD515:FI515" si="2459">+FD514/FC514-1</f>
        <v>-7.1468124941879707E-2</v>
      </c>
      <c r="FE515" s="75">
        <f t="shared" si="2459"/>
        <v>-7.7657284425262096E-2</v>
      </c>
      <c r="FF515" s="75">
        <f t="shared" si="2459"/>
        <v>-5.5315824168452266E-2</v>
      </c>
      <c r="FG515" s="75">
        <f t="shared" si="2459"/>
        <v>-4.1509830333342435E-2</v>
      </c>
      <c r="FH515" s="75">
        <f t="shared" si="2459"/>
        <v>-3.0769706130231E-2</v>
      </c>
      <c r="FI515" s="75">
        <f t="shared" si="2459"/>
        <v>-2.1636182436598483E-2</v>
      </c>
    </row>
    <row r="516" spans="1:166" x14ac:dyDescent="0.3">
      <c r="A516" s="70" t="s">
        <v>394</v>
      </c>
      <c r="DU516" s="75"/>
      <c r="DV516" s="75"/>
      <c r="DW516" s="75"/>
      <c r="DX516" s="75"/>
      <c r="DY516" s="84"/>
      <c r="DZ516" s="126">
        <f t="shared" ref="DZ516:FI516" si="2460">+DZ510/DZ470</f>
        <v>0.51313583007266628</v>
      </c>
      <c r="EA516" s="126">
        <f t="shared" si="2460"/>
        <v>0.50399087799315845</v>
      </c>
      <c r="EB516" s="126">
        <f t="shared" si="2460"/>
        <v>0.50723798494499128</v>
      </c>
      <c r="EC516" s="126">
        <f t="shared" si="2460"/>
        <v>0.50884433962264153</v>
      </c>
      <c r="ED516" s="127">
        <f t="shared" si="2460"/>
        <v>0.50832615561297734</v>
      </c>
      <c r="EE516" s="126">
        <f t="shared" si="2460"/>
        <v>0.51223880597014926</v>
      </c>
      <c r="EF516" s="126">
        <f t="shared" si="2460"/>
        <v>0.53308596165739019</v>
      </c>
      <c r="EG516" s="126">
        <f t="shared" si="2460"/>
        <v>0.56662436548223349</v>
      </c>
      <c r="EH516" s="126">
        <f t="shared" ref="EH516:EJ516" si="2461">+EH510/EH470</f>
        <v>0.56059624108878803</v>
      </c>
      <c r="EI516" s="127">
        <f t="shared" si="2460"/>
        <v>0.5425050694119482</v>
      </c>
      <c r="EJ516" s="126">
        <f t="shared" si="2461"/>
        <v>0.5846579129232895</v>
      </c>
      <c r="EK516" s="126">
        <f t="shared" ref="EK516:EL516" si="2462">+EK510/EK470</f>
        <v>0.57299520219328304</v>
      </c>
      <c r="EL516" s="126">
        <f t="shared" si="2462"/>
        <v>0.59141274238227148</v>
      </c>
      <c r="EM516" s="126">
        <f t="shared" ref="EM516" si="2463">+EM510/EM470</f>
        <v>0.58037578288100211</v>
      </c>
      <c r="EN516" s="127">
        <f t="shared" si="2460"/>
        <v>0.58233972697425262</v>
      </c>
      <c r="EO516" s="126">
        <f t="shared" si="2460"/>
        <v>0.58611111111111114</v>
      </c>
      <c r="EP516" s="126">
        <f t="shared" ref="EP516:EQ516" si="2464">+EP510/EP470</f>
        <v>0.58316080055210495</v>
      </c>
      <c r="EQ516" s="126">
        <f t="shared" si="2464"/>
        <v>0.58844011142061281</v>
      </c>
      <c r="ER516" s="126">
        <f t="shared" ref="ER516" si="2465">+ER510/ER470</f>
        <v>0.57152875175315576</v>
      </c>
      <c r="ES516" s="127">
        <f t="shared" ref="ES516:ET516" si="2466">+ES510/ES470</f>
        <v>0.5823335072161363</v>
      </c>
      <c r="ET516" s="126">
        <f t="shared" si="2466"/>
        <v>0.58344733242134061</v>
      </c>
      <c r="EU516" s="126">
        <f t="shared" ref="EU516:EV516" si="2467">+EU510/EU470</f>
        <v>0.58243243243243248</v>
      </c>
      <c r="EV516" s="126">
        <f t="shared" si="2467"/>
        <v>0.59570181329751515</v>
      </c>
      <c r="EW516" s="126">
        <f t="shared" ref="EW516" si="2468">+EW510/EW470</f>
        <v>0.57304116865869859</v>
      </c>
      <c r="EX516" s="127">
        <f t="shared" ref="EX516" si="2469">+EX510/EX470</f>
        <v>0.58362809499747348</v>
      </c>
      <c r="EY516" s="126">
        <f t="shared" ref="EY516:FC516" si="2470">+EY510/EY470</f>
        <v>0.58745784243314514</v>
      </c>
      <c r="EZ516" s="126">
        <f t="shared" si="2470"/>
        <v>0.5723934389063694</v>
      </c>
      <c r="FA516" s="126">
        <f t="shared" si="2470"/>
        <v>0.57458170756321059</v>
      </c>
      <c r="FB516" s="126">
        <f t="shared" si="2470"/>
        <v>0.54288611993750358</v>
      </c>
      <c r="FC516" s="127">
        <f t="shared" si="2470"/>
        <v>0.56908157541015614</v>
      </c>
      <c r="FD516" s="126">
        <f t="shared" si="2460"/>
        <v>0.54713460493083776</v>
      </c>
      <c r="FE516" s="126">
        <f t="shared" si="2460"/>
        <v>0.52239482983317553</v>
      </c>
      <c r="FF516" s="126">
        <f t="shared" si="2460"/>
        <v>0.50577192766757639</v>
      </c>
      <c r="FG516" s="126">
        <f t="shared" si="2460"/>
        <v>0.49064822782930856</v>
      </c>
      <c r="FH516" s="126">
        <f t="shared" si="2460"/>
        <v>0.47691123577490718</v>
      </c>
      <c r="FI516" s="126">
        <f t="shared" si="2460"/>
        <v>0.46466314388202234</v>
      </c>
    </row>
    <row r="517" spans="1:166" x14ac:dyDescent="0.3">
      <c r="EG517" s="76"/>
      <c r="EH517" s="76"/>
      <c r="EJ517" s="76"/>
      <c r="EK517" s="76"/>
      <c r="EO517" s="76"/>
      <c r="EP517" s="76"/>
      <c r="EQ517" s="76"/>
      <c r="ER517" s="76"/>
      <c r="ES517" s="90"/>
      <c r="ET517" s="76"/>
      <c r="EU517" s="76"/>
      <c r="EV517" s="76"/>
      <c r="EW517" s="76"/>
      <c r="EX517" s="90"/>
      <c r="FC517" s="90"/>
    </row>
    <row r="518" spans="1:166" x14ac:dyDescent="0.3">
      <c r="A518" s="55" t="s">
        <v>294</v>
      </c>
      <c r="DU518" s="76"/>
      <c r="DV518" s="76"/>
      <c r="DW518" s="76"/>
      <c r="DX518" s="76"/>
      <c r="DY518" s="85"/>
      <c r="DZ518" s="85">
        <f>DZ483+DZ510</f>
        <v>1088</v>
      </c>
      <c r="EA518" s="85">
        <f>EA483+EA510</f>
        <v>1039</v>
      </c>
      <c r="EB518" s="85">
        <f>EB483+EB510</f>
        <v>1012</v>
      </c>
      <c r="EC518" s="85">
        <f>EC483+EC510</f>
        <v>979</v>
      </c>
      <c r="ED518" s="85">
        <f>+SUM(DZ518:EC518)</f>
        <v>4118</v>
      </c>
      <c r="EE518" s="85">
        <f>EE483+EE510</f>
        <v>969</v>
      </c>
      <c r="EF518" s="85">
        <f>EF483+EF510</f>
        <v>970</v>
      </c>
      <c r="EG518" s="85">
        <f>EG483+EG510</f>
        <v>988</v>
      </c>
      <c r="EH518" s="85">
        <f>EH483+EH510</f>
        <v>958</v>
      </c>
      <c r="EI518" s="85">
        <f>+SUM(EE518:EH518)</f>
        <v>3885</v>
      </c>
      <c r="EJ518" s="85">
        <f>EJ483+EJ510</f>
        <v>937.99999999999989</v>
      </c>
      <c r="EK518" s="85">
        <f>EK483+EK510</f>
        <v>923</v>
      </c>
      <c r="EL518" s="85">
        <f>EL483+EL510</f>
        <v>935</v>
      </c>
      <c r="EM518" s="85">
        <f>EM483+EM510</f>
        <v>910</v>
      </c>
      <c r="EN518" s="85">
        <f>+SUM(EJ518:EM518)</f>
        <v>3706</v>
      </c>
      <c r="EO518" s="85">
        <f>EO483+EO510</f>
        <v>920</v>
      </c>
      <c r="EP518" s="85">
        <f>EP483+EP510</f>
        <v>916</v>
      </c>
      <c r="EQ518" s="85">
        <f>EQ483+EQ510</f>
        <v>910</v>
      </c>
      <c r="ER518" s="85">
        <f>ER483+ER510</f>
        <v>876.00000000000011</v>
      </c>
      <c r="ES518" s="85">
        <f>+SUM(EO518:ER518)</f>
        <v>3622</v>
      </c>
      <c r="ET518" s="85">
        <f>ET483+ET510</f>
        <v>914</v>
      </c>
      <c r="EU518" s="85">
        <f>EU483+EU510</f>
        <v>919</v>
      </c>
      <c r="EV518" s="85">
        <f>EV483+EV510</f>
        <v>940</v>
      </c>
      <c r="EW518" s="85">
        <f>EW483+EW510</f>
        <v>910</v>
      </c>
      <c r="EX518" s="85">
        <f>+SUM(ET518:EW518)</f>
        <v>3683</v>
      </c>
      <c r="EY518" s="85">
        <f t="shared" ref="EY518:FB518" si="2471">EY483+EY510</f>
        <v>913.61661986541026</v>
      </c>
      <c r="EZ518" s="85">
        <f t="shared" si="2471"/>
        <v>903.86544801429466</v>
      </c>
      <c r="FA518" s="85">
        <f t="shared" si="2471"/>
        <v>913.07458499517986</v>
      </c>
      <c r="FB518" s="85">
        <f t="shared" si="2471"/>
        <v>873.81212933835195</v>
      </c>
      <c r="FC518" s="85">
        <f>+SUM(EY518:FB518)</f>
        <v>3604.368782213237</v>
      </c>
      <c r="FD518" s="85">
        <f t="shared" ref="FD518:FI518" si="2472">FD483+FD510</f>
        <v>3549.1844137590506</v>
      </c>
      <c r="FE518" s="85">
        <f t="shared" si="2472"/>
        <v>3510.3886295258771</v>
      </c>
      <c r="FF518" s="85">
        <f t="shared" si="2472"/>
        <v>3529.1921513832176</v>
      </c>
      <c r="FG518" s="85">
        <f t="shared" si="2472"/>
        <v>3543.4598702876601</v>
      </c>
      <c r="FH518" s="85">
        <f t="shared" si="2472"/>
        <v>3553.1709641514467</v>
      </c>
      <c r="FI518" s="85">
        <f t="shared" si="2472"/>
        <v>3557.9042627071062</v>
      </c>
    </row>
    <row r="519" spans="1:166" x14ac:dyDescent="0.3">
      <c r="A519" s="70" t="s">
        <v>363</v>
      </c>
      <c r="DZ519" s="75"/>
      <c r="EA519" s="75"/>
      <c r="EB519" s="75"/>
      <c r="EC519" s="75"/>
      <c r="ED519" s="84"/>
      <c r="EE519" s="75">
        <f t="shared" ref="EE519:EW519" si="2473">+EE518/DZ518-1</f>
        <v>-0.109375</v>
      </c>
      <c r="EF519" s="75">
        <f t="shared" si="2473"/>
        <v>-6.6410009624639055E-2</v>
      </c>
      <c r="EG519" s="75">
        <f t="shared" si="2473"/>
        <v>-2.371541501976282E-2</v>
      </c>
      <c r="EH519" s="75">
        <f t="shared" si="2473"/>
        <v>-2.1450459652706866E-2</v>
      </c>
      <c r="EI519" s="91">
        <f t="shared" si="2473"/>
        <v>-5.6580864497328798E-2</v>
      </c>
      <c r="EJ519" s="75">
        <f t="shared" si="2473"/>
        <v>-3.1991744066047545E-2</v>
      </c>
      <c r="EK519" s="75">
        <f t="shared" si="2473"/>
        <v>-4.845360824742273E-2</v>
      </c>
      <c r="EL519" s="75">
        <f t="shared" si="2473"/>
        <v>-5.3643724696356254E-2</v>
      </c>
      <c r="EM519" s="75">
        <f t="shared" si="2473"/>
        <v>-5.0104384133611735E-2</v>
      </c>
      <c r="EN519" s="91">
        <f t="shared" si="2473"/>
        <v>-4.6074646074646064E-2</v>
      </c>
      <c r="EO519" s="75">
        <f t="shared" si="2473"/>
        <v>-1.9189765458422103E-2</v>
      </c>
      <c r="EP519" s="75">
        <f t="shared" si="2473"/>
        <v>-7.5839653304442534E-3</v>
      </c>
      <c r="EQ519" s="75">
        <f t="shared" si="2473"/>
        <v>-2.6737967914438499E-2</v>
      </c>
      <c r="ER519" s="75">
        <f t="shared" si="2473"/>
        <v>-3.736263736263723E-2</v>
      </c>
      <c r="ES519" s="91">
        <f t="shared" ref="ES519" si="2474">+ES518/EN518-1</f>
        <v>-2.2665947112790019E-2</v>
      </c>
      <c r="ET519" s="75">
        <f t="shared" si="2473"/>
        <v>-6.521739130434745E-3</v>
      </c>
      <c r="EU519" s="75">
        <f t="shared" si="2473"/>
        <v>3.2751091703056012E-3</v>
      </c>
      <c r="EV519" s="75">
        <f t="shared" si="2473"/>
        <v>3.2967032967033072E-2</v>
      </c>
      <c r="EW519" s="75">
        <f t="shared" si="2473"/>
        <v>3.8812785388127713E-2</v>
      </c>
      <c r="EX519" s="91">
        <f t="shared" ref="EX519" si="2475">+EX518/ES518-1</f>
        <v>1.6841524019878484E-2</v>
      </c>
      <c r="EY519" s="75">
        <f t="shared" ref="EY519" si="2476">+EY518/ET518-1</f>
        <v>-4.1945310130164781E-4</v>
      </c>
      <c r="EZ519" s="75">
        <f t="shared" ref="EZ519" si="2477">+EZ518/EU518-1</f>
        <v>-1.6468500528515118E-2</v>
      </c>
      <c r="FA519" s="75">
        <f t="shared" ref="FA519" si="2478">+FA518/EV518-1</f>
        <v>-2.8644058515766124E-2</v>
      </c>
      <c r="FB519" s="75">
        <f t="shared" ref="FB519:FC519" si="2479">+FB518/EW518-1</f>
        <v>-3.9766890836975932E-2</v>
      </c>
      <c r="FC519" s="91">
        <f t="shared" si="2479"/>
        <v>-2.1349774039305713E-2</v>
      </c>
      <c r="FD519" s="75">
        <f t="shared" ref="FD519:FI519" si="2480">FD518/FC518-1</f>
        <v>-1.531041127825461E-2</v>
      </c>
      <c r="FE519" s="75">
        <f t="shared" si="2480"/>
        <v>-1.093090121853757E-2</v>
      </c>
      <c r="FF519" s="75">
        <f t="shared" si="2480"/>
        <v>5.3565356551077414E-3</v>
      </c>
      <c r="FG519" s="75">
        <f t="shared" si="2480"/>
        <v>4.0427719127875683E-3</v>
      </c>
      <c r="FH519" s="75">
        <f t="shared" si="2480"/>
        <v>2.7405683200238951E-3</v>
      </c>
      <c r="FI519" s="75">
        <f t="shared" si="2480"/>
        <v>1.3321336359590763E-3</v>
      </c>
    </row>
    <row r="520" spans="1:166" x14ac:dyDescent="0.3">
      <c r="A520" s="61" t="s">
        <v>389</v>
      </c>
      <c r="DU520" s="111"/>
      <c r="DV520" s="111"/>
      <c r="DW520" s="111"/>
      <c r="DX520" s="111"/>
      <c r="DY520" s="112"/>
      <c r="DZ520" s="111">
        <f>DZ518/DZ99/3*1000</f>
        <v>23.859649122807014</v>
      </c>
      <c r="EA520" s="111">
        <f>EA518/EA99/3*1000</f>
        <v>22.785087719298247</v>
      </c>
      <c r="EB520" s="111">
        <f>EB518/EB99/3*1000</f>
        <v>22.192982456140353</v>
      </c>
      <c r="EC520" s="111">
        <f>EC518/EC99/3*1000</f>
        <v>21.469298245614038</v>
      </c>
      <c r="ED520" s="112">
        <f>ED518/ED99/12*1000</f>
        <v>22.576754385964914</v>
      </c>
      <c r="EE520" s="111">
        <f>EE518/EE99/3*1000</f>
        <v>21.25</v>
      </c>
      <c r="EF520" s="111">
        <f>EF518/EF99/3*1000</f>
        <v>21.132897603485837</v>
      </c>
      <c r="EG520" s="111">
        <f>EG518/EG99/3*1000</f>
        <v>21.525054466230934</v>
      </c>
      <c r="EH520" s="111">
        <f>EH518/EH99/3*1000</f>
        <v>20.871459694989106</v>
      </c>
      <c r="EI520" s="112">
        <f>EI518/EI99/12*1000</f>
        <v>21.160130718954246</v>
      </c>
      <c r="EJ520" s="111">
        <f>EJ518/EJ99/3*1000</f>
        <v>20.435729847494549</v>
      </c>
      <c r="EK520" s="111">
        <f>EK518/EK99/3*1000</f>
        <v>20.108932461873636</v>
      </c>
      <c r="EL520" s="111">
        <f>EL518/EL99/3*1000</f>
        <v>20.37037037037037</v>
      </c>
      <c r="EM520" s="111">
        <f>EM518/EM99/3*1000</f>
        <v>19.696969696969695</v>
      </c>
      <c r="EN520" s="112">
        <f>EN518/EN99/12*1000</f>
        <v>20.054112554112553</v>
      </c>
      <c r="EO520" s="111">
        <f>EO518/EO99/3*1000</f>
        <v>19.913419913419915</v>
      </c>
      <c r="EP520" s="111">
        <f>EP518/EP99/3*1000</f>
        <v>19.826839826839826</v>
      </c>
      <c r="EQ520" s="111">
        <f>EQ518/EQ99/3*1000</f>
        <v>19.696969696969695</v>
      </c>
      <c r="ER520" s="111">
        <f>ER518/ER99/3*1000</f>
        <v>18.961038961038962</v>
      </c>
      <c r="ES520" s="112">
        <f t="shared" ref="ES520:FI520" si="2481">ES518/ES99/12*1000</f>
        <v>19.5995670995671</v>
      </c>
      <c r="ET520" s="111">
        <f>ET518/ET99/3*1000</f>
        <v>19.78354978354978</v>
      </c>
      <c r="EU520" s="111">
        <f>EU518/EU99/3*1000</f>
        <v>19.89177489177489</v>
      </c>
      <c r="EV520" s="111">
        <f>EV518/EV99/3*1000</f>
        <v>20.346320346320343</v>
      </c>
      <c r="EW520" s="111">
        <f>EW518/EW99/3*1000</f>
        <v>19.56989247311828</v>
      </c>
      <c r="EX520" s="112">
        <f t="shared" ref="EX520" si="2482">EX518/EX99/12*1000</f>
        <v>19.801075268817204</v>
      </c>
      <c r="EY520" s="111">
        <f t="shared" ref="EY520:FB520" si="2483">EY518/EY99/3*1000</f>
        <v>19.603718971239967</v>
      </c>
      <c r="EZ520" s="111">
        <f t="shared" si="2483"/>
        <v>19.360897759976837</v>
      </c>
      <c r="FA520" s="111">
        <f t="shared" si="2483"/>
        <v>19.524345918241366</v>
      </c>
      <c r="FB520" s="111">
        <f t="shared" si="2483"/>
        <v>18.66103147512257</v>
      </c>
      <c r="FC520" s="112">
        <f t="shared" ref="FC520" si="2484">FC518/FC99/12*1000</f>
        <v>19.243621436040389</v>
      </c>
      <c r="FD520" s="111">
        <f t="shared" si="2481"/>
        <v>18.817272767995611</v>
      </c>
      <c r="FE520" s="111">
        <f t="shared" si="2481"/>
        <v>18.482207565209904</v>
      </c>
      <c r="FF520" s="111">
        <f t="shared" si="2481"/>
        <v>18.452043861984169</v>
      </c>
      <c r="FG520" s="111">
        <f t="shared" si="2481"/>
        <v>18.397856272733787</v>
      </c>
      <c r="FH520" s="111">
        <f t="shared" si="2481"/>
        <v>18.320036598600989</v>
      </c>
      <c r="FI520" s="111">
        <f t="shared" si="2481"/>
        <v>18.216922875437923</v>
      </c>
    </row>
    <row r="521" spans="1:166" x14ac:dyDescent="0.3">
      <c r="A521" s="70" t="s">
        <v>387</v>
      </c>
      <c r="DZ521" s="75"/>
      <c r="EA521" s="75"/>
      <c r="EB521" s="75"/>
      <c r="EC521" s="75"/>
      <c r="ED521" s="84"/>
      <c r="EE521" s="75">
        <f t="shared" ref="EE521:EW521" si="2485">+EE520/DZ520-1</f>
        <v>-0.10937499999999989</v>
      </c>
      <c r="EF521" s="75">
        <f t="shared" si="2485"/>
        <v>-7.2511904986569675E-2</v>
      </c>
      <c r="EG521" s="75">
        <f t="shared" si="2485"/>
        <v>-3.0096360019633894E-2</v>
      </c>
      <c r="EH521" s="75">
        <f t="shared" si="2485"/>
        <v>-2.7846208282427898E-2</v>
      </c>
      <c r="EI521" s="84">
        <f t="shared" si="2485"/>
        <v>-6.2747002637869365E-2</v>
      </c>
      <c r="EJ521" s="75">
        <f t="shared" si="2485"/>
        <v>-3.8318595412021206E-2</v>
      </c>
      <c r="EK521" s="75">
        <f t="shared" si="2485"/>
        <v>-4.845360824742273E-2</v>
      </c>
      <c r="EL521" s="75">
        <f t="shared" si="2485"/>
        <v>-5.3643724696356143E-2</v>
      </c>
      <c r="EM521" s="75">
        <f t="shared" si="2485"/>
        <v>-5.6272537483393448E-2</v>
      </c>
      <c r="EN521" s="84">
        <f t="shared" si="2485"/>
        <v>-5.2268966554680829E-2</v>
      </c>
      <c r="EO521" s="75">
        <f t="shared" si="2485"/>
        <v>-2.5558663085315292E-2</v>
      </c>
      <c r="EP521" s="75">
        <f t="shared" si="2485"/>
        <v>-1.402822529583081E-2</v>
      </c>
      <c r="EQ521" s="75">
        <f t="shared" si="2485"/>
        <v>-3.3057851239669533E-2</v>
      </c>
      <c r="ER521" s="75">
        <f t="shared" si="2485"/>
        <v>-3.736263736263723E-2</v>
      </c>
      <c r="ES521" s="84">
        <f t="shared" ref="ES521" si="2486">+ES520/EN520-1</f>
        <v>-2.2665947112790019E-2</v>
      </c>
      <c r="ET521" s="75">
        <f t="shared" si="2485"/>
        <v>-6.521739130434967E-3</v>
      </c>
      <c r="EU521" s="75">
        <f t="shared" si="2485"/>
        <v>3.2751091703056012E-3</v>
      </c>
      <c r="EV521" s="75">
        <f t="shared" si="2485"/>
        <v>3.296703296703285E-2</v>
      </c>
      <c r="EW521" s="75">
        <f t="shared" si="2485"/>
        <v>3.2110767417881769E-2</v>
      </c>
      <c r="EX521" s="84">
        <f t="shared" ref="EX521" si="2487">+EX520/ES520-1</f>
        <v>1.0281256122976146E-2</v>
      </c>
      <c r="EY521" s="75">
        <f t="shared" ref="EY521" si="2488">+EY520/ET520-1</f>
        <v>-9.0899163333844069E-3</v>
      </c>
      <c r="EZ521" s="75">
        <f t="shared" ref="EZ521" si="2489">+EZ520/EU520-1</f>
        <v>-2.6688273655136152E-2</v>
      </c>
      <c r="FA521" s="75">
        <f t="shared" ref="FA521" si="2490">+FA520/EV520-1</f>
        <v>-4.0399168699200794E-2</v>
      </c>
      <c r="FB521" s="75">
        <f t="shared" ref="FB521:FC521" si="2491">+FB520/EW520-1</f>
        <v>-4.6441798249231336E-2</v>
      </c>
      <c r="FC521" s="84">
        <f t="shared" si="2491"/>
        <v>-2.81527051035807E-2</v>
      </c>
      <c r="FD521" s="75">
        <f t="shared" ref="FD521:FI521" si="2492">+FD520/FC520-1</f>
        <v>-2.2155324010182942E-2</v>
      </c>
      <c r="FE521" s="75">
        <f t="shared" si="2492"/>
        <v>-1.780625741662123E-2</v>
      </c>
      <c r="FF521" s="75">
        <f t="shared" si="2492"/>
        <v>-1.6320400644409538E-3</v>
      </c>
      <c r="FG521" s="75">
        <f t="shared" si="2492"/>
        <v>-2.9366713874998673E-3</v>
      </c>
      <c r="FH521" s="75">
        <f t="shared" si="2492"/>
        <v>-4.2298229195392167E-3</v>
      </c>
      <c r="FI521" s="75">
        <f t="shared" si="2492"/>
        <v>-5.6284670943801407E-3</v>
      </c>
    </row>
    <row r="522" spans="1:166" x14ac:dyDescent="0.3">
      <c r="A522" s="61" t="s">
        <v>391</v>
      </c>
      <c r="DU522" s="111"/>
      <c r="DV522" s="111"/>
      <c r="DW522" s="111"/>
      <c r="DX522" s="111"/>
      <c r="DY522" s="112"/>
      <c r="DZ522" s="111">
        <f>+DZ518/DZ455/3*1000</f>
        <v>98.749442370049621</v>
      </c>
      <c r="EA522" s="111">
        <f>+EA518/EA455/3*1000</f>
        <v>95.062625079425885</v>
      </c>
      <c r="EB522" s="111">
        <f>+EB518/EB455/3*1000</f>
        <v>93.616691174378303</v>
      </c>
      <c r="EC522" s="111">
        <f>+EC518/EC455/3*1000</f>
        <v>91.666771272357209</v>
      </c>
      <c r="ED522" s="112">
        <f>+ED518/ED455/12*1000</f>
        <v>94.802993744133872</v>
      </c>
      <c r="EE522" s="111">
        <f>+EE518/EE455/3*1000</f>
        <v>91.744096459118126</v>
      </c>
      <c r="EF522" s="111">
        <f>+EF518/EF455/3*1000</f>
        <v>92.818525429405284</v>
      </c>
      <c r="EG522" s="111">
        <f>+EG518/EG455/3*1000</f>
        <v>95.472773831956331</v>
      </c>
      <c r="EH522" s="111">
        <f>+EH518/EH455/3*1000</f>
        <v>93.127247982891035</v>
      </c>
      <c r="EI522" s="112">
        <f>+EI518/EI455/12*1000</f>
        <v>93.281818239116589</v>
      </c>
      <c r="EJ522" s="111">
        <f>+EJ518/EJ455/3*1000</f>
        <v>91.316199376947026</v>
      </c>
      <c r="EK522" s="111">
        <f>+EK518/EK455/3*1000</f>
        <v>89.947863372801251</v>
      </c>
      <c r="EL522" s="111">
        <f>+EL518/EL455/3*1000</f>
        <v>91.532060695056302</v>
      </c>
      <c r="EM522" s="111">
        <f>+EM518/EM455/3*1000</f>
        <v>89.505262122553376</v>
      </c>
      <c r="EN522" s="112">
        <f t="shared" ref="EN522:FI522" si="2493">+EN518/EN455/12*1000</f>
        <v>90.576920726863904</v>
      </c>
      <c r="EO522" s="111">
        <f>+EO518/EO455/3*1000</f>
        <v>90.582385664352884</v>
      </c>
      <c r="EP522" s="111">
        <f>+EP518/EP455/3*1000</f>
        <v>90.295233870570257</v>
      </c>
      <c r="EQ522" s="111">
        <f>+EQ518/EQ455/3*1000</f>
        <v>90.023247761784646</v>
      </c>
      <c r="ER522" s="111">
        <f>+ER518/ER455/3*1000</f>
        <v>86.698337292161526</v>
      </c>
      <c r="ES522" s="112">
        <f t="shared" ref="ES522" si="2494">+ES518/ES455/12*1000</f>
        <v>89.402297999432292</v>
      </c>
      <c r="ET522" s="111">
        <f>+ET518/ET455/3*1000</f>
        <v>90.24486571879936</v>
      </c>
      <c r="EU522" s="111">
        <f>+EU518/EU455/3*1000</f>
        <v>90.497291974396859</v>
      </c>
      <c r="EV522" s="111">
        <f>+EV518/EV455/3*1000</f>
        <v>92.156862745098039</v>
      </c>
      <c r="EW522" s="111">
        <f>+EW518/EW455/3*1000</f>
        <v>88.745855275989868</v>
      </c>
      <c r="EX522" s="112">
        <f t="shared" ref="EX522" si="2495">+EX518/EX455/12*1000</f>
        <v>90.409210300218476</v>
      </c>
      <c r="EY522" s="111">
        <f t="shared" ref="EY522:FB522" si="2496">+EY518/EY455/3*1000</f>
        <v>88.321889234204235</v>
      </c>
      <c r="EZ522" s="111">
        <f t="shared" si="2496"/>
        <v>86.318893270910309</v>
      </c>
      <c r="FA522" s="111">
        <f t="shared" si="2496"/>
        <v>86.093512722681169</v>
      </c>
      <c r="FB522" s="111">
        <f t="shared" si="2496"/>
        <v>81.131061551871156</v>
      </c>
      <c r="FC522" s="112">
        <f t="shared" ref="FC522" si="2497">+FC518/FC455/12*1000</f>
        <v>85.428999218302422</v>
      </c>
      <c r="FD522" s="111">
        <f t="shared" si="2493"/>
        <v>78.562414271494589</v>
      </c>
      <c r="FE522" s="111">
        <f t="shared" si="2493"/>
        <v>71.85446428063301</v>
      </c>
      <c r="FF522" s="111">
        <f t="shared" si="2493"/>
        <v>67.408953682920341</v>
      </c>
      <c r="FG522" s="111">
        <f t="shared" si="2493"/>
        <v>64.264257437106792</v>
      </c>
      <c r="FH522" s="111">
        <f t="shared" si="2493"/>
        <v>62.025793560119688</v>
      </c>
      <c r="FI522" s="111">
        <f t="shared" si="2493"/>
        <v>60.483801777529038</v>
      </c>
    </row>
    <row r="523" spans="1:166" x14ac:dyDescent="0.3">
      <c r="A523" s="70" t="s">
        <v>387</v>
      </c>
      <c r="DZ523" s="75"/>
      <c r="EA523" s="75"/>
      <c r="EB523" s="75"/>
      <c r="EC523" s="75"/>
      <c r="ED523" s="84"/>
      <c r="EE523" s="75">
        <f t="shared" ref="EE523:EW523" si="2498">+EE522/DZ522-1</f>
        <v>-7.0940612349788768E-2</v>
      </c>
      <c r="EF523" s="75">
        <f t="shared" si="2498"/>
        <v>-2.3606539879848953E-2</v>
      </c>
      <c r="EG523" s="75">
        <f t="shared" si="2498"/>
        <v>1.982640738840824E-2</v>
      </c>
      <c r="EH523" s="75">
        <f t="shared" si="2498"/>
        <v>1.5932455024454839E-2</v>
      </c>
      <c r="EI523" s="84">
        <f t="shared" si="2498"/>
        <v>-1.6045648401387225E-2</v>
      </c>
      <c r="EJ523" s="75">
        <f t="shared" si="2498"/>
        <v>-4.6640285172111495E-3</v>
      </c>
      <c r="EK523" s="75">
        <f t="shared" si="2498"/>
        <v>-3.0927684353134532E-2</v>
      </c>
      <c r="EL523" s="75">
        <f t="shared" si="2498"/>
        <v>-4.127577924818826E-2</v>
      </c>
      <c r="EM523" s="75">
        <f t="shared" si="2498"/>
        <v>-3.8892869045191514E-2</v>
      </c>
      <c r="EN523" s="84">
        <f t="shared" si="2498"/>
        <v>-2.8997049621385051E-2</v>
      </c>
      <c r="EO523" s="75">
        <f t="shared" si="2498"/>
        <v>-8.0359642385575691E-3</v>
      </c>
      <c r="EP523" s="75">
        <f t="shared" si="2498"/>
        <v>3.8619093855434272E-3</v>
      </c>
      <c r="EQ523" s="75">
        <f t="shared" si="2498"/>
        <v>-1.6483983008951819E-2</v>
      </c>
      <c r="ER523" s="75">
        <f t="shared" si="2498"/>
        <v>-3.136044478087241E-2</v>
      </c>
      <c r="ES523" s="84">
        <f t="shared" ref="ES523" si="2499">+ES522/EN522-1</f>
        <v>-1.2968234269894241E-2</v>
      </c>
      <c r="ET523" s="75">
        <f t="shared" si="2498"/>
        <v>-3.7261101380591244E-3</v>
      </c>
      <c r="EU523" s="75">
        <f t="shared" si="2498"/>
        <v>2.2377493823897421E-3</v>
      </c>
      <c r="EV523" s="75">
        <f t="shared" si="2498"/>
        <v>2.3700711053652013E-2</v>
      </c>
      <c r="EW523" s="75">
        <f t="shared" si="2498"/>
        <v>2.3616577292924212E-2</v>
      </c>
      <c r="EX523" s="84">
        <f t="shared" ref="EX523" si="2500">+EX522/ES522-1</f>
        <v>1.1262711622832988E-2</v>
      </c>
      <c r="EY523" s="75">
        <f t="shared" ref="EY523" si="2501">+EY522/ET522-1</f>
        <v>-2.1308430892756469E-2</v>
      </c>
      <c r="EZ523" s="75">
        <f t="shared" ref="EZ523" si="2502">+EZ522/EU522-1</f>
        <v>-4.6171533007514642E-2</v>
      </c>
      <c r="FA523" s="75">
        <f t="shared" ref="FA523" si="2503">+FA522/EV522-1</f>
        <v>-6.5793798115587276E-2</v>
      </c>
      <c r="FB523" s="75">
        <f t="shared" ref="FB523:FC523" si="2504">+FB522/EW522-1</f>
        <v>-8.5804499831992564E-2</v>
      </c>
      <c r="FC523" s="84">
        <f t="shared" si="2504"/>
        <v>-5.5085218257945767E-2</v>
      </c>
      <c r="FD523" s="75">
        <f t="shared" ref="FD523:FI523" si="2505">+FD522/FC522-1</f>
        <v>-8.0377682164591291E-2</v>
      </c>
      <c r="FE523" s="75">
        <f t="shared" si="2505"/>
        <v>-8.5383704829644969E-2</v>
      </c>
      <c r="FF523" s="75">
        <f t="shared" si="2505"/>
        <v>-6.1868258878813642E-2</v>
      </c>
      <c r="FG523" s="75">
        <f t="shared" si="2505"/>
        <v>-4.6651017023727093E-2</v>
      </c>
      <c r="FH523" s="75">
        <f t="shared" si="2505"/>
        <v>-3.483217524419091E-2</v>
      </c>
      <c r="FI523" s="75">
        <f t="shared" si="2505"/>
        <v>-2.4860492612578056E-2</v>
      </c>
    </row>
    <row r="524" spans="1:166" x14ac:dyDescent="0.3">
      <c r="A524" s="70" t="s">
        <v>394</v>
      </c>
      <c r="DU524" s="75"/>
      <c r="DV524" s="75"/>
      <c r="DW524" s="75"/>
      <c r="DX524" s="75"/>
      <c r="DY524" s="84"/>
      <c r="DZ524" s="126">
        <f t="shared" ref="DZ524:FI524" si="2506">+DZ518/DZ470</f>
        <v>0.60816098378982675</v>
      </c>
      <c r="EA524" s="126">
        <f t="shared" si="2506"/>
        <v>0.59236031927023947</v>
      </c>
      <c r="EB524" s="126">
        <f t="shared" si="2506"/>
        <v>0.5859872611464968</v>
      </c>
      <c r="EC524" s="126">
        <f t="shared" si="2506"/>
        <v>0.57724056603773588</v>
      </c>
      <c r="ED524" s="127">
        <f t="shared" si="2506"/>
        <v>0.59115704852138962</v>
      </c>
      <c r="EE524" s="126">
        <f t="shared" si="2506"/>
        <v>0.57850746268656716</v>
      </c>
      <c r="EF524" s="126">
        <f t="shared" si="2506"/>
        <v>0.59987631416202847</v>
      </c>
      <c r="EG524" s="126">
        <f t="shared" si="2506"/>
        <v>0.62690355329949243</v>
      </c>
      <c r="EH524" s="126">
        <f t="shared" ref="EH524:EJ524" si="2507">+EH518/EH470</f>
        <v>0.62086843810758263</v>
      </c>
      <c r="EI524" s="127">
        <f t="shared" si="2506"/>
        <v>0.60598970519419748</v>
      </c>
      <c r="EJ524" s="126">
        <f t="shared" si="2507"/>
        <v>0.64823773324118861</v>
      </c>
      <c r="EK524" s="126">
        <f t="shared" ref="EK524:EL524" si="2508">+EK518/EK470</f>
        <v>0.63262508567511999</v>
      </c>
      <c r="EL524" s="126">
        <f t="shared" si="2508"/>
        <v>0.64750692520775621</v>
      </c>
      <c r="EM524" s="126">
        <f t="shared" ref="EM524" si="2509">+EM518/EM470</f>
        <v>0.63326374391092555</v>
      </c>
      <c r="EN524" s="127">
        <f t="shared" si="2506"/>
        <v>0.64040089856575078</v>
      </c>
      <c r="EO524" s="126">
        <f t="shared" si="2506"/>
        <v>0.63888888888888884</v>
      </c>
      <c r="EP524" s="126">
        <f t="shared" ref="EP524:EQ524" si="2510">+EP518/EP470</f>
        <v>0.63216011042097997</v>
      </c>
      <c r="EQ524" s="126">
        <f t="shared" si="2510"/>
        <v>0.63370473537604455</v>
      </c>
      <c r="ER524" s="126">
        <f t="shared" ref="ER524" si="2511">+ER518/ER470</f>
        <v>0.61430575035063117</v>
      </c>
      <c r="ES524" s="127">
        <f t="shared" ref="ES524:ET524" si="2512">+ES518/ES470</f>
        <v>0.62980351243262045</v>
      </c>
      <c r="ET524" s="126">
        <f t="shared" si="2512"/>
        <v>0.62517099863201098</v>
      </c>
      <c r="EU524" s="126">
        <f t="shared" ref="EU524:EV524" si="2513">+EU518/EU470</f>
        <v>0.62094594594594599</v>
      </c>
      <c r="EV524" s="126">
        <f t="shared" si="2513"/>
        <v>0.63129617192746812</v>
      </c>
      <c r="EW524" s="126">
        <f t="shared" ref="EW524" si="2514">+EW518/EW470</f>
        <v>0.60424966799468793</v>
      </c>
      <c r="EX524" s="127">
        <f t="shared" ref="EX524" si="2515">+EX518/EX470</f>
        <v>0.62034697658750215</v>
      </c>
      <c r="EY524" s="126">
        <f t="shared" ref="EY524:FC524" si="2516">+EY518/EY470</f>
        <v>0.62124446715918047</v>
      </c>
      <c r="EZ524" s="126">
        <f t="shared" si="2516"/>
        <v>0.60356897222866457</v>
      </c>
      <c r="FA524" s="126">
        <f t="shared" si="2516"/>
        <v>0.60315490931212112</v>
      </c>
      <c r="FB524" s="126">
        <f t="shared" si="2516"/>
        <v>0.56784026040515434</v>
      </c>
      <c r="FC524" s="127">
        <f t="shared" si="2516"/>
        <v>0.59865047606447097</v>
      </c>
      <c r="FD524" s="126">
        <f t="shared" si="2506"/>
        <v>0.57004045257186842</v>
      </c>
      <c r="FE524" s="126">
        <f t="shared" si="2506"/>
        <v>0.53970566302966749</v>
      </c>
      <c r="FF524" s="126">
        <f t="shared" si="2506"/>
        <v>0.51890758062928466</v>
      </c>
      <c r="FG524" s="126">
        <f t="shared" si="2506"/>
        <v>0.50069098704678461</v>
      </c>
      <c r="FH524" s="126">
        <f t="shared" si="2506"/>
        <v>0.48463296227027286</v>
      </c>
      <c r="FI524" s="126">
        <f t="shared" si="2506"/>
        <v>0.47063041509898146</v>
      </c>
    </row>
    <row r="525" spans="1:166" x14ac:dyDescent="0.3">
      <c r="EO525"/>
      <c r="EP525"/>
      <c r="EQ525"/>
      <c r="ER525"/>
      <c r="ES525" s="90"/>
      <c r="EX525" s="90"/>
      <c r="FC525" s="90"/>
    </row>
    <row r="526" spans="1:166" x14ac:dyDescent="0.3">
      <c r="A526" s="1797" t="s">
        <v>284</v>
      </c>
      <c r="B526" s="806"/>
      <c r="C526" s="806"/>
      <c r="D526" s="806"/>
      <c r="E526" s="806"/>
      <c r="F526" s="806"/>
      <c r="G526" s="806"/>
      <c r="H526" s="806"/>
      <c r="I526" s="806"/>
      <c r="J526" s="806"/>
      <c r="K526" s="806"/>
      <c r="L526" s="806"/>
      <c r="M526" s="806"/>
      <c r="N526" s="806"/>
      <c r="O526" s="806"/>
      <c r="P526" s="806"/>
      <c r="Q526" s="806"/>
      <c r="R526" s="806"/>
      <c r="S526" s="806"/>
      <c r="T526" s="806"/>
      <c r="U526" s="806"/>
      <c r="V526" s="806"/>
      <c r="W526" s="806"/>
      <c r="X526" s="806"/>
      <c r="Y526" s="806"/>
      <c r="Z526" s="806"/>
      <c r="AA526" s="806"/>
      <c r="AB526" s="806"/>
      <c r="AC526" s="806"/>
      <c r="AD526" s="806"/>
      <c r="AE526" s="806"/>
      <c r="AF526" s="806"/>
      <c r="AG526" s="806"/>
      <c r="AH526" s="806"/>
      <c r="AI526" s="806"/>
      <c r="AJ526" s="806"/>
      <c r="AK526" s="806"/>
      <c r="AL526" s="806"/>
      <c r="AM526" s="806"/>
      <c r="AN526" s="806"/>
      <c r="AO526" s="806"/>
      <c r="AP526" s="806"/>
      <c r="AQ526" s="806"/>
      <c r="AR526" s="806"/>
      <c r="AS526" s="806"/>
      <c r="AT526" s="806"/>
      <c r="AU526" s="806"/>
      <c r="AV526" s="806"/>
      <c r="AW526" s="806"/>
      <c r="AX526" s="806"/>
      <c r="AY526" s="806"/>
      <c r="AZ526" s="806"/>
      <c r="BA526" s="806"/>
      <c r="BB526" s="806"/>
      <c r="BC526" s="806"/>
      <c r="BD526" s="806"/>
      <c r="BE526" s="806"/>
      <c r="BF526" s="806"/>
      <c r="BG526" s="806"/>
      <c r="BH526" s="806"/>
      <c r="BI526" s="806"/>
      <c r="BJ526" s="806"/>
      <c r="BK526" s="806"/>
      <c r="BL526" s="806"/>
      <c r="BM526" s="806"/>
      <c r="BN526" s="806"/>
      <c r="BO526" s="806"/>
      <c r="BP526" s="806"/>
      <c r="BQ526" s="806"/>
      <c r="BR526" s="806"/>
      <c r="BS526" s="806"/>
      <c r="BT526" s="806"/>
      <c r="BU526" s="806"/>
      <c r="BV526" s="806"/>
      <c r="BW526" s="806"/>
      <c r="BX526" s="806"/>
      <c r="BY526" s="806"/>
      <c r="BZ526" s="806"/>
      <c r="CA526" s="806"/>
      <c r="CB526" s="806"/>
      <c r="CC526" s="806"/>
      <c r="CD526" s="806"/>
      <c r="CE526" s="806"/>
      <c r="CF526" s="806"/>
      <c r="CG526" s="806"/>
      <c r="CH526" s="806"/>
      <c r="CI526" s="806"/>
      <c r="CJ526" s="806"/>
      <c r="CK526" s="806"/>
      <c r="CL526" s="806"/>
      <c r="CM526" s="806"/>
      <c r="CN526" s="806"/>
      <c r="CO526" s="806"/>
      <c r="CP526" s="806"/>
      <c r="CQ526" s="806"/>
      <c r="CR526" s="806"/>
      <c r="CS526" s="806"/>
      <c r="CT526" s="806"/>
      <c r="CU526" s="806"/>
      <c r="CV526" s="806"/>
      <c r="CW526" s="806"/>
      <c r="CX526" s="806"/>
      <c r="CY526" s="806"/>
      <c r="CZ526" s="806"/>
      <c r="DA526" s="806"/>
      <c r="DB526" s="806"/>
      <c r="DC526" s="806"/>
      <c r="DD526" s="806"/>
      <c r="DE526" s="806"/>
      <c r="DF526" s="806"/>
      <c r="DG526" s="806"/>
      <c r="DH526" s="806"/>
      <c r="DI526" s="806"/>
      <c r="DJ526" s="806"/>
      <c r="DK526" s="806"/>
      <c r="DL526" s="806"/>
      <c r="DM526" s="806"/>
      <c r="DN526" s="806"/>
      <c r="DO526" s="806"/>
      <c r="DP526" s="806"/>
      <c r="DQ526" s="806"/>
      <c r="DR526" s="806"/>
      <c r="DS526" s="806"/>
      <c r="DT526" s="806"/>
      <c r="DU526" s="1800"/>
      <c r="DV526" s="1800"/>
      <c r="DW526" s="1800"/>
      <c r="DX526" s="1800"/>
      <c r="DY526" s="1026"/>
      <c r="DZ526" s="804">
        <f>DZ470</f>
        <v>1789</v>
      </c>
      <c r="EA526" s="804">
        <f>EA470</f>
        <v>1754</v>
      </c>
      <c r="EB526" s="804">
        <f>EB470</f>
        <v>1727</v>
      </c>
      <c r="EC526" s="804">
        <f>EC470</f>
        <v>1696</v>
      </c>
      <c r="ED526" s="803">
        <f>+SUM(DZ526:EC526)</f>
        <v>6966</v>
      </c>
      <c r="EE526" s="804">
        <f>EE470</f>
        <v>1675</v>
      </c>
      <c r="EF526" s="804">
        <f>EF470</f>
        <v>1617</v>
      </c>
      <c r="EG526" s="804">
        <f>EG470</f>
        <v>1576</v>
      </c>
      <c r="EH526" s="804">
        <f>EH470</f>
        <v>1543</v>
      </c>
      <c r="EI526" s="803">
        <f>+SUM(EE526:EH526)</f>
        <v>6411</v>
      </c>
      <c r="EJ526" s="804">
        <f>EJ470</f>
        <v>1447</v>
      </c>
      <c r="EK526" s="804">
        <f>EK470</f>
        <v>1459</v>
      </c>
      <c r="EL526" s="804">
        <f>EL470</f>
        <v>1444</v>
      </c>
      <c r="EM526" s="804">
        <f>EM470</f>
        <v>1437</v>
      </c>
      <c r="EN526" s="803">
        <f>+SUM(EJ526:EM526)</f>
        <v>5787</v>
      </c>
      <c r="EO526" s="804">
        <f>EO470</f>
        <v>1440</v>
      </c>
      <c r="EP526" s="804">
        <f>EP470</f>
        <v>1449</v>
      </c>
      <c r="EQ526" s="804">
        <f>EQ470</f>
        <v>1436</v>
      </c>
      <c r="ER526" s="804">
        <f>ER470</f>
        <v>1426</v>
      </c>
      <c r="ES526" s="803">
        <f>+SUM(EO526:ER526)</f>
        <v>5751</v>
      </c>
      <c r="ET526" s="804">
        <f>ET470</f>
        <v>1462</v>
      </c>
      <c r="EU526" s="804">
        <f>EU470</f>
        <v>1480</v>
      </c>
      <c r="EV526" s="804">
        <f>EV470</f>
        <v>1489</v>
      </c>
      <c r="EW526" s="804">
        <f>EW470</f>
        <v>1506</v>
      </c>
      <c r="EX526" s="803">
        <f>+SUM(ET526:EW526)</f>
        <v>5937</v>
      </c>
      <c r="EY526" s="804">
        <f t="shared" ref="EY526:FB526" si="2517">EY470</f>
        <v>1470.6233506483941</v>
      </c>
      <c r="EZ526" s="804">
        <f t="shared" si="2517"/>
        <v>1497.5346474103735</v>
      </c>
      <c r="FA526" s="804">
        <f t="shared" si="2517"/>
        <v>1513.8309759204517</v>
      </c>
      <c r="FB526" s="804">
        <f t="shared" si="2517"/>
        <v>1538.834405145712</v>
      </c>
      <c r="FC526" s="803">
        <f>+SUM(EY526:FB526)</f>
        <v>6020.8233791249313</v>
      </c>
      <c r="FD526" s="804">
        <f t="shared" ref="FD526:FI526" si="2518">FD470</f>
        <v>6226.1974527353104</v>
      </c>
      <c r="FE526" s="804">
        <f t="shared" si="2518"/>
        <v>6504.264954012373</v>
      </c>
      <c r="FF526" s="804">
        <f t="shared" si="2518"/>
        <v>6801.1959800304503</v>
      </c>
      <c r="FG526" s="804">
        <f t="shared" si="2518"/>
        <v>7077.139317382118</v>
      </c>
      <c r="FH526" s="804">
        <f t="shared" si="2518"/>
        <v>7331.6741550276438</v>
      </c>
      <c r="FI526" s="804">
        <f t="shared" si="2518"/>
        <v>7559.8689514336202</v>
      </c>
      <c r="FJ526" s="189">
        <f>+(FF526/ES526)^0.2-1</f>
        <v>3.4113920601426262E-2</v>
      </c>
    </row>
    <row r="527" spans="1:166" x14ac:dyDescent="0.3">
      <c r="A527" s="70" t="s">
        <v>363</v>
      </c>
      <c r="DU527" s="108"/>
      <c r="DV527" s="108"/>
      <c r="DW527" s="108"/>
      <c r="DX527" s="108"/>
      <c r="DY527" s="538"/>
      <c r="DZ527" s="75"/>
      <c r="EA527" s="75"/>
      <c r="EB527" s="75"/>
      <c r="EC527" s="75"/>
      <c r="ED527" s="84"/>
      <c r="EE527" s="75">
        <f t="shared" ref="EE527:EW527" si="2519">+EE526/DZ526-1</f>
        <v>-6.3722750139742823E-2</v>
      </c>
      <c r="EF527" s="75">
        <f t="shared" si="2519"/>
        <v>-7.8107183580387707E-2</v>
      </c>
      <c r="EG527" s="75">
        <f t="shared" si="2519"/>
        <v>-8.7434858135495119E-2</v>
      </c>
      <c r="EH527" s="75">
        <f t="shared" si="2519"/>
        <v>-9.0212264150943411E-2</v>
      </c>
      <c r="EI527" s="84">
        <f t="shared" si="2519"/>
        <v>-7.9672695951765737E-2</v>
      </c>
      <c r="EJ527" s="75">
        <f t="shared" si="2519"/>
        <v>-0.13611940298507463</v>
      </c>
      <c r="EK527" s="75">
        <f t="shared" si="2519"/>
        <v>-9.7711811997526321E-2</v>
      </c>
      <c r="EL527" s="75">
        <f t="shared" si="2519"/>
        <v>-8.3756345177664948E-2</v>
      </c>
      <c r="EM527" s="75">
        <f t="shared" si="2519"/>
        <v>-6.8697342838626052E-2</v>
      </c>
      <c r="EN527" s="84">
        <f>+EN526/EI526-1</f>
        <v>-9.7332709405708928E-2</v>
      </c>
      <c r="EO527" s="75">
        <f t="shared" si="2519"/>
        <v>-4.8375950241880128E-3</v>
      </c>
      <c r="EP527" s="75">
        <f t="shared" si="2519"/>
        <v>-6.8540095956134417E-3</v>
      </c>
      <c r="EQ527" s="75">
        <f t="shared" si="2519"/>
        <v>-5.5401662049860967E-3</v>
      </c>
      <c r="ER527" s="75">
        <f t="shared" si="2519"/>
        <v>-7.6548364648573175E-3</v>
      </c>
      <c r="ES527" s="84">
        <f>+ES526/EN526-1</f>
        <v>-6.2208398133748455E-3</v>
      </c>
      <c r="ET527" s="75">
        <f t="shared" si="2519"/>
        <v>1.5277777777777724E-2</v>
      </c>
      <c r="EU527" s="75">
        <f t="shared" si="2519"/>
        <v>2.1394064872325647E-2</v>
      </c>
      <c r="EV527" s="75">
        <f t="shared" si="2519"/>
        <v>3.6908077994429078E-2</v>
      </c>
      <c r="EW527" s="75">
        <f t="shared" si="2519"/>
        <v>5.6100981767180924E-2</v>
      </c>
      <c r="EX527" s="84">
        <f>+EX526/ES526-1</f>
        <v>3.234220135628596E-2</v>
      </c>
      <c r="EY527" s="75">
        <f t="shared" ref="EY527" si="2520">+EY526/ET526-1</f>
        <v>5.898324656904208E-3</v>
      </c>
      <c r="EZ527" s="75">
        <f t="shared" ref="EZ527" si="2521">+EZ526/EU526-1</f>
        <v>1.1847734736738946E-2</v>
      </c>
      <c r="FA527" s="75">
        <f t="shared" ref="FA527" si="2522">+FA526/EV526-1</f>
        <v>1.6676276642344945E-2</v>
      </c>
      <c r="FB527" s="75">
        <f t="shared" ref="FB527" si="2523">+FB526/EW526-1</f>
        <v>2.1802393855054447E-2</v>
      </c>
      <c r="FC527" s="84">
        <f>+FC526/EX526-1</f>
        <v>1.4118810699836892E-2</v>
      </c>
      <c r="FD527" s="75">
        <f t="shared" ref="FD527:FI527" si="2524">+FD526/FC526-1</f>
        <v>3.4110629174481488E-2</v>
      </c>
      <c r="FE527" s="75">
        <f t="shared" si="2524"/>
        <v>4.4660887064367216E-2</v>
      </c>
      <c r="FF527" s="75">
        <f t="shared" si="2524"/>
        <v>4.5651742067319256E-2</v>
      </c>
      <c r="FG527" s="75">
        <f t="shared" si="2524"/>
        <v>4.0572766637204438E-2</v>
      </c>
      <c r="FH527" s="75">
        <f t="shared" si="2524"/>
        <v>3.5965780272314785E-2</v>
      </c>
      <c r="FI527" s="75">
        <f t="shared" si="2524"/>
        <v>3.1124514207917064E-2</v>
      </c>
    </row>
    <row r="528" spans="1:166" x14ac:dyDescent="0.3">
      <c r="A528" s="56" t="s">
        <v>480</v>
      </c>
      <c r="DU528" s="120"/>
      <c r="DV528" s="120"/>
      <c r="DW528" s="120"/>
      <c r="DX528" s="120"/>
      <c r="DY528" s="121"/>
      <c r="DZ528" s="76">
        <f>DZ518</f>
        <v>1088</v>
      </c>
      <c r="EA528" s="76">
        <f>EA518</f>
        <v>1039</v>
      </c>
      <c r="EB528" s="76">
        <f>EB518</f>
        <v>1012</v>
      </c>
      <c r="EC528" s="76">
        <f>EC518</f>
        <v>979</v>
      </c>
      <c r="ED528" s="85">
        <f>+SUM(DZ528:EC528)</f>
        <v>4118</v>
      </c>
      <c r="EE528" s="76">
        <f>EE518</f>
        <v>969</v>
      </c>
      <c r="EF528" s="76">
        <f>EF518</f>
        <v>970</v>
      </c>
      <c r="EG528" s="76">
        <f>EG518</f>
        <v>988</v>
      </c>
      <c r="EH528" s="76">
        <f>EH518</f>
        <v>958</v>
      </c>
      <c r="EI528" s="85">
        <f>+SUM(EE528:EH528)</f>
        <v>3885</v>
      </c>
      <c r="EJ528" s="76">
        <f>EJ518</f>
        <v>937.99999999999989</v>
      </c>
      <c r="EK528" s="76">
        <f>EK518</f>
        <v>923</v>
      </c>
      <c r="EL528" s="76">
        <f>EL518</f>
        <v>935</v>
      </c>
      <c r="EM528" s="76">
        <f>EM518</f>
        <v>910</v>
      </c>
      <c r="EN528" s="85">
        <f>+SUM(EJ528:EM528)</f>
        <v>3706</v>
      </c>
      <c r="EO528" s="76">
        <f>EO518</f>
        <v>920</v>
      </c>
      <c r="EP528" s="76">
        <f>EP518</f>
        <v>916</v>
      </c>
      <c r="EQ528" s="76">
        <f>EQ518</f>
        <v>910</v>
      </c>
      <c r="ER528" s="76">
        <f>ER518</f>
        <v>876.00000000000011</v>
      </c>
      <c r="ES528" s="85">
        <f>+SUM(EO528:ER528)</f>
        <v>3622</v>
      </c>
      <c r="ET528" s="76">
        <f>ET518</f>
        <v>914</v>
      </c>
      <c r="EU528" s="76">
        <f>EU518</f>
        <v>919</v>
      </c>
      <c r="EV528" s="76">
        <f>EV518</f>
        <v>940</v>
      </c>
      <c r="EW528" s="76">
        <f>EW518</f>
        <v>910</v>
      </c>
      <c r="EX528" s="85">
        <f>+SUM(ET528:EW528)</f>
        <v>3683</v>
      </c>
      <c r="EY528" s="76">
        <f t="shared" ref="EY528:FB528" si="2525">EY518</f>
        <v>913.61661986541026</v>
      </c>
      <c r="EZ528" s="76">
        <f t="shared" si="2525"/>
        <v>903.86544801429466</v>
      </c>
      <c r="FA528" s="76">
        <f t="shared" si="2525"/>
        <v>913.07458499517986</v>
      </c>
      <c r="FB528" s="76">
        <f t="shared" si="2525"/>
        <v>873.81212933835195</v>
      </c>
      <c r="FC528" s="85">
        <f>+SUM(EY528:FB528)</f>
        <v>3604.368782213237</v>
      </c>
      <c r="FD528" s="76">
        <f t="shared" ref="FD528:FI528" si="2526">FD518</f>
        <v>3549.1844137590506</v>
      </c>
      <c r="FE528" s="76">
        <f t="shared" si="2526"/>
        <v>3510.3886295258771</v>
      </c>
      <c r="FF528" s="76">
        <f t="shared" si="2526"/>
        <v>3529.1921513832176</v>
      </c>
      <c r="FG528" s="76">
        <f t="shared" si="2526"/>
        <v>3543.4598702876601</v>
      </c>
      <c r="FH528" s="76">
        <f t="shared" si="2526"/>
        <v>3553.1709641514467</v>
      </c>
      <c r="FI528" s="76">
        <f t="shared" si="2526"/>
        <v>3557.9042627071062</v>
      </c>
      <c r="FJ528" s="189">
        <f>+(FF528/ES528)^0.2-1</f>
        <v>-5.1780209925181842E-3</v>
      </c>
    </row>
    <row r="529" spans="1:166" x14ac:dyDescent="0.3">
      <c r="A529" s="70" t="s">
        <v>363</v>
      </c>
      <c r="DU529" s="108"/>
      <c r="DV529" s="108"/>
      <c r="DW529" s="108"/>
      <c r="DX529" s="108"/>
      <c r="DY529" s="538"/>
      <c r="DZ529" s="75"/>
      <c r="EA529" s="75"/>
      <c r="EB529" s="75"/>
      <c r="EC529" s="75"/>
      <c r="ED529" s="84"/>
      <c r="EE529" s="75">
        <f t="shared" ref="EE529:EW529" si="2527">+EE528/DZ528-1</f>
        <v>-0.109375</v>
      </c>
      <c r="EF529" s="75">
        <f t="shared" si="2527"/>
        <v>-6.6410009624639055E-2</v>
      </c>
      <c r="EG529" s="75">
        <f t="shared" si="2527"/>
        <v>-2.371541501976282E-2</v>
      </c>
      <c r="EH529" s="75">
        <f t="shared" si="2527"/>
        <v>-2.1450459652706866E-2</v>
      </c>
      <c r="EI529" s="84">
        <f t="shared" si="2527"/>
        <v>-5.6580864497328798E-2</v>
      </c>
      <c r="EJ529" s="75">
        <f t="shared" si="2527"/>
        <v>-3.1991744066047545E-2</v>
      </c>
      <c r="EK529" s="75">
        <f t="shared" si="2527"/>
        <v>-4.845360824742273E-2</v>
      </c>
      <c r="EL529" s="75">
        <f t="shared" si="2527"/>
        <v>-5.3643724696356254E-2</v>
      </c>
      <c r="EM529" s="75">
        <f t="shared" si="2527"/>
        <v>-5.0104384133611735E-2</v>
      </c>
      <c r="EN529" s="84">
        <f>+EN528/EI528-1</f>
        <v>-4.6074646074646064E-2</v>
      </c>
      <c r="EO529" s="75">
        <f t="shared" si="2527"/>
        <v>-1.9189765458422103E-2</v>
      </c>
      <c r="EP529" s="75">
        <f t="shared" si="2527"/>
        <v>-7.5839653304442534E-3</v>
      </c>
      <c r="EQ529" s="75">
        <f t="shared" si="2527"/>
        <v>-2.6737967914438499E-2</v>
      </c>
      <c r="ER529" s="75">
        <f t="shared" si="2527"/>
        <v>-3.736263736263723E-2</v>
      </c>
      <c r="ES529" s="84">
        <f>+ES528/EN528-1</f>
        <v>-2.2665947112790019E-2</v>
      </c>
      <c r="ET529" s="75">
        <f t="shared" si="2527"/>
        <v>-6.521739130434745E-3</v>
      </c>
      <c r="EU529" s="75">
        <f t="shared" si="2527"/>
        <v>3.2751091703056012E-3</v>
      </c>
      <c r="EV529" s="75">
        <f t="shared" si="2527"/>
        <v>3.2967032967033072E-2</v>
      </c>
      <c r="EW529" s="75">
        <f t="shared" si="2527"/>
        <v>3.8812785388127713E-2</v>
      </c>
      <c r="EX529" s="84">
        <f>+EX528/ES528-1</f>
        <v>1.6841524019878484E-2</v>
      </c>
      <c r="EY529" s="75">
        <f t="shared" ref="EY529" si="2528">+EY528/ET528-1</f>
        <v>-4.1945310130164781E-4</v>
      </c>
      <c r="EZ529" s="75">
        <f t="shared" ref="EZ529" si="2529">+EZ528/EU528-1</f>
        <v>-1.6468500528515118E-2</v>
      </c>
      <c r="FA529" s="75">
        <f t="shared" ref="FA529" si="2530">+FA528/EV528-1</f>
        <v>-2.8644058515766124E-2</v>
      </c>
      <c r="FB529" s="75">
        <f t="shared" ref="FB529" si="2531">+FB528/EW528-1</f>
        <v>-3.9766890836975932E-2</v>
      </c>
      <c r="FC529" s="84">
        <f>+FC528/EX528-1</f>
        <v>-2.1349774039305713E-2</v>
      </c>
      <c r="FD529" s="75">
        <f t="shared" ref="FD529:FI529" si="2532">+FD528/FC528-1</f>
        <v>-1.531041127825461E-2</v>
      </c>
      <c r="FE529" s="75">
        <f t="shared" si="2532"/>
        <v>-1.093090121853757E-2</v>
      </c>
      <c r="FF529" s="75">
        <f t="shared" si="2532"/>
        <v>5.3565356551077414E-3</v>
      </c>
      <c r="FG529" s="75">
        <f t="shared" si="2532"/>
        <v>4.0427719127875683E-3</v>
      </c>
      <c r="FH529" s="75">
        <f t="shared" si="2532"/>
        <v>2.7405683200238951E-3</v>
      </c>
      <c r="FI529" s="75">
        <f t="shared" si="2532"/>
        <v>1.3321336359590763E-3</v>
      </c>
    </row>
    <row r="530" spans="1:166" x14ac:dyDescent="0.3">
      <c r="A530" s="60" t="s">
        <v>44</v>
      </c>
      <c r="DU530" s="519"/>
      <c r="DV530" s="519"/>
      <c r="DW530" s="519"/>
      <c r="DX530" s="519"/>
      <c r="DY530" s="519"/>
      <c r="DZ530" s="381">
        <f>+DZ526-DZ528</f>
        <v>701</v>
      </c>
      <c r="EA530" s="381">
        <f>+EA526-EA528</f>
        <v>715</v>
      </c>
      <c r="EB530" s="381">
        <f>+EB526-EB528</f>
        <v>715</v>
      </c>
      <c r="EC530" s="381">
        <f>+EC526-EC528</f>
        <v>717</v>
      </c>
      <c r="ED530" s="381">
        <f>+SUM(DZ530:EC530)</f>
        <v>2848</v>
      </c>
      <c r="EE530" s="381">
        <f>+EE526-EE528</f>
        <v>706</v>
      </c>
      <c r="EF530" s="381">
        <f>+EF526-EF528</f>
        <v>647</v>
      </c>
      <c r="EG530" s="381">
        <f>+EG526-EG528</f>
        <v>588</v>
      </c>
      <c r="EH530" s="381">
        <f>+EH526-EH528</f>
        <v>585</v>
      </c>
      <c r="EI530" s="381">
        <f>+SUM(EE530:EH530)</f>
        <v>2526</v>
      </c>
      <c r="EJ530" s="381">
        <f>+EJ526-EJ528</f>
        <v>509.00000000000011</v>
      </c>
      <c r="EK530" s="381">
        <f>+EK526-EK528</f>
        <v>536</v>
      </c>
      <c r="EL530" s="381">
        <f>+EL526-EL528</f>
        <v>509</v>
      </c>
      <c r="EM530" s="381">
        <f>+EM526-EM528</f>
        <v>527</v>
      </c>
      <c r="EN530" s="381">
        <f>+SUM(EJ530:EM530)</f>
        <v>2081</v>
      </c>
      <c r="EO530" s="381">
        <f>+EO526-EO528</f>
        <v>520</v>
      </c>
      <c r="EP530" s="381">
        <f>+EP526-EP528</f>
        <v>533</v>
      </c>
      <c r="EQ530" s="381">
        <f>+EQ526-EQ528</f>
        <v>526</v>
      </c>
      <c r="ER530" s="381">
        <f>+ER526-ER528</f>
        <v>549.99999999999989</v>
      </c>
      <c r="ES530" s="381">
        <f>+SUM(EO530:ER530)</f>
        <v>2129</v>
      </c>
      <c r="ET530" s="381">
        <f>+ET526-ET528</f>
        <v>548</v>
      </c>
      <c r="EU530" s="381">
        <f>+EU526-EU528</f>
        <v>561</v>
      </c>
      <c r="EV530" s="381">
        <f>+EV526-EV528</f>
        <v>549</v>
      </c>
      <c r="EW530" s="381">
        <f>+EW526-EW528</f>
        <v>596</v>
      </c>
      <c r="EX530" s="381">
        <f>+SUM(ET530:EW530)</f>
        <v>2254</v>
      </c>
      <c r="EY530" s="381">
        <f t="shared" ref="EY530:FB530" si="2533">+EY526-EY528</f>
        <v>557.00673078298382</v>
      </c>
      <c r="EZ530" s="381">
        <f t="shared" si="2533"/>
        <v>593.66919939607885</v>
      </c>
      <c r="FA530" s="381">
        <f t="shared" si="2533"/>
        <v>600.75639092527183</v>
      </c>
      <c r="FB530" s="381">
        <f t="shared" si="2533"/>
        <v>665.02227580736007</v>
      </c>
      <c r="FC530" s="381">
        <f>+SUM(EY530:FB530)</f>
        <v>2416.4545969116944</v>
      </c>
      <c r="FD530" s="381">
        <f t="shared" ref="FD530:FI530" si="2534">+FD526-FD528</f>
        <v>2677.0130389762598</v>
      </c>
      <c r="FE530" s="381">
        <f t="shared" si="2534"/>
        <v>2993.8763244864958</v>
      </c>
      <c r="FF530" s="381">
        <f t="shared" si="2534"/>
        <v>3272.0038286472327</v>
      </c>
      <c r="FG530" s="381">
        <f t="shared" si="2534"/>
        <v>3533.6794470944578</v>
      </c>
      <c r="FH530" s="381">
        <f t="shared" si="2534"/>
        <v>3778.5031908761971</v>
      </c>
      <c r="FI530" s="381">
        <f t="shared" si="2534"/>
        <v>4001.9646887265139</v>
      </c>
      <c r="FJ530" s="189">
        <f>+(FF530/ES530)^0.2-1</f>
        <v>8.9751883584616055E-2</v>
      </c>
    </row>
    <row r="531" spans="1:166" hidden="1" outlineLevel="1" x14ac:dyDescent="0.3">
      <c r="A531" s="116" t="s">
        <v>481</v>
      </c>
      <c r="DU531" s="121"/>
      <c r="DV531" s="121"/>
      <c r="DW531" s="121"/>
      <c r="DX531" s="121"/>
      <c r="DY531" s="121"/>
      <c r="DZ531" s="85"/>
      <c r="EA531" s="85"/>
      <c r="EB531" s="85"/>
      <c r="EC531" s="85"/>
      <c r="ED531" s="1206"/>
      <c r="EE531" s="85"/>
      <c r="EF531" s="85"/>
      <c r="EG531" s="80"/>
      <c r="EH531" s="80"/>
      <c r="EI531" s="1206" t="e">
        <f>+Analysis!D4958</f>
        <v>#REF!</v>
      </c>
      <c r="EJ531" s="80"/>
      <c r="EK531" s="80"/>
      <c r="EL531" s="80"/>
      <c r="EM531" s="80"/>
      <c r="EN531" s="1206" t="e">
        <f>+Analysis!I4958</f>
        <v>#REF!</v>
      </c>
      <c r="EO531" s="80"/>
      <c r="EP531" s="80"/>
      <c r="EQ531" s="80"/>
      <c r="ER531" s="80"/>
      <c r="ES531" s="1206" t="e">
        <f>+Analysis!N4958</f>
        <v>#REF!</v>
      </c>
      <c r="ET531" s="80"/>
      <c r="EU531" s="80"/>
      <c r="EV531" s="80"/>
      <c r="EW531" s="80"/>
      <c r="EX531" s="1206">
        <f>+Analysis!S4958</f>
        <v>0</v>
      </c>
      <c r="EY531" s="80"/>
      <c r="EZ531" s="80"/>
      <c r="FA531" s="80"/>
      <c r="FB531" s="80"/>
      <c r="FC531" s="1206">
        <f>+Analysis!X4958</f>
        <v>0</v>
      </c>
      <c r="FD531" s="80" t="e">
        <f>+Analysis!I4958</f>
        <v>#REF!</v>
      </c>
      <c r="FE531" s="80" t="e">
        <f>+Analysis!J4958</f>
        <v>#REF!</v>
      </c>
      <c r="FF531" s="80" t="e">
        <f>+Analysis!K4958</f>
        <v>#REF!</v>
      </c>
      <c r="FG531" s="80" t="e">
        <f>+Analysis!L4958</f>
        <v>#REF!</v>
      </c>
      <c r="FH531" s="80" t="e">
        <f>+Analysis!M4958</f>
        <v>#REF!</v>
      </c>
      <c r="FI531" s="80" t="e">
        <f>+Analysis!N4958</f>
        <v>#REF!</v>
      </c>
      <c r="FJ531" s="189"/>
    </row>
    <row r="532" spans="1:166" hidden="1" outlineLevel="1" x14ac:dyDescent="0.3">
      <c r="A532" s="116" t="s">
        <v>482</v>
      </c>
      <c r="DU532" s="121"/>
      <c r="DV532" s="121"/>
      <c r="DW532" s="121"/>
      <c r="DX532" s="121"/>
      <c r="DY532" s="121"/>
      <c r="DZ532" s="85"/>
      <c r="EA532" s="85"/>
      <c r="EB532" s="85"/>
      <c r="EC532" s="85"/>
      <c r="ED532" s="85"/>
      <c r="EE532" s="85"/>
      <c r="EF532" s="85"/>
      <c r="EG532" s="85"/>
      <c r="EH532" s="85"/>
      <c r="EI532" s="86" t="e">
        <f>+EI530-EI531</f>
        <v>#REF!</v>
      </c>
      <c r="EJ532" s="85"/>
      <c r="EK532" s="85"/>
      <c r="EL532" s="85"/>
      <c r="EM532" s="85"/>
      <c r="EN532" s="86" t="e">
        <f>+EN530-EN531</f>
        <v>#REF!</v>
      </c>
      <c r="EO532" s="85"/>
      <c r="EP532" s="85"/>
      <c r="EQ532" s="85"/>
      <c r="ER532" s="85"/>
      <c r="ES532" s="86" t="e">
        <f>+ES530-ES531</f>
        <v>#REF!</v>
      </c>
      <c r="ET532" s="85"/>
      <c r="EU532" s="85"/>
      <c r="EV532" s="85"/>
      <c r="EW532" s="85"/>
      <c r="EX532" s="86">
        <f>+EX530-EX531</f>
        <v>2254</v>
      </c>
      <c r="EY532" s="85"/>
      <c r="EZ532" s="85"/>
      <c r="FA532" s="85"/>
      <c r="FB532" s="85"/>
      <c r="FC532" s="86">
        <f>+FC530-FC531</f>
        <v>2416.4545969116944</v>
      </c>
      <c r="FD532" s="77" t="e">
        <f t="shared" ref="FD532:FI532" si="2535">+FD530-FD531</f>
        <v>#REF!</v>
      </c>
      <c r="FE532" s="77" t="e">
        <f t="shared" si="2535"/>
        <v>#REF!</v>
      </c>
      <c r="FF532" s="77" t="e">
        <f t="shared" si="2535"/>
        <v>#REF!</v>
      </c>
      <c r="FG532" s="77" t="e">
        <f t="shared" si="2535"/>
        <v>#REF!</v>
      </c>
      <c r="FH532" s="77" t="e">
        <f t="shared" si="2535"/>
        <v>#REF!</v>
      </c>
      <c r="FI532" s="77" t="e">
        <f t="shared" si="2535"/>
        <v>#REF!</v>
      </c>
      <c r="FJ532" s="189"/>
    </row>
    <row r="533" spans="1:166" collapsed="1" x14ac:dyDescent="0.3">
      <c r="A533" s="116" t="s">
        <v>483</v>
      </c>
      <c r="DU533" s="126"/>
      <c r="DV533" s="126"/>
      <c r="DW533" s="126"/>
      <c r="DX533" s="126"/>
      <c r="DY533" s="127"/>
      <c r="DZ533" s="75">
        <f t="shared" ref="DZ533:EI533" si="2536">+DZ530/DZ526</f>
        <v>0.39183901621017331</v>
      </c>
      <c r="EA533" s="75">
        <f t="shared" si="2536"/>
        <v>0.40763968072976053</v>
      </c>
      <c r="EB533" s="75">
        <f t="shared" si="2536"/>
        <v>0.4140127388535032</v>
      </c>
      <c r="EC533" s="75">
        <f t="shared" si="2536"/>
        <v>0.42275943396226418</v>
      </c>
      <c r="ED533" s="84">
        <f t="shared" si="2536"/>
        <v>0.40884295147861038</v>
      </c>
      <c r="EE533" s="75">
        <f>+EE530/EE526</f>
        <v>0.42149253731343284</v>
      </c>
      <c r="EF533" s="75">
        <f>+EF530/EF526</f>
        <v>0.40012368583797153</v>
      </c>
      <c r="EG533" s="75">
        <f t="shared" si="2536"/>
        <v>0.37309644670050762</v>
      </c>
      <c r="EH533" s="75">
        <f t="shared" ref="EH533:EJ533" si="2537">+EH530/EH526</f>
        <v>0.37913156189241737</v>
      </c>
      <c r="EI533" s="84">
        <f t="shared" si="2536"/>
        <v>0.39401029480580252</v>
      </c>
      <c r="EJ533" s="75">
        <f t="shared" si="2537"/>
        <v>0.35176226675881139</v>
      </c>
      <c r="EK533" s="75">
        <f t="shared" ref="EK533" si="2538">+EK530/EK526</f>
        <v>0.36737491432488006</v>
      </c>
      <c r="EL533" s="75">
        <f t="shared" ref="EL533:EM533" si="2539">+EL530/EL526</f>
        <v>0.35249307479224379</v>
      </c>
      <c r="EM533" s="75">
        <f t="shared" si="2539"/>
        <v>0.36673625608907445</v>
      </c>
      <c r="EN533" s="84">
        <f>+EN530/EN526</f>
        <v>0.35959910143424917</v>
      </c>
      <c r="EO533" s="75">
        <f t="shared" ref="EO533:EP533" si="2540">+EO530/EO526</f>
        <v>0.3611111111111111</v>
      </c>
      <c r="EP533" s="75">
        <f t="shared" si="2540"/>
        <v>0.36783988957902003</v>
      </c>
      <c r="EQ533" s="75">
        <f t="shared" ref="EQ533:ER533" si="2541">+EQ530/EQ526</f>
        <v>0.36629526462395545</v>
      </c>
      <c r="ER533" s="75">
        <f t="shared" si="2541"/>
        <v>0.38569424964936877</v>
      </c>
      <c r="ES533" s="84">
        <f>+ES530/ES526</f>
        <v>0.37019648756737961</v>
      </c>
      <c r="ET533" s="75">
        <f t="shared" ref="ET533:EU533" si="2542">+ET530/ET526</f>
        <v>0.37482900136798908</v>
      </c>
      <c r="EU533" s="75">
        <f t="shared" si="2542"/>
        <v>0.37905405405405407</v>
      </c>
      <c r="EV533" s="75">
        <f t="shared" ref="EV533:EW533" si="2543">+EV530/EV526</f>
        <v>0.36870382807253188</v>
      </c>
      <c r="EW533" s="75">
        <f t="shared" si="2543"/>
        <v>0.39575033200531207</v>
      </c>
      <c r="EX533" s="84">
        <f>+EX530/EX526</f>
        <v>0.3796530234124979</v>
      </c>
      <c r="EY533" s="75">
        <f t="shared" ref="EY533:FB533" si="2544">+EY530/EY526</f>
        <v>0.37875553284081948</v>
      </c>
      <c r="EZ533" s="75">
        <f t="shared" si="2544"/>
        <v>0.39643102777133549</v>
      </c>
      <c r="FA533" s="75">
        <f t="shared" si="2544"/>
        <v>0.39684509068787888</v>
      </c>
      <c r="FB533" s="75">
        <f t="shared" si="2544"/>
        <v>0.4321597395948456</v>
      </c>
      <c r="FC533" s="84">
        <f>+FC530/FC526</f>
        <v>0.40134952393552903</v>
      </c>
      <c r="FD533" s="75">
        <f t="shared" ref="FD533:FH533" si="2545">+FD530/FD526</f>
        <v>0.42995954742813158</v>
      </c>
      <c r="FE533" s="75">
        <f t="shared" si="2545"/>
        <v>0.46029433697033256</v>
      </c>
      <c r="FF533" s="75">
        <f t="shared" si="2545"/>
        <v>0.48109241937071534</v>
      </c>
      <c r="FG533" s="75">
        <f t="shared" si="2545"/>
        <v>0.49930901295321539</v>
      </c>
      <c r="FH533" s="75">
        <f t="shared" si="2545"/>
        <v>0.51536703772972714</v>
      </c>
      <c r="FI533" s="75">
        <f>+FI530/FI526</f>
        <v>0.5293695849010186</v>
      </c>
    </row>
    <row r="534" spans="1:166" x14ac:dyDescent="0.3">
      <c r="A534" s="72" t="s">
        <v>387</v>
      </c>
      <c r="DZ534" s="75"/>
      <c r="EA534" s="75"/>
      <c r="EB534" s="75"/>
      <c r="EC534" s="75"/>
      <c r="ED534" s="84"/>
      <c r="EE534" s="75">
        <f t="shared" ref="EE534:EW534" si="2546">+EE530/DZ530-1</f>
        <v>7.132667617689048E-3</v>
      </c>
      <c r="EF534" s="75">
        <f t="shared" si="2546"/>
        <v>-9.510489510489506E-2</v>
      </c>
      <c r="EG534" s="75">
        <f t="shared" si="2546"/>
        <v>-0.17762237762237765</v>
      </c>
      <c r="EH534" s="75">
        <f t="shared" si="2546"/>
        <v>-0.18410041841004188</v>
      </c>
      <c r="EI534" s="84">
        <f t="shared" si="2546"/>
        <v>-0.113061797752809</v>
      </c>
      <c r="EJ534" s="75">
        <f t="shared" si="2546"/>
        <v>-0.2790368271954673</v>
      </c>
      <c r="EK534" s="75">
        <f t="shared" si="2546"/>
        <v>-0.17156105100463681</v>
      </c>
      <c r="EL534" s="75">
        <f t="shared" si="2546"/>
        <v>-0.13435374149659862</v>
      </c>
      <c r="EM534" s="75">
        <f t="shared" si="2546"/>
        <v>-9.9145299145299126E-2</v>
      </c>
      <c r="EN534" s="84">
        <f>+EN530/EI530-1</f>
        <v>-0.17616785431512272</v>
      </c>
      <c r="EO534" s="75">
        <f t="shared" si="2546"/>
        <v>2.1611001964636278E-2</v>
      </c>
      <c r="EP534" s="75">
        <f t="shared" si="2546"/>
        <v>-5.5970149253731227E-3</v>
      </c>
      <c r="EQ534" s="75">
        <f t="shared" si="2546"/>
        <v>3.3398821218074692E-2</v>
      </c>
      <c r="ER534" s="75">
        <f t="shared" si="2546"/>
        <v>4.364326375711558E-2</v>
      </c>
      <c r="ES534" s="84">
        <f>+ES530/EN530-1</f>
        <v>2.3065833733781904E-2</v>
      </c>
      <c r="ET534" s="75">
        <f t="shared" si="2546"/>
        <v>5.3846153846153877E-2</v>
      </c>
      <c r="EU534" s="75">
        <f t="shared" si="2546"/>
        <v>5.2532833020637826E-2</v>
      </c>
      <c r="EV534" s="75">
        <f t="shared" si="2546"/>
        <v>4.3726235741444963E-2</v>
      </c>
      <c r="EW534" s="75">
        <f t="shared" si="2546"/>
        <v>8.3636363636363953E-2</v>
      </c>
      <c r="EX534" s="84">
        <f>+EX530/ES530-1</f>
        <v>5.871301080319391E-2</v>
      </c>
      <c r="EY534" s="75">
        <f t="shared" ref="EY534" si="2547">+EY530/ET530-1</f>
        <v>1.6435640114933925E-2</v>
      </c>
      <c r="EZ534" s="75">
        <f t="shared" ref="EZ534" si="2548">+EZ530/EU530-1</f>
        <v>5.8233867016183272E-2</v>
      </c>
      <c r="FA534" s="75">
        <f t="shared" ref="FA534" si="2549">+FA530/EV530-1</f>
        <v>9.4273936111606282E-2</v>
      </c>
      <c r="FB534" s="75">
        <f t="shared" ref="FB534" si="2550">+FB530/EW530-1</f>
        <v>0.1158091875962417</v>
      </c>
      <c r="FC534" s="84">
        <f>+FC530/EX530-1</f>
        <v>7.2073911673333768E-2</v>
      </c>
      <c r="FD534" s="75">
        <f t="shared" ref="FD534:FI534" si="2551">+FD530/FC530-1</f>
        <v>0.10782674849242668</v>
      </c>
      <c r="FE534" s="75">
        <f t="shared" si="2551"/>
        <v>0.11836449090715306</v>
      </c>
      <c r="FF534" s="75">
        <f t="shared" si="2551"/>
        <v>9.2898795413147495E-2</v>
      </c>
      <c r="FG534" s="75">
        <f t="shared" si="2551"/>
        <v>7.997411743720706E-2</v>
      </c>
      <c r="FH534" s="75">
        <f t="shared" si="2551"/>
        <v>6.9282952075079729E-2</v>
      </c>
      <c r="FI534" s="75">
        <f t="shared" si="2551"/>
        <v>5.914021679005077E-2</v>
      </c>
    </row>
    <row r="535" spans="1:166" x14ac:dyDescent="0.3">
      <c r="A535" s="113" t="s">
        <v>484</v>
      </c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114"/>
      <c r="AJ535" s="114"/>
      <c r="AK535" s="114"/>
      <c r="AL535" s="114"/>
      <c r="AM535" s="114"/>
      <c r="AN535" s="114"/>
      <c r="AO535" s="114"/>
      <c r="AP535" s="114"/>
      <c r="AQ535" s="114"/>
      <c r="AR535" s="114"/>
      <c r="AS535" s="114"/>
      <c r="AT535" s="114"/>
      <c r="AU535" s="114"/>
      <c r="AV535" s="114"/>
      <c r="AW535" s="114"/>
      <c r="AX535" s="114"/>
      <c r="AY535" s="114"/>
      <c r="AZ535" s="114"/>
      <c r="BA535" s="114"/>
      <c r="BB535" s="114"/>
      <c r="BC535" s="114"/>
      <c r="BD535" s="114"/>
      <c r="BE535" s="114"/>
      <c r="BF535" s="114"/>
      <c r="BG535" s="114"/>
      <c r="BH535" s="114"/>
      <c r="BI535" s="114"/>
      <c r="BJ535" s="114"/>
      <c r="BK535" s="114"/>
      <c r="BL535" s="114"/>
      <c r="BM535" s="114"/>
      <c r="BN535" s="114"/>
      <c r="BO535" s="114"/>
      <c r="BP535" s="114"/>
      <c r="BQ535" s="114"/>
      <c r="BR535" s="114"/>
      <c r="BS535" s="114"/>
      <c r="BT535" s="114"/>
      <c r="BU535" s="114"/>
      <c r="BV535" s="114"/>
      <c r="BW535" s="114"/>
      <c r="BX535" s="114"/>
      <c r="BY535" s="114"/>
      <c r="BZ535" s="114"/>
      <c r="CA535" s="114"/>
      <c r="CB535" s="114"/>
      <c r="CC535" s="114"/>
      <c r="CD535" s="114"/>
      <c r="CE535" s="114"/>
      <c r="CF535" s="114"/>
      <c r="CG535" s="114"/>
      <c r="CH535" s="114"/>
      <c r="CI535" s="114"/>
      <c r="CJ535" s="114"/>
      <c r="CK535" s="114"/>
      <c r="CL535" s="114"/>
      <c r="CM535" s="114"/>
      <c r="CN535" s="114"/>
      <c r="CO535" s="114"/>
      <c r="CP535" s="114"/>
      <c r="CQ535" s="114"/>
      <c r="CR535" s="114"/>
      <c r="CS535" s="114"/>
      <c r="CT535" s="114"/>
      <c r="CU535" s="114"/>
      <c r="CV535" s="114"/>
      <c r="CW535" s="114"/>
      <c r="CX535" s="114"/>
      <c r="CY535" s="114"/>
      <c r="CZ535" s="114"/>
      <c r="DA535" s="114"/>
      <c r="DB535" s="114"/>
      <c r="DC535" s="114"/>
      <c r="DD535" s="114"/>
      <c r="DE535" s="114"/>
      <c r="DF535" s="114"/>
      <c r="DG535" s="114"/>
      <c r="DH535" s="114"/>
      <c r="DI535" s="114"/>
      <c r="DJ535" s="114"/>
      <c r="DK535" s="114"/>
      <c r="DL535" s="114"/>
      <c r="DM535" s="114"/>
      <c r="DN535" s="114"/>
      <c r="DO535" s="114"/>
      <c r="DP535" s="114"/>
      <c r="DQ535" s="114"/>
      <c r="DR535" s="114"/>
      <c r="DS535" s="114"/>
      <c r="DT535" s="114"/>
      <c r="DU535" s="114"/>
      <c r="DV535" s="114"/>
      <c r="DW535" s="114"/>
      <c r="DX535" s="114"/>
      <c r="DY535" s="522"/>
      <c r="DZ535" s="115"/>
      <c r="EA535" s="115"/>
      <c r="EB535" s="115"/>
      <c r="EC535" s="115"/>
      <c r="ED535" s="117"/>
      <c r="EE535" s="115">
        <f t="shared" ref="EE535:EW535" si="2552">+(EE530-DZ530)/(EE526-DZ526)</f>
        <v>-4.3859649122807015E-2</v>
      </c>
      <c r="EF535" s="115">
        <f t="shared" si="2552"/>
        <v>0.49635036496350365</v>
      </c>
      <c r="EG535" s="115">
        <f t="shared" si="2552"/>
        <v>0.84105960264900659</v>
      </c>
      <c r="EH535" s="115">
        <f t="shared" si="2552"/>
        <v>0.86274509803921573</v>
      </c>
      <c r="EI535" s="117">
        <f t="shared" si="2552"/>
        <v>0.58018018018018014</v>
      </c>
      <c r="EJ535" s="115">
        <f t="shared" si="2552"/>
        <v>0.86403508771929771</v>
      </c>
      <c r="EK535" s="115">
        <f t="shared" si="2552"/>
        <v>0.70253164556962022</v>
      </c>
      <c r="EL535" s="115">
        <f t="shared" si="2552"/>
        <v>0.59848484848484851</v>
      </c>
      <c r="EM535" s="115">
        <f t="shared" si="2552"/>
        <v>0.54716981132075471</v>
      </c>
      <c r="EN535" s="117">
        <f>+(EN530-EI530)/(EN526-EI526)</f>
        <v>0.71314102564102566</v>
      </c>
      <c r="EO535" s="115">
        <f t="shared" si="2552"/>
        <v>-1.5714285714285552</v>
      </c>
      <c r="EP535" s="115">
        <f t="shared" si="2552"/>
        <v>0.3</v>
      </c>
      <c r="EQ535" s="115">
        <f t="shared" si="2552"/>
        <v>-2.125</v>
      </c>
      <c r="ER535" s="115">
        <f t="shared" si="2552"/>
        <v>-2.0909090909090806</v>
      </c>
      <c r="ES535" s="117">
        <f>+(ES530-EN530)/(ES526-EN526)</f>
        <v>-1.3333333333333333</v>
      </c>
      <c r="ET535" s="115">
        <f t="shared" si="2552"/>
        <v>1.2727272727272727</v>
      </c>
      <c r="EU535" s="115">
        <f t="shared" si="2552"/>
        <v>0.90322580645161288</v>
      </c>
      <c r="EV535" s="115">
        <f t="shared" si="2552"/>
        <v>0.43396226415094341</v>
      </c>
      <c r="EW535" s="115">
        <f t="shared" si="2552"/>
        <v>0.5750000000000014</v>
      </c>
      <c r="EX535" s="117">
        <f>+(EX530-ES530)/(EX526-ES526)</f>
        <v>0.67204301075268813</v>
      </c>
      <c r="EY535" s="115">
        <f t="shared" ref="EY535" si="2553">+(EY530-ET530)/(EY526-ET526)</f>
        <v>1.0444583724148038</v>
      </c>
      <c r="EZ535" s="115">
        <f t="shared" ref="EZ535" si="2554">+(EZ530-EU530)/(EZ526-EU526)</f>
        <v>1.8631226868440898</v>
      </c>
      <c r="FA535" s="115">
        <f t="shared" ref="FA535" si="2555">+(FA530-EV530)/(FA526-EV526)</f>
        <v>2.0843478359883307</v>
      </c>
      <c r="FB535" s="115">
        <f t="shared" ref="FB535" si="2556">+(FB530-EW530)/(FB526-EW526)</f>
        <v>2.1021326715393216</v>
      </c>
      <c r="FC535" s="117">
        <f>+(FC530-EX530)/(FC526-EX526)</f>
        <v>1.938058315086179</v>
      </c>
      <c r="FD535" s="115">
        <f t="shared" ref="FD535:FI535" si="2557">+(FD530-FC530)/(FD526-FC526)</f>
        <v>1.2687017279448727</v>
      </c>
      <c r="FE535" s="115">
        <f t="shared" si="2557"/>
        <v>1.1395193039639604</v>
      </c>
      <c r="FF535" s="115">
        <f t="shared" si="2557"/>
        <v>0.93667377198839541</v>
      </c>
      <c r="FG535" s="115">
        <f t="shared" si="2557"/>
        <v>0.94829475122909213</v>
      </c>
      <c r="FH535" s="115">
        <f t="shared" si="2557"/>
        <v>0.96184768280202737</v>
      </c>
      <c r="FI535" s="115">
        <f t="shared" si="2557"/>
        <v>0.97925764026959394</v>
      </c>
    </row>
    <row r="536" spans="1:166" x14ac:dyDescent="0.3">
      <c r="ET536" s="90"/>
      <c r="EU536" s="90"/>
      <c r="EV536" s="90"/>
      <c r="EW536" s="90"/>
      <c r="EY536" s="90"/>
      <c r="EZ536" s="90"/>
      <c r="FA536" s="90"/>
      <c r="FB536" s="90"/>
    </row>
    <row r="537" spans="1:166" x14ac:dyDescent="0.3">
      <c r="ET537" s="90"/>
      <c r="EU537" s="90"/>
      <c r="EV537" s="90"/>
      <c r="EW537" s="90"/>
      <c r="EY537" s="90"/>
      <c r="EZ537" s="90"/>
      <c r="FA537" s="90"/>
      <c r="FB537" s="90"/>
    </row>
    <row r="538" spans="1:166" x14ac:dyDescent="0.3">
      <c r="ET538" s="90"/>
      <c r="EU538" s="90"/>
      <c r="EV538" s="90"/>
      <c r="EW538" s="90"/>
      <c r="EY538" s="90"/>
      <c r="EZ538" s="90"/>
      <c r="FA538" s="90"/>
      <c r="FB538" s="90"/>
    </row>
    <row r="539" spans="1:166" x14ac:dyDescent="0.3">
      <c r="A539" s="105" t="s">
        <v>485</v>
      </c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  <c r="AA539" s="105"/>
      <c r="AB539" s="105"/>
      <c r="AC539" s="105"/>
      <c r="AD539" s="105"/>
      <c r="AE539" s="105"/>
      <c r="AF539" s="105"/>
      <c r="AG539" s="105"/>
      <c r="AH539" s="105"/>
      <c r="AI539" s="105"/>
      <c r="AJ539" s="105"/>
      <c r="AK539" s="105"/>
      <c r="AL539" s="105"/>
      <c r="AM539" s="105"/>
      <c r="AN539" s="105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  <c r="BY539" s="105"/>
      <c r="BZ539" s="105"/>
      <c r="CA539" s="105"/>
      <c r="CB539" s="105"/>
      <c r="CC539" s="105"/>
      <c r="CD539" s="105"/>
      <c r="CE539" s="105"/>
      <c r="CF539" s="105"/>
      <c r="CG539" s="105"/>
      <c r="CH539" s="105"/>
      <c r="CI539" s="105"/>
      <c r="CJ539" s="105"/>
      <c r="CK539" s="105"/>
      <c r="CL539" s="105"/>
      <c r="CM539" s="105"/>
      <c r="CN539" s="105"/>
      <c r="CO539" s="105"/>
      <c r="CP539" s="105"/>
      <c r="CQ539" s="105"/>
      <c r="CR539" s="105"/>
      <c r="CS539" s="105"/>
      <c r="CT539" s="105"/>
      <c r="CU539" s="105"/>
      <c r="CV539" s="105"/>
      <c r="CW539" s="105"/>
      <c r="CX539" s="105"/>
      <c r="CY539" s="105"/>
      <c r="CZ539" s="105"/>
      <c r="DA539" s="105"/>
      <c r="DB539" s="105"/>
      <c r="DC539" s="105"/>
      <c r="DD539" s="105"/>
      <c r="DE539" s="105"/>
      <c r="DF539" s="105"/>
      <c r="DG539" s="105"/>
      <c r="DH539" s="105"/>
      <c r="DI539" s="105"/>
      <c r="DJ539" s="105"/>
      <c r="DK539" s="105"/>
      <c r="DL539" s="105"/>
      <c r="DM539" s="105"/>
      <c r="DN539" s="105"/>
      <c r="DO539" s="105"/>
      <c r="DP539" s="105"/>
      <c r="DQ539" s="105"/>
      <c r="DR539" s="105"/>
      <c r="DS539" s="105"/>
      <c r="DT539" s="105"/>
      <c r="DU539" s="105"/>
      <c r="DV539" s="105"/>
      <c r="DW539" s="105"/>
      <c r="DX539" s="105"/>
      <c r="DY539" s="105"/>
      <c r="DZ539" s="105"/>
      <c r="EA539" s="105"/>
      <c r="EB539" s="105"/>
      <c r="EC539" s="105"/>
      <c r="ED539" s="105"/>
      <c r="EE539" s="105"/>
      <c r="EF539" s="105"/>
      <c r="EG539" s="105"/>
      <c r="EH539" s="105"/>
      <c r="EI539" s="105"/>
      <c r="EJ539" s="105"/>
      <c r="EK539" s="105"/>
      <c r="EL539" s="105"/>
      <c r="EM539" s="105"/>
      <c r="EN539" s="105"/>
      <c r="EO539" s="105"/>
      <c r="EP539" s="105"/>
      <c r="EQ539" s="105"/>
      <c r="ER539" s="105"/>
      <c r="ES539" s="105"/>
      <c r="ET539" s="105"/>
      <c r="EU539" s="105"/>
      <c r="EV539" s="105"/>
      <c r="EW539" s="105"/>
      <c r="EX539" s="105"/>
      <c r="EY539" s="105"/>
      <c r="EZ539" s="105"/>
      <c r="FA539" s="105"/>
      <c r="FB539" s="105"/>
      <c r="FC539" s="105"/>
      <c r="FD539" s="105"/>
      <c r="FE539" s="105"/>
      <c r="FF539" s="105"/>
      <c r="FG539" s="105"/>
      <c r="FH539" s="105"/>
      <c r="FI539" s="105"/>
      <c r="FJ539" s="105"/>
    </row>
    <row r="540" spans="1:166" x14ac:dyDescent="0.3">
      <c r="A540" s="60" t="s">
        <v>486</v>
      </c>
      <c r="DU540" s="85">
        <f>+DU542*DU543/1000</f>
        <v>0</v>
      </c>
      <c r="DV540" s="85">
        <f>+DV542*DV543/1000</f>
        <v>0</v>
      </c>
      <c r="DW540" s="85">
        <f>+DW542*DW543/1000</f>
        <v>0</v>
      </c>
      <c r="DX540" s="85">
        <f>+DX542*DX543/1000</f>
        <v>0</v>
      </c>
      <c r="DY540" s="85">
        <f>+SUM(DU540:DX540)</f>
        <v>0</v>
      </c>
      <c r="DZ540" s="85">
        <f>+DZ542*DZ543/1000</f>
        <v>7.4249999999999998</v>
      </c>
      <c r="EA540" s="85">
        <f>+EA542*EA543/1000</f>
        <v>6.6</v>
      </c>
      <c r="EB540" s="85">
        <f>+EB542*EB543/1000</f>
        <v>7.4249999999999998</v>
      </c>
      <c r="EC540" s="85">
        <f>+EC542*EC543/1000</f>
        <v>49.5</v>
      </c>
      <c r="ED540" s="85">
        <f>+SUM(DZ540:EC540)</f>
        <v>70.95</v>
      </c>
      <c r="EE540" s="85">
        <f>+EE542*EE543/1000</f>
        <v>57.2</v>
      </c>
      <c r="EF540" s="85">
        <f>+EF542*EF543/1000</f>
        <v>86.35</v>
      </c>
      <c r="EG540" s="85">
        <f t="shared" ref="EG540:FI540" si="2558">+EG542*EG543/1000</f>
        <v>101.75</v>
      </c>
      <c r="EH540" s="85">
        <f t="shared" si="2558"/>
        <v>105.6</v>
      </c>
      <c r="EI540" s="132">
        <f>SUM(EE540:EH540)</f>
        <v>350.9</v>
      </c>
      <c r="EJ540" s="85">
        <f>+EJ542*EJ543/1000</f>
        <v>200.45</v>
      </c>
      <c r="EK540" s="85">
        <f>+EK542*EK543/1000</f>
        <v>266.95</v>
      </c>
      <c r="EL540" s="85">
        <f>+EL542*EL543/1000</f>
        <v>333.45</v>
      </c>
      <c r="EM540" s="85">
        <f>+EM542*EM543/1000</f>
        <v>381</v>
      </c>
      <c r="EN540" s="132">
        <f>SUM(EJ540:EM540)</f>
        <v>1181.8499999999999</v>
      </c>
      <c r="EO540" s="85">
        <f t="shared" ref="EO540:ER540" si="2559">+EO542*EO543/1000</f>
        <v>339</v>
      </c>
      <c r="EP540" s="85">
        <f t="shared" si="2559"/>
        <v>347.6</v>
      </c>
      <c r="EQ540" s="85">
        <f t="shared" si="2559"/>
        <v>365.2</v>
      </c>
      <c r="ER540" s="85">
        <f t="shared" si="2559"/>
        <v>366.3</v>
      </c>
      <c r="ES540" s="132">
        <f>SUM(EO540:ER540)</f>
        <v>1418.1</v>
      </c>
      <c r="ET540" s="85">
        <f t="shared" ref="ET540:EW540" si="2560">+ET542*ET543/1000</f>
        <v>346.15</v>
      </c>
      <c r="EU540" s="85">
        <f t="shared" si="2560"/>
        <v>417.1</v>
      </c>
      <c r="EV540" s="85">
        <f t="shared" si="2560"/>
        <v>409.57499999999999</v>
      </c>
      <c r="EW540" s="85">
        <f t="shared" si="2560"/>
        <v>259.07499999999999</v>
      </c>
      <c r="EX540" s="132">
        <f>SUM(ET540:EW540)</f>
        <v>1431.9</v>
      </c>
      <c r="EY540" s="85">
        <f t="shared" ref="EY540:FB540" si="2561">+EY542*EY543/1000</f>
        <v>337.83408408408383</v>
      </c>
      <c r="EZ540" s="85">
        <f t="shared" si="2561"/>
        <v>407.0795795795807</v>
      </c>
      <c r="FA540" s="85">
        <f t="shared" si="2561"/>
        <v>399.73536036035887</v>
      </c>
      <c r="FB540" s="85">
        <f t="shared" si="2561"/>
        <v>252.85097597597658</v>
      </c>
      <c r="FC540" s="132">
        <f>SUM(EY540:FB540)</f>
        <v>1397.4999999999998</v>
      </c>
      <c r="FD540" s="85">
        <f t="shared" si="2558"/>
        <v>967.5</v>
      </c>
      <c r="FE540" s="85">
        <f t="shared" si="2558"/>
        <v>100.22999999999956</v>
      </c>
      <c r="FF540" s="85">
        <f t="shared" si="2558"/>
        <v>101.23229999999967</v>
      </c>
      <c r="FG540" s="85">
        <f t="shared" si="2558"/>
        <v>102.24462299999868</v>
      </c>
      <c r="FH540" s="85">
        <f t="shared" si="2558"/>
        <v>103.26706923000165</v>
      </c>
      <c r="FI540" s="85">
        <f t="shared" si="2558"/>
        <v>104.29973992229861</v>
      </c>
      <c r="FJ540" s="189">
        <f>+(FF540/ES540)^0.2-1</f>
        <v>-0.41017598728725324</v>
      </c>
    </row>
    <row r="541" spans="1:166" x14ac:dyDescent="0.3">
      <c r="A541" s="70" t="s">
        <v>487</v>
      </c>
      <c r="DU541" s="136">
        <f>+DU540/DU$180/3*1000</f>
        <v>0</v>
      </c>
      <c r="DV541" s="136">
        <f>+DV540/DV$180/3*1000</f>
        <v>0</v>
      </c>
      <c r="DW541" s="136">
        <f>+DW540/DW$180/3*1000</f>
        <v>0</v>
      </c>
      <c r="DX541" s="136">
        <f>+DX540/DX$180/3*1000</f>
        <v>0</v>
      </c>
      <c r="DY541" s="137">
        <f>+DY540/DY$180/12*1000</f>
        <v>0</v>
      </c>
      <c r="DZ541" s="136">
        <f>+DZ540/DZ$180/3*1000</f>
        <v>2.045454545454545</v>
      </c>
      <c r="EA541" s="136">
        <f>+EA540/EA$180/3*1000</f>
        <v>1.8047579983593107</v>
      </c>
      <c r="EB541" s="136">
        <f>+EB540/EB$180/3*1000</f>
        <v>2.0187601957585644</v>
      </c>
      <c r="EC541" s="136">
        <f>+EC540/EC$180/3*1000</f>
        <v>13.376570733684638</v>
      </c>
      <c r="ED541" s="137">
        <f>+ED540/ED$180/12*1000</f>
        <v>4.8378848317479806</v>
      </c>
      <c r="EE541" s="136">
        <f>+EE540/EE$180/3*1000</f>
        <v>15.320744609615641</v>
      </c>
      <c r="EF541" s="136">
        <f>+EF540/EF$180/3*1000</f>
        <v>22.898435428268364</v>
      </c>
      <c r="EG541" s="136">
        <f>+EG540/EG$180/3*1000</f>
        <v>26.549249836921071</v>
      </c>
      <c r="EH541" s="136">
        <f>+EH540/EH$180/3*1000</f>
        <v>26.788432267884325</v>
      </c>
      <c r="EI541" s="137">
        <f>+EI540/EI$180/12*1000</f>
        <v>22.96616270698344</v>
      </c>
      <c r="EJ541" s="136">
        <f>+EJ540/EJ$180/3*1000</f>
        <v>49.057758198727356</v>
      </c>
      <c r="EK541" s="136">
        <f>+EK540/EK$180/3*1000</f>
        <v>62.974758197688132</v>
      </c>
      <c r="EL541" s="136">
        <f>+EL540/EL$180/3*1000</f>
        <v>75.612244897959187</v>
      </c>
      <c r="EM541" s="136">
        <f>+EM540/EM$180/3*1000</f>
        <v>82.547936301592458</v>
      </c>
      <c r="EN541" s="137">
        <f>+EN540/EN$180/12*1000</f>
        <v>68.116192616927464</v>
      </c>
      <c r="EO541" s="136">
        <f t="shared" ref="EO541:ER541" si="2562">+EO540/EO$180/3*1000</f>
        <v>69.882498453927028</v>
      </c>
      <c r="EP541" s="136">
        <f t="shared" si="2562"/>
        <v>68.539879720003952</v>
      </c>
      <c r="EQ541" s="136">
        <f t="shared" si="2562"/>
        <v>69.186321871743871</v>
      </c>
      <c r="ER541" s="136">
        <f t="shared" si="2562"/>
        <v>66.448979591836732</v>
      </c>
      <c r="ES541" s="137">
        <f>+ES540/ES$180/12*1000</f>
        <v>68.462596857122165</v>
      </c>
      <c r="ET541" s="136">
        <f t="shared" ref="ET541:EW541" si="2563">+ET540/ET$180/3*1000</f>
        <v>60.079840319361274</v>
      </c>
      <c r="EU541" s="136">
        <f t="shared" si="2563"/>
        <v>69.239707835325362</v>
      </c>
      <c r="EV541" s="136">
        <f t="shared" si="2563"/>
        <v>64.85748218527317</v>
      </c>
      <c r="EW541" s="136">
        <f t="shared" si="2563"/>
        <v>39.200332879406865</v>
      </c>
      <c r="EX541" s="137">
        <f>+EX540/EX$180/12*1000</f>
        <v>57.949371699144052</v>
      </c>
      <c r="EY541" s="136">
        <f t="shared" ref="EY541:FB541" si="2564">+EY540/EY$180/3*1000</f>
        <v>48.900954432218555</v>
      </c>
      <c r="EZ541" s="136">
        <f t="shared" si="2564"/>
        <v>56.300556954044225</v>
      </c>
      <c r="FA541" s="136">
        <f t="shared" si="2564"/>
        <v>52.832192738639492</v>
      </c>
      <c r="FB541" s="136">
        <f t="shared" si="2564"/>
        <v>31.909284407841909</v>
      </c>
      <c r="FC541" s="137">
        <f>+FC540/FC$180/12*1000</f>
        <v>47.166311813852595</v>
      </c>
      <c r="FD541" s="136">
        <f t="shared" ref="FD541:FH541" si="2565">+FD540/FD$180/12*1000</f>
        <v>27.394470481707383</v>
      </c>
      <c r="FE541" s="136">
        <f t="shared" si="2565"/>
        <v>2.4610689068911746</v>
      </c>
      <c r="FF541" s="136">
        <f t="shared" si="2565"/>
        <v>2.2444071682482511</v>
      </c>
      <c r="FG541" s="136">
        <f t="shared" si="2565"/>
        <v>2.1141998143775491</v>
      </c>
      <c r="FH541" s="136">
        <f t="shared" si="2565"/>
        <v>2.0353529995410606</v>
      </c>
      <c r="FI541" s="136">
        <f>+FI540/FI$180/12*1000</f>
        <v>1.9932634872824846</v>
      </c>
    </row>
    <row r="542" spans="1:166" x14ac:dyDescent="0.3">
      <c r="A542" s="70" t="s">
        <v>488</v>
      </c>
      <c r="DU542" s="96">
        <v>0</v>
      </c>
      <c r="DV542" s="77">
        <f>+DV90-DU90</f>
        <v>0</v>
      </c>
      <c r="DW542" s="77">
        <f>+DW90-DV90</f>
        <v>0</v>
      </c>
      <c r="DX542" s="77">
        <f>+DX90-DW90</f>
        <v>0</v>
      </c>
      <c r="DY542" s="86">
        <f>+SUM(DU542:DX542)</f>
        <v>0</v>
      </c>
      <c r="DZ542" s="77">
        <f>+DZ90-DY90</f>
        <v>9</v>
      </c>
      <c r="EA542" s="77">
        <f>+EA90-DZ90</f>
        <v>8</v>
      </c>
      <c r="EB542" s="77">
        <f>+EB90-EA90</f>
        <v>9</v>
      </c>
      <c r="EC542" s="77">
        <f>+EC90-EB90</f>
        <v>60</v>
      </c>
      <c r="ED542" s="86">
        <f>+SUM(DZ542:EC542)</f>
        <v>86</v>
      </c>
      <c r="EE542" s="77">
        <f>+EE90-ED90</f>
        <v>104</v>
      </c>
      <c r="EF542" s="77">
        <f>+EF90-EE90</f>
        <v>157</v>
      </c>
      <c r="EG542" s="77">
        <f>+EG90-EF90</f>
        <v>185</v>
      </c>
      <c r="EH542" s="77">
        <f>+EH90-EG90</f>
        <v>192</v>
      </c>
      <c r="EI542" s="86">
        <f>+SUM(EE542:EH542)</f>
        <v>638</v>
      </c>
      <c r="EJ542" s="77">
        <f>+EJ90-EI90</f>
        <v>211</v>
      </c>
      <c r="EK542" s="77">
        <f>+EK90-EJ90</f>
        <v>281</v>
      </c>
      <c r="EL542" s="77">
        <f>+EL90-EK90</f>
        <v>351</v>
      </c>
      <c r="EM542" s="77">
        <f>+EM90-EL90</f>
        <v>381</v>
      </c>
      <c r="EN542" s="86">
        <f>+SUM(EJ542:EM542)</f>
        <v>1224</v>
      </c>
      <c r="EO542" s="77">
        <f>+EO90-EN90</f>
        <v>339</v>
      </c>
      <c r="EP542" s="77">
        <f>+EP90-EO90</f>
        <v>316</v>
      </c>
      <c r="EQ542" s="77">
        <f>+EQ90-EP90</f>
        <v>332</v>
      </c>
      <c r="ER542" s="77">
        <f>+ER90-EQ90</f>
        <v>333</v>
      </c>
      <c r="ES542" s="86">
        <f>+SUM(EO542:ER542)</f>
        <v>1320</v>
      </c>
      <c r="ET542" s="77">
        <f t="shared" ref="ET542:EW542" si="2566">+ET90-ES90</f>
        <v>322</v>
      </c>
      <c r="EU542" s="77">
        <f t="shared" si="2566"/>
        <v>388</v>
      </c>
      <c r="EV542" s="77">
        <f t="shared" si="2566"/>
        <v>381</v>
      </c>
      <c r="EW542" s="77">
        <f t="shared" si="2566"/>
        <v>241</v>
      </c>
      <c r="EX542" s="86">
        <f>+SUM(ET542:EW542)</f>
        <v>1332</v>
      </c>
      <c r="EY542" s="77">
        <f t="shared" ref="EY542" si="2567">+EY90-EX90</f>
        <v>314.26426426426406</v>
      </c>
      <c r="EZ542" s="77">
        <f t="shared" ref="EZ542" si="2568">+EZ90-EY90</f>
        <v>378.67867867867972</v>
      </c>
      <c r="FA542" s="77">
        <f t="shared" ref="FA542" si="2569">+FA90-EZ90</f>
        <v>371.84684684684544</v>
      </c>
      <c r="FB542" s="77">
        <f t="shared" ref="FB542" si="2570">+FB90-FA90</f>
        <v>235.21021021021079</v>
      </c>
      <c r="FC542" s="86">
        <f>+SUM(EY542:FB542)</f>
        <v>1300</v>
      </c>
      <c r="FD542" s="77">
        <f t="shared" ref="FD542:FI542" si="2571">+FD90-FC90</f>
        <v>900</v>
      </c>
      <c r="FE542" s="77">
        <f t="shared" si="2571"/>
        <v>100.22999999999956</v>
      </c>
      <c r="FF542" s="77">
        <f t="shared" si="2571"/>
        <v>101.23229999999967</v>
      </c>
      <c r="FG542" s="77">
        <f t="shared" si="2571"/>
        <v>102.24462299999868</v>
      </c>
      <c r="FH542" s="77">
        <f t="shared" si="2571"/>
        <v>103.26706923000165</v>
      </c>
      <c r="FI542" s="77">
        <f t="shared" si="2571"/>
        <v>104.29973992229861</v>
      </c>
    </row>
    <row r="543" spans="1:166" x14ac:dyDescent="0.3">
      <c r="A543" s="70" t="s">
        <v>489</v>
      </c>
      <c r="DU543" s="138">
        <v>635</v>
      </c>
      <c r="DV543" s="138">
        <f>+DU543</f>
        <v>635</v>
      </c>
      <c r="DW543" s="138">
        <f>+DV543</f>
        <v>635</v>
      </c>
      <c r="DX543" s="138">
        <f>+DW543</f>
        <v>635</v>
      </c>
      <c r="DY543" s="139">
        <f>+IFERROR(DY540/DY542*1000,DX543)</f>
        <v>635</v>
      </c>
      <c r="DZ543" s="138">
        <v>825</v>
      </c>
      <c r="EA543" s="138">
        <f>+DZ543</f>
        <v>825</v>
      </c>
      <c r="EB543" s="138">
        <f>+EA543</f>
        <v>825</v>
      </c>
      <c r="EC543" s="138">
        <f>+EB543</f>
        <v>825</v>
      </c>
      <c r="ED543" s="139">
        <f>+ED540/ED542*1000</f>
        <v>825.00000000000011</v>
      </c>
      <c r="EE543" s="138">
        <v>550</v>
      </c>
      <c r="EF543" s="138">
        <f>+EE543</f>
        <v>550</v>
      </c>
      <c r="EG543" s="138">
        <f>+EF543</f>
        <v>550</v>
      </c>
      <c r="EH543" s="138">
        <f>+EG543</f>
        <v>550</v>
      </c>
      <c r="EI543" s="139">
        <f>+EI540/EI542*1000</f>
        <v>549.99999999999989</v>
      </c>
      <c r="EJ543" s="138">
        <v>950</v>
      </c>
      <c r="EK543" s="138">
        <v>950</v>
      </c>
      <c r="EL543" s="138">
        <v>950</v>
      </c>
      <c r="EM543" s="138">
        <v>1000</v>
      </c>
      <c r="EN543" s="139">
        <f>+EN540/EN542*1000</f>
        <v>965.56372549019602</v>
      </c>
      <c r="EO543" s="138">
        <v>1000</v>
      </c>
      <c r="EP543" s="138">
        <v>1100</v>
      </c>
      <c r="EQ543" s="138">
        <v>1100</v>
      </c>
      <c r="ER543" s="138">
        <v>1100</v>
      </c>
      <c r="ES543" s="139">
        <f>+ES540/ES542*1000</f>
        <v>1074.3181818181818</v>
      </c>
      <c r="ET543" s="138">
        <v>1075</v>
      </c>
      <c r="EU543" s="138">
        <v>1075</v>
      </c>
      <c r="EV543" s="138">
        <v>1075</v>
      </c>
      <c r="EW543" s="138">
        <v>1075</v>
      </c>
      <c r="EX543" s="139">
        <f>+EX540/EX542*1000</f>
        <v>1075.0000000000002</v>
      </c>
      <c r="EY543" s="138">
        <v>1075</v>
      </c>
      <c r="EZ543" s="138">
        <v>1075</v>
      </c>
      <c r="FA543" s="138">
        <v>1075</v>
      </c>
      <c r="FB543" s="138">
        <v>1075</v>
      </c>
      <c r="FC543" s="139">
        <f>+FC540/FC542*1000</f>
        <v>1074.9999999999998</v>
      </c>
      <c r="FD543" s="138">
        <v>1075</v>
      </c>
      <c r="FE543" s="138">
        <v>1000</v>
      </c>
      <c r="FF543" s="138">
        <f t="shared" ref="FF543:FI543" si="2572">FE543</f>
        <v>1000</v>
      </c>
      <c r="FG543" s="138">
        <f t="shared" si="2572"/>
        <v>1000</v>
      </c>
      <c r="FH543" s="138">
        <f t="shared" si="2572"/>
        <v>1000</v>
      </c>
      <c r="FI543" s="138">
        <f t="shared" si="2572"/>
        <v>1000</v>
      </c>
    </row>
    <row r="544" spans="1:166" x14ac:dyDescent="0.3">
      <c r="A544" s="70" t="s">
        <v>490</v>
      </c>
      <c r="DU544" s="138"/>
      <c r="DV544" s="138"/>
      <c r="DW544" s="138"/>
      <c r="DX544" s="138"/>
      <c r="DY544" s="139"/>
      <c r="DZ544" s="77">
        <f>+SUM($DY542:DZ542)</f>
        <v>9</v>
      </c>
      <c r="EA544" s="77">
        <f>+DZ544+EA542</f>
        <v>17</v>
      </c>
      <c r="EB544" s="77">
        <f>+EA544+EB542</f>
        <v>26</v>
      </c>
      <c r="EC544" s="77">
        <f t="shared" ref="EC544:EH544" si="2573">+EB544+EC542</f>
        <v>86</v>
      </c>
      <c r="ED544" s="86">
        <f>+EC544</f>
        <v>86</v>
      </c>
      <c r="EE544" s="77">
        <f t="shared" si="2573"/>
        <v>190</v>
      </c>
      <c r="EF544" s="77">
        <f t="shared" si="2573"/>
        <v>347</v>
      </c>
      <c r="EG544" s="77">
        <f t="shared" si="2573"/>
        <v>532</v>
      </c>
      <c r="EH544" s="77">
        <f t="shared" si="2573"/>
        <v>724</v>
      </c>
      <c r="EI544" s="86">
        <f>+EH544</f>
        <v>724</v>
      </c>
      <c r="EJ544" s="77">
        <f>+EI544+EJ542</f>
        <v>935</v>
      </c>
      <c r="EK544" s="77">
        <f>+EJ544+EK542</f>
        <v>1216</v>
      </c>
      <c r="EL544" s="77">
        <f>+EK544+EL542</f>
        <v>1567</v>
      </c>
      <c r="EM544" s="77">
        <f>+EL544+EM542</f>
        <v>1948</v>
      </c>
      <c r="EN544" s="86">
        <f>+EM544</f>
        <v>1948</v>
      </c>
      <c r="EO544" s="77">
        <f t="shared" ref="EO544:ER544" si="2574">+EN544+EO542</f>
        <v>2287</v>
      </c>
      <c r="EP544" s="77">
        <f t="shared" si="2574"/>
        <v>2603</v>
      </c>
      <c r="EQ544" s="77">
        <f t="shared" si="2574"/>
        <v>2935</v>
      </c>
      <c r="ER544" s="77">
        <f t="shared" si="2574"/>
        <v>3268</v>
      </c>
      <c r="ES544" s="86">
        <f>+ER544</f>
        <v>3268</v>
      </c>
      <c r="ET544" s="77">
        <f t="shared" ref="ET544" si="2575">+ES544+ET542</f>
        <v>3590</v>
      </c>
      <c r="EU544" s="77">
        <f t="shared" ref="EU544" si="2576">+ET544+EU542</f>
        <v>3978</v>
      </c>
      <c r="EV544" s="77">
        <f t="shared" ref="EV544" si="2577">+EU544+EV542</f>
        <v>4359</v>
      </c>
      <c r="EW544" s="77">
        <f t="shared" ref="EW544" si="2578">+EV544+EW542</f>
        <v>4600</v>
      </c>
      <c r="EX544" s="86">
        <f>+EW544</f>
        <v>4600</v>
      </c>
      <c r="EY544" s="77">
        <f t="shared" ref="EY544" si="2579">+EX544+EY542</f>
        <v>4914.2642642642641</v>
      </c>
      <c r="EZ544" s="77">
        <f t="shared" ref="EZ544" si="2580">+EY544+EZ542</f>
        <v>5292.9429429429438</v>
      </c>
      <c r="FA544" s="77">
        <f t="shared" ref="FA544" si="2581">+EZ544+FA542</f>
        <v>5664.7897897897892</v>
      </c>
      <c r="FB544" s="77">
        <f t="shared" ref="FB544" si="2582">+FA544+FB542</f>
        <v>5900</v>
      </c>
      <c r="FC544" s="86">
        <f>+FB544</f>
        <v>5900</v>
      </c>
      <c r="FD544" s="77">
        <f t="shared" ref="FD544:FI544" si="2583">+FC544+FD542</f>
        <v>6800</v>
      </c>
      <c r="FE544" s="77">
        <f t="shared" si="2583"/>
        <v>6900.23</v>
      </c>
      <c r="FF544" s="77">
        <f t="shared" si="2583"/>
        <v>7001.4622999999992</v>
      </c>
      <c r="FG544" s="77">
        <f t="shared" si="2583"/>
        <v>7103.7069229999979</v>
      </c>
      <c r="FH544" s="77">
        <f t="shared" si="2583"/>
        <v>7206.9739922299996</v>
      </c>
      <c r="FI544" s="77">
        <f t="shared" si="2583"/>
        <v>7311.2737321522982</v>
      </c>
    </row>
    <row r="545" spans="1:166" x14ac:dyDescent="0.3">
      <c r="A545" s="70" t="s">
        <v>491</v>
      </c>
      <c r="DU545" s="75"/>
      <c r="DV545" s="75"/>
      <c r="DW545" s="75"/>
      <c r="DX545" s="75"/>
      <c r="DY545" s="84"/>
      <c r="DZ545" s="75">
        <f t="shared" ref="DZ545:FI545" si="2584">+DZ540/DZ206</f>
        <v>1.0255524861878453E-2</v>
      </c>
      <c r="EA545" s="75">
        <f t="shared" si="2584"/>
        <v>9.2957746478873234E-3</v>
      </c>
      <c r="EB545" s="75">
        <f t="shared" si="2584"/>
        <v>1.0776487663280116E-2</v>
      </c>
      <c r="EC545" s="75">
        <f t="shared" si="2584"/>
        <v>7.1739130434782611E-2</v>
      </c>
      <c r="ED545" s="84">
        <f t="shared" si="2584"/>
        <v>2.5222182723071456E-2</v>
      </c>
      <c r="EE545" s="75">
        <f t="shared" si="2584"/>
        <v>8.4365781710914453E-2</v>
      </c>
      <c r="EF545" s="75">
        <f t="shared" si="2584"/>
        <v>0.12698529411764706</v>
      </c>
      <c r="EG545" s="75">
        <f t="shared" si="2584"/>
        <v>0.14875730994152048</v>
      </c>
      <c r="EH545" s="75">
        <f t="shared" si="2584"/>
        <v>0.15644444444444444</v>
      </c>
      <c r="EI545" s="84">
        <f t="shared" si="2584"/>
        <v>0.12914979757085018</v>
      </c>
      <c r="EJ545" s="75">
        <f t="shared" si="2584"/>
        <v>0.29828869047619044</v>
      </c>
      <c r="EK545" s="75">
        <f t="shared" ref="EK545:EL545" si="2585">+EK540/EK206</f>
        <v>0.38970802919708025</v>
      </c>
      <c r="EL545" s="75">
        <f t="shared" si="2585"/>
        <v>0.48256150506512302</v>
      </c>
      <c r="EM545" s="75">
        <f t="shared" si="2584"/>
        <v>0.52843273231622745</v>
      </c>
      <c r="EN545" s="84">
        <f t="shared" si="2584"/>
        <v>0.42681473456121338</v>
      </c>
      <c r="EO545" s="75">
        <f t="shared" ref="EO545:ES545" si="2586">+EO540/EO206</f>
        <v>0.46502057613168724</v>
      </c>
      <c r="EP545" s="75">
        <f t="shared" si="2586"/>
        <v>0.4659517426273459</v>
      </c>
      <c r="EQ545" s="75">
        <f t="shared" si="2586"/>
        <v>0.48052631578947369</v>
      </c>
      <c r="ER545" s="75">
        <f t="shared" si="2586"/>
        <v>0.48070866141732282</v>
      </c>
      <c r="ES545" s="84">
        <f t="shared" si="2586"/>
        <v>0.47317317317317314</v>
      </c>
      <c r="ET545" s="75">
        <f t="shared" ref="ET545:EX545" si="2587">+ET540/ET206</f>
        <v>0.43</v>
      </c>
      <c r="EU545" s="75">
        <f t="shared" si="2587"/>
        <v>0.49654761904761907</v>
      </c>
      <c r="EV545" s="75">
        <f t="shared" si="2587"/>
        <v>0.47240484429065743</v>
      </c>
      <c r="EW545" s="75">
        <f t="shared" si="2587"/>
        <v>0.29109550561797753</v>
      </c>
      <c r="EX545" s="84">
        <f t="shared" si="2587"/>
        <v>0.42089947089947094</v>
      </c>
      <c r="EY545" s="75">
        <f t="shared" ref="EY545:FC545" si="2588">+EY540/EY206</f>
        <v>0.37759230784502679</v>
      </c>
      <c r="EZ545" s="75">
        <f t="shared" si="2588"/>
        <v>0.43480676991106698</v>
      </c>
      <c r="FA545" s="75">
        <f t="shared" si="2588"/>
        <v>0.41260136079338666</v>
      </c>
      <c r="FB545" s="75">
        <f t="shared" si="2588"/>
        <v>0.25304616444169437</v>
      </c>
      <c r="FC545" s="84">
        <f t="shared" si="2588"/>
        <v>0.36786161335722278</v>
      </c>
      <c r="FD545" s="75">
        <f t="shared" si="2584"/>
        <v>0.22583940078069584</v>
      </c>
      <c r="FE545" s="75">
        <f t="shared" si="2584"/>
        <v>2.0951188174110548E-2</v>
      </c>
      <c r="FF545" s="75">
        <f t="shared" si="2584"/>
        <v>1.9307323585629709E-2</v>
      </c>
      <c r="FG545" s="75">
        <f t="shared" si="2584"/>
        <v>1.8105517511544902E-2</v>
      </c>
      <c r="FH545" s="75">
        <f t="shared" si="2584"/>
        <v>1.7190337370574488E-2</v>
      </c>
      <c r="FI545" s="75">
        <f t="shared" si="2584"/>
        <v>1.6489694903715935E-2</v>
      </c>
    </row>
    <row r="546" spans="1:166" x14ac:dyDescent="0.3">
      <c r="A546" s="55"/>
      <c r="EO546"/>
      <c r="EP546"/>
      <c r="EQ546"/>
      <c r="ER546"/>
      <c r="EU546" s="816">
        <f>SUM(EI547,EN547,ES547,ET547,EU547)/EU544*1000</f>
        <v>931.12116641528405</v>
      </c>
      <c r="FD546" s="816"/>
    </row>
    <row r="547" spans="1:166" x14ac:dyDescent="0.3">
      <c r="A547" s="60" t="s">
        <v>492</v>
      </c>
      <c r="EE547" s="1161">
        <f>-Inputs!EE295</f>
        <v>71</v>
      </c>
      <c r="EF547" s="1161">
        <f>-Inputs!EF295</f>
        <v>99</v>
      </c>
      <c r="EG547" s="1161">
        <f>-Inputs!EG295</f>
        <v>128</v>
      </c>
      <c r="EH547" s="1161">
        <f>-Inputs!EH295</f>
        <v>161</v>
      </c>
      <c r="EI547" s="900">
        <f>SUM(EE547:EH547)</f>
        <v>459</v>
      </c>
      <c r="EJ547" s="1161">
        <f>-Inputs!EJ295</f>
        <v>233</v>
      </c>
      <c r="EK547" s="1161">
        <f>-Inputs!EK295</f>
        <v>325</v>
      </c>
      <c r="EL547" s="1161">
        <f>-Inputs!EL295</f>
        <v>442</v>
      </c>
      <c r="EM547" s="1161">
        <f>-Inputs!EM295</f>
        <v>517</v>
      </c>
      <c r="EN547" s="900">
        <f>SUM(EJ547:EM547)</f>
        <v>1517</v>
      </c>
      <c r="EO547" s="1161">
        <f>-Inputs!EO295</f>
        <v>523</v>
      </c>
      <c r="EP547" s="1161">
        <f>-Inputs!EP295</f>
        <v>419</v>
      </c>
      <c r="EQ547" s="1161">
        <f>-Inputs!EQ295</f>
        <v>143</v>
      </c>
      <c r="ER547" s="1161">
        <f>-Inputs!ER295</f>
        <v>159</v>
      </c>
      <c r="ES547" s="900">
        <f>SUM(EO547:ER547)</f>
        <v>1244</v>
      </c>
      <c r="ET547" s="1161">
        <f>-Inputs!ET295</f>
        <v>232</v>
      </c>
      <c r="EU547" s="1161">
        <f>-Inputs!EU295</f>
        <v>252</v>
      </c>
      <c r="EV547" s="1161">
        <f>-Inputs!EV295</f>
        <v>296</v>
      </c>
      <c r="EW547" s="1161">
        <f>-Inputs!EW295</f>
        <v>237</v>
      </c>
      <c r="EX547" s="900">
        <f>SUM(ET547:EW547)</f>
        <v>1017</v>
      </c>
      <c r="EY547" s="76">
        <f t="shared" ref="EY547:FB547" si="2589">EY540+EY549</f>
        <v>337.83408408408383</v>
      </c>
      <c r="EZ547" s="76">
        <f t="shared" si="2589"/>
        <v>407.0795795795807</v>
      </c>
      <c r="FA547" s="76">
        <f t="shared" si="2589"/>
        <v>399.73536036035887</v>
      </c>
      <c r="FB547" s="76">
        <f t="shared" si="2589"/>
        <v>252.85097597597658</v>
      </c>
      <c r="FC547" s="900">
        <f>SUM(EY547:FB547)</f>
        <v>1397.4999999999998</v>
      </c>
      <c r="FD547" s="76">
        <f t="shared" ref="FD547:FI547" si="2590">FD540+FD549</f>
        <v>967.5</v>
      </c>
      <c r="FE547" s="76">
        <f t="shared" si="2590"/>
        <v>100.22999999999956</v>
      </c>
      <c r="FF547" s="76">
        <f t="shared" si="2590"/>
        <v>101.23229999999967</v>
      </c>
      <c r="FG547" s="76">
        <f t="shared" si="2590"/>
        <v>102.24462299999868</v>
      </c>
      <c r="FH547" s="76">
        <f t="shared" si="2590"/>
        <v>103.26706923000165</v>
      </c>
      <c r="FI547" s="76">
        <f t="shared" si="2590"/>
        <v>104.29973992229861</v>
      </c>
    </row>
    <row r="548" spans="1:166" s="94" customFormat="1" x14ac:dyDescent="0.3">
      <c r="A548" s="70" t="s">
        <v>489</v>
      </c>
      <c r="DY548" s="141"/>
      <c r="ED548" s="141"/>
      <c r="EE548" s="1252">
        <f t="shared" ref="EE548" si="2591">EE547/EE542*1000</f>
        <v>682.69230769230774</v>
      </c>
      <c r="EF548" s="1252">
        <f t="shared" ref="EF548" si="2592">EF547/EF542*1000</f>
        <v>630.57324840764329</v>
      </c>
      <c r="EG548" s="1252">
        <f t="shared" ref="EG548" si="2593">EG547/EG542*1000</f>
        <v>691.89189189189187</v>
      </c>
      <c r="EH548" s="1252">
        <f t="shared" ref="EH548" si="2594">EH547/EH542*1000</f>
        <v>838.54166666666663</v>
      </c>
      <c r="EI548" s="1403">
        <f t="shared" ref="EI548" si="2595">EI547/EI542*1000</f>
        <v>719.43573667711598</v>
      </c>
      <c r="EJ548" s="1252">
        <f t="shared" ref="EJ548:EN548" si="2596">EJ547/EJ542*1000</f>
        <v>1104.2654028436018</v>
      </c>
      <c r="EK548" s="1252">
        <f t="shared" si="2596"/>
        <v>1156.5836298932384</v>
      </c>
      <c r="EL548" s="1252">
        <f t="shared" si="2596"/>
        <v>1259.2592592592594</v>
      </c>
      <c r="EM548" s="1252">
        <f t="shared" si="2596"/>
        <v>1356.9553805774278</v>
      </c>
      <c r="EN548" s="1403">
        <f t="shared" si="2596"/>
        <v>1239.3790849673203</v>
      </c>
      <c r="EO548" s="1252">
        <f>EO547/EO542*1000</f>
        <v>1542.7728613569323</v>
      </c>
      <c r="EP548" s="1252">
        <f>EP547/EP542*1000</f>
        <v>1325.9493670886075</v>
      </c>
      <c r="EQ548" s="1252">
        <f>EQ547/EQ542*1000</f>
        <v>430.7228915662651</v>
      </c>
      <c r="ER548" s="1252">
        <f>ER547/ER542*1000</f>
        <v>477.47747747747746</v>
      </c>
      <c r="ES548" s="1403">
        <f t="shared" ref="ES548" si="2597">ES547/ES542*1000</f>
        <v>942.42424242424238</v>
      </c>
      <c r="ET548" s="1252">
        <f>ET547/ET542*1000</f>
        <v>720.49689440993791</v>
      </c>
      <c r="EU548" s="1252">
        <f>EU547/EU542*1000</f>
        <v>649.48453608247428</v>
      </c>
      <c r="EV548" s="1252">
        <f>EV547/EV542*1000</f>
        <v>776.90288713910763</v>
      </c>
      <c r="EW548" s="1252">
        <f>EW547/EW542*1000</f>
        <v>983.40248962655596</v>
      </c>
      <c r="EX548" s="1403">
        <f t="shared" ref="EX548" si="2598">EX547/EX542*1000</f>
        <v>763.51351351351343</v>
      </c>
      <c r="EY548" s="1252">
        <f t="shared" ref="EY548:FC548" si="2599">EY547/EY542*1000</f>
        <v>1075</v>
      </c>
      <c r="EZ548" s="1252">
        <f t="shared" si="2599"/>
        <v>1075</v>
      </c>
      <c r="FA548" s="1252">
        <f t="shared" si="2599"/>
        <v>1075</v>
      </c>
      <c r="FB548" s="1252">
        <f t="shared" si="2599"/>
        <v>1075</v>
      </c>
      <c r="FC548" s="1403">
        <f t="shared" si="2599"/>
        <v>1074.9999999999998</v>
      </c>
      <c r="FD548" s="1252">
        <f t="shared" ref="FD548" si="2600">FD547/FD542*1000</f>
        <v>1075</v>
      </c>
      <c r="FE548" s="1252">
        <f t="shared" ref="FE548" si="2601">FE547/FE542*1000</f>
        <v>1000</v>
      </c>
      <c r="FF548" s="1252">
        <f t="shared" ref="FF548" si="2602">FF547/FF542*1000</f>
        <v>1000</v>
      </c>
      <c r="FG548" s="1252">
        <f t="shared" ref="FG548" si="2603">FG547/FG542*1000</f>
        <v>1000</v>
      </c>
      <c r="FH548" s="1252">
        <f t="shared" ref="FH548" si="2604">FH547/FH542*1000</f>
        <v>1000</v>
      </c>
      <c r="FI548" s="1252">
        <f t="shared" ref="FI548" si="2605">FI547/FI542*1000</f>
        <v>1000</v>
      </c>
    </row>
    <row r="549" spans="1:166" s="94" customFormat="1" x14ac:dyDescent="0.3">
      <c r="A549" s="70" t="s">
        <v>493</v>
      </c>
      <c r="EE549" s="943">
        <f>EE547-EE540</f>
        <v>13.799999999999997</v>
      </c>
      <c r="EF549" s="943">
        <f t="shared" ref="EF549:EH549" si="2606">EF547-EF540</f>
        <v>12.650000000000006</v>
      </c>
      <c r="EG549" s="943">
        <f t="shared" si="2606"/>
        <v>26.25</v>
      </c>
      <c r="EH549" s="943">
        <f t="shared" si="2606"/>
        <v>55.400000000000006</v>
      </c>
      <c r="EI549" s="944">
        <f>SUM(EE549:EH549)</f>
        <v>108.10000000000001</v>
      </c>
      <c r="EJ549" s="943">
        <f>EJ547-EJ540</f>
        <v>32.550000000000011</v>
      </c>
      <c r="EK549" s="943">
        <f t="shared" ref="EK549:EM549" si="2607">EK547-EK540</f>
        <v>58.050000000000011</v>
      </c>
      <c r="EL549" s="943">
        <f t="shared" si="2607"/>
        <v>108.55000000000001</v>
      </c>
      <c r="EM549" s="943">
        <f t="shared" si="2607"/>
        <v>136</v>
      </c>
      <c r="EN549" s="944">
        <f>SUM(EJ549:EM549)</f>
        <v>335.15000000000003</v>
      </c>
      <c r="EO549" s="943">
        <f>EO547-EO540</f>
        <v>184</v>
      </c>
      <c r="EP549" s="943">
        <f t="shared" ref="EP549:EQ549" si="2608">EP547-EP540</f>
        <v>71.399999999999977</v>
      </c>
      <c r="EQ549" s="943">
        <f t="shared" si="2608"/>
        <v>-222.2</v>
      </c>
      <c r="ER549" s="943">
        <f t="shared" ref="ER549" si="2609">ER547-ER540</f>
        <v>-207.3</v>
      </c>
      <c r="ES549" s="944">
        <f>SUM(EO549:ER549)</f>
        <v>-174.10000000000002</v>
      </c>
      <c r="ET549" s="943">
        <f>ET547-ET540</f>
        <v>-114.14999999999998</v>
      </c>
      <c r="EU549" s="943">
        <f>EU547-EU540</f>
        <v>-165.10000000000002</v>
      </c>
      <c r="EV549" s="943">
        <f>EV547-EV540</f>
        <v>-113.57499999999999</v>
      </c>
      <c r="EW549" s="943">
        <f>EW547-EW540</f>
        <v>-22.074999999999989</v>
      </c>
      <c r="EX549" s="1780">
        <f>SUM(ET549:EW549)</f>
        <v>-414.9</v>
      </c>
      <c r="EY549" s="96">
        <v>0</v>
      </c>
      <c r="EZ549" s="96">
        <v>0</v>
      </c>
      <c r="FA549" s="96">
        <v>0</v>
      </c>
      <c r="FB549" s="96">
        <v>0</v>
      </c>
      <c r="FC549" s="1780">
        <f>SUM(EY549:FB549)</f>
        <v>0</v>
      </c>
      <c r="FD549" s="96">
        <v>0</v>
      </c>
      <c r="FE549" s="96">
        <v>0</v>
      </c>
      <c r="FF549" s="96">
        <v>0</v>
      </c>
      <c r="FG549" s="96">
        <v>0</v>
      </c>
      <c r="FH549" s="96">
        <v>0</v>
      </c>
      <c r="FI549" s="96">
        <v>0</v>
      </c>
    </row>
    <row r="550" spans="1:166" x14ac:dyDescent="0.3">
      <c r="A550" s="55"/>
      <c r="EO550"/>
      <c r="EP550"/>
      <c r="EQ550"/>
      <c r="ER550"/>
    </row>
    <row r="551" spans="1:166" x14ac:dyDescent="0.3">
      <c r="A551" s="60" t="s">
        <v>494</v>
      </c>
      <c r="EO551" s="900">
        <f>EO552*EO553/1000</f>
        <v>25.712918197640697</v>
      </c>
      <c r="EP551" s="900">
        <f t="shared" ref="EP551:ER551" si="2610">EP552*EP553/1000</f>
        <v>24.05863734664247</v>
      </c>
      <c r="EQ551" s="900">
        <f t="shared" si="2610"/>
        <v>26.768179649845521</v>
      </c>
      <c r="ER551" s="900">
        <f t="shared" si="2610"/>
        <v>25.509112439103607</v>
      </c>
      <c r="ES551" s="916">
        <f>SUM(EO551:ER551)</f>
        <v>102.0488476332323</v>
      </c>
      <c r="ET551" s="900">
        <f>ET552*ET553/1000</f>
        <v>26.883076703127401</v>
      </c>
      <c r="EU551" s="900">
        <f t="shared" ref="EU551" si="2611">EU552*EU553/1000</f>
        <v>29.811668692206066</v>
      </c>
      <c r="EV551" s="900">
        <f t="shared" ref="EV551" si="2612">EV552*EV553/1000</f>
        <v>33.488179055686707</v>
      </c>
      <c r="EW551" s="900">
        <f t="shared" ref="EW551:FB551" si="2613">EW552*EW553/1000</f>
        <v>30.173550965444505</v>
      </c>
      <c r="EX551" s="916">
        <f>SUM(ET551:EW551)</f>
        <v>120.35647541646468</v>
      </c>
      <c r="EY551" s="900">
        <f t="shared" si="2613"/>
        <v>24.755257458482163</v>
      </c>
      <c r="EZ551" s="900">
        <f t="shared" si="2613"/>
        <v>26.707041047513041</v>
      </c>
      <c r="FA551" s="900">
        <f t="shared" si="2613"/>
        <v>29.403837178359279</v>
      </c>
      <c r="FB551" s="900">
        <f t="shared" si="2613"/>
        <v>29.027199024893651</v>
      </c>
      <c r="FC551" s="916">
        <f>SUM(EY551:FB551)</f>
        <v>109.89333470924814</v>
      </c>
      <c r="FD551" s="900">
        <f t="shared" ref="FD551:FI551" si="2614">FD552*FD553/1000</f>
        <v>81.928179251205364</v>
      </c>
      <c r="FE551" s="900">
        <f t="shared" si="2614"/>
        <v>89.68257383118339</v>
      </c>
      <c r="FF551" s="900">
        <f t="shared" si="2614"/>
        <v>96.429760184620875</v>
      </c>
      <c r="FG551" s="900">
        <f t="shared" si="2614"/>
        <v>101.058050641196</v>
      </c>
      <c r="FH551" s="900">
        <f t="shared" si="2614"/>
        <v>102.25206933061759</v>
      </c>
      <c r="FI551" s="900">
        <f t="shared" si="2614"/>
        <v>100.96110875730714</v>
      </c>
    </row>
    <row r="552" spans="1:166" x14ac:dyDescent="0.3">
      <c r="A552" s="70" t="s">
        <v>495</v>
      </c>
      <c r="EO552" s="76">
        <f>EO113*EN120</f>
        <v>42.854863662734495</v>
      </c>
      <c r="EP552" s="76">
        <f t="shared" ref="EP552:ER552" si="2615">EP113*EO120</f>
        <v>40.097728911070782</v>
      </c>
      <c r="EQ552" s="76">
        <f t="shared" si="2615"/>
        <v>44.613632749742536</v>
      </c>
      <c r="ER552" s="76">
        <f t="shared" si="2615"/>
        <v>42.515187398506008</v>
      </c>
      <c r="ES552" s="76">
        <f>SUM(EO552:ER552)</f>
        <v>170.08141272205381</v>
      </c>
      <c r="ET552" s="76">
        <f>ET113*ES120</f>
        <v>44.805127838545665</v>
      </c>
      <c r="EU552" s="76">
        <f t="shared" ref="EU552:EW552" si="2616">EU113*ET120</f>
        <v>49.686114487010109</v>
      </c>
      <c r="EV552" s="76">
        <f t="shared" si="2616"/>
        <v>55.813631759477843</v>
      </c>
      <c r="EW552" s="76">
        <f t="shared" si="2616"/>
        <v>50.289251609074178</v>
      </c>
      <c r="EX552" s="76">
        <f>SUM(ET552:EW552)</f>
        <v>200.59412569410779</v>
      </c>
      <c r="EY552" s="76">
        <f t="shared" ref="EY552" si="2617">EY113*EX120</f>
        <v>55.011683241071474</v>
      </c>
      <c r="EZ552" s="76">
        <f t="shared" ref="EZ552" si="2618">EZ113*EY120</f>
        <v>59.348980105584538</v>
      </c>
      <c r="FA552" s="76">
        <f t="shared" ref="FA552" si="2619">FA113*EZ120</f>
        <v>65.341860396353951</v>
      </c>
      <c r="FB552" s="76">
        <f t="shared" ref="FB552" si="2620">FB113*FA120</f>
        <v>64.504886721985898</v>
      </c>
      <c r="FC552" s="76">
        <f>SUM(EY552:FB552)</f>
        <v>244.20741046499586</v>
      </c>
      <c r="FD552" s="76">
        <f t="shared" ref="FD552:FI552" si="2621">FD113*FC120</f>
        <v>273.09393083735119</v>
      </c>
      <c r="FE552" s="76">
        <f t="shared" si="2621"/>
        <v>298.94191277061128</v>
      </c>
      <c r="FF552" s="76">
        <f t="shared" si="2621"/>
        <v>321.43253394873625</v>
      </c>
      <c r="FG552" s="76">
        <f t="shared" si="2621"/>
        <v>336.86016880398671</v>
      </c>
      <c r="FH552" s="76">
        <f t="shared" si="2621"/>
        <v>340.84023110205862</v>
      </c>
      <c r="FI552" s="76">
        <f t="shared" si="2621"/>
        <v>336.53702919102381</v>
      </c>
    </row>
    <row r="553" spans="1:166" x14ac:dyDescent="0.3">
      <c r="A553" s="70" t="s">
        <v>496</v>
      </c>
      <c r="EO553" s="138">
        <v>600</v>
      </c>
      <c r="EP553" s="138">
        <v>600</v>
      </c>
      <c r="EQ553" s="138">
        <v>600</v>
      </c>
      <c r="ER553" s="138">
        <v>600</v>
      </c>
      <c r="ES553" s="139">
        <f>ES551/ES552*1000</f>
        <v>600.00000000000011</v>
      </c>
      <c r="ET553" s="138">
        <v>600</v>
      </c>
      <c r="EU553" s="138">
        <v>600</v>
      </c>
      <c r="EV553" s="138">
        <v>600</v>
      </c>
      <c r="EW553" s="138">
        <v>600</v>
      </c>
      <c r="EX553" s="139">
        <f>EX551/EX552*1000</f>
        <v>600</v>
      </c>
      <c r="EY553" s="138">
        <v>450</v>
      </c>
      <c r="EZ553" s="138">
        <v>450</v>
      </c>
      <c r="FA553" s="138">
        <v>450</v>
      </c>
      <c r="FB553" s="138">
        <v>450</v>
      </c>
      <c r="FC553" s="139">
        <f>FC551/FC552*1000</f>
        <v>450</v>
      </c>
      <c r="FD553" s="138">
        <v>300</v>
      </c>
      <c r="FE553" s="138">
        <v>300</v>
      </c>
      <c r="FF553" s="138">
        <v>300</v>
      </c>
      <c r="FG553" s="138">
        <v>300</v>
      </c>
      <c r="FH553" s="138">
        <v>300</v>
      </c>
      <c r="FI553" s="138">
        <v>300</v>
      </c>
    </row>
    <row r="554" spans="1:166" x14ac:dyDescent="0.3">
      <c r="A554" s="55"/>
      <c r="EO554"/>
      <c r="EP554"/>
      <c r="EQ554"/>
      <c r="ER554"/>
    </row>
    <row r="555" spans="1:166" x14ac:dyDescent="0.3">
      <c r="A555" s="60" t="s">
        <v>497</v>
      </c>
      <c r="EO555" s="900">
        <f>EO556*EO557/1000</f>
        <v>73.383852252949168</v>
      </c>
      <c r="EP555" s="900">
        <f t="shared" ref="EP555" si="2622">EP556*EP557/1000</f>
        <v>69.80847831669692</v>
      </c>
      <c r="EQ555" s="900">
        <f t="shared" ref="EQ555" si="2623">EQ556*EQ557/1000</f>
        <v>79.744925437693112</v>
      </c>
      <c r="ER555" s="900">
        <f t="shared" ref="ER555" si="2624">ER556*ER557/1000</f>
        <v>77.382609451120501</v>
      </c>
      <c r="ES555" s="916">
        <f>SUM(EO555:ER555)</f>
        <v>300.31986545845973</v>
      </c>
      <c r="ET555" s="900">
        <f>ET556*ET557/1000</f>
        <v>88.045177729163427</v>
      </c>
      <c r="EU555" s="900">
        <f t="shared" ref="EU555" si="2625">EU556*EU557/1000</f>
        <v>98.207908410391838</v>
      </c>
      <c r="EV555" s="900">
        <f t="shared" ref="EV555" si="2626">EV556*EV557/1000</f>
        <v>111.96437459241771</v>
      </c>
      <c r="EW555" s="900">
        <f t="shared" ref="EW555:FB555" si="2627">EW556*EW557/1000</f>
        <v>101.18467871274082</v>
      </c>
      <c r="EX555" s="916">
        <f>SUM(ET555:EW555)</f>
        <v>399.40213944471378</v>
      </c>
      <c r="EY555" s="900">
        <f t="shared" si="2627"/>
        <v>109.07429875881991</v>
      </c>
      <c r="EZ555" s="900">
        <f t="shared" si="2627"/>
        <v>116.45853362947859</v>
      </c>
      <c r="FA555" s="900">
        <f t="shared" si="2627"/>
        <v>128.4189736650896</v>
      </c>
      <c r="FB555" s="900">
        <f t="shared" si="2627"/>
        <v>126.13328221665378</v>
      </c>
      <c r="FC555" s="916">
        <f>SUM(EY555:FB555)</f>
        <v>480.08508827004187</v>
      </c>
      <c r="FD555" s="900">
        <f t="shared" ref="FD555:FI555" si="2628">FD556*FD557/1000</f>
        <v>519.1164774377537</v>
      </c>
      <c r="FE555" s="900">
        <f t="shared" si="2628"/>
        <v>513.68778134215972</v>
      </c>
      <c r="FF555" s="900">
        <f t="shared" si="2628"/>
        <v>465.20521128153433</v>
      </c>
      <c r="FG555" s="900">
        <f t="shared" si="2628"/>
        <v>434.5514995028667</v>
      </c>
      <c r="FH555" s="900">
        <f t="shared" si="2628"/>
        <v>406.40924461975129</v>
      </c>
      <c r="FI555" s="900">
        <f t="shared" si="2628"/>
        <v>382.34900825377258</v>
      </c>
    </row>
    <row r="556" spans="1:166" x14ac:dyDescent="0.3">
      <c r="A556" s="70" t="s">
        <v>495</v>
      </c>
      <c r="EO556" s="76">
        <f>EO113-EO552</f>
        <v>97.845136337265558</v>
      </c>
      <c r="EP556" s="76">
        <f t="shared" ref="EP556:ER556" si="2629">EP113-EP552</f>
        <v>93.077971088929218</v>
      </c>
      <c r="EQ556" s="76">
        <f t="shared" si="2629"/>
        <v>106.32656725025747</v>
      </c>
      <c r="ER556" s="76">
        <f t="shared" si="2629"/>
        <v>103.17681260149399</v>
      </c>
      <c r="ES556" s="76">
        <f>SUM(EO556:ER556)</f>
        <v>400.42648727794619</v>
      </c>
      <c r="ET556" s="76">
        <f>ET113-ET552</f>
        <v>110.05647216145428</v>
      </c>
      <c r="EU556" s="76">
        <f t="shared" ref="EU556:EW556" si="2630">EU113-EU552</f>
        <v>122.7598855129898</v>
      </c>
      <c r="EV556" s="76">
        <f t="shared" si="2630"/>
        <v>139.95546824052212</v>
      </c>
      <c r="EW556" s="76">
        <f t="shared" si="2630"/>
        <v>126.48084839092601</v>
      </c>
      <c r="EX556" s="76">
        <f>SUM(ET556:EW556)</f>
        <v>499.25267430589224</v>
      </c>
      <c r="EY556" s="76">
        <f t="shared" ref="EY556:FB556" si="2631">EY113-EY552</f>
        <v>136.34287344852487</v>
      </c>
      <c r="EZ556" s="76">
        <f t="shared" si="2631"/>
        <v>145.57316703684825</v>
      </c>
      <c r="FA556" s="76">
        <f t="shared" si="2631"/>
        <v>160.52371708136201</v>
      </c>
      <c r="FB556" s="76">
        <f t="shared" si="2631"/>
        <v>157.66660277081724</v>
      </c>
      <c r="FC556" s="76">
        <f>SUM(EY556:FB556)</f>
        <v>600.10636033755236</v>
      </c>
      <c r="FD556" s="76">
        <f t="shared" ref="FD556:FI556" si="2632">FD113-FD552</f>
        <v>648.89559679719218</v>
      </c>
      <c r="FE556" s="76">
        <f t="shared" si="2632"/>
        <v>642.10972667769965</v>
      </c>
      <c r="FF556" s="76">
        <f t="shared" si="2632"/>
        <v>581.5065141019179</v>
      </c>
      <c r="FG556" s="76">
        <f t="shared" si="2632"/>
        <v>543.18937437858335</v>
      </c>
      <c r="FH556" s="76">
        <f t="shared" si="2632"/>
        <v>508.0115557746891</v>
      </c>
      <c r="FI556" s="76">
        <f t="shared" si="2632"/>
        <v>477.93626031721573</v>
      </c>
    </row>
    <row r="557" spans="1:166" x14ac:dyDescent="0.3">
      <c r="A557" s="70" t="s">
        <v>496</v>
      </c>
      <c r="EO557" s="138">
        <v>750</v>
      </c>
      <c r="EP557" s="138">
        <v>750</v>
      </c>
      <c r="EQ557" s="138">
        <v>750</v>
      </c>
      <c r="ER557" s="138">
        <v>750</v>
      </c>
      <c r="ES557" s="139">
        <f>ES555/ES556*1000</f>
        <v>750.00000000000023</v>
      </c>
      <c r="ET557" s="138">
        <v>800</v>
      </c>
      <c r="EU557" s="138">
        <v>800</v>
      </c>
      <c r="EV557" s="138">
        <v>800</v>
      </c>
      <c r="EW557" s="138">
        <v>800</v>
      </c>
      <c r="EX557" s="139">
        <f>EX555/EX556*1000</f>
        <v>799.99999999999989</v>
      </c>
      <c r="EY557" s="138">
        <v>800</v>
      </c>
      <c r="EZ557" s="138">
        <v>800</v>
      </c>
      <c r="FA557" s="138">
        <v>800</v>
      </c>
      <c r="FB557" s="138">
        <v>800</v>
      </c>
      <c r="FC557" s="139">
        <f>FC555/FC556*1000</f>
        <v>799.99999999999989</v>
      </c>
      <c r="FD557" s="138">
        <v>800</v>
      </c>
      <c r="FE557" s="138">
        <v>800</v>
      </c>
      <c r="FF557" s="138">
        <v>800</v>
      </c>
      <c r="FG557" s="138">
        <v>800</v>
      </c>
      <c r="FH557" s="138">
        <v>800</v>
      </c>
      <c r="FI557" s="138">
        <v>800</v>
      </c>
    </row>
    <row r="558" spans="1:166" x14ac:dyDescent="0.3">
      <c r="A558" s="55"/>
      <c r="EO558"/>
      <c r="EP558"/>
      <c r="EQ558"/>
      <c r="ER558"/>
    </row>
    <row r="559" spans="1:166" x14ac:dyDescent="0.3">
      <c r="A559" s="60" t="s">
        <v>498</v>
      </c>
      <c r="DU559" s="85">
        <f>+DU561*DU562/1000</f>
        <v>0</v>
      </c>
      <c r="DV559" s="85">
        <f>+DV561*DV562/1000</f>
        <v>0</v>
      </c>
      <c r="DW559" s="85">
        <f>+DW561*DW562/1000</f>
        <v>0</v>
      </c>
      <c r="DX559" s="85">
        <f>+DX561*DX562/1000</f>
        <v>0</v>
      </c>
      <c r="DY559" s="85">
        <f>+SUM(DU559:DX559)</f>
        <v>0</v>
      </c>
      <c r="DZ559" s="85">
        <f>+DZ561*DZ562/1000</f>
        <v>36.058950000000038</v>
      </c>
      <c r="EA559" s="85">
        <f>+EA561*EA562/1000</f>
        <v>28.5318</v>
      </c>
      <c r="EB559" s="85">
        <f>+EB561*EB562/1000</f>
        <v>32.418899999999958</v>
      </c>
      <c r="EC559" s="85">
        <f>+EC561*EC562/1000</f>
        <v>29.932740000000003</v>
      </c>
      <c r="ED559" s="85">
        <f>+SUM(DZ559:EC559)</f>
        <v>126.94238999999999</v>
      </c>
      <c r="EE559" s="85">
        <f>+EE561*EE562/1000</f>
        <v>35.952070000000049</v>
      </c>
      <c r="EF559" s="85">
        <f>+EF561*EF562/1000</f>
        <v>38.181495000000041</v>
      </c>
      <c r="EG559" s="85">
        <f>+EG561*EG562/1000</f>
        <v>48.459620000000037</v>
      </c>
      <c r="EH559" s="85">
        <f>+EH561*EH562/1000</f>
        <v>52.339759999999977</v>
      </c>
      <c r="EI559" s="132">
        <f>SUM(EE559:EH559)</f>
        <v>174.9329450000001</v>
      </c>
      <c r="EJ559" s="85">
        <f>+EJ561*EJ562/1000</f>
        <v>62.807976000000068</v>
      </c>
      <c r="EK559" s="85">
        <f>+EK561*EK562/1000</f>
        <v>69.013476000000011</v>
      </c>
      <c r="EL559" s="85">
        <f>+EL561*EL562/1000</f>
        <v>83.805119999999917</v>
      </c>
      <c r="EM559" s="85">
        <f>+EM561*EM562/1000</f>
        <v>83.461895999999996</v>
      </c>
      <c r="EN559" s="132">
        <f>SUM(EJ559:EM559)</f>
        <v>299.08846800000003</v>
      </c>
      <c r="EO559" s="85">
        <f>EO551+EO555</f>
        <v>99.096770450589872</v>
      </c>
      <c r="EP559" s="85">
        <f t="shared" ref="EP559:ER559" si="2633">EP551+EP555</f>
        <v>93.867115663339391</v>
      </c>
      <c r="EQ559" s="85">
        <f t="shared" si="2633"/>
        <v>106.51310508753863</v>
      </c>
      <c r="ER559" s="85">
        <f t="shared" si="2633"/>
        <v>102.8917218902241</v>
      </c>
      <c r="ES559" s="132">
        <f>SUM(EO559:ER559)</f>
        <v>402.36871309169203</v>
      </c>
      <c r="ET559" s="85">
        <f>ET551+ET555</f>
        <v>114.92825443229083</v>
      </c>
      <c r="EU559" s="85">
        <f>EU551+EU555</f>
        <v>128.01957710259791</v>
      </c>
      <c r="EV559" s="85">
        <f>EV551+EV555</f>
        <v>145.45255364810441</v>
      </c>
      <c r="EW559" s="85">
        <f t="shared" ref="EW559:FI559" si="2634">EW551+EW555</f>
        <v>131.35822967818532</v>
      </c>
      <c r="EX559" s="132">
        <f>SUM(ET559:EW559)</f>
        <v>519.75861486117844</v>
      </c>
      <c r="EY559" s="85">
        <f t="shared" ref="EY559:FB559" si="2635">EY551+EY555</f>
        <v>133.82955621730207</v>
      </c>
      <c r="EZ559" s="85">
        <f t="shared" si="2635"/>
        <v>143.16557467699164</v>
      </c>
      <c r="FA559" s="85">
        <f t="shared" si="2635"/>
        <v>157.82281084344888</v>
      </c>
      <c r="FB559" s="85">
        <f t="shared" si="2635"/>
        <v>155.16048124154744</v>
      </c>
      <c r="FC559" s="132">
        <f>SUM(EY559:FB559)</f>
        <v>589.97842297929003</v>
      </c>
      <c r="FD559" s="85">
        <f t="shared" si="2634"/>
        <v>601.04465668895909</v>
      </c>
      <c r="FE559" s="85">
        <f t="shared" si="2634"/>
        <v>603.37035517334311</v>
      </c>
      <c r="FF559" s="85">
        <f t="shared" si="2634"/>
        <v>561.63497146615521</v>
      </c>
      <c r="FG559" s="85">
        <f t="shared" si="2634"/>
        <v>535.60955014406272</v>
      </c>
      <c r="FH559" s="85">
        <f t="shared" si="2634"/>
        <v>508.66131395036888</v>
      </c>
      <c r="FI559" s="85">
        <f t="shared" si="2634"/>
        <v>483.31011701107974</v>
      </c>
      <c r="FJ559" s="189">
        <f>+(FF559/ES559)^0.2-1</f>
        <v>6.8971158061599036E-2</v>
      </c>
    </row>
    <row r="560" spans="1:166" x14ac:dyDescent="0.3">
      <c r="A560" s="70" t="s">
        <v>487</v>
      </c>
      <c r="DU560" s="136">
        <f>+DU559/DU$180/3*1000</f>
        <v>0</v>
      </c>
      <c r="DV560" s="136">
        <f>+DV559/DV$180/3*1000</f>
        <v>0</v>
      </c>
      <c r="DW560" s="136">
        <f>+DW559/DW$180/3*1000</f>
        <v>0</v>
      </c>
      <c r="DX560" s="136">
        <f>+DX559/DX$180/3*1000</f>
        <v>0</v>
      </c>
      <c r="DY560" s="137">
        <f>+DY559/DY$180/12*1000</f>
        <v>0</v>
      </c>
      <c r="DZ560" s="136">
        <f>+DZ559/DZ$180/3*1000</f>
        <v>9.9335950413223255</v>
      </c>
      <c r="EA560" s="136">
        <f>+EA559/EA$180/3*1000</f>
        <v>7.8019688269073013</v>
      </c>
      <c r="EB560" s="136">
        <f>+EB559/EB$180/3*1000</f>
        <v>8.8142740619902007</v>
      </c>
      <c r="EC560" s="136">
        <f>+EC559/EC$180/3*1000</f>
        <v>8.0888366436967978</v>
      </c>
      <c r="ED560" s="137">
        <f>+ED559/ED$180/12*1000</f>
        <v>8.6558514881865598</v>
      </c>
      <c r="EE560" s="136">
        <f>+EE559/EE$180/3*1000</f>
        <v>9.6295888576402966</v>
      </c>
      <c r="EF560" s="136">
        <f>+EF559/EF$180/3*1000</f>
        <v>10.125031821797943</v>
      </c>
      <c r="EG560" s="136">
        <f>+EG559/EG$180/3*1000</f>
        <v>12.64438878016961</v>
      </c>
      <c r="EH560" s="136">
        <f>+EH559/EH$180/3*1000</f>
        <v>13.277463216641292</v>
      </c>
      <c r="EI560" s="137">
        <f t="shared" ref="EI560:FI560" si="2636">+EI559/EI$180/12*1000</f>
        <v>11.449240460763145</v>
      </c>
      <c r="EJ560" s="136">
        <f>+EJ559/EJ$180/3*1000</f>
        <v>15.371506607929531</v>
      </c>
      <c r="EK560" s="136">
        <f>+EK559/EK$180/3*1000</f>
        <v>16.280602972399151</v>
      </c>
      <c r="EL560" s="136">
        <f>+EL559/EL$180/3*1000</f>
        <v>19.003428571428554</v>
      </c>
      <c r="EM560" s="136">
        <f>+EM559/EM$180/3*1000</f>
        <v>18.082958726031848</v>
      </c>
      <c r="EN560" s="137">
        <f>+EN559/EN$180/12*1000</f>
        <v>17.238031641739433</v>
      </c>
      <c r="EO560" s="136">
        <f t="shared" ref="EO560" si="2637">+EO559/EO$180/3*1000</f>
        <v>20.428111822426278</v>
      </c>
      <c r="EP560" s="136">
        <f t="shared" ref="EP560:EQ560" si="2638">+EP559/EP$180/3*1000</f>
        <v>18.508748035756561</v>
      </c>
      <c r="EQ560" s="136">
        <f t="shared" si="2638"/>
        <v>20.178669146071545</v>
      </c>
      <c r="ER560" s="136">
        <f t="shared" ref="ER560" si="2639">+ER559/ER$180/3*1000</f>
        <v>18.66516496874814</v>
      </c>
      <c r="ES560" s="137">
        <f>+ES559/ES$180/12*1000</f>
        <v>19.425433320862822</v>
      </c>
      <c r="ET560" s="136">
        <f t="shared" ref="ET560:EU560" si="2640">+ET559/ET$180/3*1000</f>
        <v>19.947627255452716</v>
      </c>
      <c r="EU560" s="136">
        <f t="shared" si="2640"/>
        <v>21.251589824468443</v>
      </c>
      <c r="EV560" s="136">
        <f t="shared" ref="EV560" si="2641">+EV559/EV$180/3*1000</f>
        <v>23.032866769296028</v>
      </c>
      <c r="EW560" s="136">
        <f t="shared" ref="EW560:FB560" si="2642">+EW559/EW$180/3*1000</f>
        <v>19.875658901223382</v>
      </c>
      <c r="EX560" s="137">
        <f>+EX559/EX$180/12*1000</f>
        <v>21.034768605644729</v>
      </c>
      <c r="EY560" s="136">
        <f t="shared" si="2642"/>
        <v>19.371618609795092</v>
      </c>
      <c r="EZ560" s="136">
        <f t="shared" si="2642"/>
        <v>19.800309313684735</v>
      </c>
      <c r="FA560" s="136">
        <f t="shared" si="2642"/>
        <v>20.859113273136924</v>
      </c>
      <c r="FB560" s="136">
        <f t="shared" si="2642"/>
        <v>19.580940534967752</v>
      </c>
      <c r="FC560" s="137">
        <f>+FC559/FC$180/12*1000</f>
        <v>19.912061725714647</v>
      </c>
      <c r="FD560" s="136">
        <f t="shared" si="2636"/>
        <v>17.018398042225979</v>
      </c>
      <c r="FE560" s="136">
        <f t="shared" si="2636"/>
        <v>14.81528504895746</v>
      </c>
      <c r="FF560" s="136">
        <f t="shared" si="2636"/>
        <v>12.4519304204048</v>
      </c>
      <c r="FG560" s="136">
        <f t="shared" si="2636"/>
        <v>11.075258319387951</v>
      </c>
      <c r="FH560" s="136">
        <f t="shared" si="2636"/>
        <v>10.025512865030535</v>
      </c>
      <c r="FI560" s="136">
        <f t="shared" si="2636"/>
        <v>9.2364986719055988</v>
      </c>
    </row>
    <row r="561" spans="1:166" x14ac:dyDescent="0.3">
      <c r="A561" s="70" t="s">
        <v>495</v>
      </c>
      <c r="DU561" s="77" cm="1">
        <f t="array" ref="DU561">+DU113*SUM(DU91:$DU91/DU90)</f>
        <v>0</v>
      </c>
      <c r="DV561" s="77" cm="1">
        <f t="array" ref="DV561">+DV113*SUM($DU91:DV91/DV90)</f>
        <v>0</v>
      </c>
      <c r="DW561" s="77" cm="1">
        <f t="array" ref="DW561">+DW113*SUM($DU91:DW91/DW90)</f>
        <v>0</v>
      </c>
      <c r="DX561" s="77" cm="1">
        <f t="array" ref="DX561">+DX113*SUM($DU91:DX91/DX90)</f>
        <v>0</v>
      </c>
      <c r="DY561" s="86">
        <f>+SUM(DU561:DX561)</f>
        <v>0</v>
      </c>
      <c r="DZ561" s="77">
        <f>DZ113</f>
        <v>80.131000000000085</v>
      </c>
      <c r="EA561" s="77">
        <f>EA113</f>
        <v>63.403999999999996</v>
      </c>
      <c r="EB561" s="77">
        <f>EB113</f>
        <v>72.041999999999916</v>
      </c>
      <c r="EC561" s="77">
        <f>EC113</f>
        <v>66.517200000000003</v>
      </c>
      <c r="ED561" s="86">
        <f>+SUM(DZ561:EC561)</f>
        <v>282.0942</v>
      </c>
      <c r="EE561" s="77">
        <f>EE113</f>
        <v>65.367400000000089</v>
      </c>
      <c r="EF561" s="77">
        <f>EF113</f>
        <v>69.420900000000074</v>
      </c>
      <c r="EG561" s="77">
        <f>EG113</f>
        <v>88.108400000000074</v>
      </c>
      <c r="EH561" s="77">
        <f>EH113</f>
        <v>95.163199999999961</v>
      </c>
      <c r="EI561" s="86">
        <f>+SUM(EE561:EH561)</f>
        <v>318.0599000000002</v>
      </c>
      <c r="EJ561" s="77">
        <f>EJ113</f>
        <v>99.695200000000114</v>
      </c>
      <c r="EK561" s="77">
        <f>EK113</f>
        <v>109.54520000000002</v>
      </c>
      <c r="EL561" s="77">
        <f>EL113</f>
        <v>133.02399999999989</v>
      </c>
      <c r="EM561" s="77">
        <f>EM113</f>
        <v>132.47919999999999</v>
      </c>
      <c r="EN561" s="86">
        <f>+SUM(EJ561:EM561)</f>
        <v>474.74360000000001</v>
      </c>
      <c r="EO561" s="77">
        <f>EO113</f>
        <v>140.70000000000005</v>
      </c>
      <c r="EP561" s="77">
        <f>EP113</f>
        <v>133.17570000000001</v>
      </c>
      <c r="EQ561" s="77">
        <f>EQ113</f>
        <v>150.9402</v>
      </c>
      <c r="ER561" s="77">
        <f>ER113</f>
        <v>145.69200000000001</v>
      </c>
      <c r="ES561" s="86">
        <f>+SUM(EO561:ER561)</f>
        <v>570.50790000000006</v>
      </c>
      <c r="ET561" s="77">
        <f>ET113</f>
        <v>154.86159999999995</v>
      </c>
      <c r="EU561" s="77">
        <f>EU113</f>
        <v>172.44599999999991</v>
      </c>
      <c r="EV561" s="77">
        <f>EV113</f>
        <v>195.76909999999998</v>
      </c>
      <c r="EW561" s="77">
        <f>EW113</f>
        <v>176.77010000000018</v>
      </c>
      <c r="EX561" s="86">
        <f>+SUM(ET561:EW561)</f>
        <v>699.84680000000003</v>
      </c>
      <c r="EY561" s="77">
        <f t="shared" ref="EY561:FB561" si="2643">EY113</f>
        <v>191.35455668959634</v>
      </c>
      <c r="EZ561" s="77">
        <f t="shared" si="2643"/>
        <v>204.92214714243278</v>
      </c>
      <c r="FA561" s="77">
        <f t="shared" si="2643"/>
        <v>225.86557747771596</v>
      </c>
      <c r="FB561" s="77">
        <f t="shared" si="2643"/>
        <v>222.17148949280312</v>
      </c>
      <c r="FC561" s="86">
        <f>+SUM(EY561:FB561)</f>
        <v>844.31377080254811</v>
      </c>
      <c r="FD561" s="77">
        <f t="shared" ref="FD561:FI561" si="2644">FD113</f>
        <v>921.98952763454338</v>
      </c>
      <c r="FE561" s="77">
        <f t="shared" si="2644"/>
        <v>941.05163944831088</v>
      </c>
      <c r="FF561" s="77">
        <f t="shared" si="2644"/>
        <v>902.93904805065415</v>
      </c>
      <c r="FG561" s="77">
        <f t="shared" si="2644"/>
        <v>880.04954318257001</v>
      </c>
      <c r="FH561" s="77">
        <f t="shared" si="2644"/>
        <v>848.85178687674772</v>
      </c>
      <c r="FI561" s="77">
        <f t="shared" si="2644"/>
        <v>814.47328950823953</v>
      </c>
    </row>
    <row r="562" spans="1:166" x14ac:dyDescent="0.3">
      <c r="A562" s="70" t="s">
        <v>496</v>
      </c>
      <c r="DU562" s="138">
        <v>450</v>
      </c>
      <c r="DV562" s="138">
        <f>+DU562</f>
        <v>450</v>
      </c>
      <c r="DW562" s="138">
        <f>+DV562</f>
        <v>450</v>
      </c>
      <c r="DX562" s="138">
        <f>+DW562</f>
        <v>450</v>
      </c>
      <c r="DY562" s="139"/>
      <c r="DZ562" s="138">
        <f>+DX562</f>
        <v>450</v>
      </c>
      <c r="EA562" s="138">
        <f>+DZ562</f>
        <v>450</v>
      </c>
      <c r="EB562" s="138">
        <f>+EA562</f>
        <v>450</v>
      </c>
      <c r="EC562" s="138">
        <f>+EB562</f>
        <v>450</v>
      </c>
      <c r="ED562" s="139">
        <f>+ED559/ED561*1000</f>
        <v>449.99999999999994</v>
      </c>
      <c r="EE562" s="138">
        <v>550</v>
      </c>
      <c r="EF562" s="138">
        <f>+EE562</f>
        <v>550</v>
      </c>
      <c r="EG562" s="138">
        <f>+EF562</f>
        <v>550</v>
      </c>
      <c r="EH562" s="138">
        <f>+EG562</f>
        <v>550</v>
      </c>
      <c r="EI562" s="139">
        <f>+EI559/EI561*1000</f>
        <v>549.99999999999989</v>
      </c>
      <c r="EJ562" s="138">
        <v>630</v>
      </c>
      <c r="EK562" s="138">
        <v>630</v>
      </c>
      <c r="EL562" s="138">
        <v>630</v>
      </c>
      <c r="EM562" s="138">
        <v>630</v>
      </c>
      <c r="EN562" s="139">
        <f>+EN559/EN561*1000</f>
        <v>630</v>
      </c>
      <c r="EO562" s="1488">
        <f>EO559/EO561*1000</f>
        <v>704.31251208663718</v>
      </c>
      <c r="EP562" s="1488">
        <f t="shared" ref="EP562:ER562" si="2645">EP559/EP561*1000</f>
        <v>704.83666061705992</v>
      </c>
      <c r="EQ562" s="1488">
        <f t="shared" si="2645"/>
        <v>705.66426364572612</v>
      </c>
      <c r="ER562" s="1488">
        <f t="shared" si="2645"/>
        <v>706.22767132185766</v>
      </c>
      <c r="ES562" s="139">
        <f>+ES559/ES561*1000</f>
        <v>705.28157996005314</v>
      </c>
      <c r="ET562" s="1488">
        <f>ET559/ET561*1000</f>
        <v>742.13526421198583</v>
      </c>
      <c r="EU562" s="1488">
        <f>EU559/EU561*1000</f>
        <v>742.37487156905911</v>
      </c>
      <c r="EV562" s="1488">
        <f>EV559/EV561*1000</f>
        <v>742.98014164699339</v>
      </c>
      <c r="EW562" s="1488">
        <f t="shared" ref="EW562" si="2646">EW559/EW561*1000</f>
        <v>743.10208388288061</v>
      </c>
      <c r="EX562" s="139">
        <f>+EX559/EX561*1000</f>
        <v>742.67484663954792</v>
      </c>
      <c r="EY562" s="1488">
        <f t="shared" ref="EY562:FB562" si="2647">EY559/EY561*1000</f>
        <v>699.38003323533178</v>
      </c>
      <c r="EZ562" s="1488">
        <f t="shared" si="2647"/>
        <v>698.63397721224965</v>
      </c>
      <c r="FA562" s="1488">
        <f t="shared" si="2647"/>
        <v>698.74662888380931</v>
      </c>
      <c r="FB562" s="1488">
        <f t="shared" si="2647"/>
        <v>698.38160420927284</v>
      </c>
      <c r="FC562" s="139">
        <f>+FC559/FC561*1000</f>
        <v>698.76678952955615</v>
      </c>
      <c r="FD562" s="1488">
        <f t="shared" ref="FD562" si="2648">FD559/FD561*1000</f>
        <v>651.89965685510492</v>
      </c>
      <c r="FE562" s="1488">
        <f t="shared" ref="FE562" si="2649">FE559/FE561*1000</f>
        <v>641.1660422026016</v>
      </c>
      <c r="FF562" s="1488">
        <f t="shared" ref="FF562" si="2650">FF559/FF561*1000</f>
        <v>622.00762352526806</v>
      </c>
      <c r="FG562" s="1488">
        <f t="shared" ref="FG562" si="2651">FG559/FG561*1000</f>
        <v>608.61295172895541</v>
      </c>
      <c r="FH562" s="1488">
        <f t="shared" ref="FH562" si="2652">FH559/FH561*1000</f>
        <v>599.23454460987773</v>
      </c>
      <c r="FI562" s="1488">
        <f t="shared" ref="FI562" si="2653">FI559/FI561*1000</f>
        <v>593.40204674224663</v>
      </c>
    </row>
    <row r="563" spans="1:166" x14ac:dyDescent="0.3">
      <c r="A563" s="70" t="s">
        <v>491</v>
      </c>
      <c r="DU563" s="75"/>
      <c r="DV563" s="75"/>
      <c r="DW563" s="75"/>
      <c r="DX563" s="75"/>
      <c r="DY563" s="84"/>
      <c r="DZ563" s="75">
        <f t="shared" ref="DZ563:FI563" si="2654">+DZ559/DZ206</f>
        <v>4.9805179558011101E-2</v>
      </c>
      <c r="EA563" s="75">
        <f t="shared" si="2654"/>
        <v>4.0185633802816902E-2</v>
      </c>
      <c r="EB563" s="75">
        <f t="shared" si="2654"/>
        <v>4.7052104499274251E-2</v>
      </c>
      <c r="EC563" s="75">
        <f t="shared" si="2654"/>
        <v>4.3380782608695656E-2</v>
      </c>
      <c r="ED563" s="84">
        <f t="shared" si="2654"/>
        <v>4.5127049413437606E-2</v>
      </c>
      <c r="EE563" s="75">
        <f t="shared" si="2654"/>
        <v>5.3026651917404202E-2</v>
      </c>
      <c r="EF563" s="75">
        <f t="shared" si="2654"/>
        <v>5.614925735294124E-2</v>
      </c>
      <c r="EG563" s="75">
        <f t="shared" si="2654"/>
        <v>7.0847397660818767E-2</v>
      </c>
      <c r="EH563" s="75">
        <f t="shared" si="2654"/>
        <v>7.7540385185185148E-2</v>
      </c>
      <c r="EI563" s="84">
        <f t="shared" si="2654"/>
        <v>6.4384595141700446E-2</v>
      </c>
      <c r="EJ563" s="75">
        <f t="shared" si="2654"/>
        <v>9.3464250000000096E-2</v>
      </c>
      <c r="EK563" s="75">
        <f t="shared" si="2654"/>
        <v>0.10074960000000002</v>
      </c>
      <c r="EL563" s="75">
        <f t="shared" si="2654"/>
        <v>0.12128092619392174</v>
      </c>
      <c r="EM563" s="75">
        <f t="shared" si="2654"/>
        <v>0.11575852427184466</v>
      </c>
      <c r="EN563" s="84">
        <f t="shared" si="2654"/>
        <v>0.10801317009750813</v>
      </c>
      <c r="EO563" s="75">
        <f t="shared" si="2654"/>
        <v>0.13593521323812055</v>
      </c>
      <c r="EP563" s="75">
        <f t="shared" si="2654"/>
        <v>0.12582723279268015</v>
      </c>
      <c r="EQ563" s="75">
        <f t="shared" si="2654"/>
        <v>0.14014882248360347</v>
      </c>
      <c r="ER563" s="75">
        <f t="shared" si="2654"/>
        <v>0.13502850641761693</v>
      </c>
      <c r="ES563" s="84">
        <f t="shared" si="2654"/>
        <v>0.13425716152542277</v>
      </c>
      <c r="ET563" s="75">
        <f t="shared" ref="ET563:EU563" si="2655">+ET559/ET206</f>
        <v>0.14276801792831159</v>
      </c>
      <c r="EU563" s="75">
        <f t="shared" si="2655"/>
        <v>0.1524042584554737</v>
      </c>
      <c r="EV563" s="75">
        <f t="shared" ref="EV563" si="2656">+EV559/EV206</f>
        <v>0.16776534446148145</v>
      </c>
      <c r="EW563" s="75">
        <f t="shared" si="2654"/>
        <v>0.14759351649234306</v>
      </c>
      <c r="EX563" s="84">
        <f t="shared" si="2654"/>
        <v>0.15278031007089313</v>
      </c>
      <c r="EY563" s="75">
        <f t="shared" ref="EY563:FC563" si="2657">+EY559/EY206</f>
        <v>0.14957937452335221</v>
      </c>
      <c r="EZ563" s="75">
        <f t="shared" si="2657"/>
        <v>0.15291693371613879</v>
      </c>
      <c r="FA563" s="75">
        <f t="shared" si="2657"/>
        <v>0.16290254247095101</v>
      </c>
      <c r="FB563" s="75">
        <f t="shared" si="2657"/>
        <v>0.15528025747004198</v>
      </c>
      <c r="FC563" s="84">
        <f t="shared" si="2657"/>
        <v>0.15529904438147524</v>
      </c>
      <c r="FD563" s="75">
        <f t="shared" si="2654"/>
        <v>0.14029929210240161</v>
      </c>
      <c r="FE563" s="75">
        <f t="shared" si="2654"/>
        <v>0.12612317519621555</v>
      </c>
      <c r="FF563" s="75">
        <f t="shared" si="2654"/>
        <v>0.10711668243340319</v>
      </c>
      <c r="FG563" s="75">
        <f t="shared" si="2654"/>
        <v>9.4845946954923391E-2</v>
      </c>
      <c r="FH563" s="75">
        <f t="shared" si="2654"/>
        <v>8.4674230220394234E-2</v>
      </c>
      <c r="FI563" s="75">
        <f t="shared" si="2654"/>
        <v>7.6410894018807587E-2</v>
      </c>
    </row>
    <row r="564" spans="1:166" x14ac:dyDescent="0.3">
      <c r="A564" s="55"/>
      <c r="EI564" s="85"/>
      <c r="EN564" s="85"/>
      <c r="EO564"/>
      <c r="EP564"/>
      <c r="EQ564"/>
      <c r="ER564"/>
      <c r="ES564" s="76"/>
      <c r="EX564" s="76"/>
      <c r="FC564" s="76"/>
      <c r="FD564" s="76"/>
      <c r="FE564" s="76"/>
      <c r="FF564" s="76"/>
      <c r="FG564" s="76"/>
      <c r="FH564" s="76"/>
      <c r="FI564" s="76"/>
    </row>
    <row r="565" spans="1:166" x14ac:dyDescent="0.3">
      <c r="A565" s="55" t="s">
        <v>499</v>
      </c>
      <c r="DU565" s="76">
        <f>+DU572-SUM(DU559,DU540)</f>
        <v>305</v>
      </c>
      <c r="DV565" s="76">
        <f>+DV572-SUM(DV559,DV540)</f>
        <v>275</v>
      </c>
      <c r="DW565" s="76">
        <f>+DW572-SUM(DW559,DW540)</f>
        <v>318</v>
      </c>
      <c r="DX565" s="76">
        <f>+DX572-SUM(DX559,DX540)</f>
        <v>328</v>
      </c>
      <c r="DY565" s="85">
        <f>+SUM(DU565:DX565)</f>
        <v>1226</v>
      </c>
      <c r="DZ565" s="76">
        <f>+DZ572-SUM(DZ559,DZ540)</f>
        <v>242.51604999999995</v>
      </c>
      <c r="EA565" s="76">
        <f>+EA572-SUM(EA559,EA540)</f>
        <v>189.8682</v>
      </c>
      <c r="EB565" s="76">
        <f>+EB572-SUM(EB559,EB540)</f>
        <v>274.15610000000004</v>
      </c>
      <c r="EC565" s="76">
        <f>+EC572-SUM(EC559,EC540)</f>
        <v>276.56726000000003</v>
      </c>
      <c r="ED565" s="85">
        <f>+SUM(DZ565:EC565)</f>
        <v>983.10761000000002</v>
      </c>
      <c r="EE565" s="76">
        <f>EE572-EE547-EE559</f>
        <v>277.04792999999995</v>
      </c>
      <c r="EF565" s="76">
        <f>EF572-EF547-EF559</f>
        <v>247.81850499999996</v>
      </c>
      <c r="EG565" s="76">
        <f>EG572-EG547-EG559</f>
        <v>200.54037999999997</v>
      </c>
      <c r="EH565" s="76">
        <f>EH572-EH547-EH559</f>
        <v>345.66024000000004</v>
      </c>
      <c r="EI565" s="85">
        <f>+SUM(EE565:EH565)</f>
        <v>1071.067055</v>
      </c>
      <c r="EJ565" s="76">
        <f>EJ572-EJ547-EJ559</f>
        <v>151.19202399999995</v>
      </c>
      <c r="EK565" s="76">
        <f>EK572-EK547-EK559</f>
        <v>246.98652399999997</v>
      </c>
      <c r="EL565" s="76">
        <f>EL572-EL547-EL559</f>
        <v>246.19488000000007</v>
      </c>
      <c r="EM565" s="76">
        <f>EM572-EM547-EM559</f>
        <v>277.53810399999998</v>
      </c>
      <c r="EN565" s="85">
        <f>+SUM(EJ565:EM565)</f>
        <v>921.91153199999997</v>
      </c>
      <c r="EO565" s="76">
        <f>EO572-EO547-EO559</f>
        <v>531.90322954941007</v>
      </c>
      <c r="EP565" s="76">
        <f>EP572-EP547-EP559</f>
        <v>544.1328843366606</v>
      </c>
      <c r="EQ565" s="76">
        <f>EQ572-EQ547-EQ559</f>
        <v>421.48689491246137</v>
      </c>
      <c r="ER565" s="76">
        <f>ER572-ER547-ER559</f>
        <v>67.108278109775895</v>
      </c>
      <c r="ES565" s="85">
        <f>+SUM(EO565:ER565)</f>
        <v>1564.6312869083081</v>
      </c>
      <c r="ET565" s="76">
        <f>ET572-ET547-ET559</f>
        <v>319.07174556770917</v>
      </c>
      <c r="EU565" s="76">
        <f>EU572-EU547-EU559</f>
        <v>245.98042289740209</v>
      </c>
      <c r="EV565" s="76">
        <f>EV572-EV547-EV559</f>
        <v>257.54744635189559</v>
      </c>
      <c r="EW565" s="76">
        <f>EW572-EW547-EW559</f>
        <v>423.64177032181465</v>
      </c>
      <c r="EX565" s="85">
        <f>+SUM(ET565:EW565)</f>
        <v>1246.2413851388214</v>
      </c>
      <c r="EY565" s="76">
        <f t="shared" ref="EY565:FB565" si="2658">+EY567*AVERAGE(EX99:EY99)/1000</f>
        <v>318.28859536363268</v>
      </c>
      <c r="EZ565" s="76">
        <f t="shared" si="2658"/>
        <v>245.86450462311166</v>
      </c>
      <c r="FA565" s="76">
        <f t="shared" si="2658"/>
        <v>257.87227806860693</v>
      </c>
      <c r="FB565" s="76">
        <f t="shared" si="2658"/>
        <v>384.94415111636511</v>
      </c>
      <c r="FC565" s="85">
        <f>+SUM(EY565:FB565)</f>
        <v>1206.9695291717162</v>
      </c>
      <c r="FD565" s="76">
        <f t="shared" ref="FD565:FI565" si="2659">+FD567*AVERAGE(FC99:FD99)/1000</f>
        <v>1213.9237635784734</v>
      </c>
      <c r="FE565" s="85">
        <f t="shared" si="2659"/>
        <v>1222.4212299235226</v>
      </c>
      <c r="FF565" s="85">
        <f t="shared" si="2659"/>
        <v>923.2336338997402</v>
      </c>
      <c r="FG565" s="85">
        <f t="shared" si="2659"/>
        <v>883.21145587018646</v>
      </c>
      <c r="FH565" s="85">
        <f t="shared" si="2659"/>
        <v>884.94696638097116</v>
      </c>
      <c r="FI565" s="85">
        <f t="shared" si="2659"/>
        <v>886.68588716990973</v>
      </c>
      <c r="FJ565" s="189">
        <f>+(FF565/ES565)^0.2-1</f>
        <v>-0.1001296933535013</v>
      </c>
    </row>
    <row r="566" spans="1:166" x14ac:dyDescent="0.3">
      <c r="A566" s="70" t="s">
        <v>500</v>
      </c>
      <c r="DU566" s="136">
        <f>+DU565/(DU451+DU453)/3*1000</f>
        <v>36.452730966893746</v>
      </c>
      <c r="DV566" s="136">
        <f>+DV565/(DV451+DV453)/3*1000</f>
        <v>33.333333333333336</v>
      </c>
      <c r="DW566" s="136">
        <f>+DW565/(DW451+DW453)/3*1000</f>
        <v>39.25925925925926</v>
      </c>
      <c r="DX566" s="136">
        <f>+DX565/(DX451+DX453)/3*1000</f>
        <v>41.079591708936071</v>
      </c>
      <c r="DY566" s="137">
        <f>+DY565/(DY451+DY453)/12*1000</f>
        <v>37.490634986162718</v>
      </c>
      <c r="DZ566" s="136">
        <f>+DZ565/(DZ451+DZ453)/3*1000</f>
        <v>23.913232756495582</v>
      </c>
      <c r="EA566" s="136">
        <f>+EA565/(EA451+EA453)/3*1000</f>
        <v>18.8473496128648</v>
      </c>
      <c r="EB566" s="136">
        <f>+EB565/(EB451+EB453)/3*1000</f>
        <v>27.492589249899723</v>
      </c>
      <c r="EC566" s="136">
        <f>+EC565/(EC451+EC453)/3*1000</f>
        <v>28.063648909183158</v>
      </c>
      <c r="ED566" s="137">
        <f>+ED565/(ED451+ED453)/12*1000</f>
        <v>24.551604170568773</v>
      </c>
      <c r="EE566" s="136">
        <f>+EE565/(EE451+EE453)/3*1000</f>
        <v>28.419544545314661</v>
      </c>
      <c r="EF566" s="136">
        <f>+EF565/(EF451+EF453)/3*1000</f>
        <v>25.689991706836672</v>
      </c>
      <c r="EG566" s="136">
        <f>+EG565/(EG451+EG453)/3*1000</f>
        <v>20.991299523734757</v>
      </c>
      <c r="EH566" s="136">
        <f>+EH565/(EH451+EH453)/3*1000</f>
        <v>36.35849794887978</v>
      </c>
      <c r="EI566" s="137">
        <f>+EI565/(EI451+EI453)/12*1000</f>
        <v>27.852116212245324</v>
      </c>
      <c r="EJ566" s="136">
        <f>+EJ565/(EJ451+EJ453)/3*1000</f>
        <v>15.913274813177555</v>
      </c>
      <c r="EK566" s="136">
        <f>+EK565/(EK451+EK453)/3*1000</f>
        <v>26.02049346818373</v>
      </c>
      <c r="EL566" s="136">
        <f>+EL565/(EL451+EL453)/3*1000</f>
        <v>26.048233613712117</v>
      </c>
      <c r="EM566" s="136">
        <f>+EM565/(EM451+EM453)/3*1000</f>
        <v>29.48611994687915</v>
      </c>
      <c r="EN566" s="137">
        <f>+EN565/(EN451+EN453)/12*1000</f>
        <v>24.352471986686744</v>
      </c>
      <c r="EO566" s="136">
        <f>+EO565/(EO451+EO453)/3*1000</f>
        <v>56.528320266688993</v>
      </c>
      <c r="EP566" s="136">
        <f>+EP565/(EP451+EP453)/3*1000</f>
        <v>57.883398152934483</v>
      </c>
      <c r="EQ566" s="136">
        <f>+EQ565/(EQ451+EQ453)/3*1000</f>
        <v>44.994597802237671</v>
      </c>
      <c r="ER566" s="136">
        <f>+ER565/(ER451+ER453)/3*1000</f>
        <v>7.1616539255937131</v>
      </c>
      <c r="ES566" s="137">
        <f>+ES565/(ES451+ES453)/12*1000</f>
        <v>41.670163175357096</v>
      </c>
      <c r="ET566" s="136">
        <f>+ET565/(ET451+ET453)/3*1000</f>
        <v>33.931168774148901</v>
      </c>
      <c r="EU566" s="136">
        <f>+EU565/(EU451+EU453)/3*1000</f>
        <v>26.054488178943128</v>
      </c>
      <c r="EV566" s="136">
        <f>+EV565/(EV451+EV453)/3*1000</f>
        <v>27.12453358103166</v>
      </c>
      <c r="EW566" s="136">
        <f>+EW565/(EW451+EW453)/3*1000</f>
        <v>44.344143017932133</v>
      </c>
      <c r="EX566" s="137">
        <f t="shared" ref="EX566:FI566" si="2660">+EX565/(EX451+EX453)/12*1000</f>
        <v>32.888432827667941</v>
      </c>
      <c r="EY566" s="136">
        <f t="shared" ref="EY566:FB566" si="2661">+EY565/(EY451+EY453)/3*1000</f>
        <v>32.996376176802947</v>
      </c>
      <c r="EZ566" s="136">
        <f t="shared" si="2661"/>
        <v>25.146586104417349</v>
      </c>
      <c r="FA566" s="136">
        <f t="shared" si="2661"/>
        <v>26.011047159795911</v>
      </c>
      <c r="FB566" s="136">
        <f t="shared" si="2661"/>
        <v>38.205137536895613</v>
      </c>
      <c r="FC566" s="137">
        <f t="shared" ref="FC566" si="2662">+FC565/(FC451+FC453)/12*1000</f>
        <v>30.623570869490973</v>
      </c>
      <c r="FD566" s="136">
        <f t="shared" si="2660"/>
        <v>28.66706031570466</v>
      </c>
      <c r="FE566" s="136">
        <f t="shared" si="2660"/>
        <v>26.63164471948301</v>
      </c>
      <c r="FF566" s="136">
        <f t="shared" si="2660"/>
        <v>18.757349760856741</v>
      </c>
      <c r="FG566" s="136">
        <f t="shared" si="2660"/>
        <v>17.058076836407924</v>
      </c>
      <c r="FH566" s="136">
        <f t="shared" si="2660"/>
        <v>16.492646651327863</v>
      </c>
      <c r="FI566" s="136">
        <f t="shared" si="2660"/>
        <v>16.152696464144839</v>
      </c>
    </row>
    <row r="567" spans="1:166" x14ac:dyDescent="0.3">
      <c r="A567" s="70" t="s">
        <v>489</v>
      </c>
      <c r="DU567" s="136">
        <f>+DU565/AVERAGE(DT$99:DU$99)*1000</f>
        <v>20.065789473684209</v>
      </c>
      <c r="DV567" s="136">
        <f>+DV565/AVERAGE(DU$99:DV$99)*1000</f>
        <v>18.092105263157894</v>
      </c>
      <c r="DW567" s="136">
        <f>+DW565/AVERAGE(DV$99:DW$99)*1000</f>
        <v>20.921052631578949</v>
      </c>
      <c r="DX567" s="136">
        <f>+DX565/AVERAGE(DW$99:DX$99)*1000</f>
        <v>21.578947368421051</v>
      </c>
      <c r="DY567" s="137">
        <f>+DY565/AVERAGE(DU$99:DX$99)*1000</f>
        <v>80.65789473684211</v>
      </c>
      <c r="DZ567" s="136">
        <f>+DZ565/AVERAGE(DY$99:DZ$99)*1000</f>
        <v>15.95500328947368</v>
      </c>
      <c r="EA567" s="136">
        <f>+EA565/AVERAGE(DZ$99:EA$99)*1000</f>
        <v>12.491328947368421</v>
      </c>
      <c r="EB567" s="136">
        <f>+EB565/AVERAGE(EA$99:EB$99)*1000</f>
        <v>18.03658552631579</v>
      </c>
      <c r="EC567" s="136">
        <f>+EC565/AVERAGE(EB$99:EC$99)*1000</f>
        <v>18.19521447368421</v>
      </c>
      <c r="ED567" s="137">
        <f>+ED565/AVERAGE(DZ$99:EC$99)*1000</f>
        <v>64.678132236842103</v>
      </c>
      <c r="EE567" s="136">
        <f>+EE565/AVERAGE(ED$99:EE$99)*1000</f>
        <v>18.226837499999995</v>
      </c>
      <c r="EF567" s="136">
        <f>+EF565/AVERAGE(EE$99:EF$99)*1000</f>
        <v>16.250393770491801</v>
      </c>
      <c r="EG567" s="136">
        <f>+EG565/AVERAGE(EF$99:EG$99)*1000</f>
        <v>13.107214379084965</v>
      </c>
      <c r="EH567" s="136">
        <f>+EH565/AVERAGE(EG$99:EH$99)*1000</f>
        <v>22.592172549019612</v>
      </c>
      <c r="EI567" s="137">
        <f>+EI565/AVERAGE(EE$99:EH$99)*1000</f>
        <v>70.118956137479543</v>
      </c>
      <c r="EJ567" s="136">
        <f>+EJ565/AVERAGE(EI$99:EJ$99)*1000</f>
        <v>9.8818316339869252</v>
      </c>
      <c r="EK567" s="136">
        <f>+EK565/AVERAGE(EJ$99:EK$99)*1000</f>
        <v>16.142910065359473</v>
      </c>
      <c r="EL567" s="136">
        <f>+EL565/AVERAGE(EK$99:EL$99)*1000</f>
        <v>16.091168627450987</v>
      </c>
      <c r="EM567" s="136">
        <f>+EM565/AVERAGE(EL$99:EM$99)*1000</f>
        <v>18.080658241042347</v>
      </c>
      <c r="EN567" s="137">
        <f>+EN565/AVERAGE(EJ$99:EM$99)*1000</f>
        <v>60.157359347471449</v>
      </c>
      <c r="EO567" s="136">
        <f>+EO565/AVERAGE(EN$99:EO$99)*1000</f>
        <v>34.539170749961691</v>
      </c>
      <c r="EP567" s="136">
        <f>+EP565/AVERAGE(EO$99:EP$99)*1000</f>
        <v>35.333304177705237</v>
      </c>
      <c r="EQ567" s="136">
        <f>+EQ565/AVERAGE(EP$99:EQ$99)*1000</f>
        <v>27.369278890419569</v>
      </c>
      <c r="ER567" s="136">
        <f>+ER565/AVERAGE(EQ$99:ER$99)*1000</f>
        <v>4.3576803967386946</v>
      </c>
      <c r="ES567" s="137">
        <f>+ES565/AVERAGE(EO$99:ER$99)*1000</f>
        <v>101.59943421482521</v>
      </c>
      <c r="ET567" s="136">
        <f>+ET565/AVERAGE(ES$99:ET$99)*1000</f>
        <v>20.718944517383711</v>
      </c>
      <c r="EU567" s="136">
        <f>+EU565/AVERAGE(ET$99:EU$99)*1000</f>
        <v>15.972754733597538</v>
      </c>
      <c r="EV567" s="136">
        <f>+EV565/AVERAGE(EU$99:EV$99)*1000</f>
        <v>16.723860152720494</v>
      </c>
      <c r="EW567" s="136">
        <f>+EW565/AVERAGE(EV$99:EW$99)*1000</f>
        <v>27.420179308855317</v>
      </c>
      <c r="EX567" s="137">
        <f>+EX565/AVERAGE(ET$99:EW$99)*1000</f>
        <v>80.79360681613106</v>
      </c>
      <c r="EY567" s="650">
        <f>ET567*0.99</f>
        <v>20.511755072209873</v>
      </c>
      <c r="EZ567" s="650">
        <f t="shared" ref="EZ567:FA567" si="2663">EU567*0.99</f>
        <v>15.813027186261563</v>
      </c>
      <c r="FA567" s="650">
        <f t="shared" si="2663"/>
        <v>16.556621551193288</v>
      </c>
      <c r="FB567" s="650">
        <f>EW567*0.9</f>
        <v>24.678161377969786</v>
      </c>
      <c r="FC567" s="137">
        <f>+FC565/AVERAGE(EY$99:FB$99)*1000</f>
        <v>77.501992446846302</v>
      </c>
      <c r="FD567" s="137">
        <f>FC567</f>
        <v>77.501992446846302</v>
      </c>
      <c r="FE567" s="650">
        <f>FD567</f>
        <v>77.501992446846302</v>
      </c>
      <c r="FF567" s="650">
        <f>FE567*0.75</f>
        <v>58.126494335134723</v>
      </c>
      <c r="FG567" s="650">
        <f>FF567*0.95</f>
        <v>55.220169618377987</v>
      </c>
      <c r="FH567" s="650">
        <f>FG567*0.995</f>
        <v>54.944068770286094</v>
      </c>
      <c r="FI567" s="650">
        <f>FH567*0.995</f>
        <v>54.669348426434667</v>
      </c>
    </row>
    <row r="568" spans="1:166" x14ac:dyDescent="0.3">
      <c r="A568" s="70" t="s">
        <v>501</v>
      </c>
      <c r="DU568" s="77">
        <f>+DU94</f>
        <v>11977</v>
      </c>
      <c r="DV568" s="77">
        <f>+DV94</f>
        <v>11977</v>
      </c>
      <c r="DW568" s="77">
        <f>+DW94</f>
        <v>11977</v>
      </c>
      <c r="DX568" s="77">
        <f>+DX94</f>
        <v>11977</v>
      </c>
      <c r="DY568" s="86">
        <f>+DX568</f>
        <v>11977</v>
      </c>
      <c r="DZ568" s="77">
        <f>+DZ94</f>
        <v>11968</v>
      </c>
      <c r="EA568" s="77">
        <f>+EA94</f>
        <v>11960</v>
      </c>
      <c r="EB568" s="77">
        <f>+EB94</f>
        <v>11951</v>
      </c>
      <c r="EC568" s="77">
        <f>+EC94</f>
        <v>11891</v>
      </c>
      <c r="ED568" s="86">
        <f>+EC568</f>
        <v>11891</v>
      </c>
      <c r="EE568" s="77">
        <f>+EE94</f>
        <v>11787</v>
      </c>
      <c r="EF568" s="77">
        <f>+EF94</f>
        <v>11730</v>
      </c>
      <c r="EG568" s="77">
        <f>+EG94</f>
        <v>11545</v>
      </c>
      <c r="EH568" s="77">
        <f>+EH94</f>
        <v>11353</v>
      </c>
      <c r="EI568" s="86">
        <f>+EH568</f>
        <v>11353</v>
      </c>
      <c r="EJ568" s="77">
        <f>+EJ94</f>
        <v>11142</v>
      </c>
      <c r="EK568" s="77">
        <f>+EK94</f>
        <v>10861</v>
      </c>
      <c r="EL568" s="77">
        <f>+EL94</f>
        <v>10510</v>
      </c>
      <c r="EM568" s="77">
        <f>+EM94</f>
        <v>10229</v>
      </c>
      <c r="EN568" s="86">
        <f>+EM568</f>
        <v>10229</v>
      </c>
      <c r="EO568" s="77">
        <f>+EO94</f>
        <v>9890</v>
      </c>
      <c r="EP568" s="77">
        <f>+EP94</f>
        <v>9574</v>
      </c>
      <c r="EQ568" s="77">
        <f>+EQ94</f>
        <v>9242</v>
      </c>
      <c r="ER568" s="77">
        <f>+ER94</f>
        <v>8909</v>
      </c>
      <c r="ES568" s="86">
        <f>+ER568</f>
        <v>8909</v>
      </c>
      <c r="ET568" s="77">
        <f>+ET94</f>
        <v>8587</v>
      </c>
      <c r="EU568" s="77">
        <f>+EU94</f>
        <v>8199</v>
      </c>
      <c r="EV568" s="77">
        <f>+EV94</f>
        <v>7818</v>
      </c>
      <c r="EW568" s="77">
        <f>+EW94</f>
        <v>7677</v>
      </c>
      <c r="EX568" s="86">
        <f>+EW568</f>
        <v>7677</v>
      </c>
      <c r="EY568" s="77">
        <f t="shared" ref="EY568:FB568" si="2664">+EY94</f>
        <v>7397.4857357357359</v>
      </c>
      <c r="EZ568" s="77">
        <f t="shared" si="2664"/>
        <v>7045.7570570570551</v>
      </c>
      <c r="FA568" s="77">
        <f t="shared" si="2664"/>
        <v>6700.8602102102122</v>
      </c>
      <c r="FB568" s="77">
        <f t="shared" si="2664"/>
        <v>6485.4999999999982</v>
      </c>
      <c r="FC568" s="86">
        <f>+FB568</f>
        <v>6485.4999999999982</v>
      </c>
      <c r="FD568" s="77">
        <f t="shared" ref="FD568:FI568" si="2665">+FD94</f>
        <v>5694.7594999999965</v>
      </c>
      <c r="FE568" s="77">
        <f t="shared" si="2665"/>
        <v>5704.5538164999944</v>
      </c>
      <c r="FF568" s="77">
        <f t="shared" si="2665"/>
        <v>5714.116003215493</v>
      </c>
      <c r="FG568" s="77">
        <f t="shared" si="2665"/>
        <v>5723.4414283380011</v>
      </c>
      <c r="FH568" s="77">
        <f t="shared" si="2665"/>
        <v>5732.5253975673641</v>
      </c>
      <c r="FI568" s="77">
        <f t="shared" si="2665"/>
        <v>5741.3631533736461</v>
      </c>
    </row>
    <row r="569" spans="1:166" x14ac:dyDescent="0.3">
      <c r="A569" s="70" t="s">
        <v>502</v>
      </c>
      <c r="DU569" s="136">
        <f>+DU567</f>
        <v>20.065789473684209</v>
      </c>
      <c r="DV569" s="136">
        <f>+DV565/AVERAGE(DU$568:DV$568)*1000</f>
        <v>22.960674626367204</v>
      </c>
      <c r="DW569" s="136">
        <f>+DW565/AVERAGE(DV$568:DW$568)*1000</f>
        <v>26.550889204308259</v>
      </c>
      <c r="DX569" s="136">
        <f>+DX565/AVERAGE(DW$568:DX$568)*1000</f>
        <v>27.385822827085249</v>
      </c>
      <c r="DY569" s="137">
        <f>+DY565/AVERAGE(DU$568:DX$568)*1000</f>
        <v>102.36286215245887</v>
      </c>
      <c r="DZ569" s="136">
        <f>+DZ565/AVERAGE(DY$568:DZ$568)*1000</f>
        <v>20.256091041971182</v>
      </c>
      <c r="EA569" s="136">
        <f>+EA565/AVERAGE(DZ$568:EA$568)*1000</f>
        <v>15.869959879638916</v>
      </c>
      <c r="EB569" s="136">
        <f>+EB565/AVERAGE(EA$568:EB$568)*1000</f>
        <v>22.931378863284682</v>
      </c>
      <c r="EC569" s="136">
        <f>+EC565/AVERAGE(EB$568:EC$568)*1000</f>
        <v>23.200005033134808</v>
      </c>
      <c r="ED569" s="137">
        <f>+ED565/AVERAGE(DZ$568:EC$568)*1000</f>
        <v>82.320084571907046</v>
      </c>
      <c r="EE569" s="136">
        <f>+EE565/AVERAGE(ED$568:EE$568)*1000</f>
        <v>23.401294872877774</v>
      </c>
      <c r="EF569" s="136">
        <f>+EF565/AVERAGE(EE$568:EF$568)*1000</f>
        <v>21.075690351660498</v>
      </c>
      <c r="EG569" s="136">
        <f>+EG565/AVERAGE(EF$568:EG$568)*1000</f>
        <v>17.232256068743283</v>
      </c>
      <c r="EH569" s="136">
        <f>+EH565/AVERAGE(EG$568:EH$568)*1000</f>
        <v>30.191304044021315</v>
      </c>
      <c r="EI569" s="137">
        <f>+EI565/AVERAGE(EE$568:EH$568)*1000</f>
        <v>92.303527307982336</v>
      </c>
      <c r="EJ569" s="136">
        <f>+EJ565/AVERAGE(EI$568:EJ$568)*1000</f>
        <v>13.442278195154474</v>
      </c>
      <c r="EK569" s="136">
        <f>+EK565/AVERAGE(EJ$568:EK$568)*1000</f>
        <v>22.450258964686629</v>
      </c>
      <c r="EL569" s="136">
        <f>+EL565/AVERAGE(EK$568:EL$568)*1000</f>
        <v>23.040089841373831</v>
      </c>
      <c r="EM569" s="136">
        <f>+EM565/AVERAGE(EL$568:EM$568)*1000</f>
        <v>26.764849221273927</v>
      </c>
      <c r="EN569" s="137">
        <f>+EN565/AVERAGE(EJ$568:EM$568)*1000</f>
        <v>86.276873520190904</v>
      </c>
      <c r="EO569" s="136">
        <f>+EO565/AVERAGE(EN$568:EO$568)*1000</f>
        <v>52.875712465769681</v>
      </c>
      <c r="EP569" s="136">
        <f>+EP565/AVERAGE(EO$568:EP$568)*1000</f>
        <v>55.911722599328051</v>
      </c>
      <c r="EQ569" s="136">
        <f>+EQ565/AVERAGE(EP$568:EQ$568)*1000</f>
        <v>44.800902945627271</v>
      </c>
      <c r="ER569" s="136">
        <f>+ER565/AVERAGE(EQ$568:ER$568)*1000</f>
        <v>7.3944441749518912</v>
      </c>
      <c r="ES569" s="137">
        <f>+ES565/AVERAGE(EO$568:ER$568)*1000</f>
        <v>166.38376040497761</v>
      </c>
      <c r="ET569" s="136">
        <f>+ET565/AVERAGE(ES$568:ET$568)*1000</f>
        <v>36.473679191553401</v>
      </c>
      <c r="EU569" s="136">
        <f>+EU565/AVERAGE(ET$568:EU$568)*1000</f>
        <v>29.307806850637682</v>
      </c>
      <c r="EV569" s="136">
        <f>+EV565/AVERAGE(EU$568:EV$568)*1000</f>
        <v>32.159261578559729</v>
      </c>
      <c r="EW569" s="136">
        <f>+EW565/AVERAGE(EV$568:EW$568)*1000</f>
        <v>54.68109329742687</v>
      </c>
      <c r="EX569" s="137">
        <f>+EX565/AVERAGE(ET$568:EW$568)*1000</f>
        <v>154.42413619637824</v>
      </c>
      <c r="EY569" s="136">
        <f t="shared" ref="EY569" si="2666">+EY565/AVERAGE(EX$568:EY$568)*1000</f>
        <v>42.228783249181674</v>
      </c>
      <c r="EZ569" s="136">
        <f t="shared" ref="EZ569" si="2667">+EZ565/AVERAGE(EY$568:EZ$568)*1000</f>
        <v>34.045609860660733</v>
      </c>
      <c r="FA569" s="136">
        <f t="shared" ref="FA569" si="2668">+FA565/AVERAGE(EZ$568:FA$568)*1000</f>
        <v>37.517925036385357</v>
      </c>
      <c r="FB569" s="136">
        <f t="shared" ref="FB569" si="2669">+FB565/AVERAGE(FA$568:FB$568)*1000</f>
        <v>58.385201826703103</v>
      </c>
      <c r="FC569" s="137">
        <f>+FC565/AVERAGE(EY$568:FB$568)*1000</f>
        <v>174.73570344684768</v>
      </c>
      <c r="FD569" s="136">
        <f t="shared" ref="FD569:FI569" si="2670">+FD565/AVERAGE(FC$568:FD$568)*1000</f>
        <v>199.32642052141401</v>
      </c>
      <c r="FE569" s="136">
        <f t="shared" si="2670"/>
        <v>214.47278375165337</v>
      </c>
      <c r="FF569" s="136">
        <f t="shared" si="2670"/>
        <v>161.70598650740982</v>
      </c>
      <c r="FG569" s="136">
        <f t="shared" si="2670"/>
        <v>154.44057197625372</v>
      </c>
      <c r="FH569" s="136">
        <f t="shared" si="2670"/>
        <v>154.49537866674711</v>
      </c>
      <c r="FI569" s="136">
        <f t="shared" si="2670"/>
        <v>154.55717270274334</v>
      </c>
    </row>
    <row r="570" spans="1:166" x14ac:dyDescent="0.3">
      <c r="A570" s="70" t="s">
        <v>503</v>
      </c>
      <c r="DU570" s="75"/>
      <c r="DV570" s="75"/>
      <c r="DW570" s="75"/>
      <c r="DX570" s="75"/>
      <c r="DY570" s="84"/>
      <c r="DZ570" s="75">
        <f t="shared" ref="DZ570:FI570" si="2671">+DZ565/DZ12</f>
        <v>0.13555955841252093</v>
      </c>
      <c r="EA570" s="75">
        <f t="shared" si="2671"/>
        <v>0.10824868871151654</v>
      </c>
      <c r="EB570" s="75">
        <f t="shared" si="2671"/>
        <v>0.15874701795020268</v>
      </c>
      <c r="EC570" s="75">
        <f t="shared" si="2671"/>
        <v>0.16307031839622643</v>
      </c>
      <c r="ED570" s="84">
        <f t="shared" si="2671"/>
        <v>0.14112943008900375</v>
      </c>
      <c r="EE570" s="75">
        <f t="shared" si="2671"/>
        <v>0.1654017492537313</v>
      </c>
      <c r="EF570" s="75">
        <f t="shared" si="2671"/>
        <v>0.15325819727891155</v>
      </c>
      <c r="EG570" s="75">
        <f t="shared" si="2671"/>
        <v>0.12724643401015226</v>
      </c>
      <c r="EH570" s="75">
        <f t="shared" si="2671"/>
        <v>0.22401830200907327</v>
      </c>
      <c r="EI570" s="84">
        <f t="shared" si="2671"/>
        <v>0.16706708079862737</v>
      </c>
      <c r="EJ570" s="75">
        <f t="shared" si="2671"/>
        <v>0.10448654042847266</v>
      </c>
      <c r="EK570" s="75">
        <f t="shared" si="2671"/>
        <v>0.16928480054832076</v>
      </c>
      <c r="EL570" s="75">
        <f t="shared" si="2671"/>
        <v>0.17049506925207761</v>
      </c>
      <c r="EM570" s="75">
        <f t="shared" si="2671"/>
        <v>0.19313716353514265</v>
      </c>
      <c r="EN570" s="84">
        <f t="shared" si="2671"/>
        <v>0.15930733229652669</v>
      </c>
      <c r="EO570" s="75">
        <f t="shared" si="2671"/>
        <v>0.36937724274264588</v>
      </c>
      <c r="EP570" s="75">
        <f t="shared" si="2671"/>
        <v>0.37552303956981409</v>
      </c>
      <c r="EQ570" s="75">
        <f t="shared" si="2671"/>
        <v>0.29351455077469457</v>
      </c>
      <c r="ER570" s="75">
        <f t="shared" si="2671"/>
        <v>4.7060503583293056E-2</v>
      </c>
      <c r="ES570" s="84">
        <f t="shared" si="2671"/>
        <v>0.27206247381469451</v>
      </c>
      <c r="ET570" s="75">
        <f t="shared" ref="ET570:EU570" si="2672">+ET565/ET12</f>
        <v>0.21824332802168889</v>
      </c>
      <c r="EU570" s="75">
        <f t="shared" si="2672"/>
        <v>0.1662029884441906</v>
      </c>
      <c r="EV570" s="75">
        <f t="shared" ref="EV570:EW570" si="2673">+EV565/EV12</f>
        <v>0.17296672018260281</v>
      </c>
      <c r="EW570" s="75">
        <f t="shared" si="2673"/>
        <v>0.28130263633586627</v>
      </c>
      <c r="EX570" s="84">
        <f t="shared" si="2671"/>
        <v>0.2099109626307599</v>
      </c>
      <c r="EY570" s="75">
        <f t="shared" ref="EY570:FC570" si="2674">+EY565/EY12</f>
        <v>0.21643107681059195</v>
      </c>
      <c r="EZ570" s="75">
        <f t="shared" si="2674"/>
        <v>0.16417951000217276</v>
      </c>
      <c r="FA570" s="75">
        <f t="shared" si="2674"/>
        <v>0.17034416798864441</v>
      </c>
      <c r="FB570" s="75">
        <f t="shared" si="2674"/>
        <v>0.25015307029083145</v>
      </c>
      <c r="FC570" s="84">
        <f t="shared" si="2674"/>
        <v>0.20046585876550621</v>
      </c>
      <c r="FD570" s="75">
        <f t="shared" si="2671"/>
        <v>0.19497032864660746</v>
      </c>
      <c r="FE570" s="75">
        <f t="shared" si="2671"/>
        <v>0.18794148740349687</v>
      </c>
      <c r="FF570" s="75">
        <f t="shared" si="2671"/>
        <v>0.13574577715603584</v>
      </c>
      <c r="FG570" s="75">
        <f t="shared" si="2671"/>
        <v>0.1247978054778343</v>
      </c>
      <c r="FH570" s="75">
        <f t="shared" si="2671"/>
        <v>0.12070189532006481</v>
      </c>
      <c r="FI570" s="75">
        <f t="shared" si="2671"/>
        <v>0.11728852614591455</v>
      </c>
    </row>
    <row r="571" spans="1:166" x14ac:dyDescent="0.3">
      <c r="A571" s="70"/>
      <c r="DY571" s="45"/>
      <c r="EO571"/>
      <c r="EP571"/>
      <c r="EQ571"/>
      <c r="ER571"/>
    </row>
    <row r="572" spans="1:166" x14ac:dyDescent="0.3">
      <c r="A572" s="55" t="s">
        <v>504</v>
      </c>
      <c r="DU572" s="44">
        <f>+Inputs!DU78</f>
        <v>305</v>
      </c>
      <c r="DV572" s="44">
        <f>+Inputs!DV78</f>
        <v>275</v>
      </c>
      <c r="DW572" s="44">
        <f>+Inputs!DW78</f>
        <v>318</v>
      </c>
      <c r="DX572" s="44">
        <f>+Inputs!DX78</f>
        <v>328</v>
      </c>
      <c r="DY572" s="45">
        <f>+SUM(DU572:DX572)</f>
        <v>1226</v>
      </c>
      <c r="DZ572" s="44">
        <f>+Inputs!DZ78</f>
        <v>286</v>
      </c>
      <c r="EA572" s="44">
        <f>+Inputs!EA78</f>
        <v>225</v>
      </c>
      <c r="EB572" s="44">
        <f>+Inputs!EB78</f>
        <v>314</v>
      </c>
      <c r="EC572" s="44">
        <f>+Inputs!EC78</f>
        <v>356</v>
      </c>
      <c r="ED572" s="85">
        <f>+SUM(DZ572:EC572)</f>
        <v>1181</v>
      </c>
      <c r="EE572" s="44">
        <f>+Inputs!EE78</f>
        <v>384</v>
      </c>
      <c r="EF572" s="44">
        <f>+Inputs!EF78</f>
        <v>385</v>
      </c>
      <c r="EG572" s="44">
        <f>+Inputs!EG78</f>
        <v>377</v>
      </c>
      <c r="EH572" s="44">
        <f>+Inputs!EH78</f>
        <v>559</v>
      </c>
      <c r="EI572" s="85">
        <f>+SUM(EE572:EH572)</f>
        <v>1705</v>
      </c>
      <c r="EJ572" s="44">
        <f>+Inputs!EJ78</f>
        <v>447</v>
      </c>
      <c r="EK572" s="44">
        <f>+Inputs!EK78</f>
        <v>641</v>
      </c>
      <c r="EL572" s="44">
        <f>+Inputs!EL78</f>
        <v>772</v>
      </c>
      <c r="EM572" s="44">
        <f>+Inputs!EM78</f>
        <v>878</v>
      </c>
      <c r="EN572" s="85">
        <f>+SUM(EJ572:EM572)</f>
        <v>2738</v>
      </c>
      <c r="EO572" s="44">
        <f>+Inputs!EO78</f>
        <v>1154</v>
      </c>
      <c r="EP572" s="44">
        <f>+Inputs!EP78</f>
        <v>1057</v>
      </c>
      <c r="EQ572" s="44">
        <f>+Inputs!EQ78</f>
        <v>671</v>
      </c>
      <c r="ER572" s="44">
        <f>+Inputs!ER78</f>
        <v>329</v>
      </c>
      <c r="ES572" s="85">
        <f>+SUM(EO572:ER572)</f>
        <v>3211</v>
      </c>
      <c r="ET572" s="44">
        <f>+Inputs!ET78</f>
        <v>666</v>
      </c>
      <c r="EU572" s="44">
        <f>+Inputs!EU78</f>
        <v>626</v>
      </c>
      <c r="EV572" s="44">
        <f>+Inputs!EV78</f>
        <v>699</v>
      </c>
      <c r="EW572" s="44">
        <f>+Inputs!EW78</f>
        <v>792</v>
      </c>
      <c r="EX572" s="85">
        <f>+SUM(ET572:EW572)</f>
        <v>2783</v>
      </c>
      <c r="EY572" s="76">
        <f t="shared" ref="EY572:FB572" si="2675">EY547+EY559+EY565</f>
        <v>789.95223566501863</v>
      </c>
      <c r="EZ572" s="76">
        <f t="shared" si="2675"/>
        <v>796.10965887968393</v>
      </c>
      <c r="FA572" s="76">
        <f t="shared" si="2675"/>
        <v>815.43044927241476</v>
      </c>
      <c r="FB572" s="76">
        <f t="shared" si="2675"/>
        <v>792.95560833388913</v>
      </c>
      <c r="FC572" s="85">
        <f>+SUM(EY572:FB572)</f>
        <v>3194.4479521510066</v>
      </c>
      <c r="FD572" s="76">
        <f t="shared" ref="FD572:FI572" si="2676">FD547+FD559+FD565</f>
        <v>2782.4684202674325</v>
      </c>
      <c r="FE572" s="76">
        <f t="shared" si="2676"/>
        <v>1926.0215850968652</v>
      </c>
      <c r="FF572" s="76">
        <f t="shared" si="2676"/>
        <v>1586.100905365895</v>
      </c>
      <c r="FG572" s="76">
        <f t="shared" si="2676"/>
        <v>1521.0656290142479</v>
      </c>
      <c r="FH572" s="76">
        <f t="shared" si="2676"/>
        <v>1496.8753495613416</v>
      </c>
      <c r="FI572" s="76">
        <f t="shared" si="2676"/>
        <v>1474.2957441032881</v>
      </c>
      <c r="FJ572" s="189">
        <f>+(FF572/ES572)^0.2-1</f>
        <v>-0.13156343376798318</v>
      </c>
    </row>
    <row r="573" spans="1:166" x14ac:dyDescent="0.3">
      <c r="A573" s="70" t="s">
        <v>500</v>
      </c>
      <c r="DU573" s="136">
        <f>+DU572/(DU451+DU453)/3*1000</f>
        <v>36.452730966893746</v>
      </c>
      <c r="DV573" s="136">
        <f>+DV572/(DV451+DV453)/3*1000</f>
        <v>33.333333333333336</v>
      </c>
      <c r="DW573" s="136">
        <f>+DW572/(DW451+DW453)/3*1000</f>
        <v>39.25925925925926</v>
      </c>
      <c r="DX573" s="136">
        <f>+DX572/(DX451+DX453)/3*1000</f>
        <v>41.079591708936071</v>
      </c>
      <c r="DY573" s="137">
        <f>+DY572/(DY451+DY453)/12*1000</f>
        <v>37.490634986162718</v>
      </c>
      <c r="DZ573" s="136">
        <f>+DZ572/(DZ451+DZ453)/3*1000</f>
        <v>28.200956466006016</v>
      </c>
      <c r="EA573" s="136">
        <f>+EA572/(EA451+EA453)/3*1000</f>
        <v>22.334723049434189</v>
      </c>
      <c r="EB573" s="136">
        <f>+EB572/(EB451+EB453)/3*1000</f>
        <v>31.488166867228237</v>
      </c>
      <c r="EC573" s="136">
        <f>+EC572/(EC451+EC453)/3*1000</f>
        <v>36.123795027904613</v>
      </c>
      <c r="ED573" s="137">
        <f>+ED572/(ED451+ED453)/12*1000</f>
        <v>29.49366298308048</v>
      </c>
      <c r="EE573" s="136">
        <f>+EE572/(EE451+EE453)/3*1000</f>
        <v>39.390675488536701</v>
      </c>
      <c r="EF573" s="136">
        <f>+EF572/(EF451+EF453)/3*1000</f>
        <v>39.910848494272528</v>
      </c>
      <c r="EG573" s="136">
        <f>+EG572/(EG451+EG453)/3*1000</f>
        <v>39.461977285811479</v>
      </c>
      <c r="EH573" s="136">
        <f>+EH572/(EH451+EH453)/3*1000</f>
        <v>58.79877984642895</v>
      </c>
      <c r="EI573" s="137">
        <f>+EI572/(EI451+EI453)/12*1000</f>
        <v>44.336960902861748</v>
      </c>
      <c r="EJ573" s="136">
        <f>+EJ572/(EJ451+EJ453)/3*1000</f>
        <v>47.047679191664031</v>
      </c>
      <c r="EK573" s="136">
        <f>+EK572/(EK451+EK453)/3*1000</f>
        <v>67.530552043826376</v>
      </c>
      <c r="EL573" s="136">
        <f>+EL572/(EL451+EL453)/3*1000</f>
        <v>81.680156588901241</v>
      </c>
      <c r="EM573" s="136">
        <f>+EM572/(EM451+EM453)/3*1000</f>
        <v>93.280212483399737</v>
      </c>
      <c r="EN573" s="137">
        <f>+EN572/(EN451+EN453)/12*1000</f>
        <v>72.324801225664999</v>
      </c>
      <c r="EO573" s="136">
        <f>+EO572/(EO451+EO453)/3*1000</f>
        <v>122.64201073383283</v>
      </c>
      <c r="EP573" s="136">
        <f>+EP572/(EP451+EP453)/3*1000</f>
        <v>112.44082761555237</v>
      </c>
      <c r="EQ573" s="136">
        <f>+EQ572/(EQ451+EQ453)/3*1000</f>
        <v>71.630637843608227</v>
      </c>
      <c r="ER573" s="136">
        <f>+ER572/(ER451+ER453)/3*1000</f>
        <v>35.110186222720237</v>
      </c>
      <c r="ES573" s="137">
        <f>+ES572/(ES451+ES453)/12*1000</f>
        <v>85.517204644721417</v>
      </c>
      <c r="ET573" s="136">
        <f>+ET572/(ET451+ET453)/3*1000</f>
        <v>70.824692933482211</v>
      </c>
      <c r="EU573" s="136">
        <f>+EU572/(EU451+EU453)/3*1000</f>
        <v>66.306535324647811</v>
      </c>
      <c r="EV573" s="136">
        <f>+EV572/(EV451+EV453)/3*1000</f>
        <v>73.617693522906805</v>
      </c>
      <c r="EW573" s="136">
        <f>+EW572/(EW451+EW453)/3*1000</f>
        <v>82.901554404145074</v>
      </c>
      <c r="EX573" s="137">
        <f t="shared" ref="EX573:FI573" si="2677">+EX572/(EX451+EX453)/12*1000</f>
        <v>73.443643944791916</v>
      </c>
      <c r="EY573" s="136">
        <f t="shared" ref="EY573:FB573" si="2678">+EY572/(EY451+EY453)/3*1000</f>
        <v>81.892852930940023</v>
      </c>
      <c r="EZ573" s="136">
        <f t="shared" si="2678"/>
        <v>81.424685992247277</v>
      </c>
      <c r="FA573" s="136">
        <f t="shared" si="2678"/>
        <v>82.250794968799937</v>
      </c>
      <c r="FB573" s="136">
        <f t="shared" si="2678"/>
        <v>78.699671080055111</v>
      </c>
      <c r="FC573" s="137">
        <f t="shared" ref="FC573" si="2679">+FC572/(FC451+FC453)/12*1000</f>
        <v>81.050433243935672</v>
      </c>
      <c r="FD573" s="136">
        <f t="shared" si="2677"/>
        <v>65.708566240777415</v>
      </c>
      <c r="FE573" s="136">
        <f t="shared" si="2677"/>
        <v>41.960268130785202</v>
      </c>
      <c r="FF573" s="136">
        <f t="shared" si="2677"/>
        <v>32.224832746063591</v>
      </c>
      <c r="FG573" s="136">
        <f t="shared" si="2677"/>
        <v>29.377397904537336</v>
      </c>
      <c r="FH573" s="136">
        <f t="shared" si="2677"/>
        <v>27.897079892096155</v>
      </c>
      <c r="FI573" s="136">
        <f t="shared" si="2677"/>
        <v>26.857145238759927</v>
      </c>
    </row>
    <row r="574" spans="1:166" x14ac:dyDescent="0.3">
      <c r="A574" s="70" t="s">
        <v>489</v>
      </c>
      <c r="DU574" s="136">
        <f>+DU572/AVERAGE(DT99:DU99)*1000</f>
        <v>20.065789473684209</v>
      </c>
      <c r="DV574" s="136">
        <f>+DV572/AVERAGE(DU99:DV99)*1000</f>
        <v>18.092105263157894</v>
      </c>
      <c r="DW574" s="136">
        <f>+DW572/AVERAGE(DV99:DW99)*1000</f>
        <v>20.921052631578949</v>
      </c>
      <c r="DX574" s="136">
        <f>+DX572/AVERAGE(DW99:DX99)*1000</f>
        <v>21.578947368421051</v>
      </c>
      <c r="DY574" s="137">
        <f>+DY572/AVERAGE(DU99:DX99)*1000</f>
        <v>80.65789473684211</v>
      </c>
      <c r="DZ574" s="136">
        <f>+DZ572/AVERAGE(DY$99:DZ$99)*1000</f>
        <v>18.815789473684209</v>
      </c>
      <c r="EA574" s="136">
        <f>+EA572/AVERAGE(DZ99:EA99)*1000</f>
        <v>14.802631578947368</v>
      </c>
      <c r="EB574" s="136">
        <f>+EB572/AVERAGE(EA99:EB99)*1000</f>
        <v>20.657894736842103</v>
      </c>
      <c r="EC574" s="136">
        <f>+EC572/AVERAGE(EB99:EC99)*1000</f>
        <v>23.421052631578945</v>
      </c>
      <c r="ED574" s="137">
        <f>+ED572/AVERAGE(DZ99:EC99)*1000</f>
        <v>77.69736842105263</v>
      </c>
      <c r="EE574" s="136">
        <f>+EE572/AVERAGE(ED$99:EE$99)*1000</f>
        <v>25.263157894736842</v>
      </c>
      <c r="EF574" s="136">
        <f>+EF572/AVERAGE(EE$99:EF$99)*1000</f>
        <v>25.245901639344261</v>
      </c>
      <c r="EG574" s="136">
        <f>+EG572/AVERAGE(EF$99:EG$99)*1000</f>
        <v>24.640522875816995</v>
      </c>
      <c r="EH574" s="136">
        <f>+EH572/AVERAGE(EG$99:EH$99)*1000</f>
        <v>36.535947712418306</v>
      </c>
      <c r="EI574" s="137">
        <f>+EI572/AVERAGE(EE99:EH99)*1000</f>
        <v>111.620294599018</v>
      </c>
      <c r="EJ574" s="136">
        <f>+EJ572/AVERAGE(EI$99:EJ$99)*1000</f>
        <v>29.215686274509803</v>
      </c>
      <c r="EK574" s="136">
        <f>+EK572/AVERAGE(EJ$99:EK$99)*1000</f>
        <v>41.895424836601308</v>
      </c>
      <c r="EL574" s="136">
        <f>+EL572/AVERAGE(EK$99:EL$99)*1000</f>
        <v>50.457516339869279</v>
      </c>
      <c r="EM574" s="136">
        <f>+EM572/AVERAGE(EL$99:EM$99)*1000</f>
        <v>57.198697068403909</v>
      </c>
      <c r="EN574" s="137">
        <f>+EN572/AVERAGE(EJ99:EM99)*1000</f>
        <v>178.66231647634584</v>
      </c>
      <c r="EO574" s="136">
        <f>+EO572/AVERAGE(EN$99:EO$99)*1000</f>
        <v>74.935064935064943</v>
      </c>
      <c r="EP574" s="136">
        <f>+EP572/AVERAGE(EO$99:EP$99)*1000</f>
        <v>68.63636363636364</v>
      </c>
      <c r="EQ574" s="136">
        <f>+EQ572/AVERAGE(EP$99:EQ$99)*1000</f>
        <v>43.571428571428577</v>
      </c>
      <c r="ER574" s="136">
        <f>+ER572/AVERAGE(EQ$99:ER$99)*1000</f>
        <v>21.363636363636363</v>
      </c>
      <c r="ES574" s="137">
        <f>+ES572/AVERAGE(EO99:ER99)*1000</f>
        <v>208.50649350649351</v>
      </c>
      <c r="ET574" s="136">
        <f>+ET572/AVERAGE(ES$99:ET$99)*1000</f>
        <v>43.246753246753251</v>
      </c>
      <c r="EU574" s="136">
        <f>+EU572/AVERAGE(ET$99:EU$99)*1000</f>
        <v>40.649350649350652</v>
      </c>
      <c r="EV574" s="136">
        <f>+EV572/AVERAGE(EU$99:EV$99)*1000</f>
        <v>45.38961038961039</v>
      </c>
      <c r="EW574" s="136">
        <f>+EW572/AVERAGE(EV$99:EW$99)*1000</f>
        <v>51.262135922330096</v>
      </c>
      <c r="EX574" s="137">
        <f>+EX572/AVERAGE(ET99:EW99)*1000</f>
        <v>180.42139384116692</v>
      </c>
      <c r="EY574" s="136">
        <f t="shared" ref="EY574:FB574" si="2680">+EY572/AVERAGE(EX99:EY99)*1000</f>
        <v>50.907594594125527</v>
      </c>
      <c r="EZ574" s="136">
        <f t="shared" si="2680"/>
        <v>51.202607299526733</v>
      </c>
      <c r="FA574" s="136">
        <f t="shared" si="2680"/>
        <v>52.354496772743474</v>
      </c>
      <c r="FB574" s="136">
        <f t="shared" si="2680"/>
        <v>50.835131307436043</v>
      </c>
      <c r="FC574" s="137">
        <f>+FC572/AVERAGE(EY99:FB99)*1000</f>
        <v>205.12206404195658</v>
      </c>
      <c r="FD574" s="136">
        <f t="shared" ref="FD574:FI574" si="2681">+FD572/AVERAGE(FC99:FD99)*1000</f>
        <v>177.64447238058747</v>
      </c>
      <c r="FE574" s="136">
        <f t="shared" si="2681"/>
        <v>122.11053496672245</v>
      </c>
      <c r="FF574" s="136">
        <f t="shared" si="2681"/>
        <v>99.860405758045346</v>
      </c>
      <c r="FG574" s="136">
        <f t="shared" si="2681"/>
        <v>95.100104823817929</v>
      </c>
      <c r="FH574" s="136">
        <f t="shared" si="2681"/>
        <v>92.937119704682985</v>
      </c>
      <c r="FI574" s="136">
        <f t="shared" si="2681"/>
        <v>90.898917964336349</v>
      </c>
    </row>
    <row r="575" spans="1:166" x14ac:dyDescent="0.3">
      <c r="A575" s="70" t="s">
        <v>503</v>
      </c>
      <c r="DU575" s="75"/>
      <c r="DV575" s="75"/>
      <c r="DW575" s="75"/>
      <c r="DX575" s="75"/>
      <c r="DY575" s="84"/>
      <c r="DZ575" s="75">
        <f t="shared" ref="DZ575:FI575" si="2682">+DZ572/DZ12</f>
        <v>0.15986584684181107</v>
      </c>
      <c r="EA575" s="75">
        <f t="shared" si="2682"/>
        <v>0.12827822120866592</v>
      </c>
      <c r="EB575" s="75">
        <f t="shared" si="2682"/>
        <v>0.18181818181818182</v>
      </c>
      <c r="EC575" s="75">
        <f t="shared" si="2682"/>
        <v>0.2099056603773585</v>
      </c>
      <c r="ED575" s="84">
        <f t="shared" si="2682"/>
        <v>0.16953775480907263</v>
      </c>
      <c r="EE575" s="75">
        <f t="shared" si="2682"/>
        <v>0.22925373134328358</v>
      </c>
      <c r="EF575" s="75">
        <f t="shared" si="2682"/>
        <v>0.23809523809523808</v>
      </c>
      <c r="EG575" s="75">
        <f t="shared" si="2682"/>
        <v>0.23921319796954316</v>
      </c>
      <c r="EH575" s="75">
        <f t="shared" si="2682"/>
        <v>0.36228127025275436</v>
      </c>
      <c r="EI575" s="84">
        <f t="shared" si="2682"/>
        <v>0.26594914989861174</v>
      </c>
      <c r="EJ575" s="75">
        <f t="shared" si="2682"/>
        <v>0.30891499654457499</v>
      </c>
      <c r="EK575" s="75">
        <f t="shared" si="2682"/>
        <v>0.43934201507882109</v>
      </c>
      <c r="EL575" s="75">
        <f t="shared" si="2682"/>
        <v>0.53462603878116344</v>
      </c>
      <c r="EM575" s="75">
        <f t="shared" si="2682"/>
        <v>0.61099512874043149</v>
      </c>
      <c r="EN575" s="84">
        <f t="shared" si="2682"/>
        <v>0.4731294280283394</v>
      </c>
      <c r="EO575" s="75">
        <f t="shared" si="2682"/>
        <v>0.80138888888888893</v>
      </c>
      <c r="EP575" s="75">
        <f t="shared" si="2682"/>
        <v>0.72946859903381644</v>
      </c>
      <c r="EQ575" s="75">
        <f t="shared" si="2682"/>
        <v>0.46727019498607242</v>
      </c>
      <c r="ER575" s="75">
        <f t="shared" si="2682"/>
        <v>0.23071528751753156</v>
      </c>
      <c r="ES575" s="84">
        <f t="shared" si="2682"/>
        <v>0.55833768040340814</v>
      </c>
      <c r="ET575" s="75">
        <f t="shared" ref="ET575:EU575" si="2683">+ET572/ET12</f>
        <v>0.45554035567715456</v>
      </c>
      <c r="EU575" s="75">
        <f t="shared" si="2683"/>
        <v>0.42297297297297298</v>
      </c>
      <c r="EV575" s="75">
        <f t="shared" ref="EV575:EW575" si="2684">+EV572/EV12</f>
        <v>0.46944257891202151</v>
      </c>
      <c r="EW575" s="75">
        <f t="shared" si="2684"/>
        <v>0.52589641434262946</v>
      </c>
      <c r="EX575" s="84">
        <f t="shared" si="2682"/>
        <v>0.46875526360114533</v>
      </c>
      <c r="EY575" s="75">
        <f t="shared" ref="EY575:FC575" si="2685">+EY572/EY12</f>
        <v>0.53715469383559744</v>
      </c>
      <c r="EZ575" s="75">
        <f t="shared" si="2685"/>
        <v>0.53161351575829285</v>
      </c>
      <c r="FA575" s="75">
        <f t="shared" si="2685"/>
        <v>0.53865356320682378</v>
      </c>
      <c r="FB575" s="75">
        <f t="shared" si="2685"/>
        <v>0.51529625649278632</v>
      </c>
      <c r="FC575" s="84">
        <f t="shared" si="2685"/>
        <v>0.53056662702091906</v>
      </c>
      <c r="FD575" s="75">
        <f t="shared" si="2682"/>
        <v>0.44689691282518379</v>
      </c>
      <c r="FE575" s="75">
        <f t="shared" si="2682"/>
        <v>0.29611671706404497</v>
      </c>
      <c r="FF575" s="75">
        <f t="shared" si="2682"/>
        <v>0.23320911645877812</v>
      </c>
      <c r="FG575" s="75">
        <f t="shared" si="2682"/>
        <v>0.21492661947156647</v>
      </c>
      <c r="FH575" s="75">
        <f t="shared" si="2682"/>
        <v>0.20416555863095337</v>
      </c>
      <c r="FI575" s="75">
        <f t="shared" si="2682"/>
        <v>0.19501604506301781</v>
      </c>
    </row>
    <row r="576" spans="1:166" x14ac:dyDescent="0.3">
      <c r="A576" s="135" t="s">
        <v>505</v>
      </c>
      <c r="DU576" s="143">
        <f>+DU572/$DY572</f>
        <v>0.24877650897226752</v>
      </c>
      <c r="DV576" s="143">
        <f>+DV572/$DY572</f>
        <v>0.22430668841761828</v>
      </c>
      <c r="DW576" s="143">
        <f>+DW572/$DY572</f>
        <v>0.25938009787928223</v>
      </c>
      <c r="DX576" s="143">
        <f>+DX572/$DY572</f>
        <v>0.26753670473083196</v>
      </c>
      <c r="DY576" s="145">
        <f>+DY572/$DY572</f>
        <v>1</v>
      </c>
      <c r="DZ576" s="143">
        <f t="shared" ref="DZ576:EG576" si="2686">+DZ572/$ED572</f>
        <v>0.24216765453005928</v>
      </c>
      <c r="EA576" s="143">
        <f t="shared" si="2686"/>
        <v>0.19051651143099069</v>
      </c>
      <c r="EB576" s="143">
        <f t="shared" si="2686"/>
        <v>0.26587637595258257</v>
      </c>
      <c r="EC576" s="143">
        <f t="shared" si="2686"/>
        <v>0.30143945808636746</v>
      </c>
      <c r="ED576" s="145">
        <f t="shared" si="2686"/>
        <v>1</v>
      </c>
      <c r="EE576" s="143">
        <f t="shared" si="2686"/>
        <v>0.32514817950889074</v>
      </c>
      <c r="EF576" s="143">
        <f t="shared" si="2686"/>
        <v>0.32599491955969517</v>
      </c>
      <c r="EG576" s="143">
        <f t="shared" si="2686"/>
        <v>0.31922099915325997</v>
      </c>
      <c r="EH576" s="143">
        <f t="shared" ref="EH576:EK576" si="2687">+EH572/$ED572</f>
        <v>0.47332768839966133</v>
      </c>
      <c r="EI576" s="145">
        <f t="shared" ref="EI576:EN576" si="2688">+EI572/$EI572</f>
        <v>1</v>
      </c>
      <c r="EJ576" s="143">
        <f t="shared" si="2687"/>
        <v>0.37849280270956814</v>
      </c>
      <c r="EK576" s="143">
        <f t="shared" si="2687"/>
        <v>0.54276037256562237</v>
      </c>
      <c r="EL576" s="143">
        <f t="shared" ref="EL576:EM576" si="2689">+EL572/$ED572</f>
        <v>0.6536833192209992</v>
      </c>
      <c r="EM576" s="143">
        <f t="shared" si="2689"/>
        <v>0.74343776460626587</v>
      </c>
      <c r="EN576" s="145">
        <f t="shared" si="2688"/>
        <v>1.6058651026392963</v>
      </c>
      <c r="EO576" s="143">
        <f t="shared" ref="EO576:EP576" si="2690">+EO572/$ED572</f>
        <v>0.97713801862828109</v>
      </c>
      <c r="EP576" s="143">
        <f t="shared" si="2690"/>
        <v>0.89500423370025406</v>
      </c>
      <c r="EQ576" s="143">
        <f t="shared" ref="EQ576:ER576" si="2691">+EQ572/$ED572</f>
        <v>0.56816257408975446</v>
      </c>
      <c r="ER576" s="143">
        <f t="shared" si="2691"/>
        <v>0.27857747671464861</v>
      </c>
      <c r="ES576" s="145">
        <f t="shared" ref="ES576" si="2692">+ES572/$EI572</f>
        <v>1.8832844574780059</v>
      </c>
      <c r="ET576" s="143">
        <f t="shared" ref="ET576:EU576" si="2693">+ET572/$ED572</f>
        <v>0.56392887383573242</v>
      </c>
      <c r="EU576" s="143">
        <f t="shared" si="2693"/>
        <v>0.53005927180355628</v>
      </c>
      <c r="EV576" s="143">
        <f t="shared" ref="EV576:EW576" si="2694">+EV572/$ED572</f>
        <v>0.59187129551227768</v>
      </c>
      <c r="EW576" s="143">
        <f t="shared" si="2694"/>
        <v>0.67061812023708722</v>
      </c>
      <c r="EX576" s="145">
        <f t="shared" ref="EX576" si="2695">+EX572/$EI572</f>
        <v>1.6322580645161291</v>
      </c>
      <c r="EY576" s="143">
        <f t="shared" ref="EY576:FC576" si="2696">+EY572/$EI572</f>
        <v>0.46331509423168249</v>
      </c>
      <c r="EZ576" s="143">
        <f t="shared" si="2696"/>
        <v>0.46692648614644217</v>
      </c>
      <c r="FA576" s="143">
        <f t="shared" si="2696"/>
        <v>0.47825832801901158</v>
      </c>
      <c r="FB576" s="143">
        <f t="shared" si="2696"/>
        <v>0.46507660312838073</v>
      </c>
      <c r="FC576" s="145">
        <f t="shared" si="2696"/>
        <v>1.873576511525517</v>
      </c>
      <c r="FD576" s="143">
        <f t="shared" ref="FD576:FI576" si="2697">+FD572/FD572</f>
        <v>1</v>
      </c>
      <c r="FE576" s="143">
        <f t="shared" si="2697"/>
        <v>1</v>
      </c>
      <c r="FF576" s="143">
        <f t="shared" si="2697"/>
        <v>1</v>
      </c>
      <c r="FG576" s="143">
        <f t="shared" si="2697"/>
        <v>1</v>
      </c>
      <c r="FH576" s="143">
        <f t="shared" si="2697"/>
        <v>1</v>
      </c>
      <c r="FI576" s="143">
        <f t="shared" si="2697"/>
        <v>1</v>
      </c>
    </row>
    <row r="577" spans="1:166" x14ac:dyDescent="0.3">
      <c r="A577" s="70"/>
      <c r="EO577"/>
      <c r="EP577"/>
      <c r="EQ577"/>
      <c r="ER577"/>
    </row>
    <row r="578" spans="1:166" x14ac:dyDescent="0.3">
      <c r="A578" s="1" t="s">
        <v>506</v>
      </c>
      <c r="EE578" s="363">
        <f>EE572</f>
        <v>384</v>
      </c>
      <c r="EF578" s="363">
        <f t="shared" ref="EF578:EH578" si="2698">EF572</f>
        <v>385</v>
      </c>
      <c r="EG578" s="363">
        <f t="shared" si="2698"/>
        <v>377</v>
      </c>
      <c r="EH578" s="363">
        <f t="shared" si="2698"/>
        <v>559</v>
      </c>
      <c r="EI578" s="85">
        <f t="shared" ref="EI578:EI584" si="2699">SUM(EE578:EH578)</f>
        <v>1705</v>
      </c>
      <c r="EJ578" s="363">
        <f>EJ572</f>
        <v>447</v>
      </c>
      <c r="EK578" s="363">
        <f t="shared" ref="EK578:EM578" si="2700">EK572</f>
        <v>641</v>
      </c>
      <c r="EL578" s="363">
        <f t="shared" si="2700"/>
        <v>772</v>
      </c>
      <c r="EM578" s="363">
        <f t="shared" si="2700"/>
        <v>878</v>
      </c>
      <c r="EN578" s="85">
        <f t="shared" ref="EN578:EN584" si="2701">SUM(EJ578:EM578)</f>
        <v>2738</v>
      </c>
      <c r="EO578" s="363">
        <f>EO572</f>
        <v>1154</v>
      </c>
      <c r="EP578" s="363">
        <f t="shared" ref="EP578:ER578" si="2702">EP572</f>
        <v>1057</v>
      </c>
      <c r="EQ578" s="363">
        <f t="shared" si="2702"/>
        <v>671</v>
      </c>
      <c r="ER578" s="363">
        <f t="shared" si="2702"/>
        <v>329</v>
      </c>
      <c r="ES578" s="85">
        <f t="shared" ref="ES578:ES584" si="2703">SUM(EO578:ER578)</f>
        <v>3211</v>
      </c>
      <c r="ET578" s="363">
        <f>ET572</f>
        <v>666</v>
      </c>
      <c r="EU578" s="363">
        <f>EU572</f>
        <v>626</v>
      </c>
      <c r="EV578" s="363">
        <f>EV572</f>
        <v>699</v>
      </c>
      <c r="EW578" s="363">
        <f>EW572</f>
        <v>792</v>
      </c>
      <c r="EX578" s="85">
        <f t="shared" ref="EX578:EX584" si="2704">SUM(ET578:EW578)</f>
        <v>2783</v>
      </c>
      <c r="EY578" s="363">
        <f t="shared" ref="EY578:FB578" si="2705">EY572</f>
        <v>789.95223566501863</v>
      </c>
      <c r="EZ578" s="363">
        <f t="shared" si="2705"/>
        <v>796.10965887968393</v>
      </c>
      <c r="FA578" s="363">
        <f t="shared" si="2705"/>
        <v>815.43044927241476</v>
      </c>
      <c r="FB578" s="363">
        <f t="shared" si="2705"/>
        <v>792.95560833388913</v>
      </c>
      <c r="FC578" s="85">
        <f t="shared" ref="FC578:FC584" si="2706">SUM(EY578:FB578)</f>
        <v>3194.4479521510066</v>
      </c>
      <c r="FD578" s="363">
        <f t="shared" ref="FD578:FE578" si="2707">FD572</f>
        <v>2782.4684202674325</v>
      </c>
      <c r="FE578" s="363">
        <f t="shared" si="2707"/>
        <v>1926.0215850968652</v>
      </c>
      <c r="FF578" s="363">
        <f>FF572</f>
        <v>1586.100905365895</v>
      </c>
      <c r="FG578" s="363">
        <f t="shared" ref="FG578:FI578" si="2708">FG572</f>
        <v>1521.0656290142479</v>
      </c>
      <c r="FH578" s="363">
        <f t="shared" si="2708"/>
        <v>1496.8753495613416</v>
      </c>
      <c r="FI578" s="363">
        <f t="shared" si="2708"/>
        <v>1474.2957441032881</v>
      </c>
    </row>
    <row r="579" spans="1:166" x14ac:dyDescent="0.3">
      <c r="A579" s="1" t="s">
        <v>507</v>
      </c>
      <c r="EE579" s="161">
        <f>Inputs!EE301</f>
        <v>0</v>
      </c>
      <c r="EF579" s="161">
        <f>Inputs!EF301</f>
        <v>0</v>
      </c>
      <c r="EG579" s="161">
        <f>Inputs!EG301</f>
        <v>0</v>
      </c>
      <c r="EH579" s="161">
        <f>Inputs!EH301</f>
        <v>0</v>
      </c>
      <c r="EI579" s="100">
        <f t="shared" si="2699"/>
        <v>0</v>
      </c>
      <c r="EJ579" s="161">
        <f>Inputs!EJ301</f>
        <v>0</v>
      </c>
      <c r="EK579" s="161">
        <f>Inputs!EK301</f>
        <v>0</v>
      </c>
      <c r="EL579" s="161">
        <f>Inputs!EL301</f>
        <v>0</v>
      </c>
      <c r="EM579" s="161">
        <f>Inputs!EM301</f>
        <v>0</v>
      </c>
      <c r="EN579" s="100">
        <f t="shared" si="2701"/>
        <v>0</v>
      </c>
      <c r="EO579" s="161">
        <f>Inputs!EO301</f>
        <v>0</v>
      </c>
      <c r="EP579" s="161">
        <f>Inputs!EP301</f>
        <v>0</v>
      </c>
      <c r="EQ579" s="161">
        <f>Inputs!EQ301</f>
        <v>0</v>
      </c>
      <c r="ER579" s="161">
        <f>Inputs!ER301</f>
        <v>4</v>
      </c>
      <c r="ES579" s="100">
        <f t="shared" si="2703"/>
        <v>4</v>
      </c>
      <c r="ET579" s="161">
        <f>Inputs!ET301</f>
        <v>363</v>
      </c>
      <c r="EU579" s="161">
        <f>Inputs!EU301</f>
        <v>52</v>
      </c>
      <c r="EV579" s="161">
        <f>Inputs!EV301</f>
        <v>0</v>
      </c>
      <c r="EW579" s="161">
        <f>Inputs!EW301</f>
        <v>48</v>
      </c>
      <c r="EX579" s="1111">
        <f t="shared" si="2704"/>
        <v>463</v>
      </c>
      <c r="EY579" s="901">
        <f t="shared" ref="EY579:FB579" si="2709">-EY582</f>
        <v>0</v>
      </c>
      <c r="EZ579" s="901">
        <f t="shared" si="2709"/>
        <v>0</v>
      </c>
      <c r="FA579" s="901">
        <f t="shared" si="2709"/>
        <v>0</v>
      </c>
      <c r="FB579" s="901">
        <f t="shared" si="2709"/>
        <v>0</v>
      </c>
      <c r="FC579" s="1111">
        <f t="shared" si="2706"/>
        <v>0</v>
      </c>
      <c r="FD579" s="901">
        <f t="shared" ref="FD579:FI579" si="2710">-FD582</f>
        <v>300</v>
      </c>
      <c r="FE579" s="901">
        <f t="shared" si="2710"/>
        <v>25</v>
      </c>
      <c r="FF579" s="901">
        <f t="shared" si="2710"/>
        <v>25</v>
      </c>
      <c r="FG579" s="901">
        <f t="shared" si="2710"/>
        <v>150</v>
      </c>
      <c r="FH579" s="901">
        <f t="shared" si="2710"/>
        <v>150</v>
      </c>
      <c r="FI579" s="901">
        <f t="shared" si="2710"/>
        <v>150</v>
      </c>
    </row>
    <row r="580" spans="1:166" x14ac:dyDescent="0.3">
      <c r="A580" s="4" t="s">
        <v>508</v>
      </c>
      <c r="EE580" s="76">
        <f>SUM(EE578:EE579)</f>
        <v>384</v>
      </c>
      <c r="EF580" s="76">
        <f>SUM(EF578:EF579)</f>
        <v>385</v>
      </c>
      <c r="EG580" s="76">
        <f>SUM(EG578:EG579)</f>
        <v>377</v>
      </c>
      <c r="EH580" s="76">
        <f>SUM(EH578:EH579)</f>
        <v>559</v>
      </c>
      <c r="EI580" s="85">
        <f t="shared" si="2699"/>
        <v>1705</v>
      </c>
      <c r="EJ580" s="76">
        <f>SUM(EJ578:EJ579)</f>
        <v>447</v>
      </c>
      <c r="EK580" s="76">
        <f>SUM(EK578:EK579)</f>
        <v>641</v>
      </c>
      <c r="EL580" s="76">
        <f>SUM(EL578:EL579)</f>
        <v>772</v>
      </c>
      <c r="EM580" s="76">
        <f>SUM(EM578:EM579)</f>
        <v>878</v>
      </c>
      <c r="EN580" s="85">
        <f t="shared" si="2701"/>
        <v>2738</v>
      </c>
      <c r="EO580" s="76">
        <f>SUM(EO578:EO579)</f>
        <v>1154</v>
      </c>
      <c r="EP580" s="76">
        <f>SUM(EP578:EP579)</f>
        <v>1057</v>
      </c>
      <c r="EQ580" s="76">
        <f>SUM(EQ578:EQ579)</f>
        <v>671</v>
      </c>
      <c r="ER580" s="76">
        <f>SUM(ER578:ER579)</f>
        <v>333</v>
      </c>
      <c r="ES580" s="85">
        <f t="shared" si="2703"/>
        <v>3215</v>
      </c>
      <c r="ET580" s="76">
        <f>SUM(ET578:ET579)</f>
        <v>1029</v>
      </c>
      <c r="EU580" s="76">
        <f>SUM(EU578:EU579)</f>
        <v>678</v>
      </c>
      <c r="EV580" s="76">
        <f>SUM(EV578:EV579)</f>
        <v>699</v>
      </c>
      <c r="EW580" s="76">
        <f>SUM(EW578:EW579)</f>
        <v>840</v>
      </c>
      <c r="EX580" s="85">
        <f t="shared" si="2704"/>
        <v>3246</v>
      </c>
      <c r="EY580" s="76">
        <f t="shared" ref="EY580:FB580" si="2711">SUM(EY578:EY579)</f>
        <v>789.95223566501863</v>
      </c>
      <c r="EZ580" s="76">
        <f t="shared" si="2711"/>
        <v>796.10965887968393</v>
      </c>
      <c r="FA580" s="76">
        <f t="shared" si="2711"/>
        <v>815.43044927241476</v>
      </c>
      <c r="FB580" s="76">
        <f t="shared" si="2711"/>
        <v>792.95560833388913</v>
      </c>
      <c r="FC580" s="85">
        <f t="shared" si="2706"/>
        <v>3194.4479521510066</v>
      </c>
      <c r="FD580" s="76">
        <f t="shared" ref="FD580:FI580" si="2712">SUM(FD578:FD579)</f>
        <v>3082.4684202674325</v>
      </c>
      <c r="FE580" s="76">
        <f t="shared" si="2712"/>
        <v>1951.0215850968652</v>
      </c>
      <c r="FF580" s="76">
        <f t="shared" si="2712"/>
        <v>1611.100905365895</v>
      </c>
      <c r="FG580" s="76">
        <f t="shared" si="2712"/>
        <v>1671.0656290142479</v>
      </c>
      <c r="FH580" s="76">
        <f t="shared" si="2712"/>
        <v>1646.8753495613416</v>
      </c>
      <c r="FI580" s="76">
        <f t="shared" si="2712"/>
        <v>1624.2957441032881</v>
      </c>
    </row>
    <row r="581" spans="1:166" x14ac:dyDescent="0.3">
      <c r="A581" s="1" t="s">
        <v>509</v>
      </c>
      <c r="EE581" s="44">
        <f>Inputs!EE303</f>
        <v>-17</v>
      </c>
      <c r="EF581" s="44">
        <f>Inputs!EF303</f>
        <v>20</v>
      </c>
      <c r="EG581" s="44">
        <f>Inputs!EG303</f>
        <v>46</v>
      </c>
      <c r="EH581" s="44">
        <f>Inputs!EH303</f>
        <v>-69</v>
      </c>
      <c r="EI581" s="85">
        <f t="shared" si="2699"/>
        <v>-20</v>
      </c>
      <c r="EJ581" s="44">
        <f>Inputs!EJ303</f>
        <v>146</v>
      </c>
      <c r="EK581" s="44">
        <f>Inputs!EK303</f>
        <v>103</v>
      </c>
      <c r="EL581" s="44">
        <f>Inputs!EL303</f>
        <v>182</v>
      </c>
      <c r="EM581" s="44">
        <f>Inputs!EM303</f>
        <v>366</v>
      </c>
      <c r="EN581" s="85">
        <f t="shared" si="2701"/>
        <v>797</v>
      </c>
      <c r="EO581" s="44">
        <f>Inputs!EO303</f>
        <v>-25</v>
      </c>
      <c r="EP581" s="44">
        <f>Inputs!EP303</f>
        <v>-193</v>
      </c>
      <c r="EQ581" s="44">
        <f>Inputs!EQ303</f>
        <v>-296</v>
      </c>
      <c r="ER581" s="44">
        <f>Inputs!ER303</f>
        <v>188</v>
      </c>
      <c r="ES581" s="85">
        <f t="shared" si="2703"/>
        <v>-326</v>
      </c>
      <c r="ET581" s="44">
        <f>Inputs!ET303</f>
        <v>-156</v>
      </c>
      <c r="EU581" s="44">
        <f>Inputs!EU303</f>
        <v>85</v>
      </c>
      <c r="EV581" s="44">
        <f>Inputs!EV303</f>
        <v>68</v>
      </c>
      <c r="EW581" s="44">
        <f>Inputs!EW303</f>
        <v>-37</v>
      </c>
      <c r="EX581" s="900">
        <f t="shared" si="2704"/>
        <v>-40</v>
      </c>
      <c r="EY581" s="918">
        <v>0</v>
      </c>
      <c r="EZ581" s="918">
        <v>0</v>
      </c>
      <c r="FA581" s="918">
        <v>0</v>
      </c>
      <c r="FB581" s="918">
        <v>0</v>
      </c>
      <c r="FC581" s="900">
        <f t="shared" si="2706"/>
        <v>0</v>
      </c>
      <c r="FD581" s="918">
        <v>0</v>
      </c>
      <c r="FE581" s="918">
        <v>0</v>
      </c>
      <c r="FF581" s="918">
        <v>0</v>
      </c>
      <c r="FG581" s="918">
        <v>0</v>
      </c>
      <c r="FH581" s="918">
        <v>0</v>
      </c>
      <c r="FI581" s="918">
        <v>0</v>
      </c>
    </row>
    <row r="582" spans="1:166" x14ac:dyDescent="0.3">
      <c r="A582" s="1" t="s">
        <v>510</v>
      </c>
      <c r="EE582" s="44">
        <f>Inputs!EE304</f>
        <v>0</v>
      </c>
      <c r="EF582" s="44">
        <f>Inputs!EF304</f>
        <v>0</v>
      </c>
      <c r="EG582" s="44">
        <f>Inputs!EG304</f>
        <v>0</v>
      </c>
      <c r="EH582" s="44">
        <f>Inputs!EH304</f>
        <v>0</v>
      </c>
      <c r="EI582" s="85">
        <f t="shared" si="2699"/>
        <v>0</v>
      </c>
      <c r="EJ582" s="44">
        <f>Inputs!EJ304</f>
        <v>0</v>
      </c>
      <c r="EK582" s="44">
        <f>Inputs!EK304</f>
        <v>0</v>
      </c>
      <c r="EL582" s="44">
        <f>Inputs!EL304</f>
        <v>0</v>
      </c>
      <c r="EM582" s="44">
        <f>Inputs!EM304</f>
        <v>0</v>
      </c>
      <c r="EN582" s="85">
        <f t="shared" si="2701"/>
        <v>0</v>
      </c>
      <c r="EO582" s="44">
        <f>Inputs!EO304</f>
        <v>0</v>
      </c>
      <c r="EP582" s="44">
        <f>Inputs!EP304</f>
        <v>0</v>
      </c>
      <c r="EQ582" s="44">
        <f>Inputs!EQ304</f>
        <v>167</v>
      </c>
      <c r="ER582" s="44">
        <f>Inputs!ER304</f>
        <v>88</v>
      </c>
      <c r="ES582" s="85">
        <f t="shared" si="2703"/>
        <v>255</v>
      </c>
      <c r="ET582" s="44">
        <f>Inputs!ET304</f>
        <v>-205</v>
      </c>
      <c r="EU582" s="44">
        <f>Inputs!EU304</f>
        <v>-50</v>
      </c>
      <c r="EV582" s="44">
        <f>Inputs!EV304</f>
        <v>55</v>
      </c>
      <c r="EW582" s="44">
        <f>Inputs!EW304</f>
        <v>-39</v>
      </c>
      <c r="EX582" s="900">
        <f t="shared" si="2704"/>
        <v>-239</v>
      </c>
      <c r="EY582" s="918">
        <v>0</v>
      </c>
      <c r="EZ582" s="918">
        <v>0</v>
      </c>
      <c r="FA582" s="918">
        <v>0</v>
      </c>
      <c r="FB582" s="918">
        <v>0</v>
      </c>
      <c r="FC582" s="900">
        <f t="shared" si="2706"/>
        <v>0</v>
      </c>
      <c r="FD582" s="918">
        <v>-300</v>
      </c>
      <c r="FE582" s="918">
        <v>-25</v>
      </c>
      <c r="FF582" s="918">
        <v>-25</v>
      </c>
      <c r="FG582" s="918">
        <v>-150</v>
      </c>
      <c r="FH582" s="918">
        <f t="shared" ref="FH582:FI582" si="2713">FG582</f>
        <v>-150</v>
      </c>
      <c r="FI582" s="918">
        <f t="shared" si="2713"/>
        <v>-150</v>
      </c>
    </row>
    <row r="583" spans="1:166" x14ac:dyDescent="0.3">
      <c r="A583" s="1" t="s">
        <v>511</v>
      </c>
      <c r="EE583" s="161">
        <f>Inputs!EE305</f>
        <v>-21</v>
      </c>
      <c r="EF583" s="161">
        <f>Inputs!EF305</f>
        <v>-6</v>
      </c>
      <c r="EG583" s="161">
        <f>Inputs!EG305</f>
        <v>-11</v>
      </c>
      <c r="EH583" s="161">
        <f>Inputs!EH305</f>
        <v>-22</v>
      </c>
      <c r="EI583" s="100">
        <f t="shared" si="2699"/>
        <v>-60</v>
      </c>
      <c r="EJ583" s="161">
        <f>Inputs!EJ305</f>
        <v>-58</v>
      </c>
      <c r="EK583" s="161">
        <f>Inputs!EK305</f>
        <v>-77</v>
      </c>
      <c r="EL583" s="161">
        <f>Inputs!EL305</f>
        <v>-82</v>
      </c>
      <c r="EM583" s="161">
        <f>Inputs!EM305</f>
        <v>-191</v>
      </c>
      <c r="EN583" s="100">
        <f t="shared" si="2701"/>
        <v>-408</v>
      </c>
      <c r="EO583" s="161">
        <f>Inputs!EO305</f>
        <v>-111</v>
      </c>
      <c r="EP583" s="161">
        <f>Inputs!EP305</f>
        <v>56</v>
      </c>
      <c r="EQ583" s="161">
        <f>Inputs!EQ305</f>
        <v>11</v>
      </c>
      <c r="ER583" s="161">
        <f>Inputs!ER305</f>
        <v>-8</v>
      </c>
      <c r="ES583" s="100">
        <f t="shared" si="2703"/>
        <v>-52</v>
      </c>
      <c r="ET583" s="161">
        <f>Inputs!ET305</f>
        <v>43</v>
      </c>
      <c r="EU583" s="161">
        <f>Inputs!EU305</f>
        <v>53</v>
      </c>
      <c r="EV583" s="161">
        <f>Inputs!EV305</f>
        <v>38</v>
      </c>
      <c r="EW583" s="161">
        <f>Inputs!EW305</f>
        <v>28</v>
      </c>
      <c r="EX583" s="1111">
        <f t="shared" si="2704"/>
        <v>162</v>
      </c>
      <c r="EY583" s="1157">
        <v>0</v>
      </c>
      <c r="EZ583" s="1157">
        <v>0</v>
      </c>
      <c r="FA583" s="1157">
        <v>0</v>
      </c>
      <c r="FB583" s="1157">
        <v>0</v>
      </c>
      <c r="FC583" s="1111">
        <f t="shared" si="2706"/>
        <v>0</v>
      </c>
      <c r="FD583" s="1157">
        <v>0</v>
      </c>
      <c r="FE583" s="1157">
        <v>0</v>
      </c>
      <c r="FF583" s="1157">
        <v>0</v>
      </c>
      <c r="FG583" s="1157">
        <v>0</v>
      </c>
      <c r="FH583" s="1157">
        <v>0</v>
      </c>
      <c r="FI583" s="1157">
        <v>0</v>
      </c>
    </row>
    <row r="584" spans="1:166" x14ac:dyDescent="0.3">
      <c r="A584" s="4" t="s">
        <v>512</v>
      </c>
      <c r="EE584" s="85">
        <f>SUM(EE580:EE583)</f>
        <v>346</v>
      </c>
      <c r="EF584" s="85">
        <f>SUM(EF580:EF583)</f>
        <v>399</v>
      </c>
      <c r="EG584" s="85">
        <f>SUM(EG580:EG583)</f>
        <v>412</v>
      </c>
      <c r="EH584" s="85">
        <f>SUM(EH580:EH583)</f>
        <v>468</v>
      </c>
      <c r="EI584" s="85">
        <f t="shared" si="2699"/>
        <v>1625</v>
      </c>
      <c r="EJ584" s="85">
        <f>SUM(EJ580:EJ583)</f>
        <v>535</v>
      </c>
      <c r="EK584" s="85">
        <f>SUM(EK580:EK583)</f>
        <v>667</v>
      </c>
      <c r="EL584" s="85">
        <f>SUM(EL580:EL583)</f>
        <v>872</v>
      </c>
      <c r="EM584" s="85">
        <f>SUM(EM580:EM583)</f>
        <v>1053</v>
      </c>
      <c r="EN584" s="85">
        <f t="shared" si="2701"/>
        <v>3127</v>
      </c>
      <c r="EO584" s="85">
        <f>SUM(EO580:EO583)</f>
        <v>1018</v>
      </c>
      <c r="EP584" s="85">
        <f>SUM(EP580:EP583)</f>
        <v>920</v>
      </c>
      <c r="EQ584" s="85">
        <f>SUM(EQ580:EQ583)</f>
        <v>553</v>
      </c>
      <c r="ER584" s="85">
        <f>SUM(ER580:ER583)</f>
        <v>601</v>
      </c>
      <c r="ES584" s="85">
        <f t="shared" si="2703"/>
        <v>3092</v>
      </c>
      <c r="ET584" s="85">
        <f>SUM(ET580:ET583)</f>
        <v>711</v>
      </c>
      <c r="EU584" s="85">
        <f>SUM(EU580:EU583)</f>
        <v>766</v>
      </c>
      <c r="EV584" s="85">
        <f>SUM(EV580:EV583)</f>
        <v>860</v>
      </c>
      <c r="EW584" s="85">
        <f>SUM(EW580:EW583)</f>
        <v>792</v>
      </c>
      <c r="EX584" s="85">
        <f t="shared" si="2704"/>
        <v>3129</v>
      </c>
      <c r="EY584" s="85">
        <f t="shared" ref="EY584:FB584" si="2714">SUM(EY580:EY583)</f>
        <v>789.95223566501863</v>
      </c>
      <c r="EZ584" s="85">
        <f t="shared" si="2714"/>
        <v>796.10965887968393</v>
      </c>
      <c r="FA584" s="85">
        <f t="shared" si="2714"/>
        <v>815.43044927241476</v>
      </c>
      <c r="FB584" s="85">
        <f t="shared" si="2714"/>
        <v>792.95560833388913</v>
      </c>
      <c r="FC584" s="85">
        <f t="shared" si="2706"/>
        <v>3194.4479521510066</v>
      </c>
      <c r="FD584" s="85">
        <f t="shared" ref="FD584:FI584" si="2715">SUM(FD580:FD583)</f>
        <v>2782.4684202674325</v>
      </c>
      <c r="FE584" s="85">
        <f t="shared" si="2715"/>
        <v>1926.0215850968652</v>
      </c>
      <c r="FF584" s="85">
        <f t="shared" si="2715"/>
        <v>1586.100905365895</v>
      </c>
      <c r="FG584" s="85">
        <f t="shared" si="2715"/>
        <v>1521.0656290142479</v>
      </c>
      <c r="FH584" s="85">
        <f t="shared" si="2715"/>
        <v>1496.8753495613416</v>
      </c>
      <c r="FI584" s="85">
        <f t="shared" si="2715"/>
        <v>1474.2957441032881</v>
      </c>
    </row>
    <row r="585" spans="1:166" x14ac:dyDescent="0.3">
      <c r="A585" s="56"/>
      <c r="EO585"/>
      <c r="EP585"/>
      <c r="EQ585"/>
      <c r="ER585"/>
    </row>
    <row r="586" spans="1:166" x14ac:dyDescent="0.3">
      <c r="A586" s="70"/>
      <c r="EO586"/>
      <c r="EP586"/>
      <c r="EQ586"/>
      <c r="ER586"/>
    </row>
    <row r="587" spans="1:166" x14ac:dyDescent="0.3">
      <c r="A587" s="132" t="s">
        <v>513</v>
      </c>
      <c r="DS587" s="44">
        <f>+Inputs!DS53</f>
        <v>492</v>
      </c>
      <c r="DT587" s="53">
        <f>+Inputs!DT53</f>
        <v>1954</v>
      </c>
      <c r="DU587" s="53">
        <f>+Inputs!DU53</f>
        <v>484</v>
      </c>
      <c r="DV587" s="53">
        <f>+Inputs!DV53</f>
        <v>454</v>
      </c>
      <c r="DW587" s="53">
        <f>+Inputs!DW53</f>
        <v>422</v>
      </c>
      <c r="DX587" s="53">
        <f>+Inputs!DX53</f>
        <v>420</v>
      </c>
      <c r="DY587" s="45">
        <f>+SUM(DU587:DX587)</f>
        <v>1780</v>
      </c>
      <c r="DZ587" s="53">
        <f>+Inputs!DZ53</f>
        <v>415</v>
      </c>
      <c r="EA587" s="53">
        <f>+Inputs!EA53</f>
        <v>397</v>
      </c>
      <c r="EB587" s="53">
        <f>+Inputs!EB53</f>
        <v>392</v>
      </c>
      <c r="EC587" s="53">
        <f>+Inputs!EC53</f>
        <v>394</v>
      </c>
      <c r="ED587" s="45">
        <f>+SUM(DZ587:EC587)</f>
        <v>1598</v>
      </c>
      <c r="EE587" s="53">
        <f>+Inputs!EE53</f>
        <v>387</v>
      </c>
      <c r="EF587" s="53">
        <f>+Inputs!EF53</f>
        <v>298</v>
      </c>
      <c r="EG587" s="53">
        <f>+Inputs!EG53</f>
        <v>273</v>
      </c>
      <c r="EH587" s="53">
        <f>+Inputs!EH53</f>
        <v>282</v>
      </c>
      <c r="EI587" s="45">
        <f>+SUM(EE587:EH587)</f>
        <v>1240</v>
      </c>
      <c r="EJ587" s="53">
        <f>+Inputs!EJ53</f>
        <v>284</v>
      </c>
      <c r="EK587" s="53">
        <f>+Inputs!EK53</f>
        <v>290</v>
      </c>
      <c r="EL587" s="53">
        <f>+Inputs!EL53</f>
        <v>296</v>
      </c>
      <c r="EM587" s="53">
        <f>+Inputs!EM53</f>
        <v>312</v>
      </c>
      <c r="EN587" s="45">
        <f>+SUM(EJ587:EM587)</f>
        <v>1182</v>
      </c>
      <c r="EO587" s="53">
        <f>+Inputs!EO53</f>
        <v>330</v>
      </c>
      <c r="EP587" s="53">
        <f>+Inputs!EP53</f>
        <v>354</v>
      </c>
      <c r="EQ587" s="53">
        <f>+Inputs!EQ53</f>
        <v>356</v>
      </c>
      <c r="ER587" s="53">
        <f>+Inputs!ER53</f>
        <v>375</v>
      </c>
      <c r="ES587" s="45">
        <f>+SUM(EO587:ER587)</f>
        <v>1415</v>
      </c>
      <c r="ET587" s="53">
        <f>+Inputs!ET53</f>
        <v>388</v>
      </c>
      <c r="EU587" s="53">
        <f>+Inputs!EU53</f>
        <v>398</v>
      </c>
      <c r="EV587" s="53">
        <f>+Inputs!EV53</f>
        <v>410</v>
      </c>
      <c r="EW587" s="53">
        <f>+Inputs!EW53</f>
        <v>429</v>
      </c>
      <c r="EX587" s="45">
        <f>+SUM(ET587:EW587)</f>
        <v>1625</v>
      </c>
      <c r="EY587" s="85">
        <f>+EW587+EY588-EY590</f>
        <v>446.79223416720856</v>
      </c>
      <c r="EZ587" s="85">
        <f t="shared" ref="EZ587" si="2716">+EY587+EZ588-EZ590</f>
        <v>462.66189382808551</v>
      </c>
      <c r="FA587" s="85">
        <f t="shared" ref="FA587" si="2717">+EZ587+FA588-FA590</f>
        <v>478.19959846764107</v>
      </c>
      <c r="FB587" s="85">
        <f t="shared" ref="FB587" si="2718">+FA587+FB588-FB590</f>
        <v>489.27314308713403</v>
      </c>
      <c r="FC587" s="45">
        <f>+SUM(EY587:FB587)</f>
        <v>1876.9268695500691</v>
      </c>
      <c r="FD587" s="85">
        <f t="shared" ref="FD587:FI587" si="2719">+FC587+FD588-FD590</f>
        <v>1885.7573337711524</v>
      </c>
      <c r="FE587" s="85">
        <f t="shared" si="2719"/>
        <v>1834.7439701874368</v>
      </c>
      <c r="FF587" s="85">
        <f t="shared" si="2719"/>
        <v>1780.0313325127736</v>
      </c>
      <c r="FG587" s="85">
        <f t="shared" si="2719"/>
        <v>1745.8726553093841</v>
      </c>
      <c r="FH587" s="85">
        <f t="shared" si="2719"/>
        <v>1720.9729247345799</v>
      </c>
      <c r="FI587" s="85">
        <f t="shared" si="2719"/>
        <v>1696.3052066714506</v>
      </c>
      <c r="FJ587" s="189">
        <f>+(FF587/ES587)^0.2-1</f>
        <v>4.6970009354750042E-2</v>
      </c>
    </row>
    <row r="588" spans="1:166" x14ac:dyDescent="0.3">
      <c r="A588" s="134" t="s">
        <v>228</v>
      </c>
      <c r="DU588" s="133">
        <f>DU572/DU589</f>
        <v>30.5</v>
      </c>
      <c r="DV588" s="133">
        <f>DV572/DV589</f>
        <v>27.5</v>
      </c>
      <c r="DW588" s="133">
        <f>DW572/DW589</f>
        <v>31.8</v>
      </c>
      <c r="DX588" s="133">
        <f>DX572/DX589</f>
        <v>32.799999999999997</v>
      </c>
      <c r="DY588" s="140">
        <f>+SUM(DU588:DX588)</f>
        <v>122.6</v>
      </c>
      <c r="DZ588" s="133">
        <f>DZ572/DZ589</f>
        <v>28.6</v>
      </c>
      <c r="EA588" s="133">
        <f>EA572/EA589</f>
        <v>22.5</v>
      </c>
      <c r="EB588" s="133">
        <f>EB572/EB589</f>
        <v>31.4</v>
      </c>
      <c r="EC588" s="133">
        <f>EC572/EC589</f>
        <v>35.6</v>
      </c>
      <c r="ED588" s="140">
        <f>+SUM(DZ588:EC588)</f>
        <v>118.1</v>
      </c>
      <c r="EE588" s="133">
        <f>EE572/EE589</f>
        <v>38.4</v>
      </c>
      <c r="EF588" s="133">
        <f>EF572/EF589</f>
        <v>38.5</v>
      </c>
      <c r="EG588" s="133">
        <f>EG572/EG589</f>
        <v>37.700000000000003</v>
      </c>
      <c r="EH588" s="133">
        <f>EH572/EH589</f>
        <v>55.9</v>
      </c>
      <c r="EI588" s="140">
        <f>+SUM(EE588:EH588)</f>
        <v>170.5</v>
      </c>
      <c r="EJ588" s="133">
        <f>EJ572/EJ589</f>
        <v>44.7</v>
      </c>
      <c r="EK588" s="133">
        <f>EK572/EK589</f>
        <v>64.099999999999994</v>
      </c>
      <c r="EL588" s="133">
        <f>EL572/EL589</f>
        <v>77.2</v>
      </c>
      <c r="EM588" s="133">
        <f>EM572/EM589</f>
        <v>87.8</v>
      </c>
      <c r="EN588" s="140">
        <f>+SUM(EJ588:EM588)</f>
        <v>273.8</v>
      </c>
      <c r="EO588" s="133">
        <f>EO572/EO589</f>
        <v>115.4</v>
      </c>
      <c r="EP588" s="133">
        <f>EP572/EP589</f>
        <v>105.7</v>
      </c>
      <c r="EQ588" s="133">
        <f>EQ572/EQ589</f>
        <v>67.099999999999994</v>
      </c>
      <c r="ER588" s="133">
        <f>ER572/ER589</f>
        <v>32.9</v>
      </c>
      <c r="ES588" s="140">
        <f>+SUM(EO588:ER588)</f>
        <v>321.10000000000002</v>
      </c>
      <c r="ET588" s="133">
        <f>ET572/ET589</f>
        <v>66.599999999999994</v>
      </c>
      <c r="EU588" s="133">
        <f>EU572/EU589</f>
        <v>62.6</v>
      </c>
      <c r="EV588" s="133">
        <f>EV572/EV589</f>
        <v>69.900000000000006</v>
      </c>
      <c r="EW588" s="133">
        <f>EW572/EW589</f>
        <v>79.2</v>
      </c>
      <c r="EX588" s="140">
        <f>+SUM(ET588:EW588)</f>
        <v>278.3</v>
      </c>
      <c r="EY588" s="133">
        <f t="shared" ref="EY588:FB588" si="2720">EY572/EY589</f>
        <v>78.995223566501863</v>
      </c>
      <c r="EZ588" s="133">
        <f t="shared" si="2720"/>
        <v>79.610965887968391</v>
      </c>
      <c r="FA588" s="133">
        <f t="shared" si="2720"/>
        <v>81.543044927241482</v>
      </c>
      <c r="FB588" s="133">
        <f t="shared" si="2720"/>
        <v>79.295560833388919</v>
      </c>
      <c r="FC588" s="140">
        <f>+SUM(EY588:FB588)</f>
        <v>319.44479521510067</v>
      </c>
      <c r="FD588" s="133">
        <f t="shared" ref="FD588:FI588" si="2721">FD572/FD589</f>
        <v>278.24684202674325</v>
      </c>
      <c r="FE588" s="133">
        <f t="shared" si="2721"/>
        <v>192.60215850968652</v>
      </c>
      <c r="FF588" s="133">
        <f t="shared" si="2721"/>
        <v>158.6100905365895</v>
      </c>
      <c r="FG588" s="133">
        <f t="shared" si="2721"/>
        <v>152.10656290142478</v>
      </c>
      <c r="FH588" s="133">
        <f t="shared" si="2721"/>
        <v>149.68753495613416</v>
      </c>
      <c r="FI588" s="133">
        <f t="shared" si="2721"/>
        <v>147.42957441032883</v>
      </c>
    </row>
    <row r="589" spans="1:166" x14ac:dyDescent="0.3">
      <c r="A589" s="134" t="s">
        <v>514</v>
      </c>
      <c r="DU589" s="96">
        <v>10</v>
      </c>
      <c r="DV589" s="96">
        <v>10</v>
      </c>
      <c r="DW589" s="96">
        <v>10</v>
      </c>
      <c r="DX589" s="96">
        <v>10</v>
      </c>
      <c r="DY589" s="86">
        <f>+DY572/DY588</f>
        <v>10</v>
      </c>
      <c r="DZ589" s="96">
        <v>10</v>
      </c>
      <c r="EA589" s="96">
        <v>10</v>
      </c>
      <c r="EB589" s="96">
        <v>10</v>
      </c>
      <c r="EC589" s="96">
        <v>10</v>
      </c>
      <c r="ED589" s="86">
        <f>+ED572/ED588</f>
        <v>10</v>
      </c>
      <c r="EE589" s="96">
        <v>10</v>
      </c>
      <c r="EF589" s="96">
        <v>10</v>
      </c>
      <c r="EG589" s="96">
        <v>10</v>
      </c>
      <c r="EH589" s="96">
        <v>10</v>
      </c>
      <c r="EI589" s="86">
        <f>+EI572/EI588</f>
        <v>10</v>
      </c>
      <c r="EJ589" s="96">
        <v>10</v>
      </c>
      <c r="EK589" s="96">
        <v>10</v>
      </c>
      <c r="EL589" s="96">
        <v>10</v>
      </c>
      <c r="EM589" s="96">
        <v>10</v>
      </c>
      <c r="EN589" s="86">
        <f>+EN572/EN588</f>
        <v>10</v>
      </c>
      <c r="EO589" s="96">
        <v>10</v>
      </c>
      <c r="EP589" s="96">
        <v>10</v>
      </c>
      <c r="EQ589" s="96">
        <v>10</v>
      </c>
      <c r="ER589" s="96">
        <v>10</v>
      </c>
      <c r="ES589" s="86">
        <f>+ES572/ES588</f>
        <v>10</v>
      </c>
      <c r="ET589" s="96">
        <v>10</v>
      </c>
      <c r="EU589" s="96">
        <v>10</v>
      </c>
      <c r="EV589" s="96">
        <v>10</v>
      </c>
      <c r="EW589" s="96">
        <v>10</v>
      </c>
      <c r="EX589" s="86">
        <f>+EX572/EX588</f>
        <v>10</v>
      </c>
      <c r="EY589" s="96">
        <v>10</v>
      </c>
      <c r="EZ589" s="96">
        <v>10</v>
      </c>
      <c r="FA589" s="96">
        <v>10</v>
      </c>
      <c r="FB589" s="96">
        <v>10</v>
      </c>
      <c r="FC589" s="86">
        <f>+FC572/FC588</f>
        <v>10</v>
      </c>
      <c r="FD589" s="96">
        <v>10</v>
      </c>
      <c r="FE589" s="96">
        <v>10</v>
      </c>
      <c r="FF589" s="96">
        <v>10</v>
      </c>
      <c r="FG589" s="96">
        <v>10</v>
      </c>
      <c r="FH589" s="96">
        <v>10</v>
      </c>
      <c r="FI589" s="96">
        <v>10</v>
      </c>
    </row>
    <row r="590" spans="1:166" x14ac:dyDescent="0.3">
      <c r="A590" s="134" t="s">
        <v>229</v>
      </c>
      <c r="DU590" s="133">
        <f>DS587+DU588-DU587</f>
        <v>38.5</v>
      </c>
      <c r="DV590" s="133">
        <f>DU587+DV588-DV587</f>
        <v>57.5</v>
      </c>
      <c r="DW590" s="133">
        <f>DV587+DW588-DW587</f>
        <v>63.800000000000011</v>
      </c>
      <c r="DX590" s="133">
        <f>DW587+DX588-DX587</f>
        <v>34.800000000000011</v>
      </c>
      <c r="DY590" s="140">
        <f>+SUM(DU590:DX590)</f>
        <v>194.60000000000002</v>
      </c>
      <c r="DZ590" s="133">
        <f>DX587+DZ588-DZ587</f>
        <v>33.600000000000023</v>
      </c>
      <c r="EA590" s="133">
        <f>DZ587+EA588-EA587</f>
        <v>40.5</v>
      </c>
      <c r="EB590" s="133">
        <f>EA587+EB588-EB587</f>
        <v>36.399999999999977</v>
      </c>
      <c r="EC590" s="133">
        <f>EB587+EC588-EC587</f>
        <v>33.600000000000023</v>
      </c>
      <c r="ED590" s="140">
        <f>+SUM(DZ590:EC590)</f>
        <v>144.10000000000002</v>
      </c>
      <c r="EE590" s="133">
        <f>EC587+EE588-EE587</f>
        <v>45.399999999999977</v>
      </c>
      <c r="EF590" s="133">
        <f>EE587+EF588-EF587</f>
        <v>127.5</v>
      </c>
      <c r="EG590" s="133">
        <f>EF587+EG588-EG587</f>
        <v>62.699999999999989</v>
      </c>
      <c r="EH590" s="133">
        <f>EG587+EH588-EH587</f>
        <v>46.899999999999977</v>
      </c>
      <c r="EI590" s="140">
        <f>+SUM(EE590:EH590)</f>
        <v>282.49999999999994</v>
      </c>
      <c r="EJ590" s="133">
        <f>EH587+EJ588-EJ587</f>
        <v>42.699999999999989</v>
      </c>
      <c r="EK590" s="133">
        <f>EJ587+EK588-EK587</f>
        <v>58.100000000000023</v>
      </c>
      <c r="EL590" s="133">
        <f>EK587+EL588-EL587</f>
        <v>71.199999999999989</v>
      </c>
      <c r="EM590" s="133">
        <f>EL587+EM588-EM587</f>
        <v>71.800000000000011</v>
      </c>
      <c r="EN590" s="140">
        <f>+SUM(EJ590:EM590)</f>
        <v>243.8</v>
      </c>
      <c r="EO590" s="133">
        <f>EM587+EO588-EO587</f>
        <v>97.399999999999977</v>
      </c>
      <c r="EP590" s="133">
        <f>EO587+EP588-EP587</f>
        <v>81.699999999999989</v>
      </c>
      <c r="EQ590" s="133">
        <f>EP587+EQ588-EQ587</f>
        <v>65.100000000000023</v>
      </c>
      <c r="ER590" s="133">
        <f>EQ587+ER588-ER587</f>
        <v>13.899999999999977</v>
      </c>
      <c r="ES590" s="140">
        <f>+SUM(EO590:ER590)</f>
        <v>258.09999999999997</v>
      </c>
      <c r="ET590" s="133">
        <f>ER587+ET588-ET587</f>
        <v>53.600000000000023</v>
      </c>
      <c r="EU590" s="133">
        <f>ET587+EU588-EU587</f>
        <v>52.600000000000023</v>
      </c>
      <c r="EV590" s="133">
        <f>EU587+EV588-EV587</f>
        <v>57.899999999999977</v>
      </c>
      <c r="EW590" s="133">
        <f>EV587+EW588-EW587</f>
        <v>60.199999999999989</v>
      </c>
      <c r="EX590" s="140">
        <f>+SUM(ET590:EW590)</f>
        <v>224.3</v>
      </c>
      <c r="EY590" s="133">
        <f>+EW587*EY591</f>
        <v>61.202989399293294</v>
      </c>
      <c r="EZ590" s="133">
        <f t="shared" ref="EZ590" si="2722">+EY587*EZ591</f>
        <v>63.741306227091449</v>
      </c>
      <c r="FA590" s="133">
        <f t="shared" ref="FA590" si="2723">+EZ587*FA591</f>
        <v>66.005340287685954</v>
      </c>
      <c r="FB590" s="133">
        <f t="shared" ref="FB590" si="2724">+FA587*FB591</f>
        <v>68.222016213895913</v>
      </c>
      <c r="FC590" s="140">
        <f>+SUM(EY590:FB590)</f>
        <v>259.17165212796664</v>
      </c>
      <c r="FD590" s="133">
        <f t="shared" ref="FD590:FI590" si="2725">+FC587*FD591</f>
        <v>269.41637780566003</v>
      </c>
      <c r="FE590" s="133">
        <f t="shared" si="2725"/>
        <v>243.61552209340198</v>
      </c>
      <c r="FF590" s="133">
        <f t="shared" si="2725"/>
        <v>213.32272821125278</v>
      </c>
      <c r="FG590" s="133">
        <f t="shared" si="2725"/>
        <v>186.26524010481413</v>
      </c>
      <c r="FH590" s="133">
        <f t="shared" si="2725"/>
        <v>174.58726553093842</v>
      </c>
      <c r="FI590" s="133">
        <f t="shared" si="2725"/>
        <v>172.097292473458</v>
      </c>
    </row>
    <row r="591" spans="1:166" x14ac:dyDescent="0.3">
      <c r="A591" s="134" t="s">
        <v>515</v>
      </c>
      <c r="DU591" s="143">
        <f>+DU590/DS587</f>
        <v>7.8252032520325199E-2</v>
      </c>
      <c r="DV591" s="143">
        <f>+DV590/DU587</f>
        <v>0.11880165289256199</v>
      </c>
      <c r="DW591" s="143">
        <f>+DW590/DV587</f>
        <v>0.1405286343612335</v>
      </c>
      <c r="DX591" s="143">
        <f>+DX590/DW587</f>
        <v>8.246445497630335E-2</v>
      </c>
      <c r="DY591" s="145">
        <f>+DY590/DT587</f>
        <v>9.9590583418628462E-2</v>
      </c>
      <c r="DZ591" s="143">
        <f>+DZ590/DX587</f>
        <v>8.0000000000000057E-2</v>
      </c>
      <c r="EA591" s="143">
        <f>+EA590/DZ587</f>
        <v>9.7590361445783133E-2</v>
      </c>
      <c r="EB591" s="143">
        <f>+EB590/EA587</f>
        <v>9.1687657430730415E-2</v>
      </c>
      <c r="EC591" s="143">
        <f>+EC590/EB587</f>
        <v>8.5714285714285771E-2</v>
      </c>
      <c r="ED591" s="145">
        <f>+ED590/DY587</f>
        <v>8.0955056179775289E-2</v>
      </c>
      <c r="EE591" s="143">
        <f>+EE590/EC587</f>
        <v>0.11522842639593903</v>
      </c>
      <c r="EF591" s="143">
        <f>+EF590/EE587</f>
        <v>0.32945736434108525</v>
      </c>
      <c r="EG591" s="143">
        <f>+EG590/EF587</f>
        <v>0.21040268456375835</v>
      </c>
      <c r="EH591" s="143">
        <f>+EH590/EG587</f>
        <v>0.17179487179487171</v>
      </c>
      <c r="EI591" s="145">
        <f>+EI590/ED587</f>
        <v>0.17678347934918645</v>
      </c>
      <c r="EJ591" s="143">
        <f>+EJ590/EH587</f>
        <v>0.15141843971631203</v>
      </c>
      <c r="EK591" s="143">
        <f>+EK590/EJ587</f>
        <v>0.20457746478873248</v>
      </c>
      <c r="EL591" s="143">
        <f>+EL590/EK587</f>
        <v>0.2455172413793103</v>
      </c>
      <c r="EM591" s="143">
        <f>+EM590/EL587</f>
        <v>0.24256756756756762</v>
      </c>
      <c r="EN591" s="145">
        <f>+EN590/EI587</f>
        <v>0.19661290322580646</v>
      </c>
      <c r="EO591" s="143">
        <f>+EO590/EM587</f>
        <v>0.31217948717948713</v>
      </c>
      <c r="EP591" s="143">
        <f>+EP590/EO587</f>
        <v>0.24757575757575753</v>
      </c>
      <c r="EQ591" s="143">
        <f>+EQ590/EP587</f>
        <v>0.18389830508474583</v>
      </c>
      <c r="ER591" s="143">
        <f>+ER590/EQ587</f>
        <v>3.9044943820224658E-2</v>
      </c>
      <c r="ES591" s="145">
        <f>+ES590/EN587</f>
        <v>0.21835871404399321</v>
      </c>
      <c r="ET591" s="143">
        <f>+ET590/ER587</f>
        <v>0.14293333333333338</v>
      </c>
      <c r="EU591" s="143">
        <f>+EU590/ET587</f>
        <v>0.1355670103092784</v>
      </c>
      <c r="EV591" s="143">
        <f>+EV590/EU587</f>
        <v>0.1454773869346733</v>
      </c>
      <c r="EW591" s="143">
        <f>+EW590/EV587</f>
        <v>0.14682926829268289</v>
      </c>
      <c r="EX591" s="145">
        <f>+EX590/ES587</f>
        <v>0.15851590106007069</v>
      </c>
      <c r="EY591" s="142">
        <f>MAX(+EX591*0.9,0.1)</f>
        <v>0.14266431095406362</v>
      </c>
      <c r="EZ591" s="142">
        <f t="shared" ref="EZ591" si="2726">+EY591</f>
        <v>0.14266431095406362</v>
      </c>
      <c r="FA591" s="142">
        <f t="shared" ref="FA591" si="2727">+EZ591</f>
        <v>0.14266431095406362</v>
      </c>
      <c r="FB591" s="142">
        <f t="shared" ref="FB591" si="2728">+FA591</f>
        <v>0.14266431095406362</v>
      </c>
      <c r="FC591" s="145">
        <f>+FC590/EX587</f>
        <v>0.1594902474633641</v>
      </c>
      <c r="FD591" s="142">
        <f t="shared" ref="FD591:FI591" si="2729">MAX(+FC591*0.9,0.1)</f>
        <v>0.14354122271702768</v>
      </c>
      <c r="FE591" s="142">
        <f t="shared" si="2729"/>
        <v>0.12918710044532491</v>
      </c>
      <c r="FF591" s="142">
        <f t="shared" si="2729"/>
        <v>0.11626839040079243</v>
      </c>
      <c r="FG591" s="142">
        <f t="shared" si="2729"/>
        <v>0.10464155136071318</v>
      </c>
      <c r="FH591" s="142">
        <f t="shared" si="2729"/>
        <v>0.1</v>
      </c>
      <c r="FI591" s="142">
        <f t="shared" si="2729"/>
        <v>0.1</v>
      </c>
    </row>
    <row r="592" spans="1:166" x14ac:dyDescent="0.3">
      <c r="A592" s="135" t="s">
        <v>505</v>
      </c>
      <c r="DU592" s="143">
        <f>+DU587/$DY587</f>
        <v>0.27191011235955054</v>
      </c>
      <c r="DV592" s="143">
        <f>+DV587/$DY587</f>
        <v>0.25505617977528089</v>
      </c>
      <c r="DW592" s="143">
        <f>+DW587/$DY587</f>
        <v>0.23707865168539327</v>
      </c>
      <c r="DX592" s="143">
        <f>+DX587/$DY587</f>
        <v>0.23595505617977527</v>
      </c>
      <c r="DY592" s="145">
        <f>+DY587/$DY587</f>
        <v>1</v>
      </c>
      <c r="DZ592" s="143">
        <f>+DZ587/$ED587</f>
        <v>0.25969962453066331</v>
      </c>
      <c r="EA592" s="143">
        <f>+EA587/$ED587</f>
        <v>0.24843554443053817</v>
      </c>
      <c r="EB592" s="143">
        <f>+EB587/$ED587</f>
        <v>0.24530663329161451</v>
      </c>
      <c r="EC592" s="143">
        <f>+EC587/$ED587</f>
        <v>0.24655819774718399</v>
      </c>
      <c r="ED592" s="145">
        <f>+ED587/$ED587</f>
        <v>1</v>
      </c>
      <c r="EE592" s="143">
        <f t="shared" ref="EE592:EI592" si="2730">+EE587/$EI587</f>
        <v>0.31209677419354837</v>
      </c>
      <c r="EF592" s="143">
        <f t="shared" si="2730"/>
        <v>0.24032258064516129</v>
      </c>
      <c r="EG592" s="143">
        <f t="shared" si="2730"/>
        <v>0.22016129032258064</v>
      </c>
      <c r="EH592" s="143">
        <f t="shared" ref="EH592" si="2731">+EH587/$EI587</f>
        <v>0.22741935483870968</v>
      </c>
      <c r="EI592" s="145">
        <f t="shared" si="2730"/>
        <v>1</v>
      </c>
      <c r="EJ592" s="143">
        <f>+EJ587/$EN587</f>
        <v>0.24027072758037224</v>
      </c>
      <c r="EK592" s="143">
        <f t="shared" ref="EK592:EM592" si="2732">+EK587/$EN587</f>
        <v>0.24534686971235195</v>
      </c>
      <c r="EL592" s="143">
        <f t="shared" si="2732"/>
        <v>0.25042301184433163</v>
      </c>
      <c r="EM592" s="143">
        <f t="shared" si="2732"/>
        <v>0.26395939086294418</v>
      </c>
      <c r="EN592" s="145">
        <f t="shared" ref="EN592" si="2733">+EN587/$EN587</f>
        <v>1</v>
      </c>
      <c r="EO592" s="143">
        <f>+EO587/$ES587</f>
        <v>0.2332155477031802</v>
      </c>
      <c r="EP592" s="143">
        <f t="shared" ref="EP592:EQ592" si="2734">+EP587/$ES587</f>
        <v>0.25017667844522967</v>
      </c>
      <c r="EQ592" s="143">
        <f t="shared" si="2734"/>
        <v>0.25159010600706716</v>
      </c>
      <c r="ER592" s="143">
        <f t="shared" ref="ER592" si="2735">+ER587/$ES587</f>
        <v>0.26501766784452296</v>
      </c>
      <c r="ES592" s="145">
        <f>+ES587/$ES587</f>
        <v>1</v>
      </c>
      <c r="ET592" s="143">
        <f>+ET587/$EX587</f>
        <v>0.23876923076923076</v>
      </c>
      <c r="EU592" s="143">
        <f t="shared" ref="EU592:EV592" si="2736">+EU587/$EX587</f>
        <v>0.24492307692307691</v>
      </c>
      <c r="EV592" s="143">
        <f t="shared" si="2736"/>
        <v>0.25230769230769229</v>
      </c>
      <c r="EW592" s="143">
        <f t="shared" ref="EW592" si="2737">+EW587/$EX587</f>
        <v>0.26400000000000001</v>
      </c>
      <c r="EX592" s="145">
        <f>+EX587/$EX587</f>
        <v>1</v>
      </c>
      <c r="EY592" s="143">
        <f t="shared" ref="EY592:FB592" si="2738">+EY587/$EX587</f>
        <v>0.27494906717982065</v>
      </c>
      <c r="EZ592" s="143">
        <f t="shared" si="2738"/>
        <v>0.28471501158651413</v>
      </c>
      <c r="FA592" s="143">
        <f t="shared" si="2738"/>
        <v>0.29427667598008683</v>
      </c>
      <c r="FB592" s="143">
        <f t="shared" si="2738"/>
        <v>0.30109116497669786</v>
      </c>
      <c r="FC592" s="145">
        <f>+FC587/$EX587</f>
        <v>1.1550319197231194</v>
      </c>
      <c r="FD592" s="143">
        <f t="shared" ref="FD592:FI592" si="2739">+FD587/FD587</f>
        <v>1</v>
      </c>
      <c r="FE592" s="143">
        <f t="shared" si="2739"/>
        <v>1</v>
      </c>
      <c r="FF592" s="143">
        <f t="shared" si="2739"/>
        <v>1</v>
      </c>
      <c r="FG592" s="143">
        <f t="shared" si="2739"/>
        <v>1</v>
      </c>
      <c r="FH592" s="143">
        <f t="shared" si="2739"/>
        <v>1</v>
      </c>
      <c r="FI592" s="143">
        <f t="shared" si="2739"/>
        <v>1</v>
      </c>
    </row>
    <row r="593" spans="1:167" x14ac:dyDescent="0.3">
      <c r="A593" s="56"/>
    </row>
    <row r="594" spans="1:167" x14ac:dyDescent="0.3">
      <c r="A594" s="105"/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  <c r="AA594" s="105"/>
      <c r="AB594" s="105"/>
      <c r="AC594" s="105"/>
      <c r="AD594" s="105"/>
      <c r="AE594" s="105"/>
      <c r="AF594" s="105"/>
      <c r="AG594" s="105"/>
      <c r="AH594" s="105"/>
      <c r="AI594" s="105"/>
      <c r="AJ594" s="105"/>
      <c r="AK594" s="105"/>
      <c r="AL594" s="105"/>
      <c r="AM594" s="105"/>
      <c r="AN594" s="105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  <c r="BY594" s="105"/>
      <c r="BZ594" s="105"/>
      <c r="CA594" s="105"/>
      <c r="CB594" s="105"/>
      <c r="CC594" s="105"/>
      <c r="CD594" s="105"/>
      <c r="CE594" s="105"/>
      <c r="CF594" s="105"/>
      <c r="CG594" s="105"/>
      <c r="CH594" s="105"/>
      <c r="CI594" s="105"/>
      <c r="CJ594" s="105"/>
      <c r="CK594" s="105"/>
      <c r="CL594" s="105"/>
      <c r="CM594" s="105"/>
      <c r="CN594" s="105"/>
      <c r="CO594" s="105"/>
      <c r="CP594" s="105"/>
      <c r="CQ594" s="105"/>
      <c r="CR594" s="105"/>
      <c r="CS594" s="105"/>
      <c r="CT594" s="105"/>
      <c r="CU594" s="105"/>
      <c r="CV594" s="105"/>
      <c r="CW594" s="105"/>
      <c r="CX594" s="105"/>
      <c r="CY594" s="105"/>
      <c r="CZ594" s="105"/>
      <c r="DA594" s="105"/>
      <c r="DB594" s="105"/>
      <c r="DC594" s="105"/>
      <c r="DD594" s="105"/>
      <c r="DE594" s="105"/>
      <c r="DF594" s="105"/>
      <c r="DG594" s="105"/>
      <c r="DH594" s="105"/>
      <c r="DI594" s="105"/>
      <c r="DJ594" s="105"/>
      <c r="DK594" s="105"/>
      <c r="DL594" s="105"/>
      <c r="DM594" s="105"/>
      <c r="DN594" s="105"/>
      <c r="DO594" s="105"/>
      <c r="DP594" s="105"/>
      <c r="DQ594" s="105"/>
      <c r="DR594" s="105"/>
      <c r="DS594" s="105"/>
      <c r="DT594" s="105"/>
      <c r="DU594" s="105"/>
      <c r="DV594" s="105"/>
      <c r="DW594" s="105"/>
      <c r="DX594" s="105"/>
      <c r="DY594" s="105"/>
      <c r="DZ594" s="105"/>
      <c r="EA594" s="105"/>
      <c r="EB594" s="105"/>
      <c r="EC594" s="105"/>
      <c r="ED594" s="105"/>
      <c r="EE594" s="105"/>
      <c r="EF594" s="105"/>
      <c r="EG594" s="105"/>
      <c r="EH594" s="105"/>
      <c r="EI594" s="105"/>
      <c r="EJ594" s="105"/>
      <c r="EK594" s="105"/>
      <c r="EL594" s="105"/>
      <c r="EM594" s="105"/>
      <c r="EN594" s="105"/>
      <c r="EO594" s="105"/>
      <c r="EP594" s="105"/>
      <c r="EQ594" s="105"/>
      <c r="ER594" s="105"/>
      <c r="ES594" s="105"/>
      <c r="ET594" s="105"/>
      <c r="EU594" s="105"/>
      <c r="EV594" s="105"/>
      <c r="EW594" s="105"/>
      <c r="EX594" s="105"/>
      <c r="EY594" s="105"/>
      <c r="EZ594" s="105"/>
      <c r="FA594" s="105"/>
      <c r="FB594" s="105"/>
      <c r="FC594" s="105"/>
      <c r="FD594" s="105"/>
      <c r="FE594" s="105"/>
      <c r="FF594" s="105"/>
      <c r="FG594" s="105"/>
      <c r="FH594" s="105"/>
      <c r="FI594" s="105"/>
      <c r="FJ594" s="105"/>
    </row>
    <row r="595" spans="1:167" x14ac:dyDescent="0.3">
      <c r="A595" s="56"/>
    </row>
    <row r="596" spans="1:167" x14ac:dyDescent="0.3">
      <c r="A596" s="56"/>
    </row>
    <row r="597" spans="1:167" x14ac:dyDescent="0.3">
      <c r="A597" s="1"/>
    </row>
    <row r="598" spans="1:167" hidden="1" outlineLevel="1" x14ac:dyDescent="0.3">
      <c r="A598" s="1193" t="s">
        <v>516</v>
      </c>
      <c r="B598" s="705"/>
      <c r="C598" s="705"/>
      <c r="D598" s="705"/>
      <c r="E598" s="705"/>
      <c r="F598" s="705"/>
      <c r="G598" s="705"/>
      <c r="H598" s="705"/>
      <c r="I598" s="705"/>
      <c r="J598" s="705"/>
      <c r="K598" s="705"/>
      <c r="L598" s="705"/>
      <c r="M598" s="705"/>
      <c r="N598" s="705"/>
      <c r="O598" s="705"/>
      <c r="P598" s="705"/>
      <c r="Q598" s="705"/>
      <c r="R598" s="705"/>
      <c r="S598" s="705"/>
      <c r="T598" s="705"/>
      <c r="U598" s="705"/>
      <c r="V598" s="705"/>
      <c r="W598" s="705"/>
      <c r="X598" s="705"/>
      <c r="Y598" s="705"/>
      <c r="Z598" s="705"/>
      <c r="AA598" s="705"/>
      <c r="AB598" s="705"/>
      <c r="AC598" s="705"/>
      <c r="AD598" s="705"/>
      <c r="AE598" s="705"/>
      <c r="AF598" s="705"/>
      <c r="AG598" s="705"/>
      <c r="AH598" s="705"/>
      <c r="AI598" s="705"/>
      <c r="AJ598" s="705"/>
      <c r="AK598" s="705"/>
      <c r="AL598" s="705"/>
      <c r="AM598" s="705"/>
      <c r="AN598" s="705"/>
      <c r="AO598" s="705"/>
      <c r="AP598" s="705"/>
      <c r="AQ598" s="705"/>
      <c r="AR598" s="705"/>
      <c r="AS598" s="705"/>
      <c r="AT598" s="705"/>
      <c r="AU598" s="705"/>
      <c r="AV598" s="705"/>
      <c r="AW598" s="705"/>
      <c r="AX598" s="705"/>
      <c r="AY598" s="705"/>
      <c r="AZ598" s="705"/>
      <c r="BA598" s="705"/>
      <c r="BB598" s="705"/>
      <c r="BC598" s="705"/>
      <c r="BD598" s="705"/>
      <c r="BE598" s="705"/>
      <c r="BF598" s="705"/>
      <c r="BG598" s="705"/>
      <c r="BH598" s="705"/>
      <c r="BI598" s="705"/>
      <c r="BJ598" s="705"/>
      <c r="BK598" s="705"/>
      <c r="BL598" s="705"/>
      <c r="BM598" s="705"/>
      <c r="BN598" s="705"/>
      <c r="BO598" s="705"/>
      <c r="BP598" s="705"/>
      <c r="BQ598" s="705"/>
      <c r="BR598" s="705"/>
      <c r="BS598" s="705"/>
      <c r="BT598" s="705"/>
      <c r="BU598" s="705"/>
      <c r="BV598" s="705"/>
      <c r="BW598" s="705"/>
      <c r="BX598" s="705"/>
      <c r="BY598" s="705"/>
      <c r="BZ598" s="705"/>
      <c r="CA598" s="705"/>
      <c r="CB598" s="705"/>
      <c r="CC598" s="705"/>
      <c r="CD598" s="705"/>
      <c r="CE598" s="705"/>
      <c r="CF598" s="705"/>
      <c r="CG598" s="705"/>
      <c r="CH598" s="705"/>
      <c r="CI598" s="705"/>
      <c r="CJ598" s="705"/>
      <c r="CK598" s="705"/>
      <c r="CL598" s="705"/>
      <c r="CM598" s="705"/>
      <c r="CN598" s="705"/>
      <c r="CO598" s="705"/>
      <c r="CP598" s="705"/>
      <c r="CQ598" s="705"/>
      <c r="CR598" s="705"/>
      <c r="CS598" s="705"/>
      <c r="CT598" s="705"/>
      <c r="CU598" s="705"/>
      <c r="CV598" s="705"/>
      <c r="CW598" s="705"/>
      <c r="CX598" s="705"/>
      <c r="CY598" s="705"/>
      <c r="CZ598" s="705"/>
      <c r="DA598" s="705"/>
      <c r="DB598" s="705"/>
      <c r="DC598" s="705"/>
      <c r="DD598" s="705"/>
      <c r="DE598" s="705"/>
      <c r="DF598" s="705"/>
      <c r="DG598" s="705"/>
      <c r="DH598" s="705"/>
      <c r="DI598" s="705"/>
      <c r="DJ598" s="705"/>
      <c r="DK598" s="705"/>
      <c r="DL598" s="705"/>
      <c r="DM598" s="705"/>
      <c r="DN598" s="705"/>
      <c r="DO598" s="705"/>
      <c r="DP598" s="705"/>
      <c r="DQ598" s="705"/>
      <c r="DR598" s="705"/>
      <c r="DS598" s="705"/>
      <c r="DT598" s="705"/>
      <c r="DU598" s="609">
        <f>+AVERAGE(DU260,DU257)</f>
        <v>1574.5</v>
      </c>
      <c r="DV598" s="609">
        <f>+AVERAGE(DV260,DV257)</f>
        <v>1544</v>
      </c>
      <c r="DW598" s="609">
        <f>+AVERAGE(DW260,DW257)</f>
        <v>1499</v>
      </c>
      <c r="DX598" s="609">
        <f>+AVERAGE(DX260,DX257)</f>
        <v>1458.5</v>
      </c>
      <c r="DY598" s="731">
        <f>+AVERAGE(DU598:DX598)</f>
        <v>1519</v>
      </c>
      <c r="DZ598" s="609">
        <f>+AVERAGE(DZ260,DZ257)</f>
        <v>1430.5</v>
      </c>
      <c r="EA598" s="609">
        <f>+AVERAGE(EA260,EA257)</f>
        <v>1410</v>
      </c>
      <c r="EB598" s="609">
        <f>+AVERAGE(EB260,EB257)</f>
        <v>1391</v>
      </c>
      <c r="EC598" s="609">
        <f>+AVERAGE(EC260,EC257)</f>
        <v>1365</v>
      </c>
      <c r="ED598" s="731">
        <f t="shared" ref="ED598:ED603" si="2740">+AVERAGE(DZ598:EC598)</f>
        <v>1399.125</v>
      </c>
      <c r="EE598" s="609">
        <f>+AVERAGE(EE260,EE257)</f>
        <v>1338</v>
      </c>
      <c r="EF598" s="609">
        <f>+AVERAGE(EF260,EF257)</f>
        <v>1312</v>
      </c>
      <c r="EG598" s="609">
        <f>+AVERAGE(EG260,EG257)</f>
        <v>1280.5</v>
      </c>
      <c r="EH598" s="609">
        <f>+AVERAGE(EH260,EH257)</f>
        <v>1249</v>
      </c>
      <c r="EI598" s="731">
        <f t="shared" ref="EI598:EI603" si="2741">+AVERAGE(EE598:EH598)</f>
        <v>1294.875</v>
      </c>
      <c r="EJ598" s="609">
        <f>+AVERAGE(EJ260,EJ257)</f>
        <v>1219</v>
      </c>
      <c r="EK598" s="609">
        <f>+AVERAGE(EK260,EK257)</f>
        <v>1183.5</v>
      </c>
      <c r="EL598" s="609">
        <f>+AVERAGE(EL260,EL257)</f>
        <v>1134</v>
      </c>
      <c r="EM598" s="609">
        <f>+AVERAGE(EM260,EM257)</f>
        <v>1074</v>
      </c>
      <c r="EN598" s="731">
        <f t="shared" ref="EN598:EN603" si="2742">+AVERAGE(EJ598:EM598)</f>
        <v>1152.625</v>
      </c>
      <c r="EO598" s="731"/>
      <c r="EP598" s="731"/>
      <c r="EQ598" s="731"/>
      <c r="ER598" s="731"/>
      <c r="ES598" s="609">
        <f>+AVERAGE(ES260,ES257)</f>
        <v>932.5</v>
      </c>
      <c r="ET598" s="609"/>
      <c r="EU598" s="609"/>
      <c r="EV598" s="609"/>
      <c r="EW598" s="609"/>
      <c r="EX598" s="609">
        <f t="shared" ref="EX598:FI598" si="2743">+AVERAGE(EX260,EX257)</f>
        <v>717</v>
      </c>
      <c r="EY598" s="609"/>
      <c r="EZ598" s="609"/>
      <c r="FA598" s="609"/>
      <c r="FB598" s="609"/>
      <c r="FC598" s="609">
        <f t="shared" si="2743"/>
        <v>525.42233240335509</v>
      </c>
      <c r="FD598" s="609">
        <f t="shared" si="2743"/>
        <v>369.52983623072532</v>
      </c>
      <c r="FE598" s="609">
        <f t="shared" si="2743"/>
        <v>252.79651664792431</v>
      </c>
      <c r="FF598" s="609">
        <f t="shared" si="2743"/>
        <v>172.9388876448474</v>
      </c>
      <c r="FG598" s="609">
        <f t="shared" si="2743"/>
        <v>118.30803389387893</v>
      </c>
      <c r="FH598" s="609">
        <f t="shared" si="2743"/>
        <v>80.934895988110213</v>
      </c>
      <c r="FI598" s="609">
        <f t="shared" si="2743"/>
        <v>55.367815464517911</v>
      </c>
      <c r="FJ598" s="1121">
        <f>+(FF598/ES598)^0.2-1</f>
        <v>-0.28608128953052214</v>
      </c>
    </row>
    <row r="599" spans="1:167" hidden="1" outlineLevel="1" x14ac:dyDescent="0.3">
      <c r="A599" s="1194" t="s">
        <v>517</v>
      </c>
      <c r="B599" s="705"/>
      <c r="C599" s="705"/>
      <c r="D599" s="705"/>
      <c r="E599" s="705"/>
      <c r="F599" s="705"/>
      <c r="G599" s="705"/>
      <c r="H599" s="705"/>
      <c r="I599" s="705"/>
      <c r="J599" s="705"/>
      <c r="K599" s="705"/>
      <c r="L599" s="705"/>
      <c r="M599" s="705"/>
      <c r="N599" s="705"/>
      <c r="O599" s="705"/>
      <c r="P599" s="705"/>
      <c r="Q599" s="705"/>
      <c r="R599" s="705"/>
      <c r="S599" s="705"/>
      <c r="T599" s="705"/>
      <c r="U599" s="705"/>
      <c r="V599" s="705"/>
      <c r="W599" s="705"/>
      <c r="X599" s="705"/>
      <c r="Y599" s="705"/>
      <c r="Z599" s="705"/>
      <c r="AA599" s="705"/>
      <c r="AB599" s="705"/>
      <c r="AC599" s="705"/>
      <c r="AD599" s="705"/>
      <c r="AE599" s="705"/>
      <c r="AF599" s="705"/>
      <c r="AG599" s="705"/>
      <c r="AH599" s="705"/>
      <c r="AI599" s="705"/>
      <c r="AJ599" s="705"/>
      <c r="AK599" s="705"/>
      <c r="AL599" s="705"/>
      <c r="AM599" s="705"/>
      <c r="AN599" s="705"/>
      <c r="AO599" s="705"/>
      <c r="AP599" s="705"/>
      <c r="AQ599" s="705"/>
      <c r="AR599" s="705"/>
      <c r="AS599" s="705"/>
      <c r="AT599" s="705"/>
      <c r="AU599" s="705"/>
      <c r="AV599" s="705"/>
      <c r="AW599" s="705"/>
      <c r="AX599" s="705"/>
      <c r="AY599" s="705"/>
      <c r="AZ599" s="705"/>
      <c r="BA599" s="705"/>
      <c r="BB599" s="705"/>
      <c r="BC599" s="705"/>
      <c r="BD599" s="705"/>
      <c r="BE599" s="705"/>
      <c r="BF599" s="705"/>
      <c r="BG599" s="705"/>
      <c r="BH599" s="705"/>
      <c r="BI599" s="705"/>
      <c r="BJ599" s="705"/>
      <c r="BK599" s="705"/>
      <c r="BL599" s="705"/>
      <c r="BM599" s="705"/>
      <c r="BN599" s="705"/>
      <c r="BO599" s="705"/>
      <c r="BP599" s="705"/>
      <c r="BQ599" s="705"/>
      <c r="BR599" s="705"/>
      <c r="BS599" s="705"/>
      <c r="BT599" s="705"/>
      <c r="BU599" s="705"/>
      <c r="BV599" s="705"/>
      <c r="BW599" s="705"/>
      <c r="BX599" s="705"/>
      <c r="BY599" s="705"/>
      <c r="BZ599" s="705"/>
      <c r="CA599" s="705"/>
      <c r="CB599" s="705"/>
      <c r="CC599" s="705"/>
      <c r="CD599" s="705"/>
      <c r="CE599" s="705"/>
      <c r="CF599" s="705"/>
      <c r="CG599" s="705"/>
      <c r="CH599" s="705"/>
      <c r="CI599" s="705"/>
      <c r="CJ599" s="705"/>
      <c r="CK599" s="705"/>
      <c r="CL599" s="705"/>
      <c r="CM599" s="705"/>
      <c r="CN599" s="705"/>
      <c r="CO599" s="705"/>
      <c r="CP599" s="705"/>
      <c r="CQ599" s="705"/>
      <c r="CR599" s="705"/>
      <c r="CS599" s="705"/>
      <c r="CT599" s="705"/>
      <c r="CU599" s="705"/>
      <c r="CV599" s="705"/>
      <c r="CW599" s="705"/>
      <c r="CX599" s="705"/>
      <c r="CY599" s="705"/>
      <c r="CZ599" s="705"/>
      <c r="DA599" s="705"/>
      <c r="DB599" s="705"/>
      <c r="DC599" s="705"/>
      <c r="DD599" s="705"/>
      <c r="DE599" s="705"/>
      <c r="DF599" s="705"/>
      <c r="DG599" s="705"/>
      <c r="DH599" s="705"/>
      <c r="DI599" s="705"/>
      <c r="DJ599" s="705"/>
      <c r="DK599" s="705"/>
      <c r="DL599" s="705"/>
      <c r="DM599" s="705"/>
      <c r="DN599" s="705"/>
      <c r="DO599" s="705"/>
      <c r="DP599" s="705"/>
      <c r="DQ599" s="705"/>
      <c r="DR599" s="705"/>
      <c r="DS599" s="705"/>
      <c r="DT599" s="705"/>
      <c r="DU599" s="1254">
        <f>+AVERAGE(DU397,DU394)</f>
        <v>2789</v>
      </c>
      <c r="DV599" s="1254">
        <f>+AVERAGE(DV397,DV394)</f>
        <v>2750</v>
      </c>
      <c r="DW599" s="1254">
        <f>+AVERAGE(DW397,DW394)</f>
        <v>2700</v>
      </c>
      <c r="DX599" s="1254">
        <f>+AVERAGE(DX397,DX394)</f>
        <v>2661.5</v>
      </c>
      <c r="DY599" s="1254">
        <f>+AVERAGE(DU599:DX599)</f>
        <v>2725.125</v>
      </c>
      <c r="DZ599" s="1254">
        <f>+AVERAGE(DZ397,DZ394)</f>
        <v>2640.5</v>
      </c>
      <c r="EA599" s="1254">
        <f>+AVERAGE(EA397,EA394)</f>
        <v>2629</v>
      </c>
      <c r="EB599" s="1254">
        <f>+AVERAGE(EB397,EB394)</f>
        <v>2617</v>
      </c>
      <c r="EC599" s="1254">
        <f>+AVERAGE(EC397,EC394)</f>
        <v>2598.5</v>
      </c>
      <c r="ED599" s="1254">
        <f t="shared" si="2740"/>
        <v>2621.25</v>
      </c>
      <c r="EE599" s="1254">
        <f>+AVERAGE(EE397,EE394)</f>
        <v>2582.5</v>
      </c>
      <c r="EF599" s="1254">
        <f>+AVERAGE(EF397,EF394)</f>
        <v>2569</v>
      </c>
      <c r="EG599" s="1254">
        <f>+AVERAGE(EG397,EG394)</f>
        <v>2558</v>
      </c>
      <c r="EH599" s="1254">
        <f>+AVERAGE(EH397,EH394)</f>
        <v>2563</v>
      </c>
      <c r="EI599" s="1254">
        <f t="shared" si="2741"/>
        <v>2568.125</v>
      </c>
      <c r="EJ599" s="1254">
        <f>+AVERAGE(EJ397,EJ394)</f>
        <v>2581</v>
      </c>
      <c r="EK599" s="1254">
        <f>+AVERAGE(EK397,EK394)</f>
        <v>2596.5</v>
      </c>
      <c r="EL599" s="1254">
        <f>+AVERAGE(EL397,EL394)</f>
        <v>2604</v>
      </c>
      <c r="EM599" s="1254">
        <f>+AVERAGE(EM397,EM394)</f>
        <v>2612.5</v>
      </c>
      <c r="EN599" s="1254">
        <f t="shared" si="2742"/>
        <v>2598.5</v>
      </c>
      <c r="EO599" s="1254"/>
      <c r="EP599" s="1254"/>
      <c r="EQ599" s="1254"/>
      <c r="ER599" s="1254"/>
      <c r="ES599" s="1254">
        <f>+AVERAGE(ES397,ES394)</f>
        <v>2659</v>
      </c>
      <c r="ET599" s="1254"/>
      <c r="EU599" s="1254"/>
      <c r="EV599" s="1254"/>
      <c r="EW599" s="1254"/>
      <c r="EX599" s="1254">
        <f t="shared" ref="EX599:FI599" si="2744">+AVERAGE(EX397,EX394)</f>
        <v>2780.5</v>
      </c>
      <c r="EY599" s="1254"/>
      <c r="EZ599" s="1254"/>
      <c r="FA599" s="1254"/>
      <c r="FB599" s="1254"/>
      <c r="FC599" s="1254">
        <f t="shared" si="2744"/>
        <v>3001.041762914233</v>
      </c>
      <c r="FD599" s="1254">
        <f t="shared" si="2744"/>
        <v>3312.6420257449281</v>
      </c>
      <c r="FE599" s="1254">
        <f t="shared" si="2744"/>
        <v>3646.6470409515496</v>
      </c>
      <c r="FF599" s="1254">
        <f t="shared" si="2744"/>
        <v>3931.6263127007251</v>
      </c>
      <c r="FG599" s="1254">
        <f t="shared" si="2744"/>
        <v>4148.383711725879</v>
      </c>
      <c r="FH599" s="1254">
        <f t="shared" si="2744"/>
        <v>4308.9921933908499</v>
      </c>
      <c r="FI599" s="1254">
        <f t="shared" si="2744"/>
        <v>4415.8776271275201</v>
      </c>
      <c r="FJ599" s="1121">
        <f>+(FF599/ES599)^0.2-1</f>
        <v>8.1361191027612634E-2</v>
      </c>
    </row>
    <row r="600" spans="1:167" hidden="1" outlineLevel="1" x14ac:dyDescent="0.3">
      <c r="A600" s="1193" t="s">
        <v>518</v>
      </c>
      <c r="B600" s="705"/>
      <c r="C600" s="705"/>
      <c r="D600" s="705"/>
      <c r="E600" s="705"/>
      <c r="F600" s="705"/>
      <c r="G600" s="705"/>
      <c r="H600" s="705"/>
      <c r="I600" s="705"/>
      <c r="J600" s="705"/>
      <c r="K600" s="705"/>
      <c r="L600" s="705"/>
      <c r="M600" s="705"/>
      <c r="N600" s="705"/>
      <c r="O600" s="705"/>
      <c r="P600" s="705"/>
      <c r="Q600" s="705"/>
      <c r="R600" s="705"/>
      <c r="S600" s="705"/>
      <c r="T600" s="705"/>
      <c r="U600" s="705"/>
      <c r="V600" s="705"/>
      <c r="W600" s="705"/>
      <c r="X600" s="705"/>
      <c r="Y600" s="705"/>
      <c r="Z600" s="705"/>
      <c r="AA600" s="705"/>
      <c r="AB600" s="705"/>
      <c r="AC600" s="705"/>
      <c r="AD600" s="705"/>
      <c r="AE600" s="705"/>
      <c r="AF600" s="705"/>
      <c r="AG600" s="705"/>
      <c r="AH600" s="705"/>
      <c r="AI600" s="705"/>
      <c r="AJ600" s="705"/>
      <c r="AK600" s="705"/>
      <c r="AL600" s="705"/>
      <c r="AM600" s="705"/>
      <c r="AN600" s="705"/>
      <c r="AO600" s="705"/>
      <c r="AP600" s="705"/>
      <c r="AQ600" s="705"/>
      <c r="AR600" s="705"/>
      <c r="AS600" s="705"/>
      <c r="AT600" s="705"/>
      <c r="AU600" s="705"/>
      <c r="AV600" s="705"/>
      <c r="AW600" s="705"/>
      <c r="AX600" s="705"/>
      <c r="AY600" s="705"/>
      <c r="AZ600" s="705"/>
      <c r="BA600" s="705"/>
      <c r="BB600" s="705"/>
      <c r="BC600" s="705"/>
      <c r="BD600" s="705"/>
      <c r="BE600" s="705"/>
      <c r="BF600" s="705"/>
      <c r="BG600" s="705"/>
      <c r="BH600" s="705"/>
      <c r="BI600" s="705"/>
      <c r="BJ600" s="705"/>
      <c r="BK600" s="705"/>
      <c r="BL600" s="705"/>
      <c r="BM600" s="705"/>
      <c r="BN600" s="705"/>
      <c r="BO600" s="705"/>
      <c r="BP600" s="705"/>
      <c r="BQ600" s="705"/>
      <c r="BR600" s="705"/>
      <c r="BS600" s="705"/>
      <c r="BT600" s="705"/>
      <c r="BU600" s="705"/>
      <c r="BV600" s="705"/>
      <c r="BW600" s="705"/>
      <c r="BX600" s="705"/>
      <c r="BY600" s="705"/>
      <c r="BZ600" s="705"/>
      <c r="CA600" s="705"/>
      <c r="CB600" s="705"/>
      <c r="CC600" s="705"/>
      <c r="CD600" s="705"/>
      <c r="CE600" s="705"/>
      <c r="CF600" s="705"/>
      <c r="CG600" s="705"/>
      <c r="CH600" s="705"/>
      <c r="CI600" s="705"/>
      <c r="CJ600" s="705"/>
      <c r="CK600" s="705"/>
      <c r="CL600" s="705"/>
      <c r="CM600" s="705"/>
      <c r="CN600" s="705"/>
      <c r="CO600" s="705"/>
      <c r="CP600" s="705"/>
      <c r="CQ600" s="705"/>
      <c r="CR600" s="705"/>
      <c r="CS600" s="705"/>
      <c r="CT600" s="705"/>
      <c r="CU600" s="705"/>
      <c r="CV600" s="705"/>
      <c r="CW600" s="705"/>
      <c r="CX600" s="705"/>
      <c r="CY600" s="705"/>
      <c r="CZ600" s="705"/>
      <c r="DA600" s="705"/>
      <c r="DB600" s="705"/>
      <c r="DC600" s="705"/>
      <c r="DD600" s="705"/>
      <c r="DE600" s="705"/>
      <c r="DF600" s="705"/>
      <c r="DG600" s="705"/>
      <c r="DH600" s="705"/>
      <c r="DI600" s="705"/>
      <c r="DJ600" s="705"/>
      <c r="DK600" s="705"/>
      <c r="DL600" s="705"/>
      <c r="DM600" s="705"/>
      <c r="DN600" s="705"/>
      <c r="DO600" s="705"/>
      <c r="DP600" s="705"/>
      <c r="DQ600" s="705"/>
      <c r="DR600" s="705"/>
      <c r="DS600" s="705"/>
      <c r="DT600" s="705"/>
      <c r="DU600" s="609"/>
      <c r="DV600" s="609"/>
      <c r="DW600" s="609"/>
      <c r="DX600" s="609"/>
      <c r="DY600" s="731"/>
      <c r="DZ600" s="1195">
        <f>AVERAGE(DZ268,DZ271)</f>
        <v>90</v>
      </c>
      <c r="EA600" s="1195">
        <f>AVERAGE(EA268,EA271)</f>
        <v>84.5</v>
      </c>
      <c r="EB600" s="1195">
        <f>AVERAGE(EB268,EB271)</f>
        <v>78.5</v>
      </c>
      <c r="EC600" s="1195">
        <f>AVERAGE(EC268,EC271)</f>
        <v>72</v>
      </c>
      <c r="ED600" s="733">
        <f t="shared" si="2740"/>
        <v>81.25</v>
      </c>
      <c r="EE600" s="1195">
        <f>AVERAGE(EE268,EE271)</f>
        <v>66.5</v>
      </c>
      <c r="EF600" s="1195">
        <f>AVERAGE(EF268,EF271)</f>
        <v>62</v>
      </c>
      <c r="EG600" s="1195">
        <f>AVERAGE(EG268,EG271)</f>
        <v>58.5</v>
      </c>
      <c r="EH600" s="1195">
        <f>AVERAGE(EH268,EH271)</f>
        <v>55</v>
      </c>
      <c r="EI600" s="733">
        <f t="shared" si="2741"/>
        <v>60.5</v>
      </c>
      <c r="EJ600" s="1195">
        <f>AVERAGE(EJ268,EJ271)</f>
        <v>51</v>
      </c>
      <c r="EK600" s="1195">
        <f>AVERAGE(EK268,EK271)</f>
        <v>48.5</v>
      </c>
      <c r="EL600" s="1195">
        <f>AVERAGE(EL268,EL271)</f>
        <v>44</v>
      </c>
      <c r="EM600" s="1195">
        <f>AVERAGE(EM268,EM271)</f>
        <v>37.5</v>
      </c>
      <c r="EN600" s="733">
        <f t="shared" si="2742"/>
        <v>45.25</v>
      </c>
      <c r="EO600" s="733"/>
      <c r="EP600" s="733"/>
      <c r="EQ600" s="733"/>
      <c r="ER600" s="733"/>
      <c r="ES600" s="1195">
        <f>AVERAGE(ES268,ES271)</f>
        <v>27</v>
      </c>
      <c r="ET600" s="1195"/>
      <c r="EU600" s="1195"/>
      <c r="EV600" s="1195"/>
      <c r="EW600" s="1195"/>
      <c r="EX600" s="1195">
        <f t="shared" ref="EX600:FI600" si="2745">AVERAGE(EX268,EX271)</f>
        <v>15</v>
      </c>
      <c r="EY600" s="1195"/>
      <c r="EZ600" s="1195"/>
      <c r="FA600" s="1195"/>
      <c r="FB600" s="1195"/>
      <c r="FC600" s="1195">
        <f t="shared" si="2745"/>
        <v>8.5376010383426113</v>
      </c>
      <c r="FD600" s="1195">
        <f t="shared" si="2745"/>
        <v>4.399284262427229</v>
      </c>
      <c r="FE600" s="1195">
        <f t="shared" si="2745"/>
        <v>1.972092945225999</v>
      </c>
      <c r="FF600" s="1195">
        <f t="shared" si="2745"/>
        <v>0.88404166510130988</v>
      </c>
      <c r="FG600" s="1195">
        <f t="shared" si="2745"/>
        <v>0.3962945395281734</v>
      </c>
      <c r="FH600" s="1195">
        <f t="shared" si="2745"/>
        <v>0.17764927634021568</v>
      </c>
      <c r="FI600" s="1195">
        <f t="shared" si="2745"/>
        <v>7.9635882497338065E-2</v>
      </c>
      <c r="FJ600" s="189"/>
    </row>
    <row r="601" spans="1:167" s="90" customFormat="1" hidden="1" outlineLevel="1" x14ac:dyDescent="0.3">
      <c r="A601" s="1194" t="s">
        <v>519</v>
      </c>
      <c r="B601" s="760"/>
      <c r="C601" s="760"/>
      <c r="D601" s="760"/>
      <c r="E601" s="760"/>
      <c r="F601" s="760"/>
      <c r="G601" s="760"/>
      <c r="H601" s="760"/>
      <c r="I601" s="760"/>
      <c r="J601" s="760"/>
      <c r="K601" s="760"/>
      <c r="L601" s="760"/>
      <c r="M601" s="760"/>
      <c r="N601" s="760"/>
      <c r="O601" s="760"/>
      <c r="P601" s="760"/>
      <c r="Q601" s="760"/>
      <c r="R601" s="760"/>
      <c r="S601" s="760"/>
      <c r="T601" s="760"/>
      <c r="U601" s="760"/>
      <c r="V601" s="760"/>
      <c r="W601" s="760"/>
      <c r="X601" s="760"/>
      <c r="Y601" s="760"/>
      <c r="Z601" s="760"/>
      <c r="AA601" s="760"/>
      <c r="AB601" s="760"/>
      <c r="AC601" s="760"/>
      <c r="AD601" s="760"/>
      <c r="AE601" s="760"/>
      <c r="AF601" s="760"/>
      <c r="AG601" s="760"/>
      <c r="AH601" s="760"/>
      <c r="AI601" s="760"/>
      <c r="AJ601" s="760"/>
      <c r="AK601" s="760"/>
      <c r="AL601" s="760"/>
      <c r="AM601" s="760"/>
      <c r="AN601" s="760"/>
      <c r="AO601" s="760"/>
      <c r="AP601" s="760"/>
      <c r="AQ601" s="760"/>
      <c r="AR601" s="760"/>
      <c r="AS601" s="760"/>
      <c r="AT601" s="760"/>
      <c r="AU601" s="760"/>
      <c r="AV601" s="760"/>
      <c r="AW601" s="760"/>
      <c r="AX601" s="760"/>
      <c r="AY601" s="760"/>
      <c r="AZ601" s="760"/>
      <c r="BA601" s="760"/>
      <c r="BB601" s="760"/>
      <c r="BC601" s="760"/>
      <c r="BD601" s="760"/>
      <c r="BE601" s="760"/>
      <c r="BF601" s="760"/>
      <c r="BG601" s="760"/>
      <c r="BH601" s="760"/>
      <c r="BI601" s="760"/>
      <c r="BJ601" s="760"/>
      <c r="BK601" s="760"/>
      <c r="BL601" s="760"/>
      <c r="BM601" s="760"/>
      <c r="BN601" s="760"/>
      <c r="BO601" s="760"/>
      <c r="BP601" s="760"/>
      <c r="BQ601" s="760"/>
      <c r="BR601" s="760"/>
      <c r="BS601" s="760"/>
      <c r="BT601" s="760"/>
      <c r="BU601" s="760"/>
      <c r="BV601" s="760"/>
      <c r="BW601" s="760"/>
      <c r="BX601" s="760"/>
      <c r="BY601" s="760"/>
      <c r="BZ601" s="760"/>
      <c r="CA601" s="760"/>
      <c r="CB601" s="760"/>
      <c r="CC601" s="760"/>
      <c r="CD601" s="760"/>
      <c r="CE601" s="760"/>
      <c r="CF601" s="760"/>
      <c r="CG601" s="760"/>
      <c r="CH601" s="760"/>
      <c r="CI601" s="760"/>
      <c r="CJ601" s="760"/>
      <c r="CK601" s="760"/>
      <c r="CL601" s="760"/>
      <c r="CM601" s="760"/>
      <c r="CN601" s="760"/>
      <c r="CO601" s="760"/>
      <c r="CP601" s="760"/>
      <c r="CQ601" s="760"/>
      <c r="CR601" s="760"/>
      <c r="CS601" s="760"/>
      <c r="CT601" s="760"/>
      <c r="CU601" s="760"/>
      <c r="CV601" s="760"/>
      <c r="CW601" s="760"/>
      <c r="CX601" s="760"/>
      <c r="CY601" s="760"/>
      <c r="CZ601" s="760"/>
      <c r="DA601" s="760"/>
      <c r="DB601" s="760"/>
      <c r="DC601" s="760"/>
      <c r="DD601" s="760"/>
      <c r="DE601" s="760"/>
      <c r="DF601" s="760"/>
      <c r="DG601" s="760"/>
      <c r="DH601" s="760"/>
      <c r="DI601" s="760"/>
      <c r="DJ601" s="760"/>
      <c r="DK601" s="760"/>
      <c r="DL601" s="760"/>
      <c r="DM601" s="760"/>
      <c r="DN601" s="760"/>
      <c r="DO601" s="760"/>
      <c r="DP601" s="760"/>
      <c r="DQ601" s="760"/>
      <c r="DR601" s="760"/>
      <c r="DS601" s="760"/>
      <c r="DT601" s="760"/>
      <c r="DU601" s="731"/>
      <c r="DV601" s="731"/>
      <c r="DW601" s="731"/>
      <c r="DX601" s="731"/>
      <c r="DY601" s="731"/>
      <c r="DZ601" s="731">
        <f>+AVERAGE(DZ408,DZ405)</f>
        <v>594</v>
      </c>
      <c r="EA601" s="731">
        <f>+AVERAGE(EA408,EA405)</f>
        <v>559.5</v>
      </c>
      <c r="EB601" s="731">
        <f>+AVERAGE(EB408,EB405)</f>
        <v>522</v>
      </c>
      <c r="EC601" s="731">
        <f>+AVERAGE(EC408,EC405)</f>
        <v>485</v>
      </c>
      <c r="ED601" s="731">
        <f t="shared" si="2740"/>
        <v>540.125</v>
      </c>
      <c r="EE601" s="731">
        <f>+AVERAGE(EE408,EE405)</f>
        <v>453</v>
      </c>
      <c r="EF601" s="731">
        <f>+AVERAGE(EF408,EF405)</f>
        <v>423</v>
      </c>
      <c r="EG601" s="731">
        <f>+AVERAGE(EG408,EG405)</f>
        <v>397.5</v>
      </c>
      <c r="EH601" s="731">
        <f>+AVERAGE(EH408,EH405)</f>
        <v>377</v>
      </c>
      <c r="EI601" s="731">
        <f t="shared" si="2741"/>
        <v>412.625</v>
      </c>
      <c r="EJ601" s="731">
        <f>+AVERAGE(EJ408,EJ405)</f>
        <v>359.5</v>
      </c>
      <c r="EK601" s="731">
        <f>+AVERAGE(EK408,EK405)</f>
        <v>341</v>
      </c>
      <c r="EL601" s="731">
        <f>+AVERAGE(EL408,EL405)</f>
        <v>320.5</v>
      </c>
      <c r="EM601" s="731">
        <f>+AVERAGE(EM408,EM405)</f>
        <v>302</v>
      </c>
      <c r="EN601" s="731">
        <f t="shared" si="2742"/>
        <v>330.75</v>
      </c>
      <c r="EO601" s="731"/>
      <c r="EP601" s="731"/>
      <c r="EQ601" s="731"/>
      <c r="ER601" s="731"/>
      <c r="ES601" s="731">
        <f>+AVERAGE(ES408,ES405)</f>
        <v>258</v>
      </c>
      <c r="ET601" s="731"/>
      <c r="EU601" s="731"/>
      <c r="EV601" s="731"/>
      <c r="EW601" s="731"/>
      <c r="EX601" s="731">
        <f t="shared" ref="EX601:FI601" si="2746">+AVERAGE(EX408,EX405)</f>
        <v>194.5</v>
      </c>
      <c r="EY601" s="731"/>
      <c r="EZ601" s="731"/>
      <c r="FA601" s="731"/>
      <c r="FB601" s="731"/>
      <c r="FC601" s="731">
        <f t="shared" si="2746"/>
        <v>146.47848773785</v>
      </c>
      <c r="FD601" s="731">
        <f t="shared" si="2746"/>
        <v>109.11431916950744</v>
      </c>
      <c r="FE601" s="731">
        <f t="shared" si="2746"/>
        <v>80.191264376490494</v>
      </c>
      <c r="FF601" s="731">
        <f t="shared" si="2746"/>
        <v>59.311551953596322</v>
      </c>
      <c r="FG601" s="731">
        <f t="shared" si="2746"/>
        <v>44.039993341836023</v>
      </c>
      <c r="FH601" s="731">
        <f t="shared" si="2746"/>
        <v>32.77825874508968</v>
      </c>
      <c r="FI601" s="731">
        <f t="shared" si="2746"/>
        <v>24.431369738696468</v>
      </c>
      <c r="FJ601" s="717">
        <f>+(FF601/ES601)^0.2-1</f>
        <v>-0.25474668519246124</v>
      </c>
    </row>
    <row r="602" spans="1:167" hidden="1" outlineLevel="1" x14ac:dyDescent="0.3">
      <c r="A602" s="1193" t="s">
        <v>520</v>
      </c>
      <c r="B602" s="705"/>
      <c r="C602" s="705"/>
      <c r="D602" s="705"/>
      <c r="E602" s="705"/>
      <c r="F602" s="705"/>
      <c r="G602" s="705"/>
      <c r="H602" s="705"/>
      <c r="I602" s="705"/>
      <c r="J602" s="705"/>
      <c r="K602" s="705"/>
      <c r="L602" s="705"/>
      <c r="M602" s="705"/>
      <c r="N602" s="705"/>
      <c r="O602" s="705"/>
      <c r="P602" s="705"/>
      <c r="Q602" s="705"/>
      <c r="R602" s="705"/>
      <c r="S602" s="705"/>
      <c r="T602" s="705"/>
      <c r="U602" s="705"/>
      <c r="V602" s="705"/>
      <c r="W602" s="705"/>
      <c r="X602" s="705"/>
      <c r="Y602" s="705"/>
      <c r="Z602" s="705"/>
      <c r="AA602" s="705"/>
      <c r="AB602" s="705"/>
      <c r="AC602" s="705"/>
      <c r="AD602" s="705"/>
      <c r="AE602" s="705"/>
      <c r="AF602" s="705"/>
      <c r="AG602" s="705"/>
      <c r="AH602" s="705"/>
      <c r="AI602" s="705"/>
      <c r="AJ602" s="705"/>
      <c r="AK602" s="705"/>
      <c r="AL602" s="705"/>
      <c r="AM602" s="705"/>
      <c r="AN602" s="705"/>
      <c r="AO602" s="705"/>
      <c r="AP602" s="705"/>
      <c r="AQ602" s="705"/>
      <c r="AR602" s="705"/>
      <c r="AS602" s="705"/>
      <c r="AT602" s="705"/>
      <c r="AU602" s="705"/>
      <c r="AV602" s="705"/>
      <c r="AW602" s="705"/>
      <c r="AX602" s="705"/>
      <c r="AY602" s="705"/>
      <c r="AZ602" s="705"/>
      <c r="BA602" s="705"/>
      <c r="BB602" s="705"/>
      <c r="BC602" s="705"/>
      <c r="BD602" s="705"/>
      <c r="BE602" s="705"/>
      <c r="BF602" s="705"/>
      <c r="BG602" s="705"/>
      <c r="BH602" s="705"/>
      <c r="BI602" s="705"/>
      <c r="BJ602" s="705"/>
      <c r="BK602" s="705"/>
      <c r="BL602" s="705"/>
      <c r="BM602" s="705"/>
      <c r="BN602" s="705"/>
      <c r="BO602" s="705"/>
      <c r="BP602" s="705"/>
      <c r="BQ602" s="705"/>
      <c r="BR602" s="705"/>
      <c r="BS602" s="705"/>
      <c r="BT602" s="705"/>
      <c r="BU602" s="705"/>
      <c r="BV602" s="705"/>
      <c r="BW602" s="705"/>
      <c r="BX602" s="705"/>
      <c r="BY602" s="705"/>
      <c r="BZ602" s="705"/>
      <c r="CA602" s="705"/>
      <c r="CB602" s="705"/>
      <c r="CC602" s="705"/>
      <c r="CD602" s="705"/>
      <c r="CE602" s="705"/>
      <c r="CF602" s="705"/>
      <c r="CG602" s="705"/>
      <c r="CH602" s="705"/>
      <c r="CI602" s="705"/>
      <c r="CJ602" s="705"/>
      <c r="CK602" s="705"/>
      <c r="CL602" s="705"/>
      <c r="CM602" s="705"/>
      <c r="CN602" s="705"/>
      <c r="CO602" s="705"/>
      <c r="CP602" s="705"/>
      <c r="CQ602" s="705"/>
      <c r="CR602" s="705"/>
      <c r="CS602" s="705"/>
      <c r="CT602" s="705"/>
      <c r="CU602" s="705"/>
      <c r="CV602" s="705"/>
      <c r="CW602" s="705"/>
      <c r="CX602" s="705"/>
      <c r="CY602" s="705"/>
      <c r="CZ602" s="705"/>
      <c r="DA602" s="705"/>
      <c r="DB602" s="705"/>
      <c r="DC602" s="705"/>
      <c r="DD602" s="705"/>
      <c r="DE602" s="705"/>
      <c r="DF602" s="705"/>
      <c r="DG602" s="705"/>
      <c r="DH602" s="705"/>
      <c r="DI602" s="705"/>
      <c r="DJ602" s="705"/>
      <c r="DK602" s="705"/>
      <c r="DL602" s="705"/>
      <c r="DM602" s="705"/>
      <c r="DN602" s="705"/>
      <c r="DO602" s="705"/>
      <c r="DP602" s="705"/>
      <c r="DQ602" s="705"/>
      <c r="DR602" s="705"/>
      <c r="DS602" s="705"/>
      <c r="DT602" s="705"/>
      <c r="DU602" s="609">
        <f>+AVERAGE(DU431,DU428)</f>
        <v>3663.75</v>
      </c>
      <c r="DV602" s="609">
        <f>+AVERAGE(DV431,DV428)</f>
        <v>3598.5</v>
      </c>
      <c r="DW602" s="609">
        <f>+AVERAGE(DW431,DW428)</f>
        <v>3513</v>
      </c>
      <c r="DX602" s="609">
        <f>+AVERAGE(DX431,DX428)</f>
        <v>3442</v>
      </c>
      <c r="DY602" s="731">
        <f>+AVERAGE(DU602:DX602)</f>
        <v>3554.3125</v>
      </c>
      <c r="DZ602" s="609">
        <f>+AVERAGE(DZ431,DZ428)</f>
        <v>3393.5</v>
      </c>
      <c r="EA602" s="609">
        <f>+AVERAGE(EA431,EA428)</f>
        <v>3358</v>
      </c>
      <c r="EB602" s="609">
        <f>+AVERAGE(EB431,EB428)</f>
        <v>3324</v>
      </c>
      <c r="EC602" s="609">
        <f>+AVERAGE(EC431,EC428)</f>
        <v>3285</v>
      </c>
      <c r="ED602" s="731">
        <f t="shared" si="2740"/>
        <v>3340.125</v>
      </c>
      <c r="EE602" s="609">
        <f>+AVERAGE(EE431,EE428)</f>
        <v>3249</v>
      </c>
      <c r="EF602" s="609">
        <f>+AVERAGE(EF431,EF428)</f>
        <v>3215</v>
      </c>
      <c r="EG602" s="609">
        <f>+AVERAGE(EG431,EG428)</f>
        <v>3184.5</v>
      </c>
      <c r="EH602" s="609">
        <f>+AVERAGE(EH431,EH428)</f>
        <v>3169</v>
      </c>
      <c r="EI602" s="731">
        <f t="shared" si="2741"/>
        <v>3204.375</v>
      </c>
      <c r="EJ602" s="609">
        <f>+AVERAGE(EJ431,EJ428)</f>
        <v>3167</v>
      </c>
      <c r="EK602" s="609">
        <f>+AVERAGE(EK431,EK428)</f>
        <v>3164</v>
      </c>
      <c r="EL602" s="609">
        <f>+AVERAGE(EL431,EL428)</f>
        <v>3150.5</v>
      </c>
      <c r="EM602" s="609">
        <f>+AVERAGE(EM431,EM428)</f>
        <v>3137.5</v>
      </c>
      <c r="EN602" s="731">
        <f t="shared" si="2742"/>
        <v>3154.75</v>
      </c>
      <c r="EO602" s="731"/>
      <c r="EP602" s="731"/>
      <c r="EQ602" s="731"/>
      <c r="ER602" s="731"/>
      <c r="ES602" s="609">
        <f>+AVERAGE(ES431,ES428)</f>
        <v>3131</v>
      </c>
      <c r="ET602" s="609"/>
      <c r="EU602" s="609"/>
      <c r="EV602" s="609"/>
      <c r="EW602" s="609"/>
      <c r="EX602" s="609">
        <f t="shared" ref="EX602:FI602" si="2747">+AVERAGE(EX431,EX428)</f>
        <v>3161</v>
      </c>
      <c r="EY602" s="609"/>
      <c r="EZ602" s="609"/>
      <c r="FA602" s="609"/>
      <c r="FB602" s="609"/>
      <c r="FC602" s="609">
        <f t="shared" si="2747"/>
        <v>3290.6161091714839</v>
      </c>
      <c r="FD602" s="609">
        <f t="shared" si="2747"/>
        <v>3528.7996926605283</v>
      </c>
      <c r="FE602" s="609">
        <f t="shared" si="2747"/>
        <v>3825.0899221570025</v>
      </c>
      <c r="FF602" s="609">
        <f t="shared" si="2747"/>
        <v>4101.6527995262813</v>
      </c>
      <c r="FG602" s="609">
        <f t="shared" si="2747"/>
        <v>4314.7275839887534</v>
      </c>
      <c r="FH602" s="609">
        <f t="shared" si="2747"/>
        <v>4471.4218457963607</v>
      </c>
      <c r="FI602" s="609">
        <f t="shared" si="2747"/>
        <v>4574.498800340356</v>
      </c>
      <c r="FJ602" s="1121">
        <f>+(FF602/ES602)^0.2-1</f>
        <v>5.5492533512018882E-2</v>
      </c>
    </row>
    <row r="603" spans="1:167" hidden="1" outlineLevel="1" x14ac:dyDescent="0.3">
      <c r="A603" s="1193" t="s">
        <v>458</v>
      </c>
      <c r="B603" s="705"/>
      <c r="C603" s="705"/>
      <c r="D603" s="705"/>
      <c r="E603" s="705"/>
      <c r="F603" s="705"/>
      <c r="G603" s="705"/>
      <c r="H603" s="705"/>
      <c r="I603" s="705"/>
      <c r="J603" s="705"/>
      <c r="K603" s="705"/>
      <c r="L603" s="705"/>
      <c r="M603" s="705"/>
      <c r="N603" s="705"/>
      <c r="O603" s="705"/>
      <c r="P603" s="705"/>
      <c r="Q603" s="705"/>
      <c r="R603" s="705"/>
      <c r="S603" s="705"/>
      <c r="T603" s="705"/>
      <c r="U603" s="705"/>
      <c r="V603" s="705"/>
      <c r="W603" s="705"/>
      <c r="X603" s="705"/>
      <c r="Y603" s="705"/>
      <c r="Z603" s="705"/>
      <c r="AA603" s="705"/>
      <c r="AB603" s="705"/>
      <c r="AC603" s="705"/>
      <c r="AD603" s="705"/>
      <c r="AE603" s="705"/>
      <c r="AF603" s="705"/>
      <c r="AG603" s="705"/>
      <c r="AH603" s="705"/>
      <c r="AI603" s="705"/>
      <c r="AJ603" s="705"/>
      <c r="AK603" s="705"/>
      <c r="AL603" s="705"/>
      <c r="AM603" s="705"/>
      <c r="AN603" s="705"/>
      <c r="AO603" s="705"/>
      <c r="AP603" s="705"/>
      <c r="AQ603" s="705"/>
      <c r="AR603" s="705"/>
      <c r="AS603" s="705"/>
      <c r="AT603" s="705"/>
      <c r="AU603" s="705"/>
      <c r="AV603" s="705"/>
      <c r="AW603" s="705"/>
      <c r="AX603" s="705"/>
      <c r="AY603" s="705"/>
      <c r="AZ603" s="705"/>
      <c r="BA603" s="705"/>
      <c r="BB603" s="705"/>
      <c r="BC603" s="705"/>
      <c r="BD603" s="705"/>
      <c r="BE603" s="705"/>
      <c r="BF603" s="705"/>
      <c r="BG603" s="705"/>
      <c r="BH603" s="705"/>
      <c r="BI603" s="705"/>
      <c r="BJ603" s="705"/>
      <c r="BK603" s="705"/>
      <c r="BL603" s="705"/>
      <c r="BM603" s="705"/>
      <c r="BN603" s="705"/>
      <c r="BO603" s="705"/>
      <c r="BP603" s="705"/>
      <c r="BQ603" s="705"/>
      <c r="BR603" s="705"/>
      <c r="BS603" s="705"/>
      <c r="BT603" s="705"/>
      <c r="BU603" s="705"/>
      <c r="BV603" s="705"/>
      <c r="BW603" s="705"/>
      <c r="BX603" s="705"/>
      <c r="BY603" s="705"/>
      <c r="BZ603" s="705"/>
      <c r="CA603" s="705"/>
      <c r="CB603" s="705"/>
      <c r="CC603" s="705"/>
      <c r="CD603" s="705"/>
      <c r="CE603" s="705"/>
      <c r="CF603" s="705"/>
      <c r="CG603" s="705"/>
      <c r="CH603" s="705"/>
      <c r="CI603" s="705"/>
      <c r="CJ603" s="705"/>
      <c r="CK603" s="705"/>
      <c r="CL603" s="705"/>
      <c r="CM603" s="705"/>
      <c r="CN603" s="705"/>
      <c r="CO603" s="705"/>
      <c r="CP603" s="705"/>
      <c r="CQ603" s="705"/>
      <c r="CR603" s="705"/>
      <c r="CS603" s="705"/>
      <c r="CT603" s="705"/>
      <c r="CU603" s="705"/>
      <c r="CV603" s="705"/>
      <c r="CW603" s="705"/>
      <c r="CX603" s="705"/>
      <c r="CY603" s="705"/>
      <c r="CZ603" s="705"/>
      <c r="DA603" s="705"/>
      <c r="DB603" s="705"/>
      <c r="DC603" s="705"/>
      <c r="DD603" s="705"/>
      <c r="DE603" s="705"/>
      <c r="DF603" s="705"/>
      <c r="DG603" s="705"/>
      <c r="DH603" s="705"/>
      <c r="DI603" s="705"/>
      <c r="DJ603" s="705"/>
      <c r="DK603" s="705"/>
      <c r="DL603" s="705"/>
      <c r="DM603" s="705"/>
      <c r="DN603" s="705"/>
      <c r="DO603" s="705"/>
      <c r="DP603" s="705"/>
      <c r="DQ603" s="705"/>
      <c r="DR603" s="705"/>
      <c r="DS603" s="705"/>
      <c r="DT603" s="705"/>
      <c r="DU603" s="1195">
        <f>+AVERAGE(DU442,DU439)</f>
        <v>317.54959869888103</v>
      </c>
      <c r="DV603" s="1195">
        <f>+AVERAGE(DV442,DV439)</f>
        <v>310.83228586168718</v>
      </c>
      <c r="DW603" s="1195">
        <f>+AVERAGE(DW442,DW439)</f>
        <v>304.4049085760895</v>
      </c>
      <c r="DX603" s="1195">
        <f>+AVERAGE(DX442,DX439)</f>
        <v>298.49221392419429</v>
      </c>
      <c r="DY603" s="733">
        <f>+AVERAGE(DU603:DX603)</f>
        <v>307.81975176521303</v>
      </c>
      <c r="DZ603" s="1195">
        <f>+AVERAGE(DZ442,DZ439)</f>
        <v>292.09457838378904</v>
      </c>
      <c r="EA603" s="1195">
        <f>+AVERAGE(EA442,EA439)</f>
        <v>285.2123880859375</v>
      </c>
      <c r="EB603" s="1195">
        <f>+AVERAGE(EB442,EB439)</f>
        <v>279.34603906249998</v>
      </c>
      <c r="EC603" s="1195">
        <f>+AVERAGE(EC442,EC439)</f>
        <v>274.99593750000003</v>
      </c>
      <c r="ED603" s="733">
        <f t="shared" si="2740"/>
        <v>282.91223575805668</v>
      </c>
      <c r="EE603" s="1195">
        <f>+AVERAGE(EE442,EE439)</f>
        <v>271.16250000000002</v>
      </c>
      <c r="EF603" s="1195">
        <f>+AVERAGE(EF442,EF439)</f>
        <v>268</v>
      </c>
      <c r="EG603" s="1195">
        <f>+AVERAGE(EG442,EG439)</f>
        <v>265</v>
      </c>
      <c r="EH603" s="1195">
        <f>+AVERAGE(EH442,EH439)</f>
        <v>260</v>
      </c>
      <c r="EI603" s="733">
        <f t="shared" si="2741"/>
        <v>266.04062499999998</v>
      </c>
      <c r="EJ603" s="1195">
        <f>+AVERAGE(EJ442,EJ439)</f>
        <v>257</v>
      </c>
      <c r="EK603" s="1195">
        <f>+AVERAGE(EK442,EK439)</f>
        <v>256.5</v>
      </c>
      <c r="EL603" s="1195">
        <f>+AVERAGE(EL442,EL439)</f>
        <v>254.5</v>
      </c>
      <c r="EM603" s="1195">
        <f>+AVERAGE(EM442,EM439)</f>
        <v>251.5</v>
      </c>
      <c r="EN603" s="733">
        <f t="shared" si="2742"/>
        <v>254.875</v>
      </c>
      <c r="EO603" s="733"/>
      <c r="EP603" s="733"/>
      <c r="EQ603" s="733"/>
      <c r="ER603" s="733"/>
      <c r="ES603" s="1195">
        <f>+AVERAGE(ES442,ES439)</f>
        <v>246.5</v>
      </c>
      <c r="ET603" s="1195"/>
      <c r="EU603" s="1195"/>
      <c r="EV603" s="1195"/>
      <c r="EW603" s="1195"/>
      <c r="EX603" s="1195">
        <f t="shared" ref="EX603:FI603" si="2748">+AVERAGE(EX442,EX439)</f>
        <v>238</v>
      </c>
      <c r="EY603" s="1195"/>
      <c r="EZ603" s="1195"/>
      <c r="FA603" s="1195"/>
      <c r="FB603" s="1195"/>
      <c r="FC603" s="1195">
        <f t="shared" si="2748"/>
        <v>232.66003674680854</v>
      </c>
      <c r="FD603" s="1195">
        <f t="shared" si="2748"/>
        <v>235.91872333867337</v>
      </c>
      <c r="FE603" s="1195">
        <f t="shared" si="2748"/>
        <v>246.08907447869589</v>
      </c>
      <c r="FF603" s="1195">
        <f t="shared" si="2748"/>
        <v>261.25939359263612</v>
      </c>
      <c r="FG603" s="1195">
        <f t="shared" si="2748"/>
        <v>280.17997894325748</v>
      </c>
      <c r="FH603" s="1195">
        <f t="shared" si="2748"/>
        <v>302.359565947379</v>
      </c>
      <c r="FI603" s="1195">
        <f t="shared" si="2748"/>
        <v>327.50823590404218</v>
      </c>
      <c r="FJ603" s="1196">
        <f>+(FF603/ES603)^0.2-1</f>
        <v>1.1698248614618656E-2</v>
      </c>
    </row>
    <row r="604" spans="1:167" hidden="1" outlineLevel="1" x14ac:dyDescent="0.3">
      <c r="A604" s="1194" t="s">
        <v>463</v>
      </c>
      <c r="B604" s="760"/>
      <c r="C604" s="760"/>
      <c r="D604" s="760"/>
      <c r="E604" s="760"/>
      <c r="F604" s="760"/>
      <c r="G604" s="760"/>
      <c r="H604" s="760"/>
      <c r="I604" s="760"/>
      <c r="J604" s="760"/>
      <c r="K604" s="760"/>
      <c r="L604" s="760"/>
      <c r="M604" s="760"/>
      <c r="N604" s="760"/>
      <c r="O604" s="760"/>
      <c r="P604" s="760"/>
      <c r="Q604" s="760"/>
      <c r="R604" s="760"/>
      <c r="S604" s="760"/>
      <c r="T604" s="760"/>
      <c r="U604" s="760"/>
      <c r="V604" s="760"/>
      <c r="W604" s="760"/>
      <c r="X604" s="760"/>
      <c r="Y604" s="760"/>
      <c r="Z604" s="760"/>
      <c r="AA604" s="760"/>
      <c r="AB604" s="760"/>
      <c r="AC604" s="760"/>
      <c r="AD604" s="760"/>
      <c r="AE604" s="760"/>
      <c r="AF604" s="760"/>
      <c r="AG604" s="760"/>
      <c r="AH604" s="760"/>
      <c r="AI604" s="760"/>
      <c r="AJ604" s="760"/>
      <c r="AK604" s="760"/>
      <c r="AL604" s="760"/>
      <c r="AM604" s="760"/>
      <c r="AN604" s="760"/>
      <c r="AO604" s="760"/>
      <c r="AP604" s="760"/>
      <c r="AQ604" s="760"/>
      <c r="AR604" s="760"/>
      <c r="AS604" s="760"/>
      <c r="AT604" s="760"/>
      <c r="AU604" s="760"/>
      <c r="AV604" s="760"/>
      <c r="AW604" s="760"/>
      <c r="AX604" s="760"/>
      <c r="AY604" s="760"/>
      <c r="AZ604" s="760"/>
      <c r="BA604" s="760"/>
      <c r="BB604" s="760"/>
      <c r="BC604" s="760"/>
      <c r="BD604" s="760"/>
      <c r="BE604" s="760"/>
      <c r="BF604" s="760"/>
      <c r="BG604" s="760"/>
      <c r="BH604" s="760"/>
      <c r="BI604" s="760"/>
      <c r="BJ604" s="760"/>
      <c r="BK604" s="760"/>
      <c r="BL604" s="760"/>
      <c r="BM604" s="760"/>
      <c r="BN604" s="760"/>
      <c r="BO604" s="760"/>
      <c r="BP604" s="760"/>
      <c r="BQ604" s="760"/>
      <c r="BR604" s="760"/>
      <c r="BS604" s="760"/>
      <c r="BT604" s="760"/>
      <c r="BU604" s="760"/>
      <c r="BV604" s="760"/>
      <c r="BW604" s="760"/>
      <c r="BX604" s="760"/>
      <c r="BY604" s="760"/>
      <c r="BZ604" s="760"/>
      <c r="CA604" s="760"/>
      <c r="CB604" s="760"/>
      <c r="CC604" s="760"/>
      <c r="CD604" s="760"/>
      <c r="CE604" s="760"/>
      <c r="CF604" s="760"/>
      <c r="CG604" s="760"/>
      <c r="CH604" s="760"/>
      <c r="CI604" s="760"/>
      <c r="CJ604" s="760"/>
      <c r="CK604" s="760"/>
      <c r="CL604" s="760"/>
      <c r="CM604" s="760"/>
      <c r="CN604" s="760"/>
      <c r="CO604" s="760"/>
      <c r="CP604" s="760"/>
      <c r="CQ604" s="760"/>
      <c r="CR604" s="760"/>
      <c r="CS604" s="760"/>
      <c r="CT604" s="760"/>
      <c r="CU604" s="760"/>
      <c r="CV604" s="760"/>
      <c r="CW604" s="760"/>
      <c r="CX604" s="760"/>
      <c r="CY604" s="760"/>
      <c r="CZ604" s="760"/>
      <c r="DA604" s="760"/>
      <c r="DB604" s="760"/>
      <c r="DC604" s="760"/>
      <c r="DD604" s="760"/>
      <c r="DE604" s="760"/>
      <c r="DF604" s="760"/>
      <c r="DG604" s="760"/>
      <c r="DH604" s="760"/>
      <c r="DI604" s="760"/>
      <c r="DJ604" s="760"/>
      <c r="DK604" s="760"/>
      <c r="DL604" s="760"/>
      <c r="DM604" s="760"/>
      <c r="DN604" s="760"/>
      <c r="DO604" s="760"/>
      <c r="DP604" s="760"/>
      <c r="DQ604" s="760"/>
      <c r="DR604" s="760"/>
      <c r="DS604" s="760"/>
      <c r="DT604" s="760"/>
      <c r="DU604" s="731">
        <f t="shared" ref="DU604:FI604" si="2749">SUM(DU602:DU603)</f>
        <v>3981.2995986988808</v>
      </c>
      <c r="DV604" s="731">
        <f t="shared" si="2749"/>
        <v>3909.3322858616871</v>
      </c>
      <c r="DW604" s="731">
        <f t="shared" si="2749"/>
        <v>3817.4049085760894</v>
      </c>
      <c r="DX604" s="731">
        <f t="shared" si="2749"/>
        <v>3740.4922139241944</v>
      </c>
      <c r="DY604" s="731">
        <f t="shared" si="2749"/>
        <v>3862.1322517652129</v>
      </c>
      <c r="DZ604" s="731">
        <f t="shared" si="2749"/>
        <v>3685.5945783837892</v>
      </c>
      <c r="EA604" s="731">
        <f t="shared" si="2749"/>
        <v>3643.2123880859376</v>
      </c>
      <c r="EB604" s="731">
        <f t="shared" si="2749"/>
        <v>3603.3460390625</v>
      </c>
      <c r="EC604" s="731">
        <f t="shared" si="2749"/>
        <v>3559.9959374999999</v>
      </c>
      <c r="ED604" s="731">
        <f t="shared" si="2749"/>
        <v>3623.0372357580568</v>
      </c>
      <c r="EE604" s="731">
        <f t="shared" si="2749"/>
        <v>3520.1624999999999</v>
      </c>
      <c r="EF604" s="731">
        <f t="shared" si="2749"/>
        <v>3483</v>
      </c>
      <c r="EG604" s="731">
        <f t="shared" si="2749"/>
        <v>3449.5</v>
      </c>
      <c r="EH604" s="731">
        <f t="shared" si="2749"/>
        <v>3429</v>
      </c>
      <c r="EI604" s="731">
        <f t="shared" si="2749"/>
        <v>3470.4156250000001</v>
      </c>
      <c r="EJ604" s="731">
        <f t="shared" si="2749"/>
        <v>3424</v>
      </c>
      <c r="EK604" s="731">
        <f t="shared" si="2749"/>
        <v>3420.5</v>
      </c>
      <c r="EL604" s="731">
        <f t="shared" si="2749"/>
        <v>3405</v>
      </c>
      <c r="EM604" s="731">
        <f t="shared" si="2749"/>
        <v>3389</v>
      </c>
      <c r="EN604" s="731">
        <f t="shared" si="2749"/>
        <v>3409.625</v>
      </c>
      <c r="EO604" s="731"/>
      <c r="EP604" s="731"/>
      <c r="EQ604" s="731"/>
      <c r="ER604" s="731"/>
      <c r="ES604" s="731">
        <f t="shared" si="2749"/>
        <v>3377.5</v>
      </c>
      <c r="ET604" s="731"/>
      <c r="EU604" s="731"/>
      <c r="EV604" s="731"/>
      <c r="EW604" s="731"/>
      <c r="EX604" s="731">
        <f t="shared" si="2749"/>
        <v>3399</v>
      </c>
      <c r="EY604" s="731"/>
      <c r="EZ604" s="731"/>
      <c r="FA604" s="731"/>
      <c r="FB604" s="731"/>
      <c r="FC604" s="731">
        <f t="shared" si="2749"/>
        <v>3523.2761459182925</v>
      </c>
      <c r="FD604" s="731">
        <f t="shared" si="2749"/>
        <v>3764.7184159992016</v>
      </c>
      <c r="FE604" s="731">
        <f t="shared" si="2749"/>
        <v>4071.1789966356982</v>
      </c>
      <c r="FF604" s="731">
        <f t="shared" si="2749"/>
        <v>4362.9121931189175</v>
      </c>
      <c r="FG604" s="731">
        <f t="shared" si="2749"/>
        <v>4594.9075629320105</v>
      </c>
      <c r="FH604" s="731">
        <f t="shared" si="2749"/>
        <v>4773.7814117437392</v>
      </c>
      <c r="FI604" s="731">
        <f t="shared" si="2749"/>
        <v>4902.0070362443985</v>
      </c>
      <c r="FJ604" s="1197">
        <f>+(FF604/ES604)^0.2-1</f>
        <v>5.2534216251204136E-2</v>
      </c>
    </row>
    <row r="605" spans="1:167" hidden="1" outlineLevel="1" x14ac:dyDescent="0.3">
      <c r="A605" s="1"/>
    </row>
    <row r="606" spans="1:167" hidden="1" outlineLevel="1" x14ac:dyDescent="0.3">
      <c r="A606" s="1011" t="s">
        <v>521</v>
      </c>
      <c r="B606" s="705"/>
      <c r="C606" s="705"/>
      <c r="D606" s="705"/>
      <c r="E606" s="705"/>
      <c r="F606" s="705"/>
      <c r="G606" s="705"/>
      <c r="H606" s="705"/>
      <c r="I606" s="705"/>
      <c r="J606" s="705"/>
      <c r="K606" s="705"/>
      <c r="L606" s="705"/>
      <c r="M606" s="705"/>
      <c r="N606" s="705"/>
      <c r="O606" s="705"/>
      <c r="P606" s="705"/>
      <c r="Q606" s="705"/>
      <c r="R606" s="705"/>
      <c r="S606" s="705"/>
      <c r="T606" s="705"/>
      <c r="U606" s="705"/>
      <c r="V606" s="705"/>
      <c r="W606" s="705"/>
      <c r="X606" s="705"/>
      <c r="Y606" s="705"/>
      <c r="Z606" s="705"/>
      <c r="AA606" s="705"/>
      <c r="AB606" s="705"/>
      <c r="AC606" s="705"/>
      <c r="AD606" s="705"/>
      <c r="AE606" s="705"/>
      <c r="AF606" s="705"/>
      <c r="AG606" s="705"/>
      <c r="AH606" s="705"/>
      <c r="AI606" s="705"/>
      <c r="AJ606" s="705"/>
      <c r="AK606" s="705"/>
      <c r="AL606" s="705"/>
      <c r="AM606" s="705"/>
      <c r="AN606" s="705"/>
      <c r="AO606" s="705"/>
      <c r="AP606" s="705"/>
      <c r="AQ606" s="705"/>
      <c r="AR606" s="705"/>
      <c r="AS606" s="705"/>
      <c r="AT606" s="705"/>
      <c r="AU606" s="705"/>
      <c r="AV606" s="705"/>
      <c r="AW606" s="705"/>
      <c r="AX606" s="705"/>
      <c r="AY606" s="705"/>
      <c r="AZ606" s="705"/>
      <c r="BA606" s="705"/>
      <c r="BB606" s="705"/>
      <c r="BC606" s="705"/>
      <c r="BD606" s="705"/>
      <c r="BE606" s="705"/>
      <c r="BF606" s="705"/>
      <c r="BG606" s="705"/>
      <c r="BH606" s="705"/>
      <c r="BI606" s="705"/>
      <c r="BJ606" s="705"/>
      <c r="BK606" s="705"/>
      <c r="BL606" s="705"/>
      <c r="BM606" s="705"/>
      <c r="BN606" s="705"/>
      <c r="BO606" s="705"/>
      <c r="BP606" s="705"/>
      <c r="BQ606" s="705"/>
      <c r="BR606" s="705"/>
      <c r="BS606" s="705"/>
      <c r="BT606" s="705"/>
      <c r="BU606" s="705"/>
      <c r="BV606" s="705"/>
      <c r="BW606" s="705"/>
      <c r="BX606" s="705"/>
      <c r="BY606" s="705"/>
      <c r="BZ606" s="705"/>
      <c r="CA606" s="705"/>
      <c r="CB606" s="705"/>
      <c r="CC606" s="705"/>
      <c r="CD606" s="705"/>
      <c r="CE606" s="705"/>
      <c r="CF606" s="705"/>
      <c r="CG606" s="705"/>
      <c r="CH606" s="705"/>
      <c r="CI606" s="705"/>
      <c r="CJ606" s="705"/>
      <c r="CK606" s="705"/>
      <c r="CL606" s="705"/>
      <c r="CM606" s="705"/>
      <c r="CN606" s="705"/>
      <c r="CO606" s="705"/>
      <c r="CP606" s="705"/>
      <c r="CQ606" s="705"/>
      <c r="CR606" s="705"/>
      <c r="CS606" s="705"/>
      <c r="CT606" s="705"/>
      <c r="CU606" s="705"/>
      <c r="CV606" s="705"/>
      <c r="CW606" s="705"/>
      <c r="CX606" s="705"/>
      <c r="CY606" s="705"/>
      <c r="CZ606" s="705"/>
      <c r="DA606" s="705"/>
      <c r="DB606" s="705"/>
      <c r="DC606" s="705"/>
      <c r="DD606" s="705"/>
      <c r="DE606" s="705"/>
      <c r="DF606" s="705"/>
      <c r="DG606" s="705"/>
      <c r="DH606" s="705"/>
      <c r="DI606" s="705"/>
      <c r="DJ606" s="705"/>
      <c r="DK606" s="705"/>
      <c r="DL606" s="705"/>
      <c r="DM606" s="705"/>
      <c r="DN606" s="705"/>
      <c r="DO606" s="705"/>
      <c r="DP606" s="705"/>
      <c r="DQ606" s="705"/>
      <c r="DR606" s="705"/>
      <c r="DS606" s="705"/>
      <c r="DT606" s="705"/>
      <c r="DU606" s="1188"/>
      <c r="DV606" s="1188"/>
      <c r="DW606" s="1188"/>
      <c r="DX606" s="1188"/>
      <c r="DY606" s="1145"/>
      <c r="DZ606" s="1189">
        <f>DZ204/DZ182*1000/3</f>
        <v>892.19273902295879</v>
      </c>
      <c r="EA606" s="1189">
        <f>EA204/EA182*1000/3</f>
        <v>898.07198521509872</v>
      </c>
      <c r="EB606" s="1189">
        <f>EB204/EB182*1000/3</f>
        <v>851.97192630046641</v>
      </c>
      <c r="EC606" s="1189">
        <f>EC204/EC182*1000/3</f>
        <v>820.30593120744959</v>
      </c>
      <c r="ED606" s="1145">
        <f>ED204/ED182*1000/12</f>
        <v>865.55605805114772</v>
      </c>
      <c r="EE606" s="1189">
        <f>EE204/EE182*1000/3</f>
        <v>802.72416371905001</v>
      </c>
      <c r="EF606" s="1189">
        <f>EF204/EF182*1000/3</f>
        <v>792.8423618090452</v>
      </c>
      <c r="EG606" s="1189">
        <f>EG204/EG182*1000/3</f>
        <v>813.84666666666669</v>
      </c>
      <c r="EH606" s="1144">
        <f>+EC606*(1+EH607)</f>
        <v>783.59770686227296</v>
      </c>
      <c r="EI606" s="1145">
        <f>EI204/EI182*1000/12</f>
        <v>799.89820194677702</v>
      </c>
      <c r="EJ606" s="1144">
        <f>+EE606*(1+EJ607)</f>
        <v>786.66968044466898</v>
      </c>
      <c r="EK606" s="1144">
        <f>+EF606*(1+EK607)</f>
        <v>776.9855145728643</v>
      </c>
      <c r="EL606" s="1144">
        <f>+EG606*(1+EL607)</f>
        <v>797.56973333333337</v>
      </c>
      <c r="EM606" s="1144">
        <f>+EH606*(1+EM607)</f>
        <v>767.92575272502745</v>
      </c>
      <c r="EN606" s="1145">
        <f>EN204/EN182*1000/12</f>
        <v>734.08750485060148</v>
      </c>
      <c r="EO606" s="1145"/>
      <c r="EP606" s="1145"/>
      <c r="EQ606" s="1145"/>
      <c r="ER606" s="1145"/>
      <c r="ES606" s="1144">
        <f>+EN606*(1+ES607)</f>
        <v>712.0648797050834</v>
      </c>
      <c r="ET606" s="1144"/>
      <c r="EU606" s="1144"/>
      <c r="EV606" s="1144"/>
      <c r="EW606" s="1144"/>
      <c r="EX606" s="1144">
        <f>+ES606*(1+EX607)</f>
        <v>689.63483599437325</v>
      </c>
      <c r="EY606" s="1144"/>
      <c r="EZ606" s="1144"/>
      <c r="FA606" s="1144"/>
      <c r="FB606" s="1144"/>
      <c r="FC606" s="1144">
        <f>+EX606*(1+FC607)</f>
        <v>666.82516379385936</v>
      </c>
      <c r="FD606" s="1144">
        <f t="shared" ref="FD606:FI606" si="2750">+FC606*(1+FD607)</f>
        <v>643.66715938675338</v>
      </c>
      <c r="FE606" s="1144">
        <f t="shared" si="2750"/>
        <v>620.19571573212295</v>
      </c>
      <c r="FF606" s="1144">
        <f t="shared" si="2750"/>
        <v>596.44938501821093</v>
      </c>
      <c r="FG606" s="1144">
        <f t="shared" si="2750"/>
        <v>572.4704083967199</v>
      </c>
      <c r="FH606" s="1144">
        <f t="shared" si="2750"/>
        <v>548.3047077883233</v>
      </c>
      <c r="FI606" s="1144">
        <f t="shared" si="2750"/>
        <v>524.00183452701242</v>
      </c>
      <c r="FJ606" s="1121">
        <f>+(FF606/ES606)^0.2-1</f>
        <v>-3.481446237668151E-2</v>
      </c>
      <c r="FK606" s="98"/>
    </row>
    <row r="607" spans="1:167" ht="12" hidden="1" customHeight="1" outlineLevel="1" x14ac:dyDescent="0.3">
      <c r="A607" s="1117" t="s">
        <v>363</v>
      </c>
      <c r="B607" s="705"/>
      <c r="C607" s="705"/>
      <c r="D607" s="705"/>
      <c r="E607" s="705"/>
      <c r="F607" s="705"/>
      <c r="G607" s="705"/>
      <c r="H607" s="705"/>
      <c r="I607" s="705"/>
      <c r="J607" s="705"/>
      <c r="K607" s="705"/>
      <c r="L607" s="705"/>
      <c r="M607" s="705"/>
      <c r="N607" s="705"/>
      <c r="O607" s="705"/>
      <c r="P607" s="705"/>
      <c r="Q607" s="705"/>
      <c r="R607" s="705"/>
      <c r="S607" s="705"/>
      <c r="T607" s="705"/>
      <c r="U607" s="705"/>
      <c r="V607" s="705"/>
      <c r="W607" s="705"/>
      <c r="X607" s="705"/>
      <c r="Y607" s="705"/>
      <c r="Z607" s="705"/>
      <c r="AA607" s="705"/>
      <c r="AB607" s="705"/>
      <c r="AC607" s="705"/>
      <c r="AD607" s="705"/>
      <c r="AE607" s="705"/>
      <c r="AF607" s="705"/>
      <c r="AG607" s="705"/>
      <c r="AH607" s="705"/>
      <c r="AI607" s="705"/>
      <c r="AJ607" s="705"/>
      <c r="AK607" s="705"/>
      <c r="AL607" s="705"/>
      <c r="AM607" s="705"/>
      <c r="AN607" s="705"/>
      <c r="AO607" s="705"/>
      <c r="AP607" s="705"/>
      <c r="AQ607" s="705"/>
      <c r="AR607" s="705"/>
      <c r="AS607" s="705"/>
      <c r="AT607" s="705"/>
      <c r="AU607" s="705"/>
      <c r="AV607" s="705"/>
      <c r="AW607" s="705"/>
      <c r="AX607" s="705"/>
      <c r="AY607" s="705"/>
      <c r="AZ607" s="705"/>
      <c r="BA607" s="705"/>
      <c r="BB607" s="705"/>
      <c r="BC607" s="705"/>
      <c r="BD607" s="705"/>
      <c r="BE607" s="705"/>
      <c r="BF607" s="705"/>
      <c r="BG607" s="705"/>
      <c r="BH607" s="705"/>
      <c r="BI607" s="705"/>
      <c r="BJ607" s="705"/>
      <c r="BK607" s="705"/>
      <c r="BL607" s="705"/>
      <c r="BM607" s="705"/>
      <c r="BN607" s="705"/>
      <c r="BO607" s="705"/>
      <c r="BP607" s="705"/>
      <c r="BQ607" s="705"/>
      <c r="BR607" s="705"/>
      <c r="BS607" s="705"/>
      <c r="BT607" s="705"/>
      <c r="BU607" s="705"/>
      <c r="BV607" s="705"/>
      <c r="BW607" s="705"/>
      <c r="BX607" s="705"/>
      <c r="BY607" s="705"/>
      <c r="BZ607" s="705"/>
      <c r="CA607" s="705"/>
      <c r="CB607" s="705"/>
      <c r="CC607" s="705"/>
      <c r="CD607" s="705"/>
      <c r="CE607" s="705"/>
      <c r="CF607" s="705"/>
      <c r="CG607" s="705"/>
      <c r="CH607" s="705"/>
      <c r="CI607" s="705"/>
      <c r="CJ607" s="705"/>
      <c r="CK607" s="705"/>
      <c r="CL607" s="705"/>
      <c r="CM607" s="705"/>
      <c r="CN607" s="705"/>
      <c r="CO607" s="705"/>
      <c r="CP607" s="705"/>
      <c r="CQ607" s="705"/>
      <c r="CR607" s="705"/>
      <c r="CS607" s="705"/>
      <c r="CT607" s="705"/>
      <c r="CU607" s="705"/>
      <c r="CV607" s="705"/>
      <c r="CW607" s="705"/>
      <c r="CX607" s="705"/>
      <c r="CY607" s="705"/>
      <c r="CZ607" s="705"/>
      <c r="DA607" s="705"/>
      <c r="DB607" s="705"/>
      <c r="DC607" s="705"/>
      <c r="DD607" s="705"/>
      <c r="DE607" s="705"/>
      <c r="DF607" s="705"/>
      <c r="DG607" s="705"/>
      <c r="DH607" s="705"/>
      <c r="DI607" s="705"/>
      <c r="DJ607" s="705"/>
      <c r="DK607" s="705"/>
      <c r="DL607" s="705"/>
      <c r="DM607" s="705"/>
      <c r="DN607" s="705"/>
      <c r="DO607" s="705"/>
      <c r="DP607" s="705"/>
      <c r="DQ607" s="705"/>
      <c r="DR607" s="705"/>
      <c r="DS607" s="705"/>
      <c r="DT607" s="705"/>
      <c r="DU607" s="705"/>
      <c r="DV607" s="705"/>
      <c r="DW607" s="705"/>
      <c r="DX607" s="705"/>
      <c r="DY607" s="760"/>
      <c r="DZ607" s="1190"/>
      <c r="EA607" s="1190"/>
      <c r="EB607" s="1190"/>
      <c r="EC607" s="1190"/>
      <c r="ED607" s="1119"/>
      <c r="EE607" s="1190">
        <f>+EE606/DZ606-1</f>
        <v>-0.10027942549934432</v>
      </c>
      <c r="EF607" s="1190">
        <f>+EF606/EA606-1</f>
        <v>-0.11717281591948314</v>
      </c>
      <c r="EG607" s="1190">
        <f>+EG606/EB606-1</f>
        <v>-4.4749431826177299E-2</v>
      </c>
      <c r="EH607" s="1118">
        <f>EG607</f>
        <v>-4.4749431826177299E-2</v>
      </c>
      <c r="EI607" s="1119">
        <f>+EI606/ED606-1</f>
        <v>-7.5856272385411261E-2</v>
      </c>
      <c r="EJ607" s="1118">
        <v>-0.02</v>
      </c>
      <c r="EK607" s="1118">
        <v>-0.02</v>
      </c>
      <c r="EL607" s="1118">
        <v>-0.02</v>
      </c>
      <c r="EM607" s="1118">
        <v>-0.02</v>
      </c>
      <c r="EN607" s="1119">
        <f>+EN606/EI606-1</f>
        <v>-8.2273840516214114E-2</v>
      </c>
      <c r="EO607" s="1119"/>
      <c r="EP607" s="1119"/>
      <c r="EQ607" s="1119"/>
      <c r="ER607" s="1119"/>
      <c r="ES607" s="1118">
        <v>-0.03</v>
      </c>
      <c r="ET607" s="1118"/>
      <c r="EU607" s="1118"/>
      <c r="EV607" s="1118"/>
      <c r="EW607" s="1118"/>
      <c r="EX607" s="1118">
        <f>ES607*1.05</f>
        <v>-3.15E-2</v>
      </c>
      <c r="EY607" s="1118"/>
      <c r="EZ607" s="1118"/>
      <c r="FA607" s="1118"/>
      <c r="FB607" s="1118"/>
      <c r="FC607" s="1118">
        <f>EX607*1.05</f>
        <v>-3.3075E-2</v>
      </c>
      <c r="FD607" s="1118">
        <f t="shared" ref="FD607:FI607" si="2751">FC607*1.05</f>
        <v>-3.4728750000000003E-2</v>
      </c>
      <c r="FE607" s="1118">
        <f t="shared" si="2751"/>
        <v>-3.6465187500000003E-2</v>
      </c>
      <c r="FF607" s="1118">
        <f t="shared" si="2751"/>
        <v>-3.8288446875000007E-2</v>
      </c>
      <c r="FG607" s="1118">
        <f t="shared" si="2751"/>
        <v>-4.0202869218750006E-2</v>
      </c>
      <c r="FH607" s="1118">
        <f t="shared" si="2751"/>
        <v>-4.2213012679687509E-2</v>
      </c>
      <c r="FI607" s="1118">
        <f t="shared" si="2751"/>
        <v>-4.4323663313671886E-2</v>
      </c>
      <c r="FJ607" s="705"/>
    </row>
    <row r="608" spans="1:167" s="705" customFormat="1" hidden="1" outlineLevel="1" x14ac:dyDescent="0.3">
      <c r="A608" s="1139" t="s">
        <v>522</v>
      </c>
      <c r="DU608" s="1145" t="e">
        <f>+DU632/DU602/3*1000</f>
        <v>#REF!</v>
      </c>
      <c r="DV608" s="1145" t="e">
        <f>+DV632/DV602/3*1000</f>
        <v>#REF!</v>
      </c>
      <c r="DW608" s="1145" t="e">
        <f>+DW632/DW602/3*1000</f>
        <v>#REF!</v>
      </c>
      <c r="DX608" s="1145" t="e">
        <f>+DX632/DX602/3*1000</f>
        <v>#REF!</v>
      </c>
      <c r="DY608" s="1145" t="e">
        <f>+DY632/DY602/12*1000</f>
        <v>#REF!</v>
      </c>
      <c r="DZ608" s="1145" t="e">
        <f>+DZ632/DZ602/3*1000</f>
        <v>#REF!</v>
      </c>
      <c r="EA608" s="1145" t="e">
        <f>+EA632/EA602/3*1000</f>
        <v>#REF!</v>
      </c>
      <c r="EB608" s="1145" t="e">
        <f>+EB632/EB602/3*1000</f>
        <v>#REF!</v>
      </c>
      <c r="EC608" s="1145" t="e">
        <f>+EC632/EC602/3*1000</f>
        <v>#REF!</v>
      </c>
      <c r="ED608" s="1145" t="e">
        <f>+ED632/ED602/12*1000</f>
        <v>#REF!</v>
      </c>
      <c r="EE608" s="1145" t="e">
        <f>+EE632/EE602/3*1000</f>
        <v>#REF!</v>
      </c>
      <c r="EF608" s="1145" t="e">
        <f>+EF632/EF602/3*1000</f>
        <v>#REF!</v>
      </c>
      <c r="EG608" s="1145" t="e">
        <f>+EG632/EG602/3*1000</f>
        <v>#REF!</v>
      </c>
      <c r="EH608" s="1145" t="e">
        <f>+EH632/EH602/3*1000</f>
        <v>#REF!</v>
      </c>
      <c r="EI608" s="1145" t="e">
        <f>+EI632/EI602/12*1000</f>
        <v>#REF!</v>
      </c>
      <c r="EJ608" s="1145" t="e">
        <f>+EJ632/EJ602/3*1000</f>
        <v>#REF!</v>
      </c>
      <c r="EK608" s="1145" t="e">
        <f>+EK632/EK602/3*1000</f>
        <v>#REF!</v>
      </c>
      <c r="EL608" s="1145" t="e">
        <f>+EL632/EL602/3*1000</f>
        <v>#REF!</v>
      </c>
      <c r="EM608" s="1145" t="e">
        <f>+EM632/EM602/3*1000</f>
        <v>#REF!</v>
      </c>
      <c r="EN608" s="1145" t="e">
        <f t="shared" ref="EN608:FI608" si="2752">+EN632/EN602/12*1000</f>
        <v>#REF!</v>
      </c>
      <c r="EO608" s="1145"/>
      <c r="EP608" s="1145"/>
      <c r="EQ608" s="1145"/>
      <c r="ER608" s="1145"/>
      <c r="ES608" s="1145" t="e">
        <f t="shared" si="2752"/>
        <v>#REF!</v>
      </c>
      <c r="ET608" s="1145"/>
      <c r="EU608" s="1145"/>
      <c r="EV608" s="1145"/>
      <c r="EW608" s="1145"/>
      <c r="EX608" s="1145" t="e">
        <f t="shared" si="2752"/>
        <v>#REF!</v>
      </c>
      <c r="EY608" s="1145"/>
      <c r="EZ608" s="1145"/>
      <c r="FA608" s="1145"/>
      <c r="FB608" s="1145"/>
      <c r="FC608" s="1145" t="e">
        <f t="shared" si="2752"/>
        <v>#REF!</v>
      </c>
      <c r="FD608" s="1145" t="e">
        <f t="shared" si="2752"/>
        <v>#REF!</v>
      </c>
      <c r="FE608" s="1145" t="e">
        <f t="shared" si="2752"/>
        <v>#REF!</v>
      </c>
      <c r="FF608" s="1145" t="e">
        <f t="shared" si="2752"/>
        <v>#REF!</v>
      </c>
      <c r="FG608" s="1145" t="e">
        <f t="shared" si="2752"/>
        <v>#REF!</v>
      </c>
      <c r="FH608" s="1145" t="e">
        <f t="shared" si="2752"/>
        <v>#REF!</v>
      </c>
      <c r="FI608" s="1145" t="e">
        <f t="shared" si="2752"/>
        <v>#REF!</v>
      </c>
      <c r="FJ608" s="1121" t="e">
        <f>+(FF608/ES608)^0.2-1</f>
        <v>#REF!</v>
      </c>
    </row>
    <row r="609" spans="1:166" s="705" customFormat="1" hidden="1" outlineLevel="1" x14ac:dyDescent="0.3">
      <c r="A609" s="1117" t="s">
        <v>523</v>
      </c>
      <c r="DY609" s="760"/>
      <c r="DZ609" s="735" t="e">
        <f t="shared" ref="DZ609:EI609" si="2753">+DZ608/DU608-1</f>
        <v>#REF!</v>
      </c>
      <c r="EA609" s="735" t="e">
        <f t="shared" si="2753"/>
        <v>#REF!</v>
      </c>
      <c r="EB609" s="735" t="e">
        <f t="shared" si="2753"/>
        <v>#REF!</v>
      </c>
      <c r="EC609" s="735" t="e">
        <f t="shared" si="2753"/>
        <v>#REF!</v>
      </c>
      <c r="ED609" s="1119" t="e">
        <f t="shared" si="2753"/>
        <v>#REF!</v>
      </c>
      <c r="EE609" s="735" t="e">
        <f t="shared" si="2753"/>
        <v>#REF!</v>
      </c>
      <c r="EF609" s="735" t="e">
        <f t="shared" si="2753"/>
        <v>#REF!</v>
      </c>
      <c r="EG609" s="735" t="e">
        <f t="shared" si="2753"/>
        <v>#REF!</v>
      </c>
      <c r="EH609" s="735" t="e">
        <f t="shared" si="2753"/>
        <v>#REF!</v>
      </c>
      <c r="EI609" s="1119" t="e">
        <f t="shared" si="2753"/>
        <v>#REF!</v>
      </c>
      <c r="EJ609" s="735" t="e">
        <f>+EJ608/EE608-1</f>
        <v>#REF!</v>
      </c>
      <c r="EK609" s="735" t="e">
        <f>+EK608/EF608-1</f>
        <v>#REF!</v>
      </c>
      <c r="EL609" s="735" t="e">
        <f>+EL608/EG608-1</f>
        <v>#REF!</v>
      </c>
      <c r="EM609" s="735" t="e">
        <f>+EM608/EH608-1</f>
        <v>#REF!</v>
      </c>
      <c r="EN609" s="1119" t="e">
        <f>+EN608/EI608-1</f>
        <v>#REF!</v>
      </c>
      <c r="EO609" s="1119"/>
      <c r="EP609" s="1119"/>
      <c r="EQ609" s="1119"/>
      <c r="ER609" s="1119"/>
      <c r="ES609" s="735" t="e">
        <f>ES608/EN608-1</f>
        <v>#REF!</v>
      </c>
      <c r="ET609" s="735"/>
      <c r="EU609" s="735"/>
      <c r="EV609" s="735"/>
      <c r="EW609" s="735"/>
      <c r="EX609" s="735" t="e">
        <f>EX608/ES608-1</f>
        <v>#REF!</v>
      </c>
      <c r="EY609" s="735"/>
      <c r="EZ609" s="735"/>
      <c r="FA609" s="735"/>
      <c r="FB609" s="735"/>
      <c r="FC609" s="735" t="e">
        <f>FC608/EX608-1</f>
        <v>#REF!</v>
      </c>
      <c r="FD609" s="735" t="e">
        <f t="shared" ref="FD609:FI609" si="2754">FD608/FC608-1</f>
        <v>#REF!</v>
      </c>
      <c r="FE609" s="735" t="e">
        <f t="shared" si="2754"/>
        <v>#REF!</v>
      </c>
      <c r="FF609" s="735" t="e">
        <f t="shared" si="2754"/>
        <v>#REF!</v>
      </c>
      <c r="FG609" s="735" t="e">
        <f t="shared" si="2754"/>
        <v>#REF!</v>
      </c>
      <c r="FH609" s="735" t="e">
        <f t="shared" si="2754"/>
        <v>#REF!</v>
      </c>
      <c r="FI609" s="735" t="e">
        <f t="shared" si="2754"/>
        <v>#REF!</v>
      </c>
    </row>
    <row r="610" spans="1:166" s="705" customFormat="1" hidden="1" outlineLevel="1" x14ac:dyDescent="0.3">
      <c r="A610" s="1139" t="s">
        <v>524</v>
      </c>
      <c r="DU610" s="1140" t="e">
        <f>+DU633/DU603/3*1000</f>
        <v>#REF!</v>
      </c>
      <c r="DV610" s="1140" t="e">
        <f>+DV633/DV603/3*1000</f>
        <v>#REF!</v>
      </c>
      <c r="DW610" s="1140" t="e">
        <f>+DW633/DW603/3*1000</f>
        <v>#REF!</v>
      </c>
      <c r="DX610" s="1140" t="e">
        <f>+DX633/DX603/3*1000</f>
        <v>#REF!</v>
      </c>
      <c r="DY610" s="1141" t="e">
        <f>+DY633/DY603/12*1000</f>
        <v>#REF!</v>
      </c>
      <c r="DZ610" s="1140" t="e">
        <f>+DZ633/DZ603/3*1000</f>
        <v>#REF!</v>
      </c>
      <c r="EA610" s="1140" t="e">
        <f>+EA633/EA603/3*1000</f>
        <v>#REF!</v>
      </c>
      <c r="EB610" s="1140" t="e">
        <f>+EB633/EB603/3*1000</f>
        <v>#REF!</v>
      </c>
      <c r="EC610" s="1140" t="e">
        <f>+EC633/EC603/3*1000</f>
        <v>#REF!</v>
      </c>
      <c r="ED610" s="1141" t="e">
        <f>+ED633/ED603/12*1000</f>
        <v>#REF!</v>
      </c>
      <c r="EE610" s="1140" t="e">
        <f>+EE633/EE603/3*1000</f>
        <v>#REF!</v>
      </c>
      <c r="EF610" s="1140" t="e">
        <f>+EF633/EF603/3*1000</f>
        <v>#REF!</v>
      </c>
      <c r="EG610" s="1140" t="e">
        <f>+EG633/EG603/3*1000</f>
        <v>#REF!</v>
      </c>
      <c r="EH610" s="1140">
        <f>+EH633/EH603/3*1000</f>
        <v>867.94871794871801</v>
      </c>
      <c r="EI610" s="1141" t="e">
        <f>+EI633/EI603/12*1000</f>
        <v>#REF!</v>
      </c>
      <c r="EJ610" s="1140">
        <f>+EJ633/EJ603/3*1000</f>
        <v>863.81322957198449</v>
      </c>
      <c r="EK610" s="1140">
        <f>+EK633/EK603/3*1000</f>
        <v>846.00389863547764</v>
      </c>
      <c r="EL610" s="1140">
        <f>+EL633/EL603/3*1000</f>
        <v>839.55468238375897</v>
      </c>
      <c r="EM610" s="1140">
        <f>+EM633/EM603/3*1000</f>
        <v>873.4261100066268</v>
      </c>
      <c r="EN610" s="1141">
        <f t="shared" ref="EN610:FI610" si="2755">+EN633/EN603/12*1000</f>
        <v>855.64819355893417</v>
      </c>
      <c r="EO610" s="1141"/>
      <c r="EP610" s="1141"/>
      <c r="EQ610" s="1141"/>
      <c r="ER610" s="1141"/>
      <c r="ES610" s="1141">
        <f t="shared" si="2755"/>
        <v>871.8728870858688</v>
      </c>
      <c r="ET610" s="1141"/>
      <c r="EU610" s="1141"/>
      <c r="EV610" s="1141"/>
      <c r="EW610" s="1141"/>
      <c r="EX610" s="1141">
        <f t="shared" si="2755"/>
        <v>948.87955182072835</v>
      </c>
      <c r="EY610" s="1141"/>
      <c r="EZ610" s="1141"/>
      <c r="FA610" s="1141"/>
      <c r="FB610" s="1141"/>
      <c r="FC610" s="1141">
        <f t="shared" si="2755"/>
        <v>967.89584701438048</v>
      </c>
      <c r="FD610" s="1141">
        <f t="shared" si="2755"/>
        <v>952.88297274976105</v>
      </c>
      <c r="FE610" s="1141">
        <f t="shared" si="2755"/>
        <v>911.77694393539048</v>
      </c>
      <c r="FF610" s="1141">
        <f t="shared" si="2755"/>
        <v>857.35993647317082</v>
      </c>
      <c r="FG610" s="1141">
        <f t="shared" si="2755"/>
        <v>798.3423951676873</v>
      </c>
      <c r="FH610" s="1141">
        <f t="shared" si="2755"/>
        <v>739.22692134097804</v>
      </c>
      <c r="FI610" s="1141">
        <f t="shared" si="2755"/>
        <v>682.61212620364938</v>
      </c>
      <c r="FJ610" s="1121">
        <f>+(FF610/ES610)^0.2-1</f>
        <v>-3.3515340857637188E-3</v>
      </c>
    </row>
    <row r="611" spans="1:166" s="705" customFormat="1" hidden="1" outlineLevel="1" x14ac:dyDescent="0.3">
      <c r="A611" s="1117" t="s">
        <v>523</v>
      </c>
      <c r="DY611" s="760"/>
      <c r="DZ611" s="735" t="e">
        <f t="shared" ref="DZ611:EF611" si="2756">+DZ610/DU610-1</f>
        <v>#REF!</v>
      </c>
      <c r="EA611" s="735" t="e">
        <f t="shared" si="2756"/>
        <v>#REF!</v>
      </c>
      <c r="EB611" s="735" t="e">
        <f t="shared" si="2756"/>
        <v>#REF!</v>
      </c>
      <c r="EC611" s="735" t="e">
        <f t="shared" si="2756"/>
        <v>#REF!</v>
      </c>
      <c r="ED611" s="1119" t="e">
        <f t="shared" si="2756"/>
        <v>#REF!</v>
      </c>
      <c r="EE611" s="735" t="e">
        <f t="shared" si="2756"/>
        <v>#REF!</v>
      </c>
      <c r="EF611" s="735" t="e">
        <f t="shared" si="2756"/>
        <v>#REF!</v>
      </c>
      <c r="EG611" s="735" t="e">
        <f t="shared" ref="EG611:EN611" si="2757">+EG610/EB610-1</f>
        <v>#REF!</v>
      </c>
      <c r="EH611" s="735" t="e">
        <f t="shared" si="2757"/>
        <v>#REF!</v>
      </c>
      <c r="EI611" s="1119" t="e">
        <f t="shared" si="2757"/>
        <v>#REF!</v>
      </c>
      <c r="EJ611" s="735" t="e">
        <f t="shared" si="2757"/>
        <v>#REF!</v>
      </c>
      <c r="EK611" s="735" t="e">
        <f t="shared" si="2757"/>
        <v>#REF!</v>
      </c>
      <c r="EL611" s="735" t="e">
        <f t="shared" si="2757"/>
        <v>#REF!</v>
      </c>
      <c r="EM611" s="735">
        <f t="shared" si="2757"/>
        <v>6.3107323562316964E-3</v>
      </c>
      <c r="EN611" s="1119" t="e">
        <f t="shared" si="2757"/>
        <v>#REF!</v>
      </c>
      <c r="EO611" s="1119"/>
      <c r="EP611" s="1119"/>
      <c r="EQ611" s="1119"/>
      <c r="ER611" s="1119"/>
      <c r="ES611" s="735">
        <f>ES610/EN610-1</f>
        <v>1.8961874341661966E-2</v>
      </c>
      <c r="ET611" s="735"/>
      <c r="EU611" s="735"/>
      <c r="EV611" s="735"/>
      <c r="EW611" s="735"/>
      <c r="EX611" s="735">
        <f>EX610/ES610-1</f>
        <v>8.8323270370575635E-2</v>
      </c>
      <c r="EY611" s="735"/>
      <c r="EZ611" s="735"/>
      <c r="FA611" s="735"/>
      <c r="FB611" s="735"/>
      <c r="FC611" s="735">
        <f>FC610/EX610-1</f>
        <v>2.004078932585629E-2</v>
      </c>
      <c r="FD611" s="735">
        <f t="shared" ref="FD611:FI611" si="2758">FD610/FC610-1</f>
        <v>-1.5510836533630057E-2</v>
      </c>
      <c r="FE611" s="735">
        <f t="shared" si="2758"/>
        <v>-4.3138590981167124E-2</v>
      </c>
      <c r="FF611" s="735">
        <f t="shared" si="2758"/>
        <v>-5.9682368395219787E-2</v>
      </c>
      <c r="FG611" s="735">
        <f t="shared" si="2758"/>
        <v>-6.8836364745777145E-2</v>
      </c>
      <c r="FH611" s="735">
        <f t="shared" si="2758"/>
        <v>-7.4047769709502109E-2</v>
      </c>
      <c r="FI611" s="735">
        <f t="shared" si="2758"/>
        <v>-7.6586489889502229E-2</v>
      </c>
    </row>
    <row r="612" spans="1:166" hidden="1" outlineLevel="1" x14ac:dyDescent="0.3">
      <c r="A612" s="1011" t="s">
        <v>525</v>
      </c>
      <c r="B612" s="705"/>
      <c r="C612" s="705"/>
      <c r="D612" s="705"/>
      <c r="E612" s="705"/>
      <c r="F612" s="705"/>
      <c r="G612" s="705"/>
      <c r="H612" s="705"/>
      <c r="I612" s="705"/>
      <c r="J612" s="705"/>
      <c r="K612" s="705"/>
      <c r="L612" s="705"/>
      <c r="M612" s="705"/>
      <c r="N612" s="705"/>
      <c r="O612" s="705"/>
      <c r="P612" s="705"/>
      <c r="Q612" s="705"/>
      <c r="R612" s="705"/>
      <c r="S612" s="705"/>
      <c r="T612" s="705"/>
      <c r="U612" s="705"/>
      <c r="V612" s="705"/>
      <c r="W612" s="705"/>
      <c r="X612" s="705"/>
      <c r="Y612" s="705"/>
      <c r="Z612" s="705"/>
      <c r="AA612" s="705"/>
      <c r="AB612" s="705"/>
      <c r="AC612" s="705"/>
      <c r="AD612" s="705"/>
      <c r="AE612" s="705"/>
      <c r="AF612" s="705"/>
      <c r="AG612" s="705"/>
      <c r="AH612" s="705"/>
      <c r="AI612" s="705"/>
      <c r="AJ612" s="705"/>
      <c r="AK612" s="705"/>
      <c r="AL612" s="705"/>
      <c r="AM612" s="705"/>
      <c r="AN612" s="705"/>
      <c r="AO612" s="705"/>
      <c r="AP612" s="705"/>
      <c r="AQ612" s="705"/>
      <c r="AR612" s="705"/>
      <c r="AS612" s="705"/>
      <c r="AT612" s="705"/>
      <c r="AU612" s="705"/>
      <c r="AV612" s="705"/>
      <c r="AW612" s="705"/>
      <c r="AX612" s="705"/>
      <c r="AY612" s="705"/>
      <c r="AZ612" s="705"/>
      <c r="BA612" s="705"/>
      <c r="BB612" s="705"/>
      <c r="BC612" s="705"/>
      <c r="BD612" s="705"/>
      <c r="BE612" s="705"/>
      <c r="BF612" s="705"/>
      <c r="BG612" s="705"/>
      <c r="BH612" s="705"/>
      <c r="BI612" s="705"/>
      <c r="BJ612" s="705"/>
      <c r="BK612" s="705"/>
      <c r="BL612" s="705"/>
      <c r="BM612" s="705"/>
      <c r="BN612" s="705"/>
      <c r="BO612" s="705"/>
      <c r="BP612" s="705"/>
      <c r="BQ612" s="705"/>
      <c r="BR612" s="705"/>
      <c r="BS612" s="705"/>
      <c r="BT612" s="705"/>
      <c r="BU612" s="705"/>
      <c r="BV612" s="705"/>
      <c r="BW612" s="705"/>
      <c r="BX612" s="705"/>
      <c r="BY612" s="705"/>
      <c r="BZ612" s="705"/>
      <c r="CA612" s="705"/>
      <c r="CB612" s="705"/>
      <c r="CC612" s="705"/>
      <c r="CD612" s="705"/>
      <c r="CE612" s="705"/>
      <c r="CF612" s="705"/>
      <c r="CG612" s="705"/>
      <c r="CH612" s="705"/>
      <c r="CI612" s="705"/>
      <c r="CJ612" s="705"/>
      <c r="CK612" s="705"/>
      <c r="CL612" s="705"/>
      <c r="CM612" s="705"/>
      <c r="CN612" s="705"/>
      <c r="CO612" s="705"/>
      <c r="CP612" s="705"/>
      <c r="CQ612" s="705"/>
      <c r="CR612" s="705"/>
      <c r="CS612" s="705"/>
      <c r="CT612" s="705"/>
      <c r="CU612" s="705"/>
      <c r="CV612" s="705"/>
      <c r="CW612" s="705"/>
      <c r="CX612" s="705"/>
      <c r="CY612" s="705"/>
      <c r="CZ612" s="705"/>
      <c r="DA612" s="705"/>
      <c r="DB612" s="705"/>
      <c r="DC612" s="705"/>
      <c r="DD612" s="705"/>
      <c r="DE612" s="705"/>
      <c r="DF612" s="705"/>
      <c r="DG612" s="705"/>
      <c r="DH612" s="705"/>
      <c r="DI612" s="705"/>
      <c r="DJ612" s="705"/>
      <c r="DK612" s="705"/>
      <c r="DL612" s="705"/>
      <c r="DM612" s="705"/>
      <c r="DN612" s="705"/>
      <c r="DO612" s="705"/>
      <c r="DP612" s="705"/>
      <c r="DQ612" s="705"/>
      <c r="DR612" s="705"/>
      <c r="DS612" s="705"/>
      <c r="DT612" s="705"/>
      <c r="DU612" s="705"/>
      <c r="DV612" s="705"/>
      <c r="DW612" s="705"/>
      <c r="DX612" s="705"/>
      <c r="DY612" s="760"/>
      <c r="DZ612" s="1189">
        <f>DZ342/DZ318*1000/3</f>
        <v>774.88787696231509</v>
      </c>
      <c r="EA612" s="1189">
        <f>EA342/EA318*1000/3</f>
        <v>770.13859632479796</v>
      </c>
      <c r="EB612" s="1189">
        <f>EB342/EB318*1000/3</f>
        <v>778.98006826225958</v>
      </c>
      <c r="EC612" s="1189">
        <f>EC342/EC318*1000/3</f>
        <v>777.38116671354749</v>
      </c>
      <c r="ED612" s="1145">
        <f>ED342/ED318*1000/12</f>
        <v>775.28267279531576</v>
      </c>
      <c r="EE612" s="1189">
        <f>EE342/EE318*1000/3</f>
        <v>803.34572596840144</v>
      </c>
      <c r="EF612" s="1189">
        <f>EF342/EF318*1000/3</f>
        <v>791.55116716122666</v>
      </c>
      <c r="EG612" s="1189">
        <f>EG342/EG318*1000/3</f>
        <v>785.29444444444437</v>
      </c>
      <c r="EH612" s="1144">
        <f>+EC612*(1+EH613)</f>
        <v>783.68258227418607</v>
      </c>
      <c r="EI612" s="1145">
        <f>EI342/EI318*1000/12</f>
        <v>793.3556232031118</v>
      </c>
      <c r="EJ612" s="1144">
        <f>+EE612*(1+EJ613)</f>
        <v>827.44609774745345</v>
      </c>
      <c r="EK612" s="1144">
        <f>+EF612*(1+EK613)</f>
        <v>846.95974886251258</v>
      </c>
      <c r="EL612" s="1144">
        <f>+EG612*(1+EL613)</f>
        <v>855.9709444444444</v>
      </c>
      <c r="EM612" s="1144">
        <f>+EH612*(1+EM613)</f>
        <v>854.2140146788629</v>
      </c>
      <c r="EN612" s="1145">
        <f>EN342/EN318*1000/12</f>
        <v>808.78519491525412</v>
      </c>
      <c r="EO612" s="1145"/>
      <c r="EP612" s="1145"/>
      <c r="EQ612" s="1145"/>
      <c r="ER612" s="1145"/>
      <c r="ES612" s="1144">
        <f>+EN612*(1+ES613)</f>
        <v>824.51484855315243</v>
      </c>
      <c r="ET612" s="1144"/>
      <c r="EU612" s="1144"/>
      <c r="EV612" s="1144"/>
      <c r="EW612" s="1144"/>
      <c r="EX612" s="1144">
        <f>+ES612*(1+EX613)</f>
        <v>840.55042025820103</v>
      </c>
      <c r="EY612" s="1144"/>
      <c r="EZ612" s="1144"/>
      <c r="FA612" s="1144"/>
      <c r="FB612" s="1144"/>
      <c r="FC612" s="1144">
        <f>+EX612*(1+FC613)</f>
        <v>856.89785967595242</v>
      </c>
      <c r="FD612" s="1144">
        <f t="shared" ref="FD612:FI612" si="2759">+FC612*(1+FD613)</f>
        <v>873.56323216360215</v>
      </c>
      <c r="FE612" s="1144">
        <f t="shared" si="2759"/>
        <v>889.7032465965658</v>
      </c>
      <c r="FF612" s="1144">
        <f t="shared" si="2759"/>
        <v>905.31955412507716</v>
      </c>
      <c r="FG612" s="1144">
        <f t="shared" si="2759"/>
        <v>920.41544277303956</v>
      </c>
      <c r="FH612" s="1144">
        <f t="shared" si="2759"/>
        <v>934.99566974607239</v>
      </c>
      <c r="FI612" s="1144">
        <f t="shared" si="2759"/>
        <v>949.06630136270087</v>
      </c>
      <c r="FJ612" s="1068"/>
    </row>
    <row r="613" spans="1:166" hidden="1" outlineLevel="1" x14ac:dyDescent="0.3">
      <c r="A613" s="1117" t="s">
        <v>363</v>
      </c>
      <c r="B613" s="705"/>
      <c r="C613" s="705"/>
      <c r="D613" s="705"/>
      <c r="E613" s="705"/>
      <c r="F613" s="705"/>
      <c r="G613" s="705"/>
      <c r="H613" s="705"/>
      <c r="I613" s="705"/>
      <c r="J613" s="705"/>
      <c r="K613" s="705"/>
      <c r="L613" s="705"/>
      <c r="M613" s="705"/>
      <c r="N613" s="705"/>
      <c r="O613" s="705"/>
      <c r="P613" s="705"/>
      <c r="Q613" s="705"/>
      <c r="R613" s="705"/>
      <c r="S613" s="705"/>
      <c r="T613" s="705"/>
      <c r="U613" s="705"/>
      <c r="V613" s="705"/>
      <c r="W613" s="705"/>
      <c r="X613" s="705"/>
      <c r="Y613" s="705"/>
      <c r="Z613" s="705"/>
      <c r="AA613" s="705"/>
      <c r="AB613" s="705"/>
      <c r="AC613" s="705"/>
      <c r="AD613" s="705"/>
      <c r="AE613" s="705"/>
      <c r="AF613" s="705"/>
      <c r="AG613" s="705"/>
      <c r="AH613" s="705"/>
      <c r="AI613" s="705"/>
      <c r="AJ613" s="705"/>
      <c r="AK613" s="705"/>
      <c r="AL613" s="705"/>
      <c r="AM613" s="705"/>
      <c r="AN613" s="705"/>
      <c r="AO613" s="705"/>
      <c r="AP613" s="705"/>
      <c r="AQ613" s="705"/>
      <c r="AR613" s="705"/>
      <c r="AS613" s="705"/>
      <c r="AT613" s="705"/>
      <c r="AU613" s="705"/>
      <c r="AV613" s="705"/>
      <c r="AW613" s="705"/>
      <c r="AX613" s="705"/>
      <c r="AY613" s="705"/>
      <c r="AZ613" s="705"/>
      <c r="BA613" s="705"/>
      <c r="BB613" s="705"/>
      <c r="BC613" s="705"/>
      <c r="BD613" s="705"/>
      <c r="BE613" s="705"/>
      <c r="BF613" s="705"/>
      <c r="BG613" s="705"/>
      <c r="BH613" s="705"/>
      <c r="BI613" s="705"/>
      <c r="BJ613" s="705"/>
      <c r="BK613" s="705"/>
      <c r="BL613" s="705"/>
      <c r="BM613" s="705"/>
      <c r="BN613" s="705"/>
      <c r="BO613" s="705"/>
      <c r="BP613" s="705"/>
      <c r="BQ613" s="705"/>
      <c r="BR613" s="705"/>
      <c r="BS613" s="705"/>
      <c r="BT613" s="705"/>
      <c r="BU613" s="705"/>
      <c r="BV613" s="705"/>
      <c r="BW613" s="705"/>
      <c r="BX613" s="705"/>
      <c r="BY613" s="705"/>
      <c r="BZ613" s="705"/>
      <c r="CA613" s="705"/>
      <c r="CB613" s="705"/>
      <c r="CC613" s="705"/>
      <c r="CD613" s="705"/>
      <c r="CE613" s="705"/>
      <c r="CF613" s="705"/>
      <c r="CG613" s="705"/>
      <c r="CH613" s="705"/>
      <c r="CI613" s="705"/>
      <c r="CJ613" s="705"/>
      <c r="CK613" s="705"/>
      <c r="CL613" s="705"/>
      <c r="CM613" s="705"/>
      <c r="CN613" s="705"/>
      <c r="CO613" s="705"/>
      <c r="CP613" s="705"/>
      <c r="CQ613" s="705"/>
      <c r="CR613" s="705"/>
      <c r="CS613" s="705"/>
      <c r="CT613" s="705"/>
      <c r="CU613" s="705"/>
      <c r="CV613" s="705"/>
      <c r="CW613" s="705"/>
      <c r="CX613" s="705"/>
      <c r="CY613" s="705"/>
      <c r="CZ613" s="705"/>
      <c r="DA613" s="705"/>
      <c r="DB613" s="705"/>
      <c r="DC613" s="705"/>
      <c r="DD613" s="705"/>
      <c r="DE613" s="705"/>
      <c r="DF613" s="705"/>
      <c r="DG613" s="705"/>
      <c r="DH613" s="705"/>
      <c r="DI613" s="705"/>
      <c r="DJ613" s="705"/>
      <c r="DK613" s="705"/>
      <c r="DL613" s="705"/>
      <c r="DM613" s="705"/>
      <c r="DN613" s="705"/>
      <c r="DO613" s="705"/>
      <c r="DP613" s="705"/>
      <c r="DQ613" s="705"/>
      <c r="DR613" s="705"/>
      <c r="DS613" s="705"/>
      <c r="DT613" s="705"/>
      <c r="DU613" s="705"/>
      <c r="DV613" s="705"/>
      <c r="DW613" s="705"/>
      <c r="DX613" s="705"/>
      <c r="DY613" s="760"/>
      <c r="DZ613" s="705"/>
      <c r="EA613" s="705"/>
      <c r="EB613" s="705"/>
      <c r="EC613" s="705"/>
      <c r="ED613" s="731"/>
      <c r="EE613" s="735">
        <f>+EE612/DZ612-1</f>
        <v>3.6725118371506493E-2</v>
      </c>
      <c r="EF613" s="735">
        <f>+EF612/EA612-1</f>
        <v>2.780352905128014E-2</v>
      </c>
      <c r="EG613" s="735">
        <f>+EG612/EB612-1</f>
        <v>8.1059534633163288E-3</v>
      </c>
      <c r="EH613" s="1118">
        <f>EG613</f>
        <v>8.1059534633163288E-3</v>
      </c>
      <c r="EI613" s="1119">
        <f>+EI612/ED612-1</f>
        <v>2.3311433419030525E-2</v>
      </c>
      <c r="EJ613" s="1118">
        <v>0.03</v>
      </c>
      <c r="EK613" s="1118">
        <v>7.0000000000000007E-2</v>
      </c>
      <c r="EL613" s="1118">
        <v>0.09</v>
      </c>
      <c r="EM613" s="1118">
        <v>0.09</v>
      </c>
      <c r="EN613" s="1119">
        <f>+EN612/EI612-1</f>
        <v>1.9448493539185652E-2</v>
      </c>
      <c r="EO613" s="1119"/>
      <c r="EP613" s="1119"/>
      <c r="EQ613" s="1119"/>
      <c r="ER613" s="1119"/>
      <c r="ES613" s="1118">
        <f>EN613</f>
        <v>1.9448493539185652E-2</v>
      </c>
      <c r="ET613" s="1118"/>
      <c r="EU613" s="1118"/>
      <c r="EV613" s="1118"/>
      <c r="EW613" s="1118"/>
      <c r="EX613" s="1118">
        <f>ES613</f>
        <v>1.9448493539185652E-2</v>
      </c>
      <c r="EY613" s="1118"/>
      <c r="EZ613" s="1118"/>
      <c r="FA613" s="1118"/>
      <c r="FB613" s="1118"/>
      <c r="FC613" s="1118">
        <f>EX613</f>
        <v>1.9448493539185652E-2</v>
      </c>
      <c r="FD613" s="1118">
        <f>FC613</f>
        <v>1.9448493539185652E-2</v>
      </c>
      <c r="FE613" s="1118">
        <f>FD613*0.95</f>
        <v>1.8476068862226368E-2</v>
      </c>
      <c r="FF613" s="1118">
        <f>FE613*0.95</f>
        <v>1.7552265419115049E-2</v>
      </c>
      <c r="FG613" s="1118">
        <f>FF613*0.95</f>
        <v>1.6674652148159295E-2</v>
      </c>
      <c r="FH613" s="1118">
        <f>FG613*0.95</f>
        <v>1.5840919540751331E-2</v>
      </c>
      <c r="FI613" s="1118">
        <f>FH613*0.95</f>
        <v>1.5048873563713764E-2</v>
      </c>
    </row>
    <row r="614" spans="1:166" hidden="1" collapsed="1" x14ac:dyDescent="0.3">
      <c r="A614" s="1"/>
    </row>
    <row r="615" spans="1:166" hidden="1" outlineLevel="1" x14ac:dyDescent="0.3"/>
    <row r="616" spans="1:166" hidden="1" outlineLevel="1" x14ac:dyDescent="0.3">
      <c r="A616" s="55" t="s">
        <v>526</v>
      </c>
      <c r="DY616" s="1203"/>
      <c r="DZ616" s="108"/>
      <c r="EA616" s="108"/>
      <c r="EB616" s="108"/>
      <c r="EC616" s="108"/>
      <c r="ED616" s="85"/>
      <c r="EE616" s="76"/>
      <c r="EF616" s="108"/>
      <c r="EG616" s="108"/>
      <c r="EH616" s="108"/>
      <c r="EI616" s="85"/>
      <c r="EJ616" s="108"/>
      <c r="EK616" s="108"/>
      <c r="EL616" s="108"/>
      <c r="EM616" s="108"/>
      <c r="EN616" s="85"/>
      <c r="EO616" s="85"/>
      <c r="EP616" s="85"/>
      <c r="EQ616" s="85"/>
      <c r="ER616" s="85"/>
      <c r="ES616" s="76"/>
      <c r="ET616" s="76"/>
      <c r="EU616" s="76"/>
      <c r="EV616" s="76"/>
      <c r="EW616" s="76"/>
      <c r="EX616" s="76"/>
      <c r="EY616" s="76"/>
      <c r="EZ616" s="76"/>
      <c r="FA616" s="76"/>
      <c r="FB616" s="76"/>
      <c r="FC616" s="76"/>
      <c r="FD616" s="76"/>
      <c r="FE616" s="76"/>
      <c r="FF616" s="76"/>
      <c r="FG616" s="76"/>
      <c r="FH616" s="76"/>
      <c r="FI616" s="76"/>
    </row>
    <row r="617" spans="1:166" hidden="1" outlineLevel="1" x14ac:dyDescent="0.3">
      <c r="A617" s="56" t="s">
        <v>368</v>
      </c>
      <c r="DU617" s="76">
        <f>+DU186*DU180*3/1000</f>
        <v>210.08420999999996</v>
      </c>
      <c r="DV617" s="76">
        <f>+DV186*DV180*3/1000</f>
        <v>204.85115999999999</v>
      </c>
      <c r="DW617" s="76">
        <f>+DW186*DW180*3/1000</f>
        <v>203.10110999999998</v>
      </c>
      <c r="DX617" s="76">
        <f>+DX186*DX180*3/1000</f>
        <v>204.59420999999998</v>
      </c>
      <c r="DY617" s="85">
        <f>+SUM(DU617:DX617)</f>
        <v>822.63068999999984</v>
      </c>
      <c r="DZ617" s="76">
        <f>+DZ186*DZ180*3/1000</f>
        <v>206.184</v>
      </c>
      <c r="EA617" s="76">
        <f>+EA186*EA180*3/1000</f>
        <v>208.15644</v>
      </c>
      <c r="EB617" s="76">
        <f>+EB186*EB180*3/1000</f>
        <v>211.77923999999999</v>
      </c>
      <c r="EC617" s="76">
        <f>+EC186*EC180*3/1000</f>
        <v>220.99385999999998</v>
      </c>
      <c r="ED617" s="85">
        <f>+SUM(DZ617:EC617)</f>
        <v>847.11354000000006</v>
      </c>
      <c r="EE617" s="76">
        <f>+EE186*EE180*3/1000</f>
        <v>226.73545500000003</v>
      </c>
      <c r="EF617" s="76">
        <f>+EF186*EF180*3/1000</f>
        <v>237.95009999999996</v>
      </c>
      <c r="EG617" s="76">
        <f>+EG186*EG180*3/1000</f>
        <v>242.78887499999999</v>
      </c>
      <c r="EH617" s="76">
        <f>+EH186*EH180*3/1000</f>
        <v>245.23182</v>
      </c>
      <c r="EI617" s="85">
        <f t="shared" ref="EI617:EI636" si="2760">+SUM(EE617:EH617)</f>
        <v>952.70624999999995</v>
      </c>
      <c r="EJ617" s="76">
        <f>+EJ186*EJ180*3/1000</f>
        <v>253.74059999999997</v>
      </c>
      <c r="EK617" s="76">
        <f>+EK186*EK180*3/1000</f>
        <v>268.54065000000003</v>
      </c>
      <c r="EL617" s="76">
        <f>+EL186*EL180*3/1000</f>
        <v>277.69769999999994</v>
      </c>
      <c r="EM617" s="76">
        <f>+EM186*EM180*3/1000</f>
        <v>282.46860000000004</v>
      </c>
      <c r="EN617" s="85">
        <f>+SUM(EJ617:EM617)</f>
        <v>1082.4475499999999</v>
      </c>
      <c r="EO617" s="85"/>
      <c r="EP617" s="85"/>
      <c r="EQ617" s="85"/>
      <c r="ER617" s="85"/>
      <c r="ES617" s="76">
        <f>+ES186*ES180*12/1000</f>
        <v>1313.028765</v>
      </c>
      <c r="ET617" s="76"/>
      <c r="EU617" s="76"/>
      <c r="EV617" s="76"/>
      <c r="EW617" s="76"/>
      <c r="EX617" s="76">
        <f t="shared" ref="EX617:FI617" si="2761">+EX186*EX180*12/1000</f>
        <v>1618.0850700000003</v>
      </c>
      <c r="EY617" s="76"/>
      <c r="EZ617" s="76"/>
      <c r="FA617" s="76"/>
      <c r="FB617" s="76"/>
      <c r="FC617" s="76">
        <f t="shared" si="2761"/>
        <v>2008.1558494992319</v>
      </c>
      <c r="FD617" s="76">
        <f t="shared" si="2761"/>
        <v>2477.4545844388404</v>
      </c>
      <c r="FE617" s="76">
        <f t="shared" si="2761"/>
        <v>2956.8665062485506</v>
      </c>
      <c r="FF617" s="76">
        <f t="shared" si="2761"/>
        <v>3389.341589688368</v>
      </c>
      <c r="FG617" s="76">
        <f t="shared" si="2761"/>
        <v>3761.252192474436</v>
      </c>
      <c r="FH617" s="76">
        <f t="shared" si="2761"/>
        <v>4084.1364104446657</v>
      </c>
      <c r="FI617" s="76">
        <f t="shared" si="2761"/>
        <v>4359.5008400382649</v>
      </c>
      <c r="FJ617" s="189">
        <f>+(FF617/ES617)^0.2-1</f>
        <v>0.20883832401366487</v>
      </c>
    </row>
    <row r="618" spans="1:166" hidden="1" outlineLevel="1" x14ac:dyDescent="0.3">
      <c r="A618" s="56" t="s">
        <v>527</v>
      </c>
      <c r="DU618" s="104">
        <f>+DU323*DU598*3/1000</f>
        <v>186.71995500000003</v>
      </c>
      <c r="DV618" s="104">
        <f>+DV323*DV598*3/1000</f>
        <v>186.11376000000001</v>
      </c>
      <c r="DW618" s="104">
        <f>+DW323*DW598*3/1000</f>
        <v>183.25274999999999</v>
      </c>
      <c r="DX618" s="104">
        <f>+DX323*DX598*3/1000</f>
        <v>179.26423499999999</v>
      </c>
      <c r="DY618" s="100">
        <f>+SUM(DU618:DX618)</f>
        <v>735.35070000000007</v>
      </c>
      <c r="DZ618" s="104">
        <f>+DZ323*DZ598*3/1000</f>
        <v>176.59522499999997</v>
      </c>
      <c r="EA618" s="104">
        <f>+EA323*EA598*3/1000</f>
        <v>177.36390000000003</v>
      </c>
      <c r="EB618" s="104">
        <f>+EB323*EB598*3/1000</f>
        <v>175.93367999999998</v>
      </c>
      <c r="EC618" s="104">
        <f>+EC323*EC598*3/1000</f>
        <v>174.48795000000001</v>
      </c>
      <c r="ED618" s="100">
        <f>+SUM(DZ618:EC618)</f>
        <v>704.38075499999991</v>
      </c>
      <c r="EE618" s="104">
        <f>+EE323*EE598*3/1000</f>
        <v>173.52521999999999</v>
      </c>
      <c r="EF618" s="104">
        <f>+EF323*EF598*3/1000</f>
        <v>176.33279999999999</v>
      </c>
      <c r="EG618" s="104">
        <f>+EG323*EG598*3/1000</f>
        <v>174.55776</v>
      </c>
      <c r="EH618" s="104">
        <f>+EH323*EH598*3/1000</f>
        <v>169.85151000000002</v>
      </c>
      <c r="EI618" s="100">
        <f t="shared" si="2760"/>
        <v>694.26729</v>
      </c>
      <c r="EJ618" s="104">
        <f>+EJ323*EJ598*3/1000</f>
        <v>167.19804000000002</v>
      </c>
      <c r="EK618" s="104">
        <f>+EK323*EK598*3/1000</f>
        <v>172.09273499999998</v>
      </c>
      <c r="EL618" s="104">
        <f>+EL323*EL598*3/1000</f>
        <v>168.9093</v>
      </c>
      <c r="EM618" s="104">
        <f>+EM323*EM598*3/1000</f>
        <v>156.91140000000001</v>
      </c>
      <c r="EN618" s="100">
        <f>+SUM(EJ618:EM618)</f>
        <v>665.11147499999993</v>
      </c>
      <c r="EO618" s="100"/>
      <c r="EP618" s="100"/>
      <c r="EQ618" s="100"/>
      <c r="ER618" s="100"/>
      <c r="ES618" s="104">
        <f>+ES323*ES598*12/1000</f>
        <v>584.80264438466702</v>
      </c>
      <c r="ET618" s="104"/>
      <c r="EU618" s="104"/>
      <c r="EV618" s="104"/>
      <c r="EW618" s="104"/>
      <c r="EX618" s="104">
        <f t="shared" ref="EX618:FI618" si="2762">+EX323*EX598*12/1000</f>
        <v>505.51280214260862</v>
      </c>
      <c r="EY618" s="104"/>
      <c r="EZ618" s="104"/>
      <c r="FA618" s="104"/>
      <c r="FB618" s="104"/>
      <c r="FC618" s="104">
        <f t="shared" si="2762"/>
        <v>397.90852784733823</v>
      </c>
      <c r="FD618" s="104">
        <f t="shared" si="2762"/>
        <v>295.41075172913111</v>
      </c>
      <c r="FE618" s="104">
        <f t="shared" si="2762"/>
        <v>210.51962150047194</v>
      </c>
      <c r="FF618" s="104">
        <f t="shared" si="2762"/>
        <v>149.72304047581466</v>
      </c>
      <c r="FG618" s="104">
        <f t="shared" si="2762"/>
        <v>106.28117886349193</v>
      </c>
      <c r="FH618" s="104">
        <f t="shared" si="2762"/>
        <v>75.307062282039553</v>
      </c>
      <c r="FI618" s="104">
        <f t="shared" si="2762"/>
        <v>53.267799788879096</v>
      </c>
      <c r="FJ618" s="189">
        <f>+(FF618/ES618)^0.2-1</f>
        <v>-0.23852462749801373</v>
      </c>
    </row>
    <row r="619" spans="1:166" s="90" customFormat="1" hidden="1" outlineLevel="1" x14ac:dyDescent="0.3">
      <c r="A619" s="4" t="s">
        <v>528</v>
      </c>
      <c r="DU619" s="475">
        <f>+DU617+DU618</f>
        <v>396.80416500000001</v>
      </c>
      <c r="DV619" s="475">
        <f>+DV617+DV618</f>
        <v>390.96492000000001</v>
      </c>
      <c r="DW619" s="475">
        <f>+DW617+DW618</f>
        <v>386.35385999999994</v>
      </c>
      <c r="DX619" s="475">
        <f>+DX617+DX618</f>
        <v>383.85844499999996</v>
      </c>
      <c r="DY619" s="85">
        <f>+SUM(DU619:DX619)</f>
        <v>1557.9813899999999</v>
      </c>
      <c r="DZ619" s="475">
        <f>+DZ617+DZ618</f>
        <v>382.779225</v>
      </c>
      <c r="EA619" s="475">
        <f>+EA617+EA618</f>
        <v>385.52034000000003</v>
      </c>
      <c r="EB619" s="475">
        <f>+EB617+EB618</f>
        <v>387.71291999999994</v>
      </c>
      <c r="EC619" s="85">
        <f>+SUM(EC617:EC618)</f>
        <v>395.48181</v>
      </c>
      <c r="ED619" s="85">
        <f>+SUM(DZ619:EC619)</f>
        <v>1551.494295</v>
      </c>
      <c r="EE619" s="85">
        <f>+SUM(EE617:EE618)</f>
        <v>400.26067499999999</v>
      </c>
      <c r="EF619" s="85">
        <f>+SUM(EF617:EF618)</f>
        <v>414.28289999999993</v>
      </c>
      <c r="EG619" s="85">
        <f>+SUM(EG617:EG618)</f>
        <v>417.34663499999999</v>
      </c>
      <c r="EH619" s="85">
        <f>+SUM(EH617:EH618)</f>
        <v>415.08333000000005</v>
      </c>
      <c r="EI619" s="85">
        <f t="shared" si="2760"/>
        <v>1646.97354</v>
      </c>
      <c r="EJ619" s="85">
        <f>+SUM(EJ617:EJ618)</f>
        <v>420.93863999999996</v>
      </c>
      <c r="EK619" s="85">
        <f>+SUM(EK617:EK618)</f>
        <v>440.63338499999998</v>
      </c>
      <c r="EL619" s="85">
        <f>+SUM(EL617:EL618)</f>
        <v>446.60699999999997</v>
      </c>
      <c r="EM619" s="85">
        <f>+SUM(EM617:EM618)</f>
        <v>439.38000000000005</v>
      </c>
      <c r="EN619" s="85">
        <f>+SUM(EJ619:EM619)</f>
        <v>1747.559025</v>
      </c>
      <c r="EO619" s="85"/>
      <c r="EP619" s="85"/>
      <c r="EQ619" s="85"/>
      <c r="ER619" s="85"/>
      <c r="ES619" s="85">
        <f>+SUM(ES617:ES618)</f>
        <v>1897.831409384667</v>
      </c>
      <c r="ET619" s="85"/>
      <c r="EU619" s="85"/>
      <c r="EV619" s="85"/>
      <c r="EW619" s="85"/>
      <c r="EX619" s="85">
        <f>+SUM(EX617:EX618)</f>
        <v>2123.597872142609</v>
      </c>
      <c r="EY619" s="85"/>
      <c r="EZ619" s="85"/>
      <c r="FA619" s="85"/>
      <c r="FB619" s="85"/>
      <c r="FC619" s="85">
        <f>+SUM(FC617:FC618)</f>
        <v>2406.0643773465699</v>
      </c>
      <c r="FD619" s="85">
        <f t="shared" ref="FD619:FI619" si="2763">+SUM(FD617:FD618)</f>
        <v>2772.8653361679717</v>
      </c>
      <c r="FE619" s="85">
        <f t="shared" si="2763"/>
        <v>3167.3861277490228</v>
      </c>
      <c r="FF619" s="85">
        <f t="shared" si="2763"/>
        <v>3539.0646301641827</v>
      </c>
      <c r="FG619" s="85">
        <f t="shared" si="2763"/>
        <v>3867.5333713379277</v>
      </c>
      <c r="FH619" s="85">
        <f t="shared" si="2763"/>
        <v>4159.4434727267053</v>
      </c>
      <c r="FI619" s="85">
        <f t="shared" si="2763"/>
        <v>4412.7686398271444</v>
      </c>
      <c r="FJ619" s="717">
        <f>+(FF619/ES619)^0.2-1</f>
        <v>0.13272939995029986</v>
      </c>
    </row>
    <row r="620" spans="1:166" hidden="1" outlineLevel="1" x14ac:dyDescent="0.3">
      <c r="A620" s="1"/>
      <c r="DU620" s="365"/>
      <c r="DV620" s="365"/>
      <c r="DW620" s="365"/>
      <c r="DX620" s="365"/>
      <c r="DY620" s="85"/>
      <c r="DZ620" s="365"/>
      <c r="EA620" s="365"/>
      <c r="EB620" s="365"/>
      <c r="EC620" s="76"/>
      <c r="ED620" s="85"/>
      <c r="EE620" s="76"/>
      <c r="EF620" s="76"/>
      <c r="EG620" s="76"/>
      <c r="EH620" s="76"/>
      <c r="EI620" s="85"/>
      <c r="EJ620" s="76"/>
      <c r="EK620" s="76"/>
      <c r="EL620" s="76"/>
      <c r="EM620" s="76"/>
      <c r="EN620" s="85"/>
      <c r="EO620" s="85"/>
      <c r="EP620" s="85"/>
      <c r="EQ620" s="85"/>
      <c r="ER620" s="85"/>
      <c r="ES620" s="76"/>
      <c r="ET620" s="76"/>
      <c r="EU620" s="76"/>
      <c r="EV620" s="76"/>
      <c r="EW620" s="76"/>
      <c r="EX620" s="76"/>
      <c r="EY620" s="76"/>
      <c r="EZ620" s="76"/>
      <c r="FA620" s="76"/>
      <c r="FB620" s="76"/>
      <c r="FC620" s="76"/>
      <c r="FD620" s="76"/>
      <c r="FE620" s="76"/>
      <c r="FF620" s="76"/>
      <c r="FG620" s="76"/>
      <c r="FH620" s="76"/>
      <c r="FI620" s="76"/>
      <c r="FJ620" s="189"/>
    </row>
    <row r="621" spans="1:166" hidden="1" outlineLevel="1" x14ac:dyDescent="0.3">
      <c r="A621" s="56" t="s">
        <v>369</v>
      </c>
      <c r="DU621" s="76"/>
      <c r="DV621" s="365"/>
      <c r="DW621" s="365"/>
      <c r="DX621" s="365"/>
      <c r="DY621" s="85"/>
      <c r="DZ621" s="76">
        <f>+DZ188*DZ181*3/1000</f>
        <v>159.45551999999998</v>
      </c>
      <c r="EA621" s="76">
        <f>+EA188*EA181*3/1000</f>
        <v>149.04075</v>
      </c>
      <c r="EB621" s="76">
        <f>+EB188*EB181*3/1000</f>
        <v>139.98190499999998</v>
      </c>
      <c r="EC621" s="76">
        <f>+EC188*EC181*3/1000</f>
        <v>132.98186999999999</v>
      </c>
      <c r="ED621" s="85">
        <f>SUM(DZ621:EC621)</f>
        <v>581.46004499999992</v>
      </c>
      <c r="EE621" s="76">
        <f>+EE188*EE181*3/1000</f>
        <v>127.788495</v>
      </c>
      <c r="EF621" s="76">
        <f>+EF188*EF181*3/1000</f>
        <v>123.90603</v>
      </c>
      <c r="EG621" s="76">
        <f>+EG188*EG181*3/1000</f>
        <v>117.43299</v>
      </c>
      <c r="EH621" s="76">
        <f>+EH188*EH181*3/1000</f>
        <v>112.51967999999999</v>
      </c>
      <c r="EI621" s="85">
        <f>SUM(EE621:EH621)</f>
        <v>481.64719500000001</v>
      </c>
      <c r="EJ621" s="76">
        <f>+EJ188*EJ181*3/1000</f>
        <v>109.06092</v>
      </c>
      <c r="EK621" s="76">
        <f>+EK188*EK181*3/1000</f>
        <v>106.66012499999999</v>
      </c>
      <c r="EL621" s="76">
        <f>+EL188*EL181*3/1000</f>
        <v>100.89208499999999</v>
      </c>
      <c r="EM621" s="76">
        <f>+EM188*EM181*3/1000</f>
        <v>96.965700000000012</v>
      </c>
      <c r="EN621" s="85">
        <f>SUM(EJ621:EM621)</f>
        <v>413.57883000000004</v>
      </c>
      <c r="EO621" s="85"/>
      <c r="EP621" s="85"/>
      <c r="EQ621" s="85"/>
      <c r="ER621" s="85"/>
      <c r="ES621" s="76">
        <f>+ES188*ES181*12/1000</f>
        <v>360.44168999999999</v>
      </c>
      <c r="ET621" s="76"/>
      <c r="EU621" s="76"/>
      <c r="EV621" s="76"/>
      <c r="EW621" s="76"/>
      <c r="EX621" s="76">
        <f t="shared" ref="EX621:FI621" si="2764">+EX188*EX181*12/1000</f>
        <v>296.83684500000004</v>
      </c>
      <c r="EY621" s="76"/>
      <c r="EZ621" s="76"/>
      <c r="FA621" s="76"/>
      <c r="FB621" s="76"/>
      <c r="FC621" s="76">
        <f t="shared" si="2764"/>
        <v>240.20729139507498</v>
      </c>
      <c r="FD621" s="76">
        <f t="shared" si="2764"/>
        <v>191.61772482825216</v>
      </c>
      <c r="FE621" s="76">
        <f t="shared" si="2764"/>
        <v>150.72304775058396</v>
      </c>
      <c r="FF621" s="76">
        <f t="shared" si="2764"/>
        <v>118.55603203506642</v>
      </c>
      <c r="FG621" s="76">
        <f t="shared" si="2764"/>
        <v>93.25403739950076</v>
      </c>
      <c r="FH621" s="76">
        <f t="shared" si="2764"/>
        <v>73.351944578706025</v>
      </c>
      <c r="FI621" s="76">
        <f t="shared" si="2764"/>
        <v>57.697317172740064</v>
      </c>
      <c r="FJ621" s="189"/>
    </row>
    <row r="622" spans="1:166" hidden="1" outlineLevel="1" x14ac:dyDescent="0.3">
      <c r="A622" s="56" t="s">
        <v>529</v>
      </c>
      <c r="DU622" s="365"/>
      <c r="DV622" s="365"/>
      <c r="DW622" s="365"/>
      <c r="DX622" s="365"/>
      <c r="DY622" s="85"/>
      <c r="DZ622" s="104">
        <f>+DZ325*DZ600*3/1000</f>
        <v>29.7</v>
      </c>
      <c r="EA622" s="104">
        <f>+EA325*EA600*3/1000</f>
        <v>27.879930000000002</v>
      </c>
      <c r="EB622" s="104">
        <f>+EB325*EB600*3/1000</f>
        <v>26.347739999999998</v>
      </c>
      <c r="EC622" s="104">
        <f>+EC325*EC600*3/1000</f>
        <v>24.280559999999998</v>
      </c>
      <c r="ED622" s="100">
        <f>SUM(DZ622:EC622)</f>
        <v>108.20823</v>
      </c>
      <c r="EE622" s="104">
        <f>+EE325*EE600*3/1000</f>
        <v>23.09412</v>
      </c>
      <c r="EF622" s="104">
        <f>+EF325*EF600*3/1000</f>
        <v>21.847559999999998</v>
      </c>
      <c r="EG622" s="104">
        <f>+EG325*EG600*3/1000</f>
        <v>20.880989999999997</v>
      </c>
      <c r="EH622" s="104">
        <f>+EH325*EH600*3/1000</f>
        <v>19.636650000000003</v>
      </c>
      <c r="EI622" s="100">
        <f>SUM(EE622:EH622)</f>
        <v>85.459319999999991</v>
      </c>
      <c r="EJ622" s="104">
        <f>+EJ325*EJ600*3/1000</f>
        <v>18.289619999999999</v>
      </c>
      <c r="EK622" s="104">
        <f>+EK325*EK600*3/1000</f>
        <v>18.084195000000001</v>
      </c>
      <c r="EL622" s="104">
        <f>+EL325*EL600*3/1000</f>
        <v>16.568639999999998</v>
      </c>
      <c r="EM622" s="104">
        <f>+EM325*EM600*3/1000</f>
        <v>14.050125</v>
      </c>
      <c r="EN622" s="100">
        <f>SUM(EJ622:EM622)</f>
        <v>66.99257999999999</v>
      </c>
      <c r="EO622" s="100"/>
      <c r="EP622" s="100"/>
      <c r="EQ622" s="100"/>
      <c r="ER622" s="100"/>
      <c r="ES622" s="104">
        <f>+ES325*ES600*12/1000</f>
        <v>42.900701142857152</v>
      </c>
      <c r="ET622" s="104"/>
      <c r="EU622" s="104"/>
      <c r="EV622" s="104"/>
      <c r="EW622" s="104"/>
      <c r="EX622" s="104">
        <f t="shared" ref="EX622:FI622" si="2765">+EX325*EX600*12/1000</f>
        <v>21.044883333333335</v>
      </c>
      <c r="EY622" s="104"/>
      <c r="EZ622" s="104"/>
      <c r="FA622" s="104"/>
      <c r="FB622" s="104"/>
      <c r="FC622" s="104">
        <f t="shared" si="2765"/>
        <v>12.025630074039324</v>
      </c>
      <c r="FD622" s="104">
        <f t="shared" si="2765"/>
        <v>6.2211508075767732</v>
      </c>
      <c r="FE622" s="104">
        <f t="shared" si="2765"/>
        <v>2.7998373581772036</v>
      </c>
      <c r="FF622" s="104">
        <f t="shared" si="2765"/>
        <v>1.2600706002332291</v>
      </c>
      <c r="FG622" s="104">
        <f t="shared" si="2765"/>
        <v>0.56709648256348444</v>
      </c>
      <c r="FH622" s="104">
        <f t="shared" si="2765"/>
        <v>0.25522254108329406</v>
      </c>
      <c r="FI622" s="104">
        <f t="shared" si="2765"/>
        <v>0.11486325075155392</v>
      </c>
      <c r="FJ622" s="189"/>
    </row>
    <row r="623" spans="1:166" s="90" customFormat="1" hidden="1" outlineLevel="1" x14ac:dyDescent="0.3">
      <c r="A623" s="4" t="s">
        <v>530</v>
      </c>
      <c r="DU623" s="475"/>
      <c r="DV623" s="475"/>
      <c r="DW623" s="475"/>
      <c r="DX623" s="475"/>
      <c r="DY623" s="85"/>
      <c r="DZ623" s="85">
        <f t="shared" ref="DZ623:FI623" si="2766">SUM(DZ621:DZ622)</f>
        <v>189.15551999999997</v>
      </c>
      <c r="EA623" s="85">
        <f t="shared" si="2766"/>
        <v>176.92068</v>
      </c>
      <c r="EB623" s="85">
        <f t="shared" si="2766"/>
        <v>166.32964499999997</v>
      </c>
      <c r="EC623" s="85">
        <f t="shared" si="2766"/>
        <v>157.26242999999999</v>
      </c>
      <c r="ED623" s="85">
        <f t="shared" si="2766"/>
        <v>689.66827499999988</v>
      </c>
      <c r="EE623" s="85">
        <f t="shared" si="2766"/>
        <v>150.88261499999999</v>
      </c>
      <c r="EF623" s="85">
        <f t="shared" si="2766"/>
        <v>145.75359</v>
      </c>
      <c r="EG623" s="85">
        <f t="shared" si="2766"/>
        <v>138.31398000000002</v>
      </c>
      <c r="EH623" s="85">
        <f t="shared" si="2766"/>
        <v>132.15633</v>
      </c>
      <c r="EI623" s="85">
        <f t="shared" si="2766"/>
        <v>567.10651499999994</v>
      </c>
      <c r="EJ623" s="85">
        <f>SUM(EJ621:EJ622)</f>
        <v>127.35054</v>
      </c>
      <c r="EK623" s="85">
        <f>SUM(EK621:EK622)</f>
        <v>124.74431999999999</v>
      </c>
      <c r="EL623" s="85">
        <f>SUM(EL621:EL622)</f>
        <v>117.460725</v>
      </c>
      <c r="EM623" s="85">
        <f>SUM(EM621:EM622)</f>
        <v>111.01582500000001</v>
      </c>
      <c r="EN623" s="85">
        <f>SUM(EN621:EN622)</f>
        <v>480.57141000000001</v>
      </c>
      <c r="EO623" s="85"/>
      <c r="EP623" s="85"/>
      <c r="EQ623" s="85"/>
      <c r="ER623" s="85"/>
      <c r="ES623" s="85">
        <f t="shared" si="2766"/>
        <v>403.34239114285714</v>
      </c>
      <c r="ET623" s="85"/>
      <c r="EU623" s="85"/>
      <c r="EV623" s="85"/>
      <c r="EW623" s="85"/>
      <c r="EX623" s="85">
        <f t="shared" si="2766"/>
        <v>317.8817283333334</v>
      </c>
      <c r="EY623" s="85"/>
      <c r="EZ623" s="85"/>
      <c r="FA623" s="85"/>
      <c r="FB623" s="85"/>
      <c r="FC623" s="85">
        <f t="shared" si="2766"/>
        <v>252.2329214691143</v>
      </c>
      <c r="FD623" s="85">
        <f t="shared" si="2766"/>
        <v>197.83887563582894</v>
      </c>
      <c r="FE623" s="85">
        <f t="shared" si="2766"/>
        <v>153.52288510876116</v>
      </c>
      <c r="FF623" s="85">
        <f t="shared" si="2766"/>
        <v>119.81610263529966</v>
      </c>
      <c r="FG623" s="85">
        <f t="shared" si="2766"/>
        <v>93.821133882064245</v>
      </c>
      <c r="FH623" s="85">
        <f t="shared" si="2766"/>
        <v>73.607167119789324</v>
      </c>
      <c r="FI623" s="85">
        <f t="shared" si="2766"/>
        <v>57.812180423491618</v>
      </c>
      <c r="FJ623" s="717"/>
    </row>
    <row r="624" spans="1:166" hidden="1" outlineLevel="1" x14ac:dyDescent="0.3">
      <c r="A624" s="56"/>
      <c r="DU624" s="365"/>
      <c r="DV624" s="365"/>
      <c r="DW624" s="365"/>
      <c r="DX624" s="365"/>
      <c r="DY624" s="85"/>
      <c r="DZ624" s="76"/>
      <c r="EA624" s="76"/>
      <c r="EB624" s="76"/>
      <c r="EC624" s="76"/>
      <c r="ED624" s="85"/>
      <c r="EE624" s="76"/>
      <c r="EF624" s="76"/>
      <c r="EG624" s="76"/>
      <c r="EH624" s="76"/>
      <c r="EI624" s="85"/>
      <c r="EJ624" s="76"/>
      <c r="EK624" s="76"/>
      <c r="EL624" s="76"/>
      <c r="EM624" s="76"/>
      <c r="EN624" s="85"/>
      <c r="EO624" s="85"/>
      <c r="EP624" s="85"/>
      <c r="EQ624" s="85"/>
      <c r="ER624" s="85"/>
      <c r="ES624" s="76"/>
      <c r="ET624" s="76"/>
      <c r="EU624" s="76"/>
      <c r="EV624" s="76"/>
      <c r="EW624" s="76"/>
      <c r="EX624" s="76"/>
      <c r="EY624" s="76"/>
      <c r="EZ624" s="76"/>
      <c r="FA624" s="76"/>
      <c r="FB624" s="76"/>
      <c r="FC624" s="76"/>
      <c r="FD624" s="76"/>
      <c r="FE624" s="76"/>
      <c r="FF624" s="76"/>
      <c r="FG624" s="76"/>
      <c r="FH624" s="76"/>
      <c r="FI624" s="76"/>
      <c r="FJ624" s="189"/>
    </row>
    <row r="625" spans="1:167" hidden="1" outlineLevel="1" x14ac:dyDescent="0.3">
      <c r="A625" s="56" t="s">
        <v>531</v>
      </c>
      <c r="DU625" s="76"/>
      <c r="DV625" s="365"/>
      <c r="DW625" s="365"/>
      <c r="DX625" s="365"/>
      <c r="DY625" s="85"/>
      <c r="DZ625" s="76">
        <f>+DZ190*DZ180*3/1000</f>
        <v>66.360480000000024</v>
      </c>
      <c r="EA625" s="76">
        <f>+EA190*EA180*3/1000</f>
        <v>61.802810000000001</v>
      </c>
      <c r="EB625" s="76">
        <f>+EB190*EB180*3/1000</f>
        <v>59.238855000000022</v>
      </c>
      <c r="EC625" s="76">
        <f>+EC190*EC180*3/1000</f>
        <v>64.02427000000003</v>
      </c>
      <c r="ED625" s="85">
        <f>SUM(DZ625:EC625)</f>
        <v>251.42641500000008</v>
      </c>
      <c r="EE625" s="76">
        <f>+EE190*EE180*3/1000</f>
        <v>56.476049999999972</v>
      </c>
      <c r="EF625" s="76">
        <f>+EF190*EF180*3/1000</f>
        <v>51.143870000000042</v>
      </c>
      <c r="EG625" s="76">
        <f>+EG190*EG180*3/1000</f>
        <v>48.778135000000006</v>
      </c>
      <c r="EH625" s="76">
        <f>+EH190*EH180*3/1000</f>
        <v>47.2485</v>
      </c>
      <c r="EI625" s="85">
        <f>SUM(EE625:EH625)</f>
        <v>203.64655500000001</v>
      </c>
      <c r="EJ625" s="76">
        <f>+EJ190*EJ180*3/1000</f>
        <v>44.198480000000025</v>
      </c>
      <c r="EK625" s="76">
        <f>+EK190*EK180*3/1000</f>
        <v>45.799224999999986</v>
      </c>
      <c r="EL625" s="76">
        <f>+EL190*EL180*3/1000</f>
        <v>45.410215000000072</v>
      </c>
      <c r="EM625" s="76">
        <f>+EM190*EM180*3/1000</f>
        <v>56.565699999999936</v>
      </c>
      <c r="EN625" s="85">
        <f>SUM(EJ625:EM625)</f>
        <v>191.97362000000001</v>
      </c>
      <c r="EO625" s="85"/>
      <c r="EP625" s="85"/>
      <c r="EQ625" s="85"/>
      <c r="ER625" s="85"/>
      <c r="ES625" s="76">
        <f>+ES190*ES180*12/1000</f>
        <v>200.30732499999996</v>
      </c>
      <c r="ET625" s="76"/>
      <c r="EU625" s="76"/>
      <c r="EV625" s="76"/>
      <c r="EW625" s="76"/>
      <c r="EX625" s="76">
        <f t="shared" ref="EX625:FI625" si="2767">+EX190*EX180*12/1000</f>
        <v>207.0780849999999</v>
      </c>
      <c r="EY625" s="76"/>
      <c r="EZ625" s="76"/>
      <c r="FA625" s="76"/>
      <c r="FB625" s="76"/>
      <c r="FC625" s="76">
        <f t="shared" si="2767"/>
        <v>213.37774684868731</v>
      </c>
      <c r="FD625" s="76">
        <f t="shared" si="2767"/>
        <v>219.21992414167983</v>
      </c>
      <c r="FE625" s="76">
        <f t="shared" si="2767"/>
        <v>224.62184404061975</v>
      </c>
      <c r="FF625" s="76">
        <f t="shared" si="2767"/>
        <v>229.60337248713012</v>
      </c>
      <c r="FG625" s="76">
        <f t="shared" si="2767"/>
        <v>234.18617770231333</v>
      </c>
      <c r="FH625" s="76">
        <f t="shared" si="2767"/>
        <v>238.39302650590537</v>
      </c>
      <c r="FI625" s="76">
        <f t="shared" si="2767"/>
        <v>242.24720391877673</v>
      </c>
      <c r="FJ625" s="189"/>
    </row>
    <row r="626" spans="1:167" hidden="1" outlineLevel="1" x14ac:dyDescent="0.3">
      <c r="A626" s="56" t="s">
        <v>532</v>
      </c>
      <c r="DU626" s="365"/>
      <c r="DV626" s="365"/>
      <c r="DW626" s="365"/>
      <c r="DX626" s="365"/>
      <c r="DY626" s="85"/>
      <c r="DZ626" s="104">
        <f>+DZ327*DZ598*3/1000</f>
        <v>159.29909266873997</v>
      </c>
      <c r="EA626" s="104">
        <f>+EA327*EA598*3/1000</f>
        <v>154.74810645161287</v>
      </c>
      <c r="EB626" s="104">
        <f>+EB327*EB598*3/1000</f>
        <v>149.65421581506197</v>
      </c>
      <c r="EC626" s="104">
        <f>+EC327*EC598*3/1000</f>
        <v>147.20008961735314</v>
      </c>
      <c r="ED626" s="100">
        <f>SUM(DZ626:EC626)</f>
        <v>610.90150455276796</v>
      </c>
      <c r="EE626" s="104">
        <f>+EE327*EE598*3/1000</f>
        <v>141.7283406882793</v>
      </c>
      <c r="EF626" s="104">
        <f>+EF327*EF598*3/1000</f>
        <v>137.20876572887414</v>
      </c>
      <c r="EG626" s="104">
        <f>+EG327*EG598*3/1000</f>
        <v>131.3142006423702</v>
      </c>
      <c r="EH626" s="104">
        <f>+EH327*EH598*3/1000</f>
        <v>126.25460278167112</v>
      </c>
      <c r="EI626" s="100">
        <f>SUM(EE626:EH626)</f>
        <v>536.50590984119481</v>
      </c>
      <c r="EJ626" s="104">
        <f>+EJ327*EJ598*3/1000</f>
        <v>123.93437255401662</v>
      </c>
      <c r="EK626" s="104">
        <f>+EK327*EK598*3/1000</f>
        <v>121.54232058537978</v>
      </c>
      <c r="EL626" s="104">
        <f>+EL327*EL598*3/1000</f>
        <v>118.44213986313599</v>
      </c>
      <c r="EM626" s="104">
        <f>+EM327*EM598*3/1000</f>
        <v>105.47800009380863</v>
      </c>
      <c r="EN626" s="100">
        <f>SUM(EJ626:EM626)</f>
        <v>469.39683309634103</v>
      </c>
      <c r="EO626" s="100"/>
      <c r="EP626" s="100"/>
      <c r="EQ626" s="100"/>
      <c r="ER626" s="100"/>
      <c r="ES626" s="104">
        <f>+ES327*ES598*12/1000</f>
        <v>398.45701569099174</v>
      </c>
      <c r="ET626" s="104"/>
      <c r="EU626" s="104"/>
      <c r="EV626" s="104"/>
      <c r="EW626" s="104"/>
      <c r="EX626" s="104">
        <f t="shared" ref="EX626:FI626" si="2768">+EX327*EX598*12/1000</f>
        <v>336.31076140175225</v>
      </c>
      <c r="EY626" s="104"/>
      <c r="EZ626" s="104"/>
      <c r="FA626" s="104"/>
      <c r="FB626" s="104"/>
      <c r="FC626" s="104">
        <f t="shared" si="2768"/>
        <v>246.41078135760665</v>
      </c>
      <c r="FD626" s="104">
        <f t="shared" si="2768"/>
        <v>173.27836593076549</v>
      </c>
      <c r="FE626" s="104">
        <f t="shared" si="2768"/>
        <v>118.52796969057145</v>
      </c>
      <c r="FF626" s="104">
        <f t="shared" si="2768"/>
        <v>81.078622586634026</v>
      </c>
      <c r="FG626" s="104">
        <f t="shared" si="2768"/>
        <v>55.46245518831072</v>
      </c>
      <c r="FH626" s="104">
        <f t="shared" si="2768"/>
        <v>37.940022944805669</v>
      </c>
      <c r="FI626" s="104">
        <f t="shared" si="2768"/>
        <v>25.953785031319732</v>
      </c>
      <c r="FJ626" s="189"/>
    </row>
    <row r="627" spans="1:167" s="90" customFormat="1" hidden="1" outlineLevel="1" x14ac:dyDescent="0.3">
      <c r="A627" s="4" t="s">
        <v>533</v>
      </c>
      <c r="DU627" s="475"/>
      <c r="DV627" s="475"/>
      <c r="DW627" s="475"/>
      <c r="DX627" s="475"/>
      <c r="DY627" s="85"/>
      <c r="DZ627" s="85">
        <f t="shared" ref="DZ627:FI627" si="2769">SUM(DZ625:DZ626)</f>
        <v>225.65957266874</v>
      </c>
      <c r="EA627" s="85">
        <f t="shared" si="2769"/>
        <v>216.55091645161286</v>
      </c>
      <c r="EB627" s="85">
        <f t="shared" si="2769"/>
        <v>208.893070815062</v>
      </c>
      <c r="EC627" s="85">
        <f t="shared" si="2769"/>
        <v>211.22435961735317</v>
      </c>
      <c r="ED627" s="85">
        <f t="shared" si="2769"/>
        <v>862.32791955276798</v>
      </c>
      <c r="EE627" s="85">
        <f t="shared" si="2769"/>
        <v>198.20439068827926</v>
      </c>
      <c r="EF627" s="85">
        <f t="shared" si="2769"/>
        <v>188.35263572887419</v>
      </c>
      <c r="EG627" s="85">
        <f t="shared" si="2769"/>
        <v>180.09233564237019</v>
      </c>
      <c r="EH627" s="85">
        <f t="shared" si="2769"/>
        <v>173.50310278167112</v>
      </c>
      <c r="EI627" s="85">
        <f t="shared" si="2769"/>
        <v>740.15246484119484</v>
      </c>
      <c r="EJ627" s="85">
        <f>SUM(EJ625:EJ626)</f>
        <v>168.13285255401664</v>
      </c>
      <c r="EK627" s="85">
        <f>SUM(EK625:EK626)</f>
        <v>167.34154558537978</v>
      </c>
      <c r="EL627" s="85">
        <f>SUM(EL625:EL626)</f>
        <v>163.85235486313607</v>
      </c>
      <c r="EM627" s="85">
        <f>SUM(EM625:EM626)</f>
        <v>162.04370009380858</v>
      </c>
      <c r="EN627" s="85">
        <f>SUM(EN625:EN626)</f>
        <v>661.37045309634107</v>
      </c>
      <c r="EO627" s="85"/>
      <c r="EP627" s="85"/>
      <c r="EQ627" s="85"/>
      <c r="ER627" s="85"/>
      <c r="ES627" s="85">
        <f t="shared" si="2769"/>
        <v>598.76434069099173</v>
      </c>
      <c r="ET627" s="85"/>
      <c r="EU627" s="85"/>
      <c r="EV627" s="85"/>
      <c r="EW627" s="85"/>
      <c r="EX627" s="85">
        <f t="shared" si="2769"/>
        <v>543.38884640175218</v>
      </c>
      <c r="EY627" s="85"/>
      <c r="EZ627" s="85"/>
      <c r="FA627" s="85"/>
      <c r="FB627" s="85"/>
      <c r="FC627" s="85">
        <f t="shared" si="2769"/>
        <v>459.78852820629396</v>
      </c>
      <c r="FD627" s="85">
        <f t="shared" si="2769"/>
        <v>392.49829007244534</v>
      </c>
      <c r="FE627" s="85">
        <f t="shared" si="2769"/>
        <v>343.14981373119122</v>
      </c>
      <c r="FF627" s="85">
        <f t="shared" si="2769"/>
        <v>310.68199507376414</v>
      </c>
      <c r="FG627" s="85">
        <f t="shared" si="2769"/>
        <v>289.64863289062407</v>
      </c>
      <c r="FH627" s="85">
        <f t="shared" si="2769"/>
        <v>276.33304945071103</v>
      </c>
      <c r="FI627" s="85">
        <f t="shared" si="2769"/>
        <v>268.20098895009647</v>
      </c>
      <c r="FJ627" s="717"/>
    </row>
    <row r="628" spans="1:167" hidden="1" outlineLevel="1" x14ac:dyDescent="0.3">
      <c r="A628" s="56"/>
      <c r="DU628" s="365"/>
      <c r="DV628" s="365"/>
      <c r="DW628" s="365"/>
      <c r="DX628" s="365"/>
      <c r="DY628" s="85"/>
      <c r="DZ628" s="76"/>
      <c r="EA628" s="76"/>
      <c r="EB628" s="76"/>
      <c r="EC628" s="76"/>
      <c r="ED628" s="85"/>
      <c r="EE628" s="657">
        <f>EE627/DZ627-1</f>
        <v>-0.12166637406853531</v>
      </c>
      <c r="EF628" s="657">
        <f t="shared" ref="EF628:EN628" si="2770">EF627/EA627-1</f>
        <v>-0.13021547627132501</v>
      </c>
      <c r="EG628" s="657">
        <f t="shared" si="2770"/>
        <v>-0.13787309966920724</v>
      </c>
      <c r="EH628" s="657">
        <f t="shared" si="2770"/>
        <v>-0.17858383807633071</v>
      </c>
      <c r="EI628" s="1207">
        <f t="shared" si="2770"/>
        <v>-0.14168096838953959</v>
      </c>
      <c r="EJ628" s="657">
        <f t="shared" si="2770"/>
        <v>-0.1517198384447338</v>
      </c>
      <c r="EK628" s="657">
        <f t="shared" si="2770"/>
        <v>-0.11155187747804607</v>
      </c>
      <c r="EL628" s="657">
        <f t="shared" si="2770"/>
        <v>-9.0175857408411275E-2</v>
      </c>
      <c r="EM628" s="657">
        <f t="shared" si="2770"/>
        <v>-6.6047249323734292E-2</v>
      </c>
      <c r="EN628" s="1207">
        <f t="shared" si="2770"/>
        <v>-0.10644024776943362</v>
      </c>
      <c r="EO628" s="1207"/>
      <c r="EP628" s="1207"/>
      <c r="EQ628" s="1207"/>
      <c r="ER628" s="1207"/>
      <c r="ES628" s="657">
        <f>ES627/EN627-1</f>
        <v>-9.4661187406008263E-2</v>
      </c>
      <c r="ET628" s="657"/>
      <c r="EU628" s="657"/>
      <c r="EV628" s="657"/>
      <c r="EW628" s="657"/>
      <c r="EX628" s="657">
        <f>EX627/ES627-1</f>
        <v>-9.2482952851424938E-2</v>
      </c>
      <c r="EY628" s="657"/>
      <c r="EZ628" s="657"/>
      <c r="FA628" s="657"/>
      <c r="FB628" s="657"/>
      <c r="FC628" s="657">
        <f>FC627/EX627-1</f>
        <v>-0.15384989726794773</v>
      </c>
      <c r="FD628" s="657">
        <f t="shared" ref="FD628:FI628" si="2771">FD627/FC627-1</f>
        <v>-0.14635040677582412</v>
      </c>
      <c r="FE628" s="657">
        <f t="shared" si="2771"/>
        <v>-0.12572914988278205</v>
      </c>
      <c r="FF628" s="657">
        <f t="shared" si="2771"/>
        <v>-9.4617037102228907E-2</v>
      </c>
      <c r="FG628" s="657">
        <f t="shared" si="2771"/>
        <v>-6.7700615151985888E-2</v>
      </c>
      <c r="FH628" s="657">
        <f t="shared" si="2771"/>
        <v>-4.5971504533015461E-2</v>
      </c>
      <c r="FI628" s="657">
        <f t="shared" si="2771"/>
        <v>-2.9428475952403388E-2</v>
      </c>
      <c r="FJ628" s="189"/>
    </row>
    <row r="629" spans="1:167" hidden="1" outlineLevel="1" x14ac:dyDescent="0.3">
      <c r="A629" s="109" t="s">
        <v>33</v>
      </c>
      <c r="DU629" s="365" t="e">
        <f>+#REF!</f>
        <v>#REF!</v>
      </c>
      <c r="DV629" s="365" t="e">
        <f>+#REF!</f>
        <v>#REF!</v>
      </c>
      <c r="DW629" s="365" t="e">
        <f>+#REF!</f>
        <v>#REF!</v>
      </c>
      <c r="DX629" s="365" t="e">
        <f>+#REF!</f>
        <v>#REF!</v>
      </c>
      <c r="DY629" s="85" t="e">
        <f>+SUM(DU629:DX629)</f>
        <v>#REF!</v>
      </c>
      <c r="DZ629" s="365" t="e">
        <f>+#REF!</f>
        <v>#REF!</v>
      </c>
      <c r="EA629" s="365" t="e">
        <f>+#REF!</f>
        <v>#REF!</v>
      </c>
      <c r="EB629" s="365" t="e">
        <f>+#REF!</f>
        <v>#REF!</v>
      </c>
      <c r="EC629" s="365" t="e">
        <f>+#REF!</f>
        <v>#REF!</v>
      </c>
      <c r="ED629" s="85" t="e">
        <f t="shared" ref="ED629:ED636" si="2772">+SUM(DZ629:EC629)</f>
        <v>#REF!</v>
      </c>
      <c r="EE629" s="365" t="e">
        <f>+#REF!</f>
        <v>#REF!</v>
      </c>
      <c r="EF629" s="365" t="e">
        <f>+#REF!</f>
        <v>#REF!</v>
      </c>
      <c r="EG629" s="76">
        <f>+EG331*EG601*3/1000</f>
        <v>138.31398000000004</v>
      </c>
      <c r="EH629" s="76">
        <f>+EH331*EH601*3/1000</f>
        <v>132.15633000000003</v>
      </c>
      <c r="EI629" s="85" t="e">
        <f>+SUM(EE629:EH629)</f>
        <v>#REF!</v>
      </c>
      <c r="EJ629" s="76">
        <f>+EJ331*EJ601*3/1000</f>
        <v>127.35054000000001</v>
      </c>
      <c r="EK629" s="76">
        <f>+EK331*EK601*3/1000</f>
        <v>124.74431999999997</v>
      </c>
      <c r="EL629" s="76">
        <f>+EL331*EL601*3/1000</f>
        <v>117.460725</v>
      </c>
      <c r="EM629" s="76">
        <f>+EM331*EM601*3/1000</f>
        <v>111.01582500000001</v>
      </c>
      <c r="EN629" s="85">
        <f t="shared" ref="EN629:EN636" si="2773">+SUM(EJ629:EM629)</f>
        <v>480.57140999999996</v>
      </c>
      <c r="EO629" s="85"/>
      <c r="EP629" s="85"/>
      <c r="EQ629" s="85"/>
      <c r="ER629" s="85"/>
      <c r="ES629" s="76">
        <f>+ES331*ES601*12/1000</f>
        <v>0</v>
      </c>
      <c r="ET629" s="76"/>
      <c r="EU629" s="76"/>
      <c r="EV629" s="76"/>
      <c r="EW629" s="76"/>
      <c r="EX629" s="76">
        <f t="shared" ref="EX629:FI629" si="2774">+EX331*EX601*12/1000</f>
        <v>0</v>
      </c>
      <c r="EY629" s="76"/>
      <c r="EZ629" s="76"/>
      <c r="FA629" s="76"/>
      <c r="FB629" s="76"/>
      <c r="FC629" s="76">
        <f t="shared" si="2774"/>
        <v>0</v>
      </c>
      <c r="FD629" s="76">
        <f t="shared" si="2774"/>
        <v>0</v>
      </c>
      <c r="FE629" s="76">
        <f t="shared" si="2774"/>
        <v>0</v>
      </c>
      <c r="FF629" s="76">
        <f t="shared" si="2774"/>
        <v>0</v>
      </c>
      <c r="FG629" s="76">
        <f t="shared" si="2774"/>
        <v>0</v>
      </c>
      <c r="FH629" s="76">
        <f t="shared" si="2774"/>
        <v>0</v>
      </c>
      <c r="FI629" s="76">
        <f t="shared" si="2774"/>
        <v>0</v>
      </c>
      <c r="FJ629" s="189" t="e">
        <f t="shared" ref="FJ629:FJ636" si="2775">+(FF629/ES629)^0.2-1</f>
        <v>#DIV/0!</v>
      </c>
    </row>
    <row r="630" spans="1:167" hidden="1" outlineLevel="1" x14ac:dyDescent="0.3">
      <c r="A630" s="109" t="s">
        <v>32</v>
      </c>
      <c r="DU630" s="76">
        <f>+DU333*DU602*3/1000</f>
        <v>231.39473684210529</v>
      </c>
      <c r="DV630" s="76">
        <f>+DV333*DV602*3/1000</f>
        <v>227.27368421052631</v>
      </c>
      <c r="DW630" s="76">
        <f>+DW333*DW602*3/1000</f>
        <v>221.87368421052631</v>
      </c>
      <c r="DX630" s="76">
        <f>+DX333*DX602*3/1000</f>
        <v>217.38947368421057</v>
      </c>
      <c r="DY630" s="85">
        <f t="shared" ref="DY630:DY635" si="2776">+SUM(DU630:DX630)</f>
        <v>897.93157894736851</v>
      </c>
      <c r="DZ630" s="76">
        <f>+DZ333*DZ602*3/1000</f>
        <v>203.61</v>
      </c>
      <c r="EA630" s="76">
        <f>+EA333*EA602*3/1000</f>
        <v>201.48</v>
      </c>
      <c r="EB630" s="76">
        <f>+EB333*EB602*3/1000</f>
        <v>199.44</v>
      </c>
      <c r="EC630" s="76">
        <f>+EC333*EC602*3/1000</f>
        <v>197.1</v>
      </c>
      <c r="ED630" s="85">
        <f t="shared" si="2772"/>
        <v>801.63</v>
      </c>
      <c r="EE630" s="76">
        <f>+EE333*EE602*3/1000</f>
        <v>198.20439068827923</v>
      </c>
      <c r="EF630" s="76">
        <f>+EF333*EF602*3/1000</f>
        <v>188.35263572887419</v>
      </c>
      <c r="EG630" s="76">
        <f>+EG333*EG602*3/1000</f>
        <v>180.09233564237019</v>
      </c>
      <c r="EH630" s="76">
        <f>+EH333*EH602*3/1000</f>
        <v>173.50310278167109</v>
      </c>
      <c r="EI630" s="85">
        <f t="shared" si="2760"/>
        <v>740.15246484119461</v>
      </c>
      <c r="EJ630" s="76">
        <f>+EJ333*EJ602*3/1000</f>
        <v>168.13285255401664</v>
      </c>
      <c r="EK630" s="76">
        <f>+EK333*EK602*3/1000</f>
        <v>167.34154558537978</v>
      </c>
      <c r="EL630" s="76">
        <f>+EL333*EL602*3/1000</f>
        <v>163.85235486313604</v>
      </c>
      <c r="EM630" s="76">
        <f>+EM333*EM602*3/1000</f>
        <v>162.04370009380858</v>
      </c>
      <c r="EN630" s="85">
        <f t="shared" si="2773"/>
        <v>661.37045309634095</v>
      </c>
      <c r="EO630" s="85"/>
      <c r="EP630" s="85"/>
      <c r="EQ630" s="85"/>
      <c r="ER630" s="85"/>
      <c r="ES630" s="76">
        <f>+ES333*ES602*12/1000</f>
        <v>0</v>
      </c>
      <c r="ET630" s="76"/>
      <c r="EU630" s="76"/>
      <c r="EV630" s="76"/>
      <c r="EW630" s="76"/>
      <c r="EX630" s="76">
        <f t="shared" ref="EX630:FI630" si="2777">+EX333*EX602*12/1000</f>
        <v>0</v>
      </c>
      <c r="EY630" s="76"/>
      <c r="EZ630" s="76"/>
      <c r="FA630" s="76"/>
      <c r="FB630" s="76"/>
      <c r="FC630" s="76">
        <f t="shared" si="2777"/>
        <v>0</v>
      </c>
      <c r="FD630" s="76">
        <f t="shared" si="2777"/>
        <v>0</v>
      </c>
      <c r="FE630" s="76">
        <f t="shared" si="2777"/>
        <v>0</v>
      </c>
      <c r="FF630" s="76">
        <f t="shared" si="2777"/>
        <v>0</v>
      </c>
      <c r="FG630" s="76">
        <f t="shared" si="2777"/>
        <v>0</v>
      </c>
      <c r="FH630" s="76">
        <f t="shared" si="2777"/>
        <v>0</v>
      </c>
      <c r="FI630" s="76">
        <f t="shared" si="2777"/>
        <v>0</v>
      </c>
      <c r="FJ630" s="189" t="e">
        <f t="shared" si="2775"/>
        <v>#DIV/0!</v>
      </c>
    </row>
    <row r="631" spans="1:167" hidden="1" outlineLevel="1" x14ac:dyDescent="0.3">
      <c r="A631" s="109" t="s">
        <v>34</v>
      </c>
      <c r="DU631" s="365" t="e">
        <f>+DU632-SUM(DU619:DU630)</f>
        <v>#REF!</v>
      </c>
      <c r="DV631" s="365" t="e">
        <f>+DV632-SUM(DV619:DV630)</f>
        <v>#REF!</v>
      </c>
      <c r="DW631" s="365" t="e">
        <f>+DW632-SUM(DW619:DW630)</f>
        <v>#REF!</v>
      </c>
      <c r="DX631" s="365" t="e">
        <f>+DX632-SUM(DX619:DX630)</f>
        <v>#REF!</v>
      </c>
      <c r="DY631" s="85" t="e">
        <f t="shared" si="2776"/>
        <v>#REF!</v>
      </c>
      <c r="DZ631" s="365" t="e">
        <f>DZ632-DZ619-DZ623-DZ627</f>
        <v>#REF!</v>
      </c>
      <c r="EA631" s="365" t="e">
        <f>EA632-EA619-EA623-EA627</f>
        <v>#REF!</v>
      </c>
      <c r="EB631" s="365" t="e">
        <f>EB632-EB619-EB623-EB627</f>
        <v>#REF!</v>
      </c>
      <c r="EC631" s="365" t="e">
        <f>EC632-EC619-EC623-EC627</f>
        <v>#REF!</v>
      </c>
      <c r="ED631" s="85" t="e">
        <f t="shared" si="2772"/>
        <v>#REF!</v>
      </c>
      <c r="EE631" s="365" t="e">
        <f>EE632-EE619-EE623-EE627</f>
        <v>#REF!</v>
      </c>
      <c r="EF631" s="365" t="e">
        <f>EF632-EF619-EF623-EF627</f>
        <v>#REF!</v>
      </c>
      <c r="EG631" s="365" t="e">
        <f>EG632-EG619-EG623-EG627</f>
        <v>#REF!</v>
      </c>
      <c r="EH631" s="76" t="e">
        <f>#REF!+#REF!</f>
        <v>#REF!</v>
      </c>
      <c r="EI631" s="85" t="e">
        <f t="shared" si="2760"/>
        <v>#REF!</v>
      </c>
      <c r="EJ631" s="76" t="e">
        <f>#REF!+#REF!</f>
        <v>#REF!</v>
      </c>
      <c r="EK631" s="76" t="e">
        <f>#REF!+#REF!</f>
        <v>#REF!</v>
      </c>
      <c r="EL631" s="76" t="e">
        <f>#REF!+#REF!</f>
        <v>#REF!</v>
      </c>
      <c r="EM631" s="76" t="e">
        <f>#REF!+#REF!</f>
        <v>#REF!</v>
      </c>
      <c r="EN631" s="85" t="e">
        <f t="shared" si="2773"/>
        <v>#REF!</v>
      </c>
      <c r="EO631" s="85"/>
      <c r="EP631" s="85"/>
      <c r="EQ631" s="85"/>
      <c r="ER631" s="85"/>
      <c r="ES631" s="76" t="e">
        <f>#REF!+#REF!</f>
        <v>#REF!</v>
      </c>
      <c r="ET631" s="76"/>
      <c r="EU631" s="76"/>
      <c r="EV631" s="76"/>
      <c r="EW631" s="76"/>
      <c r="EX631" s="76" t="e">
        <f>#REF!+#REF!</f>
        <v>#REF!</v>
      </c>
      <c r="EY631" s="76"/>
      <c r="EZ631" s="76"/>
      <c r="FA631" s="76"/>
      <c r="FB631" s="76"/>
      <c r="FC631" s="76" t="e">
        <f>#REF!+#REF!</f>
        <v>#REF!</v>
      </c>
      <c r="FD631" s="76" t="e">
        <f>#REF!+#REF!</f>
        <v>#REF!</v>
      </c>
      <c r="FE631" s="76" t="e">
        <f>#REF!+#REF!</f>
        <v>#REF!</v>
      </c>
      <c r="FF631" s="76" t="e">
        <f>#REF!+#REF!</f>
        <v>#REF!</v>
      </c>
      <c r="FG631" s="76" t="e">
        <f>#REF!+#REF!</f>
        <v>#REF!</v>
      </c>
      <c r="FH631" s="76" t="e">
        <f>#REF!+#REF!</f>
        <v>#REF!</v>
      </c>
      <c r="FI631" s="76" t="e">
        <f>#REF!+#REF!</f>
        <v>#REF!</v>
      </c>
      <c r="FJ631" s="189" t="e">
        <f t="shared" si="2775"/>
        <v>#REF!</v>
      </c>
    </row>
    <row r="632" spans="1:167" hidden="1" outlineLevel="1" x14ac:dyDescent="0.3">
      <c r="A632" s="110" t="s">
        <v>38</v>
      </c>
      <c r="DU632" s="803" t="e">
        <f>+#REF!</f>
        <v>#REF!</v>
      </c>
      <c r="DV632" s="803" t="e">
        <f>+#REF!</f>
        <v>#REF!</v>
      </c>
      <c r="DW632" s="803" t="e">
        <f>+#REF!</f>
        <v>#REF!</v>
      </c>
      <c r="DX632" s="803" t="e">
        <f>+#REF!</f>
        <v>#REF!</v>
      </c>
      <c r="DY632" s="803" t="e">
        <f>+SUM(DU632:DX632)</f>
        <v>#REF!</v>
      </c>
      <c r="DZ632" s="803" t="e">
        <f>+#REF!</f>
        <v>#REF!</v>
      </c>
      <c r="EA632" s="803" t="e">
        <f>+#REF!</f>
        <v>#REF!</v>
      </c>
      <c r="EB632" s="803" t="e">
        <f>+#REF!</f>
        <v>#REF!</v>
      </c>
      <c r="EC632" s="803" t="e">
        <f>+#REF!</f>
        <v>#REF!</v>
      </c>
      <c r="ED632" s="803" t="e">
        <f t="shared" si="2772"/>
        <v>#REF!</v>
      </c>
      <c r="EE632" s="803" t="e">
        <f>+#REF!</f>
        <v>#REF!</v>
      </c>
      <c r="EF632" s="803" t="e">
        <f>+#REF!</f>
        <v>#REF!</v>
      </c>
      <c r="EG632" s="803" t="e">
        <f>+#REF!</f>
        <v>#REF!</v>
      </c>
      <c r="EH632" s="803" t="e">
        <f>EH619+EH623+EH627+EH631</f>
        <v>#REF!</v>
      </c>
      <c r="EI632" s="803" t="e">
        <f t="shared" si="2760"/>
        <v>#REF!</v>
      </c>
      <c r="EJ632" s="803" t="e">
        <f>EJ619+EJ623+EJ627+EJ631</f>
        <v>#REF!</v>
      </c>
      <c r="EK632" s="803" t="e">
        <f>EK619+EK623+EK627+EK631</f>
        <v>#REF!</v>
      </c>
      <c r="EL632" s="803" t="e">
        <f>EL619+EL623+EL627+EL631</f>
        <v>#REF!</v>
      </c>
      <c r="EM632" s="803" t="e">
        <f>EM619+EM623+EM627+EM631</f>
        <v>#REF!</v>
      </c>
      <c r="EN632" s="803" t="e">
        <f t="shared" si="2773"/>
        <v>#REF!</v>
      </c>
      <c r="EO632" s="803"/>
      <c r="EP632" s="803"/>
      <c r="EQ632" s="803"/>
      <c r="ER632" s="803"/>
      <c r="ES632" s="803" t="e">
        <f t="shared" ref="ES632:FI632" si="2778">ES619+ES623+ES627+ES631</f>
        <v>#REF!</v>
      </c>
      <c r="ET632" s="803"/>
      <c r="EU632" s="803"/>
      <c r="EV632" s="803"/>
      <c r="EW632" s="803"/>
      <c r="EX632" s="803" t="e">
        <f t="shared" si="2778"/>
        <v>#REF!</v>
      </c>
      <c r="EY632" s="803"/>
      <c r="EZ632" s="803"/>
      <c r="FA632" s="803"/>
      <c r="FB632" s="803"/>
      <c r="FC632" s="803" t="e">
        <f t="shared" si="2778"/>
        <v>#REF!</v>
      </c>
      <c r="FD632" s="803" t="e">
        <f t="shared" si="2778"/>
        <v>#REF!</v>
      </c>
      <c r="FE632" s="803" t="e">
        <f t="shared" si="2778"/>
        <v>#REF!</v>
      </c>
      <c r="FF632" s="803" t="e">
        <f t="shared" si="2778"/>
        <v>#REF!</v>
      </c>
      <c r="FG632" s="803" t="e">
        <f t="shared" si="2778"/>
        <v>#REF!</v>
      </c>
      <c r="FH632" s="803" t="e">
        <f t="shared" si="2778"/>
        <v>#REF!</v>
      </c>
      <c r="FI632" s="803" t="e">
        <f t="shared" si="2778"/>
        <v>#REF!</v>
      </c>
      <c r="FJ632" s="189" t="e">
        <f t="shared" si="2775"/>
        <v>#REF!</v>
      </c>
    </row>
    <row r="633" spans="1:167" hidden="1" outlineLevel="1" x14ac:dyDescent="0.3">
      <c r="A633" s="109" t="s">
        <v>39</v>
      </c>
      <c r="DU633" s="365" t="e">
        <f>+#REF!</f>
        <v>#REF!</v>
      </c>
      <c r="DV633" s="365" t="e">
        <f>+#REF!</f>
        <v>#REF!</v>
      </c>
      <c r="DW633" s="365" t="e">
        <f>+#REF!</f>
        <v>#REF!</v>
      </c>
      <c r="DX633" s="365" t="e">
        <f>+#REF!</f>
        <v>#REF!</v>
      </c>
      <c r="DY633" s="85" t="e">
        <f>+SUM(DU633:DX633)</f>
        <v>#REF!</v>
      </c>
      <c r="DZ633" s="365" t="e">
        <f>+#REF!</f>
        <v>#REF!</v>
      </c>
      <c r="EA633" s="365" t="e">
        <f>+#REF!</f>
        <v>#REF!</v>
      </c>
      <c r="EB633" s="365" t="e">
        <f>+#REF!</f>
        <v>#REF!</v>
      </c>
      <c r="EC633" s="365" t="e">
        <f>+#REF!</f>
        <v>#REF!</v>
      </c>
      <c r="ED633" s="100" t="e">
        <f t="shared" si="2772"/>
        <v>#REF!</v>
      </c>
      <c r="EE633" s="365" t="e">
        <f>+#REF!</f>
        <v>#REF!</v>
      </c>
      <c r="EF633" s="365" t="e">
        <f>+#REF!</f>
        <v>#REF!</v>
      </c>
      <c r="EG633" s="365" t="e">
        <f>+#REF!</f>
        <v>#REF!</v>
      </c>
      <c r="EH633" s="76">
        <f>EH205+EH343</f>
        <v>677</v>
      </c>
      <c r="EI633" s="100" t="e">
        <f t="shared" si="2760"/>
        <v>#REF!</v>
      </c>
      <c r="EJ633" s="76">
        <f>EJ205+EJ343</f>
        <v>666</v>
      </c>
      <c r="EK633" s="76">
        <f>EK205+EK343</f>
        <v>651</v>
      </c>
      <c r="EL633" s="76">
        <f>EL205+EL343</f>
        <v>641</v>
      </c>
      <c r="EM633" s="76">
        <f>EM205+EM343</f>
        <v>659</v>
      </c>
      <c r="EN633" s="100">
        <f t="shared" si="2773"/>
        <v>2617</v>
      </c>
      <c r="EO633" s="85"/>
      <c r="EP633" s="85"/>
      <c r="EQ633" s="85"/>
      <c r="ER633" s="85"/>
      <c r="ES633" s="76">
        <f>ES205+ES343</f>
        <v>2579</v>
      </c>
      <c r="ET633" s="76"/>
      <c r="EU633" s="76"/>
      <c r="EV633" s="76"/>
      <c r="EW633" s="76"/>
      <c r="EX633" s="76">
        <f t="shared" ref="EX633:FI633" si="2779">EX205+EX343</f>
        <v>2710</v>
      </c>
      <c r="EY633" s="76"/>
      <c r="EZ633" s="76"/>
      <c r="FA633" s="76"/>
      <c r="FB633" s="76"/>
      <c r="FC633" s="76">
        <f t="shared" si="2779"/>
        <v>2702.2882000013897</v>
      </c>
      <c r="FD633" s="76">
        <f t="shared" si="2779"/>
        <v>2697.6352130674022</v>
      </c>
      <c r="FE633" s="76">
        <f t="shared" si="2779"/>
        <v>2692.5401311688884</v>
      </c>
      <c r="FF633" s="76">
        <f t="shared" si="2779"/>
        <v>2687.9200451232196</v>
      </c>
      <c r="FG633" s="76">
        <f t="shared" si="2779"/>
        <v>2684.1546656111086</v>
      </c>
      <c r="FH633" s="76">
        <f t="shared" si="2779"/>
        <v>2682.1479728793042</v>
      </c>
      <c r="FI633" s="76">
        <f t="shared" si="2779"/>
        <v>2682.7331191159756</v>
      </c>
      <c r="FJ633" s="189">
        <f t="shared" si="2775"/>
        <v>8.3075074498792922E-3</v>
      </c>
    </row>
    <row r="634" spans="1:167" hidden="1" outlineLevel="1" x14ac:dyDescent="0.3">
      <c r="A634" s="110" t="s">
        <v>35</v>
      </c>
      <c r="DU634" s="803" t="e">
        <f>+DU632+DU633</f>
        <v>#REF!</v>
      </c>
      <c r="DV634" s="803" t="e">
        <f t="shared" ref="DV634:EA634" si="2780">+DV632+DV633</f>
        <v>#REF!</v>
      </c>
      <c r="DW634" s="803" t="e">
        <f t="shared" si="2780"/>
        <v>#REF!</v>
      </c>
      <c r="DX634" s="803" t="e">
        <f t="shared" si="2780"/>
        <v>#REF!</v>
      </c>
      <c r="DY634" s="803" t="e">
        <f>+SUM(DU634:DX634)</f>
        <v>#REF!</v>
      </c>
      <c r="DZ634" s="803" t="e">
        <f t="shared" si="2780"/>
        <v>#REF!</v>
      </c>
      <c r="EA634" s="803" t="e">
        <f t="shared" si="2780"/>
        <v>#REF!</v>
      </c>
      <c r="EB634" s="803" t="e">
        <f>+EB632+EB633</f>
        <v>#REF!</v>
      </c>
      <c r="EC634" s="803" t="e">
        <f>+EC632+EC633</f>
        <v>#REF!</v>
      </c>
      <c r="ED634" s="85" t="e">
        <f t="shared" si="2772"/>
        <v>#REF!</v>
      </c>
      <c r="EE634" s="803" t="e">
        <f>+EE632+EE633</f>
        <v>#REF!</v>
      </c>
      <c r="EF634" s="803" t="e">
        <f>+EF632+EF633</f>
        <v>#REF!</v>
      </c>
      <c r="EG634" s="803" t="e">
        <f>+EG632+EG633</f>
        <v>#REF!</v>
      </c>
      <c r="EH634" s="803" t="e">
        <f>+EH632+EH633</f>
        <v>#REF!</v>
      </c>
      <c r="EI634" s="85" t="e">
        <f t="shared" si="2760"/>
        <v>#REF!</v>
      </c>
      <c r="EJ634" s="803" t="e">
        <f>+EJ632+EJ633</f>
        <v>#REF!</v>
      </c>
      <c r="EK634" s="803" t="e">
        <f>+EK632+EK633</f>
        <v>#REF!</v>
      </c>
      <c r="EL634" s="803" t="e">
        <f>+EL632+EL633</f>
        <v>#REF!</v>
      </c>
      <c r="EM634" s="803" t="e">
        <f>+EM632+EM633</f>
        <v>#REF!</v>
      </c>
      <c r="EN634" s="85" t="e">
        <f t="shared" si="2773"/>
        <v>#REF!</v>
      </c>
      <c r="EO634" s="85"/>
      <c r="EP634" s="85"/>
      <c r="EQ634" s="85"/>
      <c r="ER634" s="85"/>
      <c r="ES634" s="803" t="e">
        <f t="shared" ref="ES634:FI634" si="2781">+ES632+ES633</f>
        <v>#REF!</v>
      </c>
      <c r="ET634" s="803"/>
      <c r="EU634" s="803"/>
      <c r="EV634" s="803"/>
      <c r="EW634" s="803"/>
      <c r="EX634" s="803" t="e">
        <f t="shared" si="2781"/>
        <v>#REF!</v>
      </c>
      <c r="EY634" s="803"/>
      <c r="EZ634" s="803"/>
      <c r="FA634" s="803"/>
      <c r="FB634" s="803"/>
      <c r="FC634" s="803" t="e">
        <f t="shared" si="2781"/>
        <v>#REF!</v>
      </c>
      <c r="FD634" s="803" t="e">
        <f t="shared" si="2781"/>
        <v>#REF!</v>
      </c>
      <c r="FE634" s="803" t="e">
        <f t="shared" si="2781"/>
        <v>#REF!</v>
      </c>
      <c r="FF634" s="803" t="e">
        <f t="shared" si="2781"/>
        <v>#REF!</v>
      </c>
      <c r="FG634" s="803" t="e">
        <f t="shared" si="2781"/>
        <v>#REF!</v>
      </c>
      <c r="FH634" s="803" t="e">
        <f t="shared" si="2781"/>
        <v>#REF!</v>
      </c>
      <c r="FI634" s="803" t="e">
        <f t="shared" si="2781"/>
        <v>#REF!</v>
      </c>
      <c r="FJ634" s="189" t="e">
        <f t="shared" si="2775"/>
        <v>#REF!</v>
      </c>
    </row>
    <row r="635" spans="1:167" ht="12" hidden="1" customHeight="1" outlineLevel="1" x14ac:dyDescent="0.3">
      <c r="A635" s="1" t="s">
        <v>465</v>
      </c>
      <c r="DU635" s="79">
        <f>+Inputs!DU515</f>
        <v>86</v>
      </c>
      <c r="DV635" s="79">
        <f>+Inputs!DV515</f>
        <v>89</v>
      </c>
      <c r="DW635" s="79">
        <f>+Inputs!DW515</f>
        <v>85</v>
      </c>
      <c r="DX635" s="79">
        <f>+Inputs!DX515</f>
        <v>85</v>
      </c>
      <c r="DY635" s="100">
        <f t="shared" si="2776"/>
        <v>345</v>
      </c>
      <c r="DZ635" s="79">
        <f>+Inputs!DZ515</f>
        <v>84</v>
      </c>
      <c r="EA635" s="79">
        <f>Inputs!EA199</f>
        <v>94</v>
      </c>
      <c r="EB635" s="79">
        <f>+Inputs!EB515</f>
        <v>99</v>
      </c>
      <c r="EC635" s="79">
        <f>+Inputs!EC515</f>
        <v>89</v>
      </c>
      <c r="ED635" s="85">
        <f t="shared" si="2772"/>
        <v>366</v>
      </c>
      <c r="EE635" s="79">
        <f>+Inputs!EE515</f>
        <v>83</v>
      </c>
      <c r="EF635" s="79">
        <f>Inputs!EF199</f>
        <v>83</v>
      </c>
      <c r="EG635" s="79">
        <f>Inputs!EG199</f>
        <v>83</v>
      </c>
      <c r="EH635" s="95">
        <f>EG635</f>
        <v>83</v>
      </c>
      <c r="EI635" s="85">
        <f t="shared" si="2760"/>
        <v>332</v>
      </c>
      <c r="EJ635" s="95">
        <f>37/4</f>
        <v>9.25</v>
      </c>
      <c r="EK635" s="95">
        <f>EJ635</f>
        <v>9.25</v>
      </c>
      <c r="EL635" s="95">
        <f>EK635</f>
        <v>9.25</v>
      </c>
      <c r="EM635" s="95">
        <f>EL635</f>
        <v>9.25</v>
      </c>
      <c r="EN635" s="132">
        <f t="shared" si="2773"/>
        <v>37</v>
      </c>
      <c r="EO635" s="132"/>
      <c r="EP635" s="132"/>
      <c r="EQ635" s="132"/>
      <c r="ER635" s="132"/>
      <c r="ES635" s="95">
        <f>EN635</f>
        <v>37</v>
      </c>
      <c r="ET635" s="95"/>
      <c r="EU635" s="95"/>
      <c r="EV635" s="95"/>
      <c r="EW635" s="95"/>
      <c r="EX635" s="95">
        <f>ES635</f>
        <v>37</v>
      </c>
      <c r="EY635" s="95"/>
      <c r="EZ635" s="95"/>
      <c r="FA635" s="95"/>
      <c r="FB635" s="95"/>
      <c r="FC635" s="95">
        <f>EX635</f>
        <v>37</v>
      </c>
      <c r="FD635" s="95">
        <f t="shared" ref="FD635:FI635" si="2782">FC635</f>
        <v>37</v>
      </c>
      <c r="FE635" s="95">
        <f t="shared" si="2782"/>
        <v>37</v>
      </c>
      <c r="FF635" s="95">
        <f t="shared" si="2782"/>
        <v>37</v>
      </c>
      <c r="FG635" s="95">
        <f t="shared" si="2782"/>
        <v>37</v>
      </c>
      <c r="FH635" s="95">
        <f t="shared" si="2782"/>
        <v>37</v>
      </c>
      <c r="FI635" s="95">
        <f t="shared" si="2782"/>
        <v>37</v>
      </c>
      <c r="FJ635" s="189">
        <f t="shared" si="2775"/>
        <v>0</v>
      </c>
      <c r="FK635" s="98"/>
    </row>
    <row r="636" spans="1:167" hidden="1" outlineLevel="1" x14ac:dyDescent="0.3">
      <c r="A636" s="4" t="s">
        <v>19</v>
      </c>
      <c r="DU636" s="803" t="e">
        <f>+DU634+DU635</f>
        <v>#REF!</v>
      </c>
      <c r="DV636" s="803" t="e">
        <f>+DV634+DV635</f>
        <v>#REF!</v>
      </c>
      <c r="DW636" s="803" t="e">
        <f>+DW634+DW635</f>
        <v>#REF!</v>
      </c>
      <c r="DX636" s="803" t="e">
        <f>+DX634+DX635</f>
        <v>#REF!</v>
      </c>
      <c r="DY636" s="85" t="e">
        <f>+SUM(DU636:DX636)</f>
        <v>#REF!</v>
      </c>
      <c r="DZ636" s="803" t="e">
        <f>+DZ634+DZ635</f>
        <v>#REF!</v>
      </c>
      <c r="EA636" s="803" t="e">
        <f>+EA634+EA635</f>
        <v>#REF!</v>
      </c>
      <c r="EB636" s="803" t="e">
        <f>+EB634+EB635</f>
        <v>#REF!</v>
      </c>
      <c r="EC636" s="803" t="e">
        <f>+EC634+EC635</f>
        <v>#REF!</v>
      </c>
      <c r="ED636" s="803" t="e">
        <f t="shared" si="2772"/>
        <v>#REF!</v>
      </c>
      <c r="EE636" s="803" t="e">
        <f>+EE634+EE635</f>
        <v>#REF!</v>
      </c>
      <c r="EF636" s="803" t="e">
        <f>+EF634+EF635</f>
        <v>#REF!</v>
      </c>
      <c r="EG636" s="803" t="e">
        <f>+EG634+EG635</f>
        <v>#REF!</v>
      </c>
      <c r="EH636" s="803" t="e">
        <f>+EH634+EH635</f>
        <v>#REF!</v>
      </c>
      <c r="EI636" s="803" t="e">
        <f t="shared" si="2760"/>
        <v>#REF!</v>
      </c>
      <c r="EJ636" s="803" t="e">
        <f>+EJ634+EJ635</f>
        <v>#REF!</v>
      </c>
      <c r="EK636" s="803" t="e">
        <f>+EK634+EK635</f>
        <v>#REF!</v>
      </c>
      <c r="EL636" s="803" t="e">
        <f>+EL634+EL635</f>
        <v>#REF!</v>
      </c>
      <c r="EM636" s="803" t="e">
        <f>+EM634+EM635</f>
        <v>#REF!</v>
      </c>
      <c r="EN636" s="803" t="e">
        <f t="shared" si="2773"/>
        <v>#REF!</v>
      </c>
      <c r="EO636" s="803"/>
      <c r="EP636" s="803"/>
      <c r="EQ636" s="803"/>
      <c r="ER636" s="803"/>
      <c r="ES636" s="803" t="e">
        <f t="shared" ref="ES636:FI636" si="2783">+ES634+ES635</f>
        <v>#REF!</v>
      </c>
      <c r="ET636" s="803"/>
      <c r="EU636" s="803"/>
      <c r="EV636" s="803"/>
      <c r="EW636" s="803"/>
      <c r="EX636" s="803" t="e">
        <f t="shared" si="2783"/>
        <v>#REF!</v>
      </c>
      <c r="EY636" s="803"/>
      <c r="EZ636" s="803"/>
      <c r="FA636" s="803"/>
      <c r="FB636" s="803"/>
      <c r="FC636" s="803" t="e">
        <f t="shared" si="2783"/>
        <v>#REF!</v>
      </c>
      <c r="FD636" s="803" t="e">
        <f t="shared" si="2783"/>
        <v>#REF!</v>
      </c>
      <c r="FE636" s="803" t="e">
        <f t="shared" si="2783"/>
        <v>#REF!</v>
      </c>
      <c r="FF636" s="803" t="e">
        <f t="shared" si="2783"/>
        <v>#REF!</v>
      </c>
      <c r="FG636" s="803" t="e">
        <f t="shared" si="2783"/>
        <v>#REF!</v>
      </c>
      <c r="FH636" s="803" t="e">
        <f t="shared" si="2783"/>
        <v>#REF!</v>
      </c>
      <c r="FI636" s="803" t="e">
        <f t="shared" si="2783"/>
        <v>#REF!</v>
      </c>
      <c r="FJ636" s="189" t="e">
        <f t="shared" si="2775"/>
        <v>#REF!</v>
      </c>
    </row>
    <row r="637" spans="1:167" hidden="1" outlineLevel="1" x14ac:dyDescent="0.3">
      <c r="A637" s="73" t="s">
        <v>534</v>
      </c>
      <c r="DU637" s="85"/>
      <c r="DV637" s="85"/>
      <c r="DW637" s="85"/>
      <c r="DX637" s="85"/>
      <c r="DY637" s="85"/>
      <c r="DZ637" s="85"/>
      <c r="EA637" s="85"/>
      <c r="EB637" s="85"/>
      <c r="EC637" s="85"/>
      <c r="ED637" s="85"/>
      <c r="EE637" s="85"/>
      <c r="EF637" s="85"/>
      <c r="EG637" s="85"/>
      <c r="EH637" s="85"/>
      <c r="EI637" s="1206" t="e">
        <f>+Analysis!D4947</f>
        <v>#REF!</v>
      </c>
      <c r="EJ637" s="85"/>
      <c r="EK637" s="85"/>
      <c r="EL637" s="85"/>
      <c r="EM637" s="85"/>
      <c r="EN637" s="1206" t="e">
        <f>+Analysis!I4947</f>
        <v>#REF!</v>
      </c>
      <c r="EO637" s="1206"/>
      <c r="EP637" s="1206"/>
      <c r="EQ637" s="1206"/>
      <c r="ER637" s="1206"/>
      <c r="ES637" s="80" t="e">
        <f>+Analysis!F4947</f>
        <v>#REF!</v>
      </c>
      <c r="ET637" s="80"/>
      <c r="EU637" s="80"/>
      <c r="EV637" s="80"/>
      <c r="EW637" s="80"/>
      <c r="EX637" s="80" t="e">
        <f>+Analysis!G4947</f>
        <v>#REF!</v>
      </c>
      <c r="EY637" s="80"/>
      <c r="EZ637" s="80"/>
      <c r="FA637" s="80"/>
      <c r="FB637" s="80"/>
      <c r="FC637" s="80" t="e">
        <f>+Analysis!H4947</f>
        <v>#REF!</v>
      </c>
      <c r="FD637" s="80" t="e">
        <f>+Analysis!I4947</f>
        <v>#REF!</v>
      </c>
      <c r="FE637" s="80" t="e">
        <f>+Analysis!J4947</f>
        <v>#REF!</v>
      </c>
      <c r="FF637" s="80" t="e">
        <f>+Analysis!K4947</f>
        <v>#REF!</v>
      </c>
      <c r="FG637" s="80" t="e">
        <f>+Analysis!L4947</f>
        <v>#REF!</v>
      </c>
      <c r="FH637" s="80" t="e">
        <f>+Analysis!M4947</f>
        <v>#REF!</v>
      </c>
      <c r="FI637" s="80" t="e">
        <f>+Analysis!N4947</f>
        <v>#REF!</v>
      </c>
      <c r="FJ637" s="189"/>
    </row>
    <row r="638" spans="1:167" hidden="1" outlineLevel="1" x14ac:dyDescent="0.3">
      <c r="A638" s="73" t="s">
        <v>535</v>
      </c>
      <c r="DU638" s="85"/>
      <c r="DV638" s="85"/>
      <c r="DW638" s="85"/>
      <c r="DX638" s="85"/>
      <c r="DY638" s="85"/>
      <c r="DZ638" s="85"/>
      <c r="EA638" s="85"/>
      <c r="EB638" s="85"/>
      <c r="EC638" s="85"/>
      <c r="ED638" s="85"/>
      <c r="EE638" s="85"/>
      <c r="EF638" s="85"/>
      <c r="EG638" s="85"/>
      <c r="EH638" s="85"/>
      <c r="EI638" s="86" t="e">
        <f>+EI636-EI637</f>
        <v>#REF!</v>
      </c>
      <c r="EJ638" s="85"/>
      <c r="EK638" s="85"/>
      <c r="EL638" s="85"/>
      <c r="EM638" s="85"/>
      <c r="EN638" s="86" t="e">
        <f>+EN636-EN637</f>
        <v>#REF!</v>
      </c>
      <c r="EO638" s="86"/>
      <c r="EP638" s="86"/>
      <c r="EQ638" s="86"/>
      <c r="ER638" s="86"/>
      <c r="ES638" s="77" t="e">
        <f t="shared" ref="ES638:FI638" si="2784">+ES636-ES637</f>
        <v>#REF!</v>
      </c>
      <c r="ET638" s="77"/>
      <c r="EU638" s="77"/>
      <c r="EV638" s="77"/>
      <c r="EW638" s="77"/>
      <c r="EX638" s="77" t="e">
        <f t="shared" si="2784"/>
        <v>#REF!</v>
      </c>
      <c r="EY638" s="77"/>
      <c r="EZ638" s="77"/>
      <c r="FA638" s="77"/>
      <c r="FB638" s="77"/>
      <c r="FC638" s="77" t="e">
        <f t="shared" si="2784"/>
        <v>#REF!</v>
      </c>
      <c r="FD638" s="77" t="e">
        <f t="shared" si="2784"/>
        <v>#REF!</v>
      </c>
      <c r="FE638" s="77" t="e">
        <f t="shared" si="2784"/>
        <v>#REF!</v>
      </c>
      <c r="FF638" s="77" t="e">
        <f t="shared" si="2784"/>
        <v>#REF!</v>
      </c>
      <c r="FG638" s="77" t="e">
        <f t="shared" si="2784"/>
        <v>#REF!</v>
      </c>
      <c r="FH638" s="77" t="e">
        <f t="shared" si="2784"/>
        <v>#REF!</v>
      </c>
      <c r="FI638" s="77" t="e">
        <f t="shared" si="2784"/>
        <v>#REF!</v>
      </c>
      <c r="FJ638" s="77"/>
    </row>
    <row r="639" spans="1:167" hidden="1" outlineLevel="1" x14ac:dyDescent="0.3">
      <c r="A639" s="73" t="s">
        <v>536</v>
      </c>
      <c r="DU639" s="75" t="e">
        <f t="shared" ref="DU639:EB639" si="2785">+DU635/DU634</f>
        <v>#REF!</v>
      </c>
      <c r="DV639" s="75" t="e">
        <f t="shared" si="2785"/>
        <v>#REF!</v>
      </c>
      <c r="DW639" s="75" t="e">
        <f t="shared" si="2785"/>
        <v>#REF!</v>
      </c>
      <c r="DX639" s="75" t="e">
        <f t="shared" si="2785"/>
        <v>#REF!</v>
      </c>
      <c r="DY639" s="84" t="e">
        <f t="shared" si="2785"/>
        <v>#REF!</v>
      </c>
      <c r="DZ639" s="75" t="e">
        <f t="shared" si="2785"/>
        <v>#REF!</v>
      </c>
      <c r="EA639" s="75" t="e">
        <f t="shared" si="2785"/>
        <v>#REF!</v>
      </c>
      <c r="EB639" s="75" t="e">
        <f t="shared" si="2785"/>
        <v>#REF!</v>
      </c>
      <c r="EC639" s="75" t="e">
        <f>+EC635/EC634</f>
        <v>#REF!</v>
      </c>
      <c r="ED639" s="84" t="e">
        <f>+ED635/ED634</f>
        <v>#REF!</v>
      </c>
      <c r="EE639" s="75" t="e">
        <f>+EE635/EE634</f>
        <v>#REF!</v>
      </c>
      <c r="EF639" s="75" t="e">
        <f>+EF635/EF634</f>
        <v>#REF!</v>
      </c>
      <c r="EG639" s="75" t="e">
        <f>+EG635/EG634</f>
        <v>#REF!</v>
      </c>
      <c r="EH639" s="75" t="e">
        <f t="shared" ref="EH639:FI639" si="2786">+EH635/EH634</f>
        <v>#REF!</v>
      </c>
      <c r="EI639" s="84" t="e">
        <f t="shared" ref="EI639:EN639" si="2787">+EI635/EI634</f>
        <v>#REF!</v>
      </c>
      <c r="EJ639" s="75" t="e">
        <f t="shared" si="2787"/>
        <v>#REF!</v>
      </c>
      <c r="EK639" s="75" t="e">
        <f t="shared" si="2787"/>
        <v>#REF!</v>
      </c>
      <c r="EL639" s="75" t="e">
        <f t="shared" si="2787"/>
        <v>#REF!</v>
      </c>
      <c r="EM639" s="75" t="e">
        <f t="shared" si="2787"/>
        <v>#REF!</v>
      </c>
      <c r="EN639" s="84" t="e">
        <f t="shared" si="2787"/>
        <v>#REF!</v>
      </c>
      <c r="EO639" s="84"/>
      <c r="EP639" s="84"/>
      <c r="EQ639" s="84"/>
      <c r="ER639" s="84"/>
      <c r="ES639" s="75" t="e">
        <f t="shared" si="2786"/>
        <v>#REF!</v>
      </c>
      <c r="ET639" s="75"/>
      <c r="EU639" s="75"/>
      <c r="EV639" s="75"/>
      <c r="EW639" s="75"/>
      <c r="EX639" s="75" t="e">
        <f t="shared" si="2786"/>
        <v>#REF!</v>
      </c>
      <c r="EY639" s="75"/>
      <c r="EZ639" s="75"/>
      <c r="FA639" s="75"/>
      <c r="FB639" s="75"/>
      <c r="FC639" s="75" t="e">
        <f t="shared" si="2786"/>
        <v>#REF!</v>
      </c>
      <c r="FD639" s="75" t="e">
        <f t="shared" si="2786"/>
        <v>#REF!</v>
      </c>
      <c r="FE639" s="75" t="e">
        <f t="shared" si="2786"/>
        <v>#REF!</v>
      </c>
      <c r="FF639" s="75" t="e">
        <f t="shared" si="2786"/>
        <v>#REF!</v>
      </c>
      <c r="FG639" s="75" t="e">
        <f t="shared" si="2786"/>
        <v>#REF!</v>
      </c>
      <c r="FH639" s="75" t="e">
        <f t="shared" si="2786"/>
        <v>#REF!</v>
      </c>
      <c r="FI639" s="75" t="e">
        <f t="shared" si="2786"/>
        <v>#REF!</v>
      </c>
    </row>
    <row r="640" spans="1:167" hidden="1" outlineLevel="1" x14ac:dyDescent="0.3">
      <c r="A640" s="73" t="s">
        <v>537</v>
      </c>
      <c r="DZ640" s="75">
        <f t="shared" ref="DZ640:EN640" si="2788">+DZ619/DU619-1</f>
        <v>-3.5344739892032129E-2</v>
      </c>
      <c r="EA640" s="75">
        <f t="shared" si="2788"/>
        <v>-1.3926006456026707E-2</v>
      </c>
      <c r="EB640" s="75">
        <f t="shared" si="2788"/>
        <v>3.5176560679373026E-3</v>
      </c>
      <c r="EC640" s="75">
        <f t="shared" si="2788"/>
        <v>3.0280342015140516E-2</v>
      </c>
      <c r="ED640" s="84">
        <f t="shared" si="2788"/>
        <v>-4.1637820847141294E-3</v>
      </c>
      <c r="EE640" s="75">
        <f t="shared" si="2788"/>
        <v>4.5669798302141462E-2</v>
      </c>
      <c r="EF640" s="75">
        <f t="shared" si="2788"/>
        <v>7.4607114114912498E-2</v>
      </c>
      <c r="EG640" s="75">
        <f t="shared" si="2788"/>
        <v>7.6432106002554789E-2</v>
      </c>
      <c r="EH640" s="75">
        <f t="shared" si="2788"/>
        <v>4.9563644912012705E-2</v>
      </c>
      <c r="EI640" s="84">
        <f t="shared" si="2788"/>
        <v>6.1540184393652497E-2</v>
      </c>
      <c r="EJ640" s="75">
        <f t="shared" si="2788"/>
        <v>5.1661245512065301E-2</v>
      </c>
      <c r="EK640" s="75">
        <f t="shared" si="2788"/>
        <v>6.3605051041208949E-2</v>
      </c>
      <c r="EL640" s="75">
        <f t="shared" si="2788"/>
        <v>7.0110461055951756E-2</v>
      </c>
      <c r="EM640" s="75">
        <f t="shared" si="2788"/>
        <v>5.8534439337758926E-2</v>
      </c>
      <c r="EN640" s="84">
        <f t="shared" si="2788"/>
        <v>6.1072921062229168E-2</v>
      </c>
      <c r="EO640" s="84"/>
      <c r="EP640" s="84"/>
      <c r="EQ640" s="84"/>
      <c r="ER640" s="84"/>
      <c r="ES640" s="75">
        <f>+ES619/EN619-1</f>
        <v>8.5989876298837364E-2</v>
      </c>
      <c r="ET640" s="75"/>
      <c r="EU640" s="75"/>
      <c r="EV640" s="75"/>
      <c r="EW640" s="75"/>
      <c r="EX640" s="75">
        <f>+EX619/ES619-1</f>
        <v>0.11896023094651076</v>
      </c>
      <c r="EY640" s="75"/>
      <c r="EZ640" s="75"/>
      <c r="FA640" s="75"/>
      <c r="FB640" s="75"/>
      <c r="FC640" s="75">
        <f>+FC619/EX619-1</f>
        <v>0.13301317961811931</v>
      </c>
      <c r="FD640" s="75">
        <f t="shared" ref="FD640:FI640" si="2789">+FD619/FC619-1</f>
        <v>0.15244852227350347</v>
      </c>
      <c r="FE640" s="75">
        <f t="shared" si="2789"/>
        <v>0.14227910257130216</v>
      </c>
      <c r="FF640" s="75">
        <f t="shared" si="2789"/>
        <v>0.11734549796721572</v>
      </c>
      <c r="FG640" s="75">
        <f t="shared" si="2789"/>
        <v>9.2812303673162067E-2</v>
      </c>
      <c r="FH640" s="75">
        <f t="shared" si="2789"/>
        <v>7.5477073721485377E-2</v>
      </c>
      <c r="FI640" s="75">
        <f t="shared" si="2789"/>
        <v>6.0903620583253826E-2</v>
      </c>
    </row>
    <row r="641" spans="1:165" hidden="1" outlineLevel="1" x14ac:dyDescent="0.3">
      <c r="A641" s="73" t="s">
        <v>538</v>
      </c>
      <c r="DZ641" s="75" t="e">
        <f t="shared" ref="DZ641:EN641" si="2790">+DZ629/DU629-1</f>
        <v>#REF!</v>
      </c>
      <c r="EA641" s="75" t="e">
        <f t="shared" si="2790"/>
        <v>#REF!</v>
      </c>
      <c r="EB641" s="75" t="e">
        <f t="shared" si="2790"/>
        <v>#REF!</v>
      </c>
      <c r="EC641" s="75" t="e">
        <f t="shared" si="2790"/>
        <v>#REF!</v>
      </c>
      <c r="ED641" s="84" t="e">
        <f t="shared" si="2790"/>
        <v>#REF!</v>
      </c>
      <c r="EE641" s="75" t="e">
        <f t="shared" si="2790"/>
        <v>#REF!</v>
      </c>
      <c r="EF641" s="75" t="e">
        <f t="shared" si="2790"/>
        <v>#REF!</v>
      </c>
      <c r="EG641" s="75" t="e">
        <f t="shared" si="2790"/>
        <v>#REF!</v>
      </c>
      <c r="EH641" s="75" t="e">
        <f t="shared" si="2790"/>
        <v>#REF!</v>
      </c>
      <c r="EI641" s="84" t="e">
        <f t="shared" si="2790"/>
        <v>#REF!</v>
      </c>
      <c r="EJ641" s="75" t="e">
        <f t="shared" si="2790"/>
        <v>#REF!</v>
      </c>
      <c r="EK641" s="75" t="e">
        <f t="shared" si="2790"/>
        <v>#REF!</v>
      </c>
      <c r="EL641" s="75">
        <f t="shared" si="2790"/>
        <v>-0.15076751460698357</v>
      </c>
      <c r="EM641" s="75">
        <f t="shared" si="2790"/>
        <v>-0.15996589039662357</v>
      </c>
      <c r="EN641" s="84" t="e">
        <f t="shared" si="2790"/>
        <v>#REF!</v>
      </c>
      <c r="EO641" s="84"/>
      <c r="EP641" s="84"/>
      <c r="EQ641" s="84"/>
      <c r="ER641" s="84"/>
      <c r="ES641" s="75">
        <f>+ES629/EN629-1</f>
        <v>-1</v>
      </c>
      <c r="ET641" s="75"/>
      <c r="EU641" s="75"/>
      <c r="EV641" s="75"/>
      <c r="EW641" s="75"/>
      <c r="EX641" s="75" t="e">
        <f>+EX629/ES629-1</f>
        <v>#DIV/0!</v>
      </c>
      <c r="EY641" s="75"/>
      <c r="EZ641" s="75"/>
      <c r="FA641" s="75"/>
      <c r="FB641" s="75"/>
      <c r="FC641" s="75" t="e">
        <f>+FC629/EX629-1</f>
        <v>#DIV/0!</v>
      </c>
      <c r="FD641" s="75" t="e">
        <f t="shared" ref="FD641:FI641" si="2791">+FD629/FC629-1</f>
        <v>#DIV/0!</v>
      </c>
      <c r="FE641" s="75" t="e">
        <f t="shared" si="2791"/>
        <v>#DIV/0!</v>
      </c>
      <c r="FF641" s="75" t="e">
        <f t="shared" si="2791"/>
        <v>#DIV/0!</v>
      </c>
      <c r="FG641" s="75" t="e">
        <f t="shared" si="2791"/>
        <v>#DIV/0!</v>
      </c>
      <c r="FH641" s="75" t="e">
        <f t="shared" si="2791"/>
        <v>#DIV/0!</v>
      </c>
      <c r="FI641" s="75" t="e">
        <f t="shared" si="2791"/>
        <v>#DIV/0!</v>
      </c>
    </row>
    <row r="642" spans="1:165" hidden="1" outlineLevel="1" x14ac:dyDescent="0.3">
      <c r="A642" s="73" t="s">
        <v>469</v>
      </c>
      <c r="DZ642" s="75" t="e">
        <f t="shared" ref="DZ642:EI642" si="2792">+DZ632/DU632-1</f>
        <v>#REF!</v>
      </c>
      <c r="EA642" s="75" t="e">
        <f t="shared" si="2792"/>
        <v>#REF!</v>
      </c>
      <c r="EB642" s="75" t="e">
        <f t="shared" si="2792"/>
        <v>#REF!</v>
      </c>
      <c r="EC642" s="75" t="e">
        <f t="shared" si="2792"/>
        <v>#REF!</v>
      </c>
      <c r="ED642" s="84" t="e">
        <f t="shared" si="2792"/>
        <v>#REF!</v>
      </c>
      <c r="EE642" s="75" t="e">
        <f t="shared" si="2792"/>
        <v>#REF!</v>
      </c>
      <c r="EF642" s="75" t="e">
        <f t="shared" si="2792"/>
        <v>#REF!</v>
      </c>
      <c r="EG642" s="75" t="e">
        <f t="shared" si="2792"/>
        <v>#REF!</v>
      </c>
      <c r="EH642" s="75" t="e">
        <f t="shared" si="2792"/>
        <v>#REF!</v>
      </c>
      <c r="EI642" s="84" t="e">
        <f t="shared" si="2792"/>
        <v>#REF!</v>
      </c>
      <c r="EJ642" s="75" t="e">
        <f t="shared" ref="EJ642:EN643" si="2793">+EJ632/EE632-1</f>
        <v>#REF!</v>
      </c>
      <c r="EK642" s="75" t="e">
        <f t="shared" si="2793"/>
        <v>#REF!</v>
      </c>
      <c r="EL642" s="75" t="e">
        <f t="shared" si="2793"/>
        <v>#REF!</v>
      </c>
      <c r="EM642" s="75" t="e">
        <f t="shared" si="2793"/>
        <v>#REF!</v>
      </c>
      <c r="EN642" s="84" t="e">
        <f t="shared" si="2793"/>
        <v>#REF!</v>
      </c>
      <c r="EO642" s="84"/>
      <c r="EP642" s="84"/>
      <c r="EQ642" s="84"/>
      <c r="ER642" s="84"/>
      <c r="ES642" s="75" t="e">
        <f>+ES632/EN632-1</f>
        <v>#REF!</v>
      </c>
      <c r="ET642" s="75"/>
      <c r="EU642" s="75"/>
      <c r="EV642" s="75"/>
      <c r="EW642" s="75"/>
      <c r="EX642" s="75" t="e">
        <f>+EX632/ES632-1</f>
        <v>#REF!</v>
      </c>
      <c r="EY642" s="75"/>
      <c r="EZ642" s="75"/>
      <c r="FA642" s="75"/>
      <c r="FB642" s="75"/>
      <c r="FC642" s="75" t="e">
        <f>+FC632/EX632-1</f>
        <v>#REF!</v>
      </c>
      <c r="FD642" s="75" t="e">
        <f t="shared" ref="FD642:FI642" si="2794">+FD632/FC632-1</f>
        <v>#REF!</v>
      </c>
      <c r="FE642" s="75" t="e">
        <f t="shared" si="2794"/>
        <v>#REF!</v>
      </c>
      <c r="FF642" s="75" t="e">
        <f t="shared" si="2794"/>
        <v>#REF!</v>
      </c>
      <c r="FG642" s="75" t="e">
        <f t="shared" si="2794"/>
        <v>#REF!</v>
      </c>
      <c r="FH642" s="75" t="e">
        <f t="shared" si="2794"/>
        <v>#REF!</v>
      </c>
      <c r="FI642" s="75" t="e">
        <f t="shared" si="2794"/>
        <v>#REF!</v>
      </c>
    </row>
    <row r="643" spans="1:165" hidden="1" outlineLevel="1" x14ac:dyDescent="0.3">
      <c r="A643" s="73" t="s">
        <v>539</v>
      </c>
      <c r="DZ643" s="75" t="e">
        <f t="shared" ref="DZ643:EI643" si="2795">+DZ633/DU633-1</f>
        <v>#REF!</v>
      </c>
      <c r="EA643" s="75" t="e">
        <f t="shared" si="2795"/>
        <v>#REF!</v>
      </c>
      <c r="EB643" s="75" t="e">
        <f t="shared" si="2795"/>
        <v>#REF!</v>
      </c>
      <c r="EC643" s="75" t="e">
        <f t="shared" si="2795"/>
        <v>#REF!</v>
      </c>
      <c r="ED643" s="84" t="e">
        <f t="shared" si="2795"/>
        <v>#REF!</v>
      </c>
      <c r="EE643" s="75" t="e">
        <f t="shared" si="2795"/>
        <v>#REF!</v>
      </c>
      <c r="EF643" s="75" t="e">
        <f t="shared" si="2795"/>
        <v>#REF!</v>
      </c>
      <c r="EG643" s="75" t="e">
        <f t="shared" si="2795"/>
        <v>#REF!</v>
      </c>
      <c r="EH643" s="75" t="e">
        <f t="shared" si="2795"/>
        <v>#REF!</v>
      </c>
      <c r="EI643" s="84" t="e">
        <f t="shared" si="2795"/>
        <v>#REF!</v>
      </c>
      <c r="EJ643" s="75" t="e">
        <f t="shared" si="2793"/>
        <v>#REF!</v>
      </c>
      <c r="EK643" s="75" t="e">
        <f t="shared" si="2793"/>
        <v>#REF!</v>
      </c>
      <c r="EL643" s="75" t="e">
        <f t="shared" si="2793"/>
        <v>#REF!</v>
      </c>
      <c r="EM643" s="75">
        <f t="shared" si="2793"/>
        <v>-2.6587887740029514E-2</v>
      </c>
      <c r="EN643" s="84" t="e">
        <f t="shared" si="2793"/>
        <v>#REF!</v>
      </c>
      <c r="EO643" s="84"/>
      <c r="EP643" s="84"/>
      <c r="EQ643" s="84"/>
      <c r="ER643" s="84"/>
      <c r="ES643" s="75">
        <f>+ES633/EN633-1</f>
        <v>-1.4520443255636173E-2</v>
      </c>
      <c r="ET643" s="75"/>
      <c r="EU643" s="75"/>
      <c r="EV643" s="75"/>
      <c r="EW643" s="75"/>
      <c r="EX643" s="75">
        <f>+EX633/ES633-1</f>
        <v>5.0794881737107334E-2</v>
      </c>
      <c r="EY643" s="75"/>
      <c r="EZ643" s="75"/>
      <c r="FA643" s="75"/>
      <c r="FB643" s="75"/>
      <c r="FC643" s="75">
        <f>+FC633/EX633-1</f>
        <v>-2.8456826563137971E-3</v>
      </c>
      <c r="FD643" s="75">
        <f t="shared" ref="FD643:FI643" si="2796">+FD633/FC633-1</f>
        <v>-1.7218692417726444E-3</v>
      </c>
      <c r="FE643" s="75">
        <f t="shared" si="2796"/>
        <v>-1.8887216009908503E-3</v>
      </c>
      <c r="FF643" s="75">
        <f t="shared" si="2796"/>
        <v>-1.7158838199611282E-3</v>
      </c>
      <c r="FG643" s="75">
        <f t="shared" si="2796"/>
        <v>-1.4008524989210791E-3</v>
      </c>
      <c r="FH643" s="75">
        <f t="shared" si="2796"/>
        <v>-7.4760696822495643E-4</v>
      </c>
      <c r="FI643" s="75">
        <f t="shared" si="2796"/>
        <v>2.1816329396751044E-4</v>
      </c>
    </row>
    <row r="644" spans="1:165" hidden="1" outlineLevel="1" x14ac:dyDescent="0.3">
      <c r="A644" s="73" t="s">
        <v>475</v>
      </c>
      <c r="DZ644" s="75" t="e">
        <f t="shared" ref="DZ644:EI644" si="2797">+DZ636/DU636-1</f>
        <v>#REF!</v>
      </c>
      <c r="EA644" s="75" t="e">
        <f t="shared" si="2797"/>
        <v>#REF!</v>
      </c>
      <c r="EB644" s="75" t="e">
        <f t="shared" si="2797"/>
        <v>#REF!</v>
      </c>
      <c r="EC644" s="75" t="e">
        <f t="shared" si="2797"/>
        <v>#REF!</v>
      </c>
      <c r="ED644" s="84" t="e">
        <f t="shared" si="2797"/>
        <v>#REF!</v>
      </c>
      <c r="EE644" s="75" t="e">
        <f t="shared" si="2797"/>
        <v>#REF!</v>
      </c>
      <c r="EF644" s="75" t="e">
        <f t="shared" si="2797"/>
        <v>#REF!</v>
      </c>
      <c r="EG644" s="75" t="e">
        <f t="shared" si="2797"/>
        <v>#REF!</v>
      </c>
      <c r="EH644" s="75" t="e">
        <f t="shared" si="2797"/>
        <v>#REF!</v>
      </c>
      <c r="EI644" s="84" t="e">
        <f t="shared" si="2797"/>
        <v>#REF!</v>
      </c>
      <c r="EJ644" s="75" t="e">
        <f>+EJ636/EE636-1</f>
        <v>#REF!</v>
      </c>
      <c r="EK644" s="75" t="e">
        <f>+EK636/EF636-1</f>
        <v>#REF!</v>
      </c>
      <c r="EL644" s="75" t="e">
        <f>+EL636/EG636-1</f>
        <v>#REF!</v>
      </c>
      <c r="EM644" s="75" t="e">
        <f>+EM636/EH636-1</f>
        <v>#REF!</v>
      </c>
      <c r="EN644" s="84" t="e">
        <f>+EN636/EI636-1</f>
        <v>#REF!</v>
      </c>
      <c r="EO644" s="84"/>
      <c r="EP644" s="84"/>
      <c r="EQ644" s="84"/>
      <c r="ER644" s="84"/>
      <c r="ES644" s="75" t="e">
        <f>+ES636/EN636-1</f>
        <v>#REF!</v>
      </c>
      <c r="ET644" s="75"/>
      <c r="EU644" s="75"/>
      <c r="EV644" s="75"/>
      <c r="EW644" s="75"/>
      <c r="EX644" s="75" t="e">
        <f>+EX636/ES636-1</f>
        <v>#REF!</v>
      </c>
      <c r="EY644" s="75"/>
      <c r="EZ644" s="75"/>
      <c r="FA644" s="75"/>
      <c r="FB644" s="75"/>
      <c r="FC644" s="75" t="e">
        <f>+FC636/EX636-1</f>
        <v>#REF!</v>
      </c>
      <c r="FD644" s="75" t="e">
        <f t="shared" ref="FD644:FI644" si="2798">+FD636/FC636-1</f>
        <v>#REF!</v>
      </c>
      <c r="FE644" s="75" t="e">
        <f t="shared" si="2798"/>
        <v>#REF!</v>
      </c>
      <c r="FF644" s="75" t="e">
        <f t="shared" si="2798"/>
        <v>#REF!</v>
      </c>
      <c r="FG644" s="75" t="e">
        <f t="shared" si="2798"/>
        <v>#REF!</v>
      </c>
      <c r="FH644" s="75" t="e">
        <f t="shared" si="2798"/>
        <v>#REF!</v>
      </c>
      <c r="FI644" s="75" t="e">
        <f t="shared" si="2798"/>
        <v>#REF!</v>
      </c>
    </row>
    <row r="645" spans="1:165" hidden="1" outlineLevel="1" x14ac:dyDescent="0.3">
      <c r="A645" s="73"/>
      <c r="DZ645" s="75"/>
      <c r="EA645" s="75"/>
      <c r="EB645" s="75"/>
      <c r="EC645" s="75"/>
      <c r="ED645" s="84"/>
      <c r="EE645" s="75"/>
      <c r="EF645" s="75"/>
      <c r="EG645" s="75"/>
      <c r="EH645" s="75"/>
      <c r="EI645" s="84"/>
      <c r="EJ645" s="75"/>
      <c r="EK645" s="75"/>
      <c r="EL645" s="75"/>
      <c r="EM645" s="75"/>
      <c r="EN645" s="84"/>
      <c r="EO645" s="84"/>
      <c r="EP645" s="84"/>
      <c r="EQ645" s="84"/>
      <c r="ER645" s="84"/>
      <c r="ES645" s="75"/>
      <c r="ET645" s="75"/>
      <c r="EU645" s="75"/>
      <c r="EV645" s="75"/>
      <c r="EW645" s="75"/>
      <c r="FC645" s="75"/>
      <c r="FD645" s="75"/>
      <c r="FE645" s="75"/>
      <c r="FF645" s="75"/>
      <c r="FG645" s="75"/>
      <c r="FH645" s="75"/>
      <c r="FI645" s="75"/>
    </row>
    <row r="646" spans="1:165" hidden="1" outlineLevel="1" x14ac:dyDescent="0.3">
      <c r="A646" s="805" t="s">
        <v>540</v>
      </c>
      <c r="B646" s="806"/>
      <c r="C646" s="806"/>
      <c r="D646" s="806"/>
      <c r="E646" s="806"/>
      <c r="F646" s="806"/>
      <c r="G646" s="806"/>
      <c r="H646" s="806"/>
      <c r="I646" s="806"/>
      <c r="J646" s="806"/>
      <c r="K646" s="806"/>
      <c r="L646" s="806"/>
      <c r="M646" s="806"/>
      <c r="N646" s="806"/>
      <c r="O646" s="806"/>
      <c r="P646" s="806"/>
      <c r="Q646" s="806"/>
      <c r="R646" s="806"/>
      <c r="S646" s="806"/>
      <c r="T646" s="806"/>
      <c r="U646" s="806"/>
      <c r="V646" s="806"/>
      <c r="W646" s="806"/>
      <c r="X646" s="806"/>
      <c r="Y646" s="806"/>
      <c r="Z646" s="806"/>
      <c r="AA646" s="806"/>
      <c r="AB646" s="806"/>
      <c r="AC646" s="806"/>
      <c r="AD646" s="806"/>
      <c r="AE646" s="806"/>
      <c r="AF646" s="806"/>
      <c r="AG646" s="806"/>
      <c r="AH646" s="806"/>
      <c r="AI646" s="806"/>
      <c r="AJ646" s="806"/>
      <c r="AK646" s="806"/>
      <c r="AL646" s="806"/>
      <c r="AM646" s="806"/>
      <c r="AN646" s="806"/>
      <c r="AO646" s="806"/>
      <c r="AP646" s="806"/>
      <c r="AQ646" s="806"/>
      <c r="AR646" s="806"/>
      <c r="AS646" s="806"/>
      <c r="AT646" s="806"/>
      <c r="AU646" s="806"/>
      <c r="AV646" s="806"/>
      <c r="AW646" s="806"/>
      <c r="AX646" s="806"/>
      <c r="AY646" s="806"/>
      <c r="AZ646" s="806"/>
      <c r="BA646" s="806"/>
      <c r="BB646" s="806"/>
      <c r="BC646" s="806"/>
      <c r="BD646" s="806"/>
      <c r="BE646" s="806"/>
      <c r="BF646" s="806"/>
      <c r="BG646" s="806"/>
      <c r="BH646" s="806"/>
      <c r="BI646" s="806"/>
      <c r="BJ646" s="806"/>
      <c r="BK646" s="806"/>
      <c r="BL646" s="806"/>
      <c r="BM646" s="806"/>
      <c r="BN646" s="806"/>
      <c r="BO646" s="806"/>
      <c r="BP646" s="806"/>
      <c r="BQ646" s="806"/>
      <c r="BR646" s="806"/>
      <c r="BS646" s="806"/>
      <c r="BT646" s="806"/>
      <c r="BU646" s="806"/>
      <c r="BV646" s="806"/>
      <c r="BW646" s="806"/>
      <c r="BX646" s="806"/>
      <c r="BY646" s="806"/>
      <c r="BZ646" s="806"/>
      <c r="CA646" s="806"/>
      <c r="CB646" s="806"/>
      <c r="CC646" s="806"/>
      <c r="CD646" s="806"/>
      <c r="CE646" s="806"/>
      <c r="CF646" s="806"/>
      <c r="CG646" s="806"/>
      <c r="CH646" s="806"/>
      <c r="CI646" s="806"/>
      <c r="CJ646" s="806"/>
      <c r="CK646" s="806"/>
      <c r="CL646" s="806"/>
      <c r="CM646" s="806"/>
      <c r="CN646" s="806"/>
      <c r="CO646" s="806"/>
      <c r="CP646" s="806"/>
      <c r="CQ646" s="806"/>
      <c r="CR646" s="806"/>
      <c r="CS646" s="806"/>
      <c r="CT646" s="806"/>
      <c r="CU646" s="806"/>
      <c r="CV646" s="806"/>
      <c r="CW646" s="806"/>
      <c r="CX646" s="806"/>
      <c r="CY646" s="806"/>
      <c r="CZ646" s="806"/>
      <c r="DA646" s="806"/>
      <c r="DB646" s="806"/>
      <c r="DC646" s="806"/>
      <c r="DD646" s="806"/>
      <c r="DE646" s="806"/>
      <c r="DF646" s="806"/>
      <c r="DG646" s="806"/>
      <c r="DH646" s="806"/>
      <c r="DI646" s="806"/>
      <c r="DJ646" s="806"/>
      <c r="DK646" s="806"/>
      <c r="DL646" s="806"/>
      <c r="DM646" s="806"/>
      <c r="DN646" s="806"/>
      <c r="DO646" s="806"/>
      <c r="DP646" s="806"/>
      <c r="DQ646" s="806"/>
      <c r="DR646" s="806"/>
      <c r="DS646" s="806"/>
      <c r="DT646" s="806"/>
      <c r="DU646" s="806"/>
      <c r="DV646" s="806"/>
      <c r="DW646" s="806"/>
      <c r="DX646" s="806"/>
      <c r="DY646" s="1209"/>
      <c r="DZ646" s="807"/>
      <c r="EA646" s="807"/>
      <c r="EB646" s="807"/>
      <c r="EC646" s="807"/>
      <c r="ED646" s="808"/>
      <c r="EE646" s="807"/>
      <c r="EF646" s="807"/>
      <c r="EG646" s="807"/>
      <c r="EH646" s="807"/>
      <c r="EI646" s="808"/>
      <c r="EJ646" s="807"/>
      <c r="EK646" s="807"/>
      <c r="EL646" s="807"/>
      <c r="EM646" s="807"/>
      <c r="EN646" s="808"/>
      <c r="EO646" s="808"/>
      <c r="EP646" s="808"/>
      <c r="EQ646" s="808"/>
      <c r="ER646" s="808"/>
      <c r="ES646" s="807"/>
      <c r="ET646" s="807"/>
      <c r="EU646" s="807"/>
      <c r="EV646" s="807"/>
      <c r="EW646" s="807"/>
      <c r="EX646" s="806"/>
      <c r="EY646" s="806"/>
      <c r="EZ646" s="806"/>
      <c r="FA646" s="806"/>
      <c r="FB646" s="806"/>
      <c r="FC646" s="807"/>
      <c r="FD646" s="807"/>
      <c r="FE646" s="807"/>
      <c r="FF646" s="807"/>
      <c r="FG646" s="807"/>
      <c r="FH646" s="807"/>
      <c r="FI646" s="807"/>
    </row>
    <row r="647" spans="1:165" hidden="1" outlineLevel="1" x14ac:dyDescent="0.3">
      <c r="A647" s="809" t="s">
        <v>541</v>
      </c>
      <c r="DU647" s="76">
        <f>+DU658-DU619</f>
        <v>491.19583499999999</v>
      </c>
      <c r="DV647" s="76">
        <f>+DV658-DV619</f>
        <v>494.03507999999999</v>
      </c>
      <c r="DW647" s="76">
        <f>+DW658-DW619</f>
        <v>464.64614000000006</v>
      </c>
      <c r="DX647" s="76">
        <f>+DX658-DX619</f>
        <v>438.14155500000004</v>
      </c>
      <c r="DY647" s="85">
        <f>+SUM(DU647:DX647)</f>
        <v>1888.0186100000001</v>
      </c>
      <c r="DZ647" s="76">
        <f>+DZ658-DZ619</f>
        <v>472.220775</v>
      </c>
      <c r="EA647" s="76">
        <f>+EA658-EA619</f>
        <v>463.47965999999997</v>
      </c>
      <c r="EB647" s="76">
        <f>+EB658-EB619</f>
        <v>450.28708000000006</v>
      </c>
      <c r="EC647" s="76">
        <f>+EC658-EC619</f>
        <v>438.51819</v>
      </c>
      <c r="ED647" s="85">
        <f>+SUM(DZ647:EC647)</f>
        <v>1824.505705</v>
      </c>
      <c r="EE647" s="76">
        <f>+EE658-EE619</f>
        <v>441.73932500000001</v>
      </c>
      <c r="EF647" s="76">
        <f>+EF658-EF619</f>
        <v>424.71710000000007</v>
      </c>
      <c r="EG647" s="76">
        <f>+EG658-EG619</f>
        <v>416.65336500000001</v>
      </c>
      <c r="EH647" s="76" t="e">
        <f>+EH652*EH$651</f>
        <v>#REF!</v>
      </c>
      <c r="EI647" s="85" t="e">
        <f>+SUM(EE647:EH647)</f>
        <v>#REF!</v>
      </c>
      <c r="EJ647" s="76" t="e">
        <f t="shared" ref="EJ647:EM650" si="2799">+EJ652*EJ$651</f>
        <v>#REF!</v>
      </c>
      <c r="EK647" s="76" t="e">
        <f t="shared" si="2799"/>
        <v>#REF!</v>
      </c>
      <c r="EL647" s="76" t="e">
        <f t="shared" si="2799"/>
        <v>#REF!</v>
      </c>
      <c r="EM647" s="76" t="e">
        <f t="shared" si="2799"/>
        <v>#REF!</v>
      </c>
      <c r="EN647" s="85" t="e">
        <f>+SUM(EJ647:EM647)</f>
        <v>#REF!</v>
      </c>
      <c r="EO647" s="85"/>
      <c r="EP647" s="85"/>
      <c r="EQ647" s="85"/>
      <c r="ER647" s="85"/>
      <c r="ES647" s="76" t="e">
        <f t="shared" ref="ES647:FI647" si="2800">+ES652*ES$651</f>
        <v>#REF!</v>
      </c>
      <c r="ET647" s="76"/>
      <c r="EU647" s="76"/>
      <c r="EV647" s="76"/>
      <c r="EW647" s="76"/>
      <c r="EX647" s="76" t="e">
        <f t="shared" si="2800"/>
        <v>#REF!</v>
      </c>
      <c r="EY647" s="76"/>
      <c r="EZ647" s="76"/>
      <c r="FA647" s="76"/>
      <c r="FB647" s="76"/>
      <c r="FC647" s="76" t="e">
        <f t="shared" si="2800"/>
        <v>#REF!</v>
      </c>
      <c r="FD647" s="76" t="e">
        <f t="shared" si="2800"/>
        <v>#REF!</v>
      </c>
      <c r="FE647" s="76" t="e">
        <f t="shared" si="2800"/>
        <v>#REF!</v>
      </c>
      <c r="FF647" s="76" t="e">
        <f t="shared" si="2800"/>
        <v>#REF!</v>
      </c>
      <c r="FG647" s="76" t="e">
        <f t="shared" si="2800"/>
        <v>#REF!</v>
      </c>
      <c r="FH647" s="76" t="e">
        <f t="shared" si="2800"/>
        <v>#REF!</v>
      </c>
      <c r="FI647" s="76" t="e">
        <f t="shared" si="2800"/>
        <v>#REF!</v>
      </c>
    </row>
    <row r="648" spans="1:165" hidden="1" outlineLevel="1" x14ac:dyDescent="0.3">
      <c r="A648" s="809" t="s">
        <v>542</v>
      </c>
      <c r="DU648" s="76">
        <f>+DU659-DU630</f>
        <v>372.60526315789468</v>
      </c>
      <c r="DV648" s="76">
        <f>+DV659-DV630</f>
        <v>354.72631578947369</v>
      </c>
      <c r="DW648" s="76">
        <f>+DW659-DW630</f>
        <v>352.12631578947367</v>
      </c>
      <c r="DX648" s="76">
        <f>+DX659-DX630</f>
        <v>337.61052631578946</v>
      </c>
      <c r="DY648" s="85">
        <f>+SUM(DU648:DX648)</f>
        <v>1417.0684210526315</v>
      </c>
      <c r="DZ648" s="76">
        <f>+DZ659-DZ627</f>
        <v>303.34042733126</v>
      </c>
      <c r="EA648" s="76">
        <f>+EA659-EA627</f>
        <v>292.44908354838714</v>
      </c>
      <c r="EB648" s="76">
        <f>+EB659-EB627</f>
        <v>291.106929184938</v>
      </c>
      <c r="EC648" s="76">
        <f>+EC659-EC627</f>
        <v>278.77564038264683</v>
      </c>
      <c r="ED648" s="85">
        <f>+SUM(DZ648:EC648)</f>
        <v>1165.672080447232</v>
      </c>
      <c r="EE648" s="76">
        <f>+EE659-EE627</f>
        <v>288.79560931172074</v>
      </c>
      <c r="EF648" s="76">
        <f>+EF659-EF627</f>
        <v>254.64736427112581</v>
      </c>
      <c r="EG648" s="76">
        <f>+EG659-EG627</f>
        <v>230.90766435762981</v>
      </c>
      <c r="EH648" s="76" t="e">
        <f>+EH653*EH$651</f>
        <v>#REF!</v>
      </c>
      <c r="EI648" s="85" t="e">
        <f>+SUM(EE648:EH648)</f>
        <v>#REF!</v>
      </c>
      <c r="EJ648" s="76" t="e">
        <f t="shared" si="2799"/>
        <v>#REF!</v>
      </c>
      <c r="EK648" s="76" t="e">
        <f t="shared" si="2799"/>
        <v>#REF!</v>
      </c>
      <c r="EL648" s="76" t="e">
        <f t="shared" si="2799"/>
        <v>#REF!</v>
      </c>
      <c r="EM648" s="76" t="e">
        <f t="shared" si="2799"/>
        <v>#REF!</v>
      </c>
      <c r="EN648" s="85" t="e">
        <f>+SUM(EJ648:EM648)</f>
        <v>#REF!</v>
      </c>
      <c r="EO648" s="85"/>
      <c r="EP648" s="85"/>
      <c r="EQ648" s="85"/>
      <c r="ER648" s="85"/>
      <c r="ES648" s="76" t="e">
        <f t="shared" ref="ES648:FI648" si="2801">+ES653*ES$651</f>
        <v>#REF!</v>
      </c>
      <c r="ET648" s="76"/>
      <c r="EU648" s="76"/>
      <c r="EV648" s="76"/>
      <c r="EW648" s="76"/>
      <c r="EX648" s="76" t="e">
        <f t="shared" si="2801"/>
        <v>#REF!</v>
      </c>
      <c r="EY648" s="76"/>
      <c r="EZ648" s="76"/>
      <c r="FA648" s="76"/>
      <c r="FB648" s="76"/>
      <c r="FC648" s="76" t="e">
        <f t="shared" si="2801"/>
        <v>#REF!</v>
      </c>
      <c r="FD648" s="76" t="e">
        <f t="shared" si="2801"/>
        <v>#REF!</v>
      </c>
      <c r="FE648" s="76" t="e">
        <f t="shared" si="2801"/>
        <v>#REF!</v>
      </c>
      <c r="FF648" s="76" t="e">
        <f t="shared" si="2801"/>
        <v>#REF!</v>
      </c>
      <c r="FG648" s="76" t="e">
        <f t="shared" si="2801"/>
        <v>#REF!</v>
      </c>
      <c r="FH648" s="76" t="e">
        <f t="shared" si="2801"/>
        <v>#REF!</v>
      </c>
      <c r="FI648" s="76" t="e">
        <f t="shared" si="2801"/>
        <v>#REF!</v>
      </c>
    </row>
    <row r="649" spans="1:165" hidden="1" outlineLevel="1" x14ac:dyDescent="0.3">
      <c r="A649" s="809" t="s">
        <v>461</v>
      </c>
      <c r="DU649" s="76" t="e">
        <f>+DU660-DU629</f>
        <v>#REF!</v>
      </c>
      <c r="DV649" s="76" t="e">
        <f>+DV660-DV629</f>
        <v>#REF!</v>
      </c>
      <c r="DW649" s="76" t="e">
        <f>+DW660-DW629</f>
        <v>#REF!</v>
      </c>
      <c r="DX649" s="76" t="e">
        <f>+DX660-DX629</f>
        <v>#REF!</v>
      </c>
      <c r="DY649" s="85" t="e">
        <f>+SUM(DU649:DX649)</f>
        <v>#REF!</v>
      </c>
      <c r="DZ649" s="76">
        <f>+DZ660-DZ623</f>
        <v>22.844480000000033</v>
      </c>
      <c r="EA649" s="76">
        <f>+EA660-EA623</f>
        <v>20.079319999999996</v>
      </c>
      <c r="EB649" s="76">
        <f>+EB660-EB623</f>
        <v>19.670355000000029</v>
      </c>
      <c r="EC649" s="76">
        <f>+EC660-EC623</f>
        <v>23.737570000000005</v>
      </c>
      <c r="ED649" s="85">
        <f>+SUM(DZ649:EC649)</f>
        <v>86.331725000000063</v>
      </c>
      <c r="EE649" s="76">
        <f>+EE660-EE623</f>
        <v>18.117385000000013</v>
      </c>
      <c r="EF649" s="76" t="e">
        <f>+EF660-EF629</f>
        <v>#REF!</v>
      </c>
      <c r="EG649" s="76">
        <f>+EG660-EG629</f>
        <v>10.686019999999957</v>
      </c>
      <c r="EH649" s="76" t="e">
        <f>+EH654*EH$651</f>
        <v>#REF!</v>
      </c>
      <c r="EI649" s="85" t="e">
        <f>+SUM(EE649:EH649)</f>
        <v>#REF!</v>
      </c>
      <c r="EJ649" s="76" t="e">
        <f t="shared" si="2799"/>
        <v>#REF!</v>
      </c>
      <c r="EK649" s="76" t="e">
        <f t="shared" si="2799"/>
        <v>#REF!</v>
      </c>
      <c r="EL649" s="76" t="e">
        <f t="shared" si="2799"/>
        <v>#REF!</v>
      </c>
      <c r="EM649" s="76" t="e">
        <f t="shared" si="2799"/>
        <v>#REF!</v>
      </c>
      <c r="EN649" s="85" t="e">
        <f>+SUM(EJ649:EM649)</f>
        <v>#REF!</v>
      </c>
      <c r="EO649" s="85"/>
      <c r="EP649" s="85"/>
      <c r="EQ649" s="85"/>
      <c r="ER649" s="85"/>
      <c r="ES649" s="76" t="e">
        <f t="shared" ref="ES649:FI649" si="2802">+ES654*ES$651</f>
        <v>#REF!</v>
      </c>
      <c r="ET649" s="76"/>
      <c r="EU649" s="76"/>
      <c r="EV649" s="76"/>
      <c r="EW649" s="76"/>
      <c r="EX649" s="76" t="e">
        <f t="shared" si="2802"/>
        <v>#REF!</v>
      </c>
      <c r="EY649" s="76"/>
      <c r="EZ649" s="76"/>
      <c r="FA649" s="76"/>
      <c r="FB649" s="76"/>
      <c r="FC649" s="76" t="e">
        <f t="shared" si="2802"/>
        <v>#REF!</v>
      </c>
      <c r="FD649" s="76" t="e">
        <f t="shared" si="2802"/>
        <v>#REF!</v>
      </c>
      <c r="FE649" s="76" t="e">
        <f t="shared" si="2802"/>
        <v>#REF!</v>
      </c>
      <c r="FF649" s="76" t="e">
        <f t="shared" si="2802"/>
        <v>#REF!</v>
      </c>
      <c r="FG649" s="76" t="e">
        <f t="shared" si="2802"/>
        <v>#REF!</v>
      </c>
      <c r="FH649" s="76" t="e">
        <f t="shared" si="2802"/>
        <v>#REF!</v>
      </c>
      <c r="FI649" s="76" t="e">
        <f t="shared" si="2802"/>
        <v>#REF!</v>
      </c>
    </row>
    <row r="650" spans="1:165" hidden="1" outlineLevel="1" x14ac:dyDescent="0.3">
      <c r="A650" s="809" t="s">
        <v>34</v>
      </c>
      <c r="DU650" s="76" t="e">
        <f>+DU661-DU631</f>
        <v>#REF!</v>
      </c>
      <c r="DV650" s="76" t="e">
        <f>+DV661-DV631</f>
        <v>#REF!</v>
      </c>
      <c r="DW650" s="76" t="e">
        <f>+DW661-DW631</f>
        <v>#REF!</v>
      </c>
      <c r="DX650" s="76" t="e">
        <f>+DX661-DX631</f>
        <v>#REF!</v>
      </c>
      <c r="DY650" s="85" t="e">
        <f>+SUM(DU650:DX650)</f>
        <v>#REF!</v>
      </c>
      <c r="DZ650" s="76" t="e">
        <f>+DZ661-DZ631</f>
        <v>#REF!</v>
      </c>
      <c r="EA650" s="76" t="e">
        <f>+EA661-EA631</f>
        <v>#REF!</v>
      </c>
      <c r="EB650" s="76" t="e">
        <f>+EB661-EB631</f>
        <v>#REF!</v>
      </c>
      <c r="EC650" s="76" t="e">
        <f>+EC661-EC631</f>
        <v>#REF!</v>
      </c>
      <c r="ED650" s="85" t="e">
        <f>+SUM(DZ650:EC650)</f>
        <v>#REF!</v>
      </c>
      <c r="EE650" s="76" t="e">
        <f>+EE661-EE631</f>
        <v>#REF!</v>
      </c>
      <c r="EF650" s="76" t="e">
        <f>+EF661-EF631</f>
        <v>#REF!</v>
      </c>
      <c r="EG650" s="76" t="e">
        <f>+EG661-EG631</f>
        <v>#REF!</v>
      </c>
      <c r="EH650" s="76" t="e">
        <f>+EH655*EH$651</f>
        <v>#REF!</v>
      </c>
      <c r="EI650" s="85" t="e">
        <f>+SUM(EE650:EH650)</f>
        <v>#REF!</v>
      </c>
      <c r="EJ650" s="76" t="e">
        <f t="shared" si="2799"/>
        <v>#REF!</v>
      </c>
      <c r="EK650" s="76" t="e">
        <f t="shared" si="2799"/>
        <v>#REF!</v>
      </c>
      <c r="EL650" s="76" t="e">
        <f t="shared" si="2799"/>
        <v>#REF!</v>
      </c>
      <c r="EM650" s="76" t="e">
        <f t="shared" si="2799"/>
        <v>#REF!</v>
      </c>
      <c r="EN650" s="85" t="e">
        <f>+SUM(EJ650:EM650)</f>
        <v>#REF!</v>
      </c>
      <c r="EO650" s="85"/>
      <c r="EP650" s="85"/>
      <c r="EQ650" s="85"/>
      <c r="ER650" s="85"/>
      <c r="ES650" s="76" t="e">
        <f t="shared" ref="ES650:FI650" si="2803">+ES655*ES$651</f>
        <v>#REF!</v>
      </c>
      <c r="ET650" s="76"/>
      <c r="EU650" s="76"/>
      <c r="EV650" s="76"/>
      <c r="EW650" s="76"/>
      <c r="EX650" s="76" t="e">
        <f t="shared" si="2803"/>
        <v>#REF!</v>
      </c>
      <c r="EY650" s="76"/>
      <c r="EZ650" s="76"/>
      <c r="FA650" s="76"/>
      <c r="FB650" s="76"/>
      <c r="FC650" s="76" t="e">
        <f t="shared" si="2803"/>
        <v>#REF!</v>
      </c>
      <c r="FD650" s="76" t="e">
        <f t="shared" si="2803"/>
        <v>#REF!</v>
      </c>
      <c r="FE650" s="76" t="e">
        <f t="shared" si="2803"/>
        <v>#REF!</v>
      </c>
      <c r="FF650" s="76" t="e">
        <f t="shared" si="2803"/>
        <v>#REF!</v>
      </c>
      <c r="FG650" s="76" t="e">
        <f t="shared" si="2803"/>
        <v>#REF!</v>
      </c>
      <c r="FH650" s="76" t="e">
        <f t="shared" si="2803"/>
        <v>#REF!</v>
      </c>
      <c r="FI650" s="76" t="e">
        <f t="shared" si="2803"/>
        <v>#REF!</v>
      </c>
    </row>
    <row r="651" spans="1:165" hidden="1" outlineLevel="1" x14ac:dyDescent="0.3">
      <c r="A651" s="810" t="s">
        <v>266</v>
      </c>
      <c r="DU651" s="803" t="e">
        <f>+SUM(DU647:DU650)</f>
        <v>#REF!</v>
      </c>
      <c r="DV651" s="803" t="e">
        <f>+SUM(DV647:DV650)</f>
        <v>#REF!</v>
      </c>
      <c r="DW651" s="803" t="e">
        <f>+SUM(DW647:DW650)</f>
        <v>#REF!</v>
      </c>
      <c r="DX651" s="803" t="e">
        <f>+SUM(DX647:DX650)</f>
        <v>#REF!</v>
      </c>
      <c r="DY651" s="803" t="e">
        <f>+SUM(DU651:DX651)</f>
        <v>#REF!</v>
      </c>
      <c r="DZ651" s="803" t="e">
        <f>+SUM(DZ647:DZ650)</f>
        <v>#REF!</v>
      </c>
      <c r="EA651" s="803" t="e">
        <f>+SUM(EA647:EA650)</f>
        <v>#REF!</v>
      </c>
      <c r="EB651" s="803" t="e">
        <f>+SUM(EB647:EB650)</f>
        <v>#REF!</v>
      </c>
      <c r="EC651" s="803" t="e">
        <f>+SUM(EC647:EC650)</f>
        <v>#REF!</v>
      </c>
      <c r="ED651" s="803" t="e">
        <f>+SUM(DZ651:EC651)</f>
        <v>#REF!</v>
      </c>
      <c r="EE651" s="803" t="e">
        <f>+SUM(EE647:EE650)</f>
        <v>#REF!</v>
      </c>
      <c r="EF651" s="803" t="e">
        <f>+SUM(EF647:EF650)</f>
        <v>#REF!</v>
      </c>
      <c r="EG651" s="803" t="e">
        <f>+SUM(EG647:EG650)</f>
        <v>#REF!</v>
      </c>
      <c r="EH651" s="803">
        <f>+EH633</f>
        <v>677</v>
      </c>
      <c r="EI651" s="803" t="e">
        <f>+SUM(EE651:EH651)</f>
        <v>#REF!</v>
      </c>
      <c r="EJ651" s="803">
        <f>+EJ633</f>
        <v>666</v>
      </c>
      <c r="EK651" s="803">
        <f>+EK633</f>
        <v>651</v>
      </c>
      <c r="EL651" s="803">
        <f>+EL633</f>
        <v>641</v>
      </c>
      <c r="EM651" s="803">
        <f>+EM633</f>
        <v>659</v>
      </c>
      <c r="EN651" s="803">
        <f>+SUM(EJ651:EM651)</f>
        <v>2617</v>
      </c>
      <c r="EO651" s="803"/>
      <c r="EP651" s="803"/>
      <c r="EQ651" s="803"/>
      <c r="ER651" s="803"/>
      <c r="ES651" s="804">
        <f t="shared" ref="ES651:FI651" si="2804">+ES633</f>
        <v>2579</v>
      </c>
      <c r="ET651" s="804"/>
      <c r="EU651" s="804"/>
      <c r="EV651" s="804"/>
      <c r="EW651" s="804"/>
      <c r="EX651" s="804">
        <f t="shared" si="2804"/>
        <v>2710</v>
      </c>
      <c r="EY651" s="804"/>
      <c r="EZ651" s="804"/>
      <c r="FA651" s="804"/>
      <c r="FB651" s="804"/>
      <c r="FC651" s="804">
        <f t="shared" si="2804"/>
        <v>2702.2882000013897</v>
      </c>
      <c r="FD651" s="804">
        <f t="shared" si="2804"/>
        <v>2697.6352130674022</v>
      </c>
      <c r="FE651" s="804">
        <f t="shared" si="2804"/>
        <v>2692.5401311688884</v>
      </c>
      <c r="FF651" s="804">
        <f t="shared" si="2804"/>
        <v>2687.9200451232196</v>
      </c>
      <c r="FG651" s="804">
        <f t="shared" si="2804"/>
        <v>2684.1546656111086</v>
      </c>
      <c r="FH651" s="804">
        <f t="shared" si="2804"/>
        <v>2682.1479728793042</v>
      </c>
      <c r="FI651" s="804">
        <f t="shared" si="2804"/>
        <v>2682.7331191159756</v>
      </c>
    </row>
    <row r="652" spans="1:165" hidden="1" outlineLevel="1" x14ac:dyDescent="0.3">
      <c r="A652" s="94" t="s">
        <v>543</v>
      </c>
      <c r="DU652" s="74" t="e">
        <f t="shared" ref="DU652:EG652" si="2805">+DU647/DU$651</f>
        <v>#REF!</v>
      </c>
      <c r="DV652" s="74" t="e">
        <f t="shared" si="2805"/>
        <v>#REF!</v>
      </c>
      <c r="DW652" s="74" t="e">
        <f t="shared" si="2805"/>
        <v>#REF!</v>
      </c>
      <c r="DX652" s="74" t="e">
        <f t="shared" si="2805"/>
        <v>#REF!</v>
      </c>
      <c r="DY652" s="92" t="e">
        <f t="shared" si="2805"/>
        <v>#REF!</v>
      </c>
      <c r="DZ652" s="74" t="e">
        <f t="shared" si="2805"/>
        <v>#REF!</v>
      </c>
      <c r="EA652" s="74" t="e">
        <f t="shared" si="2805"/>
        <v>#REF!</v>
      </c>
      <c r="EB652" s="74" t="e">
        <f t="shared" si="2805"/>
        <v>#REF!</v>
      </c>
      <c r="EC652" s="74" t="e">
        <f t="shared" si="2805"/>
        <v>#REF!</v>
      </c>
      <c r="ED652" s="92" t="e">
        <f t="shared" si="2805"/>
        <v>#REF!</v>
      </c>
      <c r="EE652" s="74" t="e">
        <f t="shared" si="2805"/>
        <v>#REF!</v>
      </c>
      <c r="EF652" s="74" t="e">
        <f t="shared" si="2805"/>
        <v>#REF!</v>
      </c>
      <c r="EG652" s="74" t="e">
        <f t="shared" si="2805"/>
        <v>#REF!</v>
      </c>
      <c r="EH652" s="99" t="e">
        <f>+EG652/EB652*EC652</f>
        <v>#REF!</v>
      </c>
      <c r="EI652" s="92" t="e">
        <f>+EI647/EI$651</f>
        <v>#REF!</v>
      </c>
      <c r="EJ652" s="99" t="e">
        <f t="shared" ref="EJ652:EM653" si="2806">+EI652/ED652*EE652*1.0025</f>
        <v>#REF!</v>
      </c>
      <c r="EK652" s="99" t="e">
        <f t="shared" si="2806"/>
        <v>#REF!</v>
      </c>
      <c r="EL652" s="99" t="e">
        <f t="shared" si="2806"/>
        <v>#REF!</v>
      </c>
      <c r="EM652" s="99" t="e">
        <f t="shared" si="2806"/>
        <v>#REF!</v>
      </c>
      <c r="EN652" s="92" t="e">
        <f>+EN647/EN$651</f>
        <v>#REF!</v>
      </c>
      <c r="EO652" s="92"/>
      <c r="EP652" s="92"/>
      <c r="EQ652" s="92"/>
      <c r="ER652" s="92"/>
      <c r="ES652" s="99" t="e">
        <f>+EN652/EI652*EN652*1.0025</f>
        <v>#REF!</v>
      </c>
      <c r="ET652" s="99"/>
      <c r="EU652" s="99"/>
      <c r="EV652" s="99"/>
      <c r="EW652" s="99"/>
      <c r="EX652" s="99" t="e">
        <f>+ES652/EN652*ES652*1.0025</f>
        <v>#REF!</v>
      </c>
      <c r="EY652" s="99"/>
      <c r="EZ652" s="99"/>
      <c r="FA652" s="99"/>
      <c r="FB652" s="99"/>
      <c r="FC652" s="99" t="e">
        <f>+EX652/ES652*EX652*1.0025</f>
        <v>#REF!</v>
      </c>
      <c r="FD652" s="99" t="e">
        <f>+FC652/EX652*FC652*1.0025</f>
        <v>#REF!</v>
      </c>
      <c r="FE652" s="99" t="e">
        <f t="shared" ref="FE652:FI652" si="2807">+FD652/FC652*FD652*1.0025</f>
        <v>#REF!</v>
      </c>
      <c r="FF652" s="99" t="e">
        <f t="shared" si="2807"/>
        <v>#REF!</v>
      </c>
      <c r="FG652" s="99" t="e">
        <f t="shared" si="2807"/>
        <v>#REF!</v>
      </c>
      <c r="FH652" s="99" t="e">
        <f t="shared" si="2807"/>
        <v>#REF!</v>
      </c>
      <c r="FI652" s="99" t="e">
        <f t="shared" si="2807"/>
        <v>#REF!</v>
      </c>
    </row>
    <row r="653" spans="1:165" hidden="1" outlineLevel="1" x14ac:dyDescent="0.3">
      <c r="A653" s="94" t="s">
        <v>544</v>
      </c>
      <c r="DU653" s="74" t="e">
        <f t="shared" ref="DU653:EG653" si="2808">+DU648/DU$651</f>
        <v>#REF!</v>
      </c>
      <c r="DV653" s="74" t="e">
        <f t="shared" si="2808"/>
        <v>#REF!</v>
      </c>
      <c r="DW653" s="74" t="e">
        <f t="shared" si="2808"/>
        <v>#REF!</v>
      </c>
      <c r="DX653" s="74" t="e">
        <f t="shared" si="2808"/>
        <v>#REF!</v>
      </c>
      <c r="DY653" s="92" t="e">
        <f t="shared" si="2808"/>
        <v>#REF!</v>
      </c>
      <c r="DZ653" s="74" t="e">
        <f t="shared" si="2808"/>
        <v>#REF!</v>
      </c>
      <c r="EA653" s="74" t="e">
        <f t="shared" si="2808"/>
        <v>#REF!</v>
      </c>
      <c r="EB653" s="74" t="e">
        <f t="shared" si="2808"/>
        <v>#REF!</v>
      </c>
      <c r="EC653" s="74" t="e">
        <f t="shared" si="2808"/>
        <v>#REF!</v>
      </c>
      <c r="ED653" s="92" t="e">
        <f t="shared" si="2808"/>
        <v>#REF!</v>
      </c>
      <c r="EE653" s="74" t="e">
        <f t="shared" si="2808"/>
        <v>#REF!</v>
      </c>
      <c r="EF653" s="74" t="e">
        <f t="shared" si="2808"/>
        <v>#REF!</v>
      </c>
      <c r="EG653" s="74" t="e">
        <f t="shared" si="2808"/>
        <v>#REF!</v>
      </c>
      <c r="EH653" s="99" t="e">
        <f>+EG653/EB653*EC653</f>
        <v>#REF!</v>
      </c>
      <c r="EI653" s="92" t="e">
        <f>+EI648/EI$651</f>
        <v>#REF!</v>
      </c>
      <c r="EJ653" s="99" t="e">
        <f t="shared" si="2806"/>
        <v>#REF!</v>
      </c>
      <c r="EK653" s="99" t="e">
        <f t="shared" si="2806"/>
        <v>#REF!</v>
      </c>
      <c r="EL653" s="99" t="e">
        <f t="shared" si="2806"/>
        <v>#REF!</v>
      </c>
      <c r="EM653" s="99" t="e">
        <f t="shared" si="2806"/>
        <v>#REF!</v>
      </c>
      <c r="EN653" s="92" t="e">
        <f>+EN648/EN$651</f>
        <v>#REF!</v>
      </c>
      <c r="EO653" s="92"/>
      <c r="EP653" s="92"/>
      <c r="EQ653" s="92"/>
      <c r="ER653" s="92"/>
      <c r="ES653" s="99" t="e">
        <f t="shared" ref="ES653:FI653" si="2809">1-SUM(ES654:ES655,ES652)</f>
        <v>#REF!</v>
      </c>
      <c r="ET653" s="99"/>
      <c r="EU653" s="99"/>
      <c r="EV653" s="99"/>
      <c r="EW653" s="99"/>
      <c r="EX653" s="99" t="e">
        <f t="shared" si="2809"/>
        <v>#REF!</v>
      </c>
      <c r="EY653" s="99"/>
      <c r="EZ653" s="99"/>
      <c r="FA653" s="99"/>
      <c r="FB653" s="99"/>
      <c r="FC653" s="99" t="e">
        <f t="shared" si="2809"/>
        <v>#REF!</v>
      </c>
      <c r="FD653" s="99" t="e">
        <f t="shared" si="2809"/>
        <v>#REF!</v>
      </c>
      <c r="FE653" s="99" t="e">
        <f t="shared" si="2809"/>
        <v>#REF!</v>
      </c>
      <c r="FF653" s="99" t="e">
        <f t="shared" si="2809"/>
        <v>#REF!</v>
      </c>
      <c r="FG653" s="99" t="e">
        <f t="shared" si="2809"/>
        <v>#REF!</v>
      </c>
      <c r="FH653" s="99" t="e">
        <f t="shared" si="2809"/>
        <v>#REF!</v>
      </c>
      <c r="FI653" s="99" t="e">
        <f t="shared" si="2809"/>
        <v>#REF!</v>
      </c>
    </row>
    <row r="654" spans="1:165" hidden="1" outlineLevel="1" x14ac:dyDescent="0.3">
      <c r="A654" s="94" t="s">
        <v>545</v>
      </c>
      <c r="DU654" s="74" t="e">
        <f t="shared" ref="DU654:EG654" si="2810">+DU649/DU$651</f>
        <v>#REF!</v>
      </c>
      <c r="DV654" s="74" t="e">
        <f t="shared" si="2810"/>
        <v>#REF!</v>
      </c>
      <c r="DW654" s="74" t="e">
        <f t="shared" si="2810"/>
        <v>#REF!</v>
      </c>
      <c r="DX654" s="74" t="e">
        <f t="shared" si="2810"/>
        <v>#REF!</v>
      </c>
      <c r="DY654" s="92" t="e">
        <f t="shared" si="2810"/>
        <v>#REF!</v>
      </c>
      <c r="DZ654" s="74" t="e">
        <f t="shared" si="2810"/>
        <v>#REF!</v>
      </c>
      <c r="EA654" s="74" t="e">
        <f t="shared" si="2810"/>
        <v>#REF!</v>
      </c>
      <c r="EB654" s="74" t="e">
        <f t="shared" si="2810"/>
        <v>#REF!</v>
      </c>
      <c r="EC654" s="74" t="e">
        <f t="shared" si="2810"/>
        <v>#REF!</v>
      </c>
      <c r="ED654" s="92" t="e">
        <f t="shared" si="2810"/>
        <v>#REF!</v>
      </c>
      <c r="EE654" s="74" t="e">
        <f t="shared" si="2810"/>
        <v>#REF!</v>
      </c>
      <c r="EF654" s="74" t="e">
        <f t="shared" si="2810"/>
        <v>#REF!</v>
      </c>
      <c r="EG654" s="74" t="e">
        <f t="shared" si="2810"/>
        <v>#REF!</v>
      </c>
      <c r="EH654" s="99" t="e">
        <f>EG654*0.99</f>
        <v>#REF!</v>
      </c>
      <c r="EI654" s="92" t="e">
        <f>+EI649/EI$651</f>
        <v>#REF!</v>
      </c>
      <c r="EJ654" s="99" t="e">
        <f>EH654*0.975</f>
        <v>#REF!</v>
      </c>
      <c r="EK654" s="99" t="e">
        <f>EJ654*0.975</f>
        <v>#REF!</v>
      </c>
      <c r="EL654" s="99" t="e">
        <f>EK654*0.975</f>
        <v>#REF!</v>
      </c>
      <c r="EM654" s="99" t="e">
        <f>EL654*0.975</f>
        <v>#REF!</v>
      </c>
      <c r="EN654" s="92" t="e">
        <f>+EN649/EN$651</f>
        <v>#REF!</v>
      </c>
      <c r="EO654" s="92"/>
      <c r="EP654" s="92"/>
      <c r="EQ654" s="92"/>
      <c r="ER654" s="92"/>
      <c r="ES654" s="99" t="e">
        <f>EN654*0.9</f>
        <v>#REF!</v>
      </c>
      <c r="ET654" s="99"/>
      <c r="EU654" s="99"/>
      <c r="EV654" s="99"/>
      <c r="EW654" s="99"/>
      <c r="EX654" s="99" t="e">
        <f>ES654*0.9</f>
        <v>#REF!</v>
      </c>
      <c r="EY654" s="99"/>
      <c r="EZ654" s="99"/>
      <c r="FA654" s="99"/>
      <c r="FB654" s="99"/>
      <c r="FC654" s="99" t="e">
        <f>EX654*0.9</f>
        <v>#REF!</v>
      </c>
      <c r="FD654" s="99" t="e">
        <f t="shared" ref="FD654:FI654" si="2811">FC654*0.9</f>
        <v>#REF!</v>
      </c>
      <c r="FE654" s="99" t="e">
        <f t="shared" si="2811"/>
        <v>#REF!</v>
      </c>
      <c r="FF654" s="99" t="e">
        <f t="shared" si="2811"/>
        <v>#REF!</v>
      </c>
      <c r="FG654" s="99" t="e">
        <f t="shared" si="2811"/>
        <v>#REF!</v>
      </c>
      <c r="FH654" s="99" t="e">
        <f t="shared" si="2811"/>
        <v>#REF!</v>
      </c>
      <c r="FI654" s="99" t="e">
        <f t="shared" si="2811"/>
        <v>#REF!</v>
      </c>
    </row>
    <row r="655" spans="1:165" hidden="1" outlineLevel="1" x14ac:dyDescent="0.3">
      <c r="A655" s="94" t="s">
        <v>546</v>
      </c>
      <c r="DU655" s="74" t="e">
        <f t="shared" ref="DU655:EG655" si="2812">+DU650/DU$651</f>
        <v>#REF!</v>
      </c>
      <c r="DV655" s="74" t="e">
        <f t="shared" si="2812"/>
        <v>#REF!</v>
      </c>
      <c r="DW655" s="74" t="e">
        <f t="shared" si="2812"/>
        <v>#REF!</v>
      </c>
      <c r="DX655" s="74" t="e">
        <f t="shared" si="2812"/>
        <v>#REF!</v>
      </c>
      <c r="DY655" s="92" t="e">
        <f t="shared" si="2812"/>
        <v>#REF!</v>
      </c>
      <c r="DZ655" s="74" t="e">
        <f t="shared" si="2812"/>
        <v>#REF!</v>
      </c>
      <c r="EA655" s="74" t="e">
        <f t="shared" si="2812"/>
        <v>#REF!</v>
      </c>
      <c r="EB655" s="74" t="e">
        <f t="shared" si="2812"/>
        <v>#REF!</v>
      </c>
      <c r="EC655" s="74" t="e">
        <f t="shared" si="2812"/>
        <v>#REF!</v>
      </c>
      <c r="ED655" s="92" t="e">
        <f t="shared" si="2812"/>
        <v>#REF!</v>
      </c>
      <c r="EE655" s="74" t="e">
        <f t="shared" si="2812"/>
        <v>#REF!</v>
      </c>
      <c r="EF655" s="74" t="e">
        <f t="shared" si="2812"/>
        <v>#REF!</v>
      </c>
      <c r="EG655" s="74" t="e">
        <f t="shared" si="2812"/>
        <v>#REF!</v>
      </c>
      <c r="EH655" s="99" t="e">
        <f t="shared" ref="EH655:EM655" si="2813">1-SUM(EH652:EH654)</f>
        <v>#REF!</v>
      </c>
      <c r="EI655" s="92" t="e">
        <f>+EI650/EI$651</f>
        <v>#REF!</v>
      </c>
      <c r="EJ655" s="99" t="e">
        <f t="shared" si="2813"/>
        <v>#REF!</v>
      </c>
      <c r="EK655" s="99" t="e">
        <f t="shared" si="2813"/>
        <v>#REF!</v>
      </c>
      <c r="EL655" s="99" t="e">
        <f t="shared" si="2813"/>
        <v>#REF!</v>
      </c>
      <c r="EM655" s="99" t="e">
        <f t="shared" si="2813"/>
        <v>#REF!</v>
      </c>
      <c r="EN655" s="92" t="e">
        <f>+EN650/EN$651</f>
        <v>#REF!</v>
      </c>
      <c r="EO655" s="92"/>
      <c r="EP655" s="92"/>
      <c r="EQ655" s="92"/>
      <c r="ER655" s="92"/>
      <c r="ES655" s="99" t="e">
        <f>+EN655*0.98</f>
        <v>#REF!</v>
      </c>
      <c r="ET655" s="99"/>
      <c r="EU655" s="99"/>
      <c r="EV655" s="99"/>
      <c r="EW655" s="99"/>
      <c r="EX655" s="99" t="e">
        <f>+ES655*0.98</f>
        <v>#REF!</v>
      </c>
      <c r="EY655" s="99"/>
      <c r="EZ655" s="99"/>
      <c r="FA655" s="99"/>
      <c r="FB655" s="99"/>
      <c r="FC655" s="99" t="e">
        <f>+EX655*0.98</f>
        <v>#REF!</v>
      </c>
      <c r="FD655" s="99" t="e">
        <f t="shared" ref="FD655:FI655" si="2814">+FC655*0.98</f>
        <v>#REF!</v>
      </c>
      <c r="FE655" s="99" t="e">
        <f t="shared" si="2814"/>
        <v>#REF!</v>
      </c>
      <c r="FF655" s="99" t="e">
        <f t="shared" si="2814"/>
        <v>#REF!</v>
      </c>
      <c r="FG655" s="99" t="e">
        <f t="shared" si="2814"/>
        <v>#REF!</v>
      </c>
      <c r="FH655" s="99" t="e">
        <f t="shared" si="2814"/>
        <v>#REF!</v>
      </c>
      <c r="FI655" s="99" t="e">
        <f t="shared" si="2814"/>
        <v>#REF!</v>
      </c>
    </row>
    <row r="656" spans="1:165" hidden="1" outlineLevel="1" x14ac:dyDescent="0.3">
      <c r="DZ656" s="75"/>
      <c r="EA656" s="75"/>
      <c r="EB656" s="75"/>
      <c r="EC656" s="75"/>
      <c r="ED656" s="84"/>
      <c r="EE656" s="75"/>
      <c r="EF656" s="75"/>
      <c r="EG656" s="75"/>
      <c r="EH656" s="75"/>
      <c r="EI656" s="84"/>
      <c r="EJ656" s="75"/>
      <c r="EK656" s="75"/>
      <c r="EL656" s="75"/>
      <c r="EM656" s="75"/>
      <c r="EN656" s="84"/>
      <c r="EO656" s="84"/>
      <c r="EP656" s="84"/>
      <c r="EQ656" s="84"/>
      <c r="ER656" s="84"/>
      <c r="ES656" s="75"/>
      <c r="ET656" s="75"/>
      <c r="EU656" s="75"/>
      <c r="EV656" s="75"/>
      <c r="EW656" s="75"/>
      <c r="FC656" s="75"/>
      <c r="FD656" s="75"/>
      <c r="FE656" s="75"/>
      <c r="FF656" s="75"/>
      <c r="FG656" s="75"/>
      <c r="FH656" s="75"/>
      <c r="FI656" s="75"/>
    </row>
    <row r="657" spans="1:165" hidden="1" outlineLevel="1" x14ac:dyDescent="0.3">
      <c r="A657" s="55" t="s">
        <v>547</v>
      </c>
      <c r="DZ657" s="75"/>
      <c r="EA657" s="75"/>
      <c r="EB657" s="75"/>
      <c r="EC657" s="75"/>
      <c r="ED657" s="84"/>
      <c r="EE657" s="75"/>
      <c r="EF657" s="75"/>
      <c r="EG657" s="75"/>
      <c r="EH657" s="75"/>
      <c r="EI657" s="84"/>
      <c r="EJ657" s="75"/>
      <c r="EK657" s="75"/>
      <c r="EL657" s="75"/>
      <c r="EM657" s="75"/>
      <c r="EN657" s="84"/>
      <c r="EO657" s="84"/>
      <c r="EP657" s="84"/>
      <c r="EQ657" s="84"/>
      <c r="ER657" s="84"/>
      <c r="ES657" s="75"/>
      <c r="ET657" s="75"/>
      <c r="EU657" s="75"/>
      <c r="EV657" s="75"/>
      <c r="EW657" s="75"/>
      <c r="FC657" s="75"/>
      <c r="FD657" s="75"/>
      <c r="FE657" s="75"/>
      <c r="FF657" s="75"/>
      <c r="FG657" s="75"/>
      <c r="FH657" s="75"/>
      <c r="FI657" s="75"/>
    </row>
    <row r="658" spans="1:165" hidden="1" outlineLevel="1" x14ac:dyDescent="0.3">
      <c r="A658" s="809" t="s">
        <v>541</v>
      </c>
      <c r="DU658" s="79">
        <f>+Inputs!DU510</f>
        <v>888</v>
      </c>
      <c r="DV658" s="79">
        <f>+Inputs!DV510</f>
        <v>885</v>
      </c>
      <c r="DW658" s="79">
        <f>+Inputs!DW510</f>
        <v>851</v>
      </c>
      <c r="DX658" s="79">
        <f>+Inputs!DX510</f>
        <v>822</v>
      </c>
      <c r="DY658" s="85">
        <f>+SUM(DU658:DX658)</f>
        <v>3446</v>
      </c>
      <c r="DZ658" s="79">
        <f>+Inputs!DZ510</f>
        <v>855</v>
      </c>
      <c r="EA658" s="79">
        <f>Inputs!EA194</f>
        <v>849</v>
      </c>
      <c r="EB658" s="79">
        <f>+Inputs!EB510</f>
        <v>838</v>
      </c>
      <c r="EC658" s="79">
        <f>+Inputs!EC510</f>
        <v>834</v>
      </c>
      <c r="ED658" s="85">
        <f>+SUM(DZ658:EC658)</f>
        <v>3376</v>
      </c>
      <c r="EE658" s="79">
        <f>+Inputs!EE510</f>
        <v>842</v>
      </c>
      <c r="EF658" s="79">
        <f>Inputs!EF194</f>
        <v>839</v>
      </c>
      <c r="EG658" s="79">
        <f>Inputs!EG194</f>
        <v>834</v>
      </c>
      <c r="EH658" s="76" t="e">
        <f>+EH647+EH619</f>
        <v>#REF!</v>
      </c>
      <c r="EI658" s="85" t="e">
        <f>+SUM(EE658:EH658)</f>
        <v>#REF!</v>
      </c>
      <c r="EJ658" s="76" t="e">
        <f>+EJ647+EJ619</f>
        <v>#REF!</v>
      </c>
      <c r="EK658" s="76" t="e">
        <f>+EK647+EK619</f>
        <v>#REF!</v>
      </c>
      <c r="EL658" s="76" t="e">
        <f>+EL647+EL619</f>
        <v>#REF!</v>
      </c>
      <c r="EM658" s="76" t="e">
        <f>+EM647+EM619</f>
        <v>#REF!</v>
      </c>
      <c r="EN658" s="85" t="e">
        <f>+SUM(EJ658:EM658)</f>
        <v>#REF!</v>
      </c>
      <c r="EO658" s="85"/>
      <c r="EP658" s="85"/>
      <c r="EQ658" s="85"/>
      <c r="ER658" s="85"/>
      <c r="ES658" s="76" t="e">
        <f t="shared" ref="ES658:FI658" si="2815">+ES647+ES619</f>
        <v>#REF!</v>
      </c>
      <c r="ET658" s="76"/>
      <c r="EU658" s="76"/>
      <c r="EV658" s="76"/>
      <c r="EW658" s="76"/>
      <c r="EX658" s="76" t="e">
        <f t="shared" si="2815"/>
        <v>#REF!</v>
      </c>
      <c r="EY658" s="76"/>
      <c r="EZ658" s="76"/>
      <c r="FA658" s="76"/>
      <c r="FB658" s="76"/>
      <c r="FC658" s="76" t="e">
        <f t="shared" si="2815"/>
        <v>#REF!</v>
      </c>
      <c r="FD658" s="76" t="e">
        <f t="shared" si="2815"/>
        <v>#REF!</v>
      </c>
      <c r="FE658" s="76" t="e">
        <f t="shared" si="2815"/>
        <v>#REF!</v>
      </c>
      <c r="FF658" s="76" t="e">
        <f t="shared" si="2815"/>
        <v>#REF!</v>
      </c>
      <c r="FG658" s="76" t="e">
        <f t="shared" si="2815"/>
        <v>#REF!</v>
      </c>
      <c r="FH658" s="76" t="e">
        <f t="shared" si="2815"/>
        <v>#REF!</v>
      </c>
      <c r="FI658" s="76" t="e">
        <f t="shared" si="2815"/>
        <v>#REF!</v>
      </c>
    </row>
    <row r="659" spans="1:165" hidden="1" outlineLevel="1" x14ac:dyDescent="0.3">
      <c r="A659" s="809" t="s">
        <v>542</v>
      </c>
      <c r="DU659" s="79">
        <f>+Inputs!DU511</f>
        <v>604</v>
      </c>
      <c r="DV659" s="79">
        <f>+Inputs!DV511</f>
        <v>582</v>
      </c>
      <c r="DW659" s="79">
        <f>+Inputs!DW511</f>
        <v>574</v>
      </c>
      <c r="DX659" s="79">
        <f>+Inputs!DX511</f>
        <v>555</v>
      </c>
      <c r="DY659" s="85">
        <f>+SUM(DU659:DX659)</f>
        <v>2315</v>
      </c>
      <c r="DZ659" s="79">
        <f>+Inputs!DZ511</f>
        <v>529</v>
      </c>
      <c r="EA659" s="79">
        <f>Inputs!EA195</f>
        <v>509</v>
      </c>
      <c r="EB659" s="79">
        <f>+Inputs!EB511</f>
        <v>500</v>
      </c>
      <c r="EC659" s="79">
        <f>+Inputs!EC511</f>
        <v>490</v>
      </c>
      <c r="ED659" s="85">
        <f>+SUM(DZ659:EC659)</f>
        <v>2028</v>
      </c>
      <c r="EE659" s="79">
        <f>+Inputs!EE511</f>
        <v>487</v>
      </c>
      <c r="EF659" s="79">
        <f>Inputs!EF195</f>
        <v>443</v>
      </c>
      <c r="EG659" s="79">
        <f>Inputs!EG195</f>
        <v>411</v>
      </c>
      <c r="EH659" s="76" t="e">
        <f>+EH648+EH627</f>
        <v>#REF!</v>
      </c>
      <c r="EI659" s="85" t="e">
        <f>+SUM(EE659:EH659)</f>
        <v>#REF!</v>
      </c>
      <c r="EJ659" s="76" t="e">
        <f>+EJ648+EJ627</f>
        <v>#REF!</v>
      </c>
      <c r="EK659" s="76" t="e">
        <f>+EK648+EK627</f>
        <v>#REF!</v>
      </c>
      <c r="EL659" s="76" t="e">
        <f>+EL648+EL627</f>
        <v>#REF!</v>
      </c>
      <c r="EM659" s="76" t="e">
        <f>+EM648+EM627</f>
        <v>#REF!</v>
      </c>
      <c r="EN659" s="85" t="e">
        <f>+SUM(EJ659:EM659)</f>
        <v>#REF!</v>
      </c>
      <c r="EO659" s="85"/>
      <c r="EP659" s="85"/>
      <c r="EQ659" s="85"/>
      <c r="ER659" s="85"/>
      <c r="ES659" s="76" t="e">
        <f t="shared" ref="ES659:FI659" si="2816">+ES648+ES627</f>
        <v>#REF!</v>
      </c>
      <c r="ET659" s="76"/>
      <c r="EU659" s="76"/>
      <c r="EV659" s="76"/>
      <c r="EW659" s="76"/>
      <c r="EX659" s="76" t="e">
        <f t="shared" si="2816"/>
        <v>#REF!</v>
      </c>
      <c r="EY659" s="76"/>
      <c r="EZ659" s="76"/>
      <c r="FA659" s="76"/>
      <c r="FB659" s="76"/>
      <c r="FC659" s="76" t="e">
        <f t="shared" si="2816"/>
        <v>#REF!</v>
      </c>
      <c r="FD659" s="76" t="e">
        <f t="shared" si="2816"/>
        <v>#REF!</v>
      </c>
      <c r="FE659" s="76" t="e">
        <f t="shared" si="2816"/>
        <v>#REF!</v>
      </c>
      <c r="FF659" s="76" t="e">
        <f t="shared" si="2816"/>
        <v>#REF!</v>
      </c>
      <c r="FG659" s="76" t="e">
        <f t="shared" si="2816"/>
        <v>#REF!</v>
      </c>
      <c r="FH659" s="76" t="e">
        <f t="shared" si="2816"/>
        <v>#REF!</v>
      </c>
      <c r="FI659" s="76" t="e">
        <f t="shared" si="2816"/>
        <v>#REF!</v>
      </c>
    </row>
    <row r="660" spans="1:165" hidden="1" outlineLevel="1" x14ac:dyDescent="0.3">
      <c r="A660" s="809" t="s">
        <v>461</v>
      </c>
      <c r="DU660" s="79">
        <f>+Inputs!DU512</f>
        <v>255</v>
      </c>
      <c r="DV660" s="79">
        <f>+Inputs!DV512</f>
        <v>248</v>
      </c>
      <c r="DW660" s="79">
        <f>+Inputs!DW512</f>
        <v>233</v>
      </c>
      <c r="DX660" s="79">
        <f>+Inputs!DX512</f>
        <v>222</v>
      </c>
      <c r="DY660" s="85">
        <f>+SUM(DU660:DX660)</f>
        <v>958</v>
      </c>
      <c r="DZ660" s="79">
        <f>+Inputs!DZ512</f>
        <v>212</v>
      </c>
      <c r="EA660" s="79">
        <f>Inputs!EA196</f>
        <v>197</v>
      </c>
      <c r="EB660" s="79">
        <f>+Inputs!EB512</f>
        <v>186</v>
      </c>
      <c r="EC660" s="79">
        <f>+Inputs!EC512</f>
        <v>181</v>
      </c>
      <c r="ED660" s="85">
        <f>+SUM(DZ660:EC660)</f>
        <v>776</v>
      </c>
      <c r="EE660" s="79">
        <f>+Inputs!EE512</f>
        <v>169</v>
      </c>
      <c r="EF660" s="79">
        <f>Inputs!EF196</f>
        <v>159</v>
      </c>
      <c r="EG660" s="79">
        <f>Inputs!EG196</f>
        <v>149</v>
      </c>
      <c r="EH660" s="76" t="e">
        <f>+EH649+EH623</f>
        <v>#REF!</v>
      </c>
      <c r="EI660" s="85" t="e">
        <f>+SUM(EE660:EH660)</f>
        <v>#REF!</v>
      </c>
      <c r="EJ660" s="76" t="e">
        <f>+EJ649+EJ623</f>
        <v>#REF!</v>
      </c>
      <c r="EK660" s="76" t="e">
        <f>+EK649+EK623</f>
        <v>#REF!</v>
      </c>
      <c r="EL660" s="76" t="e">
        <f>+EL649+EL623</f>
        <v>#REF!</v>
      </c>
      <c r="EM660" s="76" t="e">
        <f>+EM649+EM623</f>
        <v>#REF!</v>
      </c>
      <c r="EN660" s="85" t="e">
        <f>+SUM(EJ660:EM660)</f>
        <v>#REF!</v>
      </c>
      <c r="EO660" s="85"/>
      <c r="EP660" s="85"/>
      <c r="EQ660" s="85"/>
      <c r="ER660" s="85"/>
      <c r="ES660" s="76" t="e">
        <f t="shared" ref="ES660:FI660" si="2817">+ES649+ES623</f>
        <v>#REF!</v>
      </c>
      <c r="ET660" s="76"/>
      <c r="EU660" s="76"/>
      <c r="EV660" s="76"/>
      <c r="EW660" s="76"/>
      <c r="EX660" s="76" t="e">
        <f t="shared" si="2817"/>
        <v>#REF!</v>
      </c>
      <c r="EY660" s="76"/>
      <c r="EZ660" s="76"/>
      <c r="FA660" s="76"/>
      <c r="FB660" s="76"/>
      <c r="FC660" s="76" t="e">
        <f t="shared" si="2817"/>
        <v>#REF!</v>
      </c>
      <c r="FD660" s="76" t="e">
        <f t="shared" si="2817"/>
        <v>#REF!</v>
      </c>
      <c r="FE660" s="76" t="e">
        <f t="shared" si="2817"/>
        <v>#REF!</v>
      </c>
      <c r="FF660" s="76" t="e">
        <f t="shared" si="2817"/>
        <v>#REF!</v>
      </c>
      <c r="FG660" s="76" t="e">
        <f t="shared" si="2817"/>
        <v>#REF!</v>
      </c>
      <c r="FH660" s="76" t="e">
        <f t="shared" si="2817"/>
        <v>#REF!</v>
      </c>
      <c r="FI660" s="76" t="e">
        <f t="shared" si="2817"/>
        <v>#REF!</v>
      </c>
    </row>
    <row r="661" spans="1:165" hidden="1" outlineLevel="1" x14ac:dyDescent="0.3">
      <c r="A661" s="809" t="s">
        <v>34</v>
      </c>
      <c r="DU661" s="79">
        <f>+Inputs!DU513</f>
        <v>113</v>
      </c>
      <c r="DV661" s="79">
        <f>+Inputs!DV513</f>
        <v>111</v>
      </c>
      <c r="DW661" s="79">
        <f>+Inputs!DW513</f>
        <v>106</v>
      </c>
      <c r="DX661" s="79">
        <f>+Inputs!DX513</f>
        <v>108</v>
      </c>
      <c r="DY661" s="85">
        <f>+SUM(DU661:DX661)</f>
        <v>438</v>
      </c>
      <c r="DZ661" s="79">
        <f>+Inputs!DZ513</f>
        <v>108</v>
      </c>
      <c r="EA661" s="79">
        <f>Inputs!EA197</f>
        <v>105</v>
      </c>
      <c r="EB661" s="79">
        <f>+Inputs!EB513</f>
        <v>103</v>
      </c>
      <c r="EC661" s="79">
        <f>+Inputs!EC513</f>
        <v>101</v>
      </c>
      <c r="ED661" s="85">
        <f>+SUM(DZ661:EC661)</f>
        <v>417</v>
      </c>
      <c r="EE661" s="79">
        <f>+Inputs!EE513</f>
        <v>95</v>
      </c>
      <c r="EF661" s="79">
        <f>Inputs!EF197</f>
        <v>92</v>
      </c>
      <c r="EG661" s="79">
        <f>Inputs!EG197</f>
        <v>99</v>
      </c>
      <c r="EH661" s="76" t="e">
        <f t="shared" ref="EH661:FI661" si="2818">+EH650+EH631</f>
        <v>#REF!</v>
      </c>
      <c r="EI661" s="85" t="e">
        <f>+SUM(EE661:EH661)</f>
        <v>#REF!</v>
      </c>
      <c r="EJ661" s="76" t="e">
        <f>+EJ650+EJ631</f>
        <v>#REF!</v>
      </c>
      <c r="EK661" s="76" t="e">
        <f>+EK650+EK631</f>
        <v>#REF!</v>
      </c>
      <c r="EL661" s="76" t="e">
        <f>+EL650+EL631</f>
        <v>#REF!</v>
      </c>
      <c r="EM661" s="76" t="e">
        <f>+EM650+EM631</f>
        <v>#REF!</v>
      </c>
      <c r="EN661" s="85" t="e">
        <f>+SUM(EJ661:EM661)</f>
        <v>#REF!</v>
      </c>
      <c r="EO661" s="85"/>
      <c r="EP661" s="85"/>
      <c r="EQ661" s="85"/>
      <c r="ER661" s="85"/>
      <c r="ES661" s="76" t="e">
        <f t="shared" si="2818"/>
        <v>#REF!</v>
      </c>
      <c r="ET661" s="76"/>
      <c r="EU661" s="76"/>
      <c r="EV661" s="76"/>
      <c r="EW661" s="76"/>
      <c r="EX661" s="76" t="e">
        <f t="shared" si="2818"/>
        <v>#REF!</v>
      </c>
      <c r="EY661" s="76"/>
      <c r="EZ661" s="76"/>
      <c r="FA661" s="76"/>
      <c r="FB661" s="76"/>
      <c r="FC661" s="76" t="e">
        <f t="shared" si="2818"/>
        <v>#REF!</v>
      </c>
      <c r="FD661" s="76" t="e">
        <f t="shared" si="2818"/>
        <v>#REF!</v>
      </c>
      <c r="FE661" s="76" t="e">
        <f t="shared" si="2818"/>
        <v>#REF!</v>
      </c>
      <c r="FF661" s="76" t="e">
        <f t="shared" si="2818"/>
        <v>#REF!</v>
      </c>
      <c r="FG661" s="76" t="e">
        <f t="shared" si="2818"/>
        <v>#REF!</v>
      </c>
      <c r="FH661" s="76" t="e">
        <f t="shared" si="2818"/>
        <v>#REF!</v>
      </c>
      <c r="FI661" s="76" t="e">
        <f t="shared" si="2818"/>
        <v>#REF!</v>
      </c>
    </row>
    <row r="662" spans="1:165" hidden="1" outlineLevel="1" x14ac:dyDescent="0.3">
      <c r="A662" s="810" t="s">
        <v>35</v>
      </c>
      <c r="DU662" s="803">
        <f>+SUM(DU658:DU661)</f>
        <v>1860</v>
      </c>
      <c r="DV662" s="803">
        <f>+SUM(DV658:DV661)</f>
        <v>1826</v>
      </c>
      <c r="DW662" s="803">
        <f>+SUM(DW658:DW661)</f>
        <v>1764</v>
      </c>
      <c r="DX662" s="803">
        <f>+SUM(DX658:DX661)</f>
        <v>1707</v>
      </c>
      <c r="DY662" s="803">
        <f>+SUM(DU662:DX662)</f>
        <v>7157</v>
      </c>
      <c r="DZ662" s="803">
        <f>+SUM(DZ658:DZ661)</f>
        <v>1704</v>
      </c>
      <c r="EA662" s="803">
        <f>+SUM(EA658:EA661)</f>
        <v>1660</v>
      </c>
      <c r="EB662" s="803">
        <f>+SUM(EB658:EB661)</f>
        <v>1627</v>
      </c>
      <c r="EC662" s="803">
        <f>+SUM(EC658:EC661)</f>
        <v>1606</v>
      </c>
      <c r="ED662" s="803">
        <f>+SUM(DZ662:EC662)</f>
        <v>6597</v>
      </c>
      <c r="EE662" s="803">
        <f>+SUM(EE658:EE661)</f>
        <v>1593</v>
      </c>
      <c r="EF662" s="803">
        <f>+SUM(EF658:EF661)</f>
        <v>1533</v>
      </c>
      <c r="EG662" s="803">
        <f>+SUM(EG658:EG661)</f>
        <v>1493</v>
      </c>
      <c r="EH662" s="803" t="e">
        <f t="shared" ref="EH662:EM662" si="2819">+SUM(EH658:EH661)</f>
        <v>#REF!</v>
      </c>
      <c r="EI662" s="803" t="e">
        <f>+SUM(EE662:EH662)</f>
        <v>#REF!</v>
      </c>
      <c r="EJ662" s="803" t="e">
        <f t="shared" si="2819"/>
        <v>#REF!</v>
      </c>
      <c r="EK662" s="803" t="e">
        <f t="shared" si="2819"/>
        <v>#REF!</v>
      </c>
      <c r="EL662" s="803" t="e">
        <f t="shared" si="2819"/>
        <v>#REF!</v>
      </c>
      <c r="EM662" s="803" t="e">
        <f t="shared" si="2819"/>
        <v>#REF!</v>
      </c>
      <c r="EN662" s="803" t="e">
        <f>+SUM(EJ662:EM662)</f>
        <v>#REF!</v>
      </c>
      <c r="EO662" s="803"/>
      <c r="EP662" s="803"/>
      <c r="EQ662" s="803"/>
      <c r="ER662" s="803"/>
      <c r="ES662" s="803" t="e">
        <f t="shared" ref="ES662:FI662" si="2820">+SUM(ES658:ES661)</f>
        <v>#REF!</v>
      </c>
      <c r="ET662" s="803"/>
      <c r="EU662" s="803"/>
      <c r="EV662" s="803"/>
      <c r="EW662" s="803"/>
      <c r="EX662" s="803" t="e">
        <f t="shared" si="2820"/>
        <v>#REF!</v>
      </c>
      <c r="EY662" s="803"/>
      <c r="EZ662" s="803"/>
      <c r="FA662" s="803"/>
      <c r="FB662" s="803"/>
      <c r="FC662" s="803" t="e">
        <f t="shared" si="2820"/>
        <v>#REF!</v>
      </c>
      <c r="FD662" s="803" t="e">
        <f t="shared" si="2820"/>
        <v>#REF!</v>
      </c>
      <c r="FE662" s="803" t="e">
        <f t="shared" si="2820"/>
        <v>#REF!</v>
      </c>
      <c r="FF662" s="803" t="e">
        <f t="shared" si="2820"/>
        <v>#REF!</v>
      </c>
      <c r="FG662" s="803" t="e">
        <f t="shared" si="2820"/>
        <v>#REF!</v>
      </c>
      <c r="FH662" s="803" t="e">
        <f t="shared" si="2820"/>
        <v>#REF!</v>
      </c>
      <c r="FI662" s="803" t="e">
        <f t="shared" si="2820"/>
        <v>#REF!</v>
      </c>
    </row>
    <row r="663" spans="1:165" hidden="1" collapsed="1" x14ac:dyDescent="0.3">
      <c r="A663" s="811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  <c r="AA663" s="114"/>
      <c r="AB663" s="114"/>
      <c r="AC663" s="114"/>
      <c r="AD663" s="114"/>
      <c r="AE663" s="114"/>
      <c r="AF663" s="114"/>
      <c r="AG663" s="114"/>
      <c r="AH663" s="114"/>
      <c r="AI663" s="114"/>
      <c r="AJ663" s="114"/>
      <c r="AK663" s="114"/>
      <c r="AL663" s="114"/>
      <c r="AM663" s="114"/>
      <c r="AN663" s="114"/>
      <c r="AO663" s="114"/>
      <c r="AP663" s="114"/>
      <c r="AQ663" s="114"/>
      <c r="AR663" s="114"/>
      <c r="AS663" s="114"/>
      <c r="AT663" s="114"/>
      <c r="AU663" s="114"/>
      <c r="AV663" s="114"/>
      <c r="AW663" s="114"/>
      <c r="AX663" s="114"/>
      <c r="AY663" s="114"/>
      <c r="AZ663" s="114"/>
      <c r="BA663" s="114"/>
      <c r="BB663" s="114"/>
      <c r="BC663" s="114"/>
      <c r="BD663" s="114"/>
      <c r="BE663" s="114"/>
      <c r="BF663" s="114"/>
      <c r="BG663" s="114"/>
      <c r="BH663" s="114"/>
      <c r="BI663" s="114"/>
      <c r="BJ663" s="114"/>
      <c r="BK663" s="114"/>
      <c r="BL663" s="114"/>
      <c r="BM663" s="114"/>
      <c r="BN663" s="114"/>
      <c r="BO663" s="114"/>
      <c r="BP663" s="114"/>
      <c r="BQ663" s="114"/>
      <c r="BR663" s="114"/>
      <c r="BS663" s="114"/>
      <c r="BT663" s="114"/>
      <c r="BU663" s="114"/>
      <c r="BV663" s="114"/>
      <c r="BW663" s="114"/>
      <c r="BX663" s="114"/>
      <c r="BY663" s="114"/>
      <c r="BZ663" s="114"/>
      <c r="CA663" s="114"/>
      <c r="CB663" s="114"/>
      <c r="CC663" s="114"/>
      <c r="CD663" s="114"/>
      <c r="CE663" s="114"/>
      <c r="CF663" s="114"/>
      <c r="CG663" s="114"/>
      <c r="CH663" s="114"/>
      <c r="CI663" s="114"/>
      <c r="CJ663" s="114"/>
      <c r="CK663" s="114"/>
      <c r="CL663" s="114"/>
      <c r="CM663" s="114"/>
      <c r="CN663" s="114"/>
      <c r="CO663" s="114"/>
      <c r="CP663" s="114"/>
      <c r="CQ663" s="114"/>
      <c r="CR663" s="114"/>
      <c r="CS663" s="114"/>
      <c r="CT663" s="114"/>
      <c r="CU663" s="114"/>
      <c r="CV663" s="114"/>
      <c r="CW663" s="114"/>
      <c r="CX663" s="114"/>
      <c r="CY663" s="114"/>
      <c r="CZ663" s="114"/>
      <c r="DA663" s="114"/>
      <c r="DB663" s="114"/>
      <c r="DC663" s="114"/>
      <c r="DD663" s="114"/>
      <c r="DE663" s="114"/>
      <c r="DF663" s="114"/>
      <c r="DG663" s="114"/>
      <c r="DH663" s="114"/>
      <c r="DI663" s="114"/>
      <c r="DJ663" s="114"/>
      <c r="DK663" s="114"/>
      <c r="DL663" s="114"/>
      <c r="DM663" s="114"/>
      <c r="DN663" s="114"/>
      <c r="DO663" s="114"/>
      <c r="DP663" s="114"/>
      <c r="DQ663" s="114"/>
      <c r="DR663" s="114"/>
      <c r="DS663" s="114"/>
      <c r="DT663" s="114"/>
      <c r="DU663" s="114"/>
      <c r="DV663" s="114"/>
      <c r="DW663" s="114"/>
      <c r="DX663" s="114"/>
      <c r="DY663" s="522"/>
      <c r="DZ663" s="115"/>
      <c r="EA663" s="115"/>
      <c r="EB663" s="115"/>
      <c r="EC663" s="115"/>
      <c r="ED663" s="117"/>
      <c r="EE663" s="115"/>
      <c r="EF663" s="115"/>
      <c r="EG663" s="115"/>
      <c r="EH663" s="115"/>
      <c r="EI663" s="117"/>
      <c r="EJ663" s="115"/>
      <c r="EK663" s="115"/>
      <c r="EL663" s="115"/>
      <c r="EM663" s="115"/>
      <c r="EN663" s="117"/>
      <c r="EO663" s="117"/>
      <c r="EP663" s="117"/>
      <c r="EQ663" s="117"/>
      <c r="ER663" s="117"/>
      <c r="ES663" s="115"/>
      <c r="ET663" s="115"/>
      <c r="EU663" s="115"/>
      <c r="EV663" s="115"/>
      <c r="EW663" s="115"/>
      <c r="EX663" s="114"/>
      <c r="EY663" s="114"/>
      <c r="EZ663" s="114"/>
      <c r="FA663" s="114"/>
      <c r="FB663" s="114"/>
      <c r="FC663" s="115"/>
      <c r="FD663" s="115"/>
      <c r="FE663" s="115"/>
      <c r="FF663" s="115"/>
      <c r="FG663" s="115"/>
      <c r="FH663" s="115"/>
      <c r="FI663" s="115"/>
    </row>
    <row r="664" spans="1:165" x14ac:dyDescent="0.3">
      <c r="A664" s="1"/>
    </row>
    <row r="665" spans="1:165" x14ac:dyDescent="0.3">
      <c r="A665" s="1"/>
    </row>
    <row r="668" spans="1:165" x14ac:dyDescent="0.3">
      <c r="FD668" s="76">
        <f>'Model Main'!FD132</f>
        <v>-1579.7485151072758</v>
      </c>
      <c r="FE668" s="146">
        <f>FE591</f>
        <v>0.12918710044532491</v>
      </c>
    </row>
    <row r="669" spans="1:165" x14ac:dyDescent="0.3">
      <c r="FD669">
        <v>700</v>
      </c>
      <c r="FE669" s="885">
        <v>-401.3718177574176</v>
      </c>
    </row>
    <row r="670" spans="1:165" x14ac:dyDescent="0.3">
      <c r="FD670">
        <v>750</v>
      </c>
      <c r="FE670" s="885">
        <v>-457.77266647429792</v>
      </c>
    </row>
    <row r="671" spans="1:165" x14ac:dyDescent="0.3">
      <c r="FD671">
        <v>800</v>
      </c>
      <c r="FE671" s="885">
        <f t="dataTable" ref="FE671:FE672" dt2D="1" dtr="1" r1="FE591" r2="FD87"/>
        <v>750</v>
      </c>
    </row>
    <row r="672" spans="1:165" x14ac:dyDescent="0.3">
      <c r="FD672">
        <v>850</v>
      </c>
      <c r="FE672" s="885">
        <v>750</v>
      </c>
    </row>
    <row r="673" spans="160:161" x14ac:dyDescent="0.3">
      <c r="FD673">
        <v>900</v>
      </c>
      <c r="FE673" s="885">
        <v>-626.9516775065199</v>
      </c>
    </row>
  </sheetData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E6F5D-1870-4F09-89FB-F7FF0C135A93}">
  <sheetPr codeName="Sheet5"/>
  <dimension ref="A1:BY6045"/>
  <sheetViews>
    <sheetView showGridLines="0" zoomScaleNormal="100" workbookViewId="0">
      <selection activeCell="D19" sqref="D19"/>
    </sheetView>
  </sheetViews>
  <sheetFormatPr defaultRowHeight="12" outlineLevelRow="1" outlineLevelCol="1" x14ac:dyDescent="0.3"/>
  <cols>
    <col min="1" max="1" width="29.6640625" customWidth="1"/>
    <col min="2" max="2" width="10" customWidth="1" outlineLevel="1"/>
    <col min="3" max="3" width="10.6640625" customWidth="1"/>
    <col min="4" max="4" width="10.33203125" customWidth="1" outlineLevel="1"/>
    <col min="5" max="5" width="10" customWidth="1" outlineLevel="1"/>
    <col min="6" max="6" width="10.44140625" customWidth="1" outlineLevel="1"/>
    <col min="7" max="11" width="10" customWidth="1"/>
    <col min="12" max="14" width="10.44140625" bestFit="1" customWidth="1"/>
  </cols>
  <sheetData>
    <row r="1" spans="1:20" ht="21.5" thickBot="1" x14ac:dyDescent="0.55000000000000004">
      <c r="A1" s="38" t="s">
        <v>13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</row>
    <row r="2" spans="1:20" x14ac:dyDescent="0.3">
      <c r="A2" s="39" t="s">
        <v>548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20" x14ac:dyDescent="0.3">
      <c r="A3" s="481" t="s">
        <v>15</v>
      </c>
      <c r="B3" s="481"/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</row>
    <row r="5" spans="1:20" x14ac:dyDescent="0.3">
      <c r="A5" s="1256" t="s">
        <v>4210</v>
      </c>
      <c r="B5" s="1257"/>
      <c r="C5" s="1257"/>
      <c r="D5" s="1257"/>
      <c r="E5" s="1257"/>
      <c r="F5" s="1257"/>
      <c r="G5" s="1257"/>
      <c r="H5" s="1257"/>
      <c r="I5" s="1257"/>
      <c r="J5" s="1257"/>
      <c r="K5" s="1257"/>
      <c r="L5" s="1257"/>
      <c r="M5" s="1257"/>
      <c r="N5" s="1257"/>
      <c r="O5" s="1257"/>
      <c r="P5" s="1257"/>
      <c r="Q5" s="1257"/>
      <c r="R5" s="1257"/>
      <c r="S5" s="1257"/>
      <c r="T5" s="1257"/>
    </row>
    <row r="7" spans="1:20" x14ac:dyDescent="0.3">
      <c r="A7" s="114"/>
      <c r="B7" s="692" t="s">
        <v>1028</v>
      </c>
      <c r="C7" s="692" t="s">
        <v>1047</v>
      </c>
      <c r="D7" s="692" t="s">
        <v>1048</v>
      </c>
      <c r="E7" s="692" t="s">
        <v>1049</v>
      </c>
      <c r="F7" s="692" t="s">
        <v>1050</v>
      </c>
    </row>
    <row r="8" spans="1:20" x14ac:dyDescent="0.3">
      <c r="A8" t="s">
        <v>1150</v>
      </c>
      <c r="B8" s="885">
        <f>B10-B9</f>
        <v>91.25</v>
      </c>
      <c r="C8" s="885">
        <f>B8</f>
        <v>91.25</v>
      </c>
      <c r="D8" s="885">
        <f t="shared" ref="D8:F8" si="0">C8</f>
        <v>91.25</v>
      </c>
      <c r="E8" s="885">
        <f t="shared" si="0"/>
        <v>91.25</v>
      </c>
      <c r="F8" s="885">
        <f t="shared" si="0"/>
        <v>91.25</v>
      </c>
    </row>
    <row r="9" spans="1:20" x14ac:dyDescent="0.3">
      <c r="A9" t="s">
        <v>1152</v>
      </c>
      <c r="B9" s="885">
        <f>B1556</f>
        <v>0.75</v>
      </c>
      <c r="C9" s="885">
        <f t="shared" ref="C9:E9" si="1">C1556</f>
        <v>-5.25</v>
      </c>
      <c r="D9" s="885">
        <f t="shared" si="1"/>
        <v>3</v>
      </c>
      <c r="E9" s="885">
        <f t="shared" si="1"/>
        <v>1.5</v>
      </c>
      <c r="F9" s="885">
        <f>B9</f>
        <v>0.75</v>
      </c>
    </row>
    <row r="10" spans="1:20" x14ac:dyDescent="0.3">
      <c r="A10" t="s">
        <v>4211</v>
      </c>
      <c r="B10" s="885">
        <f>Drivers!EW117</f>
        <v>92</v>
      </c>
      <c r="C10" s="1221">
        <f>B10+C9</f>
        <v>86.75</v>
      </c>
      <c r="D10" s="1221">
        <f t="shared" ref="D10:F10" si="2">C10+D9</f>
        <v>89.75</v>
      </c>
      <c r="E10" s="1221">
        <f>D10+E9</f>
        <v>91.25</v>
      </c>
      <c r="F10" s="1221">
        <f t="shared" si="2"/>
        <v>92</v>
      </c>
    </row>
    <row r="32" spans="1:20" x14ac:dyDescent="0.3">
      <c r="A32" s="1256" t="s">
        <v>1284</v>
      </c>
      <c r="B32" s="1257"/>
      <c r="C32" s="1257"/>
      <c r="D32" s="1257"/>
      <c r="E32" s="1257"/>
      <c r="F32" s="1257"/>
      <c r="G32" s="1257"/>
      <c r="H32" s="1257"/>
      <c r="I32" s="1257"/>
      <c r="J32" s="1257"/>
      <c r="K32" s="1257"/>
      <c r="L32" s="1257"/>
      <c r="M32" s="1257"/>
      <c r="N32" s="1257"/>
      <c r="O32" s="1257"/>
      <c r="P32" s="1257"/>
      <c r="Q32" s="1257"/>
      <c r="R32" s="1257"/>
      <c r="S32" s="1257"/>
      <c r="T32" s="1257"/>
    </row>
    <row r="34" spans="1:4" x14ac:dyDescent="0.3">
      <c r="A34" s="610"/>
      <c r="B34" s="1266" t="s">
        <v>1285</v>
      </c>
      <c r="C34" s="1266">
        <v>2023</v>
      </c>
      <c r="D34" s="1266" t="s">
        <v>553</v>
      </c>
    </row>
    <row r="35" spans="1:4" x14ac:dyDescent="0.3">
      <c r="A35" s="708" t="s">
        <v>238</v>
      </c>
      <c r="B35" s="365">
        <f>'Model Main'!EN48</f>
        <v>2080</v>
      </c>
      <c r="C35" s="365">
        <f>'Model Main'!ES48</f>
        <v>2127</v>
      </c>
      <c r="D35" s="365">
        <f t="shared" ref="D35:D41" si="3">C35-B35</f>
        <v>47</v>
      </c>
    </row>
    <row r="36" spans="1:4" x14ac:dyDescent="0.3">
      <c r="A36" s="708" t="s">
        <v>101</v>
      </c>
      <c r="B36" s="365">
        <f>-'Model Main'!EN107</f>
        <v>2738</v>
      </c>
      <c r="C36" s="365">
        <f>-'Model Main'!ES107</f>
        <v>3211</v>
      </c>
      <c r="D36" s="365">
        <f t="shared" si="3"/>
        <v>473</v>
      </c>
    </row>
    <row r="37" spans="1:4" x14ac:dyDescent="0.3">
      <c r="A37" s="708" t="s">
        <v>1246</v>
      </c>
      <c r="B37" s="365">
        <f>'Model Main'!EN213</f>
        <v>512</v>
      </c>
      <c r="C37" s="365">
        <f>'Model Main'!ES213</f>
        <v>711</v>
      </c>
      <c r="D37" s="365">
        <f t="shared" si="3"/>
        <v>199</v>
      </c>
    </row>
    <row r="38" spans="1:4" x14ac:dyDescent="0.3">
      <c r="A38" s="708" t="s">
        <v>1247</v>
      </c>
      <c r="B38" s="95">
        <f>61+140</f>
        <v>201</v>
      </c>
      <c r="C38" s="365">
        <f>41+116</f>
        <v>157</v>
      </c>
      <c r="D38" s="365">
        <f t="shared" si="3"/>
        <v>-44</v>
      </c>
    </row>
    <row r="39" spans="1:4" x14ac:dyDescent="0.3">
      <c r="A39" s="708" t="s">
        <v>1248</v>
      </c>
      <c r="B39" s="365">
        <f>'Model Main'!EN166</f>
        <v>8</v>
      </c>
      <c r="C39" s="365">
        <f>'Model Main'!ES166</f>
        <v>0</v>
      </c>
      <c r="D39" s="365">
        <f t="shared" si="3"/>
        <v>-8</v>
      </c>
    </row>
    <row r="40" spans="1:4" x14ac:dyDescent="0.3">
      <c r="A40" s="708" t="s">
        <v>1249</v>
      </c>
      <c r="B40" s="365">
        <f>B41-B35+SUM(B36:B39)</f>
        <v>42</v>
      </c>
      <c r="C40" s="365">
        <f>C41-C35+SUM(C36:C39)</f>
        <v>85</v>
      </c>
      <c r="D40" s="365">
        <f t="shared" si="3"/>
        <v>43</v>
      </c>
    </row>
    <row r="41" spans="1:4" x14ac:dyDescent="0.3">
      <c r="A41" s="1267" t="s">
        <v>248</v>
      </c>
      <c r="B41" s="387">
        <f>'Model Main'!EN132</f>
        <v>-1337</v>
      </c>
      <c r="C41" s="387">
        <f>'Model Main'!ES132</f>
        <v>-1867</v>
      </c>
      <c r="D41" s="387">
        <f t="shared" si="3"/>
        <v>-530</v>
      </c>
    </row>
    <row r="44" spans="1:4" x14ac:dyDescent="0.3">
      <c r="A44" s="610"/>
      <c r="B44" s="1266" t="s">
        <v>1286</v>
      </c>
      <c r="C44" s="1266" t="s">
        <v>1287</v>
      </c>
      <c r="D44" s="1266" t="s">
        <v>553</v>
      </c>
    </row>
    <row r="45" spans="1:4" x14ac:dyDescent="0.3">
      <c r="A45" s="708" t="s">
        <v>238</v>
      </c>
      <c r="B45" s="365">
        <f t="shared" ref="B45:B51" si="4">C35</f>
        <v>2127</v>
      </c>
      <c r="C45" s="365">
        <f>'Model Main'!EX48</f>
        <v>2251</v>
      </c>
      <c r="D45" s="365">
        <f t="shared" ref="D45:D51" si="5">C45-B45</f>
        <v>124</v>
      </c>
    </row>
    <row r="46" spans="1:4" x14ac:dyDescent="0.3">
      <c r="A46" s="708" t="s">
        <v>101</v>
      </c>
      <c r="B46" s="365">
        <f>Drivers!ES580</f>
        <v>3215</v>
      </c>
      <c r="C46" s="365">
        <f>Drivers!EX580</f>
        <v>3246</v>
      </c>
      <c r="D46" s="365">
        <f t="shared" si="5"/>
        <v>31</v>
      </c>
    </row>
    <row r="47" spans="1:4" x14ac:dyDescent="0.3">
      <c r="A47" s="708" t="s">
        <v>1246</v>
      </c>
      <c r="B47" s="365">
        <f t="shared" si="4"/>
        <v>711</v>
      </c>
      <c r="C47" s="365">
        <f>'Model Main'!EX213</f>
        <v>835</v>
      </c>
      <c r="D47" s="365">
        <f t="shared" si="5"/>
        <v>124</v>
      </c>
    </row>
    <row r="48" spans="1:4" x14ac:dyDescent="0.3">
      <c r="A48" s="708" t="s">
        <v>1247</v>
      </c>
      <c r="B48" s="365">
        <f t="shared" si="4"/>
        <v>157</v>
      </c>
      <c r="C48" s="365">
        <f>'Model Main'!EX67+125</f>
        <v>165</v>
      </c>
      <c r="D48" s="365">
        <f t="shared" si="5"/>
        <v>8</v>
      </c>
    </row>
    <row r="49" spans="1:20" x14ac:dyDescent="0.3">
      <c r="A49" s="708" t="s">
        <v>1248</v>
      </c>
      <c r="B49" s="365">
        <f t="shared" si="4"/>
        <v>0</v>
      </c>
      <c r="C49" s="365">
        <f>'Model Main'!EX166</f>
        <v>16</v>
      </c>
      <c r="D49" s="365">
        <f t="shared" si="5"/>
        <v>16</v>
      </c>
    </row>
    <row r="50" spans="1:20" x14ac:dyDescent="0.3">
      <c r="A50" s="708" t="s">
        <v>1249</v>
      </c>
      <c r="B50" s="365">
        <f t="shared" si="4"/>
        <v>85</v>
      </c>
      <c r="C50" s="365">
        <f>C51-C45+SUM(C46:C49)</f>
        <v>360</v>
      </c>
      <c r="D50" s="365">
        <f t="shared" si="5"/>
        <v>275</v>
      </c>
    </row>
    <row r="51" spans="1:20" x14ac:dyDescent="0.3">
      <c r="A51" s="1267" t="s">
        <v>248</v>
      </c>
      <c r="B51" s="387">
        <f t="shared" si="4"/>
        <v>-1867</v>
      </c>
      <c r="C51" s="387">
        <f>'Model Main'!EX132</f>
        <v>-1651</v>
      </c>
      <c r="D51" s="387">
        <f t="shared" si="5"/>
        <v>216</v>
      </c>
    </row>
    <row r="54" spans="1:20" x14ac:dyDescent="0.3">
      <c r="A54" s="610"/>
      <c r="B54" s="1266" t="s">
        <v>1287</v>
      </c>
      <c r="C54" s="1266" t="s">
        <v>1654</v>
      </c>
      <c r="D54" s="1266" t="s">
        <v>553</v>
      </c>
    </row>
    <row r="55" spans="1:20" x14ac:dyDescent="0.3">
      <c r="A55" s="708" t="s">
        <v>238</v>
      </c>
      <c r="B55" s="365">
        <f t="shared" ref="B55" si="6">C45</f>
        <v>2251</v>
      </c>
      <c r="C55" s="365">
        <f>'Model Main'!FC48</f>
        <v>2416.4545969116944</v>
      </c>
      <c r="D55" s="365">
        <f t="shared" ref="D55:D61" si="7">C55-B55</f>
        <v>165.45459691169435</v>
      </c>
    </row>
    <row r="56" spans="1:20" x14ac:dyDescent="0.3">
      <c r="A56" s="708" t="s">
        <v>101</v>
      </c>
      <c r="B56" s="365">
        <f>C46</f>
        <v>3246</v>
      </c>
      <c r="C56" s="365">
        <f>Drivers!FC580</f>
        <v>3194.4479521510066</v>
      </c>
      <c r="D56" s="365">
        <f t="shared" si="7"/>
        <v>-51.552047848993425</v>
      </c>
    </row>
    <row r="57" spans="1:20" x14ac:dyDescent="0.3">
      <c r="A57" s="708" t="s">
        <v>1246</v>
      </c>
      <c r="B57" s="365">
        <f t="shared" ref="B57:B61" si="8">C47</f>
        <v>835</v>
      </c>
      <c r="C57" s="365">
        <f>'Model Main'!FC213</f>
        <v>903.71337880249621</v>
      </c>
      <c r="D57" s="365">
        <f t="shared" si="7"/>
        <v>68.713378802496209</v>
      </c>
    </row>
    <row r="58" spans="1:20" x14ac:dyDescent="0.3">
      <c r="A58" s="708" t="s">
        <v>1247</v>
      </c>
      <c r="B58" s="365">
        <f t="shared" si="8"/>
        <v>165</v>
      </c>
      <c r="C58" s="365">
        <f>'Model Main'!FC67+125</f>
        <v>165</v>
      </c>
      <c r="D58" s="365">
        <f t="shared" si="7"/>
        <v>0</v>
      </c>
    </row>
    <row r="59" spans="1:20" x14ac:dyDescent="0.3">
      <c r="A59" s="708" t="s">
        <v>1248</v>
      </c>
      <c r="B59" s="365">
        <f t="shared" si="8"/>
        <v>16</v>
      </c>
      <c r="C59" s="365">
        <f>'Model Main'!FC166</f>
        <v>20</v>
      </c>
      <c r="D59" s="365">
        <f t="shared" si="7"/>
        <v>4</v>
      </c>
    </row>
    <row r="60" spans="1:20" x14ac:dyDescent="0.3">
      <c r="A60" s="708" t="s">
        <v>1249</v>
      </c>
      <c r="B60" s="365">
        <f t="shared" si="8"/>
        <v>360</v>
      </c>
      <c r="C60" s="365">
        <f>C61-C55+SUM(C56:C59)</f>
        <v>28.5</v>
      </c>
      <c r="D60" s="365">
        <f t="shared" si="7"/>
        <v>-331.5</v>
      </c>
    </row>
    <row r="61" spans="1:20" x14ac:dyDescent="0.3">
      <c r="A61" s="1267" t="s">
        <v>248</v>
      </c>
      <c r="B61" s="387">
        <f t="shared" si="8"/>
        <v>-1651</v>
      </c>
      <c r="C61" s="387">
        <f>'Model Main'!FC132</f>
        <v>-1838.2067340418082</v>
      </c>
      <c r="D61" s="387">
        <f t="shared" si="7"/>
        <v>-187.2067340418082</v>
      </c>
    </row>
    <row r="63" spans="1:20" x14ac:dyDescent="0.3">
      <c r="A63" s="1256" t="s">
        <v>549</v>
      </c>
      <c r="B63" s="1257"/>
      <c r="C63" s="1257"/>
      <c r="D63" s="1257"/>
      <c r="E63" s="1257"/>
      <c r="F63" s="1257"/>
      <c r="G63" s="1257"/>
      <c r="H63" s="1257"/>
      <c r="I63" s="1257"/>
      <c r="J63" s="1257"/>
      <c r="K63" s="1257"/>
      <c r="L63" s="1257"/>
      <c r="M63" s="1257"/>
      <c r="N63" s="1257"/>
      <c r="O63" s="1257"/>
      <c r="P63" s="1257"/>
      <c r="Q63" s="1257"/>
      <c r="R63" s="1257"/>
      <c r="S63" s="1257"/>
      <c r="T63" s="1257"/>
    </row>
    <row r="65" spans="1:75" x14ac:dyDescent="0.3">
      <c r="B65" s="1435">
        <v>2017</v>
      </c>
      <c r="C65" s="1435">
        <v>2018</v>
      </c>
      <c r="D65" s="1435">
        <v>2019</v>
      </c>
      <c r="E65" s="1435">
        <v>2020</v>
      </c>
      <c r="F65" s="1435">
        <v>2021</v>
      </c>
      <c r="G65" s="1435">
        <v>2022</v>
      </c>
    </row>
    <row r="66" spans="1:75" x14ac:dyDescent="0.3">
      <c r="A66" s="1258" t="s">
        <v>550</v>
      </c>
      <c r="B66" s="76"/>
      <c r="C66" s="76">
        <v>-62</v>
      </c>
      <c r="D66" s="76">
        <v>-611</v>
      </c>
      <c r="E66" s="76">
        <v>-84</v>
      </c>
      <c r="F66" s="76">
        <f>'Model Main'!EI75</f>
        <v>-50</v>
      </c>
      <c r="G66" s="76">
        <f>'Model Main'!EN75</f>
        <v>158</v>
      </c>
    </row>
    <row r="67" spans="1:75" x14ac:dyDescent="0.3">
      <c r="A67" s="1258" t="s">
        <v>551</v>
      </c>
      <c r="B67" s="76"/>
      <c r="C67" s="76">
        <v>4</v>
      </c>
      <c r="D67" s="76">
        <v>4</v>
      </c>
      <c r="E67" s="76">
        <v>8</v>
      </c>
      <c r="F67" s="76">
        <f>Inputs!EI273</f>
        <v>39</v>
      </c>
      <c r="G67" s="76">
        <f>Inputs!EN273</f>
        <v>8</v>
      </c>
    </row>
    <row r="68" spans="1:75" x14ac:dyDescent="0.3">
      <c r="A68" s="1261" t="s">
        <v>482</v>
      </c>
      <c r="B68" s="77">
        <f t="shared" ref="B68:G68" si="9">B66-B67</f>
        <v>0</v>
      </c>
      <c r="C68" s="77">
        <f t="shared" si="9"/>
        <v>-66</v>
      </c>
      <c r="D68" s="77">
        <f t="shared" si="9"/>
        <v>-615</v>
      </c>
      <c r="E68" s="77">
        <f t="shared" si="9"/>
        <v>-92</v>
      </c>
      <c r="F68" s="77">
        <f t="shared" si="9"/>
        <v>-89</v>
      </c>
      <c r="G68" s="77">
        <f t="shared" si="9"/>
        <v>150</v>
      </c>
    </row>
    <row r="71" spans="1:75" ht="13" customHeight="1" x14ac:dyDescent="0.3">
      <c r="A71" s="4" t="s">
        <v>552</v>
      </c>
      <c r="B71" s="1258"/>
      <c r="C71" s="1258"/>
      <c r="D71" s="1258"/>
      <c r="E71" s="1258"/>
      <c r="F71" s="1258"/>
      <c r="G71" s="1258"/>
      <c r="H71" s="1258"/>
      <c r="I71" s="1258"/>
      <c r="J71" s="1258"/>
      <c r="K71" s="1258"/>
      <c r="L71" s="1258"/>
      <c r="M71" s="1258"/>
      <c r="N71" s="1258"/>
      <c r="O71" s="1258"/>
      <c r="P71" s="1258"/>
      <c r="Q71" s="1258"/>
      <c r="R71" s="1258"/>
      <c r="S71" s="1258"/>
      <c r="T71" s="1258"/>
      <c r="U71" s="1258"/>
      <c r="V71" s="1258"/>
      <c r="W71" s="1258"/>
      <c r="X71" s="1258"/>
      <c r="Y71" s="1258"/>
      <c r="Z71" s="1258"/>
      <c r="AA71" s="1258"/>
      <c r="AB71" s="1258"/>
      <c r="AC71" s="1258"/>
      <c r="AD71" s="1258"/>
      <c r="AE71" s="1258"/>
      <c r="AF71" s="1258"/>
      <c r="AG71" s="1258"/>
      <c r="AH71" s="1258"/>
      <c r="AI71" s="1258"/>
      <c r="AJ71" s="125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</row>
    <row r="72" spans="1:75" ht="13" customHeight="1" x14ac:dyDescent="0.3">
      <c r="A72" s="1258"/>
      <c r="B72" s="1258"/>
      <c r="C72" s="1258"/>
      <c r="D72" s="1258"/>
      <c r="E72" s="1258"/>
      <c r="F72" s="1258"/>
      <c r="G72" s="1258"/>
      <c r="H72" s="1258"/>
      <c r="I72" s="1258"/>
      <c r="J72" s="1258"/>
      <c r="K72" s="1258"/>
      <c r="L72" s="1258"/>
      <c r="M72" s="1258"/>
      <c r="N72" s="1258"/>
      <c r="O72" s="1258"/>
      <c r="P72" s="1258"/>
      <c r="Q72" s="1258"/>
      <c r="R72" s="1258"/>
      <c r="S72" s="1258"/>
      <c r="T72" s="1258"/>
      <c r="U72" s="1258"/>
      <c r="V72" s="1258"/>
      <c r="W72" s="1258"/>
      <c r="X72" s="1258"/>
      <c r="Y72" s="1258"/>
      <c r="Z72" s="1258"/>
      <c r="AA72" s="1258"/>
      <c r="AB72" s="1258"/>
      <c r="AC72" s="1258"/>
      <c r="AD72" s="1258"/>
      <c r="AE72" s="1258"/>
      <c r="AF72" s="1258"/>
      <c r="AG72" s="1258"/>
      <c r="AH72" s="1258"/>
      <c r="AI72" s="1258"/>
      <c r="AJ72" s="125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</row>
    <row r="73" spans="1:75" ht="13" customHeight="1" x14ac:dyDescent="0.3">
      <c r="A73" s="1436"/>
      <c r="B73" s="1436"/>
      <c r="C73" s="1436"/>
      <c r="D73" s="1436"/>
      <c r="E73" s="1436"/>
      <c r="F73" s="1436"/>
      <c r="G73" s="1436"/>
      <c r="H73" s="1436"/>
      <c r="I73" s="1436" t="s">
        <v>553</v>
      </c>
      <c r="J73" s="1436" t="s">
        <v>553</v>
      </c>
      <c r="K73" s="1258"/>
      <c r="L73" s="1258"/>
      <c r="M73" s="1258"/>
      <c r="N73" s="1258"/>
      <c r="O73" s="1258"/>
      <c r="P73" s="1258"/>
      <c r="Q73" s="1258"/>
      <c r="R73" s="1258"/>
      <c r="S73" s="1258"/>
      <c r="T73" s="1258"/>
      <c r="U73" s="1258"/>
      <c r="V73" s="1258"/>
      <c r="W73" s="1258"/>
      <c r="X73" s="1258"/>
      <c r="Y73" s="1258"/>
      <c r="Z73" s="1258"/>
      <c r="AA73" s="1258"/>
      <c r="AB73" s="1258"/>
      <c r="AC73" s="1258"/>
      <c r="AD73" s="1258"/>
      <c r="AE73" s="1258"/>
      <c r="AF73" s="1258"/>
      <c r="AG73" s="1258"/>
      <c r="AH73" s="1258"/>
      <c r="AI73" s="1258"/>
      <c r="AJ73" s="125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</row>
    <row r="74" spans="1:75" ht="13" customHeight="1" x14ac:dyDescent="0.3">
      <c r="A74" s="1437"/>
      <c r="B74" s="1437">
        <v>2020</v>
      </c>
      <c r="C74" s="1437">
        <f>B74+1</f>
        <v>2021</v>
      </c>
      <c r="D74" s="1437">
        <f t="shared" ref="D74:H74" si="10">C74+1</f>
        <v>2022</v>
      </c>
      <c r="E74" s="1437">
        <f t="shared" si="10"/>
        <v>2023</v>
      </c>
      <c r="F74" s="1437">
        <f t="shared" si="10"/>
        <v>2024</v>
      </c>
      <c r="G74" s="1437">
        <f t="shared" si="10"/>
        <v>2025</v>
      </c>
      <c r="H74" s="1437">
        <f t="shared" si="10"/>
        <v>2026</v>
      </c>
      <c r="I74" s="1438" t="s">
        <v>554</v>
      </c>
      <c r="J74" s="1438" t="s">
        <v>555</v>
      </c>
      <c r="K74" s="1258"/>
      <c r="L74" s="1258"/>
      <c r="M74" s="1258"/>
      <c r="N74" s="1258"/>
      <c r="O74" s="1258"/>
      <c r="P74" s="1258"/>
      <c r="Q74" s="1258"/>
      <c r="R74" s="1258"/>
      <c r="S74" s="1258"/>
      <c r="T74" s="1258"/>
      <c r="U74" s="1258"/>
      <c r="V74" s="1258"/>
      <c r="W74" s="1258"/>
      <c r="X74" s="1258"/>
      <c r="Y74" s="1258"/>
      <c r="Z74" s="1258"/>
      <c r="AA74" s="1258"/>
      <c r="AB74" s="1258"/>
      <c r="AC74" s="1258"/>
      <c r="AD74" s="1258"/>
      <c r="AE74" s="1258"/>
      <c r="AF74" s="1258"/>
      <c r="AG74" s="1258"/>
      <c r="AH74" s="1258"/>
      <c r="AI74" s="1258"/>
      <c r="AJ74" s="125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</row>
    <row r="75" spans="1:75" ht="13" customHeight="1" x14ac:dyDescent="0.3">
      <c r="A75" s="1" t="s">
        <v>556</v>
      </c>
      <c r="B75" s="59">
        <f>'Model Main'!ED74</f>
        <v>-486</v>
      </c>
      <c r="C75" s="59">
        <f>'Model Main'!EI74</f>
        <v>4905</v>
      </c>
      <c r="D75" s="59">
        <f>'Model Main'!EN74</f>
        <v>599</v>
      </c>
      <c r="E75" s="59">
        <f>'Model Main'!ES74</f>
        <v>117</v>
      </c>
      <c r="F75" s="59">
        <f>'Model Main'!EX74</f>
        <v>-346</v>
      </c>
      <c r="G75" s="59">
        <f>'Model Main'!FC74</f>
        <v>-434.38037197475973</v>
      </c>
      <c r="H75" s="59">
        <f>'Model Main'!FD74</f>
        <v>-280.82262358522257</v>
      </c>
      <c r="I75" s="1074">
        <f>F75-E75</f>
        <v>-463</v>
      </c>
      <c r="J75" s="1074">
        <f>G75-F75</f>
        <v>-88.380371974759726</v>
      </c>
      <c r="K75" s="1258"/>
      <c r="L75" s="1258"/>
      <c r="M75" s="1258"/>
      <c r="N75" s="1258"/>
      <c r="O75" s="1258"/>
      <c r="P75" s="1258"/>
      <c r="Q75" s="1258"/>
      <c r="R75" s="1258"/>
      <c r="S75" s="1258"/>
      <c r="T75" s="1258"/>
      <c r="U75" s="1258"/>
      <c r="V75" s="1258"/>
      <c r="W75" s="1258"/>
      <c r="X75" s="1258"/>
      <c r="Y75" s="1258"/>
      <c r="Z75" s="1258"/>
      <c r="AA75" s="1258"/>
      <c r="AB75" s="1258"/>
      <c r="AC75" s="1258"/>
      <c r="AD75" s="1258"/>
      <c r="AE75" s="1258"/>
      <c r="AF75" s="1258"/>
      <c r="AG75" s="1258"/>
      <c r="AH75" s="1258"/>
      <c r="AI75" s="1258"/>
      <c r="AJ75" s="125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</row>
    <row r="76" spans="1:75" ht="13" customHeight="1" x14ac:dyDescent="0.3">
      <c r="A76" s="1010" t="s">
        <v>557</v>
      </c>
      <c r="B76" s="59">
        <v>0</v>
      </c>
      <c r="C76" s="59">
        <v>0</v>
      </c>
      <c r="D76" s="59">
        <v>0</v>
      </c>
      <c r="E76" s="59">
        <v>0</v>
      </c>
      <c r="F76" s="59">
        <v>0</v>
      </c>
      <c r="G76" s="59">
        <v>0</v>
      </c>
      <c r="H76" s="1074">
        <v>0</v>
      </c>
      <c r="I76" s="1074">
        <f t="shared" ref="I76:J78" si="11">F76-E76</f>
        <v>0</v>
      </c>
      <c r="J76" s="1074">
        <f t="shared" si="11"/>
        <v>0</v>
      </c>
      <c r="K76" s="1258"/>
      <c r="L76" s="1258"/>
      <c r="M76" s="1258"/>
      <c r="N76" s="1258"/>
      <c r="O76" s="1258"/>
      <c r="P76" s="1258"/>
      <c r="Q76" s="1258"/>
      <c r="R76" s="1258"/>
      <c r="S76" s="1258"/>
      <c r="T76" s="1258"/>
      <c r="U76" s="1258"/>
      <c r="V76" s="1258"/>
      <c r="W76" s="1258"/>
      <c r="X76" s="1258"/>
      <c r="Y76" s="1258"/>
      <c r="Z76" s="1258"/>
      <c r="AA76" s="1258"/>
      <c r="AB76" s="1258"/>
      <c r="AC76" s="1258"/>
      <c r="AD76" s="1258"/>
      <c r="AE76" s="1258"/>
      <c r="AF76" s="1258"/>
      <c r="AG76" s="1258"/>
      <c r="AH76" s="1258"/>
      <c r="AI76" s="1258"/>
      <c r="AJ76" s="125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</row>
    <row r="77" spans="1:75" ht="13" customHeight="1" x14ac:dyDescent="0.3">
      <c r="A77" s="1010" t="s">
        <v>558</v>
      </c>
      <c r="B77" s="1074">
        <v>0</v>
      </c>
      <c r="C77" s="1074">
        <v>4171</v>
      </c>
      <c r="D77" s="1074">
        <v>0</v>
      </c>
      <c r="E77" s="1074">
        <v>0</v>
      </c>
      <c r="F77" s="1074">
        <v>0</v>
      </c>
      <c r="G77" s="1074">
        <v>0</v>
      </c>
      <c r="H77" s="1074">
        <v>0</v>
      </c>
      <c r="I77" s="1074">
        <f t="shared" si="11"/>
        <v>0</v>
      </c>
      <c r="J77" s="1074">
        <f t="shared" si="11"/>
        <v>0</v>
      </c>
      <c r="K77" s="1258"/>
      <c r="L77" s="1258"/>
      <c r="M77" s="1258"/>
      <c r="N77" s="1258"/>
      <c r="O77" s="1258"/>
      <c r="P77" s="1258"/>
      <c r="Q77" s="1258"/>
      <c r="R77" s="1258"/>
      <c r="S77" s="1258"/>
      <c r="T77" s="1258"/>
      <c r="U77" s="1258"/>
      <c r="V77" s="1258"/>
      <c r="W77" s="1258"/>
      <c r="X77" s="1258"/>
      <c r="Y77" s="1258"/>
      <c r="Z77" s="1258"/>
      <c r="AA77" s="1258"/>
      <c r="AB77" s="1258"/>
      <c r="AC77" s="1258"/>
      <c r="AD77" s="1258"/>
      <c r="AE77" s="1258"/>
      <c r="AF77" s="1258"/>
      <c r="AG77" s="1258"/>
      <c r="AH77" s="1258"/>
      <c r="AI77" s="1258"/>
      <c r="AJ77" s="125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</row>
    <row r="78" spans="1:75" ht="13" customHeight="1" x14ac:dyDescent="0.3">
      <c r="A78" s="1010" t="s">
        <v>559</v>
      </c>
      <c r="B78" s="1114">
        <f>B89</f>
        <v>-532.28571428571433</v>
      </c>
      <c r="C78" s="1114">
        <f t="shared" ref="C78:H78" si="12">C89</f>
        <v>-517.44186046511629</v>
      </c>
      <c r="D78" s="1114">
        <f t="shared" si="12"/>
        <v>568.6708860759494</v>
      </c>
      <c r="E78" s="1114">
        <f t="shared" si="12"/>
        <v>117</v>
      </c>
      <c r="F78" s="1114">
        <f t="shared" si="12"/>
        <v>-576.66666666666674</v>
      </c>
      <c r="G78" s="1114">
        <f t="shared" si="12"/>
        <v>-514.38037197475978</v>
      </c>
      <c r="H78" s="1114">
        <f t="shared" si="12"/>
        <v>-360.82262358522257</v>
      </c>
      <c r="I78" s="1074">
        <f t="shared" si="11"/>
        <v>-693.66666666666674</v>
      </c>
      <c r="J78" s="1074">
        <f t="shared" si="11"/>
        <v>62.28629469190696</v>
      </c>
      <c r="K78" s="1258"/>
      <c r="L78" s="1258"/>
      <c r="M78" s="1258"/>
      <c r="N78" s="1258"/>
      <c r="O78" s="1258"/>
      <c r="P78" s="1258"/>
      <c r="Q78" s="1258"/>
      <c r="R78" s="1258"/>
      <c r="S78" s="1258"/>
      <c r="T78" s="1258"/>
      <c r="U78" s="1258"/>
      <c r="V78" s="1258"/>
      <c r="W78" s="1258"/>
      <c r="X78" s="1258"/>
      <c r="Y78" s="1258"/>
      <c r="Z78" s="1258"/>
      <c r="AA78" s="1258"/>
      <c r="AB78" s="1258"/>
      <c r="AC78" s="1258"/>
      <c r="AD78" s="1258"/>
      <c r="AE78" s="1258"/>
      <c r="AF78" s="1258"/>
      <c r="AG78" s="1258"/>
      <c r="AH78" s="1258"/>
      <c r="AI78" s="1258"/>
      <c r="AJ78" s="125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</row>
    <row r="79" spans="1:75" ht="13" customHeight="1" x14ac:dyDescent="0.3">
      <c r="A79" s="1010" t="s">
        <v>560</v>
      </c>
      <c r="B79" s="1439">
        <f>B75-B76-B77-B78</f>
        <v>46.285714285714334</v>
      </c>
      <c r="C79" s="1439">
        <f t="shared" ref="C79:J79" si="13">C75-C76-C77-C78</f>
        <v>1251.4418604651164</v>
      </c>
      <c r="D79" s="1439">
        <f t="shared" si="13"/>
        <v>30.329113924050603</v>
      </c>
      <c r="E79" s="1439">
        <f t="shared" si="13"/>
        <v>0</v>
      </c>
      <c r="F79" s="1439">
        <f t="shared" si="13"/>
        <v>230.66666666666674</v>
      </c>
      <c r="G79" s="1439">
        <f t="shared" si="13"/>
        <v>80.000000000000057</v>
      </c>
      <c r="H79" s="1439">
        <f t="shared" si="13"/>
        <v>80</v>
      </c>
      <c r="I79" s="1439">
        <f t="shared" si="13"/>
        <v>230.66666666666674</v>
      </c>
      <c r="J79" s="1439">
        <f t="shared" si="13"/>
        <v>-150.66666666666669</v>
      </c>
      <c r="K79" s="1258"/>
      <c r="L79" s="1258"/>
      <c r="M79" s="1258"/>
      <c r="N79" s="1258"/>
      <c r="O79" s="1258"/>
      <c r="P79" s="1258"/>
      <c r="Q79" s="1258"/>
      <c r="R79" s="1258"/>
      <c r="S79" s="1258"/>
      <c r="T79" s="1258"/>
      <c r="U79" s="1258"/>
      <c r="V79" s="1258"/>
      <c r="W79" s="1258"/>
      <c r="X79" s="1258"/>
      <c r="Y79" s="1258"/>
      <c r="Z79" s="1258"/>
      <c r="AA79" s="1258"/>
      <c r="AB79" s="1258"/>
      <c r="AC79" s="1258"/>
      <c r="AD79" s="1258"/>
      <c r="AE79" s="1258"/>
      <c r="AF79" s="1258"/>
      <c r="AG79" s="1258"/>
      <c r="AH79" s="1258"/>
      <c r="AI79" s="1258"/>
      <c r="AJ79" s="125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</row>
    <row r="80" spans="1:75" ht="13" customHeight="1" x14ac:dyDescent="0.3">
      <c r="A80" s="33" t="s">
        <v>561</v>
      </c>
      <c r="B80" s="62">
        <f>B85</f>
        <v>-84</v>
      </c>
      <c r="C80" s="62">
        <f t="shared" ref="C80:H80" si="14">C85</f>
        <v>-50</v>
      </c>
      <c r="D80" s="62">
        <f t="shared" si="14"/>
        <v>158</v>
      </c>
      <c r="E80" s="62">
        <f t="shared" si="14"/>
        <v>88</v>
      </c>
      <c r="F80" s="62">
        <f t="shared" si="14"/>
        <v>-24</v>
      </c>
      <c r="G80" s="62">
        <f t="shared" si="14"/>
        <v>-108.59509299368993</v>
      </c>
      <c r="H80" s="62">
        <f t="shared" si="14"/>
        <v>-70.205655896305643</v>
      </c>
      <c r="I80" s="1074">
        <f t="shared" ref="I80:J83" si="15">F80-E80</f>
        <v>-112</v>
      </c>
      <c r="J80" s="1074">
        <f t="shared" si="15"/>
        <v>-84.595092993689931</v>
      </c>
      <c r="K80" s="1258"/>
      <c r="L80" s="1258"/>
      <c r="M80" s="1258"/>
      <c r="N80" s="1258"/>
      <c r="O80" s="1258"/>
      <c r="P80" s="1258"/>
      <c r="Q80" s="1258"/>
      <c r="R80" s="1258"/>
      <c r="S80" s="1258"/>
      <c r="T80" s="1258"/>
      <c r="U80" s="1258"/>
      <c r="V80" s="1258"/>
      <c r="W80" s="1258"/>
      <c r="X80" s="1258"/>
      <c r="Y80" s="1258"/>
      <c r="Z80" s="1258"/>
      <c r="AA80" s="1258"/>
      <c r="AB80" s="1258"/>
      <c r="AC80" s="1258"/>
      <c r="AD80" s="1258"/>
      <c r="AE80" s="1258"/>
      <c r="AF80" s="1258"/>
      <c r="AG80" s="1258"/>
      <c r="AH80" s="1258"/>
      <c r="AI80" s="1258"/>
      <c r="AJ80" s="125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</row>
    <row r="81" spans="1:75" ht="13" customHeight="1" x14ac:dyDescent="0.3">
      <c r="A81" s="33" t="s">
        <v>562</v>
      </c>
      <c r="B81" s="1137">
        <f>B80/B75</f>
        <v>0.1728395061728395</v>
      </c>
      <c r="C81" s="1137">
        <f>86/500</f>
        <v>0.17199999999999999</v>
      </c>
      <c r="D81" s="1137">
        <f t="shared" ref="D81:H81" si="16">D80/D75</f>
        <v>0.26377295492487479</v>
      </c>
      <c r="E81" s="1137">
        <f t="shared" si="16"/>
        <v>0.75213675213675213</v>
      </c>
      <c r="F81" s="1137">
        <f t="shared" si="16"/>
        <v>6.9364161849710976E-2</v>
      </c>
      <c r="G81" s="1137">
        <f t="shared" si="16"/>
        <v>0.25</v>
      </c>
      <c r="H81" s="1137">
        <f t="shared" si="16"/>
        <v>0.25</v>
      </c>
      <c r="I81" s="1300">
        <f t="shared" si="15"/>
        <v>-0.68277259028704118</v>
      </c>
      <c r="J81" s="1300">
        <f t="shared" si="15"/>
        <v>0.18063583815028902</v>
      </c>
      <c r="K81" s="1258"/>
      <c r="L81" s="1258"/>
      <c r="M81" s="1258"/>
      <c r="N81" s="1258"/>
      <c r="O81" s="1258"/>
      <c r="P81" s="1258"/>
      <c r="Q81" s="1258"/>
      <c r="R81" s="1258"/>
      <c r="S81" s="1258"/>
      <c r="T81" s="1258"/>
      <c r="U81" s="1258"/>
      <c r="V81" s="1258"/>
      <c r="W81" s="1258"/>
      <c r="X81" s="1258"/>
      <c r="Y81" s="1258"/>
      <c r="Z81" s="1258"/>
      <c r="AA81" s="1258"/>
      <c r="AB81" s="1258"/>
      <c r="AC81" s="1258"/>
      <c r="AD81" s="1258"/>
      <c r="AE81" s="1258"/>
      <c r="AF81" s="1258"/>
      <c r="AG81" s="1258"/>
      <c r="AH81" s="1258"/>
      <c r="AI81" s="1258"/>
      <c r="AJ81" s="125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</row>
    <row r="82" spans="1:75" ht="13" customHeight="1" x14ac:dyDescent="0.3">
      <c r="A82" s="33" t="s">
        <v>563</v>
      </c>
      <c r="B82" s="62">
        <f>B86</f>
        <v>8</v>
      </c>
      <c r="C82" s="62">
        <f t="shared" ref="C82:H82" si="17">C86</f>
        <v>39</v>
      </c>
      <c r="D82" s="62">
        <f t="shared" si="17"/>
        <v>8</v>
      </c>
      <c r="E82" s="62">
        <f t="shared" si="17"/>
        <v>0</v>
      </c>
      <c r="F82" s="62">
        <f t="shared" si="17"/>
        <v>16</v>
      </c>
      <c r="G82" s="62">
        <f t="shared" si="17"/>
        <v>20</v>
      </c>
      <c r="H82" s="62">
        <f t="shared" si="17"/>
        <v>20</v>
      </c>
      <c r="I82" s="1074">
        <f t="shared" si="15"/>
        <v>16</v>
      </c>
      <c r="J82" s="1074">
        <f t="shared" si="15"/>
        <v>4</v>
      </c>
      <c r="K82" s="1258"/>
      <c r="L82" s="1258"/>
      <c r="M82" s="1258"/>
      <c r="N82" s="1258"/>
      <c r="O82" s="1258"/>
      <c r="P82" s="1258"/>
      <c r="Q82" s="1258"/>
      <c r="R82" s="1258"/>
      <c r="S82" s="1258"/>
      <c r="T82" s="1258"/>
      <c r="U82" s="1258"/>
      <c r="V82" s="1258"/>
      <c r="W82" s="1258"/>
      <c r="X82" s="1258"/>
      <c r="Y82" s="1258"/>
      <c r="Z82" s="1258"/>
      <c r="AA82" s="1258"/>
      <c r="AB82" s="1258"/>
      <c r="AC82" s="1258"/>
      <c r="AD82" s="1258"/>
      <c r="AE82" s="1258"/>
      <c r="AF82" s="1258"/>
      <c r="AG82" s="1258"/>
      <c r="AH82" s="1258"/>
      <c r="AI82" s="1258"/>
      <c r="AJ82" s="125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</row>
    <row r="83" spans="1:75" ht="13" customHeight="1" x14ac:dyDescent="0.3">
      <c r="A83" s="33" t="s">
        <v>564</v>
      </c>
      <c r="B83" s="1137">
        <f>B82/B79</f>
        <v>0.17283950617283933</v>
      </c>
      <c r="C83" s="1137">
        <f t="shared" ref="C83:H83" si="18">C82/C79</f>
        <v>3.1164052627666687E-2</v>
      </c>
      <c r="D83" s="1137">
        <f t="shared" si="18"/>
        <v>0.26377295492487507</v>
      </c>
      <c r="E83" s="1137" t="e">
        <f t="shared" si="18"/>
        <v>#DIV/0!</v>
      </c>
      <c r="F83" s="1137">
        <f t="shared" si="18"/>
        <v>6.9364161849710962E-2</v>
      </c>
      <c r="G83" s="1137">
        <f t="shared" si="18"/>
        <v>0.24999999999999983</v>
      </c>
      <c r="H83" s="1137">
        <f t="shared" si="18"/>
        <v>0.25</v>
      </c>
      <c r="I83" s="1300" t="e">
        <f t="shared" si="15"/>
        <v>#DIV/0!</v>
      </c>
      <c r="J83" s="1300">
        <f t="shared" si="15"/>
        <v>0.18063583815028889</v>
      </c>
      <c r="K83" s="1258"/>
      <c r="L83" s="1258"/>
      <c r="M83" s="1258"/>
      <c r="N83" s="1258"/>
      <c r="O83" s="1258"/>
      <c r="P83" s="1258"/>
      <c r="Q83" s="1258"/>
      <c r="R83" s="1258"/>
      <c r="S83" s="1258"/>
      <c r="T83" s="1258"/>
      <c r="U83" s="1258"/>
      <c r="V83" s="1258"/>
      <c r="W83" s="1258"/>
      <c r="X83" s="1258"/>
      <c r="Y83" s="1258"/>
      <c r="Z83" s="1258"/>
      <c r="AA83" s="1258"/>
      <c r="AB83" s="1258"/>
      <c r="AC83" s="1258"/>
      <c r="AD83" s="1258"/>
      <c r="AE83" s="1258"/>
      <c r="AF83" s="1258"/>
      <c r="AG83" s="1258"/>
      <c r="AH83" s="1258"/>
      <c r="AI83" s="1258"/>
      <c r="AJ83" s="125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</row>
    <row r="84" spans="1:75" ht="13" customHeight="1" x14ac:dyDescent="0.3">
      <c r="A84" s="33"/>
      <c r="B84" s="1"/>
      <c r="C84" s="1"/>
      <c r="D84" s="1"/>
      <c r="E84" s="1"/>
      <c r="F84" s="1"/>
      <c r="G84" s="1"/>
      <c r="H84" s="1"/>
      <c r="I84" s="1"/>
      <c r="J84" s="1"/>
      <c r="K84" s="1258"/>
      <c r="L84" s="1258"/>
      <c r="M84" s="1258"/>
      <c r="N84" s="1258"/>
      <c r="O84" s="1258"/>
      <c r="P84" s="1258"/>
      <c r="Q84" s="1258"/>
      <c r="R84" s="1258"/>
      <c r="S84" s="1258"/>
      <c r="T84" s="1258"/>
      <c r="U84" s="1258"/>
      <c r="V84" s="1258"/>
      <c r="W84" s="1258"/>
      <c r="X84" s="1258"/>
      <c r="Y84" s="1258"/>
      <c r="Z84" s="1258"/>
      <c r="AA84" s="1258"/>
      <c r="AB84" s="1258"/>
      <c r="AC84" s="1258"/>
      <c r="AD84" s="1258"/>
      <c r="AE84" s="1258"/>
      <c r="AF84" s="1258"/>
      <c r="AG84" s="1258"/>
      <c r="AH84" s="1258"/>
      <c r="AI84" s="1258"/>
      <c r="AJ84" s="125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</row>
    <row r="85" spans="1:75" ht="13" customHeight="1" x14ac:dyDescent="0.3">
      <c r="A85" s="1" t="s">
        <v>565</v>
      </c>
      <c r="B85" s="1258">
        <f>('Model Main'!ED75)</f>
        <v>-84</v>
      </c>
      <c r="C85" s="1258">
        <f>('Model Main'!EI75)</f>
        <v>-50</v>
      </c>
      <c r="D85" s="1258">
        <f>('Model Main'!EN75)</f>
        <v>158</v>
      </c>
      <c r="E85" s="1258">
        <f>('Model Main'!ES75)</f>
        <v>88</v>
      </c>
      <c r="F85" s="1258">
        <f>('Model Main'!EX75)</f>
        <v>-24</v>
      </c>
      <c r="G85" s="1258">
        <f>('Model Main'!FC75)</f>
        <v>-108.59509299368993</v>
      </c>
      <c r="H85" s="1258">
        <f>('Model Main'!FD75)</f>
        <v>-70.205655896305643</v>
      </c>
      <c r="I85" s="1074">
        <f>F85-E85</f>
        <v>-112</v>
      </c>
      <c r="J85" s="1074">
        <f>G85-F85</f>
        <v>-84.595092993689931</v>
      </c>
      <c r="K85" s="1258"/>
      <c r="L85" s="1258"/>
      <c r="M85" s="1258"/>
      <c r="N85" s="1258"/>
      <c r="O85" s="1258"/>
      <c r="P85" s="1258"/>
      <c r="Q85" s="1258"/>
      <c r="R85" s="1258"/>
      <c r="S85" s="1258"/>
      <c r="T85" s="1258"/>
      <c r="U85" s="1258"/>
      <c r="V85" s="1258"/>
      <c r="W85" s="1258"/>
      <c r="X85" s="1258"/>
      <c r="Y85" s="1258"/>
      <c r="Z85" s="1258"/>
      <c r="AA85" s="1258"/>
      <c r="AB85" s="1258"/>
      <c r="AC85" s="1258"/>
      <c r="AD85" s="1258"/>
      <c r="AE85" s="1258"/>
      <c r="AF85" s="1258"/>
      <c r="AG85" s="1258"/>
      <c r="AH85" s="1258"/>
      <c r="AI85" s="1258"/>
      <c r="AJ85" s="125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</row>
    <row r="86" spans="1:75" ht="13" customHeight="1" x14ac:dyDescent="0.3">
      <c r="A86" s="1010" t="s">
        <v>247</v>
      </c>
      <c r="B86" s="157">
        <f>'Model Main'!ED166</f>
        <v>8</v>
      </c>
      <c r="C86" s="157">
        <f>'Model Main'!EI166</f>
        <v>39</v>
      </c>
      <c r="D86" s="157">
        <f>'Model Main'!EN166</f>
        <v>8</v>
      </c>
      <c r="E86" s="157">
        <f>'Model Main'!ES166</f>
        <v>0</v>
      </c>
      <c r="F86" s="157">
        <f>'Model Main'!EX166</f>
        <v>16</v>
      </c>
      <c r="G86" s="157">
        <f>'Model Main'!FC166</f>
        <v>20</v>
      </c>
      <c r="H86" s="157">
        <f>'Model Main'!FD166</f>
        <v>20</v>
      </c>
      <c r="I86" s="1440">
        <f>F86-E86</f>
        <v>16</v>
      </c>
      <c r="J86" s="1440">
        <f>G86-F86</f>
        <v>4</v>
      </c>
      <c r="K86" s="1258"/>
      <c r="L86" s="1258"/>
      <c r="M86" s="1258"/>
      <c r="N86" s="1258"/>
      <c r="O86" s="1258"/>
      <c r="P86" s="1258"/>
      <c r="Q86" s="1258"/>
      <c r="R86" s="1258"/>
      <c r="S86" s="1258"/>
      <c r="T86" s="1258"/>
      <c r="U86" s="1258"/>
      <c r="V86" s="1258"/>
      <c r="W86" s="1258"/>
      <c r="X86" s="1258"/>
      <c r="Y86" s="1258"/>
      <c r="Z86" s="1258"/>
      <c r="AA86" s="1258"/>
      <c r="AB86" s="1258"/>
      <c r="AC86" s="1258"/>
      <c r="AD86" s="1258"/>
      <c r="AE86" s="1258"/>
      <c r="AF86" s="1258"/>
      <c r="AG86" s="1258"/>
      <c r="AH86" s="1258"/>
      <c r="AI86" s="1258"/>
      <c r="AJ86" s="125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</row>
    <row r="87" spans="1:75" ht="13" customHeight="1" x14ac:dyDescent="0.3">
      <c r="A87" s="1010" t="s">
        <v>566</v>
      </c>
      <c r="B87" s="59">
        <f>B85-B86</f>
        <v>-92</v>
      </c>
      <c r="C87" s="59">
        <f t="shared" ref="C87:J87" si="19">C85-C86</f>
        <v>-89</v>
      </c>
      <c r="D87" s="59">
        <f t="shared" si="19"/>
        <v>150</v>
      </c>
      <c r="E87" s="59">
        <f t="shared" si="19"/>
        <v>88</v>
      </c>
      <c r="F87" s="59">
        <f t="shared" si="19"/>
        <v>-40</v>
      </c>
      <c r="G87" s="59">
        <f t="shared" si="19"/>
        <v>-128.59509299368995</v>
      </c>
      <c r="H87" s="59">
        <f t="shared" si="19"/>
        <v>-90.205655896305643</v>
      </c>
      <c r="I87" s="59">
        <f t="shared" si="19"/>
        <v>-128</v>
      </c>
      <c r="J87" s="59">
        <f t="shared" si="19"/>
        <v>-88.595092993689931</v>
      </c>
      <c r="K87" s="1258"/>
      <c r="L87" s="1258"/>
      <c r="M87" s="1258"/>
      <c r="N87" s="1258"/>
      <c r="O87" s="1258"/>
      <c r="P87" s="1258"/>
      <c r="Q87" s="1258"/>
      <c r="R87" s="1258"/>
      <c r="S87" s="1258"/>
      <c r="T87" s="1258"/>
      <c r="U87" s="1258"/>
      <c r="V87" s="1258"/>
      <c r="W87" s="1258"/>
      <c r="X87" s="1258"/>
      <c r="Y87" s="1258"/>
      <c r="Z87" s="1258"/>
      <c r="AA87" s="1258"/>
      <c r="AB87" s="1258"/>
      <c r="AC87" s="1258"/>
      <c r="AD87" s="1258"/>
      <c r="AE87" s="1258"/>
      <c r="AF87" s="1258"/>
      <c r="AG87" s="1258"/>
      <c r="AH87" s="1258"/>
      <c r="AI87" s="1258"/>
      <c r="AJ87" s="125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</row>
    <row r="88" spans="1:75" ht="13" customHeight="1" x14ac:dyDescent="0.3">
      <c r="A88" s="1010" t="s">
        <v>567</v>
      </c>
      <c r="B88" s="1441">
        <f>B81</f>
        <v>0.1728395061728395</v>
      </c>
      <c r="C88" s="1441">
        <f t="shared" ref="C88:H88" si="20">C81</f>
        <v>0.17199999999999999</v>
      </c>
      <c r="D88" s="1441">
        <f t="shared" si="20"/>
        <v>0.26377295492487479</v>
      </c>
      <c r="E88" s="1441">
        <f t="shared" si="20"/>
        <v>0.75213675213675213</v>
      </c>
      <c r="F88" s="1441">
        <f t="shared" si="20"/>
        <v>6.9364161849710976E-2</v>
      </c>
      <c r="G88" s="1441">
        <f t="shared" si="20"/>
        <v>0.25</v>
      </c>
      <c r="H88" s="1441">
        <f t="shared" si="20"/>
        <v>0.25</v>
      </c>
      <c r="I88" s="1442">
        <f t="shared" ref="I88:J93" si="21">F88-E88</f>
        <v>-0.68277259028704118</v>
      </c>
      <c r="J88" s="1442">
        <f t="shared" si="21"/>
        <v>0.18063583815028902</v>
      </c>
      <c r="K88" s="1258"/>
      <c r="L88" s="1258"/>
      <c r="M88" s="1258"/>
      <c r="N88" s="1258"/>
      <c r="O88" s="1258"/>
      <c r="P88" s="1258"/>
      <c r="Q88" s="1258"/>
      <c r="R88" s="1258"/>
      <c r="S88" s="1258"/>
      <c r="T88" s="1258"/>
      <c r="U88" s="1258"/>
      <c r="V88" s="1258"/>
      <c r="W88" s="1258"/>
      <c r="X88" s="1258"/>
      <c r="Y88" s="1258"/>
      <c r="Z88" s="1258"/>
      <c r="AA88" s="1258"/>
      <c r="AB88" s="1258"/>
      <c r="AC88" s="1258"/>
      <c r="AD88" s="1258"/>
      <c r="AE88" s="1258"/>
      <c r="AF88" s="1258"/>
      <c r="AG88" s="1258"/>
      <c r="AH88" s="1258"/>
      <c r="AI88" s="1258"/>
      <c r="AJ88" s="125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</row>
    <row r="89" spans="1:75" ht="13" customHeight="1" x14ac:dyDescent="0.3">
      <c r="A89" s="1010" t="s">
        <v>568</v>
      </c>
      <c r="B89" s="1074">
        <f>B87/B88</f>
        <v>-532.28571428571433</v>
      </c>
      <c r="C89" s="1074">
        <f t="shared" ref="C89:H89" si="22">C87/C88</f>
        <v>-517.44186046511629</v>
      </c>
      <c r="D89" s="1074">
        <f t="shared" si="22"/>
        <v>568.6708860759494</v>
      </c>
      <c r="E89" s="1074">
        <f t="shared" si="22"/>
        <v>117</v>
      </c>
      <c r="F89" s="1074">
        <f t="shared" si="22"/>
        <v>-576.66666666666674</v>
      </c>
      <c r="G89" s="1074">
        <f t="shared" si="22"/>
        <v>-514.38037197475978</v>
      </c>
      <c r="H89" s="1074">
        <f t="shared" si="22"/>
        <v>-360.82262358522257</v>
      </c>
      <c r="I89" s="1074">
        <f t="shared" si="21"/>
        <v>-693.66666666666674</v>
      </c>
      <c r="J89" s="1074">
        <f t="shared" si="21"/>
        <v>62.28629469190696</v>
      </c>
      <c r="K89" s="1258"/>
      <c r="L89" s="1258"/>
      <c r="M89" s="1258"/>
      <c r="N89" s="1258"/>
      <c r="O89" s="1258"/>
      <c r="P89" s="1258"/>
      <c r="Q89" s="1258"/>
      <c r="R89" s="1258"/>
      <c r="S89" s="1258"/>
      <c r="T89" s="1258"/>
      <c r="U89" s="1258"/>
      <c r="V89" s="1258"/>
      <c r="W89" s="1258"/>
      <c r="X89" s="1258"/>
      <c r="Y89" s="1258"/>
      <c r="Z89" s="1258"/>
      <c r="AA89" s="1258"/>
      <c r="AB89" s="1258"/>
      <c r="AC89" s="1258"/>
      <c r="AD89" s="1258"/>
      <c r="AE89" s="1258"/>
      <c r="AF89" s="1258"/>
      <c r="AG89" s="1258"/>
      <c r="AH89" s="1258"/>
      <c r="AI89" s="1258"/>
      <c r="AJ89" s="125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</row>
    <row r="90" spans="1:75" ht="13" customHeight="1" x14ac:dyDescent="0.3">
      <c r="A90" s="1010" t="s">
        <v>569</v>
      </c>
      <c r="B90" s="1443">
        <v>1</v>
      </c>
      <c r="C90" s="1443">
        <v>1</v>
      </c>
      <c r="D90" s="1443">
        <v>1</v>
      </c>
      <c r="E90" s="1443">
        <v>0.8</v>
      </c>
      <c r="F90" s="1443">
        <v>0.6</v>
      </c>
      <c r="G90" s="1443">
        <v>0.4</v>
      </c>
      <c r="H90" s="1443">
        <v>0.2</v>
      </c>
      <c r="I90" s="1293">
        <f t="shared" si="21"/>
        <v>-0.20000000000000007</v>
      </c>
      <c r="J90" s="1293">
        <f t="shared" si="21"/>
        <v>-0.19999999999999996</v>
      </c>
      <c r="K90" s="1258"/>
      <c r="L90" s="1258"/>
      <c r="M90" s="1258"/>
      <c r="N90" s="1258"/>
      <c r="O90" s="1258"/>
      <c r="P90" s="1258"/>
      <c r="Q90" s="1258"/>
      <c r="R90" s="1258"/>
      <c r="S90" s="1258"/>
      <c r="T90" s="1258"/>
      <c r="U90" s="1258"/>
      <c r="V90" s="1258"/>
      <c r="W90" s="1258"/>
      <c r="X90" s="1258"/>
      <c r="Y90" s="1258"/>
      <c r="Z90" s="1258"/>
      <c r="AA90" s="1258"/>
      <c r="AB90" s="1258"/>
      <c r="AC90" s="1258"/>
      <c r="AD90" s="1258"/>
      <c r="AE90" s="1258"/>
      <c r="AF90" s="1258"/>
      <c r="AG90" s="1258"/>
      <c r="AH90" s="1258"/>
      <c r="AI90" s="1258"/>
      <c r="AJ90" s="125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</row>
    <row r="91" spans="1:75" ht="13" customHeight="1" thickBot="1" x14ac:dyDescent="0.35">
      <c r="A91" s="1010" t="s">
        <v>570</v>
      </c>
      <c r="B91" s="1444">
        <f>B89/B90</f>
        <v>-532.28571428571433</v>
      </c>
      <c r="C91" s="1444">
        <f t="shared" ref="C91:H91" si="23">C89/C90</f>
        <v>-517.44186046511629</v>
      </c>
      <c r="D91" s="1444">
        <f t="shared" si="23"/>
        <v>568.6708860759494</v>
      </c>
      <c r="E91" s="1444">
        <f t="shared" si="23"/>
        <v>146.25</v>
      </c>
      <c r="F91" s="1444">
        <f t="shared" si="23"/>
        <v>-961.11111111111131</v>
      </c>
      <c r="G91" s="1444">
        <f t="shared" si="23"/>
        <v>-1285.9509299368995</v>
      </c>
      <c r="H91" s="1444">
        <f t="shared" si="23"/>
        <v>-1804.1131179261129</v>
      </c>
      <c r="I91" s="1444">
        <f t="shared" si="21"/>
        <v>-1107.3611111111113</v>
      </c>
      <c r="J91" s="1444">
        <f t="shared" si="21"/>
        <v>-324.83981882578814</v>
      </c>
      <c r="K91" s="1258"/>
      <c r="L91" s="1258"/>
      <c r="M91" s="1258"/>
      <c r="N91" s="1258"/>
      <c r="O91" s="1258"/>
      <c r="P91" s="1258"/>
      <c r="Q91" s="1258"/>
      <c r="R91" s="1258"/>
      <c r="S91" s="1258"/>
      <c r="T91" s="1258"/>
      <c r="U91" s="1258"/>
      <c r="V91" s="1258"/>
      <c r="W91" s="1258"/>
      <c r="X91" s="1258"/>
      <c r="Y91" s="1258"/>
      <c r="Z91" s="1258"/>
      <c r="AA91" s="1258"/>
      <c r="AB91" s="1258"/>
      <c r="AC91" s="1258"/>
      <c r="AD91" s="1258"/>
      <c r="AE91" s="1258"/>
      <c r="AF91" s="1258"/>
      <c r="AG91" s="1258"/>
      <c r="AH91" s="1258"/>
      <c r="AI91" s="1258"/>
      <c r="AJ91" s="125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</row>
    <row r="92" spans="1:75" ht="13" customHeight="1" thickTop="1" x14ac:dyDescent="0.3">
      <c r="A92" s="33" t="s">
        <v>571</v>
      </c>
      <c r="B92" s="1258">
        <f>('Model Main'!ED107)*-1</f>
        <v>1181</v>
      </c>
      <c r="C92" s="1258">
        <f>('Model Main'!EI107)*-1</f>
        <v>1705</v>
      </c>
      <c r="D92" s="1258">
        <f>('Model Main'!EN107)*-1</f>
        <v>2738</v>
      </c>
      <c r="E92" s="1258">
        <f>('Model Main'!ES107)*-1</f>
        <v>3211</v>
      </c>
      <c r="F92" s="1258">
        <f>('Model Main'!EX107)*-1</f>
        <v>2783</v>
      </c>
      <c r="G92" s="1258">
        <f>('Model Main'!FC107)*-1</f>
        <v>3194.4479521510066</v>
      </c>
      <c r="H92" s="1258">
        <f>('Model Main'!FD107)*-1</f>
        <v>3082.4684202674325</v>
      </c>
      <c r="I92" s="1074">
        <f t="shared" si="21"/>
        <v>-428</v>
      </c>
      <c r="J92" s="1074">
        <f t="shared" si="21"/>
        <v>411.44795215100658</v>
      </c>
      <c r="K92" s="1258"/>
      <c r="L92" s="1258"/>
      <c r="M92" s="1258"/>
      <c r="N92" s="1258"/>
      <c r="O92" s="1258"/>
      <c r="P92" s="1258"/>
      <c r="Q92" s="1258"/>
      <c r="R92" s="1258"/>
      <c r="S92" s="1258"/>
      <c r="T92" s="1258"/>
      <c r="U92" s="1258"/>
      <c r="V92" s="1258"/>
      <c r="W92" s="1258"/>
      <c r="X92" s="1258"/>
      <c r="Y92" s="1258"/>
      <c r="Z92" s="1258"/>
      <c r="AA92" s="1258"/>
      <c r="AB92" s="1258"/>
      <c r="AC92" s="1258"/>
      <c r="AD92" s="1258"/>
      <c r="AE92" s="1258"/>
      <c r="AF92" s="1258"/>
      <c r="AG92" s="1258"/>
      <c r="AH92" s="1258"/>
      <c r="AI92" s="1258"/>
      <c r="AJ92" s="125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</row>
    <row r="93" spans="1:75" ht="13" customHeight="1" x14ac:dyDescent="0.3">
      <c r="A93" s="1445" t="s">
        <v>572</v>
      </c>
      <c r="B93" s="1446">
        <f>B91/B92</f>
        <v>-0.45070763275674375</v>
      </c>
      <c r="C93" s="1446">
        <f t="shared" ref="C93:H93" si="24">C91/C92</f>
        <v>-0.30348496214962833</v>
      </c>
      <c r="D93" s="1446">
        <f t="shared" si="24"/>
        <v>0.20769572172240663</v>
      </c>
      <c r="E93" s="1446">
        <f t="shared" si="24"/>
        <v>4.5546558704453441E-2</v>
      </c>
      <c r="F93" s="1446">
        <f t="shared" si="24"/>
        <v>-0.34535074060765769</v>
      </c>
      <c r="G93" s="1446">
        <f t="shared" si="24"/>
        <v>-0.40255810994541147</v>
      </c>
      <c r="H93" s="1446">
        <f t="shared" si="24"/>
        <v>-0.58528194678782453</v>
      </c>
      <c r="I93" s="1446">
        <f t="shared" si="21"/>
        <v>-0.39089729931211115</v>
      </c>
      <c r="J93" s="1446">
        <f t="shared" si="21"/>
        <v>-5.7207369337753777E-2</v>
      </c>
      <c r="K93" s="1258"/>
      <c r="L93" s="1258"/>
      <c r="M93" s="1258"/>
      <c r="N93" s="1258"/>
      <c r="O93" s="1258"/>
      <c r="P93" s="1258"/>
      <c r="Q93" s="1258"/>
      <c r="R93" s="1258"/>
      <c r="S93" s="1258"/>
      <c r="T93" s="1258"/>
      <c r="U93" s="1258"/>
      <c r="V93" s="1258"/>
      <c r="W93" s="1258"/>
      <c r="X93" s="1258"/>
      <c r="Y93" s="1258"/>
      <c r="Z93" s="1258"/>
      <c r="AA93" s="1258"/>
      <c r="AB93" s="1258"/>
      <c r="AC93" s="1258"/>
      <c r="AD93" s="1258"/>
      <c r="AE93" s="1258"/>
      <c r="AF93" s="1258"/>
      <c r="AG93" s="1258"/>
      <c r="AH93" s="1258"/>
      <c r="AI93" s="1258"/>
      <c r="AJ93" s="125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</row>
    <row r="94" spans="1:75" ht="13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258"/>
      <c r="L94" s="1258"/>
      <c r="M94" s="1258"/>
      <c r="N94" s="1258"/>
      <c r="O94" s="1258"/>
      <c r="P94" s="1258"/>
      <c r="Q94" s="1258"/>
      <c r="R94" s="1258"/>
      <c r="S94" s="1258"/>
      <c r="T94" s="1258"/>
      <c r="U94" s="1258"/>
      <c r="V94" s="1258"/>
      <c r="W94" s="1258"/>
      <c r="X94" s="1258"/>
      <c r="Y94" s="1258"/>
      <c r="Z94" s="1258"/>
      <c r="AA94" s="1258"/>
      <c r="AB94" s="1258"/>
      <c r="AC94" s="1258"/>
      <c r="AD94" s="1258"/>
      <c r="AE94" s="1258"/>
      <c r="AF94" s="1258"/>
      <c r="AG94" s="1258"/>
      <c r="AH94" s="1258"/>
      <c r="AI94" s="1258"/>
      <c r="AJ94" s="125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</row>
    <row r="95" spans="1:75" ht="13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258"/>
      <c r="L95" s="1258"/>
      <c r="M95" s="1258"/>
      <c r="N95" s="1258"/>
      <c r="O95" s="1258"/>
      <c r="P95" s="1258"/>
      <c r="Q95" s="1258"/>
      <c r="R95" s="1258"/>
      <c r="S95" s="1258"/>
      <c r="T95" s="1258"/>
      <c r="U95" s="1258"/>
      <c r="V95" s="1258"/>
      <c r="W95" s="1258"/>
      <c r="X95" s="1258"/>
      <c r="Y95" s="1258"/>
      <c r="Z95" s="1258"/>
      <c r="AA95" s="1258"/>
      <c r="AB95" s="1258"/>
      <c r="AC95" s="1258"/>
      <c r="AD95" s="1258"/>
      <c r="AE95" s="1258"/>
      <c r="AF95" s="1258"/>
      <c r="AG95" s="1258"/>
      <c r="AH95" s="1258"/>
      <c r="AI95" s="1258"/>
      <c r="AJ95" s="125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</row>
    <row r="96" spans="1:75" ht="13" customHeight="1" x14ac:dyDescent="0.3">
      <c r="A96" s="4" t="s">
        <v>573</v>
      </c>
      <c r="B96" s="1"/>
      <c r="C96" s="1"/>
      <c r="D96" s="1"/>
      <c r="E96" s="1"/>
      <c r="F96" s="1"/>
      <c r="G96" s="1"/>
      <c r="H96" s="1"/>
      <c r="I96" s="1"/>
      <c r="J96" s="1"/>
      <c r="K96" s="1258"/>
      <c r="L96" s="1258"/>
      <c r="M96" s="1258"/>
      <c r="N96" s="1258"/>
      <c r="O96" s="1258"/>
      <c r="P96" s="1258"/>
      <c r="Q96" s="1258"/>
      <c r="R96" s="1258"/>
      <c r="S96" s="1258"/>
      <c r="T96" s="1258"/>
      <c r="U96" s="1258"/>
      <c r="V96" s="1258"/>
      <c r="W96" s="1258"/>
      <c r="X96" s="1258"/>
      <c r="Y96" s="1258"/>
      <c r="Z96" s="1258"/>
      <c r="AA96" s="1258"/>
      <c r="AB96" s="1258"/>
      <c r="AC96" s="1258"/>
      <c r="AD96" s="1258"/>
      <c r="AE96" s="1258"/>
      <c r="AF96" s="1258"/>
      <c r="AG96" s="1258"/>
      <c r="AH96" s="1258"/>
      <c r="AI96" s="1258"/>
      <c r="AJ96" s="125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</row>
    <row r="97" spans="1:75" ht="13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258"/>
      <c r="L97" s="1258"/>
      <c r="M97" s="1258"/>
      <c r="N97" s="1258"/>
      <c r="O97" s="1258"/>
      <c r="P97" s="1258"/>
      <c r="Q97" s="1258"/>
      <c r="R97" s="1258"/>
      <c r="S97" s="1258"/>
      <c r="T97" s="1258"/>
      <c r="U97" s="1258"/>
      <c r="V97" s="1258"/>
      <c r="W97" s="1258"/>
      <c r="X97" s="1258"/>
      <c r="Y97" s="1258"/>
      <c r="Z97" s="1258"/>
      <c r="AA97" s="1258"/>
      <c r="AB97" s="1258"/>
      <c r="AC97" s="1258"/>
      <c r="AD97" s="1258"/>
      <c r="AE97" s="1258"/>
      <c r="AF97" s="1258"/>
      <c r="AG97" s="1258"/>
      <c r="AH97" s="1258"/>
      <c r="AI97" s="1258"/>
      <c r="AJ97" s="125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</row>
    <row r="98" spans="1:75" ht="13" customHeight="1" x14ac:dyDescent="0.3">
      <c r="A98" s="1436"/>
      <c r="B98" s="1436"/>
      <c r="C98" s="1436"/>
      <c r="D98" s="1436"/>
      <c r="E98" s="1436"/>
      <c r="F98" s="1436"/>
      <c r="G98" s="1436"/>
      <c r="H98" s="1436"/>
      <c r="I98" s="1436" t="s">
        <v>553</v>
      </c>
      <c r="J98" s="1436" t="s">
        <v>553</v>
      </c>
      <c r="K98" s="1258"/>
      <c r="L98" s="1258"/>
      <c r="M98" s="1258"/>
      <c r="N98" s="1258"/>
      <c r="O98" s="1258"/>
      <c r="P98" s="1258"/>
      <c r="Q98" s="1258"/>
      <c r="R98" s="1258"/>
      <c r="S98" s="1258"/>
      <c r="T98" s="1258"/>
      <c r="U98" s="1258"/>
      <c r="V98" s="1258"/>
      <c r="W98" s="1258"/>
      <c r="X98" s="1258"/>
      <c r="Y98" s="1258"/>
      <c r="Z98" s="1258"/>
      <c r="AA98" s="1258"/>
      <c r="AB98" s="1258"/>
      <c r="AC98" s="1258"/>
      <c r="AD98" s="1258"/>
      <c r="AE98" s="1258"/>
      <c r="AF98" s="1258"/>
      <c r="AG98" s="1258"/>
      <c r="AH98" s="1258"/>
      <c r="AI98" s="1258"/>
      <c r="AJ98" s="125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</row>
    <row r="99" spans="1:75" ht="13" customHeight="1" x14ac:dyDescent="0.3">
      <c r="A99" s="1437"/>
      <c r="B99" s="1437">
        <v>2020</v>
      </c>
      <c r="C99" s="1437">
        <f>B99+1</f>
        <v>2021</v>
      </c>
      <c r="D99" s="1437">
        <f t="shared" ref="D99:H99" si="25">C99+1</f>
        <v>2022</v>
      </c>
      <c r="E99" s="1437">
        <f t="shared" si="25"/>
        <v>2023</v>
      </c>
      <c r="F99" s="1437">
        <f t="shared" si="25"/>
        <v>2024</v>
      </c>
      <c r="G99" s="1437">
        <f t="shared" si="25"/>
        <v>2025</v>
      </c>
      <c r="H99" s="1437">
        <f t="shared" si="25"/>
        <v>2026</v>
      </c>
      <c r="I99" s="1438" t="s">
        <v>554</v>
      </c>
      <c r="J99" s="1438" t="s">
        <v>555</v>
      </c>
      <c r="K99" s="1258"/>
      <c r="L99" s="1258"/>
      <c r="M99" s="1258"/>
      <c r="N99" s="1258"/>
      <c r="O99" s="1258"/>
      <c r="P99" s="1258"/>
      <c r="Q99" s="1258"/>
      <c r="R99" s="1258"/>
      <c r="S99" s="1258"/>
      <c r="T99" s="1258"/>
      <c r="U99" s="1258"/>
      <c r="V99" s="1258"/>
      <c r="W99" s="1258"/>
      <c r="X99" s="1258"/>
      <c r="Y99" s="1258"/>
      <c r="Z99" s="1258"/>
      <c r="AA99" s="1258"/>
      <c r="AB99" s="1258"/>
      <c r="AC99" s="1258"/>
      <c r="AD99" s="1258"/>
      <c r="AE99" s="1258"/>
      <c r="AF99" s="1258"/>
      <c r="AG99" s="1258"/>
      <c r="AH99" s="1258"/>
      <c r="AI99" s="1258"/>
      <c r="AJ99" s="125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</row>
    <row r="100" spans="1:75" ht="13" customHeight="1" x14ac:dyDescent="0.3">
      <c r="A100" s="1" t="s">
        <v>556</v>
      </c>
      <c r="B100" s="1074">
        <f>B75</f>
        <v>-486</v>
      </c>
      <c r="C100" s="1074">
        <f t="shared" ref="C100:H102" si="26">C75</f>
        <v>4905</v>
      </c>
      <c r="D100" s="1074">
        <f t="shared" si="26"/>
        <v>599</v>
      </c>
      <c r="E100" s="1074">
        <f t="shared" si="26"/>
        <v>117</v>
      </c>
      <c r="F100" s="1074">
        <f t="shared" si="26"/>
        <v>-346</v>
      </c>
      <c r="G100" s="1074">
        <f t="shared" si="26"/>
        <v>-434.38037197475973</v>
      </c>
      <c r="H100" s="1074">
        <f t="shared" si="26"/>
        <v>-280.82262358522257</v>
      </c>
      <c r="I100" s="1074">
        <f>F100-E100</f>
        <v>-463</v>
      </c>
      <c r="J100" s="1074">
        <f>G100-F100</f>
        <v>-88.380371974759726</v>
      </c>
      <c r="K100" s="1258"/>
      <c r="L100" s="1258"/>
      <c r="M100" s="1258"/>
      <c r="N100" s="1258"/>
      <c r="O100" s="1258"/>
      <c r="P100" s="1258"/>
      <c r="Q100" s="1258"/>
      <c r="R100" s="1258"/>
      <c r="S100" s="1258"/>
      <c r="T100" s="1258"/>
      <c r="U100" s="1258"/>
      <c r="V100" s="1258"/>
      <c r="W100" s="1258"/>
      <c r="X100" s="1258"/>
      <c r="Y100" s="1258"/>
      <c r="Z100" s="1258"/>
      <c r="AA100" s="1258"/>
      <c r="AB100" s="1258"/>
      <c r="AC100" s="1258"/>
      <c r="AD100" s="1258"/>
      <c r="AE100" s="1258"/>
      <c r="AF100" s="1258"/>
      <c r="AG100" s="1258"/>
      <c r="AH100" s="1258"/>
      <c r="AI100" s="1258"/>
      <c r="AJ100" s="125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</row>
    <row r="101" spans="1:75" ht="13" customHeight="1" x14ac:dyDescent="0.3">
      <c r="A101" s="1010" t="s">
        <v>557</v>
      </c>
      <c r="B101" s="1074">
        <f>B76</f>
        <v>0</v>
      </c>
      <c r="C101" s="1074">
        <f t="shared" si="26"/>
        <v>0</v>
      </c>
      <c r="D101" s="1074">
        <f t="shared" si="26"/>
        <v>0</v>
      </c>
      <c r="E101" s="1074">
        <f t="shared" si="26"/>
        <v>0</v>
      </c>
      <c r="F101" s="1074">
        <f t="shared" si="26"/>
        <v>0</v>
      </c>
      <c r="G101" s="1074">
        <f t="shared" si="26"/>
        <v>0</v>
      </c>
      <c r="H101" s="1074">
        <f t="shared" si="26"/>
        <v>0</v>
      </c>
      <c r="I101" s="1074">
        <f t="shared" ref="I101:J103" si="27">F101-E101</f>
        <v>0</v>
      </c>
      <c r="J101" s="1074">
        <f t="shared" si="27"/>
        <v>0</v>
      </c>
      <c r="K101" s="1258"/>
      <c r="L101" s="1258"/>
      <c r="M101" s="1258"/>
      <c r="N101" s="1258"/>
      <c r="O101" s="1258"/>
      <c r="P101" s="1258"/>
      <c r="Q101" s="1258"/>
      <c r="R101" s="1258"/>
      <c r="S101" s="1258"/>
      <c r="T101" s="1258"/>
      <c r="U101" s="1258"/>
      <c r="V101" s="1258"/>
      <c r="W101" s="1258"/>
      <c r="X101" s="1258"/>
      <c r="Y101" s="1258"/>
      <c r="Z101" s="1258"/>
      <c r="AA101" s="1258"/>
      <c r="AB101" s="1258"/>
      <c r="AC101" s="1258"/>
      <c r="AD101" s="1258"/>
      <c r="AE101" s="1258"/>
      <c r="AF101" s="1258"/>
      <c r="AG101" s="1258"/>
      <c r="AH101" s="1258"/>
      <c r="AI101" s="1258"/>
      <c r="AJ101" s="125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</row>
    <row r="102" spans="1:75" ht="13" customHeight="1" x14ac:dyDescent="0.3">
      <c r="A102" s="1010" t="s">
        <v>558</v>
      </c>
      <c r="B102" s="1074">
        <f>B77</f>
        <v>0</v>
      </c>
      <c r="C102" s="1074">
        <f t="shared" si="26"/>
        <v>4171</v>
      </c>
      <c r="D102" s="1074">
        <f t="shared" si="26"/>
        <v>0</v>
      </c>
      <c r="E102" s="1074">
        <f t="shared" si="26"/>
        <v>0</v>
      </c>
      <c r="F102" s="1074">
        <f t="shared" si="26"/>
        <v>0</v>
      </c>
      <c r="G102" s="1074">
        <f t="shared" si="26"/>
        <v>0</v>
      </c>
      <c r="H102" s="1074">
        <f t="shared" si="26"/>
        <v>0</v>
      </c>
      <c r="I102" s="1074">
        <f t="shared" si="27"/>
        <v>0</v>
      </c>
      <c r="J102" s="1074">
        <f t="shared" si="27"/>
        <v>0</v>
      </c>
      <c r="K102" s="1258"/>
      <c r="L102" s="1258"/>
      <c r="M102" s="1258"/>
      <c r="N102" s="1258"/>
      <c r="O102" s="1258"/>
      <c r="P102" s="1258"/>
      <c r="Q102" s="1258"/>
      <c r="R102" s="1258"/>
      <c r="S102" s="1258"/>
      <c r="T102" s="1258"/>
      <c r="U102" s="1258"/>
      <c r="V102" s="1258"/>
      <c r="W102" s="1258"/>
      <c r="X102" s="1258"/>
      <c r="Y102" s="1258"/>
      <c r="Z102" s="1258"/>
      <c r="AA102" s="1258"/>
      <c r="AB102" s="1258"/>
      <c r="AC102" s="1258"/>
      <c r="AD102" s="1258"/>
      <c r="AE102" s="1258"/>
      <c r="AF102" s="1258"/>
      <c r="AG102" s="1258"/>
      <c r="AH102" s="1258"/>
      <c r="AI102" s="1258"/>
      <c r="AJ102" s="125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</row>
    <row r="103" spans="1:75" ht="13" customHeight="1" x14ac:dyDescent="0.3">
      <c r="A103" s="1010" t="s">
        <v>559</v>
      </c>
      <c r="B103" s="1074">
        <f>B114</f>
        <v>-532.28571428571433</v>
      </c>
      <c r="C103" s="1074">
        <f t="shared" ref="C103:H103" si="28">C114</f>
        <v>-517.44186046511629</v>
      </c>
      <c r="D103" s="1074">
        <f t="shared" si="28"/>
        <v>568.6708860759494</v>
      </c>
      <c r="E103" s="1074">
        <f t="shared" si="28"/>
        <v>146.25</v>
      </c>
      <c r="F103" s="1074">
        <f t="shared" si="28"/>
        <v>-961.11111111111131</v>
      </c>
      <c r="G103" s="1074">
        <f t="shared" si="28"/>
        <v>-1285.9509299368995</v>
      </c>
      <c r="H103" s="1074">
        <f t="shared" si="28"/>
        <v>-1804.1131179261129</v>
      </c>
      <c r="I103" s="1074">
        <f t="shared" si="27"/>
        <v>-1107.3611111111113</v>
      </c>
      <c r="J103" s="1074">
        <f t="shared" si="27"/>
        <v>-324.83981882578814</v>
      </c>
      <c r="K103" s="1258"/>
      <c r="L103" s="1258"/>
      <c r="M103" s="1258"/>
      <c r="N103" s="1258"/>
      <c r="O103" s="1258"/>
      <c r="P103" s="1258"/>
      <c r="Q103" s="1258"/>
      <c r="R103" s="1258"/>
      <c r="S103" s="1258"/>
      <c r="T103" s="1258"/>
      <c r="U103" s="1258"/>
      <c r="V103" s="1258"/>
      <c r="W103" s="1258"/>
      <c r="X103" s="1258"/>
      <c r="Y103" s="1258"/>
      <c r="Z103" s="1258"/>
      <c r="AA103" s="1258"/>
      <c r="AB103" s="1258"/>
      <c r="AC103" s="1258"/>
      <c r="AD103" s="1258"/>
      <c r="AE103" s="1258"/>
      <c r="AF103" s="1258"/>
      <c r="AG103" s="1258"/>
      <c r="AH103" s="1258"/>
      <c r="AI103" s="1258"/>
      <c r="AJ103" s="125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</row>
    <row r="104" spans="1:75" ht="13" customHeight="1" x14ac:dyDescent="0.3">
      <c r="A104" s="1010" t="s">
        <v>560</v>
      </c>
      <c r="B104" s="1439">
        <f>B100-B101-B102-B103</f>
        <v>46.285714285714334</v>
      </c>
      <c r="C104" s="1439">
        <f t="shared" ref="C104:J104" si="29">C100-C101-C102-C103</f>
        <v>1251.4418604651164</v>
      </c>
      <c r="D104" s="1439">
        <f t="shared" si="29"/>
        <v>30.329113924050603</v>
      </c>
      <c r="E104" s="1439">
        <f t="shared" si="29"/>
        <v>-29.25</v>
      </c>
      <c r="F104" s="1439">
        <f t="shared" si="29"/>
        <v>615.11111111111131</v>
      </c>
      <c r="G104" s="1439">
        <f t="shared" si="29"/>
        <v>851.57055796213967</v>
      </c>
      <c r="H104" s="1439">
        <f t="shared" si="29"/>
        <v>1523.2904943408903</v>
      </c>
      <c r="I104" s="1439">
        <f t="shared" si="29"/>
        <v>644.36111111111131</v>
      </c>
      <c r="J104" s="1439">
        <f t="shared" si="29"/>
        <v>236.45944685102842</v>
      </c>
      <c r="K104" s="1258"/>
      <c r="L104" s="1258"/>
      <c r="M104" s="1258"/>
      <c r="N104" s="1258"/>
      <c r="O104" s="1258"/>
      <c r="P104" s="1258"/>
      <c r="Q104" s="1258"/>
      <c r="R104" s="1258"/>
      <c r="S104" s="1258"/>
      <c r="T104" s="1258"/>
      <c r="U104" s="1258"/>
      <c r="V104" s="1258"/>
      <c r="W104" s="1258"/>
      <c r="X104" s="1258"/>
      <c r="Y104" s="1258"/>
      <c r="Z104" s="1258"/>
      <c r="AA104" s="1258"/>
      <c r="AB104" s="1258"/>
      <c r="AC104" s="1258"/>
      <c r="AD104" s="1258"/>
      <c r="AE104" s="1258"/>
      <c r="AF104" s="1258"/>
      <c r="AG104" s="1258"/>
      <c r="AH104" s="1258"/>
      <c r="AI104" s="1258"/>
      <c r="AJ104" s="125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</row>
    <row r="105" spans="1:75" ht="13" customHeight="1" x14ac:dyDescent="0.3">
      <c r="A105" s="33" t="s">
        <v>561</v>
      </c>
      <c r="B105" s="62">
        <f>B80</f>
        <v>-84</v>
      </c>
      <c r="C105" s="62">
        <f t="shared" ref="C105:H105" si="30">C80</f>
        <v>-50</v>
      </c>
      <c r="D105" s="62">
        <f t="shared" si="30"/>
        <v>158</v>
      </c>
      <c r="E105" s="62">
        <f t="shared" si="30"/>
        <v>88</v>
      </c>
      <c r="F105" s="62">
        <f t="shared" si="30"/>
        <v>-24</v>
      </c>
      <c r="G105" s="62">
        <f t="shared" si="30"/>
        <v>-108.59509299368993</v>
      </c>
      <c r="H105" s="62">
        <f t="shared" si="30"/>
        <v>-70.205655896305643</v>
      </c>
      <c r="I105" s="1074">
        <f t="shared" ref="I105:J108" si="31">F105-E105</f>
        <v>-112</v>
      </c>
      <c r="J105" s="1074">
        <f t="shared" si="31"/>
        <v>-84.595092993689931</v>
      </c>
      <c r="K105" s="1258"/>
      <c r="L105" s="1258"/>
      <c r="M105" s="1258"/>
      <c r="N105" s="1258"/>
      <c r="O105" s="1258"/>
      <c r="P105" s="1258"/>
      <c r="Q105" s="1258"/>
      <c r="R105" s="1258"/>
      <c r="S105" s="1258"/>
      <c r="T105" s="1258"/>
      <c r="U105" s="1258"/>
      <c r="V105" s="1258"/>
      <c r="W105" s="1258"/>
      <c r="X105" s="1258"/>
      <c r="Y105" s="1258"/>
      <c r="Z105" s="1258"/>
      <c r="AA105" s="1258"/>
      <c r="AB105" s="1258"/>
      <c r="AC105" s="1258"/>
      <c r="AD105" s="1258"/>
      <c r="AE105" s="1258"/>
      <c r="AF105" s="1258"/>
      <c r="AG105" s="1258"/>
      <c r="AH105" s="1258"/>
      <c r="AI105" s="1258"/>
      <c r="AJ105" s="125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</row>
    <row r="106" spans="1:75" ht="13" customHeight="1" x14ac:dyDescent="0.3">
      <c r="A106" s="33" t="s">
        <v>562</v>
      </c>
      <c r="B106" s="1137">
        <f>B105/B100</f>
        <v>0.1728395061728395</v>
      </c>
      <c r="C106" s="1137">
        <f>C81</f>
        <v>0.17199999999999999</v>
      </c>
      <c r="D106" s="1137">
        <f>D105/D100</f>
        <v>0.26377295492487479</v>
      </c>
      <c r="E106" s="1137">
        <f>E105/E100</f>
        <v>0.75213675213675213</v>
      </c>
      <c r="F106" s="1137">
        <f>F105/F100</f>
        <v>6.9364161849710976E-2</v>
      </c>
      <c r="G106" s="1137">
        <f>G105/G100</f>
        <v>0.25</v>
      </c>
      <c r="H106" s="1137">
        <f t="shared" ref="H106" si="32">H105/H100</f>
        <v>0.25</v>
      </c>
      <c r="I106" s="1300">
        <f t="shared" si="31"/>
        <v>-0.68277259028704118</v>
      </c>
      <c r="J106" s="1300">
        <f t="shared" si="31"/>
        <v>0.18063583815028902</v>
      </c>
      <c r="K106" s="1258"/>
      <c r="L106" s="1258"/>
      <c r="M106" s="1258"/>
      <c r="N106" s="1258"/>
      <c r="O106" s="1258"/>
      <c r="P106" s="1258"/>
      <c r="Q106" s="1258"/>
      <c r="R106" s="1258"/>
      <c r="S106" s="1258"/>
      <c r="T106" s="1258"/>
      <c r="U106" s="1258"/>
      <c r="V106" s="1258"/>
      <c r="W106" s="1258"/>
      <c r="X106" s="1258"/>
      <c r="Y106" s="1258"/>
      <c r="Z106" s="1258"/>
      <c r="AA106" s="1258"/>
      <c r="AB106" s="1258"/>
      <c r="AC106" s="1258"/>
      <c r="AD106" s="1258"/>
      <c r="AE106" s="1258"/>
      <c r="AF106" s="1258"/>
      <c r="AG106" s="1258"/>
      <c r="AH106" s="1258"/>
      <c r="AI106" s="1258"/>
      <c r="AJ106" s="125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</row>
    <row r="107" spans="1:75" ht="13" customHeight="1" x14ac:dyDescent="0.3">
      <c r="A107" s="33" t="s">
        <v>563</v>
      </c>
      <c r="B107" s="62">
        <f>B111</f>
        <v>8</v>
      </c>
      <c r="C107" s="62">
        <f t="shared" ref="C107:H107" si="33">C111</f>
        <v>39</v>
      </c>
      <c r="D107" s="62">
        <f t="shared" si="33"/>
        <v>8</v>
      </c>
      <c r="E107" s="62">
        <f t="shared" si="33"/>
        <v>-22</v>
      </c>
      <c r="F107" s="62">
        <f t="shared" si="33"/>
        <v>42.666666666666671</v>
      </c>
      <c r="G107" s="62">
        <f t="shared" si="33"/>
        <v>212.89263949053492</v>
      </c>
      <c r="H107" s="62">
        <f t="shared" si="33"/>
        <v>380.82262358522257</v>
      </c>
      <c r="I107" s="1074">
        <f t="shared" si="31"/>
        <v>64.666666666666671</v>
      </c>
      <c r="J107" s="1074">
        <f t="shared" si="31"/>
        <v>170.22597282386823</v>
      </c>
      <c r="K107" s="1258"/>
      <c r="L107" s="1258"/>
      <c r="M107" s="1258"/>
      <c r="N107" s="1258"/>
      <c r="O107" s="1258"/>
      <c r="P107" s="1258"/>
      <c r="Q107" s="1258"/>
      <c r="R107" s="1258"/>
      <c r="S107" s="1258"/>
      <c r="T107" s="1258"/>
      <c r="U107" s="1258"/>
      <c r="V107" s="1258"/>
      <c r="W107" s="1258"/>
      <c r="X107" s="1258"/>
      <c r="Y107" s="1258"/>
      <c r="Z107" s="1258"/>
      <c r="AA107" s="1258"/>
      <c r="AB107" s="1258"/>
      <c r="AC107" s="1258"/>
      <c r="AD107" s="1258"/>
      <c r="AE107" s="1258"/>
      <c r="AF107" s="1258"/>
      <c r="AG107" s="1258"/>
      <c r="AH107" s="1258"/>
      <c r="AI107" s="1258"/>
      <c r="AJ107" s="125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</row>
    <row r="108" spans="1:75" ht="13" customHeight="1" x14ac:dyDescent="0.3">
      <c r="A108" s="33" t="s">
        <v>564</v>
      </c>
      <c r="B108" s="1137">
        <f>B107/B104</f>
        <v>0.17283950617283933</v>
      </c>
      <c r="C108" s="1137">
        <f t="shared" ref="C108:H108" si="34">C107/C104</f>
        <v>3.1164052627666687E-2</v>
      </c>
      <c r="D108" s="1137">
        <f t="shared" si="34"/>
        <v>0.26377295492487507</v>
      </c>
      <c r="E108" s="1137">
        <f t="shared" si="34"/>
        <v>0.75213675213675213</v>
      </c>
      <c r="F108" s="1137">
        <f t="shared" si="34"/>
        <v>6.9364161849710962E-2</v>
      </c>
      <c r="G108" s="1137">
        <f t="shared" si="34"/>
        <v>0.25</v>
      </c>
      <c r="H108" s="1137">
        <f t="shared" si="34"/>
        <v>0.25</v>
      </c>
      <c r="I108" s="1300">
        <f t="shared" si="31"/>
        <v>-0.68277259028704118</v>
      </c>
      <c r="J108" s="1300">
        <f t="shared" si="31"/>
        <v>0.18063583815028905</v>
      </c>
      <c r="K108" s="1258"/>
      <c r="L108" s="1258"/>
      <c r="M108" s="1258"/>
      <c r="N108" s="1258"/>
      <c r="O108" s="1258"/>
      <c r="P108" s="1258"/>
      <c r="Q108" s="1258"/>
      <c r="R108" s="1258"/>
      <c r="S108" s="1258"/>
      <c r="T108" s="1258"/>
      <c r="U108" s="1258"/>
      <c r="V108" s="1258"/>
      <c r="W108" s="1258"/>
      <c r="X108" s="1258"/>
      <c r="Y108" s="1258"/>
      <c r="Z108" s="1258"/>
      <c r="AA108" s="1258"/>
      <c r="AB108" s="1258"/>
      <c r="AC108" s="1258"/>
      <c r="AD108" s="1258"/>
      <c r="AE108" s="1258"/>
      <c r="AF108" s="1258"/>
      <c r="AG108" s="1258"/>
      <c r="AH108" s="1258"/>
      <c r="AI108" s="1258"/>
      <c r="AJ108" s="125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</row>
    <row r="109" spans="1:75" ht="13" customHeight="1" x14ac:dyDescent="0.3">
      <c r="A109" s="33"/>
      <c r="B109" s="1"/>
      <c r="C109" s="1"/>
      <c r="D109" s="1"/>
      <c r="E109" s="1"/>
      <c r="F109" s="1"/>
      <c r="G109" s="1"/>
      <c r="H109" s="1"/>
      <c r="I109" s="1"/>
      <c r="J109" s="1"/>
      <c r="K109" s="1258"/>
      <c r="L109" s="1258"/>
      <c r="M109" s="1258"/>
      <c r="N109" s="1258"/>
      <c r="O109" s="1258"/>
      <c r="P109" s="1258"/>
      <c r="Q109" s="1258"/>
      <c r="R109" s="1258"/>
      <c r="S109" s="1258"/>
      <c r="T109" s="1258"/>
      <c r="U109" s="1258"/>
      <c r="V109" s="1258"/>
      <c r="W109" s="1258"/>
      <c r="X109" s="1258"/>
      <c r="Y109" s="1258"/>
      <c r="Z109" s="1258"/>
      <c r="AA109" s="1258"/>
      <c r="AB109" s="1258"/>
      <c r="AC109" s="1258"/>
      <c r="AD109" s="1258"/>
      <c r="AE109" s="1258"/>
      <c r="AF109" s="1258"/>
      <c r="AG109" s="1258"/>
      <c r="AH109" s="1258"/>
      <c r="AI109" s="1258"/>
      <c r="AJ109" s="125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</row>
    <row r="110" spans="1:75" ht="13" customHeight="1" x14ac:dyDescent="0.3">
      <c r="A110" s="1" t="s">
        <v>565</v>
      </c>
      <c r="B110" s="59">
        <f>B85</f>
        <v>-84</v>
      </c>
      <c r="C110" s="59">
        <f t="shared" ref="C110:H111" si="35">C85</f>
        <v>-50</v>
      </c>
      <c r="D110" s="59">
        <f t="shared" si="35"/>
        <v>158</v>
      </c>
      <c r="E110" s="59">
        <f t="shared" si="35"/>
        <v>88</v>
      </c>
      <c r="F110" s="59">
        <f t="shared" si="35"/>
        <v>-24</v>
      </c>
      <c r="G110" s="59">
        <f t="shared" si="35"/>
        <v>-108.59509299368993</v>
      </c>
      <c r="H110" s="59">
        <f t="shared" si="35"/>
        <v>-70.205655896305643</v>
      </c>
      <c r="I110" s="1074">
        <f>F110-E110</f>
        <v>-112</v>
      </c>
      <c r="J110" s="1074">
        <f>G110-F110</f>
        <v>-84.595092993689931</v>
      </c>
      <c r="K110" s="1258"/>
      <c r="L110" s="1258"/>
      <c r="M110" s="1258"/>
      <c r="N110" s="1258"/>
      <c r="O110" s="1258"/>
      <c r="P110" s="1258"/>
      <c r="Q110" s="1258"/>
      <c r="R110" s="1258"/>
      <c r="S110" s="1258"/>
      <c r="T110" s="1258"/>
      <c r="U110" s="1258"/>
      <c r="V110" s="1258"/>
      <c r="W110" s="1258"/>
      <c r="X110" s="1258"/>
      <c r="Y110" s="1258"/>
      <c r="Z110" s="1258"/>
      <c r="AA110" s="1258"/>
      <c r="AB110" s="1258"/>
      <c r="AC110" s="1258"/>
      <c r="AD110" s="1258"/>
      <c r="AE110" s="1258"/>
      <c r="AF110" s="1258"/>
      <c r="AG110" s="1258"/>
      <c r="AH110" s="1258"/>
      <c r="AI110" s="1258"/>
      <c r="AJ110" s="125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</row>
    <row r="111" spans="1:75" ht="13" customHeight="1" x14ac:dyDescent="0.3">
      <c r="A111" s="1010" t="s">
        <v>247</v>
      </c>
      <c r="B111" s="157">
        <f>B86</f>
        <v>8</v>
      </c>
      <c r="C111" s="157">
        <f t="shared" si="35"/>
        <v>39</v>
      </c>
      <c r="D111" s="157">
        <f t="shared" si="35"/>
        <v>8</v>
      </c>
      <c r="E111" s="157">
        <f>E110-E112</f>
        <v>-22</v>
      </c>
      <c r="F111" s="157">
        <f t="shared" ref="F111:H111" si="36">F110-F112</f>
        <v>42.666666666666671</v>
      </c>
      <c r="G111" s="157">
        <f t="shared" si="36"/>
        <v>212.89263949053492</v>
      </c>
      <c r="H111" s="157">
        <f t="shared" si="36"/>
        <v>380.82262358522257</v>
      </c>
      <c r="I111" s="1440">
        <f>F111-E111</f>
        <v>64.666666666666671</v>
      </c>
      <c r="J111" s="1440">
        <f>G111-F111</f>
        <v>170.22597282386823</v>
      </c>
      <c r="K111" s="1258"/>
      <c r="L111" s="1258"/>
      <c r="M111" s="1258"/>
      <c r="N111" s="1258"/>
      <c r="O111" s="1258"/>
      <c r="P111" s="1258"/>
      <c r="Q111" s="1258"/>
      <c r="R111" s="1258"/>
      <c r="S111" s="1258"/>
      <c r="T111" s="1258"/>
      <c r="U111" s="1258"/>
      <c r="V111" s="1258"/>
      <c r="W111" s="1258"/>
      <c r="X111" s="1258"/>
      <c r="Y111" s="1258"/>
      <c r="Z111" s="1258"/>
      <c r="AA111" s="1258"/>
      <c r="AB111" s="1258"/>
      <c r="AC111" s="1258"/>
      <c r="AD111" s="1258"/>
      <c r="AE111" s="1258"/>
      <c r="AF111" s="1258"/>
      <c r="AG111" s="1258"/>
      <c r="AH111" s="1258"/>
      <c r="AI111" s="1258"/>
      <c r="AJ111" s="125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</row>
    <row r="112" spans="1:75" ht="13" customHeight="1" x14ac:dyDescent="0.3">
      <c r="A112" s="1010" t="s">
        <v>566</v>
      </c>
      <c r="B112" s="59">
        <f>B110-B111</f>
        <v>-92</v>
      </c>
      <c r="C112" s="59">
        <f t="shared" ref="C112:D112" si="37">C110-C111</f>
        <v>-89</v>
      </c>
      <c r="D112" s="59">
        <f t="shared" si="37"/>
        <v>150</v>
      </c>
      <c r="E112" s="59">
        <f>E114*E113</f>
        <v>110</v>
      </c>
      <c r="F112" s="59">
        <f t="shared" ref="F112:H112" si="38">F114*F113</f>
        <v>-66.666666666666671</v>
      </c>
      <c r="G112" s="59">
        <f t="shared" si="38"/>
        <v>-321.48773248422486</v>
      </c>
      <c r="H112" s="59">
        <f t="shared" si="38"/>
        <v>-451.02827948152822</v>
      </c>
      <c r="I112" s="59">
        <f t="shared" ref="I112:J112" si="39">I110-I111</f>
        <v>-176.66666666666669</v>
      </c>
      <c r="J112" s="59">
        <f t="shared" si="39"/>
        <v>-254.82106581755818</v>
      </c>
      <c r="K112" s="1258"/>
      <c r="L112" s="1258"/>
      <c r="M112" s="1258"/>
      <c r="N112" s="1258"/>
      <c r="O112" s="1258"/>
      <c r="P112" s="1258"/>
      <c r="Q112" s="1258"/>
      <c r="R112" s="1258"/>
      <c r="S112" s="1258"/>
      <c r="T112" s="1258"/>
      <c r="U112" s="1258"/>
      <c r="V112" s="1258"/>
      <c r="W112" s="1258"/>
      <c r="X112" s="1258"/>
      <c r="Y112" s="1258"/>
      <c r="Z112" s="1258"/>
      <c r="AA112" s="1258"/>
      <c r="AB112" s="1258"/>
      <c r="AC112" s="1258"/>
      <c r="AD112" s="1258"/>
      <c r="AE112" s="1258"/>
      <c r="AF112" s="1258"/>
      <c r="AG112" s="1258"/>
      <c r="AH112" s="1258"/>
      <c r="AI112" s="1258"/>
      <c r="AJ112" s="125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</row>
    <row r="113" spans="1:75" ht="13" customHeight="1" x14ac:dyDescent="0.3">
      <c r="A113" s="1010" t="s">
        <v>567</v>
      </c>
      <c r="B113" s="1441">
        <f>B106</f>
        <v>0.1728395061728395</v>
      </c>
      <c r="C113" s="1441">
        <f t="shared" ref="C113:H113" si="40">C106</f>
        <v>0.17199999999999999</v>
      </c>
      <c r="D113" s="1441">
        <f t="shared" si="40"/>
        <v>0.26377295492487479</v>
      </c>
      <c r="E113" s="1441">
        <f t="shared" si="40"/>
        <v>0.75213675213675213</v>
      </c>
      <c r="F113" s="1441">
        <f t="shared" si="40"/>
        <v>6.9364161849710976E-2</v>
      </c>
      <c r="G113" s="1441">
        <f t="shared" si="40"/>
        <v>0.25</v>
      </c>
      <c r="H113" s="1441">
        <f t="shared" si="40"/>
        <v>0.25</v>
      </c>
      <c r="I113" s="1442">
        <f t="shared" ref="I113:J118" si="41">F113-E113</f>
        <v>-0.68277259028704118</v>
      </c>
      <c r="J113" s="1442">
        <f t="shared" si="41"/>
        <v>0.18063583815028902</v>
      </c>
      <c r="K113" s="1258"/>
      <c r="L113" s="1258"/>
      <c r="M113" s="1258"/>
      <c r="N113" s="1258"/>
      <c r="O113" s="1258"/>
      <c r="P113" s="1258"/>
      <c r="Q113" s="1258"/>
      <c r="R113" s="1258"/>
      <c r="S113" s="1258"/>
      <c r="T113" s="1258"/>
      <c r="U113" s="1258"/>
      <c r="V113" s="1258"/>
      <c r="W113" s="1258"/>
      <c r="X113" s="1258"/>
      <c r="Y113" s="1258"/>
      <c r="Z113" s="1258"/>
      <c r="AA113" s="1258"/>
      <c r="AB113" s="1258"/>
      <c r="AC113" s="1258"/>
      <c r="AD113" s="1258"/>
      <c r="AE113" s="1258"/>
      <c r="AF113" s="1258"/>
      <c r="AG113" s="1258"/>
      <c r="AH113" s="1258"/>
      <c r="AI113" s="1258"/>
      <c r="AJ113" s="125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</row>
    <row r="114" spans="1:75" ht="13" customHeight="1" x14ac:dyDescent="0.3">
      <c r="A114" s="1010" t="s">
        <v>568</v>
      </c>
      <c r="B114" s="1074">
        <f>B112/B113</f>
        <v>-532.28571428571433</v>
      </c>
      <c r="C114" s="1074">
        <f t="shared" ref="C114:D114" si="42">C112/C113</f>
        <v>-517.44186046511629</v>
      </c>
      <c r="D114" s="1074">
        <f t="shared" si="42"/>
        <v>568.6708860759494</v>
      </c>
      <c r="E114" s="1074">
        <f>E116*E115</f>
        <v>146.25</v>
      </c>
      <c r="F114" s="1074">
        <f t="shared" ref="F114:H114" si="43">F116*F115</f>
        <v>-961.11111111111131</v>
      </c>
      <c r="G114" s="1074">
        <f t="shared" si="43"/>
        <v>-1285.9509299368995</v>
      </c>
      <c r="H114" s="1074">
        <f t="shared" si="43"/>
        <v>-1804.1131179261129</v>
      </c>
      <c r="I114" s="1074">
        <f t="shared" si="41"/>
        <v>-1107.3611111111113</v>
      </c>
      <c r="J114" s="1074">
        <f t="shared" si="41"/>
        <v>-324.83981882578814</v>
      </c>
      <c r="K114" s="1258"/>
      <c r="L114" s="1258"/>
      <c r="M114" s="1258"/>
      <c r="N114" s="1258"/>
      <c r="O114" s="1258"/>
      <c r="P114" s="1258"/>
      <c r="Q114" s="1258"/>
      <c r="R114" s="1258"/>
      <c r="S114" s="1258"/>
      <c r="T114" s="1258"/>
      <c r="U114" s="1258"/>
      <c r="V114" s="1258"/>
      <c r="W114" s="1258"/>
      <c r="X114" s="1258"/>
      <c r="Y114" s="1258"/>
      <c r="Z114" s="1258"/>
      <c r="AA114" s="1258"/>
      <c r="AB114" s="1258"/>
      <c r="AC114" s="1258"/>
      <c r="AD114" s="1258"/>
      <c r="AE114" s="1258"/>
      <c r="AF114" s="1258"/>
      <c r="AG114" s="1258"/>
      <c r="AH114" s="1258"/>
      <c r="AI114" s="1258"/>
      <c r="AJ114" s="125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</row>
    <row r="115" spans="1:75" ht="13" customHeight="1" x14ac:dyDescent="0.3">
      <c r="A115" s="1010" t="s">
        <v>569</v>
      </c>
      <c r="B115" s="1443">
        <v>1</v>
      </c>
      <c r="C115" s="1443">
        <v>1</v>
      </c>
      <c r="D115" s="1443">
        <v>1</v>
      </c>
      <c r="E115" s="1443">
        <v>1</v>
      </c>
      <c r="F115" s="1443">
        <v>1</v>
      </c>
      <c r="G115" s="1443">
        <v>1</v>
      </c>
      <c r="H115" s="1443">
        <v>1</v>
      </c>
      <c r="I115" s="1293">
        <f t="shared" si="41"/>
        <v>0</v>
      </c>
      <c r="J115" s="1293">
        <f t="shared" si="41"/>
        <v>0</v>
      </c>
      <c r="K115" s="1258"/>
      <c r="L115" s="1258"/>
      <c r="M115" s="1258"/>
      <c r="N115" s="1258"/>
      <c r="O115" s="1258"/>
      <c r="P115" s="1258"/>
      <c r="Q115" s="1258"/>
      <c r="R115" s="1258"/>
      <c r="S115" s="1258"/>
      <c r="T115" s="1258"/>
      <c r="U115" s="1258"/>
      <c r="V115" s="1258"/>
      <c r="W115" s="1258"/>
      <c r="X115" s="1258"/>
      <c r="Y115" s="1258"/>
      <c r="Z115" s="1258"/>
      <c r="AA115" s="1258"/>
      <c r="AB115" s="1258"/>
      <c r="AC115" s="1258"/>
      <c r="AD115" s="1258"/>
      <c r="AE115" s="1258"/>
      <c r="AF115" s="1258"/>
      <c r="AG115" s="1258"/>
      <c r="AH115" s="1258"/>
      <c r="AI115" s="1258"/>
      <c r="AJ115" s="125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</row>
    <row r="116" spans="1:75" ht="13" customHeight="1" thickBot="1" x14ac:dyDescent="0.35">
      <c r="A116" s="1010" t="s">
        <v>570</v>
      </c>
      <c r="B116" s="1444">
        <f>B114/B115</f>
        <v>-532.28571428571433</v>
      </c>
      <c r="C116" s="1444">
        <f t="shared" ref="C116:D116" si="44">C114/C115</f>
        <v>-517.44186046511629</v>
      </c>
      <c r="D116" s="1444">
        <f t="shared" si="44"/>
        <v>568.6708860759494</v>
      </c>
      <c r="E116" s="1444">
        <f>E91</f>
        <v>146.25</v>
      </c>
      <c r="F116" s="1444">
        <f t="shared" ref="F116:H116" si="45">F91</f>
        <v>-961.11111111111131</v>
      </c>
      <c r="G116" s="1444">
        <f t="shared" si="45"/>
        <v>-1285.9509299368995</v>
      </c>
      <c r="H116" s="1444">
        <f t="shared" si="45"/>
        <v>-1804.1131179261129</v>
      </c>
      <c r="I116" s="1444">
        <f t="shared" si="41"/>
        <v>-1107.3611111111113</v>
      </c>
      <c r="J116" s="1444">
        <f t="shared" si="41"/>
        <v>-324.83981882578814</v>
      </c>
      <c r="K116" s="1258"/>
      <c r="L116" s="1258"/>
      <c r="M116" s="1258"/>
      <c r="N116" s="1258"/>
      <c r="O116" s="1258"/>
      <c r="P116" s="1258"/>
      <c r="Q116" s="1258"/>
      <c r="R116" s="1258"/>
      <c r="S116" s="1258"/>
      <c r="T116" s="1258"/>
      <c r="U116" s="1258"/>
      <c r="V116" s="1258"/>
      <c r="W116" s="1258"/>
      <c r="X116" s="1258"/>
      <c r="Y116" s="1258"/>
      <c r="Z116" s="1258"/>
      <c r="AA116" s="1258"/>
      <c r="AB116" s="1258"/>
      <c r="AC116" s="1258"/>
      <c r="AD116" s="1258"/>
      <c r="AE116" s="1258"/>
      <c r="AF116" s="1258"/>
      <c r="AG116" s="1258"/>
      <c r="AH116" s="1258"/>
      <c r="AI116" s="1258"/>
      <c r="AJ116" s="125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</row>
    <row r="117" spans="1:75" ht="13" customHeight="1" thickTop="1" x14ac:dyDescent="0.3">
      <c r="A117" s="33" t="s">
        <v>571</v>
      </c>
      <c r="B117" s="59">
        <f>B92</f>
        <v>1181</v>
      </c>
      <c r="C117" s="59">
        <f t="shared" ref="C117:H117" si="46">C92</f>
        <v>1705</v>
      </c>
      <c r="D117" s="59">
        <f t="shared" si="46"/>
        <v>2738</v>
      </c>
      <c r="E117" s="59">
        <f t="shared" si="46"/>
        <v>3211</v>
      </c>
      <c r="F117" s="59">
        <f t="shared" si="46"/>
        <v>2783</v>
      </c>
      <c r="G117" s="59">
        <f t="shared" si="46"/>
        <v>3194.4479521510066</v>
      </c>
      <c r="H117" s="59">
        <f t="shared" si="46"/>
        <v>3082.4684202674325</v>
      </c>
      <c r="I117" s="1074">
        <f t="shared" si="41"/>
        <v>-428</v>
      </c>
      <c r="J117" s="1074">
        <f t="shared" si="41"/>
        <v>411.44795215100658</v>
      </c>
      <c r="K117" s="1258"/>
      <c r="L117" s="1258"/>
      <c r="M117" s="1258"/>
      <c r="N117" s="1258"/>
      <c r="O117" s="1258"/>
      <c r="P117" s="1258"/>
      <c r="Q117" s="1258"/>
      <c r="R117" s="1258"/>
      <c r="S117" s="1258"/>
      <c r="T117" s="1258"/>
      <c r="U117" s="1258"/>
      <c r="V117" s="1258"/>
      <c r="W117" s="1258"/>
      <c r="X117" s="1258"/>
      <c r="Y117" s="1258"/>
      <c r="Z117" s="1258"/>
      <c r="AA117" s="1258"/>
      <c r="AB117" s="1258"/>
      <c r="AC117" s="1258"/>
      <c r="AD117" s="1258"/>
      <c r="AE117" s="1258"/>
      <c r="AF117" s="1258"/>
      <c r="AG117" s="1258"/>
      <c r="AH117" s="1258"/>
      <c r="AI117" s="1258"/>
      <c r="AJ117" s="125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</row>
    <row r="118" spans="1:75" ht="13" customHeight="1" x14ac:dyDescent="0.3">
      <c r="A118" s="1445" t="s">
        <v>572</v>
      </c>
      <c r="B118" s="1446">
        <f>B116/B117</f>
        <v>-0.45070763275674375</v>
      </c>
      <c r="C118" s="1446">
        <f t="shared" ref="C118:H118" si="47">C116/C117</f>
        <v>-0.30348496214962833</v>
      </c>
      <c r="D118" s="1446">
        <f t="shared" si="47"/>
        <v>0.20769572172240663</v>
      </c>
      <c r="E118" s="1446">
        <f t="shared" si="47"/>
        <v>4.5546558704453441E-2</v>
      </c>
      <c r="F118" s="1446">
        <f t="shared" si="47"/>
        <v>-0.34535074060765769</v>
      </c>
      <c r="G118" s="1446">
        <f t="shared" si="47"/>
        <v>-0.40255810994541147</v>
      </c>
      <c r="H118" s="1446">
        <f t="shared" si="47"/>
        <v>-0.58528194678782453</v>
      </c>
      <c r="I118" s="1446">
        <f t="shared" si="41"/>
        <v>-0.39089729931211115</v>
      </c>
      <c r="J118" s="1446">
        <f t="shared" si="41"/>
        <v>-5.7207369337753777E-2</v>
      </c>
      <c r="K118" s="1258"/>
      <c r="L118" s="1258"/>
      <c r="M118" s="1258"/>
      <c r="N118" s="1258"/>
      <c r="O118" s="1258"/>
      <c r="P118" s="1258"/>
      <c r="Q118" s="1258"/>
      <c r="R118" s="1258"/>
      <c r="S118" s="1258"/>
      <c r="T118" s="1258"/>
      <c r="U118" s="1258"/>
      <c r="V118" s="1258"/>
      <c r="W118" s="1258"/>
      <c r="X118" s="1258"/>
      <c r="Y118" s="1258"/>
      <c r="Z118" s="1258"/>
      <c r="AA118" s="1258"/>
      <c r="AB118" s="1258"/>
      <c r="AC118" s="1258"/>
      <c r="AD118" s="1258"/>
      <c r="AE118" s="1258"/>
      <c r="AF118" s="1258"/>
      <c r="AG118" s="1258"/>
      <c r="AH118" s="1258"/>
      <c r="AI118" s="1258"/>
      <c r="AJ118" s="125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</row>
    <row r="119" spans="1:75" ht="13" customHeight="1" x14ac:dyDescent="0.3">
      <c r="A119" s="1258"/>
      <c r="B119" s="1258"/>
      <c r="C119" s="1258"/>
      <c r="D119" s="1258"/>
      <c r="E119" s="1258"/>
      <c r="F119" s="1258"/>
      <c r="G119" s="1258"/>
      <c r="H119" s="1258"/>
      <c r="I119" s="1258"/>
      <c r="J119" s="1258"/>
      <c r="K119" s="1258"/>
      <c r="L119" s="1258"/>
      <c r="M119" s="1258"/>
      <c r="N119" s="1258"/>
      <c r="O119" s="1258"/>
      <c r="P119" s="1258"/>
      <c r="Q119" s="1258"/>
      <c r="R119" s="1258"/>
      <c r="S119" s="1258"/>
      <c r="T119" s="1258"/>
      <c r="U119" s="1258"/>
      <c r="V119" s="1258"/>
      <c r="W119" s="1258"/>
      <c r="X119" s="1258"/>
      <c r="Y119" s="1258"/>
      <c r="Z119" s="1258"/>
      <c r="AA119" s="1258"/>
      <c r="AB119" s="1258"/>
      <c r="AC119" s="1258"/>
      <c r="AD119" s="1258"/>
      <c r="AE119" s="1258"/>
      <c r="AF119" s="1258"/>
      <c r="AG119" s="1258"/>
      <c r="AH119" s="1258"/>
      <c r="AI119" s="1258"/>
      <c r="AJ119" s="125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</row>
    <row r="120" spans="1:75" ht="13" customHeight="1" x14ac:dyDescent="0.3">
      <c r="A120" s="1258"/>
      <c r="B120" s="1258"/>
      <c r="C120" s="1258"/>
      <c r="D120" s="1258"/>
      <c r="E120" s="1258"/>
      <c r="F120" s="1258"/>
      <c r="G120" s="1258"/>
      <c r="H120" s="1258"/>
      <c r="I120" s="1258"/>
      <c r="J120" s="1258"/>
      <c r="K120" s="1258"/>
      <c r="L120" s="1258"/>
      <c r="M120" s="1258"/>
      <c r="N120" s="1258"/>
      <c r="O120" s="1258"/>
      <c r="P120" s="1258"/>
      <c r="Q120" s="1258"/>
      <c r="R120" s="1258"/>
      <c r="S120" s="1258"/>
      <c r="T120" s="1258"/>
      <c r="U120" s="1258"/>
      <c r="V120" s="1258"/>
      <c r="W120" s="1258"/>
      <c r="X120" s="1258"/>
      <c r="Y120" s="1258"/>
      <c r="Z120" s="1258"/>
      <c r="AA120" s="1258"/>
      <c r="AB120" s="1258"/>
      <c r="AC120" s="1258"/>
      <c r="AD120" s="1258"/>
      <c r="AE120" s="1258"/>
      <c r="AF120" s="1258"/>
      <c r="AG120" s="1258"/>
      <c r="AH120" s="1258"/>
      <c r="AI120" s="1258"/>
      <c r="AJ120" s="125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</row>
    <row r="121" spans="1:75" ht="13" customHeight="1" x14ac:dyDescent="0.3">
      <c r="A121" s="4" t="s">
        <v>574</v>
      </c>
      <c r="B121" s="1"/>
      <c r="C121" s="1"/>
      <c r="D121" s="1"/>
      <c r="E121" s="1"/>
      <c r="F121" s="1"/>
      <c r="G121" s="1"/>
      <c r="H121" s="1"/>
      <c r="I121" s="1"/>
      <c r="J121" s="1"/>
      <c r="K121" s="1258"/>
      <c r="L121" s="1258"/>
      <c r="M121" s="1258"/>
      <c r="N121" s="1258"/>
      <c r="O121" s="1258"/>
      <c r="P121" s="1258"/>
      <c r="Q121" s="1258"/>
      <c r="R121" s="1258"/>
      <c r="S121" s="1258"/>
      <c r="T121" s="1258"/>
      <c r="U121" s="1258"/>
      <c r="V121" s="1258"/>
      <c r="W121" s="1258"/>
      <c r="X121" s="1258"/>
      <c r="Y121" s="1258"/>
      <c r="Z121" s="1258"/>
      <c r="AA121" s="1258"/>
      <c r="AB121" s="1258"/>
      <c r="AC121" s="1258"/>
      <c r="AD121" s="1258"/>
      <c r="AE121" s="1258"/>
      <c r="AF121" s="1258"/>
      <c r="AG121" s="1258"/>
      <c r="AH121" s="1258"/>
      <c r="AI121" s="1258"/>
      <c r="AJ121" s="125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</row>
    <row r="122" spans="1:75" ht="13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258"/>
      <c r="L122" s="1258"/>
      <c r="M122" s="1258"/>
      <c r="N122" s="1258"/>
      <c r="O122" s="1258"/>
      <c r="P122" s="1258"/>
      <c r="Q122" s="1258"/>
      <c r="R122" s="1258"/>
      <c r="S122" s="1258"/>
      <c r="T122" s="1258"/>
      <c r="U122" s="1258"/>
      <c r="V122" s="1258"/>
      <c r="W122" s="1258"/>
      <c r="X122" s="1258"/>
      <c r="Y122" s="1258"/>
      <c r="Z122" s="1258"/>
      <c r="AA122" s="1258"/>
      <c r="AB122" s="1258"/>
      <c r="AC122" s="1258"/>
      <c r="AD122" s="1258"/>
      <c r="AE122" s="1258"/>
      <c r="AF122" s="1258"/>
      <c r="AG122" s="1258"/>
      <c r="AH122" s="1258"/>
      <c r="AI122" s="1258"/>
      <c r="AJ122" s="125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</row>
    <row r="123" spans="1:75" ht="13" customHeight="1" x14ac:dyDescent="0.3">
      <c r="A123" s="1436"/>
      <c r="B123" s="1436"/>
      <c r="C123" s="1436"/>
      <c r="D123" s="1436"/>
      <c r="E123" s="1436"/>
      <c r="F123" s="1436"/>
      <c r="G123" s="1436"/>
      <c r="H123" s="1436"/>
      <c r="I123" s="1436" t="s">
        <v>553</v>
      </c>
      <c r="J123" s="1436" t="s">
        <v>553</v>
      </c>
      <c r="K123" s="1258"/>
      <c r="L123" s="1258"/>
      <c r="M123" s="1258"/>
      <c r="N123" s="1258"/>
      <c r="O123" s="1258"/>
      <c r="P123" s="1258"/>
      <c r="Q123" s="1258"/>
      <c r="R123" s="1258"/>
      <c r="S123" s="1258"/>
      <c r="T123" s="1258"/>
      <c r="U123" s="1258"/>
      <c r="V123" s="1258"/>
      <c r="W123" s="1258"/>
      <c r="X123" s="1258"/>
      <c r="Y123" s="1258"/>
      <c r="Z123" s="1258"/>
      <c r="AA123" s="1258"/>
      <c r="AB123" s="1258"/>
      <c r="AC123" s="1258"/>
      <c r="AD123" s="1258"/>
      <c r="AE123" s="1258"/>
      <c r="AF123" s="1258"/>
      <c r="AG123" s="1258"/>
      <c r="AH123" s="1258"/>
      <c r="AI123" s="1258"/>
      <c r="AJ123" s="125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</row>
    <row r="124" spans="1:75" ht="13" customHeight="1" x14ac:dyDescent="0.3">
      <c r="A124" s="1437"/>
      <c r="B124" s="1437">
        <v>2020</v>
      </c>
      <c r="C124" s="1437">
        <f t="shared" ref="C124:H124" si="48">B124+1</f>
        <v>2021</v>
      </c>
      <c r="D124" s="1437">
        <f t="shared" si="48"/>
        <v>2022</v>
      </c>
      <c r="E124" s="1437">
        <f t="shared" si="48"/>
        <v>2023</v>
      </c>
      <c r="F124" s="1437">
        <f t="shared" si="48"/>
        <v>2024</v>
      </c>
      <c r="G124" s="1437">
        <f t="shared" si="48"/>
        <v>2025</v>
      </c>
      <c r="H124" s="1437">
        <f t="shared" si="48"/>
        <v>2026</v>
      </c>
      <c r="I124" s="1438" t="s">
        <v>554</v>
      </c>
      <c r="J124" s="1438" t="s">
        <v>555</v>
      </c>
      <c r="K124" s="1258"/>
      <c r="L124" s="1258"/>
      <c r="M124" s="1258"/>
      <c r="N124" s="1258"/>
      <c r="O124" s="1258"/>
      <c r="P124" s="1258"/>
      <c r="Q124" s="1258"/>
      <c r="R124" s="1258"/>
      <c r="S124" s="1258"/>
      <c r="T124" s="1258"/>
      <c r="U124" s="1258"/>
      <c r="V124" s="1258"/>
      <c r="W124" s="1258"/>
      <c r="X124" s="1258"/>
      <c r="Y124" s="1258"/>
      <c r="Z124" s="1258"/>
      <c r="AA124" s="1258"/>
      <c r="AB124" s="1258"/>
      <c r="AC124" s="1258"/>
      <c r="AD124" s="1258"/>
      <c r="AE124" s="1258"/>
      <c r="AF124" s="1258"/>
      <c r="AG124" s="1258"/>
      <c r="AH124" s="1258"/>
      <c r="AI124" s="1258"/>
      <c r="AJ124" s="125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</row>
    <row r="125" spans="1:75" ht="13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258"/>
      <c r="L125" s="1258"/>
      <c r="M125" s="1258"/>
      <c r="N125" s="1258"/>
      <c r="O125" s="1258"/>
      <c r="P125" s="1258"/>
      <c r="Q125" s="1258"/>
      <c r="R125" s="1258"/>
      <c r="S125" s="1258"/>
      <c r="T125" s="1258"/>
      <c r="U125" s="1258"/>
      <c r="V125" s="1258"/>
      <c r="W125" s="1258"/>
      <c r="X125" s="1258"/>
      <c r="Y125" s="1258"/>
      <c r="Z125" s="1258"/>
      <c r="AA125" s="1258"/>
      <c r="AB125" s="1258"/>
      <c r="AC125" s="1258"/>
      <c r="AD125" s="1258"/>
      <c r="AE125" s="1258"/>
      <c r="AF125" s="1258"/>
      <c r="AG125" s="1258"/>
      <c r="AH125" s="1258"/>
      <c r="AI125" s="1258"/>
      <c r="AJ125" s="125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</row>
    <row r="126" spans="1:75" ht="13" customHeight="1" x14ac:dyDescent="0.3">
      <c r="A126" s="1" t="s">
        <v>575</v>
      </c>
      <c r="B126" s="59">
        <f>B86</f>
        <v>8</v>
      </c>
      <c r="C126" s="59">
        <f t="shared" ref="C126:H126" si="49">C86</f>
        <v>39</v>
      </c>
      <c r="D126" s="59">
        <f t="shared" si="49"/>
        <v>8</v>
      </c>
      <c r="E126" s="59">
        <f t="shared" si="49"/>
        <v>0</v>
      </c>
      <c r="F126" s="59">
        <f t="shared" si="49"/>
        <v>16</v>
      </c>
      <c r="G126" s="59">
        <f t="shared" si="49"/>
        <v>20</v>
      </c>
      <c r="H126" s="59">
        <f t="shared" si="49"/>
        <v>20</v>
      </c>
      <c r="I126" s="1074">
        <f t="shared" ref="I126:J127" si="50">F126-E126</f>
        <v>16</v>
      </c>
      <c r="J126" s="1074">
        <f t="shared" si="50"/>
        <v>4</v>
      </c>
      <c r="K126" s="1258"/>
      <c r="L126" s="1258"/>
      <c r="M126" s="1258"/>
      <c r="N126" s="1258"/>
      <c r="O126" s="1258"/>
      <c r="P126" s="1258"/>
      <c r="Q126" s="1258"/>
      <c r="R126" s="1258"/>
      <c r="S126" s="1258"/>
      <c r="T126" s="1258"/>
      <c r="U126" s="1258"/>
      <c r="V126" s="1258"/>
      <c r="W126" s="1258"/>
      <c r="X126" s="1258"/>
      <c r="Y126" s="1258"/>
      <c r="Z126" s="1258"/>
      <c r="AA126" s="1258"/>
      <c r="AB126" s="1258"/>
      <c r="AC126" s="1258"/>
      <c r="AD126" s="1258"/>
      <c r="AE126" s="1258"/>
      <c r="AF126" s="1258"/>
      <c r="AG126" s="1258"/>
      <c r="AH126" s="1258"/>
      <c r="AI126" s="1258"/>
      <c r="AJ126" s="125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</row>
    <row r="127" spans="1:75" ht="13" customHeight="1" x14ac:dyDescent="0.3">
      <c r="A127" s="1010" t="s">
        <v>576</v>
      </c>
      <c r="B127" s="157">
        <f>B111</f>
        <v>8</v>
      </c>
      <c r="C127" s="157">
        <f t="shared" ref="C127:H127" si="51">C111</f>
        <v>39</v>
      </c>
      <c r="D127" s="157">
        <f t="shared" si="51"/>
        <v>8</v>
      </c>
      <c r="E127" s="157">
        <f t="shared" si="51"/>
        <v>-22</v>
      </c>
      <c r="F127" s="157">
        <f t="shared" si="51"/>
        <v>42.666666666666671</v>
      </c>
      <c r="G127" s="157">
        <f t="shared" si="51"/>
        <v>212.89263949053492</v>
      </c>
      <c r="H127" s="157">
        <f t="shared" si="51"/>
        <v>380.82262358522257</v>
      </c>
      <c r="I127" s="1440">
        <f t="shared" si="50"/>
        <v>64.666666666666671</v>
      </c>
      <c r="J127" s="1440">
        <f t="shared" si="50"/>
        <v>170.22597282386823</v>
      </c>
      <c r="K127" s="1258"/>
      <c r="L127" s="1258"/>
      <c r="M127" s="1258"/>
      <c r="N127" s="1258"/>
      <c r="O127" s="1258"/>
      <c r="P127" s="1258"/>
      <c r="Q127" s="1258"/>
      <c r="R127" s="1258"/>
      <c r="S127" s="1258"/>
      <c r="T127" s="1258"/>
      <c r="U127" s="1258"/>
      <c r="V127" s="1258"/>
      <c r="W127" s="1258"/>
      <c r="X127" s="1258"/>
      <c r="Y127" s="1258"/>
      <c r="Z127" s="1258"/>
      <c r="AA127" s="1258"/>
      <c r="AB127" s="1258"/>
      <c r="AC127" s="1258"/>
      <c r="AD127" s="1258"/>
      <c r="AE127" s="1258"/>
      <c r="AF127" s="1258"/>
      <c r="AG127" s="1258"/>
      <c r="AH127" s="1258"/>
      <c r="AI127" s="1258"/>
      <c r="AJ127" s="125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</row>
    <row r="128" spans="1:75" ht="13" customHeight="1" x14ac:dyDescent="0.3">
      <c r="A128" s="1010" t="s">
        <v>577</v>
      </c>
      <c r="B128" s="59">
        <f>B126-B127</f>
        <v>0</v>
      </c>
      <c r="C128" s="59">
        <f t="shared" ref="C128:J128" si="52">C126-C127</f>
        <v>0</v>
      </c>
      <c r="D128" s="59">
        <f t="shared" si="52"/>
        <v>0</v>
      </c>
      <c r="E128" s="59">
        <f t="shared" si="52"/>
        <v>22</v>
      </c>
      <c r="F128" s="59">
        <f t="shared" si="52"/>
        <v>-26.666666666666671</v>
      </c>
      <c r="G128" s="59">
        <f t="shared" si="52"/>
        <v>-192.89263949053492</v>
      </c>
      <c r="H128" s="59">
        <f t="shared" si="52"/>
        <v>-360.82262358522257</v>
      </c>
      <c r="I128" s="59">
        <f t="shared" si="52"/>
        <v>-48.666666666666671</v>
      </c>
      <c r="J128" s="59">
        <f t="shared" si="52"/>
        <v>-166.22597282386823</v>
      </c>
      <c r="K128" s="1258"/>
      <c r="L128" s="1258"/>
      <c r="M128" s="1258"/>
      <c r="N128" s="1258"/>
      <c r="O128" s="1258"/>
      <c r="P128" s="1258"/>
      <c r="Q128" s="1258"/>
      <c r="R128" s="1258"/>
      <c r="S128" s="1258"/>
      <c r="T128" s="1258"/>
      <c r="U128" s="1258"/>
      <c r="V128" s="1258"/>
      <c r="W128" s="1258"/>
      <c r="X128" s="1258"/>
      <c r="Y128" s="1258"/>
      <c r="Z128" s="1258"/>
      <c r="AA128" s="1258"/>
      <c r="AB128" s="1258"/>
      <c r="AC128" s="1258"/>
      <c r="AD128" s="1258"/>
      <c r="AE128" s="1258"/>
      <c r="AF128" s="1258"/>
      <c r="AG128" s="1258"/>
      <c r="AH128" s="1258"/>
      <c r="AI128" s="1258"/>
      <c r="AJ128" s="125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</row>
    <row r="129" spans="1:75" ht="13" customHeight="1" x14ac:dyDescent="0.3">
      <c r="A129" s="1010" t="s">
        <v>255</v>
      </c>
      <c r="B129" s="1447">
        <v>1</v>
      </c>
      <c r="C129" s="1447">
        <v>1</v>
      </c>
      <c r="D129" s="1447">
        <v>1</v>
      </c>
      <c r="E129" s="1447">
        <v>1</v>
      </c>
      <c r="F129" s="1447">
        <f>(1+Valuation!$H$141)^(Analysis!F124-Analysis!$E$124)</f>
        <v>1.0687967999999999</v>
      </c>
      <c r="G129" s="1447">
        <f>(1+Valuation!$H$141)^(Analysis!G124-Analysis!$E$124)</f>
        <v>1.1423265996902396</v>
      </c>
      <c r="H129" s="1447">
        <f>(1+Valuation!$H$141)^(Analysis!H124-Analysis!$E$124)</f>
        <v>1.220915014303809</v>
      </c>
      <c r="I129" s="1"/>
      <c r="J129" s="1"/>
      <c r="K129" s="1258"/>
      <c r="L129" s="1258"/>
      <c r="M129" s="1258"/>
      <c r="N129" s="1258"/>
      <c r="O129" s="1258"/>
      <c r="P129" s="1258"/>
      <c r="Q129" s="1258"/>
      <c r="R129" s="1258"/>
      <c r="S129" s="1258"/>
      <c r="T129" s="1258"/>
      <c r="U129" s="1258"/>
      <c r="V129" s="1258"/>
      <c r="W129" s="1258"/>
      <c r="X129" s="1258"/>
      <c r="Y129" s="1258"/>
      <c r="Z129" s="1258"/>
      <c r="AA129" s="1258"/>
      <c r="AB129" s="1258"/>
      <c r="AC129" s="1258"/>
      <c r="AD129" s="1258"/>
      <c r="AE129" s="1258"/>
      <c r="AF129" s="1258"/>
      <c r="AG129" s="1258"/>
      <c r="AH129" s="1258"/>
      <c r="AI129" s="1258"/>
      <c r="AJ129" s="125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</row>
    <row r="130" spans="1:75" ht="13" customHeight="1" thickBot="1" x14ac:dyDescent="0.35">
      <c r="A130" s="1010" t="s">
        <v>578</v>
      </c>
      <c r="B130" s="1444">
        <f>B128/B129</f>
        <v>0</v>
      </c>
      <c r="C130" s="1444">
        <f t="shared" ref="C130:H130" si="53">C128/C129</f>
        <v>0</v>
      </c>
      <c r="D130" s="1444">
        <f t="shared" si="53"/>
        <v>0</v>
      </c>
      <c r="E130" s="1444">
        <f t="shared" si="53"/>
        <v>22</v>
      </c>
      <c r="F130" s="1444">
        <f t="shared" si="53"/>
        <v>-24.950174501520472</v>
      </c>
      <c r="G130" s="1444">
        <f t="shared" si="53"/>
        <v>-168.85944837740877</v>
      </c>
      <c r="H130" s="1444">
        <f t="shared" si="53"/>
        <v>-295.53459442954846</v>
      </c>
      <c r="I130" s="1444">
        <f t="shared" ref="I130:J130" si="54">F130-E130</f>
        <v>-46.950174501520472</v>
      </c>
      <c r="J130" s="1444">
        <f t="shared" si="54"/>
        <v>-143.90927387588829</v>
      </c>
      <c r="K130" s="1258"/>
      <c r="L130" s="1258"/>
      <c r="M130" s="1258"/>
      <c r="N130" s="1258"/>
      <c r="O130" s="1258"/>
      <c r="P130" s="1258"/>
      <c r="Q130" s="1258"/>
      <c r="R130" s="1258"/>
      <c r="S130" s="1258"/>
      <c r="T130" s="1258"/>
      <c r="U130" s="1258"/>
      <c r="V130" s="1258"/>
      <c r="W130" s="1258"/>
      <c r="X130" s="1258"/>
      <c r="Y130" s="1258"/>
      <c r="Z130" s="1258"/>
      <c r="AA130" s="1258"/>
      <c r="AB130" s="1258"/>
      <c r="AC130" s="1258"/>
      <c r="AD130" s="1258"/>
      <c r="AE130" s="1258"/>
      <c r="AF130" s="1258"/>
      <c r="AG130" s="1258"/>
      <c r="AH130" s="1258"/>
      <c r="AI130" s="1258"/>
      <c r="AJ130" s="125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</row>
    <row r="131" spans="1:75" ht="13" customHeight="1" thickTop="1" x14ac:dyDescent="0.3">
      <c r="A131" s="33" t="s">
        <v>579</v>
      </c>
      <c r="B131" s="1448">
        <f>B128</f>
        <v>0</v>
      </c>
      <c r="C131" s="1448">
        <f>B131+C128</f>
        <v>0</v>
      </c>
      <c r="D131" s="1448">
        <f t="shared" ref="D131:H131" si="55">C131+D128</f>
        <v>0</v>
      </c>
      <c r="E131" s="1448">
        <f t="shared" si="55"/>
        <v>22</v>
      </c>
      <c r="F131" s="1448">
        <f t="shared" si="55"/>
        <v>-4.6666666666666714</v>
      </c>
      <c r="G131" s="1448">
        <f t="shared" si="55"/>
        <v>-197.5593061572016</v>
      </c>
      <c r="H131" s="1448">
        <f t="shared" si="55"/>
        <v>-558.38192974242418</v>
      </c>
      <c r="I131" s="1"/>
      <c r="J131" s="1"/>
      <c r="K131" s="1258"/>
      <c r="L131" s="1258"/>
      <c r="M131" s="1258"/>
      <c r="N131" s="1258"/>
      <c r="O131" s="1258"/>
      <c r="P131" s="1258"/>
      <c r="Q131" s="1258"/>
      <c r="R131" s="1258"/>
      <c r="S131" s="1258"/>
      <c r="T131" s="1258"/>
      <c r="U131" s="1258"/>
      <c r="V131" s="1258"/>
      <c r="W131" s="1258"/>
      <c r="X131" s="1258"/>
      <c r="Y131" s="1258"/>
      <c r="Z131" s="1258"/>
      <c r="AA131" s="1258"/>
      <c r="AB131" s="1258"/>
      <c r="AC131" s="1258"/>
      <c r="AD131" s="1258"/>
      <c r="AE131" s="1258"/>
      <c r="AF131" s="1258"/>
      <c r="AG131" s="1258"/>
      <c r="AH131" s="1258"/>
      <c r="AI131" s="1258"/>
      <c r="AJ131" s="125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</row>
    <row r="132" spans="1:75" ht="13" customHeight="1" x14ac:dyDescent="0.3">
      <c r="A132" s="33" t="s">
        <v>580</v>
      </c>
      <c r="B132" s="1136">
        <v>0</v>
      </c>
      <c r="C132" s="1136">
        <v>0</v>
      </c>
      <c r="D132" s="1136">
        <v>0</v>
      </c>
      <c r="E132" s="1136">
        <f>SUM(E130:$H$130)</f>
        <v>-467.34421730847771</v>
      </c>
      <c r="F132" s="1136">
        <f>SUM(F130:$H$130)</f>
        <v>-489.34421730847771</v>
      </c>
      <c r="G132" s="1136">
        <f>SUM(G130:$H$130)</f>
        <v>-464.39404280695726</v>
      </c>
      <c r="H132" s="1136">
        <f>SUM(H130:$H$130)</f>
        <v>-295.53459442954846</v>
      </c>
      <c r="I132" s="1"/>
      <c r="J132" s="1"/>
      <c r="K132" s="1258"/>
      <c r="L132" s="1258"/>
      <c r="M132" s="1258"/>
      <c r="N132" s="1258"/>
      <c r="O132" s="1258"/>
      <c r="P132" s="1258"/>
      <c r="Q132" s="1258"/>
      <c r="R132" s="1258"/>
      <c r="S132" s="1258"/>
      <c r="T132" s="1258"/>
      <c r="U132" s="1258"/>
      <c r="V132" s="1258"/>
      <c r="W132" s="1258"/>
      <c r="X132" s="1258"/>
      <c r="Y132" s="1258"/>
      <c r="Z132" s="1258"/>
      <c r="AA132" s="1258"/>
      <c r="AB132" s="1258"/>
      <c r="AC132" s="1258"/>
      <c r="AD132" s="1258"/>
      <c r="AE132" s="1258"/>
      <c r="AF132" s="1258"/>
      <c r="AG132" s="1258"/>
      <c r="AH132" s="1258"/>
      <c r="AI132" s="1258"/>
      <c r="AJ132" s="125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</row>
    <row r="133" spans="1:75" ht="13" customHeight="1" x14ac:dyDescent="0.3">
      <c r="A133" s="33" t="s">
        <v>581</v>
      </c>
      <c r="B133" s="1159">
        <f>B132/B134</f>
        <v>0</v>
      </c>
      <c r="C133" s="1159">
        <f t="shared" ref="C133:H133" si="56">C132/C134</f>
        <v>0</v>
      </c>
      <c r="D133" s="1159">
        <f t="shared" si="56"/>
        <v>0</v>
      </c>
      <c r="E133" s="1159">
        <f t="shared" si="56"/>
        <v>-1.7974777588787605</v>
      </c>
      <c r="F133" s="1159">
        <f t="shared" si="56"/>
        <v>-1.882093143494145</v>
      </c>
      <c r="G133" s="1159">
        <f t="shared" si="56"/>
        <v>-1.7861309338729126</v>
      </c>
      <c r="H133" s="1159">
        <f t="shared" si="56"/>
        <v>-1.1366715170367248</v>
      </c>
      <c r="I133" s="1"/>
      <c r="J133" s="1"/>
      <c r="K133" s="1258"/>
      <c r="L133" s="1258"/>
      <c r="M133" s="1258"/>
      <c r="N133" s="1258"/>
      <c r="O133" s="1258"/>
      <c r="P133" s="1258"/>
      <c r="Q133" s="1258"/>
      <c r="R133" s="1258"/>
      <c r="S133" s="1258"/>
      <c r="T133" s="1258"/>
      <c r="U133" s="1258"/>
      <c r="V133" s="1258"/>
      <c r="W133" s="1258"/>
      <c r="X133" s="1258"/>
      <c r="Y133" s="1258"/>
      <c r="Z133" s="1258"/>
      <c r="AA133" s="1258"/>
      <c r="AB133" s="1258"/>
      <c r="AC133" s="1258"/>
      <c r="AD133" s="1258"/>
      <c r="AE133" s="1258"/>
      <c r="AF133" s="1258"/>
      <c r="AG133" s="1258"/>
      <c r="AH133" s="1258"/>
      <c r="AI133" s="1258"/>
      <c r="AJ133" s="125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</row>
    <row r="134" spans="1:75" ht="13" customHeight="1" x14ac:dyDescent="0.3">
      <c r="A134" s="1445" t="s">
        <v>582</v>
      </c>
      <c r="B134" s="1449">
        <f>Valuation!B7</f>
        <v>260</v>
      </c>
      <c r="C134" s="1449">
        <f>B134</f>
        <v>260</v>
      </c>
      <c r="D134" s="1449">
        <f t="shared" ref="D134:H134" si="57">C134</f>
        <v>260</v>
      </c>
      <c r="E134" s="1449">
        <f t="shared" si="57"/>
        <v>260</v>
      </c>
      <c r="F134" s="1449">
        <f t="shared" si="57"/>
        <v>260</v>
      </c>
      <c r="G134" s="1449">
        <f t="shared" si="57"/>
        <v>260</v>
      </c>
      <c r="H134" s="1449">
        <f t="shared" si="57"/>
        <v>260</v>
      </c>
      <c r="I134" s="716"/>
      <c r="J134" s="716"/>
      <c r="K134" s="1258"/>
      <c r="L134" s="1258"/>
      <c r="M134" s="1258"/>
      <c r="N134" s="1258"/>
      <c r="O134" s="1258"/>
      <c r="P134" s="1258"/>
      <c r="Q134" s="1258"/>
      <c r="R134" s="1258"/>
      <c r="S134" s="1258"/>
      <c r="T134" s="1258"/>
      <c r="U134" s="1258"/>
      <c r="V134" s="1258"/>
      <c r="W134" s="1258"/>
      <c r="X134" s="1258"/>
      <c r="Y134" s="1258"/>
      <c r="Z134" s="1258"/>
      <c r="AA134" s="1258"/>
      <c r="AB134" s="1258"/>
      <c r="AC134" s="1258"/>
      <c r="AD134" s="1258"/>
      <c r="AE134" s="1258"/>
      <c r="AF134" s="1258"/>
      <c r="AG134" s="1258"/>
      <c r="AH134" s="1258"/>
      <c r="AI134" s="1258"/>
      <c r="AJ134" s="125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</row>
    <row r="136" spans="1:75" x14ac:dyDescent="0.3">
      <c r="B136" s="1436"/>
      <c r="C136" s="1436"/>
      <c r="D136" s="1436"/>
    </row>
    <row r="137" spans="1:75" x14ac:dyDescent="0.3">
      <c r="B137" s="1437">
        <v>2020</v>
      </c>
      <c r="C137" s="1437">
        <f t="shared" ref="C137" si="58">B137+1</f>
        <v>2021</v>
      </c>
      <c r="D137" s="1437">
        <f t="shared" ref="D137" si="59">C137+1</f>
        <v>2022</v>
      </c>
    </row>
    <row r="138" spans="1:75" x14ac:dyDescent="0.3">
      <c r="A138" s="90" t="s">
        <v>583</v>
      </c>
    </row>
    <row r="139" spans="1:75" x14ac:dyDescent="0.3">
      <c r="A139" t="s">
        <v>584</v>
      </c>
      <c r="B139" s="885">
        <v>1800</v>
      </c>
      <c r="C139" s="885">
        <v>312</v>
      </c>
      <c r="D139" s="885">
        <v>156</v>
      </c>
    </row>
    <row r="140" spans="1:75" x14ac:dyDescent="0.3">
      <c r="A140" t="s">
        <v>585</v>
      </c>
      <c r="B140" s="885">
        <v>9900</v>
      </c>
      <c r="C140" s="885">
        <v>1800</v>
      </c>
      <c r="D140" s="885">
        <v>2400</v>
      </c>
    </row>
    <row r="141" spans="1:75" x14ac:dyDescent="0.3">
      <c r="A141" s="90" t="s">
        <v>266</v>
      </c>
      <c r="B141" s="921">
        <f>SUM(B139:B140)</f>
        <v>11700</v>
      </c>
      <c r="C141" s="921">
        <f>SUM(C139:C140)</f>
        <v>2112</v>
      </c>
      <c r="D141" s="921">
        <f>SUM(D139:D140)</f>
        <v>2556</v>
      </c>
    </row>
    <row r="144" spans="1:75" ht="13" customHeight="1" x14ac:dyDescent="0.3">
      <c r="A144" s="4" t="s">
        <v>586</v>
      </c>
      <c r="B144" s="1"/>
      <c r="C144" s="1"/>
      <c r="D144" s="1"/>
      <c r="E144" s="1"/>
      <c r="F144" s="1"/>
      <c r="G144" s="1"/>
      <c r="H144" s="1"/>
      <c r="I144" s="1"/>
      <c r="J144" s="1"/>
      <c r="K144" s="1450"/>
      <c r="L144" s="1450"/>
      <c r="M144" s="1450"/>
      <c r="N144" s="1450"/>
      <c r="O144" s="1450"/>
      <c r="P144" s="1450"/>
      <c r="Q144" s="1450"/>
      <c r="R144" s="1450"/>
      <c r="S144" s="1450"/>
      <c r="T144" s="1450"/>
      <c r="U144" s="1450"/>
      <c r="V144" s="1450"/>
      <c r="W144" s="1450"/>
      <c r="X144" s="1450"/>
      <c r="Y144" s="1450"/>
      <c r="Z144" s="1450"/>
      <c r="AA144" s="1450"/>
      <c r="AB144" s="1450"/>
      <c r="AC144" s="1450"/>
      <c r="AD144" s="1450"/>
      <c r="AE144" s="1450"/>
      <c r="AF144" s="1450"/>
      <c r="AG144" s="1450"/>
      <c r="AH144" s="1450"/>
      <c r="AI144" s="1450"/>
      <c r="AJ144" s="1450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</row>
    <row r="145" spans="1:77" ht="13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450"/>
      <c r="L145" s="1450"/>
      <c r="M145" s="1450"/>
      <c r="N145" s="1450"/>
      <c r="O145" s="1450"/>
      <c r="P145" s="1450"/>
      <c r="Q145" s="1450"/>
      <c r="R145" s="1450"/>
      <c r="S145" s="1450"/>
      <c r="T145" s="1450"/>
      <c r="U145" s="1450"/>
      <c r="V145" s="1450"/>
      <c r="W145" s="1450"/>
      <c r="X145" s="1450"/>
      <c r="Y145" s="1450"/>
      <c r="Z145" s="1450"/>
      <c r="AA145" s="1450"/>
      <c r="AB145" s="1450"/>
      <c r="AC145" s="1450"/>
      <c r="AD145" s="1450"/>
      <c r="AE145" s="1450"/>
      <c r="AF145" s="1450"/>
      <c r="AG145" s="1450"/>
      <c r="AH145" s="1450"/>
      <c r="AI145" s="1450"/>
      <c r="AJ145" s="1450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</row>
    <row r="146" spans="1:77" ht="13" customHeight="1" x14ac:dyDescent="0.3">
      <c r="A146" s="1436"/>
      <c r="B146" s="1436"/>
      <c r="C146" s="1436"/>
      <c r="D146" s="1436"/>
      <c r="E146" s="1436"/>
      <c r="F146" s="1436"/>
      <c r="G146" s="1436"/>
      <c r="H146" s="1436"/>
      <c r="I146" s="1436"/>
      <c r="J146" s="1436"/>
      <c r="K146" s="1436" t="s">
        <v>553</v>
      </c>
      <c r="L146" s="1436" t="s">
        <v>553</v>
      </c>
      <c r="M146" s="1450"/>
      <c r="N146" s="1450"/>
      <c r="O146" s="1450"/>
      <c r="P146" s="1450"/>
      <c r="Q146" s="1450"/>
      <c r="R146" s="1450"/>
      <c r="S146" s="1450"/>
      <c r="T146" s="1450"/>
      <c r="U146" s="1450"/>
      <c r="V146" s="1450"/>
      <c r="W146" s="1450"/>
      <c r="X146" s="1450"/>
      <c r="Y146" s="1450"/>
      <c r="Z146" s="1450"/>
      <c r="AA146" s="1450"/>
      <c r="AB146" s="1450"/>
      <c r="AC146" s="1450"/>
      <c r="AD146" s="1450"/>
      <c r="AE146" s="1450"/>
      <c r="AF146" s="1450"/>
      <c r="AG146" s="1450"/>
      <c r="AH146" s="1450"/>
      <c r="AI146" s="1450"/>
      <c r="AJ146" s="1450"/>
      <c r="AK146" s="1450"/>
      <c r="AL146" s="1450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</row>
    <row r="147" spans="1:77" ht="13" customHeight="1" x14ac:dyDescent="0.3">
      <c r="A147" s="1437"/>
      <c r="B147" s="1437">
        <v>2020</v>
      </c>
      <c r="C147" s="1437">
        <f t="shared" ref="C147:H147" si="60">B147+1</f>
        <v>2021</v>
      </c>
      <c r="D147" s="1437">
        <f t="shared" si="60"/>
        <v>2022</v>
      </c>
      <c r="E147" s="1437">
        <f t="shared" si="60"/>
        <v>2023</v>
      </c>
      <c r="F147" s="1437">
        <f t="shared" si="60"/>
        <v>2024</v>
      </c>
      <c r="G147" s="1437">
        <f t="shared" si="60"/>
        <v>2025</v>
      </c>
      <c r="H147" s="1437">
        <f t="shared" si="60"/>
        <v>2026</v>
      </c>
      <c r="I147" s="1437">
        <f t="shared" ref="I147" si="61">H147+1</f>
        <v>2027</v>
      </c>
      <c r="J147" s="1437">
        <f t="shared" ref="J147" si="62">I147+1</f>
        <v>2028</v>
      </c>
      <c r="K147" s="1438" t="s">
        <v>554</v>
      </c>
      <c r="L147" s="1438" t="s">
        <v>555</v>
      </c>
      <c r="M147" s="1450"/>
      <c r="N147" s="1450"/>
      <c r="O147" s="1450"/>
      <c r="P147" s="1450"/>
      <c r="Q147" s="1450"/>
      <c r="R147" s="1450"/>
      <c r="S147" s="1450"/>
      <c r="T147" s="1450"/>
      <c r="U147" s="1450"/>
      <c r="V147" s="1450"/>
      <c r="W147" s="1450"/>
      <c r="X147" s="1450"/>
      <c r="Y147" s="1450"/>
      <c r="Z147" s="1450"/>
      <c r="AA147" s="1450"/>
      <c r="AB147" s="1450"/>
      <c r="AC147" s="1450"/>
      <c r="AD147" s="1450"/>
      <c r="AE147" s="1450"/>
      <c r="AF147" s="1450"/>
      <c r="AG147" s="1450"/>
      <c r="AH147" s="1450"/>
      <c r="AI147" s="1450"/>
      <c r="AJ147" s="1450"/>
      <c r="AK147" s="1450"/>
      <c r="AL147" s="1450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</row>
    <row r="148" spans="1:77" ht="13" customHeight="1" x14ac:dyDescent="0.3">
      <c r="A148" s="1450"/>
      <c r="B148" s="1450"/>
      <c r="C148" s="1450"/>
      <c r="D148" s="1450"/>
      <c r="E148" s="1450"/>
      <c r="F148" s="1450"/>
      <c r="G148" s="1450"/>
      <c r="H148" s="1450"/>
      <c r="I148" s="1450"/>
      <c r="J148" s="1450"/>
      <c r="K148" s="1450"/>
      <c r="L148" s="1450"/>
      <c r="M148" s="1450"/>
      <c r="N148" s="1450"/>
      <c r="O148" s="1450"/>
      <c r="P148" s="1450"/>
      <c r="Q148" s="1450"/>
      <c r="R148" s="1450"/>
      <c r="S148" s="1450"/>
      <c r="T148" s="1450"/>
      <c r="U148" s="1450"/>
      <c r="V148" s="1450"/>
      <c r="W148" s="1450"/>
      <c r="X148" s="1450"/>
      <c r="Y148" s="1450"/>
      <c r="Z148" s="1450"/>
      <c r="AA148" s="1450"/>
      <c r="AB148" s="1450"/>
      <c r="AC148" s="1450"/>
      <c r="AD148" s="1450"/>
      <c r="AE148" s="1450"/>
      <c r="AF148" s="1450"/>
      <c r="AG148" s="1450"/>
      <c r="AH148" s="1450"/>
      <c r="AI148" s="1450"/>
      <c r="AJ148" s="1450"/>
      <c r="AK148" s="1450"/>
      <c r="AL148" s="1450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</row>
    <row r="149" spans="1:77" ht="13" customHeight="1" x14ac:dyDescent="0.3">
      <c r="A149" s="1451" t="s">
        <v>238</v>
      </c>
      <c r="B149" s="1453">
        <f>'Model Main'!ED61</f>
        <v>2898</v>
      </c>
      <c r="C149" s="1453">
        <f>'Model Main'!EI61</f>
        <v>2475</v>
      </c>
      <c r="D149" s="1453">
        <f>'Model Main'!EN61</f>
        <v>2080</v>
      </c>
      <c r="E149" s="1453">
        <f>'Model Main'!ES61</f>
        <v>2127</v>
      </c>
      <c r="F149" s="1453">
        <f>'Model Main'!EX61</f>
        <v>2251</v>
      </c>
      <c r="G149" s="1453">
        <f>'Model Main'!FC61</f>
        <v>2416.4545969116944</v>
      </c>
      <c r="H149" s="1453">
        <f>'Model Main'!FD61</f>
        <v>2677.0130389762598</v>
      </c>
      <c r="I149" s="1453">
        <f>'Model Main'!FE61</f>
        <v>2993.8763244864958</v>
      </c>
      <c r="J149" s="1453">
        <f>'Model Main'!FF61</f>
        <v>3272.0038286472327</v>
      </c>
      <c r="K149" s="1450"/>
      <c r="L149" s="1450"/>
      <c r="M149" s="1450"/>
      <c r="N149" s="1450"/>
      <c r="O149" s="1450"/>
      <c r="P149" s="1450"/>
      <c r="Q149" s="1450"/>
      <c r="R149" s="1450"/>
      <c r="S149" s="1450"/>
      <c r="T149" s="1450"/>
      <c r="U149" s="1450"/>
      <c r="V149" s="1450"/>
      <c r="W149" s="1450"/>
      <c r="X149" s="1450"/>
      <c r="Y149" s="1450"/>
      <c r="Z149" s="1450"/>
      <c r="AA149" s="1450"/>
      <c r="AB149" s="1450"/>
      <c r="AC149" s="1450"/>
      <c r="AD149" s="1450"/>
      <c r="AE149" s="1450"/>
      <c r="AF149" s="1450"/>
      <c r="AG149" s="1450"/>
      <c r="AH149" s="1450"/>
      <c r="AI149" s="1450"/>
      <c r="AJ149" s="1450"/>
      <c r="AK149" s="1450"/>
      <c r="AL149" s="1450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</row>
    <row r="150" spans="1:77" ht="13" customHeight="1" x14ac:dyDescent="0.3">
      <c r="A150" s="1451" t="s">
        <v>587</v>
      </c>
      <c r="B150" s="1453">
        <f>'Model Main'!ED65</f>
        <v>1598</v>
      </c>
      <c r="C150" s="1453">
        <f>'Model Main'!EI65</f>
        <v>1240</v>
      </c>
      <c r="D150" s="1453">
        <f>'Model Main'!EN65</f>
        <v>1182</v>
      </c>
      <c r="E150" s="1453">
        <f>'Model Main'!ES65</f>
        <v>1415</v>
      </c>
      <c r="F150" s="1453">
        <f>'Model Main'!EX65</f>
        <v>1625</v>
      </c>
      <c r="G150" s="1453">
        <f>'Model Main'!FC65</f>
        <v>1876.9268695500691</v>
      </c>
      <c r="H150" s="1453">
        <f>'Model Main'!FD65</f>
        <v>1885.7573337711524</v>
      </c>
      <c r="I150" s="1453">
        <f>'Model Main'!FE65</f>
        <v>1834.7439701874368</v>
      </c>
      <c r="J150" s="1453">
        <f>'Model Main'!FF65</f>
        <v>1780.0313325127736</v>
      </c>
      <c r="K150" s="1450"/>
      <c r="L150" s="1450"/>
      <c r="M150" s="1450"/>
      <c r="N150" s="1450"/>
      <c r="O150" s="1450"/>
      <c r="P150" s="1450"/>
      <c r="Q150" s="1450"/>
      <c r="R150" s="1450"/>
      <c r="S150" s="1450"/>
      <c r="T150" s="1450"/>
      <c r="U150" s="1450"/>
      <c r="V150" s="1450"/>
      <c r="W150" s="1450"/>
      <c r="X150" s="1450"/>
      <c r="Y150" s="1450"/>
      <c r="Z150" s="1450"/>
      <c r="AA150" s="1450"/>
      <c r="AB150" s="1450"/>
      <c r="AC150" s="1450"/>
      <c r="AD150" s="1450"/>
      <c r="AE150" s="1450"/>
      <c r="AF150" s="1450"/>
      <c r="AG150" s="1450"/>
      <c r="AH150" s="1450"/>
      <c r="AI150" s="1450"/>
      <c r="AJ150" s="1450"/>
      <c r="AK150" s="1450"/>
      <c r="AL150" s="1450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</row>
    <row r="151" spans="1:77" ht="13" customHeight="1" x14ac:dyDescent="0.3">
      <c r="A151" s="1451" t="s">
        <v>588</v>
      </c>
      <c r="B151" s="1456">
        <f>SUM('Model Main'!ED66:ED68)</f>
        <v>341</v>
      </c>
      <c r="C151" s="1456">
        <f>SUM('Model Main'!EI66:EI68)</f>
        <v>122</v>
      </c>
      <c r="D151" s="1456">
        <f>SUM('Model Main'!EN66:EN68)</f>
        <v>306</v>
      </c>
      <c r="E151" s="1456">
        <f>SUM('Model Main'!ES66:ES68)</f>
        <v>220</v>
      </c>
      <c r="F151" s="1456">
        <f>SUM('Model Main'!EX66:EX68)</f>
        <v>277</v>
      </c>
      <c r="G151" s="1456">
        <f>SUM('Model Main'!FC66:FC68)</f>
        <v>108</v>
      </c>
      <c r="H151" s="1456">
        <f>SUM('Model Main'!FD66:FD68)</f>
        <v>108</v>
      </c>
      <c r="I151" s="1456">
        <f>SUM('Model Main'!FE66:FE68)</f>
        <v>108</v>
      </c>
      <c r="J151" s="1456">
        <f>SUM('Model Main'!FF66:FF68)</f>
        <v>108</v>
      </c>
      <c r="K151" s="1450"/>
      <c r="L151" s="1450"/>
      <c r="M151" s="1450"/>
      <c r="N151" s="1450"/>
      <c r="O151" s="1450"/>
      <c r="P151" s="1450"/>
      <c r="Q151" s="1450"/>
      <c r="R151" s="1450"/>
      <c r="S151" s="1450"/>
      <c r="T151" s="1450"/>
      <c r="U151" s="1450"/>
      <c r="V151" s="1450"/>
      <c r="W151" s="1450"/>
      <c r="X151" s="1450"/>
      <c r="Y151" s="1450"/>
      <c r="Z151" s="1450"/>
      <c r="AA151" s="1450"/>
      <c r="AB151" s="1450"/>
      <c r="AC151" s="1450"/>
      <c r="AD151" s="1450"/>
      <c r="AE151" s="1450"/>
      <c r="AF151" s="1450"/>
      <c r="AG151" s="1450"/>
      <c r="AH151" s="1450"/>
      <c r="AI151" s="1450"/>
      <c r="AJ151" s="1450"/>
      <c r="AK151" s="1450"/>
      <c r="AL151" s="1450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</row>
    <row r="152" spans="1:77" ht="13" customHeight="1" x14ac:dyDescent="0.3">
      <c r="A152" s="1451" t="s">
        <v>589</v>
      </c>
      <c r="B152" s="1453">
        <f>B149-B150-B151</f>
        <v>959</v>
      </c>
      <c r="C152" s="1453">
        <f t="shared" ref="C152:H152" si="63">C149-C150-C151</f>
        <v>1113</v>
      </c>
      <c r="D152" s="1453">
        <f t="shared" si="63"/>
        <v>592</v>
      </c>
      <c r="E152" s="1453">
        <f t="shared" si="63"/>
        <v>492</v>
      </c>
      <c r="F152" s="1453">
        <f t="shared" si="63"/>
        <v>349</v>
      </c>
      <c r="G152" s="1453">
        <f t="shared" si="63"/>
        <v>431.52772736162524</v>
      </c>
      <c r="H152" s="1453">
        <f t="shared" si="63"/>
        <v>683.25570520510746</v>
      </c>
      <c r="I152" s="1453">
        <f t="shared" ref="I152:J152" si="64">I149-I150-I151</f>
        <v>1051.132354299059</v>
      </c>
      <c r="J152" s="1453">
        <f t="shared" si="64"/>
        <v>1383.9724961344591</v>
      </c>
      <c r="K152" s="1450"/>
      <c r="L152" s="1450"/>
      <c r="M152" s="1450"/>
      <c r="N152" s="1450"/>
      <c r="O152" s="1450"/>
      <c r="P152" s="1450"/>
      <c r="Q152" s="1450"/>
      <c r="R152" s="1450"/>
      <c r="S152" s="1450"/>
      <c r="T152" s="1450"/>
      <c r="U152" s="1450"/>
      <c r="V152" s="1450"/>
      <c r="W152" s="1450"/>
      <c r="X152" s="1450"/>
      <c r="Y152" s="1450"/>
      <c r="Z152" s="1450"/>
      <c r="AA152" s="1450"/>
      <c r="AB152" s="1450"/>
      <c r="AC152" s="1450"/>
      <c r="AD152" s="1450"/>
      <c r="AE152" s="1450"/>
      <c r="AF152" s="1450"/>
      <c r="AG152" s="1450"/>
      <c r="AH152" s="1450"/>
      <c r="AI152" s="1450"/>
      <c r="AJ152" s="1450"/>
      <c r="AK152" s="1450"/>
      <c r="AL152" s="1450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</row>
    <row r="153" spans="1:77" ht="13" customHeight="1" x14ac:dyDescent="0.3">
      <c r="A153" s="1450"/>
      <c r="B153" s="1450"/>
      <c r="C153" s="1450"/>
      <c r="D153" s="1450"/>
      <c r="E153" s="1450"/>
      <c r="F153" s="1450"/>
      <c r="G153" s="1450"/>
      <c r="H153" s="1450"/>
      <c r="I153" s="1450"/>
      <c r="J153" s="1450"/>
      <c r="K153" s="1450"/>
      <c r="L153" s="1450"/>
      <c r="M153" s="1450"/>
      <c r="N153" s="1450"/>
      <c r="O153" s="1450"/>
      <c r="P153" s="1450"/>
      <c r="Q153" s="1450"/>
      <c r="R153" s="1450"/>
      <c r="S153" s="1450"/>
      <c r="T153" s="1450"/>
      <c r="U153" s="1450"/>
      <c r="V153" s="1450"/>
      <c r="W153" s="1450"/>
      <c r="X153" s="1450"/>
      <c r="Y153" s="1450"/>
      <c r="Z153" s="1450"/>
      <c r="AA153" s="1450"/>
      <c r="AB153" s="1450"/>
      <c r="AC153" s="1450"/>
      <c r="AD153" s="1450"/>
      <c r="AE153" s="1450"/>
      <c r="AF153" s="1450"/>
      <c r="AG153" s="1450"/>
      <c r="AH153" s="1450"/>
      <c r="AI153" s="1450"/>
      <c r="AJ153" s="1450"/>
      <c r="AK153" s="1450"/>
      <c r="AL153" s="1450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</row>
    <row r="154" spans="1:77" ht="13" customHeight="1" x14ac:dyDescent="0.3">
      <c r="A154" s="1450" t="s">
        <v>56</v>
      </c>
      <c r="B154" s="1453">
        <f>'Model Main'!ED73</f>
        <v>762</v>
      </c>
      <c r="C154" s="1453">
        <f>'Model Main'!EI73</f>
        <v>375</v>
      </c>
      <c r="D154" s="1453">
        <f>'Model Main'!EN73</f>
        <v>492</v>
      </c>
      <c r="E154" s="1453">
        <f>'Model Main'!ES73</f>
        <v>653</v>
      </c>
      <c r="F154" s="1453">
        <f>'Model Main'!EX73</f>
        <v>804</v>
      </c>
      <c r="G154" s="1453">
        <f>'Model Main'!FC73</f>
        <v>869.90809933638513</v>
      </c>
      <c r="H154" s="1453">
        <f>'Model Main'!FD73</f>
        <v>964.07832879033003</v>
      </c>
      <c r="I154" s="1453">
        <f>'Model Main'!FE73</f>
        <v>1020.8021294202155</v>
      </c>
      <c r="J154" s="1453">
        <f>'Model Main'!FF73</f>
        <v>1045.1177970308152</v>
      </c>
      <c r="K154" s="1450"/>
      <c r="L154" s="1450"/>
      <c r="M154" s="1450"/>
      <c r="N154" s="1450"/>
      <c r="O154" s="1450"/>
      <c r="P154" s="1450"/>
      <c r="Q154" s="1450"/>
      <c r="R154" s="1450"/>
      <c r="S154" s="1450"/>
      <c r="T154" s="1450"/>
      <c r="U154" s="1450"/>
      <c r="V154" s="1450"/>
      <c r="W154" s="1450"/>
      <c r="X154" s="1450"/>
      <c r="Y154" s="1450"/>
      <c r="Z154" s="1450"/>
      <c r="AA154" s="1450"/>
      <c r="AB154" s="1450"/>
      <c r="AC154" s="1450"/>
      <c r="AD154" s="1450"/>
      <c r="AE154" s="1450"/>
      <c r="AF154" s="1450"/>
      <c r="AG154" s="1450"/>
      <c r="AH154" s="1450"/>
      <c r="AI154" s="1450"/>
      <c r="AJ154" s="1450"/>
      <c r="AK154" s="1450"/>
      <c r="AL154" s="1450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</row>
    <row r="155" spans="1:77" ht="13" customHeight="1" x14ac:dyDescent="0.3">
      <c r="A155" s="1450"/>
      <c r="B155" s="1453"/>
      <c r="C155" s="1453"/>
      <c r="D155" s="1453"/>
      <c r="E155" s="1453"/>
      <c r="F155" s="1453"/>
      <c r="G155" s="1453"/>
      <c r="H155" s="1453"/>
      <c r="I155" s="1453"/>
      <c r="J155" s="1453"/>
      <c r="K155" s="1450"/>
      <c r="L155" s="1450"/>
      <c r="M155" s="1450"/>
      <c r="N155" s="1450"/>
      <c r="O155" s="1450"/>
      <c r="P155" s="1450"/>
      <c r="Q155" s="1450"/>
      <c r="R155" s="1450"/>
      <c r="S155" s="1450"/>
      <c r="T155" s="1450"/>
      <c r="U155" s="1450"/>
      <c r="V155" s="1450"/>
      <c r="W155" s="1450"/>
      <c r="X155" s="1450"/>
      <c r="Y155" s="1450"/>
      <c r="Z155" s="1450"/>
      <c r="AA155" s="1450"/>
      <c r="AB155" s="1450"/>
      <c r="AC155" s="1450"/>
      <c r="AD155" s="1450"/>
      <c r="AE155" s="1450"/>
      <c r="AF155" s="1450"/>
      <c r="AG155" s="1450"/>
      <c r="AH155" s="1450"/>
      <c r="AI155" s="1450"/>
      <c r="AJ155" s="1450"/>
      <c r="AK155" s="1450"/>
      <c r="AL155" s="1450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</row>
    <row r="156" spans="1:77" ht="13" customHeight="1" x14ac:dyDescent="0.3">
      <c r="A156" s="1450" t="s">
        <v>590</v>
      </c>
      <c r="B156" s="1453"/>
      <c r="C156" s="1453"/>
      <c r="D156" s="1453"/>
      <c r="E156" s="1453"/>
      <c r="F156" s="1453"/>
      <c r="G156" s="1453"/>
      <c r="H156" s="1453"/>
      <c r="I156" s="1453"/>
      <c r="J156" s="1453"/>
      <c r="K156" s="1450"/>
      <c r="L156" s="1450"/>
      <c r="M156" s="1450"/>
      <c r="N156" s="1450"/>
      <c r="O156" s="1450"/>
      <c r="P156" s="1450"/>
      <c r="Q156" s="1450"/>
      <c r="R156" s="1450"/>
      <c r="S156" s="1450"/>
      <c r="T156" s="1450"/>
      <c r="U156" s="1450"/>
      <c r="V156" s="1450"/>
      <c r="W156" s="1450"/>
      <c r="X156" s="1450"/>
      <c r="Y156" s="1450"/>
      <c r="Z156" s="1450"/>
      <c r="AA156" s="1450"/>
      <c r="AB156" s="1450"/>
      <c r="AC156" s="1450"/>
      <c r="AD156" s="1450"/>
      <c r="AE156" s="1450"/>
      <c r="AF156" s="1450"/>
      <c r="AG156" s="1450"/>
      <c r="AH156" s="1450"/>
      <c r="AI156" s="1450"/>
      <c r="AJ156" s="1450"/>
      <c r="AK156" s="1450"/>
      <c r="AL156" s="1450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</row>
    <row r="157" spans="1:77" ht="13" customHeight="1" x14ac:dyDescent="0.3">
      <c r="A157" s="1451" t="s">
        <v>591</v>
      </c>
      <c r="B157" s="1453">
        <f>B149*0.3</f>
        <v>869.4</v>
      </c>
      <c r="C157" s="1453">
        <f>C152*0.3</f>
        <v>333.9</v>
      </c>
      <c r="D157" s="1453">
        <f t="shared" ref="D157:G157" si="65">D152*0.3</f>
        <v>177.6</v>
      </c>
      <c r="E157" s="1453">
        <f t="shared" si="65"/>
        <v>147.6</v>
      </c>
      <c r="F157" s="1453">
        <f t="shared" si="65"/>
        <v>104.7</v>
      </c>
      <c r="G157" s="1453">
        <f t="shared" si="65"/>
        <v>129.45831820848755</v>
      </c>
      <c r="H157" s="1453">
        <f t="shared" ref="H157:J157" si="66">H152*0.3</f>
        <v>204.97671156153223</v>
      </c>
      <c r="I157" s="1453">
        <f t="shared" si="66"/>
        <v>315.3397062897177</v>
      </c>
      <c r="J157" s="1453">
        <f t="shared" si="66"/>
        <v>415.19174884033771</v>
      </c>
      <c r="K157" s="1450"/>
      <c r="L157" s="1450"/>
      <c r="M157" s="1450"/>
      <c r="N157" s="1450"/>
      <c r="O157" s="1450"/>
      <c r="P157" s="1450"/>
      <c r="Q157" s="1450"/>
      <c r="R157" s="1450"/>
      <c r="S157" s="1450"/>
      <c r="T157" s="1450"/>
      <c r="U157" s="1450"/>
      <c r="V157" s="1450"/>
      <c r="W157" s="1450"/>
      <c r="X157" s="1450"/>
      <c r="Y157" s="1450"/>
      <c r="Z157" s="1450"/>
      <c r="AA157" s="1450"/>
      <c r="AB157" s="1450"/>
      <c r="AC157" s="1450"/>
      <c r="AD157" s="1450"/>
      <c r="AE157" s="1450"/>
      <c r="AF157" s="1450"/>
      <c r="AG157" s="1450"/>
      <c r="AH157" s="1450"/>
      <c r="AI157" s="1450"/>
      <c r="AJ157" s="1450"/>
      <c r="AK157" s="1450"/>
      <c r="AL157" s="1450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</row>
    <row r="158" spans="1:77" ht="13" customHeight="1" x14ac:dyDescent="0.3">
      <c r="A158" s="1451" t="s">
        <v>592</v>
      </c>
      <c r="B158" s="1453">
        <f t="shared" ref="B158:G158" si="67">B149*0.3</f>
        <v>869.4</v>
      </c>
      <c r="C158" s="1453">
        <f t="shared" si="67"/>
        <v>742.5</v>
      </c>
      <c r="D158" s="1453">
        <f t="shared" si="67"/>
        <v>624</v>
      </c>
      <c r="E158" s="1453">
        <f t="shared" si="67"/>
        <v>638.1</v>
      </c>
      <c r="F158" s="1453">
        <f t="shared" si="67"/>
        <v>675.3</v>
      </c>
      <c r="G158" s="1453">
        <f t="shared" si="67"/>
        <v>724.93637907350831</v>
      </c>
      <c r="H158" s="1453">
        <f t="shared" ref="H158:J158" si="68">H149*0.3</f>
        <v>803.10391169287789</v>
      </c>
      <c r="I158" s="1453">
        <f t="shared" si="68"/>
        <v>898.16289734594875</v>
      </c>
      <c r="J158" s="1453">
        <f t="shared" si="68"/>
        <v>981.60114859416979</v>
      </c>
      <c r="K158" s="1450"/>
      <c r="L158" s="1450"/>
      <c r="M158" s="1450"/>
      <c r="N158" s="1450"/>
      <c r="O158" s="1450"/>
      <c r="P158" s="1450"/>
      <c r="Q158" s="1450"/>
      <c r="R158" s="1450"/>
      <c r="S158" s="1450"/>
      <c r="T158" s="1450"/>
      <c r="U158" s="1450"/>
      <c r="V158" s="1450"/>
      <c r="W158" s="1450"/>
      <c r="X158" s="1450"/>
      <c r="Y158" s="1450"/>
      <c r="Z158" s="1450"/>
      <c r="AA158" s="1450"/>
      <c r="AB158" s="1450"/>
      <c r="AC158" s="1450"/>
      <c r="AD158" s="1450"/>
      <c r="AE158" s="1450"/>
      <c r="AF158" s="1450"/>
      <c r="AG158" s="1450"/>
      <c r="AH158" s="1450"/>
      <c r="AI158" s="1450"/>
      <c r="AJ158" s="1450"/>
      <c r="AK158" s="1450"/>
      <c r="AL158" s="1450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</row>
    <row r="159" spans="1:77" ht="13" customHeight="1" x14ac:dyDescent="0.3">
      <c r="A159" s="1450"/>
      <c r="B159" s="1453"/>
      <c r="C159" s="1453"/>
      <c r="D159" s="1453"/>
      <c r="E159" s="1453"/>
      <c r="F159" s="1453"/>
      <c r="G159" s="1453"/>
      <c r="H159" s="1453"/>
      <c r="I159" s="1453"/>
      <c r="J159" s="1453"/>
      <c r="K159" s="1450"/>
      <c r="L159" s="1450"/>
      <c r="M159" s="1450"/>
      <c r="N159" s="1450"/>
      <c r="O159" s="1450"/>
      <c r="P159" s="1450"/>
      <c r="Q159" s="1450"/>
      <c r="R159" s="1450"/>
      <c r="S159" s="1450"/>
      <c r="T159" s="1450"/>
      <c r="U159" s="1450"/>
      <c r="V159" s="1450"/>
      <c r="W159" s="1450"/>
      <c r="X159" s="1450"/>
      <c r="Y159" s="1450"/>
      <c r="Z159" s="1450"/>
      <c r="AA159" s="1450"/>
      <c r="AB159" s="1450"/>
      <c r="AC159" s="1450"/>
      <c r="AD159" s="1450"/>
      <c r="AE159" s="1450"/>
      <c r="AF159" s="1450"/>
      <c r="AG159" s="1450"/>
      <c r="AH159" s="1450"/>
      <c r="AI159" s="1450"/>
      <c r="AJ159" s="1450"/>
      <c r="AK159" s="1450"/>
      <c r="AL159" s="1450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</row>
    <row r="160" spans="1:77" ht="13" customHeight="1" x14ac:dyDescent="0.3">
      <c r="A160" s="1450" t="s">
        <v>593</v>
      </c>
      <c r="B160" s="1453"/>
      <c r="C160" s="1453"/>
      <c r="D160" s="1453"/>
      <c r="E160" s="1453"/>
      <c r="F160" s="1453"/>
      <c r="G160" s="1453"/>
      <c r="H160" s="1453"/>
      <c r="I160" s="1453"/>
      <c r="J160" s="1453"/>
      <c r="K160" s="1450"/>
      <c r="L160" s="1450"/>
      <c r="M160" s="1450"/>
      <c r="N160" s="1450"/>
      <c r="O160" s="1450"/>
      <c r="P160" s="1450"/>
      <c r="Q160" s="1450"/>
      <c r="R160" s="1450"/>
      <c r="S160" s="1450"/>
      <c r="T160" s="1450"/>
      <c r="U160" s="1450"/>
      <c r="V160" s="1450"/>
      <c r="W160" s="1450"/>
      <c r="X160" s="1450"/>
      <c r="Y160" s="1450"/>
      <c r="Z160" s="1450"/>
      <c r="AA160" s="1450"/>
      <c r="AB160" s="1450"/>
      <c r="AC160" s="1450"/>
      <c r="AD160" s="1450"/>
      <c r="AE160" s="1450"/>
      <c r="AF160" s="1450"/>
      <c r="AG160" s="1450"/>
      <c r="AH160" s="1450"/>
      <c r="AI160" s="1450"/>
      <c r="AJ160" s="1450"/>
      <c r="AK160" s="1450"/>
      <c r="AL160" s="1450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</row>
    <row r="161" spans="1:77" ht="13" customHeight="1" x14ac:dyDescent="0.3">
      <c r="A161" s="1451" t="s">
        <v>591</v>
      </c>
      <c r="B161" s="1453">
        <f>IF(B154&lt;B157,B154,B157)</f>
        <v>762</v>
      </c>
      <c r="C161" s="1453">
        <f t="shared" ref="C161:H161" si="69">IF(C154&lt;C157,C154,C157)</f>
        <v>333.9</v>
      </c>
      <c r="D161" s="1453">
        <f t="shared" si="69"/>
        <v>177.6</v>
      </c>
      <c r="E161" s="1453">
        <f t="shared" si="69"/>
        <v>147.6</v>
      </c>
      <c r="F161" s="1453">
        <f t="shared" si="69"/>
        <v>104.7</v>
      </c>
      <c r="G161" s="1453">
        <f t="shared" si="69"/>
        <v>129.45831820848755</v>
      </c>
      <c r="H161" s="1453">
        <f t="shared" si="69"/>
        <v>204.97671156153223</v>
      </c>
      <c r="I161" s="1453">
        <f t="shared" ref="I161:J161" si="70">IF(I154&lt;I157,I154,I157)</f>
        <v>315.3397062897177</v>
      </c>
      <c r="J161" s="1453">
        <f t="shared" si="70"/>
        <v>415.19174884033771</v>
      </c>
      <c r="K161" s="1450"/>
      <c r="L161" s="1450"/>
      <c r="M161" s="1450"/>
      <c r="N161" s="1450"/>
      <c r="O161" s="1450"/>
      <c r="P161" s="1450"/>
      <c r="Q161" s="1450"/>
      <c r="R161" s="1450"/>
      <c r="S161" s="1450"/>
      <c r="T161" s="1450"/>
      <c r="U161" s="1450"/>
      <c r="V161" s="1450"/>
      <c r="W161" s="1450"/>
      <c r="X161" s="1450"/>
      <c r="Y161" s="1450"/>
      <c r="Z161" s="1450"/>
      <c r="AA161" s="1450"/>
      <c r="AB161" s="1450"/>
      <c r="AC161" s="1450"/>
      <c r="AD161" s="1450"/>
      <c r="AE161" s="1450"/>
      <c r="AF161" s="1450"/>
      <c r="AG161" s="1450"/>
      <c r="AH161" s="1450"/>
      <c r="AI161" s="1450"/>
      <c r="AJ161" s="1450"/>
      <c r="AK161" s="1450"/>
      <c r="AL161" s="1450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</row>
    <row r="162" spans="1:77" ht="13" customHeight="1" x14ac:dyDescent="0.3">
      <c r="A162" s="1451" t="s">
        <v>592</v>
      </c>
      <c r="B162" s="1453">
        <f>IF(B154&lt;B158,B154,B158)</f>
        <v>762</v>
      </c>
      <c r="C162" s="1453">
        <f t="shared" ref="C162:H162" si="71">IF(C154&lt;C158,C154,C158)</f>
        <v>375</v>
      </c>
      <c r="D162" s="1453">
        <f t="shared" si="71"/>
        <v>492</v>
      </c>
      <c r="E162" s="1453">
        <f t="shared" si="71"/>
        <v>638.1</v>
      </c>
      <c r="F162" s="1453">
        <f t="shared" si="71"/>
        <v>675.3</v>
      </c>
      <c r="G162" s="1453">
        <f t="shared" si="71"/>
        <v>724.93637907350831</v>
      </c>
      <c r="H162" s="1453">
        <f t="shared" si="71"/>
        <v>803.10391169287789</v>
      </c>
      <c r="I162" s="1453">
        <f t="shared" ref="I162:J162" si="72">IF(I154&lt;I158,I154,I158)</f>
        <v>898.16289734594875</v>
      </c>
      <c r="J162" s="1453">
        <f t="shared" si="72"/>
        <v>981.60114859416979</v>
      </c>
      <c r="K162" s="1450"/>
      <c r="L162" s="1450"/>
      <c r="M162" s="1450"/>
      <c r="N162" s="1450"/>
      <c r="O162" s="1450"/>
      <c r="P162" s="1450"/>
      <c r="Q162" s="1450"/>
      <c r="R162" s="1450"/>
      <c r="S162" s="1450"/>
      <c r="T162" s="1450"/>
      <c r="U162" s="1450"/>
      <c r="V162" s="1450"/>
      <c r="W162" s="1450"/>
      <c r="X162" s="1450"/>
      <c r="Y162" s="1450"/>
      <c r="Z162" s="1450"/>
      <c r="AA162" s="1450"/>
      <c r="AB162" s="1450"/>
      <c r="AC162" s="1450"/>
      <c r="AD162" s="1450"/>
      <c r="AE162" s="1450"/>
      <c r="AF162" s="1450"/>
      <c r="AG162" s="1450"/>
      <c r="AH162" s="1450"/>
      <c r="AI162" s="1450"/>
      <c r="AJ162" s="1450"/>
      <c r="AK162" s="1450"/>
      <c r="AL162" s="1450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</row>
    <row r="163" spans="1:77" ht="13" customHeight="1" x14ac:dyDescent="0.3">
      <c r="A163" s="1454" t="s">
        <v>594</v>
      </c>
      <c r="B163" s="1455">
        <f>B162-B161</f>
        <v>0</v>
      </c>
      <c r="C163" s="1455">
        <f t="shared" ref="C163:H163" si="73">C162-C161</f>
        <v>41.100000000000023</v>
      </c>
      <c r="D163" s="1455">
        <f t="shared" si="73"/>
        <v>314.39999999999998</v>
      </c>
      <c r="E163" s="1455">
        <f t="shared" si="73"/>
        <v>490.5</v>
      </c>
      <c r="F163" s="1455">
        <f t="shared" si="73"/>
        <v>570.59999999999991</v>
      </c>
      <c r="G163" s="1455">
        <f t="shared" si="73"/>
        <v>595.47806086502078</v>
      </c>
      <c r="H163" s="1455">
        <f t="shared" si="73"/>
        <v>598.12720013134572</v>
      </c>
      <c r="I163" s="1455">
        <f t="shared" ref="I163:J163" si="74">I162-I161</f>
        <v>582.82319105623105</v>
      </c>
      <c r="J163" s="1455">
        <f t="shared" si="74"/>
        <v>566.40939975383208</v>
      </c>
      <c r="K163" s="1450"/>
      <c r="L163" s="1450"/>
      <c r="M163" s="1450"/>
      <c r="N163" s="1450"/>
      <c r="O163" s="1450"/>
      <c r="P163" s="1450"/>
      <c r="Q163" s="1450"/>
      <c r="R163" s="1450"/>
      <c r="S163" s="1450"/>
      <c r="T163" s="1450"/>
      <c r="U163" s="1450"/>
      <c r="V163" s="1450"/>
      <c r="W163" s="1450"/>
      <c r="X163" s="1450"/>
      <c r="Y163" s="1450"/>
      <c r="Z163" s="1450"/>
      <c r="AA163" s="1450"/>
      <c r="AB163" s="1450"/>
      <c r="AC163" s="1450"/>
      <c r="AD163" s="1450"/>
      <c r="AE163" s="1450"/>
      <c r="AF163" s="1450"/>
      <c r="AG163" s="1450"/>
      <c r="AH163" s="1450"/>
      <c r="AI163" s="1450"/>
      <c r="AJ163" s="1450"/>
      <c r="AK163" s="1450"/>
      <c r="AL163" s="1450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</row>
    <row r="164" spans="1:77" ht="13" customHeight="1" x14ac:dyDescent="0.3">
      <c r="A164" s="1454" t="s">
        <v>595</v>
      </c>
      <c r="B164" s="1455">
        <v>0</v>
      </c>
      <c r="C164" s="1455">
        <f>C163*C106</f>
        <v>7.069200000000003</v>
      </c>
      <c r="D164" s="1455">
        <f t="shared" ref="D164:H164" si="75">D163*D106</f>
        <v>82.930217028380625</v>
      </c>
      <c r="E164" s="1455">
        <f t="shared" si="75"/>
        <v>368.92307692307691</v>
      </c>
      <c r="F164" s="1455">
        <f t="shared" si="75"/>
        <v>39.579190751445076</v>
      </c>
      <c r="G164" s="1455">
        <f t="shared" si="75"/>
        <v>148.86951521625519</v>
      </c>
      <c r="H164" s="1455">
        <f t="shared" si="75"/>
        <v>149.53180003283643</v>
      </c>
      <c r="I164" s="1455">
        <f t="shared" ref="I164:J164" si="76">I163*I106</f>
        <v>-397.93569983682198</v>
      </c>
      <c r="J164" s="1455">
        <f t="shared" si="76"/>
        <v>102.31383666073556</v>
      </c>
      <c r="K164" s="1450"/>
      <c r="L164" s="1450"/>
      <c r="M164" s="1450"/>
      <c r="N164" s="1450"/>
      <c r="O164" s="1450"/>
      <c r="P164" s="1450"/>
      <c r="Q164" s="1450"/>
      <c r="R164" s="1450"/>
      <c r="S164" s="1450"/>
      <c r="T164" s="1450"/>
      <c r="U164" s="1450"/>
      <c r="V164" s="1450"/>
      <c r="W164" s="1450"/>
      <c r="X164" s="1450"/>
      <c r="Y164" s="1450"/>
      <c r="Z164" s="1450"/>
      <c r="AA164" s="1450"/>
      <c r="AB164" s="1450"/>
      <c r="AC164" s="1450"/>
      <c r="AD164" s="1450"/>
      <c r="AE164" s="1450"/>
      <c r="AF164" s="1450"/>
      <c r="AG164" s="1450"/>
      <c r="AH164" s="1450"/>
      <c r="AI164" s="1450"/>
      <c r="AJ164" s="1450"/>
      <c r="AK164" s="1450"/>
      <c r="AL164" s="1450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</row>
    <row r="165" spans="1:77" ht="13" customHeight="1" x14ac:dyDescent="0.3">
      <c r="A165" s="1454" t="s">
        <v>596</v>
      </c>
      <c r="B165" s="1455"/>
      <c r="C165" s="1455"/>
      <c r="D165" s="1455"/>
      <c r="E165" s="1455"/>
      <c r="F165" s="1455">
        <f>SUM(B164:F164)</f>
        <v>498.50168470290265</v>
      </c>
      <c r="G165" s="1455">
        <f>G164</f>
        <v>148.86951521625519</v>
      </c>
      <c r="H165" s="1455"/>
      <c r="I165" s="1455"/>
      <c r="J165" s="1455"/>
      <c r="K165" s="1450"/>
      <c r="L165" s="1450"/>
      <c r="M165" s="1450"/>
      <c r="N165" s="1450"/>
      <c r="O165" s="1450"/>
      <c r="P165" s="1450"/>
      <c r="Q165" s="1450"/>
      <c r="R165" s="1450"/>
      <c r="S165" s="1450"/>
      <c r="T165" s="1450"/>
      <c r="U165" s="1450"/>
      <c r="V165" s="1450"/>
      <c r="W165" s="1450"/>
      <c r="X165" s="1450"/>
      <c r="Y165" s="1450"/>
      <c r="Z165" s="1450"/>
      <c r="AA165" s="1450"/>
      <c r="AB165" s="1450"/>
      <c r="AC165" s="1450"/>
      <c r="AD165" s="1450"/>
      <c r="AE165" s="1450"/>
      <c r="AF165" s="1450"/>
      <c r="AG165" s="1450"/>
      <c r="AH165" s="1450"/>
      <c r="AI165" s="1450"/>
      <c r="AJ165" s="1450"/>
      <c r="AK165" s="1450"/>
      <c r="AL165" s="1450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</row>
    <row r="166" spans="1:77" ht="13" customHeight="1" x14ac:dyDescent="0.3">
      <c r="A166" s="1452"/>
      <c r="B166" s="1452"/>
      <c r="C166" s="1452"/>
      <c r="D166" s="1452"/>
      <c r="E166" s="1452"/>
      <c r="F166" s="1452"/>
      <c r="G166" s="1452"/>
      <c r="H166" s="1452"/>
      <c r="I166" s="1452"/>
      <c r="J166" s="1452"/>
      <c r="K166" s="1450"/>
      <c r="L166" s="1450"/>
      <c r="M166" s="1450"/>
      <c r="N166" s="1450"/>
      <c r="O166" s="1450"/>
      <c r="P166" s="1450"/>
      <c r="Q166" s="1450"/>
      <c r="R166" s="1450"/>
      <c r="S166" s="1450"/>
      <c r="T166" s="1450"/>
      <c r="U166" s="1450"/>
      <c r="V166" s="1450"/>
      <c r="W166" s="1450"/>
      <c r="X166" s="1450"/>
      <c r="Y166" s="1450"/>
      <c r="Z166" s="1450"/>
      <c r="AA166" s="1450"/>
      <c r="AB166" s="1450"/>
      <c r="AC166" s="1450"/>
      <c r="AD166" s="1450"/>
      <c r="AE166" s="1450"/>
      <c r="AF166" s="1450"/>
      <c r="AG166" s="1450"/>
      <c r="AH166" s="1450"/>
      <c r="AI166" s="1450"/>
      <c r="AJ166" s="1450"/>
      <c r="AK166" s="1450"/>
      <c r="AL166" s="1450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</row>
    <row r="167" spans="1:77" ht="12" customHeight="1" x14ac:dyDescent="0.3">
      <c r="A167" s="119"/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</row>
    <row r="169" spans="1:77" x14ac:dyDescent="0.3">
      <c r="A169" s="4" t="s">
        <v>597</v>
      </c>
      <c r="B169" s="1"/>
      <c r="C169" s="1"/>
      <c r="D169" s="1"/>
      <c r="E169" s="1"/>
      <c r="F169" s="1"/>
      <c r="G169" s="1"/>
      <c r="H169" s="1"/>
    </row>
    <row r="170" spans="1:77" x14ac:dyDescent="0.3">
      <c r="A170" s="1"/>
      <c r="B170" s="1"/>
      <c r="C170" s="1"/>
      <c r="D170" s="1"/>
      <c r="E170" s="1"/>
      <c r="F170" s="1"/>
      <c r="G170" s="1"/>
      <c r="H170" s="1"/>
    </row>
    <row r="171" spans="1:77" x14ac:dyDescent="0.3">
      <c r="A171" s="1436"/>
      <c r="B171" s="1436"/>
      <c r="C171" s="1436"/>
      <c r="D171" s="1436"/>
      <c r="E171" s="1436"/>
      <c r="F171" s="1436"/>
      <c r="G171" s="1436"/>
      <c r="H171" s="1436"/>
    </row>
    <row r="172" spans="1:77" x14ac:dyDescent="0.3">
      <c r="A172" s="1437"/>
      <c r="B172" s="1437">
        <v>2020</v>
      </c>
      <c r="C172" s="1437">
        <f t="shared" ref="C172:H172" si="77">B172+1</f>
        <v>2021</v>
      </c>
      <c r="D172" s="1437">
        <f t="shared" si="77"/>
        <v>2022</v>
      </c>
      <c r="E172" s="1437">
        <f t="shared" si="77"/>
        <v>2023</v>
      </c>
      <c r="F172" s="1437">
        <f t="shared" si="77"/>
        <v>2024</v>
      </c>
      <c r="G172" s="1437">
        <f t="shared" si="77"/>
        <v>2025</v>
      </c>
      <c r="H172" s="1437">
        <f t="shared" si="77"/>
        <v>2026</v>
      </c>
    </row>
    <row r="173" spans="1:77" x14ac:dyDescent="0.3">
      <c r="A173" s="1010" t="s">
        <v>598</v>
      </c>
      <c r="B173" s="59">
        <f>'Model Main'!ED18</f>
        <v>6966</v>
      </c>
      <c r="C173" s="59">
        <f>'Model Main'!EI18</f>
        <v>6411</v>
      </c>
      <c r="D173" s="59">
        <f>'Model Main'!EN18</f>
        <v>5787</v>
      </c>
      <c r="E173" s="59">
        <f>'Model Main'!ES18</f>
        <v>5751</v>
      </c>
      <c r="F173" s="59">
        <f>'Model Main'!EX18</f>
        <v>5937</v>
      </c>
      <c r="G173" s="59">
        <f>'Model Main'!FC18</f>
        <v>6020.8233791249313</v>
      </c>
      <c r="H173" s="59">
        <f>'Model Main'!FD18</f>
        <v>6226.1974527353104</v>
      </c>
    </row>
    <row r="174" spans="1:77" x14ac:dyDescent="0.3">
      <c r="A174" s="1010" t="s">
        <v>599</v>
      </c>
      <c r="B174" s="157">
        <f>B173-B175</f>
        <v>4191</v>
      </c>
      <c r="C174" s="157">
        <f t="shared" ref="C174:H174" si="78">C173-C175</f>
        <v>3936</v>
      </c>
      <c r="D174" s="157">
        <f t="shared" si="78"/>
        <v>3707</v>
      </c>
      <c r="E174" s="157">
        <f t="shared" si="78"/>
        <v>3624</v>
      </c>
      <c r="F174" s="157">
        <f t="shared" si="78"/>
        <v>3686</v>
      </c>
      <c r="G174" s="157">
        <f t="shared" si="78"/>
        <v>3604.368782213237</v>
      </c>
      <c r="H174" s="157">
        <f t="shared" si="78"/>
        <v>3549.1844137590506</v>
      </c>
    </row>
    <row r="175" spans="1:77" x14ac:dyDescent="0.3">
      <c r="A175" s="1010" t="s">
        <v>218</v>
      </c>
      <c r="B175" s="59">
        <f>'Model Main'!ED48</f>
        <v>2775</v>
      </c>
      <c r="C175" s="59">
        <f>'Model Main'!EI48</f>
        <v>2475</v>
      </c>
      <c r="D175" s="59">
        <f>'Model Main'!EN48</f>
        <v>2080</v>
      </c>
      <c r="E175" s="59">
        <f>'Model Main'!ES48</f>
        <v>2127</v>
      </c>
      <c r="F175" s="59">
        <f>'Model Main'!EX48</f>
        <v>2251</v>
      </c>
      <c r="G175" s="59">
        <f>'Model Main'!FC48</f>
        <v>2416.4545969116944</v>
      </c>
      <c r="H175" s="59">
        <f>'Model Main'!FD48</f>
        <v>2677.0130389762598</v>
      </c>
    </row>
    <row r="176" spans="1:77" x14ac:dyDescent="0.3">
      <c r="A176" s="1"/>
      <c r="B176" s="1"/>
      <c r="C176" s="1"/>
      <c r="D176" s="1"/>
      <c r="E176" s="1"/>
      <c r="F176" s="1"/>
      <c r="G176" s="1"/>
      <c r="H176" s="1"/>
    </row>
    <row r="177" spans="1:8" x14ac:dyDescent="0.3">
      <c r="A177" s="1010" t="s">
        <v>600</v>
      </c>
      <c r="B177" s="59">
        <f>B174</f>
        <v>4191</v>
      </c>
      <c r="C177" s="59">
        <f t="shared" ref="C177:H177" si="79">C174</f>
        <v>3936</v>
      </c>
      <c r="D177" s="59">
        <f t="shared" si="79"/>
        <v>3707</v>
      </c>
      <c r="E177" s="59">
        <f t="shared" si="79"/>
        <v>3624</v>
      </c>
      <c r="F177" s="59">
        <f t="shared" si="79"/>
        <v>3686</v>
      </c>
      <c r="G177" s="59">
        <f t="shared" si="79"/>
        <v>3604.368782213237</v>
      </c>
      <c r="H177" s="59">
        <f t="shared" si="79"/>
        <v>3549.1844137590506</v>
      </c>
    </row>
    <row r="178" spans="1:8" x14ac:dyDescent="0.3">
      <c r="A178" s="1010" t="s">
        <v>601</v>
      </c>
      <c r="B178" s="686">
        <v>0.01</v>
      </c>
      <c r="C178" s="1457">
        <f>B178</f>
        <v>0.01</v>
      </c>
      <c r="D178" s="1457">
        <f t="shared" ref="D178:H178" si="80">C178</f>
        <v>0.01</v>
      </c>
      <c r="E178" s="1457">
        <f t="shared" si="80"/>
        <v>0.01</v>
      </c>
      <c r="F178" s="1457">
        <f t="shared" si="80"/>
        <v>0.01</v>
      </c>
      <c r="G178" s="1457">
        <f t="shared" si="80"/>
        <v>0.01</v>
      </c>
      <c r="H178" s="1457">
        <f t="shared" si="80"/>
        <v>0.01</v>
      </c>
    </row>
    <row r="179" spans="1:8" x14ac:dyDescent="0.3">
      <c r="A179" s="1010" t="s">
        <v>602</v>
      </c>
      <c r="B179" s="1074">
        <f>B177*B178</f>
        <v>41.910000000000004</v>
      </c>
      <c r="C179" s="1074">
        <f t="shared" ref="C179:H179" si="81">C177*C178</f>
        <v>39.36</v>
      </c>
      <c r="D179" s="1074">
        <f t="shared" si="81"/>
        <v>37.07</v>
      </c>
      <c r="E179" s="1074">
        <f t="shared" si="81"/>
        <v>36.24</v>
      </c>
      <c r="F179" s="1074">
        <f t="shared" si="81"/>
        <v>36.86</v>
      </c>
      <c r="G179" s="1074">
        <f t="shared" si="81"/>
        <v>36.04368782213237</v>
      </c>
      <c r="H179" s="1074">
        <f t="shared" si="81"/>
        <v>35.491844137590505</v>
      </c>
    </row>
    <row r="180" spans="1:8" x14ac:dyDescent="0.3">
      <c r="A180" s="1010"/>
      <c r="B180" s="1074"/>
      <c r="C180" s="1074"/>
      <c r="D180" s="1074"/>
      <c r="E180" s="1074"/>
      <c r="F180" s="1074"/>
      <c r="G180" s="1074"/>
      <c r="H180" s="1074"/>
    </row>
    <row r="181" spans="1:8" x14ac:dyDescent="0.3">
      <c r="A181" s="1" t="s">
        <v>603</v>
      </c>
      <c r="B181" s="1074">
        <f>B179</f>
        <v>41.910000000000004</v>
      </c>
      <c r="C181" s="1074">
        <f t="shared" ref="C181:H181" si="82">C179</f>
        <v>39.36</v>
      </c>
      <c r="D181" s="1074">
        <f t="shared" si="82"/>
        <v>37.07</v>
      </c>
      <c r="E181" s="1074">
        <f t="shared" si="82"/>
        <v>36.24</v>
      </c>
      <c r="F181" s="1074">
        <f t="shared" si="82"/>
        <v>36.86</v>
      </c>
      <c r="G181" s="1074">
        <f t="shared" si="82"/>
        <v>36.04368782213237</v>
      </c>
      <c r="H181" s="1074">
        <f t="shared" si="82"/>
        <v>35.491844137590505</v>
      </c>
    </row>
    <row r="182" spans="1:8" x14ac:dyDescent="0.3">
      <c r="A182" s="1010" t="s">
        <v>604</v>
      </c>
      <c r="B182" s="1458">
        <v>1</v>
      </c>
      <c r="C182" s="1458">
        <v>1</v>
      </c>
      <c r="D182" s="1458">
        <v>0.2</v>
      </c>
      <c r="E182" s="1458">
        <v>0.2</v>
      </c>
      <c r="F182" s="1458">
        <v>0.2</v>
      </c>
      <c r="G182" s="1458">
        <v>0.2</v>
      </c>
      <c r="H182" s="1458">
        <v>0.2</v>
      </c>
    </row>
    <row r="183" spans="1:8" x14ac:dyDescent="0.3">
      <c r="A183" s="1010" t="s">
        <v>605</v>
      </c>
      <c r="B183" s="1458">
        <v>1</v>
      </c>
      <c r="C183" s="1458">
        <v>1</v>
      </c>
      <c r="D183" s="1458">
        <v>0.5</v>
      </c>
      <c r="E183" s="1458">
        <v>0.5</v>
      </c>
      <c r="F183" s="1458">
        <v>0.5</v>
      </c>
      <c r="G183" s="1458">
        <v>0.5</v>
      </c>
      <c r="H183" s="1458">
        <v>0.5</v>
      </c>
    </row>
    <row r="184" spans="1:8" x14ac:dyDescent="0.3">
      <c r="A184" s="1010" t="s">
        <v>606</v>
      </c>
      <c r="B184" s="1459">
        <f>+B181*B182*B183</f>
        <v>41.910000000000004</v>
      </c>
      <c r="C184" s="1459">
        <f t="shared" ref="C184:H184" si="83">+C181*C182*C183</f>
        <v>39.36</v>
      </c>
      <c r="D184" s="1459">
        <f t="shared" si="83"/>
        <v>3.7070000000000003</v>
      </c>
      <c r="E184" s="1459">
        <f t="shared" si="83"/>
        <v>3.6240000000000006</v>
      </c>
      <c r="F184" s="1459">
        <f t="shared" si="83"/>
        <v>3.6859999999999999</v>
      </c>
      <c r="G184" s="1459">
        <f t="shared" si="83"/>
        <v>3.6043687822132373</v>
      </c>
      <c r="H184" s="1459">
        <f t="shared" si="83"/>
        <v>3.5491844137590505</v>
      </c>
    </row>
    <row r="185" spans="1:8" x14ac:dyDescent="0.3">
      <c r="A185" s="1010" t="s">
        <v>607</v>
      </c>
      <c r="B185" s="363">
        <v>0</v>
      </c>
      <c r="C185" s="363">
        <v>0</v>
      </c>
      <c r="D185" s="363">
        <v>0</v>
      </c>
      <c r="E185" s="363">
        <f>+D181*D182</f>
        <v>7.4140000000000006</v>
      </c>
      <c r="F185" s="363">
        <f>+E181*E182</f>
        <v>7.2480000000000011</v>
      </c>
      <c r="G185" s="363">
        <f>+F181*F182</f>
        <v>7.3719999999999999</v>
      </c>
      <c r="H185" s="363">
        <f>+G181*G182</f>
        <v>7.2087375644264746</v>
      </c>
    </row>
    <row r="186" spans="1:8" x14ac:dyDescent="0.3">
      <c r="A186" s="1010" t="s">
        <v>608</v>
      </c>
      <c r="B186" s="363">
        <v>0</v>
      </c>
      <c r="C186" s="363">
        <v>0</v>
      </c>
      <c r="D186" s="363">
        <v>0</v>
      </c>
      <c r="E186" s="363">
        <f>+C181-C184</f>
        <v>0</v>
      </c>
      <c r="F186" s="363">
        <f>+D181*D182</f>
        <v>7.4140000000000006</v>
      </c>
      <c r="G186" s="363">
        <f>+E181*E182</f>
        <v>7.2480000000000011</v>
      </c>
      <c r="H186" s="363">
        <f>+F181*F182</f>
        <v>7.3719999999999999</v>
      </c>
    </row>
    <row r="187" spans="1:8" x14ac:dyDescent="0.3">
      <c r="A187" s="1010" t="s">
        <v>609</v>
      </c>
      <c r="B187" s="363">
        <v>0</v>
      </c>
      <c r="C187" s="363">
        <v>0</v>
      </c>
      <c r="D187" s="363">
        <v>0</v>
      </c>
      <c r="E187" s="363">
        <f>+B184-B181</f>
        <v>0</v>
      </c>
      <c r="F187" s="363">
        <f>+C184-C181</f>
        <v>0</v>
      </c>
      <c r="G187" s="363">
        <f>+D181*D182</f>
        <v>7.4140000000000006</v>
      </c>
      <c r="H187" s="363">
        <f>+E181*E182</f>
        <v>7.2480000000000011</v>
      </c>
    </row>
    <row r="188" spans="1:8" x14ac:dyDescent="0.3">
      <c r="A188" s="1010" t="s">
        <v>610</v>
      </c>
      <c r="B188" s="363">
        <v>0</v>
      </c>
      <c r="C188" s="363">
        <v>0</v>
      </c>
      <c r="D188" s="363">
        <v>0</v>
      </c>
      <c r="E188" s="363">
        <v>0</v>
      </c>
      <c r="F188" s="363">
        <f>+B184-B181</f>
        <v>0</v>
      </c>
      <c r="G188" s="363">
        <f>+C184-C181</f>
        <v>0</v>
      </c>
      <c r="H188" s="363">
        <f>+D181*D182</f>
        <v>7.4140000000000006</v>
      </c>
    </row>
    <row r="189" spans="1:8" x14ac:dyDescent="0.3">
      <c r="A189" s="1010" t="s">
        <v>611</v>
      </c>
      <c r="B189" s="363">
        <v>0</v>
      </c>
      <c r="C189" s="363">
        <v>0</v>
      </c>
      <c r="D189" s="363">
        <v>0</v>
      </c>
      <c r="E189" s="363">
        <v>0</v>
      </c>
      <c r="F189" s="363">
        <v>0</v>
      </c>
      <c r="G189" s="363">
        <f>+B184-B181</f>
        <v>0</v>
      </c>
      <c r="H189" s="363">
        <f>+C184-C181</f>
        <v>0</v>
      </c>
    </row>
    <row r="190" spans="1:8" x14ac:dyDescent="0.3">
      <c r="A190" s="1460" t="s">
        <v>612</v>
      </c>
      <c r="B190" s="1461">
        <f t="shared" ref="B190:H190" si="84">SUM(B184:B189)</f>
        <v>41.910000000000004</v>
      </c>
      <c r="C190" s="1461">
        <f t="shared" si="84"/>
        <v>39.36</v>
      </c>
      <c r="D190" s="1461">
        <f t="shared" si="84"/>
        <v>3.7070000000000003</v>
      </c>
      <c r="E190" s="1461">
        <f t="shared" si="84"/>
        <v>11.038</v>
      </c>
      <c r="F190" s="1461">
        <f t="shared" si="84"/>
        <v>18.348000000000003</v>
      </c>
      <c r="G190" s="1461">
        <f t="shared" si="84"/>
        <v>25.638368782213242</v>
      </c>
      <c r="H190" s="1461">
        <f t="shared" si="84"/>
        <v>32.791921978185528</v>
      </c>
    </row>
    <row r="191" spans="1:8" x14ac:dyDescent="0.3">
      <c r="A191" s="1"/>
      <c r="B191" s="1"/>
      <c r="C191" s="1"/>
      <c r="D191" s="1"/>
      <c r="E191" s="1"/>
      <c r="F191" s="1"/>
      <c r="G191" s="1"/>
      <c r="H191" s="1"/>
    </row>
    <row r="192" spans="1:8" x14ac:dyDescent="0.3">
      <c r="A192" s="1" t="s">
        <v>603</v>
      </c>
      <c r="B192" s="1074">
        <f>B181</f>
        <v>41.910000000000004</v>
      </c>
      <c r="C192" s="1074">
        <f t="shared" ref="C192:H192" si="85">C181</f>
        <v>39.36</v>
      </c>
      <c r="D192" s="1074">
        <f t="shared" si="85"/>
        <v>37.07</v>
      </c>
      <c r="E192" s="1074">
        <f t="shared" si="85"/>
        <v>36.24</v>
      </c>
      <c r="F192" s="1074">
        <f t="shared" si="85"/>
        <v>36.86</v>
      </c>
      <c r="G192" s="1074">
        <f t="shared" si="85"/>
        <v>36.04368782213237</v>
      </c>
      <c r="H192" s="1074">
        <f t="shared" si="85"/>
        <v>35.491844137590505</v>
      </c>
    </row>
    <row r="193" spans="1:8" x14ac:dyDescent="0.3">
      <c r="A193" s="1010" t="s">
        <v>604</v>
      </c>
      <c r="B193" s="1458">
        <v>1</v>
      </c>
      <c r="C193" s="1458">
        <v>1</v>
      </c>
      <c r="D193" s="1458">
        <v>1</v>
      </c>
      <c r="E193" s="1458">
        <v>1</v>
      </c>
      <c r="F193" s="1458">
        <v>1</v>
      </c>
      <c r="G193" s="1458">
        <v>1</v>
      </c>
      <c r="H193" s="1458">
        <v>0.2</v>
      </c>
    </row>
    <row r="194" spans="1:8" x14ac:dyDescent="0.3">
      <c r="A194" s="1010" t="s">
        <v>605</v>
      </c>
      <c r="B194" s="1458">
        <v>1</v>
      </c>
      <c r="C194" s="1458">
        <v>1</v>
      </c>
      <c r="D194" s="1458">
        <v>1</v>
      </c>
      <c r="E194" s="1458">
        <v>1</v>
      </c>
      <c r="F194" s="1458">
        <v>1</v>
      </c>
      <c r="G194" s="1458">
        <v>1</v>
      </c>
      <c r="H194" s="1458">
        <v>0.5</v>
      </c>
    </row>
    <row r="195" spans="1:8" x14ac:dyDescent="0.3">
      <c r="A195" s="1010" t="s">
        <v>606</v>
      </c>
      <c r="B195" s="1459">
        <f>+B192*B193*B194</f>
        <v>41.910000000000004</v>
      </c>
      <c r="C195" s="1459">
        <f t="shared" ref="C195:H195" si="86">+C192*C193*C194</f>
        <v>39.36</v>
      </c>
      <c r="D195" s="1459">
        <f t="shared" si="86"/>
        <v>37.07</v>
      </c>
      <c r="E195" s="1459">
        <f t="shared" si="86"/>
        <v>36.24</v>
      </c>
      <c r="F195" s="1459">
        <f t="shared" si="86"/>
        <v>36.86</v>
      </c>
      <c r="G195" s="1459">
        <f t="shared" si="86"/>
        <v>36.04368782213237</v>
      </c>
      <c r="H195" s="1459">
        <f t="shared" si="86"/>
        <v>3.5491844137590505</v>
      </c>
    </row>
    <row r="196" spans="1:8" x14ac:dyDescent="0.3">
      <c r="A196" s="1010" t="s">
        <v>607</v>
      </c>
      <c r="B196" s="363">
        <v>0</v>
      </c>
      <c r="C196" s="363">
        <v>0</v>
      </c>
      <c r="D196" s="363">
        <v>0</v>
      </c>
      <c r="E196" s="363">
        <v>0</v>
      </c>
      <c r="F196" s="363">
        <v>0</v>
      </c>
      <c r="G196" s="363">
        <v>0</v>
      </c>
      <c r="H196" s="363">
        <v>0</v>
      </c>
    </row>
    <row r="197" spans="1:8" x14ac:dyDescent="0.3">
      <c r="A197" s="1010" t="s">
        <v>608</v>
      </c>
      <c r="B197" s="363">
        <v>0</v>
      </c>
      <c r="C197" s="363">
        <v>0</v>
      </c>
      <c r="D197" s="363">
        <v>0</v>
      </c>
      <c r="E197" s="363">
        <v>0</v>
      </c>
      <c r="F197" s="363">
        <v>0</v>
      </c>
      <c r="G197" s="363">
        <v>0</v>
      </c>
      <c r="H197" s="363">
        <v>0</v>
      </c>
    </row>
    <row r="198" spans="1:8" x14ac:dyDescent="0.3">
      <c r="A198" s="1010" t="s">
        <v>609</v>
      </c>
      <c r="B198" s="363">
        <v>0</v>
      </c>
      <c r="C198" s="363">
        <v>0</v>
      </c>
      <c r="D198" s="363">
        <v>0</v>
      </c>
      <c r="E198" s="363">
        <v>0</v>
      </c>
      <c r="F198" s="363">
        <v>0</v>
      </c>
      <c r="G198" s="363">
        <v>0</v>
      </c>
      <c r="H198" s="363">
        <v>0</v>
      </c>
    </row>
    <row r="199" spans="1:8" x14ac:dyDescent="0.3">
      <c r="A199" s="1010" t="s">
        <v>610</v>
      </c>
      <c r="B199" s="363">
        <v>0</v>
      </c>
      <c r="C199" s="363">
        <v>0</v>
      </c>
      <c r="D199" s="363">
        <v>0</v>
      </c>
      <c r="E199" s="363">
        <v>0</v>
      </c>
      <c r="F199" s="363">
        <v>0</v>
      </c>
      <c r="G199" s="363">
        <v>0</v>
      </c>
      <c r="H199" s="363">
        <v>0</v>
      </c>
    </row>
    <row r="200" spans="1:8" x14ac:dyDescent="0.3">
      <c r="A200" s="1010" t="s">
        <v>611</v>
      </c>
      <c r="B200" s="363">
        <v>0</v>
      </c>
      <c r="C200" s="363">
        <v>0</v>
      </c>
      <c r="D200" s="363">
        <v>0</v>
      </c>
      <c r="E200" s="363">
        <v>0</v>
      </c>
      <c r="F200" s="363">
        <v>0</v>
      </c>
      <c r="G200" s="363">
        <v>0</v>
      </c>
      <c r="H200" s="363">
        <v>0</v>
      </c>
    </row>
    <row r="201" spans="1:8" x14ac:dyDescent="0.3">
      <c r="A201" s="1460" t="s">
        <v>613</v>
      </c>
      <c r="B201" s="1461">
        <f t="shared" ref="B201:H201" si="87">SUM(B195:B200)</f>
        <v>41.910000000000004</v>
      </c>
      <c r="C201" s="1461">
        <f t="shared" si="87"/>
        <v>39.36</v>
      </c>
      <c r="D201" s="1461">
        <f t="shared" si="87"/>
        <v>37.07</v>
      </c>
      <c r="E201" s="1461">
        <f t="shared" si="87"/>
        <v>36.24</v>
      </c>
      <c r="F201" s="1461">
        <f t="shared" si="87"/>
        <v>36.86</v>
      </c>
      <c r="G201" s="1461">
        <f t="shared" si="87"/>
        <v>36.04368782213237</v>
      </c>
      <c r="H201" s="1461">
        <f t="shared" si="87"/>
        <v>3.5491844137590505</v>
      </c>
    </row>
    <row r="202" spans="1:8" x14ac:dyDescent="0.3">
      <c r="A202" s="1"/>
      <c r="B202" s="1"/>
      <c r="C202" s="1"/>
      <c r="D202" s="1"/>
      <c r="E202" s="1"/>
      <c r="F202" s="1"/>
      <c r="G202" s="1"/>
      <c r="H202" s="1"/>
    </row>
    <row r="203" spans="1:8" x14ac:dyDescent="0.3">
      <c r="A203" s="1"/>
      <c r="B203" s="1"/>
      <c r="C203" s="1"/>
      <c r="D203" s="1"/>
      <c r="E203" s="1"/>
      <c r="F203" s="1"/>
      <c r="G203" s="1"/>
      <c r="H203" s="1"/>
    </row>
    <row r="204" spans="1:8" x14ac:dyDescent="0.3">
      <c r="A204" s="1" t="s">
        <v>614</v>
      </c>
      <c r="B204" s="363">
        <f t="shared" ref="B204:H204" si="88">+B201</f>
        <v>41.910000000000004</v>
      </c>
      <c r="C204" s="363">
        <f t="shared" si="88"/>
        <v>39.36</v>
      </c>
      <c r="D204" s="363">
        <f t="shared" si="88"/>
        <v>37.07</v>
      </c>
      <c r="E204" s="363">
        <f t="shared" si="88"/>
        <v>36.24</v>
      </c>
      <c r="F204" s="363">
        <f t="shared" si="88"/>
        <v>36.86</v>
      </c>
      <c r="G204" s="363">
        <f t="shared" si="88"/>
        <v>36.04368782213237</v>
      </c>
      <c r="H204" s="363">
        <f t="shared" si="88"/>
        <v>3.5491844137590505</v>
      </c>
    </row>
    <row r="205" spans="1:8" x14ac:dyDescent="0.3">
      <c r="A205" s="1010" t="s">
        <v>615</v>
      </c>
      <c r="B205" s="363">
        <f t="shared" ref="B205:H205" si="89">+B190</f>
        <v>41.910000000000004</v>
      </c>
      <c r="C205" s="363">
        <f t="shared" si="89"/>
        <v>39.36</v>
      </c>
      <c r="D205" s="363">
        <f t="shared" si="89"/>
        <v>3.7070000000000003</v>
      </c>
      <c r="E205" s="363">
        <f t="shared" si="89"/>
        <v>11.038</v>
      </c>
      <c r="F205" s="363">
        <f t="shared" si="89"/>
        <v>18.348000000000003</v>
      </c>
      <c r="G205" s="363">
        <f t="shared" si="89"/>
        <v>25.638368782213242</v>
      </c>
      <c r="H205" s="363">
        <f t="shared" si="89"/>
        <v>32.791921978185528</v>
      </c>
    </row>
    <row r="206" spans="1:8" x14ac:dyDescent="0.3">
      <c r="A206" s="1460" t="s">
        <v>616</v>
      </c>
      <c r="B206" s="1461">
        <f t="shared" ref="B206:H206" si="90">+B204-B205</f>
        <v>0</v>
      </c>
      <c r="C206" s="1461">
        <f t="shared" si="90"/>
        <v>0</v>
      </c>
      <c r="D206" s="1461">
        <f t="shared" si="90"/>
        <v>33.363</v>
      </c>
      <c r="E206" s="1461">
        <f t="shared" si="90"/>
        <v>25.202000000000002</v>
      </c>
      <c r="F206" s="1461">
        <f t="shared" si="90"/>
        <v>18.511999999999997</v>
      </c>
      <c r="G206" s="1461">
        <f t="shared" si="90"/>
        <v>10.405319039919128</v>
      </c>
      <c r="H206" s="1461">
        <f t="shared" si="90"/>
        <v>-29.242737564426477</v>
      </c>
    </row>
    <row r="207" spans="1:8" x14ac:dyDescent="0.3">
      <c r="A207" s="716"/>
      <c r="B207" s="716"/>
      <c r="C207" s="716"/>
      <c r="D207" s="716"/>
      <c r="E207" s="716"/>
      <c r="F207" s="716"/>
      <c r="G207" s="716"/>
      <c r="H207" s="716"/>
    </row>
    <row r="209" spans="1:20" x14ac:dyDescent="0.3">
      <c r="A209" s="1256" t="s">
        <v>617</v>
      </c>
      <c r="B209" s="1257"/>
      <c r="C209" s="1257"/>
      <c r="D209" s="1257"/>
      <c r="E209" s="1257"/>
      <c r="F209" s="1257"/>
      <c r="G209" s="1257"/>
      <c r="H209" s="1257"/>
      <c r="I209" s="1257"/>
      <c r="J209" s="1257"/>
      <c r="K209" s="1257"/>
      <c r="L209" s="1257"/>
      <c r="M209" s="1257"/>
      <c r="N209" s="1257"/>
      <c r="O209" s="1257"/>
      <c r="P209" s="1257"/>
      <c r="Q209" s="1257"/>
      <c r="R209" s="1257"/>
      <c r="S209" s="1257"/>
      <c r="T209" s="1257"/>
    </row>
    <row r="211" spans="1:20" x14ac:dyDescent="0.3">
      <c r="A211" s="114"/>
      <c r="B211" s="692" t="s">
        <v>618</v>
      </c>
      <c r="C211" s="692" t="s">
        <v>619</v>
      </c>
      <c r="D211" s="692" t="s">
        <v>620</v>
      </c>
    </row>
    <row r="212" spans="1:20" x14ac:dyDescent="0.3">
      <c r="A212" s="177" t="s">
        <v>621</v>
      </c>
      <c r="B212" s="76">
        <f>Guidance!B54</f>
        <v>2220</v>
      </c>
      <c r="C212" s="76">
        <f>Guidance!C54</f>
        <v>2250</v>
      </c>
      <c r="D212" s="76">
        <f>AVERAGE(B212:C212)</f>
        <v>2235</v>
      </c>
    </row>
    <row r="213" spans="1:20" x14ac:dyDescent="0.3">
      <c r="A213" s="177" t="s">
        <v>622</v>
      </c>
      <c r="B213" s="104">
        <f>SUM(Drivers!ET30:EV30)</f>
        <v>1656</v>
      </c>
      <c r="C213" s="104">
        <f>B213</f>
        <v>1656</v>
      </c>
      <c r="D213" s="104">
        <f>C213</f>
        <v>1656</v>
      </c>
    </row>
    <row r="214" spans="1:20" x14ac:dyDescent="0.3">
      <c r="A214" s="177" t="s">
        <v>623</v>
      </c>
      <c r="B214" s="76">
        <f>B212-B213</f>
        <v>564</v>
      </c>
      <c r="C214" s="76">
        <f>C212-C213</f>
        <v>594</v>
      </c>
      <c r="D214" s="76">
        <f>D212-D213</f>
        <v>579</v>
      </c>
    </row>
    <row r="215" spans="1:20" x14ac:dyDescent="0.3">
      <c r="A215" s="94" t="s">
        <v>624</v>
      </c>
      <c r="B215" s="1168">
        <f>B214/Drivers!$ER$30-1</f>
        <v>2.732240437158473E-2</v>
      </c>
      <c r="C215" s="1168">
        <f>C214/Drivers!$ER$30-1</f>
        <v>8.1967213114754189E-2</v>
      </c>
      <c r="D215" s="1168">
        <f>D214/Drivers!$ER$30-1</f>
        <v>5.464480874316946E-2</v>
      </c>
    </row>
    <row r="216" spans="1:20" x14ac:dyDescent="0.3">
      <c r="A216" s="114"/>
      <c r="B216" s="114"/>
      <c r="C216" s="114"/>
      <c r="D216" s="114"/>
    </row>
    <row r="219" spans="1:20" x14ac:dyDescent="0.3">
      <c r="A219" s="177" t="s">
        <v>625</v>
      </c>
      <c r="B219" s="76">
        <f>SUM(Drivers!ET30:EV30)</f>
        <v>1656</v>
      </c>
    </row>
    <row r="220" spans="1:20" x14ac:dyDescent="0.3">
      <c r="A220" s="177" t="s">
        <v>626</v>
      </c>
      <c r="B220" s="104">
        <f>SUM(Drivers!EO30:EQ30)</f>
        <v>1578</v>
      </c>
    </row>
    <row r="221" spans="1:20" x14ac:dyDescent="0.3">
      <c r="A221" s="177" t="s">
        <v>627</v>
      </c>
      <c r="B221" s="898">
        <f>B219/B220-1</f>
        <v>4.9429657794676896E-2</v>
      </c>
    </row>
    <row r="223" spans="1:20" x14ac:dyDescent="0.3">
      <c r="B223" t="s">
        <v>628</v>
      </c>
      <c r="C223" t="s">
        <v>629</v>
      </c>
    </row>
    <row r="224" spans="1:20" x14ac:dyDescent="0.3">
      <c r="A224" s="177" t="s">
        <v>625</v>
      </c>
      <c r="B224" s="76">
        <f>SUM(Drivers!ET27:EV27)</f>
        <v>1136</v>
      </c>
      <c r="C224" s="76">
        <f>SUM(Drivers!ET28:EV28)</f>
        <v>474</v>
      </c>
    </row>
    <row r="225" spans="1:3" x14ac:dyDescent="0.3">
      <c r="A225" s="177" t="s">
        <v>626</v>
      </c>
      <c r="B225" s="104">
        <f>SUM(Drivers!EO27:EQ27)</f>
        <v>973</v>
      </c>
      <c r="C225" s="104">
        <f>SUM(Drivers!EO28:EQ28)</f>
        <v>548</v>
      </c>
    </row>
    <row r="226" spans="1:3" x14ac:dyDescent="0.3">
      <c r="A226" s="177" t="s">
        <v>627</v>
      </c>
      <c r="B226" s="898">
        <f>B224/B225-1</f>
        <v>0.16752312435765671</v>
      </c>
      <c r="C226" s="898">
        <f>C224/C225-1</f>
        <v>-0.13503649635036497</v>
      </c>
    </row>
    <row r="231" spans="1:3" x14ac:dyDescent="0.3">
      <c r="B231">
        <v>10000</v>
      </c>
    </row>
    <row r="232" spans="1:3" x14ac:dyDescent="0.3">
      <c r="B232">
        <v>3200</v>
      </c>
    </row>
    <row r="233" spans="1:3" x14ac:dyDescent="0.3">
      <c r="B233">
        <f>B231*B232/1000</f>
        <v>32000</v>
      </c>
    </row>
    <row r="235" spans="1:3" x14ac:dyDescent="0.3">
      <c r="B235">
        <v>5400</v>
      </c>
    </row>
    <row r="236" spans="1:3" x14ac:dyDescent="0.3">
      <c r="B236">
        <v>250</v>
      </c>
    </row>
    <row r="237" spans="1:3" x14ac:dyDescent="0.3">
      <c r="B237">
        <f>B235*B236/1000</f>
        <v>1350</v>
      </c>
    </row>
    <row r="239" spans="1:3" x14ac:dyDescent="0.3">
      <c r="B239">
        <f>B233+B237</f>
        <v>33350</v>
      </c>
    </row>
    <row r="240" spans="1:3" x14ac:dyDescent="0.3">
      <c r="B240" s="76">
        <f>'Model Main'!FD198</f>
        <v>14286.955249149083</v>
      </c>
    </row>
    <row r="241" spans="1:20" x14ac:dyDescent="0.3">
      <c r="B241" s="76">
        <f>B239-B240</f>
        <v>19063.044750850917</v>
      </c>
    </row>
    <row r="242" spans="1:20" x14ac:dyDescent="0.3">
      <c r="B242" s="76">
        <f>Valuation!B7</f>
        <v>260</v>
      </c>
    </row>
    <row r="243" spans="1:20" x14ac:dyDescent="0.3">
      <c r="B243">
        <f>B241/B242</f>
        <v>73.319402887888145</v>
      </c>
    </row>
    <row r="245" spans="1:20" x14ac:dyDescent="0.3">
      <c r="A245" s="1256" t="s">
        <v>630</v>
      </c>
      <c r="B245" s="1257"/>
      <c r="C245" s="1257"/>
      <c r="D245" s="1257"/>
      <c r="E245" s="1257"/>
      <c r="F245" s="1257"/>
      <c r="G245" s="1257"/>
      <c r="H245" s="1257"/>
      <c r="I245" s="1257"/>
      <c r="J245" s="1257"/>
      <c r="K245" s="1257"/>
      <c r="L245" s="1257"/>
      <c r="M245" s="1257"/>
      <c r="N245" s="1257"/>
      <c r="O245" s="1257"/>
      <c r="P245" s="1257"/>
      <c r="Q245" s="1257"/>
      <c r="R245" s="1257"/>
      <c r="S245" s="1257"/>
      <c r="T245" s="1257"/>
    </row>
    <row r="248" spans="1:20" x14ac:dyDescent="0.3">
      <c r="A248" t="s">
        <v>631</v>
      </c>
      <c r="B248" s="918">
        <v>800</v>
      </c>
    </row>
    <row r="249" spans="1:20" x14ac:dyDescent="0.3">
      <c r="A249" t="s">
        <v>632</v>
      </c>
      <c r="B249" s="1078">
        <v>2000</v>
      </c>
    </row>
    <row r="250" spans="1:20" x14ac:dyDescent="0.3">
      <c r="A250" t="s">
        <v>633</v>
      </c>
      <c r="B250" s="1078">
        <v>24216</v>
      </c>
    </row>
    <row r="251" spans="1:20" x14ac:dyDescent="0.3">
      <c r="A251" t="s">
        <v>634</v>
      </c>
      <c r="B251" s="1078">
        <v>18168</v>
      </c>
    </row>
    <row r="252" spans="1:20" x14ac:dyDescent="0.3">
      <c r="A252" t="s">
        <v>635</v>
      </c>
      <c r="B252" s="1157">
        <v>38913</v>
      </c>
    </row>
    <row r="253" spans="1:20" x14ac:dyDescent="0.3">
      <c r="A253" s="90" t="s">
        <v>266</v>
      </c>
      <c r="B253" s="916">
        <f>SUM(B248:B252)</f>
        <v>84097</v>
      </c>
    </row>
    <row r="254" spans="1:20" x14ac:dyDescent="0.3">
      <c r="A254" s="94" t="s">
        <v>636</v>
      </c>
      <c r="B254" s="1168">
        <f>B253/B256</f>
        <v>0.33772756396060361</v>
      </c>
    </row>
    <row r="256" spans="1:20" x14ac:dyDescent="0.3">
      <c r="A256" t="s">
        <v>637</v>
      </c>
      <c r="B256" s="918">
        <v>249008.399</v>
      </c>
    </row>
    <row r="262" spans="1:20" x14ac:dyDescent="0.3">
      <c r="A262" s="1256" t="s">
        <v>638</v>
      </c>
      <c r="B262" s="1257"/>
      <c r="C262" s="1257"/>
      <c r="D262" s="1257"/>
      <c r="E262" s="1257"/>
      <c r="F262" s="1257"/>
      <c r="G262" s="1257"/>
      <c r="H262" s="1257"/>
      <c r="I262" s="1257"/>
      <c r="J262" s="1257"/>
      <c r="K262" s="1257"/>
      <c r="L262" s="1257"/>
      <c r="M262" s="1257"/>
      <c r="N262" s="1257"/>
      <c r="O262" s="1257"/>
      <c r="P262" s="1257"/>
      <c r="Q262" s="1257"/>
      <c r="R262" s="1257"/>
      <c r="S262" s="1257"/>
      <c r="T262" s="1257"/>
    </row>
    <row r="264" spans="1:20" x14ac:dyDescent="0.3">
      <c r="A264" s="618" t="s">
        <v>639</v>
      </c>
      <c r="B264" s="618">
        <v>2024</v>
      </c>
      <c r="C264" s="618">
        <v>2025</v>
      </c>
      <c r="D264" s="618">
        <v>2026</v>
      </c>
      <c r="E264" s="618">
        <v>2027</v>
      </c>
      <c r="F264" s="618">
        <v>2028</v>
      </c>
      <c r="G264" s="618">
        <v>2029</v>
      </c>
      <c r="H264" s="618">
        <v>2030</v>
      </c>
      <c r="I264" s="618">
        <v>2031</v>
      </c>
      <c r="J264" s="618">
        <v>2032</v>
      </c>
      <c r="K264" s="618">
        <v>2033</v>
      </c>
    </row>
    <row r="265" spans="1:20" x14ac:dyDescent="0.3">
      <c r="A265" s="144" t="s">
        <v>284</v>
      </c>
      <c r="B265" s="918">
        <v>5876</v>
      </c>
      <c r="C265" s="918">
        <v>5967</v>
      </c>
      <c r="D265" s="918">
        <v>6218</v>
      </c>
      <c r="E265" s="918">
        <v>6600</v>
      </c>
      <c r="F265" s="918">
        <v>7113</v>
      </c>
      <c r="G265" s="918">
        <v>7608</v>
      </c>
      <c r="H265" s="918">
        <v>8042</v>
      </c>
      <c r="I265" s="918">
        <v>8441</v>
      </c>
      <c r="J265" s="918">
        <v>8798</v>
      </c>
      <c r="K265" s="918">
        <v>9145</v>
      </c>
      <c r="L265" s="898">
        <f>(K265/B265)^(1/($K$264-$B$264))-1</f>
        <v>5.0375680892391861E-2</v>
      </c>
    </row>
    <row r="266" spans="1:20" x14ac:dyDescent="0.3">
      <c r="A266" s="144" t="s">
        <v>44</v>
      </c>
      <c r="B266" s="1758">
        <v>2250</v>
      </c>
      <c r="C266" s="1758">
        <v>2378</v>
      </c>
      <c r="D266" s="1758">
        <v>2565</v>
      </c>
      <c r="E266" s="1758">
        <v>2902</v>
      </c>
      <c r="F266" s="1758">
        <v>3413</v>
      </c>
      <c r="G266" s="1758">
        <v>3925</v>
      </c>
      <c r="H266" s="1758">
        <v>4378</v>
      </c>
      <c r="I266" s="1758">
        <v>4779</v>
      </c>
      <c r="J266" s="1758">
        <v>5136</v>
      </c>
      <c r="K266" s="1758">
        <v>5486</v>
      </c>
      <c r="L266" s="898">
        <f>(K266/B266)^(1/($K$264-$B$264))-1</f>
        <v>0.104099320994963</v>
      </c>
    </row>
    <row r="267" spans="1:20" x14ac:dyDescent="0.3">
      <c r="A267" s="144" t="s">
        <v>198</v>
      </c>
      <c r="B267" s="1758">
        <v>3190</v>
      </c>
      <c r="C267" s="1758">
        <v>3185</v>
      </c>
      <c r="D267" s="1758">
        <v>3877</v>
      </c>
      <c r="E267" s="1758">
        <v>4385</v>
      </c>
      <c r="F267" s="1758">
        <v>3512</v>
      </c>
      <c r="G267" s="1758">
        <v>2157</v>
      </c>
      <c r="H267" s="1758">
        <v>1899</v>
      </c>
      <c r="I267" s="1758">
        <v>1809</v>
      </c>
      <c r="J267" s="1758">
        <v>1678</v>
      </c>
      <c r="K267" s="1758">
        <v>1627</v>
      </c>
    </row>
    <row r="268" spans="1:20" x14ac:dyDescent="0.3">
      <c r="A268" s="144" t="s">
        <v>640</v>
      </c>
      <c r="B268" s="877">
        <f>B266-B267</f>
        <v>-940</v>
      </c>
      <c r="C268" s="877">
        <f t="shared" ref="C268:K268" si="91">C266-C267</f>
        <v>-807</v>
      </c>
      <c r="D268" s="877">
        <f t="shared" si="91"/>
        <v>-1312</v>
      </c>
      <c r="E268" s="877">
        <f t="shared" si="91"/>
        <v>-1483</v>
      </c>
      <c r="F268" s="877">
        <f t="shared" si="91"/>
        <v>-99</v>
      </c>
      <c r="G268" s="877">
        <f t="shared" si="91"/>
        <v>1768</v>
      </c>
      <c r="H268" s="877">
        <f t="shared" si="91"/>
        <v>2479</v>
      </c>
      <c r="I268" s="877">
        <f t="shared" si="91"/>
        <v>2970</v>
      </c>
      <c r="J268" s="877">
        <f t="shared" si="91"/>
        <v>3458</v>
      </c>
      <c r="K268" s="877">
        <f t="shared" si="91"/>
        <v>3859</v>
      </c>
    </row>
    <row r="269" spans="1:20" x14ac:dyDescent="0.3">
      <c r="A269" s="494"/>
      <c r="B269" s="494"/>
      <c r="C269" s="494"/>
      <c r="D269" s="494"/>
      <c r="E269" s="494"/>
      <c r="F269" s="494"/>
      <c r="G269" s="494"/>
      <c r="H269" s="494"/>
      <c r="I269" s="494"/>
      <c r="J269" s="494"/>
      <c r="K269" s="494"/>
    </row>
    <row r="270" spans="1:20" x14ac:dyDescent="0.3">
      <c r="A270" s="618" t="s">
        <v>641</v>
      </c>
      <c r="B270" s="618">
        <v>2024</v>
      </c>
      <c r="C270" s="618">
        <v>2025</v>
      </c>
      <c r="D270" s="618">
        <v>2026</v>
      </c>
      <c r="E270" s="618">
        <v>2027</v>
      </c>
      <c r="F270" s="618">
        <v>2028</v>
      </c>
      <c r="G270" s="618">
        <v>2029</v>
      </c>
      <c r="H270" s="618">
        <v>2030</v>
      </c>
      <c r="I270" s="618">
        <v>2031</v>
      </c>
      <c r="J270" s="618">
        <v>2032</v>
      </c>
      <c r="K270" s="618">
        <v>2033</v>
      </c>
    </row>
    <row r="271" spans="1:20" x14ac:dyDescent="0.3">
      <c r="A271" s="144" t="s">
        <v>284</v>
      </c>
      <c r="B271" s="918">
        <v>5876</v>
      </c>
      <c r="C271" s="918">
        <v>5967</v>
      </c>
      <c r="D271" s="918">
        <v>6185</v>
      </c>
      <c r="E271" s="918">
        <v>6390</v>
      </c>
      <c r="F271" s="918">
        <v>6576</v>
      </c>
      <c r="G271" s="918">
        <v>6774</v>
      </c>
      <c r="H271" s="918">
        <v>6971</v>
      </c>
      <c r="I271" s="918">
        <v>7173</v>
      </c>
      <c r="J271" s="918">
        <v>7369</v>
      </c>
      <c r="K271" s="918">
        <v>7585</v>
      </c>
      <c r="L271" s="898">
        <f>(K271/B271)^(1/($K$264-$B$264))-1</f>
        <v>2.8772415267200202E-2</v>
      </c>
    </row>
    <row r="272" spans="1:20" x14ac:dyDescent="0.3">
      <c r="A272" s="144" t="s">
        <v>44</v>
      </c>
      <c r="B272" s="1758">
        <v>2250</v>
      </c>
      <c r="C272" s="1758">
        <v>2393</v>
      </c>
      <c r="D272" s="1758">
        <v>2637</v>
      </c>
      <c r="E272" s="1758">
        <v>2988</v>
      </c>
      <c r="F272" s="1758">
        <v>3283</v>
      </c>
      <c r="G272" s="1758">
        <v>3514</v>
      </c>
      <c r="H272" s="1758">
        <v>3735</v>
      </c>
      <c r="I272" s="1758">
        <v>3955</v>
      </c>
      <c r="J272" s="1758">
        <v>4158</v>
      </c>
      <c r="K272" s="1758">
        <v>4382</v>
      </c>
      <c r="L272" s="898">
        <f>(K272/B272)^(1/($K$264-$B$264))-1</f>
        <v>7.6875606670437024E-2</v>
      </c>
    </row>
    <row r="273" spans="1:22" x14ac:dyDescent="0.3">
      <c r="A273" s="144" t="s">
        <v>198</v>
      </c>
      <c r="B273" s="1758">
        <v>3190</v>
      </c>
      <c r="C273" s="1758">
        <v>3185</v>
      </c>
      <c r="D273" s="1758">
        <v>3080</v>
      </c>
      <c r="E273" s="1758">
        <v>1937</v>
      </c>
      <c r="F273" s="1758">
        <v>1612</v>
      </c>
      <c r="G273" s="1758">
        <v>1538</v>
      </c>
      <c r="H273" s="1758">
        <v>1520</v>
      </c>
      <c r="I273" s="1758">
        <v>1511</v>
      </c>
      <c r="J273" s="1758">
        <v>1510</v>
      </c>
      <c r="K273" s="1758">
        <v>1498</v>
      </c>
      <c r="M273" s="76">
        <f>Drivers!EX580</f>
        <v>3246</v>
      </c>
      <c r="N273" s="76">
        <f>Drivers!EY580</f>
        <v>789.95223566501863</v>
      </c>
      <c r="O273" s="76">
        <f>Drivers!EZ580</f>
        <v>796.10965887968393</v>
      </c>
      <c r="P273" s="76">
        <f>Drivers!FA580</f>
        <v>815.43044927241476</v>
      </c>
      <c r="Q273" s="76">
        <f>Drivers!FB580</f>
        <v>792.95560833388913</v>
      </c>
      <c r="R273" s="76">
        <f>Drivers!FC580</f>
        <v>3194.4479521510066</v>
      </c>
      <c r="S273" s="76">
        <f>Drivers!FD580</f>
        <v>3082.4684202674325</v>
      </c>
      <c r="T273" s="76">
        <f>Drivers!FE580</f>
        <v>1951.0215850968652</v>
      </c>
      <c r="U273" s="76"/>
      <c r="V273" s="76"/>
    </row>
    <row r="274" spans="1:22" x14ac:dyDescent="0.3">
      <c r="A274" s="144" t="s">
        <v>642</v>
      </c>
      <c r="B274" s="1758">
        <v>-812</v>
      </c>
      <c r="C274" s="1758">
        <v>-661</v>
      </c>
      <c r="D274" s="1758">
        <v>-536</v>
      </c>
      <c r="E274" s="1758">
        <v>945</v>
      </c>
      <c r="F274" s="1758">
        <v>1539</v>
      </c>
      <c r="G274" s="1758">
        <v>1844</v>
      </c>
      <c r="H274" s="1758">
        <v>2051</v>
      </c>
      <c r="I274" s="1758">
        <v>2279</v>
      </c>
      <c r="J274" s="1758">
        <v>2483</v>
      </c>
      <c r="K274" s="1758">
        <v>2717</v>
      </c>
      <c r="M274" s="887">
        <f>B273-M273</f>
        <v>-56</v>
      </c>
      <c r="N274" s="887">
        <f t="shared" ref="N274:T274" si="92">C273-N273</f>
        <v>2395.0477643349814</v>
      </c>
      <c r="O274" s="887">
        <f t="shared" si="92"/>
        <v>2283.890341120316</v>
      </c>
      <c r="P274" s="887">
        <f t="shared" si="92"/>
        <v>1121.5695507275852</v>
      </c>
      <c r="Q274" s="887">
        <f t="shared" si="92"/>
        <v>819.04439166611087</v>
      </c>
      <c r="R274" s="887">
        <f t="shared" si="92"/>
        <v>-1656.4479521510066</v>
      </c>
      <c r="S274" s="887">
        <f t="shared" si="92"/>
        <v>-1562.4684202674325</v>
      </c>
      <c r="T274" s="887">
        <f t="shared" si="92"/>
        <v>-440.02158509686524</v>
      </c>
    </row>
    <row r="275" spans="1:22" x14ac:dyDescent="0.3">
      <c r="A275" s="494"/>
      <c r="B275" s="494"/>
      <c r="C275" s="494"/>
      <c r="D275" s="494"/>
      <c r="E275" s="494"/>
      <c r="F275" s="494"/>
      <c r="G275" s="494"/>
      <c r="H275" s="494"/>
      <c r="I275" s="494"/>
      <c r="J275" s="494"/>
      <c r="K275" s="494"/>
    </row>
    <row r="276" spans="1:22" x14ac:dyDescent="0.3">
      <c r="A276" s="618" t="s">
        <v>643</v>
      </c>
      <c r="B276" s="618">
        <v>2024</v>
      </c>
      <c r="C276" s="618">
        <v>2025</v>
      </c>
      <c r="D276" s="618">
        <v>2026</v>
      </c>
      <c r="E276" s="618">
        <v>2027</v>
      </c>
      <c r="F276" s="618">
        <v>2028</v>
      </c>
      <c r="G276" s="618">
        <v>2029</v>
      </c>
      <c r="H276" s="618">
        <v>2030</v>
      </c>
      <c r="I276" s="618">
        <v>2031</v>
      </c>
      <c r="J276" s="618">
        <v>2032</v>
      </c>
      <c r="K276" s="618">
        <v>2033</v>
      </c>
      <c r="N276">
        <f>400*3500/1000</f>
        <v>1400</v>
      </c>
    </row>
    <row r="277" spans="1:22" x14ac:dyDescent="0.3">
      <c r="A277" t="s">
        <v>284</v>
      </c>
      <c r="B277" s="919">
        <f>B265-B271</f>
        <v>0</v>
      </c>
      <c r="C277" s="919">
        <f t="shared" ref="C277:K277" si="93">C265-C271</f>
        <v>0</v>
      </c>
      <c r="D277" s="919">
        <f t="shared" si="93"/>
        <v>33</v>
      </c>
      <c r="E277" s="919">
        <f t="shared" si="93"/>
        <v>210</v>
      </c>
      <c r="F277" s="919">
        <f t="shared" si="93"/>
        <v>537</v>
      </c>
      <c r="G277" s="919">
        <f t="shared" si="93"/>
        <v>834</v>
      </c>
      <c r="H277" s="919">
        <f t="shared" si="93"/>
        <v>1071</v>
      </c>
      <c r="I277" s="919">
        <f t="shared" si="93"/>
        <v>1268</v>
      </c>
      <c r="J277" s="919">
        <f t="shared" si="93"/>
        <v>1429</v>
      </c>
      <c r="K277" s="919">
        <f t="shared" si="93"/>
        <v>1560</v>
      </c>
    </row>
    <row r="278" spans="1:22" x14ac:dyDescent="0.3">
      <c r="A278" t="s">
        <v>44</v>
      </c>
      <c r="B278" s="919">
        <f t="shared" ref="B278:K278" si="94">B266-B272</f>
        <v>0</v>
      </c>
      <c r="C278" s="919">
        <f t="shared" si="94"/>
        <v>-15</v>
      </c>
      <c r="D278" s="919">
        <f t="shared" si="94"/>
        <v>-72</v>
      </c>
      <c r="E278" s="919">
        <f t="shared" si="94"/>
        <v>-86</v>
      </c>
      <c r="F278" s="919">
        <f t="shared" si="94"/>
        <v>130</v>
      </c>
      <c r="G278" s="919">
        <f t="shared" si="94"/>
        <v>411</v>
      </c>
      <c r="H278" s="919">
        <f t="shared" si="94"/>
        <v>643</v>
      </c>
      <c r="I278" s="919">
        <f t="shared" si="94"/>
        <v>824</v>
      </c>
      <c r="J278" s="919">
        <f t="shared" si="94"/>
        <v>978</v>
      </c>
      <c r="K278" s="919">
        <f t="shared" si="94"/>
        <v>1104</v>
      </c>
    </row>
    <row r="279" spans="1:22" x14ac:dyDescent="0.3">
      <c r="A279" t="s">
        <v>198</v>
      </c>
      <c r="B279" s="919">
        <f t="shared" ref="B279:K279" si="95">B267-B273</f>
        <v>0</v>
      </c>
      <c r="C279" s="919">
        <f t="shared" si="95"/>
        <v>0</v>
      </c>
      <c r="D279" s="919">
        <f t="shared" si="95"/>
        <v>797</v>
      </c>
      <c r="E279" s="919">
        <f t="shared" si="95"/>
        <v>2448</v>
      </c>
      <c r="F279" s="919">
        <f t="shared" si="95"/>
        <v>1900</v>
      </c>
      <c r="G279" s="919">
        <f t="shared" si="95"/>
        <v>619</v>
      </c>
      <c r="H279" s="919">
        <f t="shared" si="95"/>
        <v>379</v>
      </c>
      <c r="I279" s="919">
        <f t="shared" si="95"/>
        <v>298</v>
      </c>
      <c r="J279" s="919">
        <f t="shared" si="95"/>
        <v>168</v>
      </c>
      <c r="K279" s="919">
        <f t="shared" si="95"/>
        <v>129</v>
      </c>
    </row>
    <row r="280" spans="1:22" x14ac:dyDescent="0.3">
      <c r="A280" t="s">
        <v>642</v>
      </c>
      <c r="B280" s="887">
        <f>B278-B279</f>
        <v>0</v>
      </c>
      <c r="C280" s="887">
        <f t="shared" ref="C280:K280" si="96">C278-C279</f>
        <v>-15</v>
      </c>
      <c r="D280" s="887">
        <f t="shared" si="96"/>
        <v>-869</v>
      </c>
      <c r="E280" s="887">
        <f t="shared" si="96"/>
        <v>-2534</v>
      </c>
      <c r="F280" s="887">
        <f t="shared" si="96"/>
        <v>-1770</v>
      </c>
      <c r="G280" s="887">
        <f t="shared" si="96"/>
        <v>-208</v>
      </c>
      <c r="H280" s="887">
        <f t="shared" si="96"/>
        <v>264</v>
      </c>
      <c r="I280" s="887">
        <f t="shared" si="96"/>
        <v>526</v>
      </c>
      <c r="J280" s="887">
        <f t="shared" si="96"/>
        <v>810</v>
      </c>
      <c r="K280" s="887">
        <f t="shared" si="96"/>
        <v>975</v>
      </c>
    </row>
    <row r="281" spans="1:22" x14ac:dyDescent="0.3">
      <c r="A281" t="s">
        <v>644</v>
      </c>
      <c r="B281" s="890">
        <f>IF(B278&gt;0,B278/B277,0)</f>
        <v>0</v>
      </c>
      <c r="C281" s="890">
        <f t="shared" ref="C281:K281" si="97">IF(C278&gt;0,C278/C277,0)</f>
        <v>0</v>
      </c>
      <c r="D281" s="890">
        <f t="shared" si="97"/>
        <v>0</v>
      </c>
      <c r="E281" s="890">
        <f t="shared" si="97"/>
        <v>0</v>
      </c>
      <c r="F281" s="890">
        <f t="shared" si="97"/>
        <v>0.24208566108007448</v>
      </c>
      <c r="G281" s="890">
        <f t="shared" si="97"/>
        <v>0.49280575539568344</v>
      </c>
      <c r="H281" s="890">
        <f t="shared" si="97"/>
        <v>0.60037348272642388</v>
      </c>
      <c r="I281" s="890">
        <f t="shared" si="97"/>
        <v>0.64984227129337535</v>
      </c>
      <c r="J281" s="890">
        <f t="shared" si="97"/>
        <v>0.6843946815955213</v>
      </c>
      <c r="K281" s="890">
        <f t="shared" si="97"/>
        <v>0.70769230769230773</v>
      </c>
    </row>
    <row r="284" spans="1:22" x14ac:dyDescent="0.3">
      <c r="A284" t="s">
        <v>645</v>
      </c>
      <c r="B284" s="1759">
        <f>Drivers!EX186</f>
        <v>65.484330723001278</v>
      </c>
      <c r="C284" s="1759">
        <f>Drivers!FC186</f>
        <v>67.776246846721165</v>
      </c>
      <c r="D284" s="1759">
        <f>Drivers!FD186</f>
        <v>70.148378793984961</v>
      </c>
      <c r="E284" s="1759">
        <f>Drivers!FE186</f>
        <v>72.603534075189856</v>
      </c>
      <c r="F284" s="1759">
        <f>Drivers!FF186</f>
        <v>75.14461846207702</v>
      </c>
      <c r="G284" s="1759">
        <f>Drivers!FG186</f>
        <v>77.774639426825459</v>
      </c>
      <c r="H284" s="1759">
        <f>Drivers!FH186</f>
        <v>80.496709701512259</v>
      </c>
      <c r="I284" s="1759">
        <f>Drivers!FI186</f>
        <v>83.314050962152066</v>
      </c>
      <c r="J284" s="816">
        <f>I284/H284*I284</f>
        <v>86.229997641675908</v>
      </c>
      <c r="K284" s="816">
        <f>J284/I284*J284</f>
        <v>89.248000876362198</v>
      </c>
    </row>
    <row r="285" spans="1:22" x14ac:dyDescent="0.3">
      <c r="A285" t="s">
        <v>646</v>
      </c>
      <c r="B285" s="1759">
        <f>Drivers!EX188</f>
        <v>137.51996525364837</v>
      </c>
      <c r="C285" s="1759">
        <f>Drivers!FC188</f>
        <v>144.81234045841492</v>
      </c>
      <c r="D285" s="1759">
        <f>Drivers!FD188</f>
        <v>152.49141395843634</v>
      </c>
      <c r="E285" s="1759">
        <f>Drivers!FE188</f>
        <v>160.5776914966776</v>
      </c>
      <c r="F285" s="1759">
        <f>Drivers!FF188</f>
        <v>169.09276618964449</v>
      </c>
      <c r="G285" s="1759">
        <f>Drivers!FG188</f>
        <v>178.05937618836276</v>
      </c>
      <c r="H285" s="1759">
        <f>Drivers!FH188</f>
        <v>187.50146539698966</v>
      </c>
      <c r="I285" s="1759">
        <f>Drivers!FI188</f>
        <v>197.44424741119707</v>
      </c>
      <c r="J285" s="816">
        <f t="shared" ref="J285:K285" si="98">I285/H285*I285</f>
        <v>207.91427284706378</v>
      </c>
      <c r="K285" s="816">
        <f t="shared" si="98"/>
        <v>218.93950024026788</v>
      </c>
    </row>
    <row r="286" spans="1:22" x14ac:dyDescent="0.3">
      <c r="A286" t="s">
        <v>647</v>
      </c>
      <c r="B286" s="1759">
        <f>Drivers!EX190</f>
        <v>8.3805048665493</v>
      </c>
      <c r="C286" s="1759">
        <f>Drivers!FC190</f>
        <v>7.2016038225420322</v>
      </c>
      <c r="D286" s="1759">
        <f>Drivers!FD190</f>
        <v>6.2071459854277826</v>
      </c>
      <c r="E286" s="1759">
        <f>Drivers!FE190</f>
        <v>5.5154129120715396</v>
      </c>
      <c r="F286" s="1759">
        <f>Drivers!FF190</f>
        <v>5.0905042665640297</v>
      </c>
      <c r="G286" s="1759">
        <f>Drivers!FG190</f>
        <v>4.8424685709685189</v>
      </c>
      <c r="H286" s="1759">
        <f>Drivers!FH190</f>
        <v>4.6986320536295354</v>
      </c>
      <c r="I286" s="1759">
        <f>Drivers!FI190</f>
        <v>4.6295657767439859</v>
      </c>
      <c r="J286" s="816">
        <f t="shared" ref="J286:K286" si="99">I286/H286*I286</f>
        <v>4.561514721001183</v>
      </c>
      <c r="K286" s="816">
        <f t="shared" si="99"/>
        <v>4.4944639634312615</v>
      </c>
    </row>
    <row r="288" spans="1:22" x14ac:dyDescent="0.3">
      <c r="A288" t="s">
        <v>648</v>
      </c>
      <c r="C288" s="899">
        <v>0</v>
      </c>
      <c r="D288" s="1760">
        <v>72.802394484214929</v>
      </c>
      <c r="E288" s="1760">
        <v>380.41227711332124</v>
      </c>
      <c r="F288" s="1760">
        <v>748.86940499526145</v>
      </c>
      <c r="G288" s="1760">
        <v>955.72927161435234</v>
      </c>
      <c r="H288" s="1760">
        <v>1168.2875991620522</v>
      </c>
      <c r="I288" s="1760">
        <v>1269.061877834135</v>
      </c>
      <c r="J288" s="1760">
        <v>1392.6360725078348</v>
      </c>
      <c r="K288" s="1760">
        <v>1422.4028036711677</v>
      </c>
    </row>
    <row r="290" spans="1:11" x14ac:dyDescent="0.3">
      <c r="A290" t="s">
        <v>649</v>
      </c>
      <c r="D290" s="885">
        <f t="shared" ref="D290:K290" si="100">AVERAGE(C288:D288)*D284*12/1000</f>
        <v>30.641819672326978</v>
      </c>
      <c r="E290" s="885">
        <f t="shared" si="100"/>
        <v>197.42992111624619</v>
      </c>
      <c r="F290" s="885">
        <f t="shared" si="100"/>
        <v>509.15664682957191</v>
      </c>
      <c r="G290" s="885">
        <f t="shared" si="100"/>
        <v>795.44728464453942</v>
      </c>
      <c r="H290" s="885">
        <f t="shared" si="100"/>
        <v>1025.8582166880162</v>
      </c>
      <c r="I290" s="885">
        <f t="shared" si="100"/>
        <v>1218.3927512342102</v>
      </c>
      <c r="J290" s="885">
        <f t="shared" si="100"/>
        <v>1377.1092478850501</v>
      </c>
      <c r="K290" s="885">
        <f t="shared" si="100"/>
        <v>1507.4195525293039</v>
      </c>
    </row>
    <row r="291" spans="1:11" x14ac:dyDescent="0.3">
      <c r="A291" t="s">
        <v>650</v>
      </c>
      <c r="D291" s="901">
        <f t="shared" ref="D291:K291" si="101">AVERAGE(C288:D288)*D286*12/1000</f>
        <v>2.7113705439133464</v>
      </c>
      <c r="E291" s="901">
        <f t="shared" si="101"/>
        <v>14.997996310015878</v>
      </c>
      <c r="F291" s="901">
        <f t="shared" si="101"/>
        <v>34.49167932555806</v>
      </c>
      <c r="G291" s="901">
        <f t="shared" si="101"/>
        <v>49.526793105579515</v>
      </c>
      <c r="H291" s="901">
        <f t="shared" si="101"/>
        <v>59.879842508879506</v>
      </c>
      <c r="I291" s="901">
        <f t="shared" si="101"/>
        <v>67.703218347998416</v>
      </c>
      <c r="J291" s="901">
        <f t="shared" si="101"/>
        <v>72.848246300061419</v>
      </c>
      <c r="K291" s="901">
        <f t="shared" si="101"/>
        <v>75.912544707867383</v>
      </c>
    </row>
    <row r="292" spans="1:11" x14ac:dyDescent="0.3">
      <c r="A292" t="s">
        <v>651</v>
      </c>
      <c r="D292" s="887">
        <f t="shared" ref="D292:K292" si="102">D277</f>
        <v>33</v>
      </c>
      <c r="E292" s="887">
        <f t="shared" si="102"/>
        <v>210</v>
      </c>
      <c r="F292" s="887">
        <f t="shared" si="102"/>
        <v>537</v>
      </c>
      <c r="G292" s="887">
        <f t="shared" si="102"/>
        <v>834</v>
      </c>
      <c r="H292" s="887">
        <f t="shared" si="102"/>
        <v>1071</v>
      </c>
      <c r="I292" s="887">
        <f t="shared" si="102"/>
        <v>1268</v>
      </c>
      <c r="J292" s="887">
        <f t="shared" si="102"/>
        <v>1429</v>
      </c>
      <c r="K292" s="887">
        <f t="shared" si="102"/>
        <v>1560</v>
      </c>
    </row>
    <row r="293" spans="1:11" x14ac:dyDescent="0.3">
      <c r="A293" t="s">
        <v>652</v>
      </c>
      <c r="D293" s="887">
        <f t="shared" ref="D293:K293" si="103">D292-SUM(D290:D291)</f>
        <v>-0.35319021624032132</v>
      </c>
      <c r="E293" s="887">
        <f t="shared" si="103"/>
        <v>-2.42791742626207</v>
      </c>
      <c r="F293" s="887">
        <f t="shared" si="103"/>
        <v>-6.6483261551300075</v>
      </c>
      <c r="G293" s="887">
        <f t="shared" si="103"/>
        <v>-10.974077750118909</v>
      </c>
      <c r="H293" s="887">
        <f t="shared" si="103"/>
        <v>-14.738059196895847</v>
      </c>
      <c r="I293" s="887">
        <f t="shared" si="103"/>
        <v>-18.095969582208681</v>
      </c>
      <c r="J293" s="887">
        <f t="shared" si="103"/>
        <v>-20.9574941851115</v>
      </c>
      <c r="K293" s="887">
        <f t="shared" si="103"/>
        <v>-23.332097237171411</v>
      </c>
    </row>
    <row r="295" spans="1:11" x14ac:dyDescent="0.3">
      <c r="A295" t="s">
        <v>653</v>
      </c>
      <c r="B295" s="98">
        <v>700</v>
      </c>
    </row>
    <row r="297" spans="1:11" x14ac:dyDescent="0.3">
      <c r="A297" t="s">
        <v>654</v>
      </c>
      <c r="D297" s="885">
        <f t="shared" ref="D297:K297" si="104">D288-C288</f>
        <v>72.802394484214929</v>
      </c>
      <c r="E297" s="885">
        <f t="shared" si="104"/>
        <v>307.60988262910632</v>
      </c>
      <c r="F297" s="885">
        <f t="shared" si="104"/>
        <v>368.45712788194021</v>
      </c>
      <c r="G297" s="885">
        <f t="shared" si="104"/>
        <v>206.85986661909089</v>
      </c>
      <c r="H297" s="885">
        <f t="shared" si="104"/>
        <v>212.55832754769983</v>
      </c>
      <c r="I297" s="885">
        <f t="shared" si="104"/>
        <v>100.7742786720828</v>
      </c>
      <c r="J297" s="885">
        <f t="shared" si="104"/>
        <v>123.57419467369982</v>
      </c>
      <c r="K297" s="885">
        <f t="shared" si="104"/>
        <v>29.766731163332906</v>
      </c>
    </row>
    <row r="298" spans="1:11" x14ac:dyDescent="0.3">
      <c r="A298" t="s">
        <v>655</v>
      </c>
      <c r="D298" s="885">
        <f>D297*$B$295/1000</f>
        <v>50.961676138950452</v>
      </c>
      <c r="E298" s="885">
        <f t="shared" ref="E298:K298" si="105">E297*$B$295/1000</f>
        <v>215.32691784037442</v>
      </c>
      <c r="F298" s="885">
        <f t="shared" si="105"/>
        <v>257.91998951735815</v>
      </c>
      <c r="G298" s="885">
        <f t="shared" si="105"/>
        <v>144.80190663336364</v>
      </c>
      <c r="H298" s="885">
        <f t="shared" si="105"/>
        <v>148.79082928338988</v>
      </c>
      <c r="I298" s="885">
        <f t="shared" si="105"/>
        <v>70.541995070457958</v>
      </c>
      <c r="J298" s="885">
        <f t="shared" si="105"/>
        <v>86.501936271589869</v>
      </c>
      <c r="K298" s="885">
        <f t="shared" si="105"/>
        <v>20.836711814333032</v>
      </c>
    </row>
    <row r="300" spans="1:11" x14ac:dyDescent="0.3">
      <c r="A300" t="s">
        <v>656</v>
      </c>
      <c r="D300" s="887">
        <f t="shared" ref="D300:K300" si="106">D279-D298</f>
        <v>746.03832386104955</v>
      </c>
      <c r="E300" s="887">
        <f t="shared" si="106"/>
        <v>2232.6730821596257</v>
      </c>
      <c r="F300" s="887">
        <f t="shared" si="106"/>
        <v>1642.0800104826419</v>
      </c>
      <c r="G300" s="887">
        <f t="shared" si="106"/>
        <v>474.19809336663639</v>
      </c>
      <c r="H300" s="887">
        <f t="shared" si="106"/>
        <v>230.20917071661012</v>
      </c>
      <c r="I300" s="887">
        <f t="shared" si="106"/>
        <v>227.45800492954203</v>
      </c>
      <c r="J300" s="887">
        <f t="shared" si="106"/>
        <v>81.498063728410131</v>
      </c>
      <c r="K300" s="887">
        <f t="shared" si="106"/>
        <v>108.16328818566697</v>
      </c>
    </row>
    <row r="302" spans="1:11" x14ac:dyDescent="0.3">
      <c r="A302" t="s">
        <v>657</v>
      </c>
      <c r="B302" s="918">
        <v>1026</v>
      </c>
    </row>
    <row r="303" spans="1:11" x14ac:dyDescent="0.3">
      <c r="A303" t="s">
        <v>658</v>
      </c>
      <c r="B303" s="918">
        <v>3484</v>
      </c>
    </row>
    <row r="304" spans="1:11" x14ac:dyDescent="0.3">
      <c r="A304" t="s">
        <v>659</v>
      </c>
      <c r="B304" s="885">
        <f>B302*B303/1000</f>
        <v>3574.5839999999998</v>
      </c>
    </row>
    <row r="305" spans="1:11" x14ac:dyDescent="0.3">
      <c r="A305" t="s">
        <v>660</v>
      </c>
      <c r="B305" s="887">
        <f>SUM(D300:K300)-B304</f>
        <v>2167.7340374301821</v>
      </c>
    </row>
    <row r="306" spans="1:11" x14ac:dyDescent="0.3">
      <c r="A306" t="s">
        <v>661</v>
      </c>
      <c r="B306" s="918">
        <v>1100</v>
      </c>
    </row>
    <row r="307" spans="1:11" x14ac:dyDescent="0.3">
      <c r="A307" t="s">
        <v>662</v>
      </c>
      <c r="B307" s="918">
        <v>1500</v>
      </c>
    </row>
    <row r="308" spans="1:11" x14ac:dyDescent="0.3">
      <c r="A308" t="s">
        <v>663</v>
      </c>
      <c r="B308" s="887">
        <f>B306*B307/1000</f>
        <v>1650</v>
      </c>
    </row>
    <row r="309" spans="1:11" x14ac:dyDescent="0.3">
      <c r="A309" t="s">
        <v>664</v>
      </c>
      <c r="B309" s="887">
        <f>SUM(D300:K300)-B304-B308</f>
        <v>517.73403743018207</v>
      </c>
    </row>
    <row r="310" spans="1:11" x14ac:dyDescent="0.3">
      <c r="A310" t="s">
        <v>665</v>
      </c>
      <c r="B310" s="918">
        <f>B306*1.2</f>
        <v>1320</v>
      </c>
    </row>
    <row r="311" spans="1:11" x14ac:dyDescent="0.3">
      <c r="A311" t="s">
        <v>666</v>
      </c>
      <c r="B311" s="1761">
        <f>B309/B310*1000</f>
        <v>392.22275562892582</v>
      </c>
    </row>
    <row r="316" spans="1:11" x14ac:dyDescent="0.3">
      <c r="A316" t="s">
        <v>667</v>
      </c>
      <c r="D316" s="918">
        <v>150</v>
      </c>
      <c r="E316" s="918">
        <v>500</v>
      </c>
      <c r="F316" s="918">
        <v>350</v>
      </c>
      <c r="G316" s="885">
        <f>B302-SUM(D316:F316)</f>
        <v>26</v>
      </c>
      <c r="H316" s="918">
        <v>0</v>
      </c>
      <c r="I316" s="918">
        <v>0</v>
      </c>
      <c r="J316" s="918">
        <v>0</v>
      </c>
      <c r="K316" s="918">
        <v>0</v>
      </c>
    </row>
    <row r="317" spans="1:11" x14ac:dyDescent="0.3">
      <c r="A317" t="s">
        <v>666</v>
      </c>
      <c r="D317" s="918">
        <v>0</v>
      </c>
      <c r="E317" s="918">
        <v>150</v>
      </c>
      <c r="F317" s="918">
        <v>100</v>
      </c>
      <c r="G317" s="918">
        <v>100</v>
      </c>
      <c r="H317" s="885">
        <f>B311-SUM(D317:G317)</f>
        <v>42.222755628925825</v>
      </c>
      <c r="I317" s="918">
        <v>0</v>
      </c>
      <c r="J317" s="918">
        <v>0</v>
      </c>
      <c r="K317" s="918">
        <v>0</v>
      </c>
    </row>
    <row r="318" spans="1:11" x14ac:dyDescent="0.3">
      <c r="A318" t="s">
        <v>662</v>
      </c>
      <c r="D318" s="901">
        <f>D324/$B$306*1000</f>
        <v>203.12574896459049</v>
      </c>
      <c r="E318" s="901">
        <f>E324/$B$306*1000</f>
        <v>266.06643832693243</v>
      </c>
      <c r="F318" s="901">
        <f t="shared" ref="F318:K318" si="107">F324/$B$306*1000</f>
        <v>264.25455498421985</v>
      </c>
      <c r="G318" s="901">
        <f t="shared" si="107"/>
        <v>228.74008487876034</v>
      </c>
      <c r="H318" s="901">
        <f t="shared" si="107"/>
        <v>158.6137575331164</v>
      </c>
      <c r="I318" s="901">
        <f t="shared" si="107"/>
        <v>206.78000448140185</v>
      </c>
      <c r="J318" s="901">
        <f t="shared" si="107"/>
        <v>74.089148844009202</v>
      </c>
      <c r="K318" s="901">
        <f t="shared" si="107"/>
        <v>98.330261986969987</v>
      </c>
    </row>
    <row r="319" spans="1:11" x14ac:dyDescent="0.3">
      <c r="A319" s="90" t="s">
        <v>668</v>
      </c>
      <c r="B319" s="90"/>
      <c r="C319" s="90"/>
      <c r="D319" s="900">
        <f>SUM(D316:D318)</f>
        <v>353.12574896459046</v>
      </c>
      <c r="E319" s="900">
        <f t="shared" ref="E319:K319" si="108">SUM(E316:E318)</f>
        <v>916.06643832693248</v>
      </c>
      <c r="F319" s="900">
        <f t="shared" si="108"/>
        <v>714.25455498421979</v>
      </c>
      <c r="G319" s="900">
        <f t="shared" si="108"/>
        <v>354.74008487876034</v>
      </c>
      <c r="H319" s="900">
        <f t="shared" si="108"/>
        <v>200.83651316204222</v>
      </c>
      <c r="I319" s="900">
        <f t="shared" si="108"/>
        <v>206.78000448140185</v>
      </c>
      <c r="J319" s="900">
        <f t="shared" si="108"/>
        <v>74.089148844009202</v>
      </c>
      <c r="K319" s="900">
        <f t="shared" si="108"/>
        <v>98.330261986969987</v>
      </c>
    </row>
    <row r="321" spans="1:11" x14ac:dyDescent="0.3">
      <c r="A321" s="90" t="s">
        <v>198</v>
      </c>
    </row>
    <row r="322" spans="1:11" x14ac:dyDescent="0.3">
      <c r="A322" t="s">
        <v>667</v>
      </c>
      <c r="D322" s="885">
        <f>D316*$B$303/1000</f>
        <v>522.6</v>
      </c>
      <c r="E322" s="885">
        <f t="shared" ref="E322:K322" si="109">E316*$B$303/1000</f>
        <v>1742</v>
      </c>
      <c r="F322" s="885">
        <f t="shared" si="109"/>
        <v>1219.4000000000001</v>
      </c>
      <c r="G322" s="885">
        <f t="shared" si="109"/>
        <v>90.584000000000003</v>
      </c>
      <c r="H322" s="885">
        <f t="shared" si="109"/>
        <v>0</v>
      </c>
      <c r="I322" s="885">
        <f t="shared" si="109"/>
        <v>0</v>
      </c>
      <c r="J322" s="885">
        <f t="shared" si="109"/>
        <v>0</v>
      </c>
      <c r="K322" s="885">
        <f t="shared" si="109"/>
        <v>0</v>
      </c>
    </row>
    <row r="323" spans="1:11" x14ac:dyDescent="0.3">
      <c r="A323" t="s">
        <v>666</v>
      </c>
      <c r="D323" s="885">
        <f t="shared" ref="D323:K323" si="110">D317*$B$310/1000</f>
        <v>0</v>
      </c>
      <c r="E323" s="885">
        <f t="shared" si="110"/>
        <v>198</v>
      </c>
      <c r="F323" s="885">
        <f t="shared" si="110"/>
        <v>132</v>
      </c>
      <c r="G323" s="885">
        <f t="shared" si="110"/>
        <v>132</v>
      </c>
      <c r="H323" s="885">
        <f t="shared" si="110"/>
        <v>55.734037430182084</v>
      </c>
      <c r="I323" s="885">
        <f t="shared" si="110"/>
        <v>0</v>
      </c>
      <c r="J323" s="885">
        <f t="shared" si="110"/>
        <v>0</v>
      </c>
      <c r="K323" s="885">
        <f t="shared" si="110"/>
        <v>0</v>
      </c>
    </row>
    <row r="324" spans="1:11" x14ac:dyDescent="0.3">
      <c r="A324" t="s">
        <v>662</v>
      </c>
      <c r="D324" s="901">
        <f>D325-D322-D323</f>
        <v>223.43832386104953</v>
      </c>
      <c r="E324" s="901">
        <f t="shared" ref="E324:G324" si="111">E325-E322-E323</f>
        <v>292.67308215962566</v>
      </c>
      <c r="F324" s="901">
        <f t="shared" si="111"/>
        <v>290.68001048264182</v>
      </c>
      <c r="G324" s="901">
        <f t="shared" si="111"/>
        <v>251.61409336663638</v>
      </c>
      <c r="H324" s="901">
        <f t="shared" ref="H324" si="112">H325-H322-H323</f>
        <v>174.47513328642805</v>
      </c>
      <c r="I324" s="901">
        <f t="shared" ref="I324" si="113">I325-I322-I323</f>
        <v>227.45800492954203</v>
      </c>
      <c r="J324" s="901">
        <f t="shared" ref="J324" si="114">J325-J322-J323</f>
        <v>81.498063728410131</v>
      </c>
      <c r="K324" s="901">
        <f t="shared" ref="K324" si="115">K325-K322-K323</f>
        <v>108.16328818566697</v>
      </c>
    </row>
    <row r="325" spans="1:11" x14ac:dyDescent="0.3">
      <c r="A325" s="90" t="s">
        <v>669</v>
      </c>
      <c r="B325" s="90"/>
      <c r="C325" s="90"/>
      <c r="D325" s="916">
        <f t="shared" ref="D325:K325" si="116">D300</f>
        <v>746.03832386104955</v>
      </c>
      <c r="E325" s="916">
        <f t="shared" si="116"/>
        <v>2232.6730821596257</v>
      </c>
      <c r="F325" s="916">
        <f t="shared" si="116"/>
        <v>1642.0800104826419</v>
      </c>
      <c r="G325" s="916">
        <f t="shared" si="116"/>
        <v>474.19809336663639</v>
      </c>
      <c r="H325" s="916">
        <f t="shared" si="116"/>
        <v>230.20917071661012</v>
      </c>
      <c r="I325" s="916">
        <f t="shared" si="116"/>
        <v>227.45800492954203</v>
      </c>
      <c r="J325" s="916">
        <f t="shared" si="116"/>
        <v>81.498063728410131</v>
      </c>
      <c r="K325" s="916">
        <f t="shared" si="116"/>
        <v>108.16328818566697</v>
      </c>
    </row>
    <row r="326" spans="1:11" x14ac:dyDescent="0.3">
      <c r="A326" t="s">
        <v>652</v>
      </c>
      <c r="D326" s="887">
        <f>D325-SUM(D322:D324)</f>
        <v>0</v>
      </c>
      <c r="E326" s="887">
        <f t="shared" ref="E326:K326" si="117">E325-SUM(E322:E324)</f>
        <v>0</v>
      </c>
      <c r="F326" s="887">
        <f t="shared" si="117"/>
        <v>0</v>
      </c>
      <c r="G326" s="887">
        <f t="shared" si="117"/>
        <v>0</v>
      </c>
      <c r="H326" s="887">
        <f t="shared" si="117"/>
        <v>0</v>
      </c>
      <c r="I326" s="887">
        <f t="shared" si="117"/>
        <v>0</v>
      </c>
      <c r="J326" s="887">
        <f t="shared" si="117"/>
        <v>0</v>
      </c>
      <c r="K326" s="887">
        <f t="shared" si="117"/>
        <v>0</v>
      </c>
    </row>
    <row r="328" spans="1:11" x14ac:dyDescent="0.3">
      <c r="A328" s="177" t="s">
        <v>670</v>
      </c>
      <c r="D328" s="885">
        <f>D288</f>
        <v>72.802394484214929</v>
      </c>
      <c r="E328" s="885">
        <f t="shared" ref="E328:K328" si="118">E288</f>
        <v>380.41227711332124</v>
      </c>
      <c r="F328" s="885">
        <f t="shared" si="118"/>
        <v>748.86940499526145</v>
      </c>
      <c r="G328" s="885">
        <f t="shared" si="118"/>
        <v>955.72927161435234</v>
      </c>
      <c r="H328" s="885">
        <f t="shared" si="118"/>
        <v>1168.2875991620522</v>
      </c>
      <c r="I328" s="885">
        <f t="shared" si="118"/>
        <v>1269.061877834135</v>
      </c>
      <c r="J328" s="885">
        <f t="shared" si="118"/>
        <v>1392.6360725078348</v>
      </c>
      <c r="K328" s="885">
        <f t="shared" si="118"/>
        <v>1422.4028036711677</v>
      </c>
    </row>
    <row r="329" spans="1:11" x14ac:dyDescent="0.3">
      <c r="A329" s="177" t="s">
        <v>671</v>
      </c>
      <c r="D329" s="901">
        <f>D319</f>
        <v>353.12574896459046</v>
      </c>
      <c r="E329" s="901">
        <f>D329+E319</f>
        <v>1269.1921872915229</v>
      </c>
      <c r="F329" s="901">
        <f t="shared" ref="F329:K329" si="119">E329+F319</f>
        <v>1983.4467422757427</v>
      </c>
      <c r="G329" s="901">
        <f t="shared" si="119"/>
        <v>2338.1868271545031</v>
      </c>
      <c r="H329" s="901">
        <f t="shared" si="119"/>
        <v>2539.0233403165453</v>
      </c>
      <c r="I329" s="901">
        <f t="shared" si="119"/>
        <v>2745.8033447979469</v>
      </c>
      <c r="J329" s="901">
        <f t="shared" si="119"/>
        <v>2819.8924936419562</v>
      </c>
      <c r="K329" s="901">
        <f t="shared" si="119"/>
        <v>2918.2227556289263</v>
      </c>
    </row>
    <row r="330" spans="1:11" x14ac:dyDescent="0.3">
      <c r="A330" s="177" t="s">
        <v>672</v>
      </c>
      <c r="D330" s="890">
        <f>D328/D329</f>
        <v>0.20616563560624168</v>
      </c>
      <c r="E330" s="890">
        <f t="shared" ref="E330:K330" si="120">E328/E329</f>
        <v>0.29972787488168146</v>
      </c>
      <c r="F330" s="890">
        <f t="shared" si="120"/>
        <v>0.37755962337361926</v>
      </c>
      <c r="G330" s="890">
        <f t="shared" si="120"/>
        <v>0.40874803523610798</v>
      </c>
      <c r="H330" s="890">
        <f t="shared" si="120"/>
        <v>0.46013267409207798</v>
      </c>
      <c r="I330" s="890">
        <f t="shared" si="120"/>
        <v>0.46218236285509379</v>
      </c>
      <c r="J330" s="890">
        <f t="shared" si="120"/>
        <v>0.49386140629397302</v>
      </c>
      <c r="K330" s="890">
        <f t="shared" si="120"/>
        <v>0.48742091429707046</v>
      </c>
    </row>
    <row r="332" spans="1:11" x14ac:dyDescent="0.3">
      <c r="G332" s="885">
        <f t="shared" ref="G332" si="121">G292</f>
        <v>834</v>
      </c>
      <c r="K332" s="816"/>
    </row>
    <row r="333" spans="1:11" x14ac:dyDescent="0.3">
      <c r="A333" s="618"/>
      <c r="B333" s="618">
        <v>2024</v>
      </c>
      <c r="C333" s="618">
        <v>2025</v>
      </c>
      <c r="D333" s="618">
        <v>2026</v>
      </c>
      <c r="E333" s="618">
        <v>2027</v>
      </c>
      <c r="F333" s="618">
        <v>2028</v>
      </c>
      <c r="G333" s="618">
        <v>2029</v>
      </c>
      <c r="H333" s="618">
        <v>2030</v>
      </c>
      <c r="I333" s="618">
        <v>2031</v>
      </c>
      <c r="J333" s="618">
        <v>2032</v>
      </c>
      <c r="K333" s="618">
        <v>2033</v>
      </c>
    </row>
    <row r="334" spans="1:11" x14ac:dyDescent="0.3">
      <c r="A334" s="90" t="s">
        <v>284</v>
      </c>
    </row>
    <row r="335" spans="1:11" x14ac:dyDescent="0.3">
      <c r="A335" t="s">
        <v>641</v>
      </c>
      <c r="B335" s="887">
        <f>B271</f>
        <v>5876</v>
      </c>
      <c r="C335" s="887">
        <f t="shared" ref="C335:K335" si="122">C271</f>
        <v>5967</v>
      </c>
      <c r="D335" s="887">
        <f t="shared" si="122"/>
        <v>6185</v>
      </c>
      <c r="E335" s="887">
        <f t="shared" si="122"/>
        <v>6390</v>
      </c>
      <c r="F335" s="887">
        <f t="shared" si="122"/>
        <v>6576</v>
      </c>
      <c r="G335" s="887">
        <f t="shared" si="122"/>
        <v>6774</v>
      </c>
      <c r="H335" s="887">
        <f t="shared" si="122"/>
        <v>6971</v>
      </c>
      <c r="I335" s="887">
        <f t="shared" si="122"/>
        <v>7173</v>
      </c>
      <c r="J335" s="887">
        <f t="shared" si="122"/>
        <v>7369</v>
      </c>
      <c r="K335" s="887">
        <f t="shared" si="122"/>
        <v>7585</v>
      </c>
    </row>
    <row r="336" spans="1:11" x14ac:dyDescent="0.3">
      <c r="A336" t="s">
        <v>639</v>
      </c>
      <c r="B336" s="887">
        <f>B265</f>
        <v>5876</v>
      </c>
      <c r="C336" s="887">
        <f t="shared" ref="C336:K336" si="123">C265</f>
        <v>5967</v>
      </c>
      <c r="D336" s="887">
        <f t="shared" si="123"/>
        <v>6218</v>
      </c>
      <c r="E336" s="887">
        <f t="shared" si="123"/>
        <v>6600</v>
      </c>
      <c r="F336" s="887">
        <f t="shared" si="123"/>
        <v>7113</v>
      </c>
      <c r="G336" s="887">
        <f t="shared" si="123"/>
        <v>7608</v>
      </c>
      <c r="H336" s="887">
        <f t="shared" si="123"/>
        <v>8042</v>
      </c>
      <c r="I336" s="887">
        <f t="shared" si="123"/>
        <v>8441</v>
      </c>
      <c r="J336" s="887">
        <f t="shared" si="123"/>
        <v>8798</v>
      </c>
      <c r="K336" s="887">
        <f t="shared" si="123"/>
        <v>9145</v>
      </c>
    </row>
    <row r="338" spans="1:11" x14ac:dyDescent="0.3">
      <c r="A338" s="90" t="s">
        <v>44</v>
      </c>
    </row>
    <row r="339" spans="1:11" x14ac:dyDescent="0.3">
      <c r="A339" t="s">
        <v>641</v>
      </c>
      <c r="B339" s="887">
        <f>B272</f>
        <v>2250</v>
      </c>
      <c r="C339" s="887">
        <f t="shared" ref="C339:K339" si="124">C272</f>
        <v>2393</v>
      </c>
      <c r="D339" s="887">
        <f t="shared" si="124"/>
        <v>2637</v>
      </c>
      <c r="E339" s="887">
        <f t="shared" si="124"/>
        <v>2988</v>
      </c>
      <c r="F339" s="887">
        <f t="shared" si="124"/>
        <v>3283</v>
      </c>
      <c r="G339" s="887">
        <f t="shared" si="124"/>
        <v>3514</v>
      </c>
      <c r="H339" s="887">
        <f t="shared" si="124"/>
        <v>3735</v>
      </c>
      <c r="I339" s="887">
        <f t="shared" si="124"/>
        <v>3955</v>
      </c>
      <c r="J339" s="887">
        <f t="shared" si="124"/>
        <v>4158</v>
      </c>
      <c r="K339" s="887">
        <f t="shared" si="124"/>
        <v>4382</v>
      </c>
    </row>
    <row r="340" spans="1:11" x14ac:dyDescent="0.3">
      <c r="A340" t="s">
        <v>639</v>
      </c>
      <c r="B340" s="887">
        <f>B266</f>
        <v>2250</v>
      </c>
      <c r="C340" s="887">
        <f t="shared" ref="C340:K340" si="125">C266</f>
        <v>2378</v>
      </c>
      <c r="D340" s="887">
        <f t="shared" si="125"/>
        <v>2565</v>
      </c>
      <c r="E340" s="887">
        <f t="shared" si="125"/>
        <v>2902</v>
      </c>
      <c r="F340" s="887">
        <f t="shared" si="125"/>
        <v>3413</v>
      </c>
      <c r="G340" s="887">
        <f t="shared" si="125"/>
        <v>3925</v>
      </c>
      <c r="H340" s="887">
        <f t="shared" si="125"/>
        <v>4378</v>
      </c>
      <c r="I340" s="887">
        <f t="shared" si="125"/>
        <v>4779</v>
      </c>
      <c r="J340" s="887">
        <f t="shared" si="125"/>
        <v>5136</v>
      </c>
      <c r="K340" s="887">
        <f t="shared" si="125"/>
        <v>5486</v>
      </c>
    </row>
    <row r="342" spans="1:11" x14ac:dyDescent="0.3">
      <c r="A342" s="90" t="s">
        <v>673</v>
      </c>
    </row>
    <row r="343" spans="1:11" x14ac:dyDescent="0.3">
      <c r="A343" t="s">
        <v>641</v>
      </c>
      <c r="B343" s="890">
        <f>B339/B335</f>
        <v>0.38291354663036081</v>
      </c>
      <c r="C343" s="890">
        <f t="shared" ref="C343:K343" si="126">C339/C335</f>
        <v>0.40103904809787161</v>
      </c>
      <c r="D343" s="890">
        <f t="shared" si="126"/>
        <v>0.42635408245755863</v>
      </c>
      <c r="E343" s="890">
        <f t="shared" si="126"/>
        <v>0.46760563380281689</v>
      </c>
      <c r="F343" s="890">
        <f t="shared" si="126"/>
        <v>0.49923965936739662</v>
      </c>
      <c r="G343" s="890">
        <f t="shared" si="126"/>
        <v>0.51874815470918212</v>
      </c>
      <c r="H343" s="890">
        <f t="shared" si="126"/>
        <v>0.53579113470090378</v>
      </c>
      <c r="I343" s="890">
        <f t="shared" si="126"/>
        <v>0.5513732050745852</v>
      </c>
      <c r="J343" s="890">
        <f t="shared" si="126"/>
        <v>0.56425566562627227</v>
      </c>
      <c r="K343" s="890">
        <f t="shared" si="126"/>
        <v>0.57771918259723143</v>
      </c>
    </row>
    <row r="344" spans="1:11" x14ac:dyDescent="0.3">
      <c r="A344" t="s">
        <v>639</v>
      </c>
      <c r="B344" s="890">
        <f>B340/B336</f>
        <v>0.38291354663036081</v>
      </c>
      <c r="C344" s="890">
        <f t="shared" ref="C344:K344" si="127">C340/C336</f>
        <v>0.39852522205463381</v>
      </c>
      <c r="D344" s="890">
        <f t="shared" si="127"/>
        <v>0.41251206175619171</v>
      </c>
      <c r="E344" s="890">
        <f t="shared" si="127"/>
        <v>0.4396969696969697</v>
      </c>
      <c r="F344" s="890">
        <f t="shared" si="127"/>
        <v>0.47982567130605935</v>
      </c>
      <c r="G344" s="890">
        <f t="shared" si="127"/>
        <v>0.51590431125131442</v>
      </c>
      <c r="H344" s="890">
        <f t="shared" si="127"/>
        <v>0.54439194230290977</v>
      </c>
      <c r="I344" s="890">
        <f t="shared" si="127"/>
        <v>0.56616514630967896</v>
      </c>
      <c r="J344" s="890">
        <f t="shared" si="127"/>
        <v>0.58376903841782224</v>
      </c>
      <c r="K344" s="890">
        <f t="shared" si="127"/>
        <v>0.5998906506287589</v>
      </c>
    </row>
    <row r="347" spans="1:11" x14ac:dyDescent="0.3">
      <c r="A347" s="90" t="s">
        <v>198</v>
      </c>
    </row>
    <row r="348" spans="1:11" x14ac:dyDescent="0.3">
      <c r="A348" t="s">
        <v>641</v>
      </c>
      <c r="B348" s="887">
        <f t="shared" ref="B348:K348" si="128">B273</f>
        <v>3190</v>
      </c>
      <c r="C348" s="887">
        <f t="shared" si="128"/>
        <v>3185</v>
      </c>
      <c r="D348" s="887">
        <f t="shared" si="128"/>
        <v>3080</v>
      </c>
      <c r="E348" s="887">
        <f t="shared" si="128"/>
        <v>1937</v>
      </c>
      <c r="F348" s="887">
        <f t="shared" si="128"/>
        <v>1612</v>
      </c>
      <c r="G348" s="887">
        <f t="shared" si="128"/>
        <v>1538</v>
      </c>
      <c r="H348" s="887">
        <f t="shared" si="128"/>
        <v>1520</v>
      </c>
      <c r="I348" s="887">
        <f t="shared" si="128"/>
        <v>1511</v>
      </c>
      <c r="J348" s="887">
        <f t="shared" si="128"/>
        <v>1510</v>
      </c>
      <c r="K348" s="887">
        <f t="shared" si="128"/>
        <v>1498</v>
      </c>
    </row>
    <row r="349" spans="1:11" x14ac:dyDescent="0.3">
      <c r="A349" t="s">
        <v>639</v>
      </c>
      <c r="B349" s="887">
        <f t="shared" ref="B349:K349" si="129">B267</f>
        <v>3190</v>
      </c>
      <c r="C349" s="887">
        <f t="shared" si="129"/>
        <v>3185</v>
      </c>
      <c r="D349" s="887">
        <f t="shared" si="129"/>
        <v>3877</v>
      </c>
      <c r="E349" s="887">
        <f t="shared" si="129"/>
        <v>4385</v>
      </c>
      <c r="F349" s="887">
        <f t="shared" si="129"/>
        <v>3512</v>
      </c>
      <c r="G349" s="887">
        <f t="shared" si="129"/>
        <v>2157</v>
      </c>
      <c r="H349" s="887">
        <f t="shared" si="129"/>
        <v>1899</v>
      </c>
      <c r="I349" s="887">
        <f t="shared" si="129"/>
        <v>1809</v>
      </c>
      <c r="J349" s="887">
        <f t="shared" si="129"/>
        <v>1678</v>
      </c>
      <c r="K349" s="887">
        <f t="shared" si="129"/>
        <v>1627</v>
      </c>
    </row>
    <row r="351" spans="1:11" x14ac:dyDescent="0.3">
      <c r="A351" s="90" t="s">
        <v>642</v>
      </c>
    </row>
    <row r="352" spans="1:11" x14ac:dyDescent="0.3">
      <c r="A352" t="s">
        <v>641</v>
      </c>
      <c r="B352" s="887">
        <f>B274</f>
        <v>-812</v>
      </c>
      <c r="C352" s="887">
        <f t="shared" ref="C352:K352" si="130">C274</f>
        <v>-661</v>
      </c>
      <c r="D352" s="887">
        <f t="shared" si="130"/>
        <v>-536</v>
      </c>
      <c r="E352" s="887">
        <f t="shared" si="130"/>
        <v>945</v>
      </c>
      <c r="F352" s="887">
        <f t="shared" si="130"/>
        <v>1539</v>
      </c>
      <c r="G352" s="887">
        <f t="shared" si="130"/>
        <v>1844</v>
      </c>
      <c r="H352" s="887">
        <f t="shared" si="130"/>
        <v>2051</v>
      </c>
      <c r="I352" s="887">
        <f t="shared" si="130"/>
        <v>2279</v>
      </c>
      <c r="J352" s="887">
        <f t="shared" si="130"/>
        <v>2483</v>
      </c>
      <c r="K352" s="887">
        <f t="shared" si="130"/>
        <v>2717</v>
      </c>
    </row>
    <row r="353" spans="1:11" x14ac:dyDescent="0.3">
      <c r="A353" t="s">
        <v>639</v>
      </c>
      <c r="B353" s="887">
        <f>B268</f>
        <v>-940</v>
      </c>
      <c r="C353" s="887">
        <f t="shared" ref="C353:K353" si="131">C268</f>
        <v>-807</v>
      </c>
      <c r="D353" s="887">
        <f t="shared" si="131"/>
        <v>-1312</v>
      </c>
      <c r="E353" s="887">
        <f t="shared" si="131"/>
        <v>-1483</v>
      </c>
      <c r="F353" s="887">
        <f t="shared" si="131"/>
        <v>-99</v>
      </c>
      <c r="G353" s="887">
        <f t="shared" si="131"/>
        <v>1768</v>
      </c>
      <c r="H353" s="887">
        <f t="shared" si="131"/>
        <v>2479</v>
      </c>
      <c r="I353" s="887">
        <f t="shared" si="131"/>
        <v>2970</v>
      </c>
      <c r="J353" s="887">
        <f t="shared" si="131"/>
        <v>3458</v>
      </c>
      <c r="K353" s="887">
        <f t="shared" si="131"/>
        <v>3859</v>
      </c>
    </row>
    <row r="360" spans="1:11" x14ac:dyDescent="0.3">
      <c r="A360" s="618" t="s">
        <v>641</v>
      </c>
      <c r="B360" s="618">
        <v>2024</v>
      </c>
      <c r="C360" s="618">
        <v>2025</v>
      </c>
      <c r="D360" s="618">
        <v>2026</v>
      </c>
      <c r="E360" s="618">
        <v>2027</v>
      </c>
      <c r="F360" s="618">
        <v>2028</v>
      </c>
      <c r="G360" s="618">
        <v>2029</v>
      </c>
      <c r="H360" s="618">
        <v>2030</v>
      </c>
      <c r="I360" s="618">
        <v>2031</v>
      </c>
      <c r="J360" s="618">
        <v>2032</v>
      </c>
      <c r="K360" s="618">
        <v>2033</v>
      </c>
    </row>
    <row r="361" spans="1:11" x14ac:dyDescent="0.3">
      <c r="A361" t="s">
        <v>198</v>
      </c>
      <c r="B361" s="887">
        <f>B273</f>
        <v>3190</v>
      </c>
      <c r="C361" s="887">
        <f t="shared" ref="C361:K361" si="132">C273</f>
        <v>3185</v>
      </c>
      <c r="D361" s="887">
        <f t="shared" si="132"/>
        <v>3080</v>
      </c>
      <c r="E361" s="887">
        <f t="shared" si="132"/>
        <v>1937</v>
      </c>
      <c r="F361" s="887">
        <f t="shared" si="132"/>
        <v>1612</v>
      </c>
      <c r="G361" s="887">
        <f t="shared" si="132"/>
        <v>1538</v>
      </c>
      <c r="H361" s="887">
        <f t="shared" si="132"/>
        <v>1520</v>
      </c>
      <c r="I361" s="887">
        <f t="shared" si="132"/>
        <v>1511</v>
      </c>
      <c r="J361" s="887">
        <f t="shared" si="132"/>
        <v>1510</v>
      </c>
      <c r="K361" s="887">
        <f t="shared" si="132"/>
        <v>1498</v>
      </c>
    </row>
    <row r="362" spans="1:11" x14ac:dyDescent="0.3">
      <c r="A362" t="s">
        <v>674</v>
      </c>
      <c r="B362" s="79">
        <f>Drivers!EX565</f>
        <v>1246.2413851388214</v>
      </c>
      <c r="C362" s="76">
        <f>B362</f>
        <v>1246.2413851388214</v>
      </c>
      <c r="D362" s="76">
        <f>C362</f>
        <v>1246.2413851388214</v>
      </c>
      <c r="E362" s="885">
        <f>D362*0.975</f>
        <v>1215.085350510351</v>
      </c>
      <c r="F362" s="885">
        <f>E362*0.8</f>
        <v>972.06828040828077</v>
      </c>
      <c r="G362" s="885">
        <f>F362*0.95</f>
        <v>923.46486638786666</v>
      </c>
      <c r="H362" s="885">
        <f>G362</f>
        <v>923.46486638786666</v>
      </c>
      <c r="I362" s="885">
        <f>H362</f>
        <v>923.46486638786666</v>
      </c>
      <c r="J362" s="885">
        <f t="shared" ref="J362" si="133">I362</f>
        <v>923.46486638786666</v>
      </c>
      <c r="K362" s="885">
        <f>J362*0.99</f>
        <v>914.23021772398795</v>
      </c>
    </row>
    <row r="363" spans="1:11" x14ac:dyDescent="0.3">
      <c r="A363" t="s">
        <v>675</v>
      </c>
      <c r="B363" s="887">
        <f>B361-B362</f>
        <v>1943.7586148611786</v>
      </c>
      <c r="C363" s="887">
        <f>C361-C362</f>
        <v>1938.7586148611786</v>
      </c>
      <c r="D363" s="887">
        <f>D361-D362</f>
        <v>1833.7586148611786</v>
      </c>
      <c r="E363" s="887">
        <f t="shared" ref="E363:I363" si="134">E361-E362</f>
        <v>721.91464948964904</v>
      </c>
      <c r="F363" s="887">
        <f t="shared" si="134"/>
        <v>639.93171959171923</v>
      </c>
      <c r="G363" s="887">
        <f t="shared" si="134"/>
        <v>614.53513361213334</v>
      </c>
      <c r="H363" s="887">
        <f t="shared" si="134"/>
        <v>596.53513361213334</v>
      </c>
      <c r="I363" s="887">
        <f t="shared" si="134"/>
        <v>587.53513361213334</v>
      </c>
      <c r="J363" s="887">
        <f t="shared" ref="J363" si="135">J361-J362</f>
        <v>586.53513361213334</v>
      </c>
      <c r="K363" s="887">
        <f t="shared" ref="K363" si="136">K361-K362</f>
        <v>583.76978227601205</v>
      </c>
    </row>
    <row r="364" spans="1:11" x14ac:dyDescent="0.3">
      <c r="A364" t="s">
        <v>656</v>
      </c>
      <c r="B364" s="1161">
        <f>Drivers!EX547</f>
        <v>1017</v>
      </c>
      <c r="C364" s="1161">
        <f>Drivers!FC547</f>
        <v>1397.4999999999998</v>
      </c>
      <c r="D364" s="887">
        <f>D363-D365</f>
        <v>1389.372982845005</v>
      </c>
      <c r="E364" s="887">
        <f t="shared" ref="E364:I364" si="137">E363-E365</f>
        <v>-22.566260826475173</v>
      </c>
      <c r="F364" s="887">
        <f t="shared" si="137"/>
        <v>283.35084584307106</v>
      </c>
      <c r="G364" s="887">
        <f t="shared" si="137"/>
        <v>-73.786640399350404</v>
      </c>
      <c r="H364" s="887">
        <f t="shared" si="137"/>
        <v>278.05093609304942</v>
      </c>
      <c r="I364" s="887">
        <f t="shared" si="137"/>
        <v>-67.624603407916425</v>
      </c>
      <c r="J364" s="887">
        <f t="shared" ref="J364" si="138">J363-J365</f>
        <v>-68.735600880240213</v>
      </c>
      <c r="K364" s="887">
        <f t="shared" ref="K364" si="139">K363-K365</f>
        <v>-71.611968493929567</v>
      </c>
    </row>
    <row r="365" spans="1:11" x14ac:dyDescent="0.3">
      <c r="A365" t="s">
        <v>655</v>
      </c>
      <c r="B365" s="887">
        <f>B363-B364</f>
        <v>926.75861486117856</v>
      </c>
      <c r="C365" s="887">
        <f>C363-C364</f>
        <v>541.25861486117878</v>
      </c>
      <c r="D365" s="885">
        <f>D373*D389/1000</f>
        <v>444.38563201617353</v>
      </c>
      <c r="E365" s="885">
        <f t="shared" ref="E365:K365" si="140">E373*E389/1000</f>
        <v>744.48091031612421</v>
      </c>
      <c r="F365" s="885">
        <f t="shared" si="140"/>
        <v>356.58087374864817</v>
      </c>
      <c r="G365" s="885">
        <f t="shared" si="140"/>
        <v>688.32177401148374</v>
      </c>
      <c r="H365" s="885">
        <f t="shared" si="140"/>
        <v>318.48419751908392</v>
      </c>
      <c r="I365" s="885">
        <f t="shared" si="140"/>
        <v>655.15973702004976</v>
      </c>
      <c r="J365" s="885">
        <f t="shared" si="140"/>
        <v>655.27073449237355</v>
      </c>
      <c r="K365" s="885">
        <f t="shared" si="140"/>
        <v>655.38175076994162</v>
      </c>
    </row>
    <row r="368" spans="1:11" x14ac:dyDescent="0.3">
      <c r="A368" t="s">
        <v>656</v>
      </c>
      <c r="B368" s="887">
        <f>B364</f>
        <v>1017</v>
      </c>
      <c r="C368" s="887">
        <f>C364</f>
        <v>1397.4999999999998</v>
      </c>
      <c r="D368" s="885">
        <f t="shared" ref="D368:I368" si="141">D364</f>
        <v>1389.372982845005</v>
      </c>
      <c r="E368" s="885">
        <f t="shared" si="141"/>
        <v>-22.566260826475173</v>
      </c>
      <c r="F368" s="885">
        <f t="shared" si="141"/>
        <v>283.35084584307106</v>
      </c>
      <c r="G368" s="885">
        <f t="shared" si="141"/>
        <v>-73.786640399350404</v>
      </c>
      <c r="H368" s="885">
        <f t="shared" si="141"/>
        <v>278.05093609304942</v>
      </c>
      <c r="I368" s="885">
        <f t="shared" si="141"/>
        <v>-67.624603407916425</v>
      </c>
      <c r="J368" s="885">
        <f t="shared" ref="J368:K368" si="142">J364</f>
        <v>-68.735600880240213</v>
      </c>
      <c r="K368" s="885">
        <f t="shared" si="142"/>
        <v>-71.611968493929567</v>
      </c>
    </row>
    <row r="369" spans="1:11" x14ac:dyDescent="0.3">
      <c r="A369" s="177" t="s">
        <v>676</v>
      </c>
      <c r="B369" s="901">
        <f>B368/B370*1000</f>
        <v>782.30769230769226</v>
      </c>
      <c r="C369" s="901">
        <f>C368/C370*1000</f>
        <v>1074.9999999999998</v>
      </c>
      <c r="D369" s="901">
        <f>C369</f>
        <v>1074.9999999999998</v>
      </c>
      <c r="E369" s="901">
        <f t="shared" ref="E369:I369" si="143">D369</f>
        <v>1074.9999999999998</v>
      </c>
      <c r="F369" s="901">
        <f t="shared" si="143"/>
        <v>1074.9999999999998</v>
      </c>
      <c r="G369" s="901">
        <f t="shared" si="143"/>
        <v>1074.9999999999998</v>
      </c>
      <c r="H369" s="901">
        <f t="shared" si="143"/>
        <v>1074.9999999999998</v>
      </c>
      <c r="I369" s="901">
        <f t="shared" si="143"/>
        <v>1074.9999999999998</v>
      </c>
      <c r="J369" s="901">
        <f t="shared" ref="J369:K369" si="144">I369</f>
        <v>1074.9999999999998</v>
      </c>
      <c r="K369" s="901">
        <f t="shared" si="144"/>
        <v>1074.9999999999998</v>
      </c>
    </row>
    <row r="370" spans="1:11" x14ac:dyDescent="0.3">
      <c r="A370" s="177" t="s">
        <v>677</v>
      </c>
      <c r="B370" s="918">
        <v>1300</v>
      </c>
      <c r="C370" s="918">
        <v>1300</v>
      </c>
      <c r="D370" s="885">
        <f>D368/D369*1000</f>
        <v>1292.4399840418655</v>
      </c>
      <c r="E370" s="885">
        <f t="shared" ref="E370:I370" si="145">E368/E369*1000</f>
        <v>-20.991870536255981</v>
      </c>
      <c r="F370" s="885">
        <f t="shared" si="145"/>
        <v>263.58218217960103</v>
      </c>
      <c r="G370" s="885">
        <f t="shared" si="145"/>
        <v>-68.638735255209696</v>
      </c>
      <c r="H370" s="885">
        <f t="shared" si="145"/>
        <v>258.6520335749297</v>
      </c>
      <c r="I370" s="885">
        <f t="shared" si="145"/>
        <v>-62.906607821317614</v>
      </c>
      <c r="J370" s="885">
        <f t="shared" ref="J370" si="146">J368/J369*1000</f>
        <v>-63.940093842083932</v>
      </c>
      <c r="K370" s="885">
        <f t="shared" ref="K370" si="147">K368/K369*1000</f>
        <v>-66.615784645515888</v>
      </c>
    </row>
    <row r="373" spans="1:11" x14ac:dyDescent="0.3">
      <c r="A373" t="s">
        <v>678</v>
      </c>
      <c r="B373" s="885">
        <f>B365/B389*1000</f>
        <v>1803.6370294746891</v>
      </c>
      <c r="C373" s="885">
        <f>C365/C389*1000</f>
        <v>482.62783889783356</v>
      </c>
      <c r="D373" s="1161">
        <f>Drivers!FD562</f>
        <v>651.89965685510492</v>
      </c>
      <c r="E373" s="1161">
        <f>Drivers!FE562</f>
        <v>641.1660422026016</v>
      </c>
      <c r="F373" s="1161">
        <f>Drivers!FF562</f>
        <v>622.00762352526806</v>
      </c>
      <c r="G373" s="1161">
        <f>Drivers!FG562</f>
        <v>608.61295172895541</v>
      </c>
      <c r="H373" s="1161">
        <f>Drivers!FH562</f>
        <v>599.23454460987773</v>
      </c>
      <c r="I373" s="1161">
        <f>Drivers!FI562</f>
        <v>593.40204674224663</v>
      </c>
      <c r="J373" s="885">
        <f>I373/H373*I373*1.01</f>
        <v>593.5025811974923</v>
      </c>
      <c r="K373" s="885">
        <f>J373/I373*J373</f>
        <v>593.60313268533287</v>
      </c>
    </row>
    <row r="376" spans="1:11" x14ac:dyDescent="0.3">
      <c r="C376" s="887"/>
      <c r="D376" s="887"/>
      <c r="E376" s="887"/>
      <c r="F376" s="887"/>
      <c r="G376" s="887"/>
      <c r="H376" s="887"/>
      <c r="I376" s="887"/>
    </row>
    <row r="377" spans="1:11" x14ac:dyDescent="0.3">
      <c r="A377" s="177" t="s">
        <v>679</v>
      </c>
      <c r="B377" s="885">
        <f>B271</f>
        <v>5876</v>
      </c>
      <c r="C377" s="885">
        <f t="shared" ref="C377:K377" si="148">C271</f>
        <v>5967</v>
      </c>
      <c r="D377" s="885">
        <f t="shared" si="148"/>
        <v>6185</v>
      </c>
      <c r="E377" s="885">
        <f t="shared" si="148"/>
        <v>6390</v>
      </c>
      <c r="F377" s="885">
        <f t="shared" si="148"/>
        <v>6576</v>
      </c>
      <c r="G377" s="885">
        <f t="shared" si="148"/>
        <v>6774</v>
      </c>
      <c r="H377" s="885">
        <f t="shared" si="148"/>
        <v>6971</v>
      </c>
      <c r="I377" s="885">
        <f t="shared" si="148"/>
        <v>7173</v>
      </c>
      <c r="J377" s="885">
        <f t="shared" si="148"/>
        <v>7369</v>
      </c>
      <c r="K377" s="885">
        <f t="shared" si="148"/>
        <v>7585</v>
      </c>
    </row>
    <row r="378" spans="1:11" x14ac:dyDescent="0.3">
      <c r="A378" s="177" t="s">
        <v>680</v>
      </c>
      <c r="B378" s="1161">
        <f>Drivers!EX46</f>
        <v>2710</v>
      </c>
      <c r="C378" s="885">
        <f>B378*0.975</f>
        <v>2642.25</v>
      </c>
      <c r="D378" s="885">
        <f>C378*0.995</f>
        <v>2629.0387500000002</v>
      </c>
      <c r="E378" s="885">
        <f>D378*0.975</f>
        <v>2563.3127812500002</v>
      </c>
      <c r="F378" s="885">
        <f>E378*0.975</f>
        <v>2499.22996171875</v>
      </c>
      <c r="G378" s="885">
        <f>F378*0.98</f>
        <v>2449.2453624843752</v>
      </c>
      <c r="H378" s="885">
        <f>G378*0.985</f>
        <v>2412.5066820471093</v>
      </c>
      <c r="I378" s="885">
        <f t="shared" ref="I378" si="149">H378*0.99</f>
        <v>2388.3816152266381</v>
      </c>
      <c r="J378" s="885"/>
      <c r="K378" s="885"/>
    </row>
    <row r="379" spans="1:11" x14ac:dyDescent="0.3">
      <c r="A379" s="177" t="s">
        <v>681</v>
      </c>
      <c r="B379" s="1161">
        <f>Drivers!EX48</f>
        <v>64</v>
      </c>
      <c r="C379" s="1161">
        <f>Drivers!FC48</f>
        <v>64</v>
      </c>
      <c r="D379" s="1161">
        <f>Drivers!FD48</f>
        <v>64</v>
      </c>
      <c r="E379" s="1161">
        <f>Drivers!FE48</f>
        <v>64</v>
      </c>
      <c r="F379" s="1161">
        <f>Drivers!FF48</f>
        <v>64</v>
      </c>
      <c r="G379" s="1161">
        <f>Drivers!FG48</f>
        <v>64</v>
      </c>
      <c r="H379" s="1161">
        <f>Drivers!FH48</f>
        <v>64</v>
      </c>
      <c r="I379" s="1161">
        <f>Drivers!FI48</f>
        <v>64</v>
      </c>
      <c r="J379" s="885"/>
      <c r="K379" s="885"/>
    </row>
    <row r="380" spans="1:11" x14ac:dyDescent="0.3">
      <c r="A380" s="177" t="s">
        <v>682</v>
      </c>
      <c r="B380" s="1161">
        <f>Drivers!EX41</f>
        <v>315.77724000000001</v>
      </c>
      <c r="C380" s="1161">
        <f>Drivers!FC41</f>
        <v>251.91317442963975</v>
      </c>
      <c r="D380" s="1161">
        <f>Drivers!FD41</f>
        <v>197.83887563582894</v>
      </c>
      <c r="E380" s="1161">
        <f>Drivers!FE41</f>
        <v>153.52288510876116</v>
      </c>
      <c r="F380" s="1161">
        <f>Drivers!FF41</f>
        <v>119.81610263529966</v>
      </c>
      <c r="G380" s="1161">
        <f>Drivers!FG41</f>
        <v>93.821133882064245</v>
      </c>
      <c r="H380" s="1161">
        <f>Drivers!FH41</f>
        <v>73.607167119789324</v>
      </c>
      <c r="I380" s="1161">
        <f>Drivers!FI41</f>
        <v>57.812180423491618</v>
      </c>
      <c r="J380" s="885"/>
      <c r="K380" s="885"/>
    </row>
    <row r="381" spans="1:11" x14ac:dyDescent="0.3">
      <c r="A381" s="177" t="s">
        <v>683</v>
      </c>
      <c r="B381" s="1110">
        <f>Drivers!EX42</f>
        <v>722.3910699999999</v>
      </c>
      <c r="C381" s="1110">
        <f>Drivers!FC42</f>
        <v>595.74574461268048</v>
      </c>
      <c r="D381" s="1110">
        <f>Drivers!FD42</f>
        <v>493.85802786410704</v>
      </c>
      <c r="E381" s="1110">
        <f>Drivers!FE42</f>
        <v>426.81580998570007</v>
      </c>
      <c r="F381" s="1110">
        <f>Drivers!FF42</f>
        <v>390.39520210774793</v>
      </c>
      <c r="G381" s="1110">
        <f>Drivers!FG42</f>
        <v>367.63014655101699</v>
      </c>
      <c r="H381" s="1110">
        <f>Drivers!FH42</f>
        <v>352.47554230184409</v>
      </c>
      <c r="I381" s="1110">
        <f>Drivers!FI42</f>
        <v>342.55501206700882</v>
      </c>
      <c r="J381" s="885"/>
      <c r="K381" s="885"/>
    </row>
    <row r="382" spans="1:11" x14ac:dyDescent="0.3">
      <c r="A382" s="177" t="s">
        <v>684</v>
      </c>
      <c r="B382" s="887">
        <f>B377-SUM(B378:B381)</f>
        <v>2063.83169</v>
      </c>
      <c r="C382" s="887">
        <f t="shared" ref="C382:I382" si="150">C377-SUM(C378:C381)</f>
        <v>2413.0910809576799</v>
      </c>
      <c r="D382" s="887">
        <f t="shared" si="150"/>
        <v>2800.2643465000638</v>
      </c>
      <c r="E382" s="887">
        <f t="shared" si="150"/>
        <v>3182.3485236555384</v>
      </c>
      <c r="F382" s="887">
        <f t="shared" si="150"/>
        <v>3502.5587335382024</v>
      </c>
      <c r="G382" s="887">
        <f t="shared" si="150"/>
        <v>3799.3033570825437</v>
      </c>
      <c r="H382" s="887">
        <f t="shared" si="150"/>
        <v>4068.4106085312574</v>
      </c>
      <c r="I382" s="887">
        <f t="shared" si="150"/>
        <v>4320.2511922828617</v>
      </c>
    </row>
    <row r="383" spans="1:11" x14ac:dyDescent="0.3">
      <c r="A383" s="177" t="s">
        <v>685</v>
      </c>
      <c r="B383" s="1110">
        <f>Drivers!EX337</f>
        <v>506.74662000000001</v>
      </c>
      <c r="C383" s="1110">
        <f>Drivers!FC337</f>
        <v>398.72041058198948</v>
      </c>
      <c r="D383" s="1110">
        <f>Drivers!FD337</f>
        <v>295.41075172913111</v>
      </c>
      <c r="E383" s="1110">
        <f>Drivers!FE337</f>
        <v>210.51962150047194</v>
      </c>
      <c r="F383" s="1110">
        <f>Drivers!FF337</f>
        <v>149.72304047581466</v>
      </c>
      <c r="G383" s="1110">
        <f>Drivers!FG337</f>
        <v>106.28117886349193</v>
      </c>
      <c r="H383" s="1110">
        <f>Drivers!FH337</f>
        <v>75.307062282039553</v>
      </c>
      <c r="I383" s="1110">
        <f>Drivers!FI337</f>
        <v>53.267799788879096</v>
      </c>
    </row>
    <row r="384" spans="1:11" x14ac:dyDescent="0.3">
      <c r="A384" s="177" t="s">
        <v>686</v>
      </c>
      <c r="B384" s="887">
        <f>B382-B383</f>
        <v>1557.0850700000001</v>
      </c>
      <c r="C384" s="887">
        <f t="shared" ref="C384:I384" si="151">C382-C383</f>
        <v>2014.3706703756905</v>
      </c>
      <c r="D384" s="887">
        <f t="shared" si="151"/>
        <v>2504.8535947709324</v>
      </c>
      <c r="E384" s="887">
        <f t="shared" si="151"/>
        <v>2971.8289021550663</v>
      </c>
      <c r="F384" s="887">
        <f t="shared" si="151"/>
        <v>3352.8356930623877</v>
      </c>
      <c r="G384" s="887">
        <f t="shared" si="151"/>
        <v>3693.022178219052</v>
      </c>
      <c r="H384" s="887">
        <f t="shared" si="151"/>
        <v>3993.1035462492177</v>
      </c>
      <c r="I384" s="887">
        <f t="shared" si="151"/>
        <v>4266.9833924939821</v>
      </c>
      <c r="J384" s="887">
        <f>J386*J385*12/1000</f>
        <v>4828.4323646687981</v>
      </c>
      <c r="K384" s="887">
        <f>K386*K385*12/1000</f>
        <v>5353.4183018665444</v>
      </c>
    </row>
    <row r="385" spans="1:11" x14ac:dyDescent="0.3">
      <c r="A385" s="177" t="s">
        <v>687</v>
      </c>
      <c r="B385" s="1762">
        <f>Drivers!EX186</f>
        <v>65.484330723001278</v>
      </c>
      <c r="C385" s="1762">
        <f>Drivers!FC186</f>
        <v>67.776246846721165</v>
      </c>
      <c r="D385" s="1762">
        <f>Drivers!FD186</f>
        <v>70.148378793984961</v>
      </c>
      <c r="E385" s="1762">
        <f>Drivers!FE186</f>
        <v>72.603534075189856</v>
      </c>
      <c r="F385" s="1762">
        <f>Drivers!FF186</f>
        <v>75.14461846207702</v>
      </c>
      <c r="G385" s="1762">
        <f>Drivers!FG186</f>
        <v>77.774639426825459</v>
      </c>
      <c r="H385" s="1762">
        <f>Drivers!FH186</f>
        <v>80.496709701512259</v>
      </c>
      <c r="I385" s="1762">
        <f>Drivers!FI186</f>
        <v>83.314050962152066</v>
      </c>
      <c r="J385" s="816">
        <f>I385/H385*I385</f>
        <v>86.229997641675908</v>
      </c>
      <c r="K385" s="816">
        <f>J385/I385*J385</f>
        <v>89.248000876362198</v>
      </c>
    </row>
    <row r="386" spans="1:11" x14ac:dyDescent="0.3">
      <c r="A386" s="177" t="s">
        <v>688</v>
      </c>
      <c r="B386" s="885">
        <f>B384/B385*1000/12</f>
        <v>1981.4982872091823</v>
      </c>
      <c r="C386" s="885">
        <f t="shared" ref="C386:I386" si="152">C384/C385*1000/12</f>
        <v>2476.7411938719406</v>
      </c>
      <c r="D386" s="885">
        <f t="shared" si="152"/>
        <v>2975.6610652011691</v>
      </c>
      <c r="E386" s="885">
        <f t="shared" si="152"/>
        <v>3411.0241556071883</v>
      </c>
      <c r="F386" s="885">
        <f t="shared" si="152"/>
        <v>3718.2033808964111</v>
      </c>
      <c r="G386" s="885">
        <f t="shared" si="152"/>
        <v>3956.9691412644916</v>
      </c>
      <c r="H386" s="885">
        <f t="shared" si="152"/>
        <v>4133.8165260169644</v>
      </c>
      <c r="I386" s="885">
        <f t="shared" si="152"/>
        <v>4267.9709516949597</v>
      </c>
      <c r="J386" s="887">
        <f>J393</f>
        <v>4666.2341960674048</v>
      </c>
      <c r="K386" s="887">
        <f>K393</f>
        <v>4998.6351228217682</v>
      </c>
    </row>
    <row r="388" spans="1:11" x14ac:dyDescent="0.3">
      <c r="A388" t="s">
        <v>689</v>
      </c>
      <c r="B388" s="1161">
        <f>Drivers!EX112</f>
        <v>1878</v>
      </c>
      <c r="C388" s="885">
        <f>B392</f>
        <v>2084.9965744183646</v>
      </c>
      <c r="D388" s="885">
        <f t="shared" ref="D388:K388" si="153">C392</f>
        <v>2868.4858133255166</v>
      </c>
      <c r="E388" s="885">
        <f t="shared" si="153"/>
        <v>3082.8363170768216</v>
      </c>
      <c r="F388" s="885">
        <f t="shared" si="153"/>
        <v>3739.2119941375549</v>
      </c>
      <c r="G388" s="885">
        <f t="shared" si="153"/>
        <v>3697.1947676552672</v>
      </c>
      <c r="H388" s="885">
        <f t="shared" si="153"/>
        <v>4216.7435148737159</v>
      </c>
      <c r="I388" s="885">
        <f t="shared" si="153"/>
        <v>4050.889537160213</v>
      </c>
      <c r="J388" s="885">
        <f t="shared" si="153"/>
        <v>4485.0523662297064</v>
      </c>
      <c r="K388" s="885">
        <f t="shared" si="153"/>
        <v>4847.4160259051032</v>
      </c>
    </row>
    <row r="389" spans="1:11" x14ac:dyDescent="0.3">
      <c r="A389" t="s">
        <v>351</v>
      </c>
      <c r="B389" s="885">
        <f>B391-B390</f>
        <v>513.82767137526434</v>
      </c>
      <c r="C389" s="885">
        <f t="shared" ref="C389:I389" si="154">C391-C390</f>
        <v>1121.4823746952497</v>
      </c>
      <c r="D389" s="885">
        <f t="shared" si="154"/>
        <v>681.6779658390667</v>
      </c>
      <c r="E389" s="885">
        <f t="shared" si="154"/>
        <v>1161.1359013315871</v>
      </c>
      <c r="F389" s="885">
        <f t="shared" si="154"/>
        <v>573.27412118794177</v>
      </c>
      <c r="G389" s="885">
        <f t="shared" si="154"/>
        <v>1130.968002005364</v>
      </c>
      <c r="H389" s="885">
        <f t="shared" si="154"/>
        <v>531.48504268295824</v>
      </c>
      <c r="I389" s="885">
        <f t="shared" si="154"/>
        <v>1104.0739421389769</v>
      </c>
      <c r="J389" s="887">
        <f>I389</f>
        <v>1104.0739421389769</v>
      </c>
      <c r="K389" s="887">
        <f>J389</f>
        <v>1104.0739421389769</v>
      </c>
    </row>
    <row r="390" spans="1:11" x14ac:dyDescent="0.3">
      <c r="A390" t="s">
        <v>337</v>
      </c>
      <c r="B390" s="885">
        <f>-B388*B394*12</f>
        <v>-306.83109695689978</v>
      </c>
      <c r="C390" s="885">
        <f t="shared" ref="C390:K390" si="155">-C388*C394*12</f>
        <v>-337.99313578809779</v>
      </c>
      <c r="D390" s="885">
        <f t="shared" si="155"/>
        <v>-467.32746208776166</v>
      </c>
      <c r="E390" s="885">
        <f t="shared" si="155"/>
        <v>-504.76022427085383</v>
      </c>
      <c r="F390" s="885">
        <f t="shared" si="155"/>
        <v>-615.29134767022947</v>
      </c>
      <c r="G390" s="885">
        <f t="shared" si="155"/>
        <v>-611.41925478691542</v>
      </c>
      <c r="H390" s="885">
        <f t="shared" si="155"/>
        <v>-697.33902039646114</v>
      </c>
      <c r="I390" s="885">
        <f t="shared" si="155"/>
        <v>-669.91111306948346</v>
      </c>
      <c r="J390" s="885">
        <f t="shared" si="155"/>
        <v>-741.71028246358014</v>
      </c>
      <c r="K390" s="885">
        <f t="shared" si="155"/>
        <v>-801.63574830564608</v>
      </c>
    </row>
    <row r="391" spans="1:11" x14ac:dyDescent="0.3">
      <c r="A391" t="s">
        <v>690</v>
      </c>
      <c r="B391" s="901">
        <f>B392-B388</f>
        <v>206.99657441836462</v>
      </c>
      <c r="C391" s="901">
        <f t="shared" ref="C391:I391" si="156">C392-C388</f>
        <v>783.48923890715196</v>
      </c>
      <c r="D391" s="901">
        <f t="shared" si="156"/>
        <v>214.35050375130504</v>
      </c>
      <c r="E391" s="901">
        <f t="shared" si="156"/>
        <v>656.37567706073332</v>
      </c>
      <c r="F391" s="901">
        <f t="shared" si="156"/>
        <v>-42.017226482287697</v>
      </c>
      <c r="G391" s="901">
        <f t="shared" si="156"/>
        <v>519.54874721844863</v>
      </c>
      <c r="H391" s="901">
        <f t="shared" si="156"/>
        <v>-165.8539777135029</v>
      </c>
      <c r="I391" s="901">
        <f t="shared" si="156"/>
        <v>434.16282906949345</v>
      </c>
      <c r="J391" s="866">
        <f>SUM(J389:J390)</f>
        <v>362.36365967539678</v>
      </c>
      <c r="K391" s="866">
        <f>SUM(K389:K390)</f>
        <v>302.43819383333084</v>
      </c>
    </row>
    <row r="392" spans="1:11" x14ac:dyDescent="0.3">
      <c r="A392" s="90" t="s">
        <v>691</v>
      </c>
      <c r="B392" s="900">
        <f>B393*2-B388</f>
        <v>2084.9965744183646</v>
      </c>
      <c r="C392" s="900">
        <f t="shared" ref="C392:I392" si="157">C393*2-C388</f>
        <v>2868.4858133255166</v>
      </c>
      <c r="D392" s="900">
        <f t="shared" si="157"/>
        <v>3082.8363170768216</v>
      </c>
      <c r="E392" s="900">
        <f t="shared" si="157"/>
        <v>3739.2119941375549</v>
      </c>
      <c r="F392" s="900">
        <f t="shared" si="157"/>
        <v>3697.1947676552672</v>
      </c>
      <c r="G392" s="900">
        <f t="shared" si="157"/>
        <v>4216.7435148737159</v>
      </c>
      <c r="H392" s="900">
        <f t="shared" si="157"/>
        <v>4050.889537160213</v>
      </c>
      <c r="I392" s="900">
        <f t="shared" si="157"/>
        <v>4485.0523662297064</v>
      </c>
      <c r="J392" s="916">
        <f>J388+J391</f>
        <v>4847.4160259051032</v>
      </c>
      <c r="K392" s="916">
        <f>K388+K391</f>
        <v>5149.854219738434</v>
      </c>
    </row>
    <row r="393" spans="1:11" x14ac:dyDescent="0.3">
      <c r="A393" s="94" t="s">
        <v>692</v>
      </c>
      <c r="B393" s="943">
        <f>B386</f>
        <v>1981.4982872091823</v>
      </c>
      <c r="C393" s="943">
        <f t="shared" ref="C393:I393" si="158">C386</f>
        <v>2476.7411938719406</v>
      </c>
      <c r="D393" s="943">
        <f t="shared" si="158"/>
        <v>2975.6610652011691</v>
      </c>
      <c r="E393" s="943">
        <f t="shared" si="158"/>
        <v>3411.0241556071883</v>
      </c>
      <c r="F393" s="943">
        <f t="shared" si="158"/>
        <v>3718.2033808964111</v>
      </c>
      <c r="G393" s="943">
        <f t="shared" si="158"/>
        <v>3956.9691412644916</v>
      </c>
      <c r="H393" s="943">
        <f t="shared" si="158"/>
        <v>4133.8165260169644</v>
      </c>
      <c r="I393" s="943">
        <f t="shared" si="158"/>
        <v>4267.9709516949597</v>
      </c>
      <c r="J393" s="887">
        <f>AVERAGE(J392,J388)</f>
        <v>4666.2341960674048</v>
      </c>
      <c r="K393" s="887">
        <f>AVERAGE(K392,K388)</f>
        <v>4998.6351228217682</v>
      </c>
    </row>
    <row r="394" spans="1:11" x14ac:dyDescent="0.3">
      <c r="A394" s="94" t="s">
        <v>693</v>
      </c>
      <c r="B394" s="827">
        <f>Drivers!EX119</f>
        <v>1.361515339709353E-2</v>
      </c>
      <c r="C394" s="827">
        <f>Drivers!FC119</f>
        <v>1.3508940491600292E-2</v>
      </c>
      <c r="D394" s="827">
        <f>Drivers!FD119</f>
        <v>1.3576485194058293E-2</v>
      </c>
      <c r="E394" s="827">
        <f>Drivers!FE119</f>
        <v>1.3644367620028583E-2</v>
      </c>
      <c r="F394" s="827">
        <f>Drivers!FF119</f>
        <v>1.3712589458128725E-2</v>
      </c>
      <c r="G394" s="827">
        <f>Drivers!FG119</f>
        <v>1.3781152405419368E-2</v>
      </c>
      <c r="H394" s="827">
        <f>Drivers!FH119</f>
        <v>1.3781152405419368E-2</v>
      </c>
      <c r="I394" s="827">
        <f>Drivers!FI119</f>
        <v>1.3781152405419368E-2</v>
      </c>
      <c r="J394" s="623">
        <f>I394</f>
        <v>1.3781152405419368E-2</v>
      </c>
      <c r="K394" s="623">
        <f>J394</f>
        <v>1.3781152405419368E-2</v>
      </c>
    </row>
    <row r="397" spans="1:11" x14ac:dyDescent="0.3">
      <c r="A397" s="618" t="s">
        <v>641</v>
      </c>
      <c r="B397" s="618">
        <v>2024</v>
      </c>
      <c r="C397" s="618">
        <v>2025</v>
      </c>
      <c r="D397" s="618">
        <v>2026</v>
      </c>
      <c r="E397" s="618">
        <v>2027</v>
      </c>
      <c r="F397" s="618">
        <v>2028</v>
      </c>
      <c r="G397" s="618">
        <v>2029</v>
      </c>
      <c r="H397" s="618">
        <v>2030</v>
      </c>
      <c r="I397" s="618">
        <v>2031</v>
      </c>
      <c r="J397" s="618">
        <v>2032</v>
      </c>
      <c r="K397" s="618">
        <v>2033</v>
      </c>
    </row>
    <row r="398" spans="1:11" x14ac:dyDescent="0.3">
      <c r="A398" t="s">
        <v>694</v>
      </c>
      <c r="B398" s="887">
        <f>Drivers!ES90+Analysis!B370</f>
        <v>7791</v>
      </c>
      <c r="C398" s="887">
        <f>B398+C370</f>
        <v>9091</v>
      </c>
      <c r="D398" s="887">
        <f t="shared" ref="D398:K398" si="159">C398+D370</f>
        <v>10383.439984041866</v>
      </c>
      <c r="E398" s="887">
        <f t="shared" si="159"/>
        <v>10362.44811350561</v>
      </c>
      <c r="F398" s="887">
        <f t="shared" si="159"/>
        <v>10626.030295685212</v>
      </c>
      <c r="G398" s="887">
        <f t="shared" si="159"/>
        <v>10557.391560430002</v>
      </c>
      <c r="H398" s="887">
        <f t="shared" si="159"/>
        <v>10816.043594004932</v>
      </c>
      <c r="I398" s="887">
        <f t="shared" si="159"/>
        <v>10753.136986183614</v>
      </c>
      <c r="J398" s="887">
        <f t="shared" si="159"/>
        <v>10689.19689234153</v>
      </c>
      <c r="K398" s="887">
        <f t="shared" si="159"/>
        <v>10622.581107696014</v>
      </c>
    </row>
    <row r="399" spans="1:11" x14ac:dyDescent="0.3">
      <c r="A399" t="s">
        <v>695</v>
      </c>
      <c r="B399" s="887">
        <f>B392</f>
        <v>2084.9965744183646</v>
      </c>
      <c r="C399" s="887">
        <f t="shared" ref="C399:K399" si="160">C392</f>
        <v>2868.4858133255166</v>
      </c>
      <c r="D399" s="887">
        <f t="shared" si="160"/>
        <v>3082.8363170768216</v>
      </c>
      <c r="E399" s="887">
        <f t="shared" si="160"/>
        <v>3739.2119941375549</v>
      </c>
      <c r="F399" s="887">
        <f t="shared" si="160"/>
        <v>3697.1947676552672</v>
      </c>
      <c r="G399" s="887">
        <f t="shared" si="160"/>
        <v>4216.7435148737159</v>
      </c>
      <c r="H399" s="887">
        <f t="shared" si="160"/>
        <v>4050.889537160213</v>
      </c>
      <c r="I399" s="887">
        <f t="shared" si="160"/>
        <v>4485.0523662297064</v>
      </c>
      <c r="J399" s="887">
        <f t="shared" si="160"/>
        <v>4847.4160259051032</v>
      </c>
      <c r="K399" s="887">
        <f t="shared" si="160"/>
        <v>5149.854219738434</v>
      </c>
    </row>
    <row r="400" spans="1:11" x14ac:dyDescent="0.3">
      <c r="A400" s="94" t="s">
        <v>696</v>
      </c>
      <c r="B400" s="1168">
        <f>B399/B398</f>
        <v>0.267616040870025</v>
      </c>
      <c r="C400" s="1168">
        <f t="shared" ref="C400:K400" si="161">C399/C398</f>
        <v>0.31553028416296519</v>
      </c>
      <c r="D400" s="1168">
        <f t="shared" si="161"/>
        <v>0.29689932448348338</v>
      </c>
      <c r="E400" s="1168">
        <f t="shared" si="161"/>
        <v>0.36084252998711341</v>
      </c>
      <c r="F400" s="1168">
        <f t="shared" si="161"/>
        <v>0.34793753309328923</v>
      </c>
      <c r="G400" s="1168">
        <f t="shared" si="161"/>
        <v>0.39941149200891896</v>
      </c>
      <c r="H400" s="1168">
        <f t="shared" si="161"/>
        <v>0.37452599945191806</v>
      </c>
      <c r="I400" s="1168">
        <f t="shared" si="161"/>
        <v>0.41709246073889106</v>
      </c>
      <c r="J400" s="1168">
        <f t="shared" si="161"/>
        <v>0.45348739243245889</v>
      </c>
      <c r="K400" s="1168">
        <f t="shared" si="161"/>
        <v>0.484802532221419</v>
      </c>
    </row>
    <row r="401" spans="1:12" x14ac:dyDescent="0.3">
      <c r="C401" s="887">
        <f t="shared" ref="C401:E401" si="162">+C398-B398</f>
        <v>1300</v>
      </c>
      <c r="D401" s="887">
        <f t="shared" si="162"/>
        <v>1292.4399840418664</v>
      </c>
      <c r="E401" s="887">
        <f t="shared" si="162"/>
        <v>-20.991870536256101</v>
      </c>
      <c r="F401" s="887">
        <f>+F398-E398</f>
        <v>263.58218217960166</v>
      </c>
      <c r="G401" s="887">
        <f>+G398-F398</f>
        <v>-68.638735255210122</v>
      </c>
    </row>
    <row r="402" spans="1:12" x14ac:dyDescent="0.3">
      <c r="C402" s="887">
        <f>+C405-B405</f>
        <v>1300</v>
      </c>
      <c r="D402" s="887">
        <f t="shared" ref="D402:G402" si="163">+D405-C405</f>
        <v>1645.5657330064569</v>
      </c>
      <c r="E402" s="887">
        <f t="shared" si="163"/>
        <v>895.07456779067616</v>
      </c>
      <c r="F402" s="887">
        <f t="shared" si="163"/>
        <v>977.83673716382145</v>
      </c>
      <c r="G402" s="887">
        <f t="shared" si="163"/>
        <v>286.10134962355005</v>
      </c>
    </row>
    <row r="404" spans="1:12" x14ac:dyDescent="0.3">
      <c r="A404" s="618" t="s">
        <v>639</v>
      </c>
      <c r="B404" s="618">
        <v>2024</v>
      </c>
      <c r="C404" s="618">
        <v>2025</v>
      </c>
      <c r="D404" s="618">
        <v>2026</v>
      </c>
      <c r="E404" s="618">
        <v>2027</v>
      </c>
      <c r="F404" s="618">
        <v>2028</v>
      </c>
      <c r="G404" s="618">
        <v>2029</v>
      </c>
      <c r="H404" s="618">
        <v>2030</v>
      </c>
      <c r="I404" s="618">
        <v>2031</v>
      </c>
      <c r="J404" s="618">
        <v>2032</v>
      </c>
      <c r="K404" s="618">
        <v>2033</v>
      </c>
    </row>
    <row r="405" spans="1:12" x14ac:dyDescent="0.3">
      <c r="A405" t="s">
        <v>694</v>
      </c>
      <c r="B405" s="887">
        <f>B398+B329</f>
        <v>7791</v>
      </c>
      <c r="C405" s="887">
        <f t="shared" ref="C405:J405" si="164">C398+C329</f>
        <v>9091</v>
      </c>
      <c r="D405" s="887">
        <f t="shared" si="164"/>
        <v>10736.565733006457</v>
      </c>
      <c r="E405" s="887">
        <f t="shared" si="164"/>
        <v>11631.640300797133</v>
      </c>
      <c r="F405" s="887">
        <f t="shared" si="164"/>
        <v>12609.477037960954</v>
      </c>
      <c r="G405" s="887">
        <f t="shared" si="164"/>
        <v>12895.578387584505</v>
      </c>
      <c r="H405" s="887">
        <f t="shared" si="164"/>
        <v>13355.066934321478</v>
      </c>
      <c r="I405" s="887">
        <f t="shared" si="164"/>
        <v>13498.940330981561</v>
      </c>
      <c r="J405" s="887">
        <f t="shared" si="164"/>
        <v>13509.089385983487</v>
      </c>
      <c r="K405" s="887">
        <f>K398+K329</f>
        <v>13540.803863324942</v>
      </c>
      <c r="L405" s="890">
        <f>K405/Drivers!EV90</f>
        <v>1.7859145163973809</v>
      </c>
    </row>
    <row r="406" spans="1:12" x14ac:dyDescent="0.3">
      <c r="A406" t="s">
        <v>695</v>
      </c>
      <c r="B406" s="887">
        <f>B399+B328</f>
        <v>2084.9965744183646</v>
      </c>
      <c r="C406" s="887">
        <f t="shared" ref="C406:K406" si="165">C399+C328</f>
        <v>2868.4858133255166</v>
      </c>
      <c r="D406" s="887">
        <f t="shared" si="165"/>
        <v>3155.6387115610364</v>
      </c>
      <c r="E406" s="887">
        <f t="shared" si="165"/>
        <v>4119.6242712508765</v>
      </c>
      <c r="F406" s="887">
        <f t="shared" si="165"/>
        <v>4446.0641726505291</v>
      </c>
      <c r="G406" s="887">
        <f t="shared" si="165"/>
        <v>5172.4727864880679</v>
      </c>
      <c r="H406" s="887">
        <f t="shared" si="165"/>
        <v>5219.1771363222651</v>
      </c>
      <c r="I406" s="887">
        <f t="shared" si="165"/>
        <v>5754.1142440638414</v>
      </c>
      <c r="J406" s="887">
        <f t="shared" si="165"/>
        <v>6240.052098412938</v>
      </c>
      <c r="K406" s="887">
        <f t="shared" si="165"/>
        <v>6572.257023409602</v>
      </c>
    </row>
    <row r="407" spans="1:12" x14ac:dyDescent="0.3">
      <c r="A407" s="94" t="s">
        <v>696</v>
      </c>
      <c r="B407" s="1168">
        <f>B406/B405</f>
        <v>0.267616040870025</v>
      </c>
      <c r="C407" s="1168">
        <f t="shared" ref="C407" si="166">C406/C405</f>
        <v>0.31553028416296519</v>
      </c>
      <c r="D407" s="1168">
        <f t="shared" ref="D407" si="167">D406/D405</f>
        <v>0.2939150925942679</v>
      </c>
      <c r="E407" s="1168">
        <f t="shared" ref="E407" si="168">E406/E405</f>
        <v>0.35417397415294494</v>
      </c>
      <c r="F407" s="1168">
        <f t="shared" ref="F407" si="169">F406/F405</f>
        <v>0.35259703152363964</v>
      </c>
      <c r="G407" s="1168">
        <f t="shared" ref="G407" si="170">G406/G405</f>
        <v>0.40110436546746731</v>
      </c>
      <c r="H407" s="1168">
        <f t="shared" ref="H407" si="171">H406/H405</f>
        <v>0.39080127130695153</v>
      </c>
      <c r="I407" s="1168">
        <f t="shared" ref="I407" si="172">I406/I405</f>
        <v>0.4262641439237651</v>
      </c>
      <c r="J407" s="1168">
        <f t="shared" ref="J407" si="173">J406/J405</f>
        <v>0.46191507955283623</v>
      </c>
      <c r="K407" s="1168">
        <f t="shared" ref="K407" si="174">K406/K405</f>
        <v>0.48536682827305833</v>
      </c>
    </row>
    <row r="410" spans="1:12" x14ac:dyDescent="0.3">
      <c r="A410" t="s">
        <v>667</v>
      </c>
      <c r="B410" s="885">
        <v>0</v>
      </c>
      <c r="C410" s="885">
        <v>0</v>
      </c>
      <c r="D410" s="885">
        <f>D316</f>
        <v>150</v>
      </c>
      <c r="E410" s="885">
        <f t="shared" ref="E410:K410" si="175">D410+E316</f>
        <v>650</v>
      </c>
      <c r="F410" s="885">
        <f t="shared" si="175"/>
        <v>1000</v>
      </c>
      <c r="G410" s="885">
        <f t="shared" si="175"/>
        <v>1026</v>
      </c>
      <c r="H410" s="885">
        <f t="shared" si="175"/>
        <v>1026</v>
      </c>
      <c r="I410" s="885">
        <f t="shared" si="175"/>
        <v>1026</v>
      </c>
      <c r="J410" s="885">
        <f t="shared" si="175"/>
        <v>1026</v>
      </c>
      <c r="K410" s="885">
        <f t="shared" si="175"/>
        <v>1026</v>
      </c>
    </row>
    <row r="411" spans="1:12" x14ac:dyDescent="0.3">
      <c r="A411" t="s">
        <v>697</v>
      </c>
      <c r="B411" s="885">
        <f t="shared" ref="B411:K411" si="176">B405-B410</f>
        <v>7791</v>
      </c>
      <c r="C411" s="885">
        <f t="shared" si="176"/>
        <v>9091</v>
      </c>
      <c r="D411" s="885">
        <f t="shared" si="176"/>
        <v>10586.565733006457</v>
      </c>
      <c r="E411" s="885">
        <f t="shared" si="176"/>
        <v>10981.640300797133</v>
      </c>
      <c r="F411" s="885">
        <f t="shared" si="176"/>
        <v>11609.477037960954</v>
      </c>
      <c r="G411" s="885">
        <f t="shared" si="176"/>
        <v>11869.578387584505</v>
      </c>
      <c r="H411" s="885">
        <f t="shared" si="176"/>
        <v>12329.066934321478</v>
      </c>
      <c r="I411" s="885">
        <f t="shared" si="176"/>
        <v>12472.940330981561</v>
      </c>
      <c r="J411" s="885">
        <f t="shared" si="176"/>
        <v>12483.089385983487</v>
      </c>
      <c r="K411" s="885">
        <f t="shared" si="176"/>
        <v>12514.803863324942</v>
      </c>
    </row>
    <row r="412" spans="1:12" x14ac:dyDescent="0.3">
      <c r="B412" s="885">
        <f t="shared" ref="B412:K412" si="177">SUM(B410:B411)</f>
        <v>7791</v>
      </c>
      <c r="C412" s="885">
        <f t="shared" si="177"/>
        <v>9091</v>
      </c>
      <c r="D412" s="885">
        <f t="shared" si="177"/>
        <v>10736.565733006457</v>
      </c>
      <c r="E412" s="885">
        <f t="shared" si="177"/>
        <v>11631.640300797133</v>
      </c>
      <c r="F412" s="885">
        <f t="shared" si="177"/>
        <v>12609.477037960954</v>
      </c>
      <c r="G412" s="885">
        <f t="shared" si="177"/>
        <v>12895.578387584505</v>
      </c>
      <c r="H412" s="885">
        <f t="shared" si="177"/>
        <v>13355.066934321478</v>
      </c>
      <c r="I412" s="885">
        <f t="shared" si="177"/>
        <v>13498.940330981561</v>
      </c>
      <c r="J412" s="885">
        <f t="shared" si="177"/>
        <v>13509.089385983487</v>
      </c>
      <c r="K412" s="885">
        <f t="shared" si="177"/>
        <v>13540.803863324942</v>
      </c>
    </row>
    <row r="413" spans="1:12" x14ac:dyDescent="0.3">
      <c r="A413" t="s">
        <v>698</v>
      </c>
      <c r="B413" s="885">
        <v>0</v>
      </c>
      <c r="C413" s="885">
        <v>0</v>
      </c>
      <c r="D413" s="885">
        <f>D439</f>
        <v>37.5</v>
      </c>
      <c r="E413" s="885">
        <f t="shared" ref="E413:K413" si="178">E439</f>
        <v>192.5</v>
      </c>
      <c r="F413" s="885">
        <f t="shared" si="178"/>
        <v>395</v>
      </c>
      <c r="G413" s="885">
        <f t="shared" si="178"/>
        <v>530.5</v>
      </c>
      <c r="H413" s="885">
        <f t="shared" si="178"/>
        <v>606.70000000000005</v>
      </c>
      <c r="I413" s="885">
        <f t="shared" si="178"/>
        <v>654.80000000000007</v>
      </c>
      <c r="J413" s="885">
        <f t="shared" si="178"/>
        <v>688.36000000000013</v>
      </c>
      <c r="K413" s="885">
        <f t="shared" si="178"/>
        <v>711.4000000000002</v>
      </c>
    </row>
    <row r="414" spans="1:12" x14ac:dyDescent="0.3">
      <c r="A414" t="s">
        <v>699</v>
      </c>
      <c r="B414" s="885">
        <f t="shared" ref="B414:K414" si="179">B406-B413</f>
        <v>2084.9965744183646</v>
      </c>
      <c r="C414" s="885">
        <f t="shared" si="179"/>
        <v>2868.4858133255166</v>
      </c>
      <c r="D414" s="885">
        <f t="shared" si="179"/>
        <v>3118.1387115610364</v>
      </c>
      <c r="E414" s="885">
        <f t="shared" si="179"/>
        <v>3927.1242712508765</v>
      </c>
      <c r="F414" s="885">
        <f t="shared" si="179"/>
        <v>4051.0641726505291</v>
      </c>
      <c r="G414" s="885">
        <f t="shared" si="179"/>
        <v>4641.9727864880679</v>
      </c>
      <c r="H414" s="885">
        <f t="shared" si="179"/>
        <v>4612.4771363222653</v>
      </c>
      <c r="I414" s="885">
        <f t="shared" si="179"/>
        <v>5099.3142440638412</v>
      </c>
      <c r="J414" s="885">
        <f t="shared" si="179"/>
        <v>5551.6920984129374</v>
      </c>
      <c r="K414" s="885">
        <f t="shared" si="179"/>
        <v>5860.8570234096014</v>
      </c>
    </row>
    <row r="415" spans="1:12" x14ac:dyDescent="0.3">
      <c r="B415" s="885">
        <f t="shared" ref="B415:K415" si="180">SUM(B413:B414)</f>
        <v>2084.9965744183646</v>
      </c>
      <c r="C415" s="885">
        <f t="shared" si="180"/>
        <v>2868.4858133255166</v>
      </c>
      <c r="D415" s="885">
        <f t="shared" si="180"/>
        <v>3155.6387115610364</v>
      </c>
      <c r="E415" s="885">
        <f t="shared" si="180"/>
        <v>4119.6242712508765</v>
      </c>
      <c r="F415" s="885">
        <f t="shared" si="180"/>
        <v>4446.0641726505291</v>
      </c>
      <c r="G415" s="885">
        <f t="shared" si="180"/>
        <v>5172.4727864880679</v>
      </c>
      <c r="H415" s="885">
        <f t="shared" si="180"/>
        <v>5219.1771363222651</v>
      </c>
      <c r="I415" s="885">
        <f t="shared" si="180"/>
        <v>5754.1142440638414</v>
      </c>
      <c r="J415" s="885">
        <f t="shared" si="180"/>
        <v>6240.052098412938</v>
      </c>
      <c r="K415" s="885">
        <f t="shared" si="180"/>
        <v>6572.257023409602</v>
      </c>
    </row>
    <row r="416" spans="1:12" x14ac:dyDescent="0.3">
      <c r="A416" t="s">
        <v>700</v>
      </c>
      <c r="B416" s="890">
        <v>0</v>
      </c>
      <c r="C416" s="890">
        <v>0</v>
      </c>
      <c r="D416" s="890">
        <f>D413/D410</f>
        <v>0.25</v>
      </c>
      <c r="E416" s="890">
        <f t="shared" ref="E416:K417" si="181">E413/E410</f>
        <v>0.29615384615384616</v>
      </c>
      <c r="F416" s="890">
        <f t="shared" si="181"/>
        <v>0.39500000000000002</v>
      </c>
      <c r="G416" s="890">
        <f t="shared" si="181"/>
        <v>0.51705653021442499</v>
      </c>
      <c r="H416" s="890">
        <f t="shared" si="181"/>
        <v>0.59132553606237825</v>
      </c>
      <c r="I416" s="890">
        <f t="shared" si="181"/>
        <v>0.638206627680312</v>
      </c>
      <c r="J416" s="890">
        <f t="shared" si="181"/>
        <v>0.67091617933723213</v>
      </c>
      <c r="K416" s="890">
        <f t="shared" si="181"/>
        <v>0.69337231968810931</v>
      </c>
    </row>
    <row r="417" spans="1:11" x14ac:dyDescent="0.3">
      <c r="A417" t="s">
        <v>701</v>
      </c>
      <c r="B417" s="890">
        <f>B414/B411</f>
        <v>0.267616040870025</v>
      </c>
      <c r="C417" s="890">
        <f>C414/C411</f>
        <v>0.31553028416296519</v>
      </c>
      <c r="D417" s="890">
        <f>D414/D411</f>
        <v>0.29453732118617115</v>
      </c>
      <c r="E417" s="890">
        <f t="shared" si="181"/>
        <v>0.35760816815005453</v>
      </c>
      <c r="F417" s="890">
        <f t="shared" si="181"/>
        <v>0.34894458720270166</v>
      </c>
      <c r="G417" s="890">
        <f t="shared" si="181"/>
        <v>0.39108152243583805</v>
      </c>
      <c r="H417" s="890">
        <f t="shared" si="181"/>
        <v>0.3741140477940077</v>
      </c>
      <c r="I417" s="890">
        <f t="shared" si="181"/>
        <v>0.40883016423943314</v>
      </c>
      <c r="J417" s="890">
        <f t="shared" si="181"/>
        <v>0.44473702997325326</v>
      </c>
      <c r="K417" s="890">
        <f t="shared" si="181"/>
        <v>0.46831393343566829</v>
      </c>
    </row>
    <row r="418" spans="1:11" x14ac:dyDescent="0.3">
      <c r="A418" t="s">
        <v>702</v>
      </c>
      <c r="B418" s="890">
        <f>B415/B412</f>
        <v>0.267616040870025</v>
      </c>
      <c r="C418" s="890">
        <f t="shared" ref="C418:K418" si="182">C415/C412</f>
        <v>0.31553028416296519</v>
      </c>
      <c r="D418" s="890">
        <f t="shared" si="182"/>
        <v>0.2939150925942679</v>
      </c>
      <c r="E418" s="890">
        <f t="shared" si="182"/>
        <v>0.35417397415294494</v>
      </c>
      <c r="F418" s="890">
        <f t="shared" si="182"/>
        <v>0.35259703152363964</v>
      </c>
      <c r="G418" s="890">
        <f t="shared" si="182"/>
        <v>0.40110436546746731</v>
      </c>
      <c r="H418" s="890">
        <f t="shared" si="182"/>
        <v>0.39080127130695153</v>
      </c>
      <c r="I418" s="890">
        <f t="shared" si="182"/>
        <v>0.4262641439237651</v>
      </c>
      <c r="J418" s="890">
        <f t="shared" si="182"/>
        <v>0.46191507955283623</v>
      </c>
      <c r="K418" s="890">
        <f t="shared" si="182"/>
        <v>0.48536682827305833</v>
      </c>
    </row>
    <row r="420" spans="1:11" x14ac:dyDescent="0.3">
      <c r="A420" t="s">
        <v>703</v>
      </c>
      <c r="B420">
        <f>B410</f>
        <v>0</v>
      </c>
      <c r="C420">
        <f>C410-B420</f>
        <v>0</v>
      </c>
      <c r="D420" s="887">
        <f>D410-C410</f>
        <v>150</v>
      </c>
      <c r="E420" s="887">
        <f t="shared" ref="E420:K420" si="183">E410-D410</f>
        <v>500</v>
      </c>
      <c r="F420" s="887">
        <f t="shared" si="183"/>
        <v>350</v>
      </c>
      <c r="G420" s="887">
        <f t="shared" si="183"/>
        <v>26</v>
      </c>
      <c r="H420" s="887">
        <f t="shared" si="183"/>
        <v>0</v>
      </c>
      <c r="I420" s="887">
        <f t="shared" si="183"/>
        <v>0</v>
      </c>
      <c r="J420" s="887">
        <f t="shared" si="183"/>
        <v>0</v>
      </c>
      <c r="K420" s="887">
        <f t="shared" si="183"/>
        <v>0</v>
      </c>
    </row>
    <row r="421" spans="1:11" x14ac:dyDescent="0.3">
      <c r="A421" t="s">
        <v>704</v>
      </c>
      <c r="B421" s="890">
        <v>0.25</v>
      </c>
    </row>
    <row r="422" spans="1:11" x14ac:dyDescent="0.3">
      <c r="A422" t="s">
        <v>705</v>
      </c>
      <c r="B422" s="890">
        <v>0.45</v>
      </c>
    </row>
    <row r="423" spans="1:11" x14ac:dyDescent="0.3">
      <c r="A423" t="s">
        <v>706</v>
      </c>
      <c r="B423" s="890">
        <f>B422+10%</f>
        <v>0.55000000000000004</v>
      </c>
    </row>
    <row r="424" spans="1:11" x14ac:dyDescent="0.3">
      <c r="A424" t="s">
        <v>707</v>
      </c>
      <c r="B424" s="890">
        <f>B423+6%</f>
        <v>0.6100000000000001</v>
      </c>
    </row>
    <row r="425" spans="1:11" x14ac:dyDescent="0.3">
      <c r="A425" t="s">
        <v>708</v>
      </c>
      <c r="B425" s="890">
        <f>B424+4%</f>
        <v>0.65000000000000013</v>
      </c>
    </row>
    <row r="426" spans="1:11" x14ac:dyDescent="0.3">
      <c r="A426" t="s">
        <v>709</v>
      </c>
      <c r="B426" s="890">
        <f>B425+3%</f>
        <v>0.68000000000000016</v>
      </c>
    </row>
    <row r="427" spans="1:11" x14ac:dyDescent="0.3">
      <c r="A427" t="s">
        <v>710</v>
      </c>
      <c r="B427" s="890">
        <f>B426+2%</f>
        <v>0.70000000000000018</v>
      </c>
    </row>
    <row r="428" spans="1:11" x14ac:dyDescent="0.3">
      <c r="A428" t="s">
        <v>711</v>
      </c>
      <c r="B428" s="890">
        <f>B427+1%</f>
        <v>0.71000000000000019</v>
      </c>
    </row>
    <row r="431" spans="1:11" x14ac:dyDescent="0.3">
      <c r="A431" t="s">
        <v>712</v>
      </c>
      <c r="D431" s="885">
        <f t="shared" ref="D431:K431" si="184">D$420*$B421</f>
        <v>37.5</v>
      </c>
      <c r="E431" s="885">
        <f t="shared" si="184"/>
        <v>125</v>
      </c>
      <c r="F431" s="885">
        <f t="shared" si="184"/>
        <v>87.5</v>
      </c>
      <c r="G431" s="885">
        <f t="shared" si="184"/>
        <v>6.5</v>
      </c>
      <c r="H431" s="885">
        <f t="shared" si="184"/>
        <v>0</v>
      </c>
      <c r="I431" s="885">
        <f t="shared" si="184"/>
        <v>0</v>
      </c>
      <c r="J431" s="885">
        <f t="shared" si="184"/>
        <v>0</v>
      </c>
      <c r="K431" s="885">
        <f t="shared" si="184"/>
        <v>0</v>
      </c>
    </row>
    <row r="432" spans="1:11" x14ac:dyDescent="0.3">
      <c r="A432" t="s">
        <v>713</v>
      </c>
      <c r="D432" s="885"/>
      <c r="E432" s="885">
        <f t="shared" ref="E432:K432" si="185">D$420*$B422</f>
        <v>67.5</v>
      </c>
      <c r="F432" s="885">
        <f t="shared" si="185"/>
        <v>225</v>
      </c>
      <c r="G432" s="885">
        <f t="shared" si="185"/>
        <v>157.5</v>
      </c>
      <c r="H432" s="885">
        <f t="shared" si="185"/>
        <v>11.700000000000001</v>
      </c>
      <c r="I432" s="885">
        <f t="shared" si="185"/>
        <v>0</v>
      </c>
      <c r="J432" s="885">
        <f t="shared" si="185"/>
        <v>0</v>
      </c>
      <c r="K432" s="885">
        <f t="shared" si="185"/>
        <v>0</v>
      </c>
    </row>
    <row r="433" spans="1:20" x14ac:dyDescent="0.3">
      <c r="A433" t="s">
        <v>714</v>
      </c>
      <c r="D433" s="885"/>
      <c r="E433" s="885"/>
      <c r="F433" s="885">
        <f t="shared" ref="F433:K433" si="186">D$420*$B423</f>
        <v>82.5</v>
      </c>
      <c r="G433" s="885">
        <f t="shared" si="186"/>
        <v>275</v>
      </c>
      <c r="H433" s="885">
        <f t="shared" si="186"/>
        <v>192.50000000000003</v>
      </c>
      <c r="I433" s="885">
        <f t="shared" si="186"/>
        <v>14.3</v>
      </c>
      <c r="J433" s="885">
        <f t="shared" si="186"/>
        <v>0</v>
      </c>
      <c r="K433" s="885">
        <f t="shared" si="186"/>
        <v>0</v>
      </c>
    </row>
    <row r="434" spans="1:20" x14ac:dyDescent="0.3">
      <c r="A434" t="s">
        <v>715</v>
      </c>
      <c r="D434" s="885"/>
      <c r="E434" s="885"/>
      <c r="F434" s="885"/>
      <c r="G434" s="885">
        <f>D$420*$B424</f>
        <v>91.500000000000014</v>
      </c>
      <c r="H434" s="885">
        <f>E$420*$B424</f>
        <v>305.00000000000006</v>
      </c>
      <c r="I434" s="885">
        <f>F$420*$B424</f>
        <v>213.50000000000003</v>
      </c>
      <c r="J434" s="885">
        <f>G$420*$B424</f>
        <v>15.860000000000003</v>
      </c>
      <c r="K434" s="885">
        <f>H$420*$B424</f>
        <v>0</v>
      </c>
    </row>
    <row r="435" spans="1:20" x14ac:dyDescent="0.3">
      <c r="A435" t="s">
        <v>716</v>
      </c>
      <c r="D435" s="885"/>
      <c r="E435" s="885"/>
      <c r="F435" s="885"/>
      <c r="G435" s="885"/>
      <c r="H435" s="885">
        <f>D$420*$B425</f>
        <v>97.500000000000014</v>
      </c>
      <c r="I435" s="885">
        <f>E$420*$B425</f>
        <v>325.00000000000006</v>
      </c>
      <c r="J435" s="885">
        <f>F$420*$B425</f>
        <v>227.50000000000006</v>
      </c>
      <c r="K435" s="885">
        <f>G$420*$B425</f>
        <v>16.900000000000002</v>
      </c>
    </row>
    <row r="436" spans="1:20" x14ac:dyDescent="0.3">
      <c r="A436" t="s">
        <v>717</v>
      </c>
      <c r="D436" s="885"/>
      <c r="E436" s="885"/>
      <c r="F436" s="885"/>
      <c r="G436" s="885"/>
      <c r="H436" s="885"/>
      <c r="I436" s="885">
        <f>D$420*$B426</f>
        <v>102.00000000000003</v>
      </c>
      <c r="J436" s="885">
        <f>E$420*$B426</f>
        <v>340.00000000000006</v>
      </c>
      <c r="K436" s="885">
        <f>F$420*$B426</f>
        <v>238.00000000000006</v>
      </c>
    </row>
    <row r="437" spans="1:20" x14ac:dyDescent="0.3">
      <c r="A437" t="s">
        <v>718</v>
      </c>
      <c r="D437" s="885"/>
      <c r="E437" s="885"/>
      <c r="F437" s="885"/>
      <c r="G437" s="885"/>
      <c r="H437" s="885"/>
      <c r="I437" s="885"/>
      <c r="J437" s="885">
        <f>D$420*$B427</f>
        <v>105.00000000000003</v>
      </c>
      <c r="K437" s="885">
        <f>E$420*$B427</f>
        <v>350.00000000000011</v>
      </c>
    </row>
    <row r="438" spans="1:20" x14ac:dyDescent="0.3">
      <c r="A438" t="s">
        <v>719</v>
      </c>
      <c r="D438" s="901"/>
      <c r="E438" s="901"/>
      <c r="F438" s="901"/>
      <c r="G438" s="901"/>
      <c r="H438" s="901"/>
      <c r="I438" s="901"/>
      <c r="J438" s="901"/>
      <c r="K438" s="901">
        <f>D$420*$B428</f>
        <v>106.50000000000003</v>
      </c>
    </row>
    <row r="439" spans="1:20" x14ac:dyDescent="0.3">
      <c r="A439" t="s">
        <v>720</v>
      </c>
      <c r="D439" s="900">
        <f t="shared" ref="D439:K439" si="187">SUM(D431:D438)</f>
        <v>37.5</v>
      </c>
      <c r="E439" s="900">
        <f t="shared" si="187"/>
        <v>192.5</v>
      </c>
      <c r="F439" s="900">
        <f t="shared" si="187"/>
        <v>395</v>
      </c>
      <c r="G439" s="900">
        <f t="shared" si="187"/>
        <v>530.5</v>
      </c>
      <c r="H439" s="900">
        <f t="shared" si="187"/>
        <v>606.70000000000005</v>
      </c>
      <c r="I439" s="900">
        <f t="shared" si="187"/>
        <v>654.80000000000007</v>
      </c>
      <c r="J439" s="900">
        <f t="shared" si="187"/>
        <v>688.36000000000013</v>
      </c>
      <c r="K439" s="900">
        <f t="shared" si="187"/>
        <v>711.4000000000002</v>
      </c>
    </row>
    <row r="440" spans="1:20" x14ac:dyDescent="0.3">
      <c r="D440" s="885"/>
      <c r="E440" s="885"/>
      <c r="F440" s="885"/>
      <c r="G440" s="885"/>
      <c r="H440" s="885"/>
      <c r="I440" s="885"/>
      <c r="J440" s="885"/>
      <c r="K440" s="885"/>
    </row>
    <row r="441" spans="1:20" x14ac:dyDescent="0.3">
      <c r="D441" s="885"/>
      <c r="E441" s="885"/>
      <c r="F441" s="885"/>
      <c r="G441" s="885"/>
      <c r="H441" s="885"/>
      <c r="I441" s="885"/>
      <c r="J441" s="885"/>
      <c r="K441" s="885"/>
    </row>
    <row r="442" spans="1:20" x14ac:dyDescent="0.3">
      <c r="D442" s="885"/>
      <c r="E442" s="885"/>
      <c r="F442" s="885"/>
      <c r="G442" s="885"/>
      <c r="H442" s="885"/>
      <c r="I442" s="885"/>
      <c r="J442" s="885"/>
      <c r="K442" s="885"/>
    </row>
    <row r="443" spans="1:20" x14ac:dyDescent="0.3">
      <c r="D443" s="885"/>
      <c r="E443" s="885"/>
      <c r="F443" s="885"/>
      <c r="G443" s="885"/>
      <c r="H443" s="885"/>
      <c r="I443" s="885"/>
      <c r="J443" s="885"/>
      <c r="K443" s="885"/>
    </row>
    <row r="444" spans="1:20" x14ac:dyDescent="0.3">
      <c r="D444" s="885"/>
      <c r="E444" s="885"/>
      <c r="F444" s="885"/>
      <c r="G444" s="885"/>
      <c r="H444" s="885"/>
      <c r="I444" s="885"/>
      <c r="J444" s="885"/>
      <c r="K444" s="885"/>
    </row>
    <row r="447" spans="1:20" x14ac:dyDescent="0.3">
      <c r="A447" s="1256" t="s">
        <v>721</v>
      </c>
      <c r="B447" s="1257"/>
      <c r="C447" s="1257"/>
      <c r="D447" s="1257"/>
      <c r="E447" s="1257"/>
      <c r="F447" s="1257"/>
      <c r="G447" s="1257"/>
      <c r="H447" s="1257"/>
      <c r="I447" s="1257"/>
      <c r="J447" s="1257"/>
      <c r="K447" s="1257"/>
      <c r="L447" s="1257"/>
      <c r="M447" s="1257"/>
      <c r="N447" s="1257"/>
      <c r="O447" s="1257"/>
      <c r="P447" s="1257"/>
      <c r="Q447" s="1257"/>
      <c r="R447" s="1257"/>
      <c r="S447" s="1257"/>
      <c r="T447" s="1257"/>
    </row>
    <row r="449" spans="1:9" x14ac:dyDescent="0.3">
      <c r="A449" s="494"/>
      <c r="B449" s="618">
        <v>2024</v>
      </c>
      <c r="C449" s="618">
        <v>2025</v>
      </c>
      <c r="D449" s="618">
        <v>2026</v>
      </c>
      <c r="E449" s="618">
        <v>2027</v>
      </c>
      <c r="F449" s="618">
        <v>2028</v>
      </c>
      <c r="G449" s="618">
        <v>2029</v>
      </c>
      <c r="H449" s="618">
        <v>2030</v>
      </c>
      <c r="I449" s="618">
        <v>2031</v>
      </c>
    </row>
    <row r="450" spans="1:9" x14ac:dyDescent="0.3">
      <c r="A450" s="493" t="s">
        <v>284</v>
      </c>
      <c r="B450" s="144"/>
      <c r="C450" s="144"/>
      <c r="D450" s="144"/>
      <c r="E450" s="144"/>
      <c r="F450" s="144"/>
      <c r="G450" s="144"/>
      <c r="H450" s="144"/>
      <c r="I450" s="144"/>
    </row>
    <row r="451" spans="1:9" x14ac:dyDescent="0.3">
      <c r="A451" s="708" t="s">
        <v>722</v>
      </c>
      <c r="B451" s="999">
        <f>Drivers!EX12</f>
        <v>5937</v>
      </c>
      <c r="C451" s="999">
        <f>Drivers!FC12</f>
        <v>6020.8233791249304</v>
      </c>
      <c r="D451" s="999">
        <f>Drivers!FD12</f>
        <v>6226.1974527353086</v>
      </c>
      <c r="E451" s="999">
        <f>Drivers!FE12</f>
        <v>6504.264954012373</v>
      </c>
      <c r="F451" s="999">
        <f>Drivers!FF12</f>
        <v>6801.1959800304503</v>
      </c>
      <c r="G451" s="999">
        <f>Drivers!FG12</f>
        <v>7077.139317382117</v>
      </c>
      <c r="H451" s="999">
        <f>Drivers!FH12</f>
        <v>7331.6741550276429</v>
      </c>
      <c r="I451" s="999">
        <f>Drivers!FI12</f>
        <v>7559.8689514336202</v>
      </c>
    </row>
    <row r="452" spans="1:9" x14ac:dyDescent="0.3">
      <c r="A452" s="708" t="s">
        <v>723</v>
      </c>
      <c r="B452" s="999">
        <v>5876</v>
      </c>
      <c r="C452" s="999">
        <v>5967</v>
      </c>
      <c r="D452" s="999">
        <v>6185</v>
      </c>
      <c r="E452" s="999">
        <v>6390</v>
      </c>
      <c r="F452" s="999">
        <v>6576</v>
      </c>
      <c r="G452" s="999">
        <v>6774</v>
      </c>
      <c r="H452" s="999">
        <v>6971</v>
      </c>
      <c r="I452" s="999">
        <v>7173</v>
      </c>
    </row>
    <row r="453" spans="1:9" x14ac:dyDescent="0.3">
      <c r="A453" s="614" t="s">
        <v>652</v>
      </c>
      <c r="B453" s="1484">
        <f>B452-B451</f>
        <v>-61</v>
      </c>
      <c r="C453" s="1484">
        <f t="shared" ref="C453:I453" si="188">C452-C451</f>
        <v>-53.823379124930398</v>
      </c>
      <c r="D453" s="1484">
        <f t="shared" si="188"/>
        <v>-41.197452735308616</v>
      </c>
      <c r="E453" s="1484">
        <f t="shared" si="188"/>
        <v>-114.26495401237298</v>
      </c>
      <c r="F453" s="1484">
        <f t="shared" si="188"/>
        <v>-225.1959800304503</v>
      </c>
      <c r="G453" s="1484">
        <f t="shared" si="188"/>
        <v>-303.13931738211704</v>
      </c>
      <c r="H453" s="1484">
        <f t="shared" si="188"/>
        <v>-360.67415502764288</v>
      </c>
      <c r="I453" s="1484">
        <f t="shared" si="188"/>
        <v>-386.86895143362017</v>
      </c>
    </row>
    <row r="454" spans="1:9" x14ac:dyDescent="0.3">
      <c r="A454" s="144"/>
      <c r="B454" s="144"/>
      <c r="C454" s="144"/>
      <c r="D454" s="144"/>
      <c r="E454" s="144"/>
      <c r="F454" s="144"/>
      <c r="G454" s="144"/>
      <c r="H454" s="144"/>
      <c r="I454" s="144"/>
    </row>
    <row r="455" spans="1:9" x14ac:dyDescent="0.3">
      <c r="A455" s="493" t="s">
        <v>724</v>
      </c>
      <c r="B455" s="144"/>
      <c r="C455" s="144">
        <v>2424</v>
      </c>
      <c r="D455" s="144">
        <v>2709</v>
      </c>
      <c r="E455" s="144">
        <v>3023</v>
      </c>
      <c r="F455" s="144">
        <v>3285</v>
      </c>
      <c r="G455" s="144">
        <v>3539</v>
      </c>
      <c r="H455" s="144">
        <v>3777</v>
      </c>
      <c r="I455" s="144">
        <v>3994</v>
      </c>
    </row>
    <row r="456" spans="1:9" x14ac:dyDescent="0.3">
      <c r="A456" s="708" t="s">
        <v>722</v>
      </c>
      <c r="B456" s="365">
        <f>Drivers!EX30</f>
        <v>2251</v>
      </c>
      <c r="C456" s="365">
        <f>Drivers!FC30</f>
        <v>2416.4545969116934</v>
      </c>
      <c r="D456" s="365">
        <f>Drivers!FD30</f>
        <v>2677.013038976258</v>
      </c>
      <c r="E456" s="365">
        <f>Drivers!FE30</f>
        <v>2993.8763244864958</v>
      </c>
      <c r="F456" s="365">
        <f>Drivers!FF30</f>
        <v>3272.0038286472327</v>
      </c>
      <c r="G456" s="365">
        <f>Drivers!FG30</f>
        <v>3533.6794470944569</v>
      </c>
      <c r="H456" s="365">
        <f>Drivers!FH30</f>
        <v>3778.5031908761962</v>
      </c>
      <c r="I456" s="365">
        <f>Drivers!FI30</f>
        <v>4001.9646887265139</v>
      </c>
    </row>
    <row r="457" spans="1:9" x14ac:dyDescent="0.3">
      <c r="A457" s="708" t="s">
        <v>723</v>
      </c>
      <c r="B457" s="365">
        <v>2250</v>
      </c>
      <c r="C457" s="365">
        <v>2393</v>
      </c>
      <c r="D457" s="365">
        <v>2637</v>
      </c>
      <c r="E457" s="365">
        <v>2988</v>
      </c>
      <c r="F457" s="365">
        <v>3283</v>
      </c>
      <c r="G457" s="365">
        <v>3514</v>
      </c>
      <c r="H457" s="365">
        <v>3735</v>
      </c>
      <c r="I457" s="365">
        <v>3955</v>
      </c>
    </row>
    <row r="458" spans="1:9" x14ac:dyDescent="0.3">
      <c r="A458" s="614" t="s">
        <v>652</v>
      </c>
      <c r="B458" s="1484">
        <f>B457-B456</f>
        <v>-1</v>
      </c>
      <c r="C458" s="1484">
        <f t="shared" ref="C458" si="189">C457-C456</f>
        <v>-23.454596911693443</v>
      </c>
      <c r="D458" s="1484">
        <f t="shared" ref="D458" si="190">D457-D456</f>
        <v>-40.013038976258031</v>
      </c>
      <c r="E458" s="1484">
        <f t="shared" ref="E458" si="191">E457-E456</f>
        <v>-5.8763244864958324</v>
      </c>
      <c r="F458" s="1484">
        <f t="shared" ref="F458" si="192">F457-F456</f>
        <v>10.996171352767306</v>
      </c>
      <c r="G458" s="1484">
        <f t="shared" ref="G458" si="193">G457-G456</f>
        <v>-19.679447094456918</v>
      </c>
      <c r="H458" s="1484">
        <f t="shared" ref="H458" si="194">H457-H456</f>
        <v>-43.503190876196186</v>
      </c>
      <c r="I458" s="1484">
        <f t="shared" ref="I458" si="195">I457-I456</f>
        <v>-46.964688726513941</v>
      </c>
    </row>
    <row r="459" spans="1:9" x14ac:dyDescent="0.3">
      <c r="A459" s="144"/>
      <c r="B459" s="144"/>
      <c r="C459" s="144"/>
      <c r="D459" s="144"/>
      <c r="E459" s="144"/>
      <c r="F459" s="144"/>
      <c r="G459" s="144"/>
      <c r="H459" s="144"/>
      <c r="I459" s="144"/>
    </row>
    <row r="460" spans="1:9" x14ac:dyDescent="0.3">
      <c r="A460" s="493" t="s">
        <v>198</v>
      </c>
      <c r="B460" s="144"/>
      <c r="C460" s="144"/>
      <c r="D460" s="144"/>
      <c r="E460" s="144"/>
      <c r="F460" s="144"/>
      <c r="G460" s="144"/>
      <c r="H460" s="144"/>
      <c r="I460" s="144"/>
    </row>
    <row r="461" spans="1:9" x14ac:dyDescent="0.3">
      <c r="A461" s="708" t="s">
        <v>722</v>
      </c>
      <c r="B461" s="365">
        <f>Drivers!EX580</f>
        <v>3246</v>
      </c>
      <c r="C461" s="365">
        <f>Drivers!FC580</f>
        <v>3194.4479521510066</v>
      </c>
      <c r="D461" s="365">
        <f>Drivers!FD580</f>
        <v>3082.4684202674325</v>
      </c>
      <c r="E461" s="365">
        <f>Drivers!FE580</f>
        <v>1951.0215850968652</v>
      </c>
      <c r="F461" s="365">
        <f>Drivers!FF580</f>
        <v>1611.100905365895</v>
      </c>
      <c r="G461" s="365">
        <f>Drivers!FG580</f>
        <v>1671.0656290142479</v>
      </c>
      <c r="H461" s="365">
        <f>Drivers!FH580</f>
        <v>1646.8753495613416</v>
      </c>
      <c r="I461" s="365">
        <f>Drivers!FI580</f>
        <v>1624.2957441032881</v>
      </c>
    </row>
    <row r="462" spans="1:9" x14ac:dyDescent="0.3">
      <c r="A462" s="708" t="s">
        <v>723</v>
      </c>
      <c r="B462" s="365">
        <v>3190</v>
      </c>
      <c r="C462" s="365">
        <v>3185</v>
      </c>
      <c r="D462" s="365">
        <v>3080</v>
      </c>
      <c r="E462" s="365">
        <v>1937</v>
      </c>
      <c r="F462" s="365">
        <v>1612</v>
      </c>
      <c r="G462" s="365">
        <v>1538</v>
      </c>
      <c r="H462" s="365">
        <v>1520</v>
      </c>
      <c r="I462" s="365">
        <v>1511</v>
      </c>
    </row>
    <row r="463" spans="1:9" x14ac:dyDescent="0.3">
      <c r="A463" s="614" t="s">
        <v>652</v>
      </c>
      <c r="B463" s="1484">
        <f>B462-B461</f>
        <v>-56</v>
      </c>
      <c r="C463" s="1484">
        <f t="shared" ref="C463" si="196">C462-C461</f>
        <v>-9.4479521510065751</v>
      </c>
      <c r="D463" s="1484">
        <f t="shared" ref="D463" si="197">D462-D461</f>
        <v>-2.4684202674325206</v>
      </c>
      <c r="E463" s="1484">
        <f t="shared" ref="E463" si="198">E462-E461</f>
        <v>-14.021585096865238</v>
      </c>
      <c r="F463" s="1484">
        <f t="shared" ref="F463" si="199">F462-F461</f>
        <v>0.89909463410504031</v>
      </c>
      <c r="G463" s="1484">
        <f t="shared" ref="G463" si="200">G462-G461</f>
        <v>-133.06562901424786</v>
      </c>
      <c r="H463" s="1484">
        <f t="shared" ref="H463" si="201">H462-H461</f>
        <v>-126.87534956134164</v>
      </c>
      <c r="I463" s="1484">
        <f t="shared" ref="I463" si="202">I462-I461</f>
        <v>-113.29574410328814</v>
      </c>
    </row>
    <row r="464" spans="1:9" x14ac:dyDescent="0.3">
      <c r="A464" s="144"/>
      <c r="B464" s="144"/>
      <c r="C464" s="144"/>
      <c r="D464" s="144"/>
      <c r="E464" s="144"/>
      <c r="F464" s="144"/>
      <c r="G464" s="144"/>
      <c r="H464" s="144"/>
      <c r="I464" s="144"/>
    </row>
    <row r="465" spans="1:9" x14ac:dyDescent="0.3">
      <c r="A465" s="493" t="s">
        <v>725</v>
      </c>
      <c r="B465" s="144"/>
      <c r="C465" s="144"/>
      <c r="D465" s="144"/>
      <c r="E465" s="144"/>
      <c r="F465" s="144"/>
      <c r="G465" s="144"/>
      <c r="H465" s="144"/>
      <c r="I465" s="144"/>
    </row>
    <row r="466" spans="1:9" x14ac:dyDescent="0.3">
      <c r="A466" s="708" t="s">
        <v>722</v>
      </c>
      <c r="B466" s="365">
        <f>B456-B461</f>
        <v>-995</v>
      </c>
      <c r="C466" s="365">
        <f t="shared" ref="C466:I467" si="203">C456-C461</f>
        <v>-777.99335523931313</v>
      </c>
      <c r="D466" s="365">
        <f t="shared" si="203"/>
        <v>-405.45538129117449</v>
      </c>
      <c r="E466" s="365">
        <f t="shared" si="203"/>
        <v>1042.8547393896306</v>
      </c>
      <c r="F466" s="365">
        <f t="shared" si="203"/>
        <v>1660.9029232813377</v>
      </c>
      <c r="G466" s="365">
        <f t="shared" si="203"/>
        <v>1862.6138180802091</v>
      </c>
      <c r="H466" s="365">
        <f t="shared" si="203"/>
        <v>2131.6278413148548</v>
      </c>
      <c r="I466" s="365">
        <f t="shared" si="203"/>
        <v>2377.6689446232258</v>
      </c>
    </row>
    <row r="467" spans="1:9" x14ac:dyDescent="0.3">
      <c r="A467" s="708" t="s">
        <v>723</v>
      </c>
      <c r="B467" s="365">
        <f>B457-B462</f>
        <v>-940</v>
      </c>
      <c r="C467" s="365">
        <f t="shared" si="203"/>
        <v>-792</v>
      </c>
      <c r="D467" s="365">
        <f t="shared" si="203"/>
        <v>-443</v>
      </c>
      <c r="E467" s="365">
        <f t="shared" si="203"/>
        <v>1051</v>
      </c>
      <c r="F467" s="365">
        <f t="shared" si="203"/>
        <v>1671</v>
      </c>
      <c r="G467" s="365">
        <f t="shared" si="203"/>
        <v>1976</v>
      </c>
      <c r="H467" s="365">
        <f t="shared" si="203"/>
        <v>2215</v>
      </c>
      <c r="I467" s="365">
        <f t="shared" si="203"/>
        <v>2444</v>
      </c>
    </row>
    <row r="468" spans="1:9" x14ac:dyDescent="0.3">
      <c r="A468" s="614" t="s">
        <v>652</v>
      </c>
      <c r="B468" s="1484">
        <f>B467-B466</f>
        <v>55</v>
      </c>
      <c r="C468" s="1484">
        <f t="shared" ref="C468" si="204">C467-C466</f>
        <v>-14.006644760686868</v>
      </c>
      <c r="D468" s="1484">
        <f t="shared" ref="D468" si="205">D467-D466</f>
        <v>-37.54461870882551</v>
      </c>
      <c r="E468" s="1484">
        <f t="shared" ref="E468" si="206">E467-E466</f>
        <v>8.1452606103694052</v>
      </c>
      <c r="F468" s="1484">
        <f t="shared" ref="F468" si="207">F467-F466</f>
        <v>10.097076718662265</v>
      </c>
      <c r="G468" s="1484">
        <f t="shared" ref="G468" si="208">G467-G466</f>
        <v>113.38618191979094</v>
      </c>
      <c r="H468" s="1484">
        <f t="shared" ref="H468" si="209">H467-H466</f>
        <v>83.372158685145223</v>
      </c>
      <c r="I468" s="1484">
        <f t="shared" ref="I468" si="210">I467-I466</f>
        <v>66.331055376774202</v>
      </c>
    </row>
    <row r="469" spans="1:9" x14ac:dyDescent="0.3">
      <c r="A469" s="494"/>
      <c r="B469" s="494"/>
      <c r="C469" s="494"/>
      <c r="D469" s="494"/>
      <c r="E469" s="494"/>
      <c r="F469" s="494"/>
      <c r="G469" s="494"/>
      <c r="H469" s="494"/>
      <c r="I469" s="494"/>
    </row>
    <row r="471" spans="1:9" x14ac:dyDescent="0.3">
      <c r="A471" s="494"/>
      <c r="B471" s="618">
        <v>2024</v>
      </c>
      <c r="C471" s="618">
        <v>2025</v>
      </c>
      <c r="D471" s="618">
        <v>2026</v>
      </c>
      <c r="E471" s="618">
        <v>2027</v>
      </c>
      <c r="F471" s="618">
        <v>2028</v>
      </c>
      <c r="G471" s="618">
        <v>2029</v>
      </c>
      <c r="H471" s="618">
        <v>2030</v>
      </c>
      <c r="I471" s="618">
        <v>2031</v>
      </c>
    </row>
    <row r="472" spans="1:9" x14ac:dyDescent="0.3">
      <c r="A472" s="90" t="s">
        <v>726</v>
      </c>
    </row>
    <row r="473" spans="1:9" x14ac:dyDescent="0.3">
      <c r="A473" t="s">
        <v>284</v>
      </c>
      <c r="B473" s="885">
        <f>_xll.VAData("FYBR_US","FY-2024","Total revenue")</f>
        <v>5896.8322119915192</v>
      </c>
      <c r="C473" s="885">
        <f>_xll.VAData("FYBR_US","FY-2025","Total revenue")</f>
        <v>6005.9840364603479</v>
      </c>
      <c r="D473" s="885">
        <f>_xll.VAData("FYBR_US","FY-2026","Total revenue")</f>
        <v>6235.3486690862264</v>
      </c>
      <c r="E473" s="885">
        <f>_xll.VAData("FYBR_US","FY-2027","Total revenue")</f>
        <v>6531.7882343471711</v>
      </c>
      <c r="F473" s="885">
        <f>_xll.VAData("FYBR_US","FY-2028","Total revenue")</f>
        <v>6750.9751069394852</v>
      </c>
      <c r="G473" s="885">
        <f>_xll.VAData("FYBR_US","FY-2029","Total revenue")</f>
        <v>7039.7486364920669</v>
      </c>
      <c r="H473" s="885">
        <f>_xll.VAData("FYBR_US","FY-2030","Total revenue")</f>
        <v>7330.0541299308934</v>
      </c>
      <c r="I473" s="885">
        <f>_xll.VAData("FYBR_US","FY-2031","Total revenue")</f>
        <v>7398.7377922523838</v>
      </c>
    </row>
    <row r="474" spans="1:9" x14ac:dyDescent="0.3">
      <c r="A474" t="s">
        <v>44</v>
      </c>
      <c r="B474" s="885">
        <f>_xll.VAData("FYBR_US","FY-2024","EBITDA - Operating")</f>
        <v>2233.6301635430391</v>
      </c>
      <c r="C474" s="885">
        <f>_xll.VAData("FYBR_US","FY-2025","EBITDA - Operating")</f>
        <v>2367.9323192801298</v>
      </c>
      <c r="D474" s="885">
        <f>_xll.VAData("FYBR_US","FY-2026","EBITDA - Operating")</f>
        <v>2565.0848300651824</v>
      </c>
      <c r="E474" s="885">
        <f>_xll.VAData("FYBR_US","FY-2027","EBITDA - Operating")</f>
        <v>2812.1081036754385</v>
      </c>
      <c r="F474" s="885">
        <f>_xll.VAData("FYBR_US","FY-2028","EBITDA - Operating")</f>
        <v>3026.5291732695418</v>
      </c>
      <c r="G474" s="885">
        <f>_xll.VAData("FYBR_US","FY-2029","EBITDA - Operating")</f>
        <v>3261.7789889730084</v>
      </c>
      <c r="H474" s="885">
        <f>_xll.VAData("FYBR_US","FY-2030","EBITDA - Operating")</f>
        <v>3503.8858502139733</v>
      </c>
      <c r="I474" s="885">
        <f>_xll.VAData("FYBR_US","FY-2031","EBITDA - Operating")</f>
        <v>3316.6544349343699</v>
      </c>
    </row>
    <row r="475" spans="1:9" x14ac:dyDescent="0.3">
      <c r="A475" t="s">
        <v>198</v>
      </c>
      <c r="B475" s="885">
        <f>_xll.VAData("FYBR_US","FY-2024","Capital expenditures")+_xll.VAData("FYBR_US","FY-2024","Payment of vendor financing capital expenditures")</f>
        <v>3163.9567748045811</v>
      </c>
      <c r="C475" s="885">
        <f>_xll.VAData("FYBR_US","FY-2025","Capital expenditures")+_xll.VAData("FYBR_US","FY-2025","Payment of vendor financing capital expenditures")</f>
        <v>3065.8824093007165</v>
      </c>
      <c r="D475" s="885">
        <f>_xll.VAData("FYBR_US","FY-2026","Capital expenditures")+_xll.VAData("FYBR_US","FY-2026","Payment of vendor financing capital expenditures")</f>
        <v>2684.6138568155006</v>
      </c>
      <c r="E475" s="885">
        <f>_xll.VAData("FYBR_US","FY-2027","Capital expenditures")+_xll.VAData("FYBR_US","FY-2027","Payment of vendor financing capital expenditures")</f>
        <v>2126.32143005954</v>
      </c>
      <c r="F475" s="885">
        <f>_xll.VAData("FYBR_US","FY-2028","Capital expenditures")+_xll.VAData("FYBR_US","FY-2028","Payment of vendor financing capital expenditures")</f>
        <v>1904.544892027624</v>
      </c>
      <c r="G475" s="885">
        <f>_xll.VAData("FYBR_US","FY-2029","Capital expenditures")+_xll.VAData("FYBR_US","FY-2029","Payment of vendor financing capital expenditures")</f>
        <v>1623.0648730770172</v>
      </c>
      <c r="H475" s="885">
        <f>_xll.VAData("FYBR_US","FY-2030","Capital expenditures")</f>
        <v>1303.105286622992</v>
      </c>
      <c r="I475" s="885">
        <f>_xll.VAData("FYBR_US","FY-2031","Capital expenditures")</f>
        <v>1373.8798772359867</v>
      </c>
    </row>
    <row r="477" spans="1:9" x14ac:dyDescent="0.3">
      <c r="A477" s="90" t="s">
        <v>727</v>
      </c>
    </row>
    <row r="478" spans="1:9" x14ac:dyDescent="0.3">
      <c r="A478" t="s">
        <v>284</v>
      </c>
      <c r="B478" s="887">
        <f>B473-B451</f>
        <v>-40.167788008480784</v>
      </c>
      <c r="C478" s="887">
        <f t="shared" ref="C478:I478" si="211">C473-C451</f>
        <v>-14.839342664582546</v>
      </c>
      <c r="D478" s="887">
        <f t="shared" si="211"/>
        <v>9.1512163509178208</v>
      </c>
      <c r="E478" s="887">
        <f t="shared" si="211"/>
        <v>27.523280334798073</v>
      </c>
      <c r="F478" s="887">
        <f t="shared" si="211"/>
        <v>-50.220873090965142</v>
      </c>
      <c r="G478" s="887">
        <f t="shared" si="211"/>
        <v>-37.390680890050135</v>
      </c>
      <c r="H478" s="887">
        <f t="shared" si="211"/>
        <v>-1.6200250967494867</v>
      </c>
      <c r="I478" s="887">
        <f t="shared" si="211"/>
        <v>-161.1311591812364</v>
      </c>
    </row>
    <row r="479" spans="1:9" x14ac:dyDescent="0.3">
      <c r="A479" t="s">
        <v>44</v>
      </c>
      <c r="B479" s="887">
        <f>B474-B456</f>
        <v>-17.369836456960911</v>
      </c>
      <c r="C479" s="887">
        <f t="shared" ref="C479:I479" si="212">C474-C456</f>
        <v>-48.522277631563611</v>
      </c>
      <c r="D479" s="887">
        <f t="shared" si="212"/>
        <v>-111.92820891107567</v>
      </c>
      <c r="E479" s="887">
        <f t="shared" si="212"/>
        <v>-181.76822081105729</v>
      </c>
      <c r="F479" s="887">
        <f t="shared" si="212"/>
        <v>-245.47465537769085</v>
      </c>
      <c r="G479" s="887">
        <f t="shared" si="212"/>
        <v>-271.90045812144854</v>
      </c>
      <c r="H479" s="887">
        <f t="shared" si="212"/>
        <v>-274.61734066222289</v>
      </c>
      <c r="I479" s="887">
        <f t="shared" si="212"/>
        <v>-685.31025379214407</v>
      </c>
    </row>
    <row r="480" spans="1:9" x14ac:dyDescent="0.3">
      <c r="A480" t="s">
        <v>198</v>
      </c>
      <c r="B480" s="887">
        <f>B475-B461</f>
        <v>-82.043225195418927</v>
      </c>
      <c r="C480" s="887">
        <f t="shared" ref="C480:I480" si="213">C475-C461</f>
        <v>-128.56554285029006</v>
      </c>
      <c r="D480" s="887">
        <f t="shared" si="213"/>
        <v>-397.85456345193188</v>
      </c>
      <c r="E480" s="887">
        <f t="shared" si="213"/>
        <v>175.2998449626748</v>
      </c>
      <c r="F480" s="887">
        <f t="shared" si="213"/>
        <v>293.44398666172901</v>
      </c>
      <c r="G480" s="887">
        <f t="shared" si="213"/>
        <v>-48.000755937230679</v>
      </c>
      <c r="H480" s="887">
        <f t="shared" si="213"/>
        <v>-343.77006293834961</v>
      </c>
      <c r="I480" s="887">
        <f t="shared" si="213"/>
        <v>-250.41586686730147</v>
      </c>
    </row>
    <row r="481" spans="1:10" x14ac:dyDescent="0.3">
      <c r="A481" t="s">
        <v>642</v>
      </c>
      <c r="B481" s="887">
        <f>B479-B480</f>
        <v>64.673388738458016</v>
      </c>
      <c r="C481" s="887">
        <f t="shared" ref="C481:I481" si="214">C479-C480</f>
        <v>80.043265218726447</v>
      </c>
      <c r="D481" s="887">
        <f t="shared" si="214"/>
        <v>285.92635454085621</v>
      </c>
      <c r="E481" s="887">
        <f t="shared" si="214"/>
        <v>-357.06806577373209</v>
      </c>
      <c r="F481" s="887">
        <f t="shared" si="214"/>
        <v>-538.91864203941986</v>
      </c>
      <c r="G481" s="887">
        <f t="shared" si="214"/>
        <v>-223.89970218421786</v>
      </c>
      <c r="H481" s="887">
        <f t="shared" si="214"/>
        <v>69.152722276126724</v>
      </c>
      <c r="I481" s="887">
        <f t="shared" si="214"/>
        <v>-434.89438692484259</v>
      </c>
    </row>
    <row r="483" spans="1:10" x14ac:dyDescent="0.3">
      <c r="A483" s="90" t="s">
        <v>728</v>
      </c>
    </row>
    <row r="484" spans="1:10" x14ac:dyDescent="0.3">
      <c r="A484" t="s">
        <v>284</v>
      </c>
      <c r="B484" s="887">
        <f>B473-B452</f>
        <v>20.832211991519216</v>
      </c>
      <c r="C484" s="887">
        <f t="shared" ref="C484:I484" si="215">C473-C452</f>
        <v>38.984036460347852</v>
      </c>
      <c r="D484" s="887">
        <f t="shared" si="215"/>
        <v>50.348669086226437</v>
      </c>
      <c r="E484" s="887">
        <f t="shared" si="215"/>
        <v>141.78823434717106</v>
      </c>
      <c r="F484" s="887">
        <f t="shared" si="215"/>
        <v>174.97510693948516</v>
      </c>
      <c r="G484" s="887">
        <f t="shared" si="215"/>
        <v>265.74863649206691</v>
      </c>
      <c r="H484" s="887">
        <f t="shared" si="215"/>
        <v>359.0541299308934</v>
      </c>
      <c r="I484" s="887">
        <f t="shared" si="215"/>
        <v>225.73779225238377</v>
      </c>
    </row>
    <row r="485" spans="1:10" x14ac:dyDescent="0.3">
      <c r="A485" t="s">
        <v>44</v>
      </c>
      <c r="B485" s="887">
        <f>B474-B457</f>
        <v>-16.369836456960911</v>
      </c>
      <c r="C485" s="887">
        <f t="shared" ref="C485:I485" si="216">C474-C457</f>
        <v>-25.067680719870168</v>
      </c>
      <c r="D485" s="887">
        <f t="shared" si="216"/>
        <v>-71.915169934817641</v>
      </c>
      <c r="E485" s="887">
        <f t="shared" si="216"/>
        <v>-175.89189632456146</v>
      </c>
      <c r="F485" s="887">
        <f t="shared" si="216"/>
        <v>-256.47082673045816</v>
      </c>
      <c r="G485" s="887">
        <f t="shared" si="216"/>
        <v>-252.22101102699162</v>
      </c>
      <c r="H485" s="887">
        <f t="shared" si="216"/>
        <v>-231.1141497860267</v>
      </c>
      <c r="I485" s="887">
        <f t="shared" si="216"/>
        <v>-638.34556506563013</v>
      </c>
    </row>
    <row r="486" spans="1:10" x14ac:dyDescent="0.3">
      <c r="A486" t="s">
        <v>198</v>
      </c>
      <c r="B486" s="887">
        <f>B475-B462</f>
        <v>-26.043225195418927</v>
      </c>
      <c r="C486" s="887">
        <f t="shared" ref="C486:I486" si="217">C475-C462</f>
        <v>-119.11759069928348</v>
      </c>
      <c r="D486" s="887">
        <f t="shared" si="217"/>
        <v>-395.38614318449936</v>
      </c>
      <c r="E486" s="887">
        <f t="shared" si="217"/>
        <v>189.32143005954003</v>
      </c>
      <c r="F486" s="887">
        <f t="shared" si="217"/>
        <v>292.54489202762397</v>
      </c>
      <c r="G486" s="887">
        <f t="shared" si="217"/>
        <v>85.064873077017182</v>
      </c>
      <c r="H486" s="887">
        <f t="shared" si="217"/>
        <v>-216.89471337700797</v>
      </c>
      <c r="I486" s="887">
        <f t="shared" si="217"/>
        <v>-137.12012276401333</v>
      </c>
    </row>
    <row r="487" spans="1:10" x14ac:dyDescent="0.3">
      <c r="A487" t="s">
        <v>642</v>
      </c>
      <c r="B487" s="887">
        <f>B485-B486</f>
        <v>9.6733887384580157</v>
      </c>
      <c r="C487" s="887">
        <f t="shared" ref="C487:I487" si="218">C485-C486</f>
        <v>94.049909979413314</v>
      </c>
      <c r="D487" s="887">
        <f t="shared" si="218"/>
        <v>323.47097324968172</v>
      </c>
      <c r="E487" s="887">
        <f t="shared" si="218"/>
        <v>-365.21332638410149</v>
      </c>
      <c r="F487" s="887">
        <f t="shared" si="218"/>
        <v>-549.01571875808213</v>
      </c>
      <c r="G487" s="887">
        <f t="shared" si="218"/>
        <v>-337.2858841040088</v>
      </c>
      <c r="H487" s="887">
        <f t="shared" si="218"/>
        <v>-14.219436409018726</v>
      </c>
      <c r="I487" s="887">
        <f t="shared" si="218"/>
        <v>-501.22544230161679</v>
      </c>
    </row>
    <row r="488" spans="1:10" x14ac:dyDescent="0.3">
      <c r="A488" s="114"/>
      <c r="B488" s="114"/>
      <c r="C488" s="114"/>
      <c r="D488" s="114"/>
      <c r="E488" s="114"/>
      <c r="F488" s="114"/>
      <c r="G488" s="114"/>
      <c r="H488" s="114"/>
      <c r="I488" s="114"/>
    </row>
    <row r="491" spans="1:10" x14ac:dyDescent="0.3">
      <c r="A491" s="494"/>
      <c r="B491" s="618">
        <v>2024</v>
      </c>
      <c r="C491" s="618">
        <v>2025</v>
      </c>
      <c r="D491" s="618">
        <v>2026</v>
      </c>
      <c r="E491" s="618">
        <v>2027</v>
      </c>
      <c r="F491" s="618">
        <v>2028</v>
      </c>
      <c r="G491" s="618">
        <v>2029</v>
      </c>
      <c r="H491" s="618">
        <v>2030</v>
      </c>
      <c r="I491" s="618">
        <v>2031</v>
      </c>
    </row>
    <row r="492" spans="1:10" x14ac:dyDescent="0.3">
      <c r="A492" s="90" t="s">
        <v>284</v>
      </c>
    </row>
    <row r="493" spans="1:10" x14ac:dyDescent="0.3">
      <c r="A493" s="177" t="s">
        <v>729</v>
      </c>
      <c r="B493" s="887">
        <f>B451</f>
        <v>5937</v>
      </c>
      <c r="C493" s="887">
        <f t="shared" ref="C493:I493" si="219">C451</f>
        <v>6020.8233791249304</v>
      </c>
      <c r="D493" s="887">
        <f t="shared" si="219"/>
        <v>6226.1974527353086</v>
      </c>
      <c r="E493" s="887">
        <f t="shared" si="219"/>
        <v>6504.264954012373</v>
      </c>
      <c r="F493" s="887">
        <f t="shared" si="219"/>
        <v>6801.1959800304503</v>
      </c>
      <c r="G493" s="887">
        <f t="shared" si="219"/>
        <v>7077.139317382117</v>
      </c>
      <c r="H493" s="887">
        <f t="shared" si="219"/>
        <v>7331.6741550276429</v>
      </c>
      <c r="I493" s="887">
        <f t="shared" si="219"/>
        <v>7559.8689514336202</v>
      </c>
    </row>
    <row r="494" spans="1:10" x14ac:dyDescent="0.3">
      <c r="A494" s="177" t="s">
        <v>730</v>
      </c>
      <c r="B494" s="901">
        <f>Drivers!EX199</f>
        <v>1618.0850700000001</v>
      </c>
      <c r="C494" s="901">
        <f>Drivers!FC199</f>
        <v>2008.1558494992316</v>
      </c>
      <c r="D494" s="901">
        <f>Drivers!FD199</f>
        <v>2477.4545844388404</v>
      </c>
      <c r="E494" s="901">
        <f>Drivers!FE199</f>
        <v>2956.8665062485506</v>
      </c>
      <c r="F494" s="901">
        <f>Drivers!FF199</f>
        <v>3389.341589688368</v>
      </c>
      <c r="G494" s="901">
        <f>Drivers!FG199</f>
        <v>3761.252192474436</v>
      </c>
      <c r="H494" s="901">
        <f>Drivers!FH199</f>
        <v>4084.1364104446657</v>
      </c>
      <c r="I494" s="901">
        <f>Drivers!FI199</f>
        <v>4359.5008400382649</v>
      </c>
    </row>
    <row r="495" spans="1:10" x14ac:dyDescent="0.3">
      <c r="A495" s="177" t="s">
        <v>731</v>
      </c>
      <c r="B495" s="887">
        <f>B493-B494</f>
        <v>4318.9149299999999</v>
      </c>
      <c r="C495" s="887">
        <f t="shared" ref="C495:I495" si="220">C493-C494</f>
        <v>4012.667529625699</v>
      </c>
      <c r="D495" s="887">
        <f t="shared" si="220"/>
        <v>3748.7428682964683</v>
      </c>
      <c r="E495" s="887">
        <f t="shared" si="220"/>
        <v>3547.3984477638223</v>
      </c>
      <c r="F495" s="887">
        <f t="shared" si="220"/>
        <v>3411.8543903420823</v>
      </c>
      <c r="G495" s="887">
        <f t="shared" si="220"/>
        <v>3315.887124907681</v>
      </c>
      <c r="H495" s="887">
        <f t="shared" si="220"/>
        <v>3247.5377445829772</v>
      </c>
      <c r="I495" s="887">
        <f t="shared" si="220"/>
        <v>3200.3681113953553</v>
      </c>
      <c r="J495" s="887">
        <f>I495-B495</f>
        <v>-1118.5468186046446</v>
      </c>
    </row>
    <row r="497" spans="1:11" x14ac:dyDescent="0.3">
      <c r="A497" t="s">
        <v>21</v>
      </c>
      <c r="B497" s="885">
        <f>Drivers!EX41</f>
        <v>315.77724000000001</v>
      </c>
      <c r="C497" s="885">
        <f>Drivers!FC41</f>
        <v>251.91317442963975</v>
      </c>
      <c r="D497" s="885">
        <f>Drivers!FD41</f>
        <v>197.83887563582894</v>
      </c>
      <c r="E497" s="885">
        <f>Drivers!FE41</f>
        <v>153.52288510876116</v>
      </c>
      <c r="F497" s="885">
        <f>Drivers!FF41</f>
        <v>119.81610263529966</v>
      </c>
      <c r="G497" s="885">
        <f>Drivers!FG41</f>
        <v>93.821133882064245</v>
      </c>
      <c r="H497" s="885">
        <f>Drivers!FH41</f>
        <v>73.607167119789324</v>
      </c>
      <c r="I497" s="885">
        <f>Drivers!FI41</f>
        <v>57.812180423491618</v>
      </c>
    </row>
    <row r="498" spans="1:11" x14ac:dyDescent="0.3">
      <c r="A498" t="s">
        <v>22</v>
      </c>
      <c r="B498" s="887">
        <f>Drivers!EX42</f>
        <v>722.3910699999999</v>
      </c>
      <c r="C498" s="887">
        <f>Drivers!FC42</f>
        <v>595.74574461268048</v>
      </c>
      <c r="D498" s="887">
        <f>Drivers!FD42</f>
        <v>493.85802786410704</v>
      </c>
      <c r="E498" s="887">
        <f>Drivers!FE42</f>
        <v>426.81580998570007</v>
      </c>
      <c r="F498" s="887">
        <f>Drivers!FF42</f>
        <v>390.39520210774793</v>
      </c>
      <c r="G498" s="887">
        <f>Drivers!FG42</f>
        <v>367.63014655101699</v>
      </c>
      <c r="H498" s="887">
        <f>Drivers!FH42</f>
        <v>352.47554230184409</v>
      </c>
      <c r="I498" s="887">
        <f>Drivers!FI42</f>
        <v>342.55501206700882</v>
      </c>
    </row>
    <row r="499" spans="1:11" x14ac:dyDescent="0.3">
      <c r="A499" t="s">
        <v>732</v>
      </c>
      <c r="B499" s="887">
        <f>Drivers!EX46</f>
        <v>2710</v>
      </c>
      <c r="C499" s="887">
        <f>Drivers!FC46</f>
        <v>2702.2882000013897</v>
      </c>
      <c r="D499" s="887">
        <f>Drivers!FD46</f>
        <v>2697.6352130674022</v>
      </c>
      <c r="E499" s="887">
        <f>Drivers!FE46</f>
        <v>2692.5401311688884</v>
      </c>
      <c r="F499" s="887">
        <f>Drivers!FF46</f>
        <v>2687.9200451232196</v>
      </c>
      <c r="G499" s="887">
        <f>Drivers!FG46</f>
        <v>2684.1546656111086</v>
      </c>
      <c r="H499" s="887">
        <f>Drivers!FH46</f>
        <v>2682.1479728793042</v>
      </c>
      <c r="I499" s="887">
        <f>Drivers!FI46</f>
        <v>2682.733119115976</v>
      </c>
      <c r="J499" s="887">
        <f>I499-B499</f>
        <v>-27.266880884023976</v>
      </c>
    </row>
    <row r="501" spans="1:11" x14ac:dyDescent="0.3">
      <c r="A501" s="177" t="s">
        <v>733</v>
      </c>
      <c r="B501" s="887">
        <f>B452</f>
        <v>5876</v>
      </c>
      <c r="C501" s="887">
        <f t="shared" ref="C501:I501" si="221">C452</f>
        <v>5967</v>
      </c>
      <c r="D501" s="887">
        <f t="shared" si="221"/>
        <v>6185</v>
      </c>
      <c r="E501" s="887">
        <f t="shared" si="221"/>
        <v>6390</v>
      </c>
      <c r="F501" s="887">
        <f t="shared" si="221"/>
        <v>6576</v>
      </c>
      <c r="G501" s="887">
        <f t="shared" si="221"/>
        <v>6774</v>
      </c>
      <c r="H501" s="887">
        <f t="shared" si="221"/>
        <v>6971</v>
      </c>
      <c r="I501" s="887">
        <f t="shared" si="221"/>
        <v>7173</v>
      </c>
    </row>
    <row r="502" spans="1:11" x14ac:dyDescent="0.3">
      <c r="A502" s="177" t="s">
        <v>730</v>
      </c>
      <c r="B502" s="901">
        <f>B494</f>
        <v>1618.0850700000001</v>
      </c>
      <c r="C502" s="901">
        <f t="shared" ref="C502:I502" si="222">C494</f>
        <v>2008.1558494992316</v>
      </c>
      <c r="D502" s="901">
        <f t="shared" si="222"/>
        <v>2477.4545844388404</v>
      </c>
      <c r="E502" s="901">
        <f t="shared" si="222"/>
        <v>2956.8665062485506</v>
      </c>
      <c r="F502" s="901">
        <f t="shared" si="222"/>
        <v>3389.341589688368</v>
      </c>
      <c r="G502" s="901">
        <f t="shared" si="222"/>
        <v>3761.252192474436</v>
      </c>
      <c r="H502" s="901">
        <f t="shared" si="222"/>
        <v>4084.1364104446657</v>
      </c>
      <c r="I502" s="901">
        <f t="shared" si="222"/>
        <v>4359.5008400382649</v>
      </c>
    </row>
    <row r="503" spans="1:11" x14ac:dyDescent="0.3">
      <c r="A503" s="177" t="s">
        <v>731</v>
      </c>
      <c r="B503" s="887">
        <f>B501-B502</f>
        <v>4257.9149299999999</v>
      </c>
      <c r="C503" s="887">
        <f t="shared" ref="C503" si="223">C501-C502</f>
        <v>3958.8441505007686</v>
      </c>
      <c r="D503" s="887">
        <f t="shared" ref="D503" si="224">D501-D502</f>
        <v>3707.5454155611596</v>
      </c>
      <c r="E503" s="887">
        <f t="shared" ref="E503" si="225">E501-E502</f>
        <v>3433.1334937514494</v>
      </c>
      <c r="F503" s="887">
        <f t="shared" ref="F503" si="226">F501-F502</f>
        <v>3186.658410311632</v>
      </c>
      <c r="G503" s="887">
        <f t="shared" ref="G503" si="227">G501-G502</f>
        <v>3012.747807525564</v>
      </c>
      <c r="H503" s="887">
        <f t="shared" ref="H503" si="228">H501-H502</f>
        <v>2886.8635895553343</v>
      </c>
      <c r="I503" s="887">
        <f t="shared" ref="I503" si="229">I501-I502</f>
        <v>2813.4991599617351</v>
      </c>
      <c r="J503" s="887">
        <f>I503-B503</f>
        <v>-1444.4157700382648</v>
      </c>
      <c r="K503" s="887">
        <f>J503-J495</f>
        <v>-325.86895143362017</v>
      </c>
    </row>
    <row r="504" spans="1:11" x14ac:dyDescent="0.3">
      <c r="A504" s="177" t="s">
        <v>734</v>
      </c>
      <c r="B504" s="887">
        <f>Drivers!EX11</f>
        <v>64</v>
      </c>
      <c r="C504" s="887">
        <f>Drivers!FC11</f>
        <v>64</v>
      </c>
      <c r="D504" s="887">
        <f>Drivers!FD11</f>
        <v>64</v>
      </c>
      <c r="E504" s="887">
        <f>Drivers!FE11</f>
        <v>64</v>
      </c>
      <c r="F504" s="887">
        <f>Drivers!FF11</f>
        <v>64</v>
      </c>
      <c r="G504" s="887">
        <f>Drivers!FG11</f>
        <v>64</v>
      </c>
      <c r="H504" s="887">
        <f>Drivers!FH11</f>
        <v>64</v>
      </c>
      <c r="I504" s="887">
        <f>Drivers!FI11</f>
        <v>64</v>
      </c>
      <c r="J504" s="887"/>
      <c r="K504" s="887"/>
    </row>
    <row r="505" spans="1:11" x14ac:dyDescent="0.3">
      <c r="A505" s="177" t="s">
        <v>735</v>
      </c>
      <c r="B505" s="887">
        <f>Drivers!EX337</f>
        <v>506.74662000000001</v>
      </c>
      <c r="C505" s="887">
        <f>Drivers!FC337</f>
        <v>398.72041058198948</v>
      </c>
      <c r="D505" s="887">
        <f>Drivers!FD337</f>
        <v>295.41075172913111</v>
      </c>
      <c r="E505" s="887">
        <f>Drivers!FE337</f>
        <v>210.51962150047194</v>
      </c>
      <c r="F505" s="887">
        <f>Drivers!FF337</f>
        <v>149.72304047581466</v>
      </c>
      <c r="G505" s="887">
        <f>Drivers!FG337</f>
        <v>106.28117886349193</v>
      </c>
      <c r="H505" s="887">
        <f>Drivers!FH337</f>
        <v>75.307062282039553</v>
      </c>
      <c r="I505" s="887">
        <f>Drivers!FI337</f>
        <v>53.267799788879096</v>
      </c>
      <c r="J505" s="887"/>
      <c r="K505" s="887"/>
    </row>
    <row r="506" spans="1:11" x14ac:dyDescent="0.3">
      <c r="A506" s="177" t="s">
        <v>682</v>
      </c>
      <c r="B506" s="887">
        <f t="shared" ref="B506:I507" si="230">B497</f>
        <v>315.77724000000001</v>
      </c>
      <c r="C506" s="887">
        <f t="shared" si="230"/>
        <v>251.91317442963975</v>
      </c>
      <c r="D506" s="887">
        <f t="shared" si="230"/>
        <v>197.83887563582894</v>
      </c>
      <c r="E506" s="887">
        <f t="shared" si="230"/>
        <v>153.52288510876116</v>
      </c>
      <c r="F506" s="887">
        <f t="shared" si="230"/>
        <v>119.81610263529966</v>
      </c>
      <c r="G506" s="887">
        <f t="shared" si="230"/>
        <v>93.821133882064245</v>
      </c>
      <c r="H506" s="887">
        <f t="shared" si="230"/>
        <v>73.607167119789324</v>
      </c>
      <c r="I506" s="887">
        <f t="shared" si="230"/>
        <v>57.812180423491618</v>
      </c>
    </row>
    <row r="507" spans="1:11" x14ac:dyDescent="0.3">
      <c r="A507" s="177" t="s">
        <v>736</v>
      </c>
      <c r="B507" s="866">
        <f t="shared" si="230"/>
        <v>722.3910699999999</v>
      </c>
      <c r="C507" s="866">
        <f t="shared" si="230"/>
        <v>595.74574461268048</v>
      </c>
      <c r="D507" s="866">
        <f t="shared" si="230"/>
        <v>493.85802786410704</v>
      </c>
      <c r="E507" s="866">
        <f t="shared" si="230"/>
        <v>426.81580998570007</v>
      </c>
      <c r="F507" s="866">
        <f t="shared" si="230"/>
        <v>390.39520210774793</v>
      </c>
      <c r="G507" s="866">
        <f t="shared" si="230"/>
        <v>367.63014655101699</v>
      </c>
      <c r="H507" s="866">
        <f t="shared" si="230"/>
        <v>352.47554230184409</v>
      </c>
      <c r="I507" s="866">
        <f t="shared" si="230"/>
        <v>342.55501206700882</v>
      </c>
    </row>
    <row r="508" spans="1:11" x14ac:dyDescent="0.3">
      <c r="A508" s="177" t="s">
        <v>737</v>
      </c>
      <c r="B508" s="887">
        <f>B503-B506-B507-B505-B504</f>
        <v>2649</v>
      </c>
      <c r="C508" s="887">
        <f t="shared" ref="C508:I508" si="231">C503-C506-C507-C505-C504</f>
        <v>2648.4648208764588</v>
      </c>
      <c r="D508" s="887">
        <f t="shared" si="231"/>
        <v>2656.4377603320927</v>
      </c>
      <c r="E508" s="887">
        <f t="shared" si="231"/>
        <v>2578.2751771565158</v>
      </c>
      <c r="F508" s="887">
        <f t="shared" si="231"/>
        <v>2462.7240650927697</v>
      </c>
      <c r="G508" s="887">
        <f t="shared" si="231"/>
        <v>2381.0153482289911</v>
      </c>
      <c r="H508" s="887">
        <f t="shared" si="231"/>
        <v>2321.4738178516614</v>
      </c>
      <c r="I508" s="887">
        <f t="shared" si="231"/>
        <v>2295.8641676823559</v>
      </c>
      <c r="J508" s="887">
        <f>I508-B508</f>
        <v>-353.13583231764414</v>
      </c>
    </row>
    <row r="509" spans="1:11" x14ac:dyDescent="0.3">
      <c r="A509" s="114"/>
      <c r="B509" s="114"/>
      <c r="C509" s="114"/>
      <c r="D509" s="114"/>
      <c r="E509" s="114"/>
      <c r="F509" s="114"/>
      <c r="G509" s="114"/>
      <c r="H509" s="114"/>
      <c r="I509" s="114"/>
    </row>
    <row r="512" spans="1:11" x14ac:dyDescent="0.3">
      <c r="A512" s="618" t="s">
        <v>738</v>
      </c>
      <c r="B512" s="618">
        <v>2024</v>
      </c>
      <c r="C512" s="618">
        <v>2025</v>
      </c>
      <c r="D512" s="618">
        <v>2026</v>
      </c>
      <c r="E512" s="618">
        <v>2027</v>
      </c>
      <c r="F512" s="618">
        <v>2028</v>
      </c>
      <c r="G512" s="618">
        <v>2029</v>
      </c>
      <c r="H512" s="618">
        <v>2030</v>
      </c>
      <c r="I512" s="618">
        <v>2031</v>
      </c>
    </row>
    <row r="513" spans="1:20" x14ac:dyDescent="0.3">
      <c r="A513" t="s">
        <v>284</v>
      </c>
      <c r="B513" s="918">
        <v>5876</v>
      </c>
      <c r="C513" s="918">
        <v>5967</v>
      </c>
      <c r="D513" s="918">
        <v>6218</v>
      </c>
      <c r="E513" s="918">
        <v>6600</v>
      </c>
      <c r="F513" s="918">
        <v>7113</v>
      </c>
      <c r="G513" s="918">
        <v>7608</v>
      </c>
      <c r="H513" s="918">
        <v>8042</v>
      </c>
      <c r="I513" s="918">
        <v>8441</v>
      </c>
    </row>
    <row r="514" spans="1:20" x14ac:dyDescent="0.3">
      <c r="A514" t="s">
        <v>44</v>
      </c>
      <c r="B514" s="1758">
        <v>2250</v>
      </c>
      <c r="C514" s="1758">
        <v>2378</v>
      </c>
      <c r="D514" s="1758">
        <v>2565</v>
      </c>
      <c r="E514" s="1758">
        <v>2902</v>
      </c>
      <c r="F514" s="1758">
        <v>3413</v>
      </c>
      <c r="G514" s="1758">
        <v>3925</v>
      </c>
      <c r="H514" s="1758">
        <v>4378</v>
      </c>
      <c r="I514" s="1758">
        <v>4779</v>
      </c>
    </row>
    <row r="515" spans="1:20" x14ac:dyDescent="0.3">
      <c r="A515" t="s">
        <v>198</v>
      </c>
      <c r="B515" s="1758">
        <v>3190</v>
      </c>
      <c r="C515" s="1758">
        <v>3185</v>
      </c>
      <c r="D515" s="1758">
        <v>3877</v>
      </c>
      <c r="E515" s="1758">
        <v>4385</v>
      </c>
      <c r="F515" s="1758">
        <v>3512</v>
      </c>
      <c r="G515" s="1758">
        <v>2157</v>
      </c>
      <c r="H515" s="1758">
        <v>1899</v>
      </c>
      <c r="I515" s="1758">
        <v>1809</v>
      </c>
    </row>
    <row r="516" spans="1:20" x14ac:dyDescent="0.3">
      <c r="A516" t="s">
        <v>642</v>
      </c>
      <c r="B516" s="887">
        <f>B514-B515</f>
        <v>-940</v>
      </c>
      <c r="C516" s="887">
        <f t="shared" ref="C516:I516" si="232">C514-C515</f>
        <v>-807</v>
      </c>
      <c r="D516" s="887">
        <f t="shared" si="232"/>
        <v>-1312</v>
      </c>
      <c r="E516" s="887">
        <f t="shared" si="232"/>
        <v>-1483</v>
      </c>
      <c r="F516" s="887">
        <f t="shared" si="232"/>
        <v>-99</v>
      </c>
      <c r="G516" s="887">
        <f t="shared" si="232"/>
        <v>1768</v>
      </c>
      <c r="H516" s="887">
        <f t="shared" si="232"/>
        <v>2479</v>
      </c>
      <c r="I516" s="887">
        <f t="shared" si="232"/>
        <v>2970</v>
      </c>
    </row>
    <row r="518" spans="1:20" x14ac:dyDescent="0.3">
      <c r="A518" s="90" t="s">
        <v>739</v>
      </c>
    </row>
    <row r="519" spans="1:20" x14ac:dyDescent="0.3">
      <c r="A519" t="s">
        <v>284</v>
      </c>
      <c r="B519" s="887">
        <f>B513-B452</f>
        <v>0</v>
      </c>
      <c r="C519" s="887">
        <f t="shared" ref="C519:I519" si="233">C513-C452</f>
        <v>0</v>
      </c>
      <c r="D519" s="887">
        <f t="shared" si="233"/>
        <v>33</v>
      </c>
      <c r="E519" s="887">
        <f t="shared" si="233"/>
        <v>210</v>
      </c>
      <c r="F519" s="887">
        <f t="shared" si="233"/>
        <v>537</v>
      </c>
      <c r="G519" s="887">
        <f t="shared" si="233"/>
        <v>834</v>
      </c>
      <c r="H519" s="887">
        <f t="shared" si="233"/>
        <v>1071</v>
      </c>
      <c r="I519" s="887">
        <f t="shared" si="233"/>
        <v>1268</v>
      </c>
    </row>
    <row r="520" spans="1:20" x14ac:dyDescent="0.3">
      <c r="A520" t="s">
        <v>44</v>
      </c>
      <c r="B520" s="887">
        <f>B514-B457</f>
        <v>0</v>
      </c>
      <c r="C520" s="887">
        <f t="shared" ref="C520:I520" si="234">C514-C457</f>
        <v>-15</v>
      </c>
      <c r="D520" s="887">
        <f t="shared" si="234"/>
        <v>-72</v>
      </c>
      <c r="E520" s="887">
        <f t="shared" si="234"/>
        <v>-86</v>
      </c>
      <c r="F520" s="887">
        <f t="shared" si="234"/>
        <v>130</v>
      </c>
      <c r="G520" s="887">
        <f t="shared" si="234"/>
        <v>411</v>
      </c>
      <c r="H520" s="887">
        <f t="shared" si="234"/>
        <v>643</v>
      </c>
      <c r="I520" s="887">
        <f t="shared" si="234"/>
        <v>824</v>
      </c>
    </row>
    <row r="521" spans="1:20" x14ac:dyDescent="0.3">
      <c r="A521" t="s">
        <v>198</v>
      </c>
      <c r="B521" s="887">
        <f>B515-B462</f>
        <v>0</v>
      </c>
      <c r="C521" s="887">
        <f t="shared" ref="C521:I521" si="235">C515-C462</f>
        <v>0</v>
      </c>
      <c r="D521" s="887">
        <f t="shared" si="235"/>
        <v>797</v>
      </c>
      <c r="E521" s="887">
        <f t="shared" si="235"/>
        <v>2448</v>
      </c>
      <c r="F521" s="887">
        <f t="shared" si="235"/>
        <v>1900</v>
      </c>
      <c r="G521" s="887">
        <f t="shared" si="235"/>
        <v>619</v>
      </c>
      <c r="H521" s="887">
        <f t="shared" si="235"/>
        <v>379</v>
      </c>
      <c r="I521" s="887">
        <f t="shared" si="235"/>
        <v>298</v>
      </c>
    </row>
    <row r="522" spans="1:20" x14ac:dyDescent="0.3">
      <c r="A522" t="s">
        <v>642</v>
      </c>
      <c r="B522" s="887">
        <f>B520-B521</f>
        <v>0</v>
      </c>
      <c r="C522" s="887">
        <f t="shared" ref="C522:I522" si="236">C520-C521</f>
        <v>-15</v>
      </c>
      <c r="D522" s="887">
        <f t="shared" si="236"/>
        <v>-869</v>
      </c>
      <c r="E522" s="887">
        <f t="shared" si="236"/>
        <v>-2534</v>
      </c>
      <c r="F522" s="887">
        <f t="shared" si="236"/>
        <v>-1770</v>
      </c>
      <c r="G522" s="887">
        <f t="shared" si="236"/>
        <v>-208</v>
      </c>
      <c r="H522" s="887">
        <f t="shared" si="236"/>
        <v>264</v>
      </c>
      <c r="I522" s="887">
        <f t="shared" si="236"/>
        <v>526</v>
      </c>
    </row>
    <row r="523" spans="1:20" x14ac:dyDescent="0.3">
      <c r="A523" s="114"/>
      <c r="B523" s="114"/>
      <c r="C523" s="114"/>
      <c r="D523" s="114"/>
      <c r="E523" s="114"/>
      <c r="F523" s="114"/>
      <c r="G523" s="114"/>
      <c r="H523" s="114"/>
      <c r="I523" s="114"/>
    </row>
    <row r="524" spans="1:20" x14ac:dyDescent="0.3">
      <c r="F524" s="887"/>
      <c r="G524" s="816"/>
    </row>
    <row r="527" spans="1:20" x14ac:dyDescent="0.3">
      <c r="A527" s="1256" t="s">
        <v>740</v>
      </c>
      <c r="B527" s="1257"/>
      <c r="C527" s="1257"/>
      <c r="D527" s="1257"/>
      <c r="E527" s="1257"/>
      <c r="F527" s="1257"/>
      <c r="G527" s="1257"/>
      <c r="H527" s="1257"/>
      <c r="I527" s="1257"/>
      <c r="J527" s="1257"/>
      <c r="K527" s="1257"/>
      <c r="L527" s="1257"/>
      <c r="M527" s="1257"/>
      <c r="N527" s="1257"/>
      <c r="O527" s="1257"/>
      <c r="P527" s="1257"/>
      <c r="Q527" s="1257"/>
      <c r="R527" s="1257"/>
      <c r="S527" s="1257"/>
      <c r="T527" s="1257"/>
    </row>
    <row r="529" spans="1:6" x14ac:dyDescent="0.3">
      <c r="A529" t="s">
        <v>741</v>
      </c>
      <c r="B529">
        <v>28.04</v>
      </c>
    </row>
    <row r="530" spans="1:6" x14ac:dyDescent="0.3">
      <c r="A530" s="177" t="s">
        <v>742</v>
      </c>
      <c r="B530" s="76">
        <f>Valuation!B7</f>
        <v>260</v>
      </c>
    </row>
    <row r="532" spans="1:6" x14ac:dyDescent="0.3">
      <c r="A532" s="114"/>
      <c r="B532" s="114"/>
      <c r="C532" s="114"/>
    </row>
    <row r="533" spans="1:6" x14ac:dyDescent="0.3">
      <c r="A533" s="708" t="s">
        <v>742</v>
      </c>
      <c r="B533" s="999">
        <f>B530</f>
        <v>260</v>
      </c>
      <c r="C533" s="885">
        <f>B533</f>
        <v>260</v>
      </c>
    </row>
    <row r="534" spans="1:6" x14ac:dyDescent="0.3">
      <c r="A534" s="708" t="s">
        <v>743</v>
      </c>
      <c r="B534" s="1692">
        <v>38.5</v>
      </c>
      <c r="C534" s="1227">
        <f>B534</f>
        <v>38.5</v>
      </c>
    </row>
    <row r="535" spans="1:6" x14ac:dyDescent="0.3">
      <c r="A535" s="708" t="s">
        <v>744</v>
      </c>
      <c r="B535" s="999">
        <f>B533*B534</f>
        <v>10010</v>
      </c>
      <c r="C535" s="885">
        <f>C533*C534</f>
        <v>10010</v>
      </c>
    </row>
    <row r="536" spans="1:6" x14ac:dyDescent="0.3">
      <c r="A536" s="708" t="s">
        <v>745</v>
      </c>
      <c r="B536" s="880">
        <f>'Model Main'!EV198</f>
        <v>10246</v>
      </c>
      <c r="C536" s="866">
        <f>'Model Main'!FC198</f>
        <v>12678.206734041809</v>
      </c>
    </row>
    <row r="537" spans="1:6" x14ac:dyDescent="0.3">
      <c r="A537" s="708" t="s">
        <v>746</v>
      </c>
      <c r="B537" s="999">
        <f>SUM(B535:B536)</f>
        <v>20256</v>
      </c>
      <c r="C537" s="885">
        <f>SUM(C535:C536)</f>
        <v>22688.206734041807</v>
      </c>
      <c r="F537" s="885">
        <f>B544*3.625</f>
        <v>27484.75</v>
      </c>
    </row>
    <row r="538" spans="1:6" x14ac:dyDescent="0.3">
      <c r="A538" s="708" t="s">
        <v>747</v>
      </c>
      <c r="B538" s="880">
        <f>B629</f>
        <v>15400</v>
      </c>
      <c r="C538" s="866">
        <f>B538</f>
        <v>15400</v>
      </c>
      <c r="F538" s="887">
        <f>B542</f>
        <v>1954.5</v>
      </c>
    </row>
    <row r="539" spans="1:6" x14ac:dyDescent="0.3">
      <c r="A539" s="709" t="s">
        <v>748</v>
      </c>
      <c r="B539" s="1064">
        <f>B537/B538*1000</f>
        <v>1315.3246753246751</v>
      </c>
      <c r="C539" s="900">
        <f>C537/C538*1000</f>
        <v>1473.2601775351823</v>
      </c>
      <c r="F539" s="887">
        <f>SUM(F537:F538)</f>
        <v>29439.25</v>
      </c>
    </row>
    <row r="540" spans="1:6" x14ac:dyDescent="0.3">
      <c r="A540" s="144"/>
      <c r="B540" s="144"/>
      <c r="F540" s="887">
        <f>B536</f>
        <v>10246</v>
      </c>
    </row>
    <row r="541" spans="1:6" x14ac:dyDescent="0.3">
      <c r="A541" s="708" t="s">
        <v>749</v>
      </c>
      <c r="B541" s="877">
        <f>B537</f>
        <v>20256</v>
      </c>
      <c r="C541" s="887">
        <f>C537</f>
        <v>22688.206734041807</v>
      </c>
      <c r="F541" s="887">
        <f>F539-F540</f>
        <v>19193.25</v>
      </c>
    </row>
    <row r="542" spans="1:6" x14ac:dyDescent="0.3">
      <c r="A542" s="708" t="s">
        <v>750</v>
      </c>
      <c r="B542" s="880">
        <f>B638</f>
        <v>1954.5</v>
      </c>
      <c r="C542" s="866">
        <f>(15400-C544)*250/1000</f>
        <v>1569.25</v>
      </c>
      <c r="F542" s="887">
        <f>B533</f>
        <v>260</v>
      </c>
    </row>
    <row r="543" spans="1:6" x14ac:dyDescent="0.3">
      <c r="A543" s="709" t="s">
        <v>751</v>
      </c>
      <c r="B543" s="1065">
        <f>B541-B542</f>
        <v>18301.5</v>
      </c>
      <c r="C543" s="916">
        <f>C541-C542</f>
        <v>21118.956734041807</v>
      </c>
      <c r="F543">
        <f>F541/F542</f>
        <v>73.820192307692309</v>
      </c>
    </row>
    <row r="544" spans="1:6" x14ac:dyDescent="0.3">
      <c r="A544" s="708" t="s">
        <v>752</v>
      </c>
      <c r="B544" s="880">
        <f>B633</f>
        <v>7582</v>
      </c>
      <c r="C544" s="866">
        <f>Drivers!FC90</f>
        <v>9123</v>
      </c>
    </row>
    <row r="545" spans="1:5" x14ac:dyDescent="0.3">
      <c r="A545" s="709" t="s">
        <v>753</v>
      </c>
      <c r="B545" s="1064">
        <f>B543/B544*1000</f>
        <v>2413.8090213663941</v>
      </c>
      <c r="C545" s="900">
        <f>C543/C544*1000</f>
        <v>2314.9135957515959</v>
      </c>
    </row>
    <row r="546" spans="1:5" x14ac:dyDescent="0.3">
      <c r="A546" s="494"/>
      <c r="B546" s="494"/>
      <c r="C546" s="114"/>
    </row>
    <row r="549" spans="1:5" x14ac:dyDescent="0.3">
      <c r="A549" t="s">
        <v>754</v>
      </c>
      <c r="B549" s="887">
        <f>B535</f>
        <v>10010</v>
      </c>
      <c r="D549" s="887">
        <f>C535</f>
        <v>10010</v>
      </c>
    </row>
    <row r="550" spans="1:5" x14ac:dyDescent="0.3">
      <c r="A550" t="s">
        <v>148</v>
      </c>
      <c r="B550" s="887">
        <f>B549</f>
        <v>10010</v>
      </c>
      <c r="C550" s="887">
        <f>B551-B549</f>
        <v>10246</v>
      </c>
      <c r="D550" s="887">
        <f>D549</f>
        <v>10010</v>
      </c>
      <c r="E550" s="887">
        <f>D551-D549</f>
        <v>12678.206734041807</v>
      </c>
    </row>
    <row r="551" spans="1:5" x14ac:dyDescent="0.3">
      <c r="A551" t="s">
        <v>755</v>
      </c>
      <c r="B551" s="887">
        <f>B541</f>
        <v>20256</v>
      </c>
      <c r="D551" s="887">
        <f>C537</f>
        <v>22688.206734041807</v>
      </c>
    </row>
    <row r="554" spans="1:5" x14ac:dyDescent="0.3">
      <c r="A554" s="114"/>
      <c r="B554" s="114"/>
      <c r="C554" s="114"/>
    </row>
    <row r="555" spans="1:5" x14ac:dyDescent="0.3">
      <c r="A555" s="708" t="s">
        <v>742</v>
      </c>
      <c r="B555" s="999">
        <f>B533</f>
        <v>260</v>
      </c>
      <c r="C555" s="885">
        <f>B555</f>
        <v>260</v>
      </c>
    </row>
    <row r="556" spans="1:5" x14ac:dyDescent="0.3">
      <c r="A556" s="708" t="s">
        <v>743</v>
      </c>
      <c r="B556" s="1692">
        <v>38.5</v>
      </c>
      <c r="C556" s="1227">
        <f>B556</f>
        <v>38.5</v>
      </c>
    </row>
    <row r="557" spans="1:5" x14ac:dyDescent="0.3">
      <c r="A557" s="708" t="s">
        <v>744</v>
      </c>
      <c r="B557" s="999">
        <f>B555*B556</f>
        <v>10010</v>
      </c>
      <c r="C557" s="885">
        <f>C555*C556</f>
        <v>10010</v>
      </c>
    </row>
    <row r="558" spans="1:5" x14ac:dyDescent="0.3">
      <c r="A558" s="708" t="s">
        <v>745</v>
      </c>
      <c r="B558" s="880">
        <f>B536</f>
        <v>10246</v>
      </c>
      <c r="C558" s="866">
        <f>'Model Main'!FC220</f>
        <v>75.260000000000005</v>
      </c>
    </row>
    <row r="559" spans="1:5" x14ac:dyDescent="0.3">
      <c r="A559" s="708" t="s">
        <v>746</v>
      </c>
      <c r="B559" s="999">
        <f>SUM(B557:B558)</f>
        <v>20256</v>
      </c>
      <c r="C559" s="885">
        <f>SUM(C557:C558)</f>
        <v>10085.26</v>
      </c>
    </row>
    <row r="560" spans="1:5" x14ac:dyDescent="0.3">
      <c r="A560" s="708" t="s">
        <v>756</v>
      </c>
      <c r="B560" s="873">
        <v>320</v>
      </c>
      <c r="C560" s="901">
        <f>B560</f>
        <v>320</v>
      </c>
    </row>
    <row r="561" spans="1:7" x14ac:dyDescent="0.3">
      <c r="A561" s="708" t="s">
        <v>757</v>
      </c>
      <c r="B561" s="999">
        <f>SUM(B559:B560)</f>
        <v>20576</v>
      </c>
      <c r="C561" s="885">
        <f>SUM(C559:C560)</f>
        <v>10405.26</v>
      </c>
    </row>
    <row r="562" spans="1:7" x14ac:dyDescent="0.3">
      <c r="A562" s="708" t="s">
        <v>747</v>
      </c>
      <c r="B562" s="880">
        <f>B538</f>
        <v>15400</v>
      </c>
      <c r="C562" s="866">
        <f>B562</f>
        <v>15400</v>
      </c>
    </row>
    <row r="563" spans="1:7" x14ac:dyDescent="0.3">
      <c r="A563" s="709" t="s">
        <v>748</v>
      </c>
      <c r="B563" s="1064">
        <f>B561/B562*1000</f>
        <v>1336.103896103896</v>
      </c>
      <c r="C563" s="1064">
        <f>C561/C562*1000</f>
        <v>675.66623376623386</v>
      </c>
    </row>
    <row r="564" spans="1:7" x14ac:dyDescent="0.3">
      <c r="A564" s="144"/>
      <c r="B564" s="144"/>
    </row>
    <row r="565" spans="1:7" x14ac:dyDescent="0.3">
      <c r="A565" s="708" t="s">
        <v>758</v>
      </c>
      <c r="B565" s="877">
        <f>B561</f>
        <v>20576</v>
      </c>
      <c r="C565" s="887">
        <f>C559</f>
        <v>10085.26</v>
      </c>
    </row>
    <row r="566" spans="1:7" x14ac:dyDescent="0.3">
      <c r="A566" s="708" t="s">
        <v>750</v>
      </c>
      <c r="B566" s="880">
        <f>B542</f>
        <v>1954.5</v>
      </c>
      <c r="C566" s="866">
        <f>(15400-C568)*250/1000</f>
        <v>3287.75</v>
      </c>
    </row>
    <row r="567" spans="1:7" x14ac:dyDescent="0.3">
      <c r="A567" s="709" t="s">
        <v>751</v>
      </c>
      <c r="B567" s="1065">
        <f>B565-B566</f>
        <v>18621.5</v>
      </c>
      <c r="C567" s="916">
        <f>C565-C566</f>
        <v>6797.51</v>
      </c>
      <c r="G567" s="816">
        <f>8783/B568*1000</f>
        <v>1158.4014771828013</v>
      </c>
    </row>
    <row r="568" spans="1:7" x14ac:dyDescent="0.3">
      <c r="A568" s="708" t="s">
        <v>752</v>
      </c>
      <c r="B568" s="880">
        <f>B544</f>
        <v>7582</v>
      </c>
      <c r="C568" s="866">
        <f>Drivers!FC112</f>
        <v>2249</v>
      </c>
    </row>
    <row r="569" spans="1:7" x14ac:dyDescent="0.3">
      <c r="A569" s="709" t="s">
        <v>753</v>
      </c>
      <c r="B569" s="1064">
        <f>B567/B568*1000</f>
        <v>2456.0142442627275</v>
      </c>
      <c r="C569" s="900">
        <f>C567/C568*1000</f>
        <v>3022.4588706091599</v>
      </c>
    </row>
    <row r="570" spans="1:7" x14ac:dyDescent="0.3">
      <c r="A570" s="494"/>
      <c r="B570" s="494"/>
      <c r="C570" s="114"/>
    </row>
    <row r="575" spans="1:7" x14ac:dyDescent="0.3">
      <c r="A575" s="114"/>
      <c r="B575" s="114"/>
    </row>
    <row r="576" spans="1:7" x14ac:dyDescent="0.3">
      <c r="A576" s="708" t="s">
        <v>759</v>
      </c>
      <c r="B576" s="999">
        <f>[5]Valuation!$B$7</f>
        <v>161.599313</v>
      </c>
    </row>
    <row r="577" spans="1:3" x14ac:dyDescent="0.3">
      <c r="A577" s="708" t="s">
        <v>760</v>
      </c>
      <c r="B577" s="1692" cm="1">
        <f t="array" ref="B577">[5]!CHTRCurrentPrice</f>
        <v>363</v>
      </c>
    </row>
    <row r="578" spans="1:3" x14ac:dyDescent="0.3">
      <c r="A578" s="708" t="s">
        <v>744</v>
      </c>
      <c r="B578" s="999">
        <f>B576*B577</f>
        <v>58660.550619000001</v>
      </c>
    </row>
    <row r="579" spans="1:3" x14ac:dyDescent="0.3">
      <c r="A579" s="708" t="s">
        <v>745</v>
      </c>
      <c r="B579" s="880">
        <f>[5]Valuation!$B$9-[5]Valuation!$B$10-[5]Valuation!$B$11</f>
        <v>93427</v>
      </c>
    </row>
    <row r="580" spans="1:3" x14ac:dyDescent="0.3">
      <c r="A580" s="708" t="s">
        <v>746</v>
      </c>
      <c r="B580" s="999">
        <f>SUM(B578:B579)</f>
        <v>152087.55061899999</v>
      </c>
    </row>
    <row r="581" spans="1:3" x14ac:dyDescent="0.3">
      <c r="A581" s="708" t="s">
        <v>747</v>
      </c>
      <c r="B581" s="880">
        <f>[5]Cable!$EU$70</f>
        <v>56110</v>
      </c>
    </row>
    <row r="582" spans="1:3" x14ac:dyDescent="0.3">
      <c r="A582" s="709" t="s">
        <v>748</v>
      </c>
      <c r="B582" s="1064">
        <f>B580/B581*1000</f>
        <v>2710.5248729103546</v>
      </c>
    </row>
    <row r="583" spans="1:3" x14ac:dyDescent="0.3">
      <c r="A583" s="494"/>
      <c r="B583" s="494"/>
    </row>
    <row r="587" spans="1:3" x14ac:dyDescent="0.3">
      <c r="A587" t="s">
        <v>754</v>
      </c>
      <c r="B587" s="887">
        <f>B578</f>
        <v>58660.550619000001</v>
      </c>
    </row>
    <row r="588" spans="1:3" x14ac:dyDescent="0.3">
      <c r="A588" t="s">
        <v>148</v>
      </c>
      <c r="B588" s="887">
        <f>B587</f>
        <v>58660.550619000001</v>
      </c>
      <c r="C588" s="887">
        <f>B589-B588</f>
        <v>93426.999999999985</v>
      </c>
    </row>
    <row r="589" spans="1:3" x14ac:dyDescent="0.3">
      <c r="A589" t="s">
        <v>761</v>
      </c>
      <c r="B589" s="887">
        <f>B580</f>
        <v>152087.55061899999</v>
      </c>
    </row>
    <row r="594" spans="1:3" x14ac:dyDescent="0.3">
      <c r="A594" s="177" t="s">
        <v>762</v>
      </c>
      <c r="B594" s="885">
        <f>B582</f>
        <v>2710.5248729103546</v>
      </c>
      <c r="C594" s="885"/>
    </row>
    <row r="595" spans="1:3" x14ac:dyDescent="0.3">
      <c r="A595" t="s">
        <v>763</v>
      </c>
      <c r="B595" s="885">
        <f>B594</f>
        <v>2710.5248729103546</v>
      </c>
      <c r="C595" s="885">
        <v>600</v>
      </c>
    </row>
    <row r="596" spans="1:3" x14ac:dyDescent="0.3">
      <c r="A596" t="s">
        <v>764</v>
      </c>
      <c r="B596" s="885">
        <f>B595+C595</f>
        <v>3310.5248729103546</v>
      </c>
      <c r="C596" s="885">
        <f>500*6.6/B568*1000</f>
        <v>435.24136111843842</v>
      </c>
    </row>
    <row r="597" spans="1:3" x14ac:dyDescent="0.3">
      <c r="A597" t="s">
        <v>765</v>
      </c>
      <c r="B597" s="885">
        <f>B596+C596</f>
        <v>3745.766234028793</v>
      </c>
      <c r="C597" s="885"/>
    </row>
    <row r="600" spans="1:3" x14ac:dyDescent="0.3">
      <c r="A600" s="177" t="s">
        <v>762</v>
      </c>
      <c r="B600" s="887">
        <f>B594</f>
        <v>2710.5248729103546</v>
      </c>
    </row>
    <row r="601" spans="1:3" x14ac:dyDescent="0.3">
      <c r="A601" t="s">
        <v>763</v>
      </c>
      <c r="B601" s="885">
        <f>B600</f>
        <v>2710.5248729103546</v>
      </c>
      <c r="C601" s="887">
        <f>C595</f>
        <v>600</v>
      </c>
    </row>
    <row r="602" spans="1:3" x14ac:dyDescent="0.3">
      <c r="A602" t="s">
        <v>765</v>
      </c>
      <c r="B602" s="885">
        <f>B601+C601</f>
        <v>3310.5248729103546</v>
      </c>
    </row>
    <row r="607" spans="1:3" x14ac:dyDescent="0.3">
      <c r="A607" t="s">
        <v>766</v>
      </c>
      <c r="B607" s="887">
        <f>B545</f>
        <v>2413.8090213663941</v>
      </c>
    </row>
    <row r="608" spans="1:3" x14ac:dyDescent="0.3">
      <c r="A608" t="s">
        <v>767</v>
      </c>
      <c r="B608" s="887">
        <v>4700</v>
      </c>
    </row>
    <row r="609" spans="1:11" x14ac:dyDescent="0.3">
      <c r="A609" t="s">
        <v>768</v>
      </c>
      <c r="B609" s="887">
        <f>B608</f>
        <v>4700</v>
      </c>
    </row>
    <row r="616" spans="1:11" x14ac:dyDescent="0.3">
      <c r="B616" s="1845" t="s">
        <v>769</v>
      </c>
      <c r="C616" s="1845"/>
      <c r="D616" s="1845"/>
      <c r="E616" s="1845"/>
      <c r="F616" s="1845"/>
      <c r="G616" s="1845"/>
      <c r="H616" s="1845"/>
      <c r="I616" s="1845"/>
      <c r="J616" s="1845"/>
      <c r="K616" s="1845"/>
    </row>
    <row r="617" spans="1:11" x14ac:dyDescent="0.3">
      <c r="B617" s="1739">
        <v>0.1</v>
      </c>
      <c r="C617" s="1739">
        <f>B617+0.1</f>
        <v>0.2</v>
      </c>
      <c r="D617" s="1739">
        <f>C617+0.1</f>
        <v>0.30000000000000004</v>
      </c>
      <c r="E617" s="1739">
        <f t="shared" ref="E617:K617" si="237">D617+0.1</f>
        <v>0.4</v>
      </c>
      <c r="F617" s="1739">
        <f t="shared" si="237"/>
        <v>0.5</v>
      </c>
      <c r="G617" s="1739">
        <f t="shared" si="237"/>
        <v>0.6</v>
      </c>
      <c r="H617" s="1739">
        <f t="shared" si="237"/>
        <v>0.7</v>
      </c>
      <c r="I617" s="1739">
        <f t="shared" si="237"/>
        <v>0.79999999999999993</v>
      </c>
      <c r="J617" s="1739">
        <f t="shared" si="237"/>
        <v>0.89999999999999991</v>
      </c>
      <c r="K617" s="1739">
        <f t="shared" si="237"/>
        <v>0.99999999999999989</v>
      </c>
    </row>
    <row r="618" spans="1:11" x14ac:dyDescent="0.3">
      <c r="A618" s="177" t="s">
        <v>770</v>
      </c>
      <c r="B618" s="1015">
        <f>B529</f>
        <v>28.04</v>
      </c>
      <c r="C618" s="1015">
        <f>B618</f>
        <v>28.04</v>
      </c>
      <c r="D618" s="1015">
        <f t="shared" ref="D618:K618" si="238">C618</f>
        <v>28.04</v>
      </c>
      <c r="E618" s="1015">
        <f t="shared" si="238"/>
        <v>28.04</v>
      </c>
      <c r="F618" s="1015">
        <f t="shared" si="238"/>
        <v>28.04</v>
      </c>
      <c r="G618" s="1015">
        <f t="shared" si="238"/>
        <v>28.04</v>
      </c>
      <c r="H618" s="1015">
        <f t="shared" si="238"/>
        <v>28.04</v>
      </c>
      <c r="I618" s="1015">
        <f t="shared" si="238"/>
        <v>28.04</v>
      </c>
      <c r="J618" s="1015">
        <f t="shared" si="238"/>
        <v>28.04</v>
      </c>
      <c r="K618" s="1015">
        <f t="shared" si="238"/>
        <v>28.04</v>
      </c>
    </row>
    <row r="619" spans="1:11" x14ac:dyDescent="0.3">
      <c r="A619" s="177" t="s">
        <v>771</v>
      </c>
      <c r="B619" s="634">
        <f>1+B617</f>
        <v>1.1000000000000001</v>
      </c>
      <c r="C619" s="634">
        <f t="shared" ref="C619:K619" si="239">1+C617</f>
        <v>1.2</v>
      </c>
      <c r="D619" s="634">
        <f t="shared" si="239"/>
        <v>1.3</v>
      </c>
      <c r="E619" s="634">
        <f t="shared" si="239"/>
        <v>1.4</v>
      </c>
      <c r="F619" s="634">
        <f t="shared" si="239"/>
        <v>1.5</v>
      </c>
      <c r="G619" s="634">
        <f t="shared" si="239"/>
        <v>1.6</v>
      </c>
      <c r="H619" s="634">
        <f t="shared" si="239"/>
        <v>1.7</v>
      </c>
      <c r="I619" s="634">
        <f t="shared" si="239"/>
        <v>1.7999999999999998</v>
      </c>
      <c r="J619" s="634">
        <f t="shared" si="239"/>
        <v>1.9</v>
      </c>
      <c r="K619" s="634">
        <f t="shared" si="239"/>
        <v>2</v>
      </c>
    </row>
    <row r="620" spans="1:11" x14ac:dyDescent="0.3">
      <c r="A620" s="298" t="s">
        <v>772</v>
      </c>
      <c r="B620" s="1228">
        <f>B618*B619</f>
        <v>30.844000000000001</v>
      </c>
      <c r="C620" s="1228">
        <f t="shared" ref="C620:K620" si="240">C618*C619</f>
        <v>33.647999999999996</v>
      </c>
      <c r="D620" s="1228">
        <f t="shared" si="240"/>
        <v>36.451999999999998</v>
      </c>
      <c r="E620" s="1228">
        <f t="shared" si="240"/>
        <v>39.255999999999993</v>
      </c>
      <c r="F620" s="1228">
        <f t="shared" si="240"/>
        <v>42.06</v>
      </c>
      <c r="G620" s="1228">
        <f t="shared" si="240"/>
        <v>44.864000000000004</v>
      </c>
      <c r="H620" s="1228">
        <f t="shared" si="240"/>
        <v>47.667999999999999</v>
      </c>
      <c r="I620" s="1228">
        <f t="shared" si="240"/>
        <v>50.471999999999994</v>
      </c>
      <c r="J620" s="1228">
        <f t="shared" si="240"/>
        <v>53.275999999999996</v>
      </c>
      <c r="K620" s="1228">
        <f t="shared" si="240"/>
        <v>56.08</v>
      </c>
    </row>
    <row r="621" spans="1:11" x14ac:dyDescent="0.3">
      <c r="A621" s="177" t="s">
        <v>773</v>
      </c>
      <c r="B621" s="104">
        <f>B530</f>
        <v>260</v>
      </c>
      <c r="C621" s="104">
        <f>B621</f>
        <v>260</v>
      </c>
      <c r="D621" s="104">
        <f t="shared" ref="D621:K621" si="241">C621</f>
        <v>260</v>
      </c>
      <c r="E621" s="104">
        <f t="shared" si="241"/>
        <v>260</v>
      </c>
      <c r="F621" s="104">
        <f t="shared" si="241"/>
        <v>260</v>
      </c>
      <c r="G621" s="104">
        <f t="shared" si="241"/>
        <v>260</v>
      </c>
      <c r="H621" s="104">
        <f t="shared" si="241"/>
        <v>260</v>
      </c>
      <c r="I621" s="104">
        <f t="shared" si="241"/>
        <v>260</v>
      </c>
      <c r="J621" s="104">
        <f t="shared" si="241"/>
        <v>260</v>
      </c>
      <c r="K621" s="104">
        <f t="shared" si="241"/>
        <v>260</v>
      </c>
    </row>
    <row r="622" spans="1:11" x14ac:dyDescent="0.3">
      <c r="A622" s="298" t="s">
        <v>774</v>
      </c>
      <c r="B622" s="900">
        <f>B620*B621</f>
        <v>8019.4400000000005</v>
      </c>
      <c r="C622" s="900">
        <f t="shared" ref="C622:K622" si="242">C620*C621</f>
        <v>8748.48</v>
      </c>
      <c r="D622" s="900">
        <f t="shared" si="242"/>
        <v>9477.52</v>
      </c>
      <c r="E622" s="900">
        <f t="shared" si="242"/>
        <v>10206.559999999998</v>
      </c>
      <c r="F622" s="900">
        <f t="shared" si="242"/>
        <v>10935.6</v>
      </c>
      <c r="G622" s="900">
        <f t="shared" si="242"/>
        <v>11664.640000000001</v>
      </c>
      <c r="H622" s="900">
        <f t="shared" si="242"/>
        <v>12393.68</v>
      </c>
      <c r="I622" s="900">
        <f t="shared" si="242"/>
        <v>13122.72</v>
      </c>
      <c r="J622" s="900">
        <f t="shared" si="242"/>
        <v>13851.759999999998</v>
      </c>
      <c r="K622" s="900">
        <f t="shared" si="242"/>
        <v>14580.8</v>
      </c>
    </row>
    <row r="623" spans="1:11" x14ac:dyDescent="0.3">
      <c r="A623" s="177" t="s">
        <v>775</v>
      </c>
      <c r="B623" s="104">
        <f>Valuation!B9-Valuation!B10</f>
        <v>10811</v>
      </c>
      <c r="C623" s="104">
        <f>B623</f>
        <v>10811</v>
      </c>
      <c r="D623" s="104">
        <f t="shared" ref="D623:K623" si="243">C623</f>
        <v>10811</v>
      </c>
      <c r="E623" s="104">
        <f t="shared" si="243"/>
        <v>10811</v>
      </c>
      <c r="F623" s="104">
        <f t="shared" si="243"/>
        <v>10811</v>
      </c>
      <c r="G623" s="104">
        <f t="shared" si="243"/>
        <v>10811</v>
      </c>
      <c r="H623" s="104">
        <f t="shared" si="243"/>
        <v>10811</v>
      </c>
      <c r="I623" s="104">
        <f t="shared" si="243"/>
        <v>10811</v>
      </c>
      <c r="J623" s="104">
        <f t="shared" si="243"/>
        <v>10811</v>
      </c>
      <c r="K623" s="104">
        <f t="shared" si="243"/>
        <v>10811</v>
      </c>
    </row>
    <row r="624" spans="1:11" x14ac:dyDescent="0.3">
      <c r="A624" s="298" t="s">
        <v>746</v>
      </c>
      <c r="B624" s="916">
        <f>B622+B623</f>
        <v>18830.440000000002</v>
      </c>
      <c r="C624" s="916">
        <f t="shared" ref="C624:K624" si="244">C622+C623</f>
        <v>19559.48</v>
      </c>
      <c r="D624" s="916">
        <f t="shared" si="244"/>
        <v>20288.52</v>
      </c>
      <c r="E624" s="916">
        <f t="shared" si="244"/>
        <v>21017.559999999998</v>
      </c>
      <c r="F624" s="916">
        <f t="shared" si="244"/>
        <v>21746.6</v>
      </c>
      <c r="G624" s="916">
        <f t="shared" si="244"/>
        <v>22475.64</v>
      </c>
      <c r="H624" s="916">
        <f t="shared" si="244"/>
        <v>23204.68</v>
      </c>
      <c r="I624" s="916">
        <f t="shared" si="244"/>
        <v>23933.72</v>
      </c>
      <c r="J624" s="916">
        <f t="shared" si="244"/>
        <v>24662.76</v>
      </c>
      <c r="K624" s="916">
        <f t="shared" si="244"/>
        <v>25391.8</v>
      </c>
    </row>
    <row r="625" spans="1:11" x14ac:dyDescent="0.3">
      <c r="A625" s="177" t="s">
        <v>776</v>
      </c>
      <c r="B625" s="104">
        <f>Drivers!EX30</f>
        <v>2251</v>
      </c>
      <c r="C625" s="104">
        <f>B625</f>
        <v>2251</v>
      </c>
      <c r="D625" s="104">
        <f t="shared" ref="D625:K625" si="245">C625</f>
        <v>2251</v>
      </c>
      <c r="E625" s="104">
        <f t="shared" si="245"/>
        <v>2251</v>
      </c>
      <c r="F625" s="104">
        <f t="shared" si="245"/>
        <v>2251</v>
      </c>
      <c r="G625" s="104">
        <f t="shared" si="245"/>
        <v>2251</v>
      </c>
      <c r="H625" s="104">
        <f t="shared" si="245"/>
        <v>2251</v>
      </c>
      <c r="I625" s="104">
        <f t="shared" si="245"/>
        <v>2251</v>
      </c>
      <c r="J625" s="104">
        <f t="shared" si="245"/>
        <v>2251</v>
      </c>
      <c r="K625" s="104">
        <f t="shared" si="245"/>
        <v>2251</v>
      </c>
    </row>
    <row r="626" spans="1:11" x14ac:dyDescent="0.3">
      <c r="A626" s="298" t="s">
        <v>777</v>
      </c>
      <c r="B626" s="1740">
        <f>B624/B625</f>
        <v>8.3653665037760998</v>
      </c>
      <c r="C626" s="1740">
        <f t="shared" ref="C626:K626" si="246">C624/C625</f>
        <v>8.6892403376277212</v>
      </c>
      <c r="D626" s="1740">
        <f t="shared" si="246"/>
        <v>9.0131141714793426</v>
      </c>
      <c r="E626" s="1740">
        <f t="shared" si="246"/>
        <v>9.3369880053309622</v>
      </c>
      <c r="F626" s="1740">
        <f t="shared" si="246"/>
        <v>9.6608618391825853</v>
      </c>
      <c r="G626" s="1740">
        <f t="shared" si="246"/>
        <v>9.9847356730342067</v>
      </c>
      <c r="H626" s="1740">
        <f t="shared" si="246"/>
        <v>10.308609506885828</v>
      </c>
      <c r="I626" s="1740">
        <f t="shared" si="246"/>
        <v>10.632483340737451</v>
      </c>
      <c r="J626" s="1740">
        <f t="shared" si="246"/>
        <v>10.956357174589071</v>
      </c>
      <c r="K626" s="1740">
        <f t="shared" si="246"/>
        <v>11.280231008440692</v>
      </c>
    </row>
    <row r="628" spans="1:11" x14ac:dyDescent="0.3">
      <c r="A628" s="177" t="s">
        <v>749</v>
      </c>
      <c r="B628" s="887">
        <f>B624</f>
        <v>18830.440000000002</v>
      </c>
      <c r="C628" s="887">
        <f t="shared" ref="C628:K628" si="247">C624</f>
        <v>19559.48</v>
      </c>
      <c r="D628" s="887">
        <f t="shared" si="247"/>
        <v>20288.52</v>
      </c>
      <c r="E628" s="887">
        <f t="shared" si="247"/>
        <v>21017.559999999998</v>
      </c>
      <c r="F628" s="887">
        <f t="shared" si="247"/>
        <v>21746.6</v>
      </c>
      <c r="G628" s="887">
        <f t="shared" si="247"/>
        <v>22475.64</v>
      </c>
      <c r="H628" s="887">
        <f t="shared" si="247"/>
        <v>23204.68</v>
      </c>
      <c r="I628" s="887">
        <f t="shared" si="247"/>
        <v>23933.72</v>
      </c>
      <c r="J628" s="887">
        <f t="shared" si="247"/>
        <v>24662.76</v>
      </c>
      <c r="K628" s="887">
        <f t="shared" si="247"/>
        <v>25391.8</v>
      </c>
    </row>
    <row r="629" spans="1:11" x14ac:dyDescent="0.3">
      <c r="A629" s="177" t="s">
        <v>747</v>
      </c>
      <c r="B629" s="866">
        <f>Drivers!EU99</f>
        <v>15400</v>
      </c>
      <c r="C629" s="866">
        <f>B629</f>
        <v>15400</v>
      </c>
      <c r="D629" s="866">
        <f t="shared" ref="D629:K629" si="248">C629</f>
        <v>15400</v>
      </c>
      <c r="E629" s="866">
        <f t="shared" si="248"/>
        <v>15400</v>
      </c>
      <c r="F629" s="866">
        <f t="shared" si="248"/>
        <v>15400</v>
      </c>
      <c r="G629" s="866">
        <f t="shared" si="248"/>
        <v>15400</v>
      </c>
      <c r="H629" s="866">
        <f t="shared" si="248"/>
        <v>15400</v>
      </c>
      <c r="I629" s="866">
        <f t="shared" si="248"/>
        <v>15400</v>
      </c>
      <c r="J629" s="866">
        <f t="shared" si="248"/>
        <v>15400</v>
      </c>
      <c r="K629" s="866">
        <f t="shared" si="248"/>
        <v>15400</v>
      </c>
    </row>
    <row r="630" spans="1:11" x14ac:dyDescent="0.3">
      <c r="A630" s="298" t="s">
        <v>748</v>
      </c>
      <c r="B630" s="900">
        <f>B628/B629*1000</f>
        <v>1222.7558441558444</v>
      </c>
      <c r="C630" s="900">
        <f t="shared" ref="C630:K630" si="249">C628/C629*1000</f>
        <v>1270.0961038961038</v>
      </c>
      <c r="D630" s="900">
        <f t="shared" si="249"/>
        <v>1317.4363636363637</v>
      </c>
      <c r="E630" s="900">
        <f t="shared" si="249"/>
        <v>1364.7766233766231</v>
      </c>
      <c r="F630" s="900">
        <f t="shared" si="249"/>
        <v>1412.1168831168832</v>
      </c>
      <c r="G630" s="900">
        <f t="shared" si="249"/>
        <v>1459.4571428571428</v>
      </c>
      <c r="H630" s="900">
        <f t="shared" si="249"/>
        <v>1506.7974025974027</v>
      </c>
      <c r="I630" s="900">
        <f t="shared" si="249"/>
        <v>1554.1376623376623</v>
      </c>
      <c r="J630" s="900">
        <f t="shared" si="249"/>
        <v>1601.4779220779221</v>
      </c>
      <c r="K630" s="900">
        <f t="shared" si="249"/>
        <v>1648.8181818181818</v>
      </c>
    </row>
    <row r="632" spans="1:11" x14ac:dyDescent="0.3">
      <c r="A632" s="90" t="s">
        <v>778</v>
      </c>
    </row>
    <row r="633" spans="1:11" x14ac:dyDescent="0.3">
      <c r="A633" t="s">
        <v>628</v>
      </c>
      <c r="B633" s="885">
        <f>Drivers!EV90</f>
        <v>7582</v>
      </c>
    </row>
    <row r="634" spans="1:11" x14ac:dyDescent="0.3">
      <c r="A634" t="s">
        <v>629</v>
      </c>
      <c r="B634" s="901">
        <f>B635-B633</f>
        <v>7818</v>
      </c>
    </row>
    <row r="635" spans="1:11" x14ac:dyDescent="0.3">
      <c r="A635" s="298" t="s">
        <v>266</v>
      </c>
      <c r="B635" s="900">
        <f>B629</f>
        <v>15400</v>
      </c>
    </row>
    <row r="637" spans="1:11" x14ac:dyDescent="0.3">
      <c r="A637" s="177" t="s">
        <v>749</v>
      </c>
      <c r="B637" s="887">
        <f>B628</f>
        <v>18830.440000000002</v>
      </c>
      <c r="C637" s="887">
        <f t="shared" ref="C637:K637" si="250">C628</f>
        <v>19559.48</v>
      </c>
      <c r="D637" s="887">
        <f t="shared" si="250"/>
        <v>20288.52</v>
      </c>
      <c r="E637" s="887">
        <f t="shared" si="250"/>
        <v>21017.559999999998</v>
      </c>
      <c r="F637" s="887">
        <f t="shared" si="250"/>
        <v>21746.6</v>
      </c>
      <c r="G637" s="887">
        <f t="shared" si="250"/>
        <v>22475.64</v>
      </c>
      <c r="H637" s="887">
        <f t="shared" si="250"/>
        <v>23204.68</v>
      </c>
      <c r="I637" s="887">
        <f t="shared" si="250"/>
        <v>23933.72</v>
      </c>
      <c r="J637" s="887">
        <f t="shared" si="250"/>
        <v>24662.76</v>
      </c>
      <c r="K637" s="887">
        <f t="shared" si="250"/>
        <v>25391.8</v>
      </c>
    </row>
    <row r="638" spans="1:11" x14ac:dyDescent="0.3">
      <c r="A638" s="177" t="s">
        <v>750</v>
      </c>
      <c r="B638" s="866">
        <f>$B$634*250/1000</f>
        <v>1954.5</v>
      </c>
      <c r="C638" s="866">
        <f t="shared" ref="C638:K638" si="251">$B$634*250/1000</f>
        <v>1954.5</v>
      </c>
      <c r="D638" s="866">
        <f t="shared" si="251"/>
        <v>1954.5</v>
      </c>
      <c r="E638" s="866">
        <f t="shared" si="251"/>
        <v>1954.5</v>
      </c>
      <c r="F638" s="866">
        <f t="shared" si="251"/>
        <v>1954.5</v>
      </c>
      <c r="G638" s="866">
        <f t="shared" si="251"/>
        <v>1954.5</v>
      </c>
      <c r="H638" s="866">
        <f t="shared" si="251"/>
        <v>1954.5</v>
      </c>
      <c r="I638" s="866">
        <f t="shared" si="251"/>
        <v>1954.5</v>
      </c>
      <c r="J638" s="866">
        <f t="shared" si="251"/>
        <v>1954.5</v>
      </c>
      <c r="K638" s="866">
        <f t="shared" si="251"/>
        <v>1954.5</v>
      </c>
    </row>
    <row r="639" spans="1:11" x14ac:dyDescent="0.3">
      <c r="A639" s="298" t="s">
        <v>751</v>
      </c>
      <c r="B639" s="916">
        <f>B637-B638</f>
        <v>16875.940000000002</v>
      </c>
      <c r="C639" s="916">
        <f t="shared" ref="C639:K639" si="252">C637-C638</f>
        <v>17604.98</v>
      </c>
      <c r="D639" s="916">
        <f t="shared" si="252"/>
        <v>18334.02</v>
      </c>
      <c r="E639" s="916">
        <f t="shared" si="252"/>
        <v>19063.059999999998</v>
      </c>
      <c r="F639" s="916">
        <f t="shared" si="252"/>
        <v>19792.099999999999</v>
      </c>
      <c r="G639" s="916">
        <f t="shared" si="252"/>
        <v>20521.14</v>
      </c>
      <c r="H639" s="916">
        <f t="shared" si="252"/>
        <v>21250.18</v>
      </c>
      <c r="I639" s="916">
        <f t="shared" si="252"/>
        <v>21979.22</v>
      </c>
      <c r="J639" s="916">
        <f t="shared" si="252"/>
        <v>22708.26</v>
      </c>
      <c r="K639" s="916">
        <f t="shared" si="252"/>
        <v>23437.3</v>
      </c>
    </row>
    <row r="640" spans="1:11" x14ac:dyDescent="0.3">
      <c r="A640" s="177" t="s">
        <v>752</v>
      </c>
      <c r="B640" s="866">
        <f>B633</f>
        <v>7582</v>
      </c>
      <c r="C640" s="866">
        <f>B640</f>
        <v>7582</v>
      </c>
      <c r="D640" s="866">
        <f t="shared" ref="D640:K640" si="253">C640</f>
        <v>7582</v>
      </c>
      <c r="E640" s="866">
        <f t="shared" si="253"/>
        <v>7582</v>
      </c>
      <c r="F640" s="866">
        <f t="shared" si="253"/>
        <v>7582</v>
      </c>
      <c r="G640" s="866">
        <f t="shared" si="253"/>
        <v>7582</v>
      </c>
      <c r="H640" s="866">
        <f t="shared" si="253"/>
        <v>7582</v>
      </c>
      <c r="I640" s="866">
        <f t="shared" si="253"/>
        <v>7582</v>
      </c>
      <c r="J640" s="866">
        <f t="shared" si="253"/>
        <v>7582</v>
      </c>
      <c r="K640" s="866">
        <f t="shared" si="253"/>
        <v>7582</v>
      </c>
    </row>
    <row r="641" spans="1:11" x14ac:dyDescent="0.3">
      <c r="A641" s="298" t="s">
        <v>753</v>
      </c>
      <c r="B641" s="900">
        <f>B639/B640*1000</f>
        <v>2225.7900290160915</v>
      </c>
      <c r="C641" s="900">
        <f t="shared" ref="C641:K641" si="254">C639/C640*1000</f>
        <v>2321.9440780796626</v>
      </c>
      <c r="D641" s="900">
        <f t="shared" si="254"/>
        <v>2418.0981271432343</v>
      </c>
      <c r="E641" s="900">
        <f t="shared" si="254"/>
        <v>2514.252176206805</v>
      </c>
      <c r="F641" s="900">
        <f t="shared" si="254"/>
        <v>2610.4062252703766</v>
      </c>
      <c r="G641" s="900">
        <f t="shared" si="254"/>
        <v>2706.5602743339491</v>
      </c>
      <c r="H641" s="900">
        <f t="shared" si="254"/>
        <v>2802.7143233975207</v>
      </c>
      <c r="I641" s="900">
        <f t="shared" si="254"/>
        <v>2898.8683724610923</v>
      </c>
      <c r="J641" s="900">
        <f t="shared" si="254"/>
        <v>2995.0224215246631</v>
      </c>
      <c r="K641" s="900">
        <f t="shared" si="254"/>
        <v>3091.1764705882356</v>
      </c>
    </row>
    <row r="643" spans="1:11" x14ac:dyDescent="0.3">
      <c r="A643" s="114"/>
      <c r="B643" s="114"/>
      <c r="C643" s="114"/>
      <c r="D643" s="114"/>
      <c r="E643" s="114"/>
      <c r="F643" s="114"/>
      <c r="G643" s="114"/>
      <c r="H643" s="114"/>
      <c r="I643" s="114"/>
    </row>
    <row r="644" spans="1:11" x14ac:dyDescent="0.3">
      <c r="A644" s="144"/>
      <c r="B644" s="1846" t="s">
        <v>779</v>
      </c>
      <c r="C644" s="1846"/>
      <c r="D644" s="1846"/>
      <c r="E644" s="1846"/>
      <c r="F644" s="1846"/>
      <c r="G644" s="1846"/>
      <c r="H644" s="1846"/>
    </row>
    <row r="645" spans="1:11" x14ac:dyDescent="0.3">
      <c r="A645" s="144"/>
      <c r="B645" s="871">
        <v>3200</v>
      </c>
      <c r="C645" s="871">
        <f>B645+250</f>
        <v>3450</v>
      </c>
      <c r="D645" s="871">
        <f t="shared" ref="D645:H645" si="255">C645+250</f>
        <v>3700</v>
      </c>
      <c r="E645" s="871">
        <f t="shared" si="255"/>
        <v>3950</v>
      </c>
      <c r="F645" s="871">
        <f t="shared" si="255"/>
        <v>4200</v>
      </c>
      <c r="G645" s="871">
        <f t="shared" si="255"/>
        <v>4450</v>
      </c>
      <c r="H645" s="871">
        <f t="shared" si="255"/>
        <v>4700</v>
      </c>
    </row>
    <row r="646" spans="1:11" x14ac:dyDescent="0.3">
      <c r="A646" s="708" t="s">
        <v>780</v>
      </c>
      <c r="B646" s="877">
        <f>B633</f>
        <v>7582</v>
      </c>
      <c r="C646" s="877">
        <f>B646</f>
        <v>7582</v>
      </c>
      <c r="D646" s="877">
        <f t="shared" ref="D646:H646" si="256">C646</f>
        <v>7582</v>
      </c>
      <c r="E646" s="877">
        <f t="shared" si="256"/>
        <v>7582</v>
      </c>
      <c r="F646" s="877">
        <f t="shared" si="256"/>
        <v>7582</v>
      </c>
      <c r="G646" s="877">
        <f t="shared" si="256"/>
        <v>7582</v>
      </c>
      <c r="H646" s="877">
        <f t="shared" si="256"/>
        <v>7582</v>
      </c>
    </row>
    <row r="647" spans="1:11" x14ac:dyDescent="0.3">
      <c r="A647" s="708" t="s">
        <v>781</v>
      </c>
      <c r="B647" s="880">
        <f>B645</f>
        <v>3200</v>
      </c>
      <c r="C647" s="880">
        <f t="shared" ref="C647:H647" si="257">C645</f>
        <v>3450</v>
      </c>
      <c r="D647" s="880">
        <f t="shared" si="257"/>
        <v>3700</v>
      </c>
      <c r="E647" s="880">
        <f t="shared" si="257"/>
        <v>3950</v>
      </c>
      <c r="F647" s="880">
        <f t="shared" si="257"/>
        <v>4200</v>
      </c>
      <c r="G647" s="880">
        <f t="shared" si="257"/>
        <v>4450</v>
      </c>
      <c r="H647" s="880">
        <f t="shared" si="257"/>
        <v>4700</v>
      </c>
    </row>
    <row r="648" spans="1:11" x14ac:dyDescent="0.3">
      <c r="A648" s="709" t="s">
        <v>751</v>
      </c>
      <c r="B648" s="1064">
        <f>B646*B647/1000</f>
        <v>24262.400000000001</v>
      </c>
      <c r="C648" s="1064">
        <f t="shared" ref="C648:H648" si="258">C646*C647/1000</f>
        <v>26157.9</v>
      </c>
      <c r="D648" s="1064">
        <f t="shared" si="258"/>
        <v>28053.4</v>
      </c>
      <c r="E648" s="1064">
        <f t="shared" si="258"/>
        <v>29948.9</v>
      </c>
      <c r="F648" s="1064">
        <f t="shared" si="258"/>
        <v>31844.400000000001</v>
      </c>
      <c r="G648" s="1064">
        <f t="shared" si="258"/>
        <v>33739.9</v>
      </c>
      <c r="H648" s="1064">
        <f t="shared" si="258"/>
        <v>35635.4</v>
      </c>
    </row>
    <row r="649" spans="1:11" x14ac:dyDescent="0.3">
      <c r="A649" s="144"/>
      <c r="B649" s="144"/>
      <c r="C649" s="144"/>
      <c r="D649" s="144"/>
      <c r="E649" s="144"/>
      <c r="F649" s="144"/>
      <c r="G649" s="144"/>
      <c r="H649" s="144"/>
    </row>
    <row r="650" spans="1:11" x14ac:dyDescent="0.3">
      <c r="A650" s="708" t="s">
        <v>782</v>
      </c>
      <c r="B650" s="877">
        <f>B634</f>
        <v>7818</v>
      </c>
      <c r="C650" s="877">
        <f>B650</f>
        <v>7818</v>
      </c>
      <c r="D650" s="877">
        <f t="shared" ref="D650:H650" si="259">C650</f>
        <v>7818</v>
      </c>
      <c r="E650" s="877">
        <f t="shared" si="259"/>
        <v>7818</v>
      </c>
      <c r="F650" s="877">
        <f t="shared" si="259"/>
        <v>7818</v>
      </c>
      <c r="G650" s="877">
        <f t="shared" si="259"/>
        <v>7818</v>
      </c>
      <c r="H650" s="877">
        <f t="shared" si="259"/>
        <v>7818</v>
      </c>
    </row>
    <row r="651" spans="1:11" x14ac:dyDescent="0.3">
      <c r="A651" s="708" t="s">
        <v>783</v>
      </c>
      <c r="B651" s="880">
        <v>250</v>
      </c>
      <c r="C651" s="880">
        <f>B651</f>
        <v>250</v>
      </c>
      <c r="D651" s="880">
        <f t="shared" ref="D651:H651" si="260">C651</f>
        <v>250</v>
      </c>
      <c r="E651" s="880">
        <f t="shared" si="260"/>
        <v>250</v>
      </c>
      <c r="F651" s="880">
        <f t="shared" si="260"/>
        <v>250</v>
      </c>
      <c r="G651" s="880">
        <f t="shared" si="260"/>
        <v>250</v>
      </c>
      <c r="H651" s="880">
        <f t="shared" si="260"/>
        <v>250</v>
      </c>
    </row>
    <row r="652" spans="1:11" x14ac:dyDescent="0.3">
      <c r="A652" s="709" t="s">
        <v>784</v>
      </c>
      <c r="B652" s="1064">
        <f>B650*B651/1000</f>
        <v>1954.5</v>
      </c>
      <c r="C652" s="1064">
        <f t="shared" ref="C652" si="261">C650*C651/1000</f>
        <v>1954.5</v>
      </c>
      <c r="D652" s="1064">
        <f t="shared" ref="D652" si="262">D650*D651/1000</f>
        <v>1954.5</v>
      </c>
      <c r="E652" s="1064">
        <f t="shared" ref="E652" si="263">E650*E651/1000</f>
        <v>1954.5</v>
      </c>
      <c r="F652" s="1064">
        <f t="shared" ref="F652" si="264">F650*F651/1000</f>
        <v>1954.5</v>
      </c>
      <c r="G652" s="1064">
        <f t="shared" ref="G652" si="265">G650*G651/1000</f>
        <v>1954.5</v>
      </c>
      <c r="H652" s="1064">
        <f t="shared" ref="H652" si="266">H650*H651/1000</f>
        <v>1954.5</v>
      </c>
    </row>
    <row r="653" spans="1:11" x14ac:dyDescent="0.3">
      <c r="A653" s="144"/>
      <c r="B653" s="144"/>
      <c r="C653" s="144"/>
      <c r="D653" s="144"/>
      <c r="E653" s="144"/>
      <c r="F653" s="144"/>
      <c r="G653" s="144"/>
      <c r="H653" s="144"/>
    </row>
    <row r="654" spans="1:11" x14ac:dyDescent="0.3">
      <c r="A654" s="709" t="s">
        <v>785</v>
      </c>
      <c r="B654" s="1065">
        <f>B648+B652</f>
        <v>26216.9</v>
      </c>
      <c r="C654" s="1065">
        <f t="shared" ref="C654:H654" si="267">C648+C652</f>
        <v>28112.400000000001</v>
      </c>
      <c r="D654" s="1065">
        <f t="shared" si="267"/>
        <v>30007.9</v>
      </c>
      <c r="E654" s="1065">
        <f t="shared" si="267"/>
        <v>31903.4</v>
      </c>
      <c r="F654" s="1065">
        <f t="shared" si="267"/>
        <v>33798.9</v>
      </c>
      <c r="G654" s="1065">
        <f t="shared" si="267"/>
        <v>35694.400000000001</v>
      </c>
      <c r="H654" s="1065">
        <f t="shared" si="267"/>
        <v>37589.9</v>
      </c>
    </row>
    <row r="655" spans="1:11" x14ac:dyDescent="0.3">
      <c r="A655" s="708" t="s">
        <v>786</v>
      </c>
      <c r="B655" s="656">
        <f>'Model Main'!EV198</f>
        <v>10246</v>
      </c>
      <c r="C655" s="656">
        <f>B655</f>
        <v>10246</v>
      </c>
      <c r="D655" s="656">
        <f t="shared" ref="D655:H655" si="268">C655</f>
        <v>10246</v>
      </c>
      <c r="E655" s="656">
        <f t="shared" si="268"/>
        <v>10246</v>
      </c>
      <c r="F655" s="656">
        <f t="shared" si="268"/>
        <v>10246</v>
      </c>
      <c r="G655" s="656">
        <f t="shared" si="268"/>
        <v>10246</v>
      </c>
      <c r="H655" s="656">
        <f t="shared" si="268"/>
        <v>10246</v>
      </c>
    </row>
    <row r="656" spans="1:11" x14ac:dyDescent="0.3">
      <c r="A656" s="709" t="s">
        <v>787</v>
      </c>
      <c r="B656" s="1065">
        <f>B654-B655</f>
        <v>15970.900000000001</v>
      </c>
      <c r="C656" s="1065">
        <f t="shared" ref="C656:H656" si="269">C654-C655</f>
        <v>17866.400000000001</v>
      </c>
      <c r="D656" s="1065">
        <f t="shared" si="269"/>
        <v>19761.900000000001</v>
      </c>
      <c r="E656" s="1065">
        <f t="shared" si="269"/>
        <v>21657.4</v>
      </c>
      <c r="F656" s="1065">
        <f t="shared" si="269"/>
        <v>23552.9</v>
      </c>
      <c r="G656" s="1065">
        <f t="shared" si="269"/>
        <v>25448.400000000001</v>
      </c>
      <c r="H656" s="1065">
        <f t="shared" si="269"/>
        <v>27343.9</v>
      </c>
    </row>
    <row r="657" spans="1:8" x14ac:dyDescent="0.3">
      <c r="A657" s="708" t="s">
        <v>104</v>
      </c>
      <c r="B657" s="656">
        <f>B530</f>
        <v>260</v>
      </c>
      <c r="C657" s="656">
        <f>B657</f>
        <v>260</v>
      </c>
      <c r="D657" s="656">
        <f t="shared" ref="D657:H657" si="270">C657</f>
        <v>260</v>
      </c>
      <c r="E657" s="656">
        <f t="shared" si="270"/>
        <v>260</v>
      </c>
      <c r="F657" s="656">
        <f t="shared" si="270"/>
        <v>260</v>
      </c>
      <c r="G657" s="656">
        <f t="shared" si="270"/>
        <v>260</v>
      </c>
      <c r="H657" s="656">
        <f t="shared" si="270"/>
        <v>260</v>
      </c>
    </row>
    <row r="658" spans="1:8" x14ac:dyDescent="0.3">
      <c r="A658" s="709" t="s">
        <v>772</v>
      </c>
      <c r="B658" s="1066">
        <f>B656/B657</f>
        <v>61.42653846153847</v>
      </c>
      <c r="C658" s="1066">
        <f t="shared" ref="C658:H658" si="271">C656/C657</f>
        <v>68.716923076923081</v>
      </c>
      <c r="D658" s="1066">
        <f t="shared" si="271"/>
        <v>76.007307692307691</v>
      </c>
      <c r="E658" s="1066">
        <f t="shared" si="271"/>
        <v>83.297692307692316</v>
      </c>
      <c r="F658" s="1066">
        <f t="shared" si="271"/>
        <v>90.588076923076926</v>
      </c>
      <c r="G658" s="1066">
        <f t="shared" si="271"/>
        <v>97.878461538461551</v>
      </c>
      <c r="H658" s="1066">
        <f t="shared" si="271"/>
        <v>105.16884615384616</v>
      </c>
    </row>
    <row r="659" spans="1:8" x14ac:dyDescent="0.3">
      <c r="A659" s="614" t="s">
        <v>788</v>
      </c>
      <c r="B659" s="884">
        <f t="shared" ref="B659:H659" si="272">B658/$B$529-1</f>
        <v>1.1906754087567215</v>
      </c>
      <c r="C659" s="884">
        <f t="shared" si="272"/>
        <v>1.4506748600899817</v>
      </c>
      <c r="D659" s="884">
        <f t="shared" si="272"/>
        <v>1.7106743114232414</v>
      </c>
      <c r="E659" s="884">
        <f t="shared" si="272"/>
        <v>1.9706737627565021</v>
      </c>
      <c r="F659" s="884">
        <f t="shared" si="272"/>
        <v>2.2306732140897623</v>
      </c>
      <c r="G659" s="884">
        <f t="shared" si="272"/>
        <v>2.4906726654230225</v>
      </c>
      <c r="H659" s="884">
        <f t="shared" si="272"/>
        <v>2.7506721167562826</v>
      </c>
    </row>
    <row r="660" spans="1:8" x14ac:dyDescent="0.3">
      <c r="A660" s="494"/>
      <c r="B660" s="494"/>
      <c r="C660" s="494"/>
      <c r="D660" s="494"/>
      <c r="E660" s="494"/>
      <c r="F660" s="494"/>
      <c r="G660" s="494"/>
      <c r="H660" s="494"/>
    </row>
    <row r="662" spans="1:8" x14ac:dyDescent="0.3">
      <c r="B662" s="899">
        <f>B654/1000</f>
        <v>26.216900000000003</v>
      </c>
      <c r="C662" s="899">
        <f t="shared" ref="C662:H662" si="273">C654/1000</f>
        <v>28.112400000000001</v>
      </c>
      <c r="D662" s="899">
        <f t="shared" si="273"/>
        <v>30.007900000000003</v>
      </c>
      <c r="E662" s="899">
        <f t="shared" si="273"/>
        <v>31.903400000000001</v>
      </c>
      <c r="F662" s="899">
        <f t="shared" si="273"/>
        <v>33.798900000000003</v>
      </c>
      <c r="G662" s="899">
        <f t="shared" si="273"/>
        <v>35.694400000000002</v>
      </c>
      <c r="H662" s="899">
        <f t="shared" si="273"/>
        <v>37.5899</v>
      </c>
    </row>
    <row r="666" spans="1:8" x14ac:dyDescent="0.3">
      <c r="B666" s="871">
        <v>2400</v>
      </c>
      <c r="C666" s="871">
        <v>2600</v>
      </c>
      <c r="D666" s="871">
        <v>3200</v>
      </c>
      <c r="E666" s="871">
        <v>4700</v>
      </c>
    </row>
    <row r="667" spans="1:8" x14ac:dyDescent="0.3">
      <c r="A667" s="708" t="s">
        <v>780</v>
      </c>
      <c r="B667" s="877">
        <f>B646</f>
        <v>7582</v>
      </c>
      <c r="C667" s="877">
        <f>B667</f>
        <v>7582</v>
      </c>
      <c r="D667" s="877">
        <f t="shared" ref="D667:E667" si="274">C667</f>
        <v>7582</v>
      </c>
      <c r="E667" s="877">
        <f t="shared" si="274"/>
        <v>7582</v>
      </c>
    </row>
    <row r="668" spans="1:8" x14ac:dyDescent="0.3">
      <c r="A668" s="708" t="s">
        <v>781</v>
      </c>
      <c r="B668" s="880">
        <f>B669/B667*1000</f>
        <v>2413.8090213663941</v>
      </c>
      <c r="C668" s="880">
        <f>C666</f>
        <v>2600</v>
      </c>
      <c r="D668" s="880">
        <f t="shared" ref="D668:E668" si="275">D666</f>
        <v>3200</v>
      </c>
      <c r="E668" s="880">
        <f t="shared" si="275"/>
        <v>4700</v>
      </c>
    </row>
    <row r="669" spans="1:8" x14ac:dyDescent="0.3">
      <c r="A669" s="709" t="s">
        <v>751</v>
      </c>
      <c r="B669" s="1064">
        <f>B675-B673</f>
        <v>18301.5</v>
      </c>
      <c r="C669" s="1064">
        <f>C667*C668/1000</f>
        <v>19713.2</v>
      </c>
      <c r="D669" s="1064">
        <f t="shared" ref="D669:E669" si="276">D667*D668/1000</f>
        <v>24262.400000000001</v>
      </c>
      <c r="E669" s="1064">
        <f t="shared" si="276"/>
        <v>35635.4</v>
      </c>
    </row>
    <row r="670" spans="1:8" x14ac:dyDescent="0.3">
      <c r="A670" s="144"/>
      <c r="B670" s="144"/>
      <c r="C670" s="144"/>
      <c r="D670" s="144"/>
      <c r="E670" s="144"/>
    </row>
    <row r="671" spans="1:8" x14ac:dyDescent="0.3">
      <c r="A671" s="708" t="s">
        <v>782</v>
      </c>
      <c r="B671" s="877">
        <f>B650</f>
        <v>7818</v>
      </c>
      <c r="C671" s="877">
        <f>B671</f>
        <v>7818</v>
      </c>
      <c r="D671" s="877">
        <f t="shared" ref="D671:E671" si="277">C671</f>
        <v>7818</v>
      </c>
      <c r="E671" s="877">
        <f t="shared" si="277"/>
        <v>7818</v>
      </c>
    </row>
    <row r="672" spans="1:8" x14ac:dyDescent="0.3">
      <c r="A672" s="708" t="s">
        <v>783</v>
      </c>
      <c r="B672" s="880">
        <v>250</v>
      </c>
      <c r="C672" s="880">
        <f>B672</f>
        <v>250</v>
      </c>
      <c r="D672" s="880">
        <f t="shared" ref="D672:E672" si="278">C672</f>
        <v>250</v>
      </c>
      <c r="E672" s="880">
        <f t="shared" si="278"/>
        <v>250</v>
      </c>
    </row>
    <row r="673" spans="1:5" x14ac:dyDescent="0.3">
      <c r="A673" s="709" t="s">
        <v>784</v>
      </c>
      <c r="B673" s="1064">
        <f>B671*B672/1000</f>
        <v>1954.5</v>
      </c>
      <c r="C673" s="1064">
        <f t="shared" ref="C673:E673" si="279">C671*C672/1000</f>
        <v>1954.5</v>
      </c>
      <c r="D673" s="1064">
        <f t="shared" si="279"/>
        <v>1954.5</v>
      </c>
      <c r="E673" s="1064">
        <f t="shared" si="279"/>
        <v>1954.5</v>
      </c>
    </row>
    <row r="674" spans="1:5" x14ac:dyDescent="0.3">
      <c r="A674" s="144"/>
      <c r="B674" s="144"/>
      <c r="C674" s="144"/>
      <c r="D674" s="144"/>
      <c r="E674" s="144"/>
    </row>
    <row r="675" spans="1:5" x14ac:dyDescent="0.3">
      <c r="A675" s="709" t="s">
        <v>785</v>
      </c>
      <c r="B675" s="1065">
        <f>B677+B676</f>
        <v>20256</v>
      </c>
      <c r="C675" s="1065">
        <f>C669+C673</f>
        <v>21667.7</v>
      </c>
      <c r="D675" s="1065">
        <f t="shared" ref="D675:E675" si="280">D669+D673</f>
        <v>26216.9</v>
      </c>
      <c r="E675" s="1065">
        <f t="shared" si="280"/>
        <v>37589.9</v>
      </c>
    </row>
    <row r="676" spans="1:5" x14ac:dyDescent="0.3">
      <c r="A676" s="708" t="s">
        <v>786</v>
      </c>
      <c r="B676" s="656">
        <f>B655</f>
        <v>10246</v>
      </c>
      <c r="C676" s="656">
        <f>B676</f>
        <v>10246</v>
      </c>
      <c r="D676" s="656">
        <f t="shared" ref="D676:E676" si="281">C676</f>
        <v>10246</v>
      </c>
      <c r="E676" s="656">
        <f t="shared" si="281"/>
        <v>10246</v>
      </c>
    </row>
    <row r="677" spans="1:5" x14ac:dyDescent="0.3">
      <c r="A677" s="709" t="s">
        <v>787</v>
      </c>
      <c r="B677" s="1065">
        <f>B679*B678</f>
        <v>10010</v>
      </c>
      <c r="C677" s="1065">
        <f>C675-C676</f>
        <v>11421.7</v>
      </c>
      <c r="D677" s="1065">
        <f t="shared" ref="D677:E677" si="282">D675-D676</f>
        <v>15970.900000000001</v>
      </c>
      <c r="E677" s="1065">
        <f t="shared" si="282"/>
        <v>27343.9</v>
      </c>
    </row>
    <row r="678" spans="1:5" x14ac:dyDescent="0.3">
      <c r="A678" s="708" t="s">
        <v>104</v>
      </c>
      <c r="B678" s="656">
        <f>B657</f>
        <v>260</v>
      </c>
      <c r="C678" s="656">
        <f>B678</f>
        <v>260</v>
      </c>
      <c r="D678" s="656">
        <f>C678</f>
        <v>260</v>
      </c>
      <c r="E678" s="656">
        <f>D678</f>
        <v>260</v>
      </c>
    </row>
    <row r="679" spans="1:5" x14ac:dyDescent="0.3">
      <c r="A679" s="709" t="s">
        <v>772</v>
      </c>
      <c r="B679" s="1066">
        <v>38.5</v>
      </c>
      <c r="C679" s="1066">
        <f>C677/C678</f>
        <v>43.929615384615389</v>
      </c>
      <c r="D679" s="1066">
        <f t="shared" ref="D679:E679" si="283">D677/D678</f>
        <v>61.42653846153847</v>
      </c>
      <c r="E679" s="1066">
        <f t="shared" si="283"/>
        <v>105.16884615384616</v>
      </c>
    </row>
    <row r="682" spans="1:5" x14ac:dyDescent="0.3">
      <c r="A682" t="s">
        <v>789</v>
      </c>
      <c r="B682" s="885">
        <f>B668</f>
        <v>2413.8090213663941</v>
      </c>
      <c r="C682" s="899">
        <f>B675/1000</f>
        <v>20.256</v>
      </c>
    </row>
    <row r="683" spans="1:5" x14ac:dyDescent="0.3">
      <c r="A683" t="s">
        <v>790</v>
      </c>
      <c r="B683" s="885">
        <f>B594</f>
        <v>2710.5248729103546</v>
      </c>
      <c r="C683" s="899">
        <f>C675/1000</f>
        <v>21.6677</v>
      </c>
    </row>
    <row r="684" spans="1:5" x14ac:dyDescent="0.3">
      <c r="A684" t="s">
        <v>791</v>
      </c>
      <c r="B684" s="885">
        <f>B602</f>
        <v>3310.5248729103546</v>
      </c>
      <c r="C684" s="899">
        <f>D675/1000</f>
        <v>26.216900000000003</v>
      </c>
    </row>
    <row r="685" spans="1:5" x14ac:dyDescent="0.3">
      <c r="A685" t="s">
        <v>792</v>
      </c>
      <c r="B685" s="885">
        <f>E666</f>
        <v>4700</v>
      </c>
      <c r="C685" s="899">
        <f>E675/1000</f>
        <v>37.5899</v>
      </c>
    </row>
    <row r="688" spans="1:5" x14ac:dyDescent="0.3">
      <c r="A688" s="177" t="s">
        <v>793</v>
      </c>
      <c r="B688" s="885">
        <f>Drivers!ES169</f>
        <v>603.92610000000002</v>
      </c>
    </row>
    <row r="689" spans="1:6" x14ac:dyDescent="0.3">
      <c r="A689" s="177" t="s">
        <v>794</v>
      </c>
      <c r="B689" s="901">
        <v>500</v>
      </c>
    </row>
    <row r="690" spans="1:6" x14ac:dyDescent="0.3">
      <c r="A690" s="177" t="s">
        <v>795</v>
      </c>
      <c r="B690" s="885">
        <f>B688*B689/1000</f>
        <v>301.96305000000001</v>
      </c>
    </row>
    <row r="695" spans="1:6" x14ac:dyDescent="0.3">
      <c r="A695" s="114"/>
      <c r="B695" s="114"/>
      <c r="C695" s="114"/>
      <c r="D695" s="114"/>
      <c r="E695" s="114"/>
      <c r="F695" s="114"/>
    </row>
    <row r="696" spans="1:6" x14ac:dyDescent="0.3">
      <c r="A696" s="114"/>
      <c r="B696" s="692" t="s">
        <v>8</v>
      </c>
      <c r="C696" s="692" t="s">
        <v>796</v>
      </c>
      <c r="D696" s="692" t="s">
        <v>797</v>
      </c>
      <c r="E696" s="692" t="s">
        <v>798</v>
      </c>
      <c r="F696" s="692" t="s">
        <v>799</v>
      </c>
    </row>
    <row r="697" spans="1:6" x14ac:dyDescent="0.3">
      <c r="A697" t="s">
        <v>800</v>
      </c>
      <c r="B697" s="885">
        <v>483305</v>
      </c>
      <c r="C697" s="885">
        <v>74956</v>
      </c>
      <c r="D697" s="885">
        <f>SUM(B697:C697)</f>
        <v>558261</v>
      </c>
      <c r="E697" s="885">
        <v>515639</v>
      </c>
      <c r="F697" s="885">
        <f>SUM(D697:E697)</f>
        <v>1073900</v>
      </c>
    </row>
    <row r="698" spans="1:6" x14ac:dyDescent="0.3">
      <c r="A698" t="s">
        <v>801</v>
      </c>
      <c r="B698" s="901">
        <v>338225</v>
      </c>
      <c r="C698" s="901">
        <v>201948</v>
      </c>
      <c r="D698" s="901">
        <f>SUM(B698:C698)</f>
        <v>540173</v>
      </c>
      <c r="E698" s="901">
        <v>426012</v>
      </c>
      <c r="F698" s="901">
        <f>SUM(D698:E698)</f>
        <v>966185</v>
      </c>
    </row>
    <row r="699" spans="1:6" x14ac:dyDescent="0.3">
      <c r="A699" s="90" t="s">
        <v>802</v>
      </c>
      <c r="B699" s="900">
        <f>SUM(B697:B698)</f>
        <v>821530</v>
      </c>
      <c r="C699" s="900">
        <f>SUM(C697:C698)</f>
        <v>276904</v>
      </c>
      <c r="D699" s="900">
        <f>SUM(D697:D698)</f>
        <v>1098434</v>
      </c>
      <c r="E699" s="900">
        <f>SUM(E697:E698)</f>
        <v>941651</v>
      </c>
      <c r="F699" s="900">
        <f>SUM(F697:F698)</f>
        <v>2040085</v>
      </c>
    </row>
    <row r="700" spans="1:6" x14ac:dyDescent="0.3">
      <c r="B700" s="885"/>
      <c r="C700" s="885"/>
      <c r="D700" s="885"/>
      <c r="E700" s="885"/>
      <c r="F700" s="885"/>
    </row>
    <row r="701" spans="1:6" x14ac:dyDescent="0.3">
      <c r="A701" t="s">
        <v>803</v>
      </c>
      <c r="B701" s="885">
        <v>279898</v>
      </c>
      <c r="C701" s="885">
        <v>1282119</v>
      </c>
      <c r="D701" s="885">
        <f>SUM(B701:C701)</f>
        <v>1562017</v>
      </c>
      <c r="E701" s="885">
        <v>221779</v>
      </c>
      <c r="F701" s="885">
        <f>SUM(D701:E701)</f>
        <v>1783796</v>
      </c>
    </row>
    <row r="702" spans="1:6" x14ac:dyDescent="0.3">
      <c r="A702" t="s">
        <v>804</v>
      </c>
      <c r="B702" s="901">
        <v>57983</v>
      </c>
      <c r="C702" s="901">
        <v>601965</v>
      </c>
      <c r="D702" s="901">
        <f>SUM(B702:C702)</f>
        <v>659948</v>
      </c>
      <c r="E702" s="901">
        <v>47988</v>
      </c>
      <c r="F702" s="901">
        <f>SUM(D702:E702)</f>
        <v>707936</v>
      </c>
    </row>
    <row r="703" spans="1:6" x14ac:dyDescent="0.3">
      <c r="A703" s="90" t="s">
        <v>805</v>
      </c>
      <c r="B703" s="900">
        <f>SUM(B701:B702)</f>
        <v>337881</v>
      </c>
      <c r="C703" s="900">
        <f>SUM(C701:C702)</f>
        <v>1884084</v>
      </c>
      <c r="D703" s="900">
        <f>SUM(D701:D702)</f>
        <v>2221965</v>
      </c>
      <c r="E703" s="900">
        <f>SUM(E701:E702)</f>
        <v>269767</v>
      </c>
      <c r="F703" s="900">
        <f>SUM(F701:F702)</f>
        <v>2491732</v>
      </c>
    </row>
    <row r="704" spans="1:6" x14ac:dyDescent="0.3">
      <c r="A704" s="114"/>
      <c r="B704" s="114"/>
      <c r="C704" s="114"/>
      <c r="D704" s="114"/>
      <c r="E704" s="114"/>
      <c r="F704" s="114"/>
    </row>
    <row r="726" spans="1:5" x14ac:dyDescent="0.3">
      <c r="A726" s="114"/>
      <c r="B726" s="522" t="s">
        <v>806</v>
      </c>
      <c r="C726" s="522" t="s">
        <v>807</v>
      </c>
      <c r="D726" s="522" t="s">
        <v>808</v>
      </c>
    </row>
    <row r="727" spans="1:5" x14ac:dyDescent="0.3">
      <c r="A727" s="1741">
        <v>45251</v>
      </c>
      <c r="B727" s="1742">
        <v>25</v>
      </c>
      <c r="C727" s="1742"/>
      <c r="D727" s="1742"/>
    </row>
    <row r="728" spans="1:5" x14ac:dyDescent="0.3">
      <c r="A728" s="1741">
        <v>45449</v>
      </c>
      <c r="B728" s="1742"/>
      <c r="C728" s="1742" t="s">
        <v>809</v>
      </c>
      <c r="D728" s="1742"/>
    </row>
    <row r="729" spans="1:5" x14ac:dyDescent="0.3">
      <c r="A729" s="1741">
        <v>45496</v>
      </c>
      <c r="B729" s="1742"/>
      <c r="C729" s="1742">
        <v>34.25</v>
      </c>
      <c r="D729" s="1742"/>
    </row>
    <row r="730" spans="1:5" x14ac:dyDescent="0.3">
      <c r="A730" s="1741">
        <v>45506</v>
      </c>
      <c r="B730" s="1742"/>
      <c r="C730" s="1742"/>
      <c r="D730" s="1742" t="s">
        <v>810</v>
      </c>
    </row>
    <row r="731" spans="1:5" x14ac:dyDescent="0.3">
      <c r="A731" s="1741">
        <v>45512</v>
      </c>
      <c r="B731" s="1742"/>
      <c r="C731" s="1742"/>
      <c r="D731" s="1742" t="s">
        <v>811</v>
      </c>
    </row>
    <row r="732" spans="1:5" x14ac:dyDescent="0.3">
      <c r="A732" s="1741">
        <v>45527</v>
      </c>
      <c r="B732" s="1742"/>
      <c r="C732" s="1742">
        <v>35</v>
      </c>
      <c r="D732" s="1742"/>
    </row>
    <row r="733" spans="1:5" x14ac:dyDescent="0.3">
      <c r="A733" s="1741">
        <v>45534</v>
      </c>
      <c r="B733" s="1742"/>
      <c r="C733" s="1742"/>
      <c r="D733" s="1742">
        <v>38</v>
      </c>
    </row>
    <row r="734" spans="1:5" x14ac:dyDescent="0.3">
      <c r="A734" s="1741">
        <v>45536</v>
      </c>
      <c r="B734" s="1742"/>
      <c r="C734" s="1742"/>
      <c r="D734" s="1742">
        <v>38.5</v>
      </c>
      <c r="E734">
        <f>D734/B727-1</f>
        <v>0.54</v>
      </c>
    </row>
    <row r="735" spans="1:5" x14ac:dyDescent="0.3">
      <c r="A735" s="1741"/>
      <c r="B735" s="1742"/>
      <c r="C735" s="1742"/>
      <c r="D735" s="1742"/>
    </row>
    <row r="736" spans="1:5" x14ac:dyDescent="0.3">
      <c r="A736" s="1741"/>
      <c r="B736" s="1742"/>
      <c r="C736" s="1742"/>
      <c r="D736" s="1742"/>
    </row>
    <row r="737" spans="1:4" x14ac:dyDescent="0.3">
      <c r="A737" s="1741"/>
      <c r="B737" s="1742"/>
      <c r="C737" s="1742"/>
      <c r="D737" s="1742"/>
    </row>
    <row r="738" spans="1:4" x14ac:dyDescent="0.3">
      <c r="A738" s="1741" t="s">
        <v>812</v>
      </c>
      <c r="B738" s="1743">
        <v>25</v>
      </c>
      <c r="C738" s="1743">
        <v>0</v>
      </c>
      <c r="D738" s="1743">
        <f t="shared" ref="D738:D745" si="284">SUM(B738:C738)</f>
        <v>25</v>
      </c>
    </row>
    <row r="739" spans="1:4" x14ac:dyDescent="0.3">
      <c r="A739" s="1741" t="s">
        <v>813</v>
      </c>
      <c r="B739" s="1743">
        <v>34</v>
      </c>
      <c r="C739" s="1743">
        <v>3</v>
      </c>
      <c r="D739" s="1743">
        <f t="shared" si="284"/>
        <v>37</v>
      </c>
    </row>
    <row r="740" spans="1:4" x14ac:dyDescent="0.3">
      <c r="A740" s="1741" t="s">
        <v>814</v>
      </c>
      <c r="B740" s="1743">
        <v>34.25</v>
      </c>
      <c r="C740" s="1743">
        <v>0</v>
      </c>
      <c r="D740" s="1743">
        <f t="shared" si="284"/>
        <v>34.25</v>
      </c>
    </row>
    <row r="741" spans="1:4" x14ac:dyDescent="0.3">
      <c r="A741" s="1741" t="s">
        <v>815</v>
      </c>
      <c r="B741" s="1743">
        <v>30</v>
      </c>
      <c r="C741" s="1743">
        <v>3</v>
      </c>
      <c r="D741" s="1743">
        <f t="shared" si="284"/>
        <v>33</v>
      </c>
    </row>
    <row r="742" spans="1:4" x14ac:dyDescent="0.3">
      <c r="A742" s="1741" t="s">
        <v>816</v>
      </c>
      <c r="B742" s="1743">
        <v>36</v>
      </c>
      <c r="C742" s="1743">
        <v>2</v>
      </c>
      <c r="D742" s="1743">
        <f t="shared" si="284"/>
        <v>38</v>
      </c>
    </row>
    <row r="743" spans="1:4" x14ac:dyDescent="0.3">
      <c r="A743" s="1741" t="s">
        <v>817</v>
      </c>
      <c r="B743" s="1743">
        <v>35</v>
      </c>
      <c r="C743" s="1743">
        <v>0</v>
      </c>
      <c r="D743" s="1743">
        <f t="shared" si="284"/>
        <v>35</v>
      </c>
    </row>
    <row r="744" spans="1:4" x14ac:dyDescent="0.3">
      <c r="A744" s="1741" t="s">
        <v>816</v>
      </c>
      <c r="B744" s="1743">
        <v>38</v>
      </c>
      <c r="C744" s="1743">
        <v>0</v>
      </c>
      <c r="D744" s="1743">
        <f t="shared" si="284"/>
        <v>38</v>
      </c>
    </row>
    <row r="745" spans="1:4" x14ac:dyDescent="0.3">
      <c r="A745" s="1741" t="s">
        <v>818</v>
      </c>
      <c r="B745" s="1743">
        <v>38.5</v>
      </c>
      <c r="C745" s="1743">
        <v>0</v>
      </c>
      <c r="D745" s="1743">
        <f t="shared" si="284"/>
        <v>38.5</v>
      </c>
    </row>
    <row r="746" spans="1:4" x14ac:dyDescent="0.3">
      <c r="A746" s="1741"/>
      <c r="B746" s="1742"/>
      <c r="C746" s="1742"/>
      <c r="D746" s="1742"/>
    </row>
    <row r="747" spans="1:4" x14ac:dyDescent="0.3">
      <c r="A747" s="1741"/>
      <c r="B747" s="1742"/>
      <c r="C747" s="1742"/>
      <c r="D747" s="1742"/>
    </row>
    <row r="748" spans="1:4" x14ac:dyDescent="0.3">
      <c r="A748" s="1741"/>
      <c r="B748" s="1742"/>
      <c r="C748" s="1742"/>
      <c r="D748" s="1742"/>
    </row>
    <row r="749" spans="1:4" x14ac:dyDescent="0.3">
      <c r="A749" s="1741"/>
      <c r="B749" s="1742"/>
      <c r="C749" s="1742"/>
      <c r="D749" s="1742"/>
    </row>
    <row r="750" spans="1:4" x14ac:dyDescent="0.3">
      <c r="A750" s="1741"/>
      <c r="B750" s="1742"/>
      <c r="C750" s="1742"/>
      <c r="D750" s="1742"/>
    </row>
    <row r="751" spans="1:4" x14ac:dyDescent="0.3">
      <c r="A751" s="1741"/>
      <c r="B751" s="1742"/>
      <c r="C751" s="1742"/>
      <c r="D751" s="1742"/>
    </row>
    <row r="752" spans="1:4" x14ac:dyDescent="0.3">
      <c r="A752" s="1741"/>
      <c r="B752" s="1742"/>
      <c r="C752" s="1742"/>
      <c r="D752" s="1742"/>
    </row>
    <row r="753" spans="1:4" x14ac:dyDescent="0.3">
      <c r="A753" s="1741"/>
      <c r="B753" s="1742"/>
      <c r="C753" s="1742"/>
      <c r="D753" s="1742"/>
    </row>
    <row r="754" spans="1:4" x14ac:dyDescent="0.3">
      <c r="A754" s="1741" t="s">
        <v>819</v>
      </c>
      <c r="B754" s="1745">
        <v>500</v>
      </c>
      <c r="C754" s="1742"/>
      <c r="D754" s="1742"/>
    </row>
    <row r="755" spans="1:4" x14ac:dyDescent="0.3">
      <c r="A755" s="1741" t="s">
        <v>820</v>
      </c>
      <c r="B755" s="1745">
        <v>585</v>
      </c>
      <c r="C755" s="1742"/>
      <c r="D755" s="1742"/>
    </row>
    <row r="756" spans="1:4" x14ac:dyDescent="0.3">
      <c r="A756" s="1741"/>
      <c r="B756" s="1742"/>
      <c r="C756" s="1742"/>
      <c r="D756" s="1742"/>
    </row>
    <row r="757" spans="1:4" x14ac:dyDescent="0.3">
      <c r="A757" s="1741"/>
      <c r="B757" s="1742"/>
      <c r="C757" s="1742"/>
      <c r="D757" s="1742"/>
    </row>
    <row r="758" spans="1:4" x14ac:dyDescent="0.3">
      <c r="A758" s="1741"/>
      <c r="B758" s="1742"/>
      <c r="C758" s="1742"/>
      <c r="D758" s="1742"/>
    </row>
    <row r="759" spans="1:4" x14ac:dyDescent="0.3">
      <c r="A759" s="1741"/>
      <c r="B759" s="1742"/>
      <c r="C759" s="1742"/>
      <c r="D759" s="1742"/>
    </row>
    <row r="760" spans="1:4" x14ac:dyDescent="0.3">
      <c r="A760" s="1747"/>
      <c r="B760" s="1748">
        <v>2026</v>
      </c>
      <c r="C760" s="1748">
        <f t="shared" ref="C760:D760" si="285">B760+1</f>
        <v>2027</v>
      </c>
      <c r="D760" s="1748">
        <f t="shared" si="285"/>
        <v>2028</v>
      </c>
    </row>
    <row r="761" spans="1:4" x14ac:dyDescent="0.3">
      <c r="A761" s="1749" t="s">
        <v>821</v>
      </c>
      <c r="B761" s="365">
        <f>B763/2</f>
        <v>250.15199999999999</v>
      </c>
      <c r="C761" s="365">
        <f t="shared" ref="C761:D761" si="286">C763/2</f>
        <v>250.15199999999999</v>
      </c>
      <c r="D761" s="365">
        <f t="shared" si="286"/>
        <v>250.15199999999999</v>
      </c>
    </row>
    <row r="762" spans="1:4" x14ac:dyDescent="0.3">
      <c r="A762" s="1749" t="s">
        <v>822</v>
      </c>
      <c r="B762" s="656">
        <f>B761</f>
        <v>250.15199999999999</v>
      </c>
      <c r="C762" s="656">
        <f t="shared" ref="C762:D762" si="287">C761</f>
        <v>250.15199999999999</v>
      </c>
      <c r="D762" s="656">
        <f t="shared" si="287"/>
        <v>250.15199999999999</v>
      </c>
    </row>
    <row r="763" spans="1:4" x14ac:dyDescent="0.3">
      <c r="A763" s="1749" t="s">
        <v>823</v>
      </c>
      <c r="B763" s="365">
        <f>'[6]Frontier Acq. Analysis'!$D$146</f>
        <v>500.30399999999997</v>
      </c>
      <c r="C763" s="365">
        <f>B763</f>
        <v>500.30399999999997</v>
      </c>
      <c r="D763" s="365">
        <f>C763</f>
        <v>500.30399999999997</v>
      </c>
    </row>
    <row r="764" spans="1:4" x14ac:dyDescent="0.3">
      <c r="A764" s="1749" t="s">
        <v>824</v>
      </c>
      <c r="B764" s="875">
        <f>'[6]Frontier Acq. Analysis'!D147</f>
        <v>0.1</v>
      </c>
      <c r="C764" s="875">
        <f>'[6]Frontier Acq. Analysis'!E147</f>
        <v>0.6</v>
      </c>
      <c r="D764" s="875">
        <f>'[6]Frontier Acq. Analysis'!F147</f>
        <v>1</v>
      </c>
    </row>
    <row r="765" spans="1:4" x14ac:dyDescent="0.3">
      <c r="A765" s="1750" t="s">
        <v>825</v>
      </c>
      <c r="B765" s="1751">
        <f>B763*B764</f>
        <v>50.0304</v>
      </c>
      <c r="C765" s="1751">
        <f t="shared" ref="C765:D765" si="288">C763*C764</f>
        <v>300.18239999999997</v>
      </c>
      <c r="D765" s="1751">
        <f t="shared" si="288"/>
        <v>500.30399999999997</v>
      </c>
    </row>
    <row r="766" spans="1:4" x14ac:dyDescent="0.3">
      <c r="A766" s="1752"/>
      <c r="B766" s="1273"/>
      <c r="C766" s="1273"/>
      <c r="D766" s="1273"/>
    </row>
    <row r="767" spans="1:4" x14ac:dyDescent="0.3">
      <c r="A767" s="1749" t="s">
        <v>826</v>
      </c>
      <c r="B767" s="365">
        <f>'[6]Frontier Acq. Analysis'!D154</f>
        <v>585</v>
      </c>
      <c r="C767" s="365">
        <f>'[6]Frontier Acq. Analysis'!E154</f>
        <v>585</v>
      </c>
      <c r="D767" s="365">
        <f>'[6]Frontier Acq. Analysis'!F154</f>
        <v>585</v>
      </c>
    </row>
    <row r="768" spans="1:4" x14ac:dyDescent="0.3">
      <c r="A768" s="1749" t="s">
        <v>827</v>
      </c>
      <c r="B768" s="1753">
        <f>'[6]Frontier Acq. Analysis'!D155</f>
        <v>0.6</v>
      </c>
      <c r="C768" s="1753">
        <f>'[6]Frontier Acq. Analysis'!E155</f>
        <v>0.4</v>
      </c>
      <c r="D768" s="1753">
        <f>'[6]Frontier Acq. Analysis'!F155</f>
        <v>0</v>
      </c>
    </row>
    <row r="769" spans="1:4" x14ac:dyDescent="0.3">
      <c r="A769" s="1750" t="s">
        <v>828</v>
      </c>
      <c r="B769" s="1751">
        <f>B767*B768</f>
        <v>351</v>
      </c>
      <c r="C769" s="1751">
        <f t="shared" ref="C769" si="289">C767*C768</f>
        <v>234</v>
      </c>
      <c r="D769" s="1751">
        <f t="shared" ref="D769" si="290">D767*D768</f>
        <v>0</v>
      </c>
    </row>
    <row r="770" spans="1:4" x14ac:dyDescent="0.3">
      <c r="A770" s="1755" t="s">
        <v>829</v>
      </c>
      <c r="B770" s="1756">
        <f>B769</f>
        <v>351</v>
      </c>
      <c r="C770" s="1756">
        <f>B770+C769</f>
        <v>585</v>
      </c>
      <c r="D770" s="1756">
        <f>C770+D769</f>
        <v>585</v>
      </c>
    </row>
    <row r="771" spans="1:4" x14ac:dyDescent="0.3">
      <c r="A771" s="1747"/>
      <c r="B771" s="1754"/>
      <c r="C771" s="1754"/>
      <c r="D771" s="1754"/>
    </row>
    <row r="772" spans="1:4" x14ac:dyDescent="0.3">
      <c r="A772" s="1741"/>
      <c r="B772" s="1742"/>
      <c r="C772" s="1742"/>
      <c r="D772" s="1742"/>
    </row>
    <row r="773" spans="1:4" x14ac:dyDescent="0.3">
      <c r="A773" s="1741"/>
      <c r="B773" s="1742"/>
      <c r="C773" s="1742"/>
      <c r="D773" s="1742"/>
    </row>
    <row r="774" spans="1:4" x14ac:dyDescent="0.3">
      <c r="A774" s="1741"/>
      <c r="B774" s="1742"/>
      <c r="C774" s="1742"/>
      <c r="D774" s="1742"/>
    </row>
    <row r="775" spans="1:4" x14ac:dyDescent="0.3">
      <c r="A775" s="1741"/>
      <c r="B775" s="1742"/>
      <c r="C775" s="1742"/>
      <c r="D775" s="1742"/>
    </row>
    <row r="776" spans="1:4" x14ac:dyDescent="0.3">
      <c r="A776" s="1741"/>
      <c r="B776" s="1742"/>
      <c r="C776" s="1742"/>
      <c r="D776" s="1742"/>
    </row>
    <row r="777" spans="1:4" x14ac:dyDescent="0.3">
      <c r="A777" s="1741"/>
      <c r="B777" s="1742"/>
      <c r="C777" s="1742"/>
      <c r="D777" s="1742"/>
    </row>
    <row r="778" spans="1:4" x14ac:dyDescent="0.3">
      <c r="A778" s="1741"/>
      <c r="B778" s="1742"/>
      <c r="C778" s="1742"/>
      <c r="D778" s="1742"/>
    </row>
    <row r="779" spans="1:4" x14ac:dyDescent="0.3">
      <c r="A779" s="1741"/>
      <c r="B779" s="1742"/>
      <c r="C779" s="1742"/>
      <c r="D779" s="1742"/>
    </row>
    <row r="780" spans="1:4" x14ac:dyDescent="0.3">
      <c r="A780" s="1741"/>
      <c r="B780" s="1742"/>
      <c r="C780" s="1742"/>
      <c r="D780" s="1742"/>
    </row>
    <row r="781" spans="1:4" x14ac:dyDescent="0.3">
      <c r="A781" s="1741"/>
      <c r="B781" s="1742"/>
      <c r="C781" s="1742"/>
      <c r="D781" s="1742"/>
    </row>
    <row r="782" spans="1:4" x14ac:dyDescent="0.3">
      <c r="A782" s="1741"/>
      <c r="B782" s="1742"/>
      <c r="C782" s="1742"/>
      <c r="D782" s="1742"/>
    </row>
    <row r="783" spans="1:4" x14ac:dyDescent="0.3">
      <c r="A783" s="1741"/>
      <c r="B783" s="1742"/>
      <c r="C783" s="1742"/>
      <c r="D783" s="1742"/>
    </row>
    <row r="784" spans="1:4" x14ac:dyDescent="0.3">
      <c r="A784" s="1741"/>
      <c r="B784" s="1742"/>
      <c r="C784" s="1742"/>
      <c r="D784" s="1742"/>
    </row>
    <row r="785" spans="1:2" x14ac:dyDescent="0.3">
      <c r="A785" t="s">
        <v>830</v>
      </c>
      <c r="B785">
        <f>B754</f>
        <v>500</v>
      </c>
    </row>
    <row r="786" spans="1:2" x14ac:dyDescent="0.3">
      <c r="A786" s="177" t="s">
        <v>831</v>
      </c>
      <c r="B786" s="114">
        <f>B785*0</f>
        <v>0</v>
      </c>
    </row>
    <row r="787" spans="1:2" x14ac:dyDescent="0.3">
      <c r="A787" s="177" t="s">
        <v>832</v>
      </c>
      <c r="B787">
        <f>B785-B786</f>
        <v>500</v>
      </c>
    </row>
    <row r="788" spans="1:2" x14ac:dyDescent="0.3">
      <c r="A788" s="177" t="s">
        <v>833</v>
      </c>
      <c r="B788" s="1746">
        <f>[6]Valuation!$C$48</f>
        <v>6.6366977973836621</v>
      </c>
    </row>
    <row r="789" spans="1:2" x14ac:dyDescent="0.3">
      <c r="A789" s="177" t="s">
        <v>834</v>
      </c>
      <c r="B789" s="885">
        <f>B787*B788</f>
        <v>3318.348898691831</v>
      </c>
    </row>
    <row r="790" spans="1:2" x14ac:dyDescent="0.3">
      <c r="A790" s="177" t="s">
        <v>835</v>
      </c>
      <c r="B790" s="901">
        <f>B755</f>
        <v>585</v>
      </c>
    </row>
    <row r="791" spans="1:2" x14ac:dyDescent="0.3">
      <c r="A791" s="177" t="s">
        <v>836</v>
      </c>
      <c r="B791" s="887">
        <f>B789-B790</f>
        <v>2733.348898691831</v>
      </c>
    </row>
    <row r="794" spans="1:2" x14ac:dyDescent="0.3">
      <c r="A794" t="s">
        <v>830</v>
      </c>
      <c r="B794">
        <f>B785</f>
        <v>500</v>
      </c>
    </row>
    <row r="795" spans="1:2" x14ac:dyDescent="0.3">
      <c r="A795" s="177" t="s">
        <v>837</v>
      </c>
      <c r="B795" s="114">
        <f>B794*0.25</f>
        <v>125</v>
      </c>
    </row>
    <row r="796" spans="1:2" x14ac:dyDescent="0.3">
      <c r="A796" s="177" t="s">
        <v>832</v>
      </c>
      <c r="B796">
        <f>B794-B795</f>
        <v>375</v>
      </c>
    </row>
    <row r="797" spans="1:2" x14ac:dyDescent="0.3">
      <c r="A797" s="177" t="s">
        <v>838</v>
      </c>
      <c r="B797" s="1744">
        <f>[6]Valuation!$B$220</f>
        <v>5.3470999999999998E-2</v>
      </c>
    </row>
    <row r="798" spans="1:2" x14ac:dyDescent="0.3">
      <c r="A798" s="177" t="s">
        <v>834</v>
      </c>
      <c r="B798" s="885">
        <f>B796/B797</f>
        <v>7013.1473134970365</v>
      </c>
    </row>
    <row r="799" spans="1:2" x14ac:dyDescent="0.3">
      <c r="A799" s="177" t="s">
        <v>835</v>
      </c>
      <c r="B799" s="901">
        <f>B790</f>
        <v>585</v>
      </c>
    </row>
    <row r="800" spans="1:2" x14ac:dyDescent="0.3">
      <c r="A800" s="177" t="s">
        <v>836</v>
      </c>
      <c r="B800" s="885">
        <f>B798-B799</f>
        <v>6428.1473134970365</v>
      </c>
    </row>
    <row r="803" spans="1:3" x14ac:dyDescent="0.3">
      <c r="A803" t="s">
        <v>830</v>
      </c>
      <c r="B803">
        <f>B794</f>
        <v>500</v>
      </c>
    </row>
    <row r="804" spans="1:3" x14ac:dyDescent="0.3">
      <c r="A804" s="177" t="s">
        <v>837</v>
      </c>
      <c r="B804" s="114">
        <f>B803*0.25</f>
        <v>125</v>
      </c>
    </row>
    <row r="805" spans="1:3" x14ac:dyDescent="0.3">
      <c r="A805" s="177" t="s">
        <v>832</v>
      </c>
      <c r="B805">
        <f>B803-B804</f>
        <v>375</v>
      </c>
    </row>
    <row r="806" spans="1:3" x14ac:dyDescent="0.3">
      <c r="A806" s="177" t="s">
        <v>839</v>
      </c>
      <c r="B806" s="1744">
        <f>Valuation!H141</f>
        <v>6.8796799999999991E-2</v>
      </c>
    </row>
    <row r="807" spans="1:3" x14ac:dyDescent="0.3">
      <c r="A807" s="177" t="s">
        <v>834</v>
      </c>
      <c r="B807" s="885">
        <f>B805/B806</f>
        <v>5450.834922554538</v>
      </c>
    </row>
    <row r="808" spans="1:3" x14ac:dyDescent="0.3">
      <c r="A808" s="177" t="s">
        <v>835</v>
      </c>
      <c r="B808" s="901">
        <f>B799</f>
        <v>585</v>
      </c>
    </row>
    <row r="809" spans="1:3" x14ac:dyDescent="0.3">
      <c r="A809" s="177" t="s">
        <v>836</v>
      </c>
      <c r="B809" s="885">
        <f>B807-B808</f>
        <v>4865.834922554538</v>
      </c>
    </row>
    <row r="812" spans="1:3" x14ac:dyDescent="0.3">
      <c r="A812" t="s">
        <v>840</v>
      </c>
      <c r="B812" s="887">
        <f>B791</f>
        <v>2733.348898691831</v>
      </c>
      <c r="C812" s="816">
        <f>B812/Valuation!$B$7</f>
        <v>10.512880379583965</v>
      </c>
    </row>
    <row r="813" spans="1:3" x14ac:dyDescent="0.3">
      <c r="A813" t="s">
        <v>841</v>
      </c>
      <c r="B813" s="887">
        <f>B809</f>
        <v>4865.834922554538</v>
      </c>
      <c r="C813" s="816">
        <f>B813/Valuation!$B$7</f>
        <v>18.714749702132838</v>
      </c>
    </row>
    <row r="814" spans="1:3" x14ac:dyDescent="0.3">
      <c r="A814" t="s">
        <v>842</v>
      </c>
      <c r="B814" s="887">
        <f>B800</f>
        <v>6428.1473134970365</v>
      </c>
      <c r="C814" s="816">
        <f>B814/Valuation!$B$7</f>
        <v>24.723643513450142</v>
      </c>
    </row>
    <row r="821" spans="1:3" x14ac:dyDescent="0.3">
      <c r="A821" t="s">
        <v>843</v>
      </c>
      <c r="B821" s="885">
        <v>500</v>
      </c>
      <c r="C821" s="885"/>
    </row>
    <row r="822" spans="1:3" x14ac:dyDescent="0.3">
      <c r="A822" t="s">
        <v>844</v>
      </c>
      <c r="B822" s="885">
        <f>B821+C821</f>
        <v>500</v>
      </c>
      <c r="C822" s="885">
        <v>165</v>
      </c>
    </row>
    <row r="823" spans="1:3" x14ac:dyDescent="0.3">
      <c r="A823" t="s">
        <v>845</v>
      </c>
      <c r="B823" s="885">
        <f t="shared" ref="B823:B826" si="291">B822+C822</f>
        <v>665</v>
      </c>
      <c r="C823" s="885">
        <v>316</v>
      </c>
    </row>
    <row r="824" spans="1:3" x14ac:dyDescent="0.3">
      <c r="A824" t="s">
        <v>846</v>
      </c>
      <c r="B824" s="885">
        <f t="shared" si="291"/>
        <v>981</v>
      </c>
      <c r="C824" s="885"/>
    </row>
    <row r="825" spans="1:3" x14ac:dyDescent="0.3">
      <c r="A825" t="s">
        <v>847</v>
      </c>
      <c r="B825" s="885">
        <f>B823+C823</f>
        <v>981</v>
      </c>
      <c r="C825" s="885">
        <v>349</v>
      </c>
    </row>
    <row r="826" spans="1:3" x14ac:dyDescent="0.3">
      <c r="A826" t="s">
        <v>848</v>
      </c>
      <c r="B826" s="885">
        <f t="shared" si="291"/>
        <v>1330</v>
      </c>
      <c r="C826" s="885"/>
    </row>
    <row r="837" spans="1:4" x14ac:dyDescent="0.3">
      <c r="A837" t="s">
        <v>843</v>
      </c>
      <c r="B837" s="887">
        <f>B821</f>
        <v>500</v>
      </c>
      <c r="C837" s="459">
        <f>B788</f>
        <v>6.6366977973836621</v>
      </c>
      <c r="D837" s="885">
        <f>B837*C837</f>
        <v>3318.348898691831</v>
      </c>
    </row>
    <row r="838" spans="1:4" x14ac:dyDescent="0.3">
      <c r="A838" t="s">
        <v>847</v>
      </c>
      <c r="B838" s="887">
        <f>C825*0.75</f>
        <v>261.75</v>
      </c>
      <c r="C838" s="459">
        <f>[6]Valuation!$C$53</f>
        <v>9.7466284510859165</v>
      </c>
      <c r="D838" s="885">
        <f>B838*C838</f>
        <v>2551.1799970717389</v>
      </c>
    </row>
    <row r="839" spans="1:4" x14ac:dyDescent="0.3">
      <c r="A839" t="s">
        <v>844</v>
      </c>
      <c r="B839" s="887">
        <f>C822</f>
        <v>165</v>
      </c>
      <c r="C839" s="459">
        <f>C837</f>
        <v>6.6366977973836621</v>
      </c>
      <c r="D839" s="885">
        <f>B839*C839</f>
        <v>1095.0551365683043</v>
      </c>
    </row>
    <row r="840" spans="1:4" x14ac:dyDescent="0.3">
      <c r="A840" t="s">
        <v>845</v>
      </c>
      <c r="B840" s="887">
        <f>C823</f>
        <v>316</v>
      </c>
      <c r="C840" s="459">
        <f>C837</f>
        <v>6.6366977973836621</v>
      </c>
      <c r="D840" s="885">
        <f>B840*C840</f>
        <v>2097.1965039732372</v>
      </c>
    </row>
    <row r="841" spans="1:4" x14ac:dyDescent="0.3">
      <c r="A841" t="s">
        <v>848</v>
      </c>
      <c r="B841" s="887">
        <f>SUM(B837:B840)</f>
        <v>1242.75</v>
      </c>
      <c r="D841" s="887">
        <f>SUM(D837:D840)</f>
        <v>9061.7805363051102</v>
      </c>
    </row>
    <row r="845" spans="1:4" x14ac:dyDescent="0.3">
      <c r="A845" t="s">
        <v>843</v>
      </c>
      <c r="B845" s="887">
        <f>D837</f>
        <v>3318.348898691831</v>
      </c>
    </row>
    <row r="846" spans="1:4" x14ac:dyDescent="0.3">
      <c r="A846" t="s">
        <v>844</v>
      </c>
      <c r="B846" s="885">
        <f t="shared" ref="B846:B850" si="292">B845+C845</f>
        <v>3318.348898691831</v>
      </c>
      <c r="C846" s="887">
        <f>D839</f>
        <v>1095.0551365683043</v>
      </c>
    </row>
    <row r="847" spans="1:4" x14ac:dyDescent="0.3">
      <c r="A847" t="s">
        <v>845</v>
      </c>
      <c r="B847" s="885">
        <f t="shared" si="292"/>
        <v>4413.4040352601351</v>
      </c>
      <c r="C847" s="887">
        <f>D840</f>
        <v>2097.1965039732372</v>
      </c>
    </row>
    <row r="848" spans="1:4" x14ac:dyDescent="0.3">
      <c r="A848" t="s">
        <v>846</v>
      </c>
      <c r="B848" s="885">
        <f t="shared" si="292"/>
        <v>6510.6005392333718</v>
      </c>
      <c r="C848" s="887"/>
    </row>
    <row r="849" spans="1:3" x14ac:dyDescent="0.3">
      <c r="A849" t="s">
        <v>847</v>
      </c>
      <c r="B849" s="885">
        <f t="shared" si="292"/>
        <v>6510.6005392333718</v>
      </c>
      <c r="C849" s="887">
        <f>D838</f>
        <v>2551.1799970717389</v>
      </c>
    </row>
    <row r="850" spans="1:3" x14ac:dyDescent="0.3">
      <c r="A850" t="s">
        <v>848</v>
      </c>
      <c r="B850" s="885">
        <f t="shared" si="292"/>
        <v>9061.7805363051102</v>
      </c>
    </row>
    <row r="851" spans="1:3" x14ac:dyDescent="0.3">
      <c r="A851" t="s">
        <v>849</v>
      </c>
      <c r="B851" s="887">
        <f>B850-C851</f>
        <v>8476.7805363051102</v>
      </c>
      <c r="C851" s="887">
        <f>B808</f>
        <v>585</v>
      </c>
    </row>
    <row r="852" spans="1:3" x14ac:dyDescent="0.3">
      <c r="A852" t="s">
        <v>850</v>
      </c>
      <c r="B852" s="887">
        <f>B851</f>
        <v>8476.7805363051102</v>
      </c>
    </row>
    <row r="858" spans="1:3" x14ac:dyDescent="0.3">
      <c r="A858" t="s">
        <v>851</v>
      </c>
      <c r="B858" s="899">
        <f>C684</f>
        <v>26.216900000000003</v>
      </c>
      <c r="C858" s="899"/>
    </row>
    <row r="859" spans="1:3" x14ac:dyDescent="0.3">
      <c r="A859" t="s">
        <v>846</v>
      </c>
      <c r="B859" s="899">
        <f>B858+C858</f>
        <v>26.216900000000003</v>
      </c>
      <c r="C859" s="899">
        <f>B848/1000</f>
        <v>6.5106005392333719</v>
      </c>
    </row>
    <row r="860" spans="1:3" x14ac:dyDescent="0.3">
      <c r="A860" t="s">
        <v>849</v>
      </c>
      <c r="B860" s="899">
        <f>B859+C859-C860</f>
        <v>32.142500539233374</v>
      </c>
      <c r="C860" s="899">
        <f>C851/1000</f>
        <v>0.58499999999999996</v>
      </c>
    </row>
    <row r="861" spans="1:3" x14ac:dyDescent="0.3">
      <c r="A861" t="s">
        <v>852</v>
      </c>
      <c r="B861" s="899">
        <f>B860</f>
        <v>32.142500539233374</v>
      </c>
      <c r="C861" s="899"/>
    </row>
    <row r="862" spans="1:3" x14ac:dyDescent="0.3">
      <c r="B862" s="816"/>
    </row>
    <row r="864" spans="1:3" x14ac:dyDescent="0.3">
      <c r="A864" t="s">
        <v>852</v>
      </c>
      <c r="B864" s="1179">
        <f>B861</f>
        <v>32.142500539233374</v>
      </c>
    </row>
    <row r="865" spans="1:5" x14ac:dyDescent="0.3">
      <c r="A865" s="177" t="s">
        <v>786</v>
      </c>
      <c r="B865" s="816">
        <f>B536/1000</f>
        <v>10.246</v>
      </c>
    </row>
    <row r="866" spans="1:5" x14ac:dyDescent="0.3">
      <c r="A866" s="177" t="s">
        <v>787</v>
      </c>
      <c r="B866" s="816">
        <f>B864-B865</f>
        <v>21.896500539233372</v>
      </c>
    </row>
    <row r="867" spans="1:5" x14ac:dyDescent="0.3">
      <c r="A867" s="708" t="s">
        <v>104</v>
      </c>
      <c r="B867" s="887">
        <f>B533</f>
        <v>260</v>
      </c>
    </row>
    <row r="868" spans="1:5" x14ac:dyDescent="0.3">
      <c r="A868" s="709" t="s">
        <v>853</v>
      </c>
      <c r="B868" s="885">
        <f>B866/B867*1000</f>
        <v>84.217309766282199</v>
      </c>
    </row>
    <row r="871" spans="1:5" x14ac:dyDescent="0.3">
      <c r="B871" t="s">
        <v>641</v>
      </c>
      <c r="C871" t="s">
        <v>830</v>
      </c>
      <c r="D871" t="s">
        <v>266</v>
      </c>
    </row>
    <row r="872" spans="1:5" x14ac:dyDescent="0.3">
      <c r="A872" t="s">
        <v>851</v>
      </c>
      <c r="B872" s="899">
        <f>C684</f>
        <v>26.216900000000003</v>
      </c>
      <c r="C872" s="899"/>
      <c r="D872" s="1179">
        <f>SUM(B872:C872)</f>
        <v>26.216900000000003</v>
      </c>
      <c r="E872" s="816">
        <f>(D872-Analysis!$B$536/1000)/$B$530*1000</f>
        <v>61.42653846153847</v>
      </c>
    </row>
    <row r="873" spans="1:5" x14ac:dyDescent="0.3">
      <c r="A873" t="s">
        <v>854</v>
      </c>
      <c r="B873" s="899">
        <f>B872</f>
        <v>26.216900000000003</v>
      </c>
      <c r="C873" s="899">
        <f>(D837-B808)/1000</f>
        <v>2.7333488986918311</v>
      </c>
      <c r="D873" s="1179">
        <f>SUM(B873:C873)</f>
        <v>28.950248898691832</v>
      </c>
      <c r="E873" s="816">
        <f>(D873-Analysis!$B$536/1000)/$B$530*1000</f>
        <v>71.939418841122432</v>
      </c>
    </row>
    <row r="874" spans="1:5" x14ac:dyDescent="0.3">
      <c r="A874" t="s">
        <v>855</v>
      </c>
      <c r="B874" s="899">
        <f>B873</f>
        <v>26.216900000000003</v>
      </c>
      <c r="C874" s="899">
        <f>C873+(D839+D840)/1000</f>
        <v>5.9256005392333728</v>
      </c>
      <c r="D874" s="1179">
        <f>SUM(B874:C874)</f>
        <v>32.142500539233374</v>
      </c>
      <c r="E874" s="816">
        <f>(D874-Analysis!$B$536/1000)/$B$530*1000</f>
        <v>84.217309766282199</v>
      </c>
    </row>
    <row r="875" spans="1:5" x14ac:dyDescent="0.3">
      <c r="A875" t="s">
        <v>856</v>
      </c>
      <c r="B875" s="899">
        <f>B874</f>
        <v>26.216900000000003</v>
      </c>
      <c r="C875" s="899">
        <f>C874+D838/1000</f>
        <v>8.4767805363051121</v>
      </c>
      <c r="D875" s="1179">
        <f>SUM(B875:C875)</f>
        <v>34.693680536305116</v>
      </c>
      <c r="E875" s="816">
        <f>(D875-Analysis!$B$536/1000)/$B$530*1000</f>
        <v>94.02954052425045</v>
      </c>
    </row>
    <row r="876" spans="1:5" x14ac:dyDescent="0.3">
      <c r="B876" s="899"/>
      <c r="C876" s="899"/>
    </row>
    <row r="878" spans="1:5" x14ac:dyDescent="0.3">
      <c r="B878" t="s">
        <v>641</v>
      </c>
      <c r="C878" t="s">
        <v>830</v>
      </c>
      <c r="D878" t="s">
        <v>266</v>
      </c>
    </row>
    <row r="879" spans="1:5" x14ac:dyDescent="0.3">
      <c r="A879" t="s">
        <v>851</v>
      </c>
      <c r="B879" s="899">
        <f>B872</f>
        <v>26.216900000000003</v>
      </c>
      <c r="C879" s="899"/>
      <c r="D879" s="1179">
        <f>SUM(B879:C879)</f>
        <v>26.216900000000003</v>
      </c>
      <c r="E879" s="816">
        <f>(D879-Analysis!$B$536/1000)/$B$530*1000</f>
        <v>61.42653846153847</v>
      </c>
    </row>
    <row r="880" spans="1:5" x14ac:dyDescent="0.3">
      <c r="A880" t="s">
        <v>854</v>
      </c>
      <c r="B880" s="899">
        <f>B879</f>
        <v>26.216900000000003</v>
      </c>
      <c r="C880" s="899">
        <f>(D837/2-B808)/1000</f>
        <v>1.0741744493459155</v>
      </c>
      <c r="D880" s="1179">
        <f>SUM(B880:C880)</f>
        <v>27.291074449345917</v>
      </c>
      <c r="E880" s="816">
        <f>(D880-Analysis!$B$536/1000)/$B$530*1000</f>
        <v>65.557978651330444</v>
      </c>
    </row>
    <row r="881" spans="1:5" x14ac:dyDescent="0.3">
      <c r="A881" t="s">
        <v>855</v>
      </c>
      <c r="B881" s="899">
        <f>B880</f>
        <v>26.216900000000003</v>
      </c>
      <c r="C881" s="899">
        <f>C880+(D839+D840)/1000/2</f>
        <v>2.6703002696166864</v>
      </c>
      <c r="D881" s="1179">
        <f>SUM(B881:C881)</f>
        <v>28.887200269616688</v>
      </c>
      <c r="E881" s="816">
        <f>(D881-Analysis!$B$536/1000)/$B$530*1000</f>
        <v>71.696924113910342</v>
      </c>
    </row>
    <row r="882" spans="1:5" x14ac:dyDescent="0.3">
      <c r="A882" t="s">
        <v>856</v>
      </c>
      <c r="B882" s="899">
        <f>B881</f>
        <v>26.216900000000003</v>
      </c>
      <c r="C882" s="899">
        <f>C881+D838/1000/2</f>
        <v>3.9458902681525556</v>
      </c>
      <c r="D882" s="1179">
        <f>SUM(B882:C882)</f>
        <v>30.162790268152559</v>
      </c>
      <c r="E882" s="816">
        <f>(D882-Analysis!$B$536/1000)/$B$530*1000</f>
        <v>76.603039492894453</v>
      </c>
    </row>
    <row r="887" spans="1:5" x14ac:dyDescent="0.3">
      <c r="A887" s="114"/>
      <c r="B887" s="114"/>
      <c r="C887" s="114"/>
      <c r="D887" s="114"/>
    </row>
    <row r="888" spans="1:5" x14ac:dyDescent="0.3">
      <c r="A888" s="618"/>
      <c r="B888" s="820" t="s">
        <v>857</v>
      </c>
      <c r="C888" s="820" t="s">
        <v>858</v>
      </c>
      <c r="D888" s="820" t="s">
        <v>859</v>
      </c>
    </row>
    <row r="889" spans="1:5" x14ac:dyDescent="0.3">
      <c r="A889" s="708" t="s">
        <v>860</v>
      </c>
      <c r="B889" s="999">
        <v>1187</v>
      </c>
      <c r="C889" s="999">
        <f>B889</f>
        <v>1187</v>
      </c>
      <c r="D889" s="999">
        <f>AVERAGE(B889:C889)</f>
        <v>1187</v>
      </c>
    </row>
    <row r="890" spans="1:5" x14ac:dyDescent="0.3">
      <c r="A890" s="708" t="s">
        <v>861</v>
      </c>
      <c r="B890" s="894">
        <v>0.25</v>
      </c>
      <c r="C890" s="894">
        <v>0.5</v>
      </c>
      <c r="D890" s="894">
        <f>D891/D889</f>
        <v>0.375</v>
      </c>
    </row>
    <row r="891" spans="1:5" x14ac:dyDescent="0.3">
      <c r="A891" s="709" t="s">
        <v>862</v>
      </c>
      <c r="B891" s="874">
        <f>B889*B890</f>
        <v>296.75</v>
      </c>
      <c r="C891" s="874">
        <f>C889*C890</f>
        <v>593.5</v>
      </c>
      <c r="D891" s="874">
        <f>AVERAGE(B891:C891)</f>
        <v>445.125</v>
      </c>
    </row>
    <row r="892" spans="1:5" x14ac:dyDescent="0.3">
      <c r="A892" s="708" t="s">
        <v>863</v>
      </c>
      <c r="B892" s="873">
        <v>250</v>
      </c>
      <c r="C892" s="873">
        <v>250</v>
      </c>
      <c r="D892" s="873">
        <v>250</v>
      </c>
    </row>
    <row r="893" spans="1:5" ht="12.5" thickBot="1" x14ac:dyDescent="0.35">
      <c r="A893" s="709" t="s">
        <v>864</v>
      </c>
      <c r="B893" s="1318">
        <f>SUM(B891:B892)</f>
        <v>546.75</v>
      </c>
      <c r="C893" s="1318">
        <f>SUM(C891:C892)</f>
        <v>843.5</v>
      </c>
      <c r="D893" s="1318">
        <f>SUM(D891:D892)</f>
        <v>695.125</v>
      </c>
    </row>
    <row r="894" spans="1:5" ht="12.5" thickTop="1" x14ac:dyDescent="0.3">
      <c r="A894" s="494"/>
      <c r="B894" s="494"/>
      <c r="C894" s="494"/>
      <c r="D894" s="494"/>
    </row>
    <row r="899" spans="1:7" x14ac:dyDescent="0.3">
      <c r="A899" t="s">
        <v>851</v>
      </c>
      <c r="B899" s="1179">
        <f>D879</f>
        <v>26.216900000000003</v>
      </c>
      <c r="C899" s="816">
        <f>B542/1000</f>
        <v>1.9544999999999999</v>
      </c>
      <c r="D899" s="816">
        <f>B899-C899</f>
        <v>24.262400000000003</v>
      </c>
      <c r="E899" s="885">
        <f>D899/$B$544*1000000</f>
        <v>3200.0000000000005</v>
      </c>
      <c r="F899" s="1179">
        <f>D899/SUM(Drivers!$EQ$27:$ER$27,Drivers!$ET$27:$EU$27)*1000</f>
        <v>17.014305750350633</v>
      </c>
    </row>
    <row r="900" spans="1:7" x14ac:dyDescent="0.3">
      <c r="A900" t="s">
        <v>854</v>
      </c>
      <c r="B900" s="1179">
        <f>D880</f>
        <v>27.291074449345917</v>
      </c>
      <c r="C900" s="816">
        <f>C899</f>
        <v>1.9544999999999999</v>
      </c>
      <c r="D900" s="816">
        <f t="shared" ref="D900:D902" si="293">B900-C900</f>
        <v>25.336574449345918</v>
      </c>
      <c r="E900" s="885">
        <f t="shared" ref="E900:E902" si="294">D900/$B$544*1000000</f>
        <v>3341.6742877005959</v>
      </c>
      <c r="F900" s="1179">
        <f>D900/SUM(Drivers!$EQ$27:$ER$27,Drivers!$ET$27:$EU$27)*1000</f>
        <v>17.767583765319717</v>
      </c>
      <c r="G900">
        <f>D900/C2420*1000</f>
        <v>9.5476408220017017</v>
      </c>
    </row>
    <row r="901" spans="1:7" x14ac:dyDescent="0.3">
      <c r="A901" t="s">
        <v>855</v>
      </c>
      <c r="B901" s="1179">
        <f>D881</f>
        <v>28.887200269616688</v>
      </c>
      <c r="C901" s="816">
        <f t="shared" ref="C901:C902" si="295">C900</f>
        <v>1.9544999999999999</v>
      </c>
      <c r="D901" s="816">
        <f t="shared" si="293"/>
        <v>26.932700269616689</v>
      </c>
      <c r="E901" s="885">
        <f t="shared" si="294"/>
        <v>3552.1894314978485</v>
      </c>
      <c r="F901" s="1179">
        <f>D901/SUM(Drivers!$EQ$27:$ER$27,Drivers!$ET$27:$EU$27)*1000</f>
        <v>18.88688658458393</v>
      </c>
    </row>
    <row r="902" spans="1:7" x14ac:dyDescent="0.3">
      <c r="A902" t="s">
        <v>856</v>
      </c>
      <c r="B902" s="1179">
        <f>D882</f>
        <v>30.162790268152559</v>
      </c>
      <c r="C902" s="816">
        <f t="shared" si="295"/>
        <v>1.9544999999999999</v>
      </c>
      <c r="D902" s="816">
        <f t="shared" si="293"/>
        <v>28.20829026815256</v>
      </c>
      <c r="E902" s="885">
        <f t="shared" si="294"/>
        <v>3720.4286821620367</v>
      </c>
      <c r="F902" s="1179">
        <f>D902/SUM(Drivers!$EQ$27:$ER$27,Drivers!$ET$27:$EU$27)*1000</f>
        <v>19.781409725212175</v>
      </c>
    </row>
    <row r="915" spans="1:5" x14ac:dyDescent="0.3">
      <c r="A915" t="s">
        <v>629</v>
      </c>
      <c r="B915" s="885">
        <f>SUM(Drivers!EQ28:ER28,Drivers!ET28:EU28)</f>
        <v>697</v>
      </c>
      <c r="C915" s="885">
        <v>3</v>
      </c>
      <c r="D915" s="885">
        <f>B915*C915</f>
        <v>2091</v>
      </c>
      <c r="E915" s="887">
        <f>D915</f>
        <v>2091</v>
      </c>
    </row>
    <row r="916" spans="1:5" x14ac:dyDescent="0.3">
      <c r="A916" t="s">
        <v>628</v>
      </c>
      <c r="B916" s="885">
        <f>SUM(Drivers!EQ27:ER27,Drivers!ET27:EU27)</f>
        <v>1426</v>
      </c>
      <c r="C916" s="885">
        <v>14.8</v>
      </c>
      <c r="D916" s="885">
        <f>B916*C916</f>
        <v>21104.799999999999</v>
      </c>
      <c r="E916" s="887">
        <f>B916*26.6</f>
        <v>37931.599999999999</v>
      </c>
    </row>
    <row r="917" spans="1:5" x14ac:dyDescent="0.3">
      <c r="A917" t="s">
        <v>865</v>
      </c>
      <c r="D917" s="887">
        <f>SUM(D915:D916)</f>
        <v>23195.8</v>
      </c>
      <c r="E917" s="887">
        <f>SUM(E915:E916)</f>
        <v>40022.6</v>
      </c>
    </row>
    <row r="918" spans="1:5" x14ac:dyDescent="0.3">
      <c r="A918" t="s">
        <v>866</v>
      </c>
      <c r="D918" s="887">
        <f>B536</f>
        <v>10246</v>
      </c>
      <c r="E918" s="887">
        <f>D918</f>
        <v>10246</v>
      </c>
    </row>
    <row r="919" spans="1:5" x14ac:dyDescent="0.3">
      <c r="A919" t="s">
        <v>867</v>
      </c>
      <c r="D919" s="887">
        <f>D917-D918</f>
        <v>12949.8</v>
      </c>
      <c r="E919" s="887">
        <f>E917-E918</f>
        <v>29776.6</v>
      </c>
    </row>
    <row r="920" spans="1:5" x14ac:dyDescent="0.3">
      <c r="A920" t="s">
        <v>868</v>
      </c>
      <c r="D920" s="76">
        <f>Valuation!B7</f>
        <v>260</v>
      </c>
      <c r="E920" s="76">
        <f>D920</f>
        <v>260</v>
      </c>
    </row>
    <row r="921" spans="1:5" x14ac:dyDescent="0.3">
      <c r="D921" s="816">
        <f>D919/D920</f>
        <v>49.806923076923077</v>
      </c>
      <c r="E921" s="816">
        <f>E919/E920</f>
        <v>114.52538461538461</v>
      </c>
    </row>
    <row r="925" spans="1:5" x14ac:dyDescent="0.3">
      <c r="A925" t="s">
        <v>694</v>
      </c>
      <c r="B925" s="887">
        <f>D916</f>
        <v>21104.799999999999</v>
      </c>
    </row>
    <row r="926" spans="1:5" x14ac:dyDescent="0.3">
      <c r="A926" t="s">
        <v>869</v>
      </c>
      <c r="B926" s="887">
        <f>B925+C925</f>
        <v>21104.799999999999</v>
      </c>
      <c r="C926" s="887">
        <f>D915</f>
        <v>2091</v>
      </c>
    </row>
    <row r="927" spans="1:5" x14ac:dyDescent="0.3">
      <c r="A927" t="s">
        <v>865</v>
      </c>
      <c r="B927" s="887">
        <f>B926+C926</f>
        <v>23195.8</v>
      </c>
    </row>
    <row r="928" spans="1:5" x14ac:dyDescent="0.3">
      <c r="A928" t="s">
        <v>866</v>
      </c>
      <c r="B928" s="887">
        <f>B927-C928</f>
        <v>12949.8</v>
      </c>
      <c r="C928" s="887">
        <f>D918</f>
        <v>10246</v>
      </c>
    </row>
    <row r="929" spans="1:4" x14ac:dyDescent="0.3">
      <c r="A929" t="s">
        <v>867</v>
      </c>
      <c r="B929" s="887">
        <f>B928</f>
        <v>12949.8</v>
      </c>
    </row>
    <row r="936" spans="1:4" x14ac:dyDescent="0.3">
      <c r="A936" t="s">
        <v>629</v>
      </c>
      <c r="B936" s="885">
        <f>B915/(Drivers!EU99-Drivers!EV90)*(Drivers!EU99-10000)</f>
        <v>481.42747505755949</v>
      </c>
      <c r="C936" s="885">
        <v>3</v>
      </c>
      <c r="D936" s="885">
        <f>B936*C936</f>
        <v>1444.2824251726784</v>
      </c>
    </row>
    <row r="937" spans="1:4" x14ac:dyDescent="0.3">
      <c r="A937" t="s">
        <v>628</v>
      </c>
      <c r="B937" s="885">
        <f>350*10</f>
        <v>3500</v>
      </c>
      <c r="C937" s="885">
        <f>C916</f>
        <v>14.8</v>
      </c>
      <c r="D937" s="885">
        <f>B937*C937</f>
        <v>51800</v>
      </c>
    </row>
    <row r="938" spans="1:4" x14ac:dyDescent="0.3">
      <c r="A938" t="s">
        <v>865</v>
      </c>
      <c r="D938" s="887">
        <f>SUM(D936:D937)</f>
        <v>53244.282425172678</v>
      </c>
    </row>
    <row r="939" spans="1:4" x14ac:dyDescent="0.3">
      <c r="A939" t="s">
        <v>866</v>
      </c>
      <c r="D939" s="887">
        <f>'Model Main'!FD198</f>
        <v>14286.955249149083</v>
      </c>
    </row>
    <row r="940" spans="1:4" x14ac:dyDescent="0.3">
      <c r="A940" t="s">
        <v>867</v>
      </c>
      <c r="D940" s="887">
        <f>D938-D939</f>
        <v>38957.327176023595</v>
      </c>
    </row>
    <row r="941" spans="1:4" x14ac:dyDescent="0.3">
      <c r="A941" t="s">
        <v>868</v>
      </c>
      <c r="D941" s="76">
        <f>D920</f>
        <v>260</v>
      </c>
    </row>
    <row r="942" spans="1:4" x14ac:dyDescent="0.3">
      <c r="D942" s="816">
        <f>D940/D941</f>
        <v>149.83587375393691</v>
      </c>
    </row>
    <row r="946" spans="1:3" x14ac:dyDescent="0.3">
      <c r="A946" t="s">
        <v>694</v>
      </c>
      <c r="B946" s="887">
        <f>E916</f>
        <v>37931.599999999999</v>
      </c>
    </row>
    <row r="947" spans="1:3" x14ac:dyDescent="0.3">
      <c r="A947" t="s">
        <v>869</v>
      </c>
      <c r="B947" s="887">
        <f>B946+C946</f>
        <v>37931.599999999999</v>
      </c>
      <c r="C947" s="887">
        <f>E915</f>
        <v>2091</v>
      </c>
    </row>
    <row r="948" spans="1:3" x14ac:dyDescent="0.3">
      <c r="A948" t="s">
        <v>865</v>
      </c>
      <c r="B948" s="887">
        <f>B947+C947</f>
        <v>40022.6</v>
      </c>
    </row>
    <row r="949" spans="1:3" x14ac:dyDescent="0.3">
      <c r="A949" t="s">
        <v>866</v>
      </c>
      <c r="B949" s="887">
        <f>B948-C949</f>
        <v>29776.6</v>
      </c>
      <c r="C949" s="887">
        <f>E918</f>
        <v>10246</v>
      </c>
    </row>
    <row r="950" spans="1:3" x14ac:dyDescent="0.3">
      <c r="A950" t="s">
        <v>867</v>
      </c>
      <c r="B950" s="887">
        <f>B949</f>
        <v>29776.6</v>
      </c>
    </row>
    <row r="955" spans="1:3" x14ac:dyDescent="0.3">
      <c r="A955" s="177" t="s">
        <v>870</v>
      </c>
      <c r="B955" s="887">
        <f>Drivers!$EZ$30</f>
        <v>593.66919939607862</v>
      </c>
    </row>
    <row r="956" spans="1:3" x14ac:dyDescent="0.3">
      <c r="A956" s="177" t="s">
        <v>871</v>
      </c>
      <c r="B956" s="1432">
        <f>Valuation!$C$21</f>
        <v>8.9354953354064879</v>
      </c>
    </row>
    <row r="957" spans="1:3" x14ac:dyDescent="0.3">
      <c r="A957" s="177" t="s">
        <v>872</v>
      </c>
      <c r="B957" s="885">
        <f>B955*B956</f>
        <v>5304.7283619781647</v>
      </c>
    </row>
    <row r="958" spans="1:3" x14ac:dyDescent="0.3">
      <c r="A958" s="177" t="s">
        <v>786</v>
      </c>
      <c r="B958" s="104">
        <f>'Model Main'!$EZ$198</f>
        <v>11790.872454847284</v>
      </c>
    </row>
    <row r="959" spans="1:3" x14ac:dyDescent="0.3">
      <c r="A959" s="177" t="s">
        <v>787</v>
      </c>
      <c r="B959" s="887">
        <f>B957-B958</f>
        <v>-6486.144092869119</v>
      </c>
    </row>
    <row r="960" spans="1:3" x14ac:dyDescent="0.3">
      <c r="A960" s="177" t="s">
        <v>104</v>
      </c>
      <c r="B960" s="104">
        <f>Valuation!B7</f>
        <v>260</v>
      </c>
    </row>
    <row r="961" spans="1:4" x14ac:dyDescent="0.3">
      <c r="A961" s="298" t="s">
        <v>873</v>
      </c>
      <c r="B961" s="1224">
        <f>B959/B960</f>
        <v>-24.94670804949661</v>
      </c>
    </row>
    <row r="964" spans="1:4" x14ac:dyDescent="0.3">
      <c r="A964" s="177" t="s">
        <v>874</v>
      </c>
      <c r="B964" s="76">
        <f>Valuation!$B$13</f>
        <v>20113.800000000003</v>
      </c>
    </row>
    <row r="965" spans="1:4" x14ac:dyDescent="0.3">
      <c r="A965" s="177" t="s">
        <v>875</v>
      </c>
      <c r="B965" s="901">
        <f>3*Drivers!$EX$28</f>
        <v>1848</v>
      </c>
    </row>
    <row r="966" spans="1:4" x14ac:dyDescent="0.3">
      <c r="A966" s="177" t="s">
        <v>876</v>
      </c>
      <c r="B966" s="76">
        <f>B964-B965</f>
        <v>18265.800000000003</v>
      </c>
    </row>
    <row r="967" spans="1:4" x14ac:dyDescent="0.3">
      <c r="A967" s="177" t="s">
        <v>877</v>
      </c>
      <c r="B967" s="104">
        <f>Drivers!$EX$27</f>
        <v>1574</v>
      </c>
    </row>
    <row r="968" spans="1:4" x14ac:dyDescent="0.3">
      <c r="A968" s="177" t="s">
        <v>878</v>
      </c>
      <c r="B968" s="459">
        <f>B966/B967</f>
        <v>11.604701397712835</v>
      </c>
    </row>
    <row r="970" spans="1:4" x14ac:dyDescent="0.3">
      <c r="B970" s="692" t="s">
        <v>629</v>
      </c>
      <c r="C970" s="692" t="s">
        <v>628</v>
      </c>
      <c r="D970" s="692" t="s">
        <v>266</v>
      </c>
    </row>
    <row r="971" spans="1:4" x14ac:dyDescent="0.3">
      <c r="A971" s="177" t="s">
        <v>870</v>
      </c>
      <c r="B971" s="885">
        <f>Drivers!$EZ$28</f>
        <v>130.39219694162244</v>
      </c>
      <c r="C971" s="885">
        <f>Drivers!$EZ$27</f>
        <v>449.27700245445612</v>
      </c>
      <c r="D971" s="885">
        <f>SUM(B971:C971)</f>
        <v>579.66919939607851</v>
      </c>
    </row>
    <row r="972" spans="1:4" x14ac:dyDescent="0.3">
      <c r="A972" s="177" t="s">
        <v>879</v>
      </c>
      <c r="B972" s="1432">
        <v>3</v>
      </c>
      <c r="C972" s="1432">
        <f>B968</f>
        <v>11.604701397712835</v>
      </c>
      <c r="D972" s="1432">
        <f>D973/D971</f>
        <v>9.6691389761742172</v>
      </c>
    </row>
    <row r="973" spans="1:4" x14ac:dyDescent="0.3">
      <c r="A973" s="177" t="s">
        <v>872</v>
      </c>
      <c r="B973" s="885">
        <f>B971*B972</f>
        <v>391.17659082486733</v>
      </c>
      <c r="C973" s="885">
        <f>C971*C972</f>
        <v>5213.7254583434596</v>
      </c>
      <c r="D973" s="885">
        <f>SUM(B973:C973)</f>
        <v>5604.9020491683268</v>
      </c>
    </row>
    <row r="974" spans="1:4" x14ac:dyDescent="0.3">
      <c r="A974" s="177" t="s">
        <v>786</v>
      </c>
      <c r="D974" s="104">
        <f>B958</f>
        <v>11790.872454847284</v>
      </c>
    </row>
    <row r="975" spans="1:4" x14ac:dyDescent="0.3">
      <c r="A975" s="177" t="s">
        <v>787</v>
      </c>
      <c r="D975" s="887">
        <f>D973-D974</f>
        <v>-6185.9704056789569</v>
      </c>
    </row>
    <row r="976" spans="1:4" x14ac:dyDescent="0.3">
      <c r="A976" s="177" t="s">
        <v>104</v>
      </c>
      <c r="D976" s="104">
        <f>B960</f>
        <v>260</v>
      </c>
    </row>
    <row r="977" spans="1:4" x14ac:dyDescent="0.3">
      <c r="A977" s="298" t="s">
        <v>873</v>
      </c>
      <c r="D977" s="1224">
        <f>D975/D976</f>
        <v>-23.792193867995987</v>
      </c>
    </row>
    <row r="980" spans="1:4" x14ac:dyDescent="0.3">
      <c r="B980" s="692" t="s">
        <v>629</v>
      </c>
      <c r="C980" s="692" t="s">
        <v>628</v>
      </c>
      <c r="D980" s="692" t="s">
        <v>266</v>
      </c>
    </row>
    <row r="981" spans="1:4" x14ac:dyDescent="0.3">
      <c r="A981" t="s">
        <v>880</v>
      </c>
      <c r="B981" s="885">
        <f>D981-C981</f>
        <v>5377</v>
      </c>
      <c r="C981" s="885">
        <f>Drivers!FD90</f>
        <v>10023</v>
      </c>
      <c r="D981" s="885">
        <f>Drivers!EU99</f>
        <v>15400</v>
      </c>
    </row>
    <row r="982" spans="1:4" x14ac:dyDescent="0.3">
      <c r="A982" s="177" t="s">
        <v>881</v>
      </c>
      <c r="B982" s="901">
        <v>250</v>
      </c>
      <c r="C982" s="901">
        <f>[5]Valuation!$D$15</f>
        <v>2689.8155463018638</v>
      </c>
      <c r="D982" s="901">
        <f>D983/D981*1000</f>
        <v>1837.9396896482845</v>
      </c>
    </row>
    <row r="983" spans="1:4" x14ac:dyDescent="0.3">
      <c r="A983" s="177" t="s">
        <v>872</v>
      </c>
      <c r="B983" s="887">
        <f>B981*B982/1000</f>
        <v>1344.25</v>
      </c>
      <c r="C983" s="887">
        <f>C981*C982/1000</f>
        <v>26960.021220583581</v>
      </c>
      <c r="D983" s="887">
        <f>SUM(B983:C983)</f>
        <v>28304.271220583581</v>
      </c>
    </row>
    <row r="984" spans="1:4" x14ac:dyDescent="0.3">
      <c r="A984" s="177" t="s">
        <v>786</v>
      </c>
      <c r="D984" s="104">
        <f>'Model Main'!FD198</f>
        <v>14286.955249149083</v>
      </c>
    </row>
    <row r="985" spans="1:4" x14ac:dyDescent="0.3">
      <c r="A985" s="177" t="s">
        <v>787</v>
      </c>
      <c r="D985" s="887">
        <f>D983-D984</f>
        <v>14017.315971434498</v>
      </c>
    </row>
    <row r="986" spans="1:4" x14ac:dyDescent="0.3">
      <c r="A986" s="177" t="s">
        <v>104</v>
      </c>
      <c r="D986" s="104">
        <f>Valuation!B7</f>
        <v>260</v>
      </c>
    </row>
    <row r="987" spans="1:4" x14ac:dyDescent="0.3">
      <c r="A987" s="177" t="s">
        <v>873</v>
      </c>
      <c r="D987" s="1015">
        <f>D985/D986</f>
        <v>53.912753736286533</v>
      </c>
    </row>
    <row r="990" spans="1:4" x14ac:dyDescent="0.3">
      <c r="B990" s="692" t="s">
        <v>629</v>
      </c>
      <c r="C990" s="692" t="s">
        <v>628</v>
      </c>
      <c r="D990" s="692" t="s">
        <v>266</v>
      </c>
    </row>
    <row r="991" spans="1:4" x14ac:dyDescent="0.3">
      <c r="A991" t="s">
        <v>880</v>
      </c>
      <c r="B991" s="885">
        <f>B981</f>
        <v>5377</v>
      </c>
      <c r="C991" s="885">
        <f>C981</f>
        <v>10023</v>
      </c>
      <c r="D991" s="885">
        <f>D981</f>
        <v>15400</v>
      </c>
    </row>
    <row r="992" spans="1:4" x14ac:dyDescent="0.3">
      <c r="A992" s="177" t="s">
        <v>881</v>
      </c>
      <c r="B992" s="901">
        <v>250</v>
      </c>
      <c r="C992" s="901">
        <f>C982+600</f>
        <v>3289.8155463018638</v>
      </c>
      <c r="D992" s="901">
        <f>D993/D991*1000</f>
        <v>2228.4461831547778</v>
      </c>
    </row>
    <row r="993" spans="1:4" x14ac:dyDescent="0.3">
      <c r="A993" s="177" t="s">
        <v>872</v>
      </c>
      <c r="B993" s="887">
        <f>B991*B992/1000</f>
        <v>1344.25</v>
      </c>
      <c r="C993" s="887">
        <f>C991*C992/1000</f>
        <v>32973.821220583581</v>
      </c>
      <c r="D993" s="887">
        <f>SUM(B993:C993)</f>
        <v>34318.071220583581</v>
      </c>
    </row>
    <row r="994" spans="1:4" x14ac:dyDescent="0.3">
      <c r="A994" s="177" t="s">
        <v>786</v>
      </c>
      <c r="D994" s="104">
        <f>D984</f>
        <v>14286.955249149083</v>
      </c>
    </row>
    <row r="995" spans="1:4" x14ac:dyDescent="0.3">
      <c r="A995" s="177" t="s">
        <v>787</v>
      </c>
      <c r="D995" s="887">
        <f>D993-D994</f>
        <v>20031.115971434498</v>
      </c>
    </row>
    <row r="996" spans="1:4" x14ac:dyDescent="0.3">
      <c r="A996" s="177" t="s">
        <v>104</v>
      </c>
      <c r="D996" s="104">
        <f>D986</f>
        <v>260</v>
      </c>
    </row>
    <row r="997" spans="1:4" x14ac:dyDescent="0.3">
      <c r="A997" s="177" t="s">
        <v>873</v>
      </c>
      <c r="D997" s="1015">
        <f>D995/D996</f>
        <v>77.042753736286528</v>
      </c>
    </row>
    <row r="1022" spans="1:20" x14ac:dyDescent="0.3">
      <c r="A1022" s="1256" t="s">
        <v>882</v>
      </c>
      <c r="B1022" s="1257"/>
      <c r="C1022" s="1257"/>
      <c r="D1022" s="1257"/>
      <c r="E1022" s="1257"/>
      <c r="F1022" s="1257"/>
      <c r="G1022" s="1257"/>
      <c r="H1022" s="1257"/>
      <c r="I1022" s="1257"/>
      <c r="J1022" s="1257"/>
      <c r="K1022" s="1257"/>
      <c r="L1022" s="1257"/>
      <c r="M1022" s="1257"/>
      <c r="N1022" s="1257"/>
      <c r="O1022" s="1257"/>
      <c r="P1022" s="1257"/>
      <c r="Q1022" s="1257"/>
      <c r="R1022" s="1257"/>
      <c r="S1022" s="1257"/>
      <c r="T1022" s="1257"/>
    </row>
    <row r="1023" spans="1:20" x14ac:dyDescent="0.3">
      <c r="A1023" s="366"/>
      <c r="B1023" s="366"/>
      <c r="C1023" s="366"/>
      <c r="D1023" s="366"/>
      <c r="E1023" s="366"/>
      <c r="F1023" s="366"/>
      <c r="G1023" s="366"/>
      <c r="H1023" s="366"/>
      <c r="I1023" s="366"/>
      <c r="J1023" s="366"/>
      <c r="K1023" s="366"/>
    </row>
    <row r="1024" spans="1:20" x14ac:dyDescent="0.3">
      <c r="A1024" s="144"/>
      <c r="B1024" s="820" t="s">
        <v>883</v>
      </c>
      <c r="C1024" s="820" t="s">
        <v>884</v>
      </c>
      <c r="D1024" s="820" t="s">
        <v>885</v>
      </c>
      <c r="E1024" s="820" t="s">
        <v>886</v>
      </c>
      <c r="F1024" s="820" t="s">
        <v>887</v>
      </c>
      <c r="G1024" s="820" t="s">
        <v>888</v>
      </c>
    </row>
    <row r="1025" spans="1:7" hidden="1" x14ac:dyDescent="0.3">
      <c r="A1025" s="144" t="s">
        <v>889</v>
      </c>
      <c r="B1025" s="999">
        <f>[7]Drivers!EO90</f>
        <v>5510</v>
      </c>
      <c r="C1025" s="999">
        <f>[7]Drivers!EP90</f>
        <v>5826</v>
      </c>
      <c r="D1025" s="999">
        <f>[7]Drivers!EQ90</f>
        <v>6158</v>
      </c>
      <c r="E1025" s="999">
        <f>[7]Drivers!ER90</f>
        <v>6491</v>
      </c>
      <c r="F1025" s="999">
        <f>[7]Drivers!ET90</f>
        <v>6813</v>
      </c>
      <c r="G1025" s="999">
        <f>[7]Drivers!EU90</f>
        <v>7201</v>
      </c>
    </row>
    <row r="1026" spans="1:7" hidden="1" x14ac:dyDescent="0.3">
      <c r="A1026" s="144" t="s">
        <v>890</v>
      </c>
      <c r="B1026" s="999">
        <f>'[8]Top Down Subscriber Model'!EB12</f>
        <v>135742.09006136796</v>
      </c>
      <c r="C1026" s="999">
        <f>'[8]Top Down Subscriber Model'!EC12</f>
        <v>136062.50939581584</v>
      </c>
      <c r="D1026" s="999">
        <f>'[8]Top Down Subscriber Model'!ED12</f>
        <v>136244.4258904469</v>
      </c>
      <c r="E1026" s="999">
        <f>'[8]Top Down Subscriber Model'!EE12</f>
        <v>137040.90324036131</v>
      </c>
      <c r="F1026" s="999">
        <f>'[8]Top Down Subscriber Model'!EF12</f>
        <v>136977.44193663434</v>
      </c>
      <c r="G1026" s="999">
        <f>'[8]Top Down Subscriber Model'!EG12</f>
        <v>137073.73021454737</v>
      </c>
    </row>
    <row r="1027" spans="1:7" hidden="1" x14ac:dyDescent="0.3">
      <c r="A1027" s="614" t="s">
        <v>891</v>
      </c>
      <c r="B1027" s="1695">
        <f t="shared" ref="B1027:G1027" si="296">B1025/B1026</f>
        <v>4.0591683813833802E-2</v>
      </c>
      <c r="C1027" s="1695">
        <f t="shared" si="296"/>
        <v>4.2818554691298083E-2</v>
      </c>
      <c r="D1027" s="1695">
        <f t="shared" si="296"/>
        <v>4.5198179373236162E-2</v>
      </c>
      <c r="E1027" s="1695">
        <f t="shared" si="296"/>
        <v>4.7365420443961796E-2</v>
      </c>
      <c r="F1027" s="1695">
        <f t="shared" si="296"/>
        <v>4.9738116756127541E-2</v>
      </c>
      <c r="G1027" s="1695">
        <f t="shared" si="296"/>
        <v>5.2533771341372396E-2</v>
      </c>
    </row>
    <row r="1028" spans="1:7" hidden="1" x14ac:dyDescent="0.3">
      <c r="A1028" s="144"/>
      <c r="B1028" s="144"/>
      <c r="C1028" s="144"/>
      <c r="D1028" s="144"/>
      <c r="E1028" s="144"/>
      <c r="F1028" s="144"/>
      <c r="G1028" s="144"/>
    </row>
    <row r="1029" spans="1:7" hidden="1" x14ac:dyDescent="0.3">
      <c r="A1029" s="144" t="s">
        <v>892</v>
      </c>
      <c r="B1029" s="1083">
        <f>'[8]Top Down Subscriber Model'!EB145</f>
        <v>0.85886634552197028</v>
      </c>
      <c r="C1029" s="1083">
        <f>'[8]Top Down Subscriber Model'!EC145</f>
        <v>0.86175942800042904</v>
      </c>
      <c r="D1029" s="1083">
        <f>'[8]Top Down Subscriber Model'!ED145</f>
        <v>0.86720853382613261</v>
      </c>
      <c r="E1029" s="1083">
        <f>'[8]Top Down Subscriber Model'!EE145</f>
        <v>0.86576954859797239</v>
      </c>
      <c r="F1029" s="1083">
        <f>'[8]Top Down Subscriber Model'!EF145</f>
        <v>0.87015227569571907</v>
      </c>
      <c r="G1029" s="1083">
        <f>'[8]Top Down Subscriber Model'!EG145</f>
        <v>0.87173322273218656</v>
      </c>
    </row>
    <row r="1030" spans="1:7" hidden="1" x14ac:dyDescent="0.3">
      <c r="A1030" s="144" t="s">
        <v>893</v>
      </c>
      <c r="B1030" s="1083">
        <f>[7]Drivers!EO120</f>
        <v>0.30108892921960073</v>
      </c>
      <c r="C1030" s="1083">
        <f>[7]Drivers!EP120</f>
        <v>0.29557157569515963</v>
      </c>
      <c r="D1030" s="1083">
        <f>[7]Drivers!EQ120</f>
        <v>0.29181552452094833</v>
      </c>
      <c r="E1030" s="1083">
        <f>[7]Drivers!ER120</f>
        <v>0.28932367894007088</v>
      </c>
      <c r="F1030" s="1083">
        <f>[7]Drivers!ET120</f>
        <v>0.28812564215470426</v>
      </c>
      <c r="G1030" s="1083">
        <f>[7]Drivers!EU120</f>
        <v>0.28509929176503263</v>
      </c>
    </row>
    <row r="1031" spans="1:7" hidden="1" x14ac:dyDescent="0.3">
      <c r="A1031" s="614" t="s">
        <v>894</v>
      </c>
      <c r="B1031" s="1695">
        <f t="shared" ref="B1031:G1031" si="297">B1029-B1030</f>
        <v>0.55777741630236954</v>
      </c>
      <c r="C1031" s="1695">
        <f t="shared" si="297"/>
        <v>0.56618785230526947</v>
      </c>
      <c r="D1031" s="1695">
        <f t="shared" si="297"/>
        <v>0.57539300930518422</v>
      </c>
      <c r="E1031" s="1695">
        <f t="shared" si="297"/>
        <v>0.57644586965790157</v>
      </c>
      <c r="F1031" s="1695">
        <f t="shared" si="297"/>
        <v>0.5820266335410148</v>
      </c>
      <c r="G1031" s="1695">
        <f t="shared" si="297"/>
        <v>0.58663393096715399</v>
      </c>
    </row>
    <row r="1032" spans="1:7" hidden="1" x14ac:dyDescent="0.3">
      <c r="A1032" s="144"/>
      <c r="B1032" s="144"/>
      <c r="C1032" s="144"/>
      <c r="D1032" s="144"/>
      <c r="E1032" s="144"/>
      <c r="F1032" s="144"/>
      <c r="G1032" s="144"/>
    </row>
    <row r="1033" spans="1:7" hidden="1" x14ac:dyDescent="0.3">
      <c r="A1033" s="708" t="s">
        <v>895</v>
      </c>
      <c r="B1033" s="144"/>
      <c r="C1033" s="877">
        <f>B1025</f>
        <v>5510</v>
      </c>
      <c r="D1033" s="877">
        <f t="shared" ref="D1033:G1033" si="298">C1025</f>
        <v>5826</v>
      </c>
      <c r="E1033" s="877">
        <f t="shared" si="298"/>
        <v>6158</v>
      </c>
      <c r="F1033" s="877">
        <f t="shared" si="298"/>
        <v>6491</v>
      </c>
      <c r="G1033" s="877">
        <f t="shared" si="298"/>
        <v>6813</v>
      </c>
    </row>
    <row r="1034" spans="1:7" hidden="1" x14ac:dyDescent="0.3">
      <c r="A1034" s="708" t="s">
        <v>896</v>
      </c>
      <c r="B1034" s="144"/>
      <c r="C1034" s="1736">
        <f>B1029</f>
        <v>0.85886634552197028</v>
      </c>
      <c r="D1034" s="1736">
        <f t="shared" ref="D1034:G1034" si="299">C1029</f>
        <v>0.86175942800042904</v>
      </c>
      <c r="E1034" s="1736">
        <f t="shared" si="299"/>
        <v>0.86720853382613261</v>
      </c>
      <c r="F1034" s="1736">
        <f t="shared" si="299"/>
        <v>0.86576954859797239</v>
      </c>
      <c r="G1034" s="1736">
        <f t="shared" si="299"/>
        <v>0.87015227569571907</v>
      </c>
    </row>
    <row r="1035" spans="1:7" hidden="1" x14ac:dyDescent="0.3">
      <c r="A1035" s="708" t="s">
        <v>897</v>
      </c>
      <c r="B1035" s="144"/>
      <c r="C1035" s="999">
        <f>C1033*C1034</f>
        <v>4732.3535638260564</v>
      </c>
      <c r="D1035" s="999">
        <f t="shared" ref="D1035:G1035" si="300">D1033*D1034</f>
        <v>5020.6104275304997</v>
      </c>
      <c r="E1035" s="999">
        <f t="shared" si="300"/>
        <v>5340.2701513013244</v>
      </c>
      <c r="F1035" s="999">
        <f t="shared" si="300"/>
        <v>5619.7101399494386</v>
      </c>
      <c r="G1035" s="999">
        <f t="shared" si="300"/>
        <v>5928.3474543149341</v>
      </c>
    </row>
    <row r="1036" spans="1:7" hidden="1" x14ac:dyDescent="0.3">
      <c r="A1036" s="144"/>
      <c r="B1036" s="144"/>
      <c r="C1036" s="144"/>
      <c r="D1036" s="144"/>
      <c r="E1036" s="144"/>
      <c r="F1036" s="144"/>
      <c r="G1036" s="144"/>
    </row>
    <row r="1037" spans="1:7" x14ac:dyDescent="0.3">
      <c r="A1037" s="708" t="s">
        <v>898</v>
      </c>
      <c r="B1037" s="144"/>
      <c r="C1037" s="877">
        <f>C1025</f>
        <v>5826</v>
      </c>
      <c r="D1037" s="877">
        <f t="shared" ref="D1037:G1037" si="301">D1025</f>
        <v>6158</v>
      </c>
      <c r="E1037" s="877">
        <f t="shared" si="301"/>
        <v>6491</v>
      </c>
      <c r="F1037" s="877">
        <f t="shared" si="301"/>
        <v>6813</v>
      </c>
      <c r="G1037" s="877">
        <f t="shared" si="301"/>
        <v>7201</v>
      </c>
    </row>
    <row r="1038" spans="1:7" x14ac:dyDescent="0.3">
      <c r="A1038" s="708" t="s">
        <v>896</v>
      </c>
      <c r="B1038" s="144"/>
      <c r="C1038" s="1736">
        <f>C1034</f>
        <v>0.85886634552197028</v>
      </c>
      <c r="D1038" s="1736">
        <f t="shared" ref="D1038:G1038" si="302">D1034</f>
        <v>0.86175942800042904</v>
      </c>
      <c r="E1038" s="1736">
        <f t="shared" si="302"/>
        <v>0.86720853382613261</v>
      </c>
      <c r="F1038" s="1736">
        <f t="shared" si="302"/>
        <v>0.86576954859797239</v>
      </c>
      <c r="G1038" s="1736">
        <f t="shared" si="302"/>
        <v>0.87015227569571907</v>
      </c>
    </row>
    <row r="1039" spans="1:7" x14ac:dyDescent="0.3">
      <c r="A1039" s="708" t="s">
        <v>897</v>
      </c>
      <c r="B1039" s="144"/>
      <c r="C1039" s="999">
        <f>C1037*C1038</f>
        <v>5003.755329010999</v>
      </c>
      <c r="D1039" s="999">
        <f t="shared" ref="D1039:G1039" si="303">D1037*D1038</f>
        <v>5306.7145576266421</v>
      </c>
      <c r="E1039" s="999">
        <f t="shared" si="303"/>
        <v>5629.0505930654272</v>
      </c>
      <c r="F1039" s="999">
        <f t="shared" si="303"/>
        <v>5898.4879345979862</v>
      </c>
      <c r="G1039" s="999">
        <f t="shared" si="303"/>
        <v>6265.9665372848731</v>
      </c>
    </row>
    <row r="1040" spans="1:7" hidden="1" x14ac:dyDescent="0.3">
      <c r="A1040" s="614" t="s">
        <v>899</v>
      </c>
      <c r="B1040" s="614"/>
      <c r="C1040" s="1484">
        <f>C1039-C1035</f>
        <v>271.40176518494263</v>
      </c>
      <c r="D1040" s="1484">
        <f t="shared" ref="D1040:G1040" si="304">D1039-D1035</f>
        <v>286.1041300961424</v>
      </c>
      <c r="E1040" s="1484">
        <f t="shared" si="304"/>
        <v>288.78044176410276</v>
      </c>
      <c r="F1040" s="1484">
        <f t="shared" si="304"/>
        <v>278.77779464854757</v>
      </c>
      <c r="G1040" s="1484">
        <f t="shared" si="304"/>
        <v>337.61908296993897</v>
      </c>
    </row>
    <row r="1041" spans="1:7" x14ac:dyDescent="0.3">
      <c r="A1041" s="144"/>
      <c r="B1041" s="144"/>
      <c r="C1041" s="144"/>
      <c r="D1041" s="144"/>
      <c r="E1041" s="144"/>
      <c r="F1041" s="144"/>
      <c r="G1041" s="144"/>
    </row>
    <row r="1042" spans="1:7" x14ac:dyDescent="0.3">
      <c r="A1042" s="708" t="s">
        <v>898</v>
      </c>
      <c r="B1042" s="144"/>
      <c r="C1042" s="877">
        <f>C1037</f>
        <v>5826</v>
      </c>
      <c r="D1042" s="877">
        <f t="shared" ref="D1042:G1042" si="305">D1037</f>
        <v>6158</v>
      </c>
      <c r="E1042" s="877">
        <f t="shared" si="305"/>
        <v>6491</v>
      </c>
      <c r="F1042" s="877">
        <f t="shared" si="305"/>
        <v>6813</v>
      </c>
      <c r="G1042" s="877">
        <f t="shared" si="305"/>
        <v>7201</v>
      </c>
    </row>
    <row r="1043" spans="1:7" x14ac:dyDescent="0.3">
      <c r="A1043" s="708" t="s">
        <v>900</v>
      </c>
      <c r="B1043" s="144"/>
      <c r="C1043" s="1736">
        <f>C1029</f>
        <v>0.86175942800042904</v>
      </c>
      <c r="D1043" s="1736">
        <f t="shared" ref="D1043:G1043" si="306">D1029</f>
        <v>0.86720853382613261</v>
      </c>
      <c r="E1043" s="1736">
        <f t="shared" si="306"/>
        <v>0.86576954859797239</v>
      </c>
      <c r="F1043" s="1736">
        <f t="shared" si="306"/>
        <v>0.87015227569571907</v>
      </c>
      <c r="G1043" s="1736">
        <f t="shared" si="306"/>
        <v>0.87173322273218656</v>
      </c>
    </row>
    <row r="1044" spans="1:7" x14ac:dyDescent="0.3">
      <c r="A1044" s="708" t="s">
        <v>901</v>
      </c>
      <c r="B1044" s="144"/>
      <c r="C1044" s="999">
        <f>C1042*C1043</f>
        <v>5020.6104275304997</v>
      </c>
      <c r="D1044" s="999">
        <f t="shared" ref="D1044:G1044" si="307">D1042*D1043</f>
        <v>5340.2701513013244</v>
      </c>
      <c r="E1044" s="999">
        <f t="shared" si="307"/>
        <v>5619.7101399494386</v>
      </c>
      <c r="F1044" s="999">
        <f t="shared" si="307"/>
        <v>5928.3474543149341</v>
      </c>
      <c r="G1044" s="999">
        <f t="shared" si="307"/>
        <v>6277.3509368944751</v>
      </c>
    </row>
    <row r="1045" spans="1:7" x14ac:dyDescent="0.3">
      <c r="A1045" s="614" t="s">
        <v>902</v>
      </c>
      <c r="B1045" s="614"/>
      <c r="C1045" s="1484">
        <f>C1044-C1039</f>
        <v>16.855098519500643</v>
      </c>
      <c r="D1045" s="1484">
        <f t="shared" ref="D1045:G1045" si="308">D1044-D1039</f>
        <v>33.555593674682314</v>
      </c>
      <c r="E1045" s="1484">
        <f t="shared" si="308"/>
        <v>-9.3404531159885664</v>
      </c>
      <c r="F1045" s="1484">
        <f t="shared" si="308"/>
        <v>29.859519716947943</v>
      </c>
      <c r="G1045" s="1484">
        <f t="shared" si="308"/>
        <v>11.384399609602042</v>
      </c>
    </row>
    <row r="1046" spans="1:7" x14ac:dyDescent="0.3">
      <c r="A1046" s="144"/>
      <c r="B1046" s="144"/>
      <c r="C1046" s="144"/>
      <c r="D1046" s="144"/>
      <c r="E1046" s="144"/>
      <c r="F1046" s="144"/>
      <c r="G1046" s="144"/>
    </row>
    <row r="1047" spans="1:7" x14ac:dyDescent="0.3">
      <c r="A1047" s="708" t="s">
        <v>903</v>
      </c>
      <c r="B1047" s="999">
        <f>B1025*B1029</f>
        <v>4732.3535638260564</v>
      </c>
      <c r="C1047" s="999">
        <f>C1044</f>
        <v>5020.6104275304997</v>
      </c>
      <c r="D1047" s="999">
        <f t="shared" ref="D1047:G1047" si="309">D1044</f>
        <v>5340.2701513013244</v>
      </c>
      <c r="E1047" s="999">
        <f t="shared" si="309"/>
        <v>5619.7101399494386</v>
      </c>
      <c r="F1047" s="999">
        <f t="shared" si="309"/>
        <v>5928.3474543149341</v>
      </c>
      <c r="G1047" s="999">
        <f t="shared" si="309"/>
        <v>6277.3509368944751</v>
      </c>
    </row>
    <row r="1048" spans="1:7" x14ac:dyDescent="0.3">
      <c r="A1048" s="708" t="s">
        <v>904</v>
      </c>
      <c r="B1048" s="1737">
        <f>[7]Drivers!EO119</f>
        <v>1.2E-2</v>
      </c>
      <c r="C1048" s="1737">
        <f>[7]Drivers!EP119</f>
        <v>1.41E-2</v>
      </c>
      <c r="D1048" s="1737">
        <f>[7]Drivers!EQ119</f>
        <v>1.47E-2</v>
      </c>
      <c r="E1048" s="1737">
        <f>[7]Drivers!ER119</f>
        <v>1.2E-2</v>
      </c>
      <c r="F1048" s="1737">
        <f>[7]Drivers!ET119</f>
        <v>1.24E-2</v>
      </c>
      <c r="G1048" s="1737">
        <f>[7]Drivers!EU119</f>
        <v>1.4E-2</v>
      </c>
    </row>
    <row r="1049" spans="1:7" x14ac:dyDescent="0.3">
      <c r="A1049" s="708" t="s">
        <v>905</v>
      </c>
      <c r="B1049" s="999">
        <f t="shared" ref="B1049:G1049" si="310">B1047*B1048*3</f>
        <v>170.36472829773803</v>
      </c>
      <c r="C1049" s="999">
        <f t="shared" si="310"/>
        <v>212.37182108454016</v>
      </c>
      <c r="D1049" s="999">
        <f t="shared" si="310"/>
        <v>235.50591367238837</v>
      </c>
      <c r="E1049" s="999">
        <f t="shared" si="310"/>
        <v>202.30956503817981</v>
      </c>
      <c r="F1049" s="999">
        <f t="shared" si="310"/>
        <v>220.53452530051555</v>
      </c>
      <c r="G1049" s="999">
        <f t="shared" si="310"/>
        <v>263.64873934956796</v>
      </c>
    </row>
    <row r="1050" spans="1:7" x14ac:dyDescent="0.3">
      <c r="A1050" s="614" t="s">
        <v>906</v>
      </c>
      <c r="B1050" s="1484">
        <f>B1049+B1045</f>
        <v>170.36472829773803</v>
      </c>
      <c r="C1050" s="1484">
        <f>C1049+C1045</f>
        <v>229.2269196040408</v>
      </c>
      <c r="D1050" s="1484">
        <f t="shared" ref="D1050:G1050" si="311">D1049+D1045</f>
        <v>269.06150734707069</v>
      </c>
      <c r="E1050" s="1484">
        <f t="shared" si="311"/>
        <v>192.96911192219125</v>
      </c>
      <c r="F1050" s="1484">
        <f t="shared" si="311"/>
        <v>250.3940450174635</v>
      </c>
      <c r="G1050" s="1484">
        <f t="shared" si="311"/>
        <v>275.03313895917</v>
      </c>
    </row>
    <row r="1051" spans="1:7" x14ac:dyDescent="0.3">
      <c r="A1051" s="144"/>
      <c r="B1051" s="144"/>
      <c r="C1051" s="144"/>
      <c r="D1051" s="144"/>
      <c r="E1051" s="144"/>
      <c r="F1051" s="144"/>
      <c r="G1051" s="144"/>
    </row>
    <row r="1052" spans="1:7" x14ac:dyDescent="0.3">
      <c r="A1052" s="708" t="s">
        <v>907</v>
      </c>
      <c r="B1052" s="365">
        <f>[7]Drivers!EO112</f>
        <v>1575</v>
      </c>
      <c r="C1052" s="365">
        <f>[7]Drivers!EP112</f>
        <v>1659</v>
      </c>
      <c r="D1052" s="365">
        <f>[7]Drivers!EQ112</f>
        <v>1722</v>
      </c>
      <c r="E1052" s="365">
        <f>[7]Drivers!ER112</f>
        <v>1797</v>
      </c>
      <c r="F1052" s="365">
        <f>[7]Drivers!ET112</f>
        <v>1878</v>
      </c>
      <c r="G1052" s="365">
        <f>[7]Drivers!EU112</f>
        <v>1963</v>
      </c>
    </row>
    <row r="1053" spans="1:7" x14ac:dyDescent="0.3">
      <c r="A1053" s="708" t="s">
        <v>904</v>
      </c>
      <c r="B1053" s="1737">
        <f t="shared" ref="B1053:G1053" si="312">B1048</f>
        <v>1.2E-2</v>
      </c>
      <c r="C1053" s="1737">
        <f t="shared" si="312"/>
        <v>1.41E-2</v>
      </c>
      <c r="D1053" s="1737">
        <f t="shared" si="312"/>
        <v>1.47E-2</v>
      </c>
      <c r="E1053" s="1737">
        <f t="shared" si="312"/>
        <v>1.2E-2</v>
      </c>
      <c r="F1053" s="1737">
        <f t="shared" si="312"/>
        <v>1.24E-2</v>
      </c>
      <c r="G1053" s="1737">
        <f t="shared" si="312"/>
        <v>1.4E-2</v>
      </c>
    </row>
    <row r="1054" spans="1:7" x14ac:dyDescent="0.3">
      <c r="A1054" s="708" t="s">
        <v>908</v>
      </c>
      <c r="B1054" s="999">
        <f t="shared" ref="B1054:G1054" si="313">B1052*B1053*3</f>
        <v>56.7</v>
      </c>
      <c r="C1054" s="999">
        <f t="shared" si="313"/>
        <v>70.175700000000006</v>
      </c>
      <c r="D1054" s="999">
        <f t="shared" si="313"/>
        <v>75.94019999999999</v>
      </c>
      <c r="E1054" s="999">
        <f t="shared" si="313"/>
        <v>64.692000000000007</v>
      </c>
      <c r="F1054" s="999">
        <f t="shared" si="313"/>
        <v>69.861599999999996</v>
      </c>
      <c r="G1054" s="999">
        <f t="shared" si="313"/>
        <v>82.445999999999998</v>
      </c>
    </row>
    <row r="1055" spans="1:7" x14ac:dyDescent="0.3">
      <c r="A1055" s="708" t="s">
        <v>909</v>
      </c>
      <c r="B1055" s="656">
        <f>[7]Drivers!EO117</f>
        <v>84</v>
      </c>
      <c r="C1055" s="656">
        <f>[7]Drivers!EP117</f>
        <v>63</v>
      </c>
      <c r="D1055" s="656">
        <f>[7]Drivers!EQ117</f>
        <v>75</v>
      </c>
      <c r="E1055" s="656">
        <f>[7]Drivers!ER117</f>
        <v>81</v>
      </c>
      <c r="F1055" s="656">
        <f>[7]Drivers!ET117</f>
        <v>85</v>
      </c>
      <c r="G1055" s="656">
        <f>[7]Drivers!EU117</f>
        <v>90</v>
      </c>
    </row>
    <row r="1056" spans="1:7" x14ac:dyDescent="0.3">
      <c r="A1056" s="708" t="s">
        <v>910</v>
      </c>
      <c r="B1056" s="365">
        <f>SUM(B1054:B1055)</f>
        <v>140.69999999999999</v>
      </c>
      <c r="C1056" s="365">
        <f t="shared" ref="C1056:G1056" si="314">SUM(C1054:C1055)</f>
        <v>133.17570000000001</v>
      </c>
      <c r="D1056" s="365">
        <f t="shared" si="314"/>
        <v>150.9402</v>
      </c>
      <c r="E1056" s="365">
        <f t="shared" si="314"/>
        <v>145.69200000000001</v>
      </c>
      <c r="F1056" s="365">
        <f t="shared" si="314"/>
        <v>154.86160000000001</v>
      </c>
      <c r="G1056" s="365">
        <f t="shared" si="314"/>
        <v>172.446</v>
      </c>
    </row>
    <row r="1057" spans="1:7" x14ac:dyDescent="0.3">
      <c r="A1057" s="708"/>
      <c r="B1057" s="365"/>
      <c r="C1057" s="365"/>
      <c r="D1057" s="365"/>
      <c r="E1057" s="365"/>
      <c r="F1057" s="365"/>
      <c r="G1057" s="365"/>
    </row>
    <row r="1058" spans="1:7" x14ac:dyDescent="0.3">
      <c r="A1058" s="708" t="s">
        <v>911</v>
      </c>
      <c r="B1058" s="877">
        <f t="shared" ref="B1058:G1058" si="315">B1056</f>
        <v>140.69999999999999</v>
      </c>
      <c r="C1058" s="877">
        <f t="shared" si="315"/>
        <v>133.17570000000001</v>
      </c>
      <c r="D1058" s="877">
        <f t="shared" si="315"/>
        <v>150.9402</v>
      </c>
      <c r="E1058" s="877">
        <f t="shared" si="315"/>
        <v>145.69200000000001</v>
      </c>
      <c r="F1058" s="877">
        <f t="shared" si="315"/>
        <v>154.86160000000001</v>
      </c>
      <c r="G1058" s="877">
        <f t="shared" si="315"/>
        <v>172.446</v>
      </c>
    </row>
    <row r="1059" spans="1:7" x14ac:dyDescent="0.3">
      <c r="A1059" s="708" t="s">
        <v>912</v>
      </c>
      <c r="B1059" s="880">
        <f t="shared" ref="B1059:G1059" si="316">B1050</f>
        <v>170.36472829773803</v>
      </c>
      <c r="C1059" s="880">
        <f t="shared" si="316"/>
        <v>229.2269196040408</v>
      </c>
      <c r="D1059" s="880">
        <f t="shared" si="316"/>
        <v>269.06150734707069</v>
      </c>
      <c r="E1059" s="880">
        <f t="shared" si="316"/>
        <v>192.96911192219125</v>
      </c>
      <c r="F1059" s="880">
        <f t="shared" si="316"/>
        <v>250.3940450174635</v>
      </c>
      <c r="G1059" s="880">
        <f t="shared" si="316"/>
        <v>275.03313895917</v>
      </c>
    </row>
    <row r="1060" spans="1:7" x14ac:dyDescent="0.3">
      <c r="A1060" s="708" t="s">
        <v>913</v>
      </c>
      <c r="B1060" s="1002">
        <f t="shared" ref="B1060:G1060" si="317">B1058/B1059</f>
        <v>0.82587517619319384</v>
      </c>
      <c r="C1060" s="1002">
        <f t="shared" si="317"/>
        <v>0.58097757553974649</v>
      </c>
      <c r="D1060" s="1002">
        <f t="shared" si="317"/>
        <v>0.5609877142526285</v>
      </c>
      <c r="E1060" s="1002">
        <f t="shared" si="317"/>
        <v>0.75500166088107279</v>
      </c>
      <c r="F1060" s="1002">
        <f t="shared" si="317"/>
        <v>0.61847157742589021</v>
      </c>
      <c r="G1060" s="1002">
        <f t="shared" si="317"/>
        <v>0.6270008067122429</v>
      </c>
    </row>
    <row r="1061" spans="1:7" x14ac:dyDescent="0.3">
      <c r="A1061" s="494"/>
      <c r="B1061" s="494"/>
      <c r="C1061" s="494"/>
      <c r="D1061" s="494"/>
      <c r="E1061" s="494"/>
      <c r="F1061" s="494"/>
      <c r="G1061" s="494"/>
    </row>
    <row r="1062" spans="1:7" x14ac:dyDescent="0.3">
      <c r="A1062" s="493"/>
      <c r="B1062" s="820" t="s">
        <v>883</v>
      </c>
      <c r="C1062" s="820" t="s">
        <v>884</v>
      </c>
      <c r="D1062" s="820" t="s">
        <v>885</v>
      </c>
      <c r="E1062" s="820" t="s">
        <v>886</v>
      </c>
      <c r="F1062" s="820" t="s">
        <v>887</v>
      </c>
      <c r="G1062" s="820" t="s">
        <v>888</v>
      </c>
    </row>
    <row r="1063" spans="1:7" x14ac:dyDescent="0.3">
      <c r="A1063" s="708" t="s">
        <v>914</v>
      </c>
      <c r="B1063" s="999">
        <f t="shared" ref="B1063:G1063" si="318">B1058</f>
        <v>140.69999999999999</v>
      </c>
      <c r="C1063" s="999">
        <f t="shared" si="318"/>
        <v>133.17570000000001</v>
      </c>
      <c r="D1063" s="999">
        <f t="shared" si="318"/>
        <v>150.9402</v>
      </c>
      <c r="E1063" s="999">
        <f t="shared" si="318"/>
        <v>145.69200000000001</v>
      </c>
      <c r="F1063" s="999">
        <f t="shared" si="318"/>
        <v>154.86160000000001</v>
      </c>
      <c r="G1063" s="999">
        <f t="shared" si="318"/>
        <v>172.446</v>
      </c>
    </row>
    <row r="1064" spans="1:7" x14ac:dyDescent="0.3">
      <c r="A1064" s="708" t="s">
        <v>915</v>
      </c>
      <c r="B1064" s="873">
        <v>0</v>
      </c>
      <c r="C1064" s="873">
        <v>0</v>
      </c>
      <c r="D1064" s="873">
        <v>0</v>
      </c>
      <c r="E1064" s="873">
        <v>0</v>
      </c>
      <c r="F1064" s="873">
        <v>0</v>
      </c>
      <c r="G1064" s="873">
        <f>G1056*0.28</f>
        <v>48.284880000000001</v>
      </c>
    </row>
    <row r="1065" spans="1:7" x14ac:dyDescent="0.3">
      <c r="A1065" s="708" t="s">
        <v>916</v>
      </c>
      <c r="B1065" s="999">
        <f t="shared" ref="B1065:G1065" si="319">B1063-B1064</f>
        <v>140.69999999999999</v>
      </c>
      <c r="C1065" s="999">
        <f t="shared" si="319"/>
        <v>133.17570000000001</v>
      </c>
      <c r="D1065" s="999">
        <f t="shared" si="319"/>
        <v>150.9402</v>
      </c>
      <c r="E1065" s="999">
        <f t="shared" si="319"/>
        <v>145.69200000000001</v>
      </c>
      <c r="F1065" s="999">
        <f t="shared" si="319"/>
        <v>154.86160000000001</v>
      </c>
      <c r="G1065" s="999">
        <f t="shared" si="319"/>
        <v>124.16112</v>
      </c>
    </row>
    <row r="1066" spans="1:7" x14ac:dyDescent="0.3">
      <c r="A1066" s="708"/>
      <c r="B1066" s="999"/>
      <c r="C1066" s="999"/>
      <c r="D1066" s="999"/>
      <c r="E1066" s="999"/>
      <c r="F1066" s="999"/>
      <c r="G1066" s="999"/>
    </row>
    <row r="1067" spans="1:7" x14ac:dyDescent="0.3">
      <c r="A1067" s="708" t="s">
        <v>917</v>
      </c>
      <c r="B1067" s="999">
        <f t="shared" ref="B1067:G1067" si="320">B1059</f>
        <v>170.36472829773803</v>
      </c>
      <c r="C1067" s="999">
        <f t="shared" si="320"/>
        <v>229.2269196040408</v>
      </c>
      <c r="D1067" s="999">
        <f t="shared" si="320"/>
        <v>269.06150734707069</v>
      </c>
      <c r="E1067" s="999">
        <f t="shared" si="320"/>
        <v>192.96911192219125</v>
      </c>
      <c r="F1067" s="999">
        <f t="shared" si="320"/>
        <v>250.3940450174635</v>
      </c>
      <c r="G1067" s="999">
        <f t="shared" si="320"/>
        <v>275.03313895917</v>
      </c>
    </row>
    <row r="1068" spans="1:7" x14ac:dyDescent="0.3">
      <c r="A1068" s="708" t="s">
        <v>915</v>
      </c>
      <c r="B1068" s="873">
        <f t="shared" ref="B1068:G1068" si="321">B1064</f>
        <v>0</v>
      </c>
      <c r="C1068" s="873">
        <f t="shared" si="321"/>
        <v>0</v>
      </c>
      <c r="D1068" s="873">
        <f t="shared" si="321"/>
        <v>0</v>
      </c>
      <c r="E1068" s="873">
        <f t="shared" si="321"/>
        <v>0</v>
      </c>
      <c r="F1068" s="873">
        <f t="shared" si="321"/>
        <v>0</v>
      </c>
      <c r="G1068" s="873">
        <f t="shared" si="321"/>
        <v>48.284880000000001</v>
      </c>
    </row>
    <row r="1069" spans="1:7" x14ac:dyDescent="0.3">
      <c r="A1069" s="708" t="s">
        <v>918</v>
      </c>
      <c r="B1069" s="999">
        <f t="shared" ref="B1069:G1069" si="322">B1067-B1068</f>
        <v>170.36472829773803</v>
      </c>
      <c r="C1069" s="999">
        <f t="shared" si="322"/>
        <v>229.2269196040408</v>
      </c>
      <c r="D1069" s="999">
        <f t="shared" si="322"/>
        <v>269.06150734707069</v>
      </c>
      <c r="E1069" s="999">
        <f t="shared" si="322"/>
        <v>192.96911192219125</v>
      </c>
      <c r="F1069" s="999">
        <f t="shared" si="322"/>
        <v>250.3940450174635</v>
      </c>
      <c r="G1069" s="999">
        <f t="shared" si="322"/>
        <v>226.74825895917002</v>
      </c>
    </row>
    <row r="1070" spans="1:7" x14ac:dyDescent="0.3">
      <c r="A1070" s="614" t="s">
        <v>919</v>
      </c>
      <c r="B1070" s="884">
        <f t="shared" ref="B1070:G1070" si="323">B1065/(B1059-B1064)</f>
        <v>0.82587517619319384</v>
      </c>
      <c r="C1070" s="884">
        <f t="shared" si="323"/>
        <v>0.58097757553974649</v>
      </c>
      <c r="D1070" s="884">
        <f t="shared" si="323"/>
        <v>0.5609877142526285</v>
      </c>
      <c r="E1070" s="884">
        <f t="shared" si="323"/>
        <v>0.75500166088107279</v>
      </c>
      <c r="F1070" s="884">
        <f t="shared" si="323"/>
        <v>0.61847157742589021</v>
      </c>
      <c r="G1070" s="884">
        <f t="shared" si="323"/>
        <v>0.54757253956405183</v>
      </c>
    </row>
    <row r="1071" spans="1:7" x14ac:dyDescent="0.3">
      <c r="A1071" s="494"/>
      <c r="B1071" s="494"/>
      <c r="C1071" s="494"/>
      <c r="D1071" s="494"/>
      <c r="E1071" s="494"/>
      <c r="F1071" s="494"/>
      <c r="G1071" s="494"/>
    </row>
    <row r="1072" spans="1:7" x14ac:dyDescent="0.3">
      <c r="A1072" s="144"/>
      <c r="B1072" s="820" t="s">
        <v>883</v>
      </c>
      <c r="C1072" s="820" t="s">
        <v>884</v>
      </c>
      <c r="D1072" s="820" t="s">
        <v>885</v>
      </c>
      <c r="E1072" s="820" t="s">
        <v>886</v>
      </c>
      <c r="F1072" s="820" t="s">
        <v>887</v>
      </c>
      <c r="G1072" s="820" t="s">
        <v>888</v>
      </c>
    </row>
    <row r="1073" spans="1:11" x14ac:dyDescent="0.3">
      <c r="A1073" s="708" t="s">
        <v>914</v>
      </c>
      <c r="B1073" s="877">
        <f t="shared" ref="B1073:G1074" si="324">B1063</f>
        <v>140.69999999999999</v>
      </c>
      <c r="C1073" s="877">
        <f t="shared" si="324"/>
        <v>133.17570000000001</v>
      </c>
      <c r="D1073" s="877">
        <f t="shared" si="324"/>
        <v>150.9402</v>
      </c>
      <c r="E1073" s="877">
        <f t="shared" si="324"/>
        <v>145.69200000000001</v>
      </c>
      <c r="F1073" s="877">
        <f t="shared" si="324"/>
        <v>154.86160000000001</v>
      </c>
      <c r="G1073" s="877">
        <f t="shared" si="324"/>
        <v>172.446</v>
      </c>
      <c r="H1073" s="816">
        <f>G1073*0.25</f>
        <v>43.111499999999999</v>
      </c>
      <c r="I1073" s="816">
        <f>G1073*0.3</f>
        <v>51.733799999999995</v>
      </c>
      <c r="J1073" s="816">
        <f>[7]Drivers!EU117-[7]Analysis!H56</f>
        <v>46.888500000000001</v>
      </c>
    </row>
    <row r="1074" spans="1:11" x14ac:dyDescent="0.3">
      <c r="A1074" s="708" t="s">
        <v>915</v>
      </c>
      <c r="B1074" s="880">
        <f t="shared" si="324"/>
        <v>0</v>
      </c>
      <c r="C1074" s="880">
        <f t="shared" si="324"/>
        <v>0</v>
      </c>
      <c r="D1074" s="880">
        <f t="shared" si="324"/>
        <v>0</v>
      </c>
      <c r="E1074" s="880">
        <f t="shared" si="324"/>
        <v>0</v>
      </c>
      <c r="F1074" s="880">
        <f t="shared" si="324"/>
        <v>0</v>
      </c>
      <c r="G1074" s="880">
        <f t="shared" si="324"/>
        <v>48.284880000000001</v>
      </c>
    </row>
    <row r="1075" spans="1:11" x14ac:dyDescent="0.3">
      <c r="A1075" s="708" t="s">
        <v>916</v>
      </c>
      <c r="B1075" s="999">
        <f t="shared" ref="B1075:G1075" si="325">B1073-B1074</f>
        <v>140.69999999999999</v>
      </c>
      <c r="C1075" s="999">
        <f t="shared" si="325"/>
        <v>133.17570000000001</v>
      </c>
      <c r="D1075" s="999">
        <f t="shared" si="325"/>
        <v>150.9402</v>
      </c>
      <c r="E1075" s="999">
        <f t="shared" si="325"/>
        <v>145.69200000000001</v>
      </c>
      <c r="F1075" s="999">
        <f t="shared" si="325"/>
        <v>154.86160000000001</v>
      </c>
      <c r="G1075" s="999">
        <f t="shared" si="325"/>
        <v>124.16112</v>
      </c>
    </row>
    <row r="1076" spans="1:11" x14ac:dyDescent="0.3">
      <c r="A1076" s="708"/>
      <c r="B1076" s="144"/>
      <c r="C1076" s="144"/>
      <c r="D1076" s="144"/>
      <c r="E1076" s="144"/>
      <c r="F1076" s="144"/>
      <c r="G1076" s="144"/>
    </row>
    <row r="1077" spans="1:11" x14ac:dyDescent="0.3">
      <c r="A1077" s="708" t="s">
        <v>917</v>
      </c>
      <c r="B1077" s="877">
        <f t="shared" ref="B1077:G1077" si="326">B1067</f>
        <v>170.36472829773803</v>
      </c>
      <c r="C1077" s="877">
        <f t="shared" si="326"/>
        <v>229.2269196040408</v>
      </c>
      <c r="D1077" s="877">
        <f t="shared" si="326"/>
        <v>269.06150734707069</v>
      </c>
      <c r="E1077" s="877">
        <f t="shared" si="326"/>
        <v>192.96911192219125</v>
      </c>
      <c r="F1077" s="877">
        <f t="shared" si="326"/>
        <v>250.3940450174635</v>
      </c>
      <c r="G1077" s="877">
        <f t="shared" si="326"/>
        <v>275.03313895917</v>
      </c>
    </row>
    <row r="1078" spans="1:11" x14ac:dyDescent="0.3">
      <c r="A1078" s="708" t="s">
        <v>920</v>
      </c>
      <c r="B1078" s="880">
        <f t="shared" ref="B1078:G1078" si="327">B1077*B1080</f>
        <v>0</v>
      </c>
      <c r="C1078" s="880">
        <f t="shared" si="327"/>
        <v>0</v>
      </c>
      <c r="D1078" s="880">
        <f t="shared" si="327"/>
        <v>0</v>
      </c>
      <c r="E1078" s="880">
        <f t="shared" si="327"/>
        <v>0</v>
      </c>
      <c r="F1078" s="880">
        <f t="shared" si="327"/>
        <v>0</v>
      </c>
      <c r="G1078" s="880">
        <f t="shared" si="327"/>
        <v>55.006627791834006</v>
      </c>
      <c r="I1078" s="1738">
        <f>G1078/G1073</f>
        <v>0.31897885594234721</v>
      </c>
    </row>
    <row r="1079" spans="1:11" x14ac:dyDescent="0.3">
      <c r="A1079" s="708" t="s">
        <v>918</v>
      </c>
      <c r="B1079" s="999">
        <f t="shared" ref="B1079:G1079" si="328">B1077-B1078</f>
        <v>170.36472829773803</v>
      </c>
      <c r="C1079" s="999">
        <f t="shared" si="328"/>
        <v>229.2269196040408</v>
      </c>
      <c r="D1079" s="999">
        <f t="shared" si="328"/>
        <v>269.06150734707069</v>
      </c>
      <c r="E1079" s="999">
        <f t="shared" si="328"/>
        <v>192.96911192219125</v>
      </c>
      <c r="F1079" s="999">
        <f t="shared" si="328"/>
        <v>250.3940450174635</v>
      </c>
      <c r="G1079" s="999">
        <f t="shared" si="328"/>
        <v>220.026511167336</v>
      </c>
    </row>
    <row r="1080" spans="1:11" x14ac:dyDescent="0.3">
      <c r="A1080" s="614" t="s">
        <v>921</v>
      </c>
      <c r="B1080" s="547">
        <v>0</v>
      </c>
      <c r="C1080" s="547">
        <f t="shared" ref="C1080:F1080" si="329">B1080</f>
        <v>0</v>
      </c>
      <c r="D1080" s="547">
        <f t="shared" si="329"/>
        <v>0</v>
      </c>
      <c r="E1080" s="547">
        <f t="shared" si="329"/>
        <v>0</v>
      </c>
      <c r="F1080" s="547">
        <f t="shared" si="329"/>
        <v>0</v>
      </c>
      <c r="G1080" s="546">
        <v>0.2</v>
      </c>
    </row>
    <row r="1081" spans="1:11" x14ac:dyDescent="0.3">
      <c r="A1081" s="614" t="s">
        <v>919</v>
      </c>
      <c r="B1081" s="884">
        <f t="shared" ref="B1081:G1081" si="330">B1075/B1079</f>
        <v>0.82587517619319384</v>
      </c>
      <c r="C1081" s="884">
        <f t="shared" si="330"/>
        <v>0.58097757553974649</v>
      </c>
      <c r="D1081" s="884">
        <f t="shared" si="330"/>
        <v>0.5609877142526285</v>
      </c>
      <c r="E1081" s="884">
        <f t="shared" si="330"/>
        <v>0.75500166088107279</v>
      </c>
      <c r="F1081" s="884">
        <f t="shared" si="330"/>
        <v>0.61847157742589021</v>
      </c>
      <c r="G1081" s="884">
        <f t="shared" si="330"/>
        <v>0.56430072604101866</v>
      </c>
    </row>
    <row r="1082" spans="1:11" x14ac:dyDescent="0.3">
      <c r="A1082" s="494"/>
      <c r="B1082" s="494"/>
      <c r="C1082" s="494"/>
      <c r="D1082" s="494"/>
      <c r="E1082" s="494"/>
      <c r="F1082" s="494"/>
      <c r="G1082" s="494"/>
    </row>
    <row r="1084" spans="1:11" x14ac:dyDescent="0.3">
      <c r="A1084" s="366"/>
      <c r="B1084" s="366"/>
      <c r="C1084" s="366"/>
      <c r="D1084" s="366"/>
      <c r="E1084" s="366"/>
      <c r="F1084" s="366"/>
      <c r="G1084" s="366"/>
      <c r="H1084" s="366"/>
      <c r="I1084" s="366"/>
      <c r="J1084" s="366"/>
      <c r="K1084" s="366"/>
    </row>
    <row r="1085" spans="1:11" x14ac:dyDescent="0.3">
      <c r="A1085" s="144"/>
      <c r="B1085" s="820" t="s">
        <v>922</v>
      </c>
      <c r="C1085" s="820" t="s">
        <v>923</v>
      </c>
      <c r="D1085" s="820" t="s">
        <v>924</v>
      </c>
      <c r="E1085" s="820" t="s">
        <v>925</v>
      </c>
      <c r="F1085" s="820" t="s">
        <v>883</v>
      </c>
      <c r="G1085" s="820" t="s">
        <v>884</v>
      </c>
      <c r="H1085" s="820" t="s">
        <v>885</v>
      </c>
      <c r="I1085" s="820" t="s">
        <v>886</v>
      </c>
      <c r="J1085" s="820" t="s">
        <v>887</v>
      </c>
      <c r="K1085" s="820" t="s">
        <v>888</v>
      </c>
    </row>
    <row r="1086" spans="1:11" x14ac:dyDescent="0.3">
      <c r="A1086" s="144" t="s">
        <v>889</v>
      </c>
      <c r="B1086" s="999">
        <f>Drivers!EJ90</f>
        <v>4158</v>
      </c>
      <c r="C1086" s="999">
        <f>Drivers!EK90</f>
        <v>4439</v>
      </c>
      <c r="D1086" s="999">
        <f>Drivers!EL90</f>
        <v>4790</v>
      </c>
      <c r="E1086" s="999">
        <f>Drivers!EM90</f>
        <v>5171</v>
      </c>
      <c r="F1086" s="999">
        <f>Drivers!EO90</f>
        <v>5510</v>
      </c>
      <c r="G1086" s="999">
        <f>Drivers!EP90</f>
        <v>5826</v>
      </c>
      <c r="H1086" s="999">
        <f>Drivers!EQ90</f>
        <v>6158</v>
      </c>
      <c r="I1086" s="999">
        <f>Drivers!ER90</f>
        <v>6491</v>
      </c>
      <c r="J1086" s="999">
        <f>Drivers!ET90</f>
        <v>6813</v>
      </c>
      <c r="K1086" s="999">
        <f>Drivers!EU90</f>
        <v>7201</v>
      </c>
    </row>
    <row r="1087" spans="1:11" x14ac:dyDescent="0.3">
      <c r="A1087" s="144" t="s">
        <v>890</v>
      </c>
      <c r="B1087" s="999">
        <f>'[8]Top Down Subscriber Model'!DX12</f>
        <v>134816.80414348745</v>
      </c>
      <c r="C1087" s="999">
        <f>'[8]Top Down Subscriber Model'!DY12</f>
        <v>134721.6749004442</v>
      </c>
      <c r="D1087" s="999">
        <f>'[8]Top Down Subscriber Model'!DZ12</f>
        <v>134935.64822058674</v>
      </c>
      <c r="E1087" s="999">
        <f>'[8]Top Down Subscriber Model'!EA12</f>
        <v>135961.10273851352</v>
      </c>
      <c r="F1087" s="999">
        <f>'[8]Top Down Subscriber Model'!EB12</f>
        <v>135742.09006136796</v>
      </c>
      <c r="G1087" s="999">
        <f>'[8]Top Down Subscriber Model'!EC12</f>
        <v>136062.50939581584</v>
      </c>
      <c r="H1087" s="999">
        <f>'[8]Top Down Subscriber Model'!ED12</f>
        <v>136244.4258904469</v>
      </c>
      <c r="I1087" s="999">
        <f>'[8]Top Down Subscriber Model'!EE12</f>
        <v>137040.90324036131</v>
      </c>
      <c r="J1087" s="999">
        <f>'[8]Top Down Subscriber Model'!EF12</f>
        <v>136977.44193663434</v>
      </c>
      <c r="K1087" s="999">
        <f>'[8]Top Down Subscriber Model'!EG12</f>
        <v>137073.73021454737</v>
      </c>
    </row>
    <row r="1088" spans="1:11" x14ac:dyDescent="0.3">
      <c r="A1088" s="614" t="s">
        <v>891</v>
      </c>
      <c r="B1088" s="1695">
        <f>B1086/B1087</f>
        <v>3.0841852589641432E-2</v>
      </c>
      <c r="C1088" s="1695">
        <f t="shared" ref="C1088:K1088" si="331">C1086/C1087</f>
        <v>3.2949412210620935E-2</v>
      </c>
      <c r="D1088" s="1695">
        <f t="shared" si="331"/>
        <v>3.5498402854740971E-2</v>
      </c>
      <c r="E1088" s="1695">
        <f t="shared" si="331"/>
        <v>3.8032936596175591E-2</v>
      </c>
      <c r="F1088" s="1695">
        <f t="shared" si="331"/>
        <v>4.0591683813833802E-2</v>
      </c>
      <c r="G1088" s="1695">
        <f t="shared" si="331"/>
        <v>4.2818554691298083E-2</v>
      </c>
      <c r="H1088" s="1695">
        <f t="shared" si="331"/>
        <v>4.5198179373236162E-2</v>
      </c>
      <c r="I1088" s="1695">
        <f t="shared" si="331"/>
        <v>4.7365420443961796E-2</v>
      </c>
      <c r="J1088" s="1695">
        <f t="shared" si="331"/>
        <v>4.9738116756127541E-2</v>
      </c>
      <c r="K1088" s="1695">
        <f t="shared" si="331"/>
        <v>5.2533771341372396E-2</v>
      </c>
    </row>
    <row r="1089" spans="1:11" x14ac:dyDescent="0.3">
      <c r="A1089" s="144"/>
      <c r="B1089" s="144"/>
      <c r="C1089" s="144"/>
      <c r="D1089" s="144"/>
      <c r="E1089" s="144"/>
      <c r="F1089" s="144"/>
      <c r="G1089" s="144"/>
      <c r="H1089" s="144"/>
      <c r="I1089" s="144"/>
      <c r="J1089" s="144"/>
      <c r="K1089" s="144"/>
    </row>
    <row r="1090" spans="1:11" x14ac:dyDescent="0.3">
      <c r="A1090" s="144" t="s">
        <v>892</v>
      </c>
      <c r="B1090" s="1083">
        <f>'[8]Top Down Subscriber Model'!DX145</f>
        <v>0.8419416157093359</v>
      </c>
      <c r="C1090" s="1083">
        <f>'[8]Top Down Subscriber Model'!DY145</f>
        <v>0.84702417381185169</v>
      </c>
      <c r="D1090" s="1083">
        <f>'[8]Top Down Subscriber Model'!DZ145</f>
        <v>0.85064239584272594</v>
      </c>
      <c r="E1090" s="1083">
        <f>'[8]Top Down Subscriber Model'!EA145</f>
        <v>0.8506554294038553</v>
      </c>
      <c r="F1090" s="1083">
        <f>'[8]Top Down Subscriber Model'!EB145</f>
        <v>0.85886634552197028</v>
      </c>
      <c r="G1090" s="1083">
        <f>'[8]Top Down Subscriber Model'!EC145</f>
        <v>0.86175942800042904</v>
      </c>
      <c r="H1090" s="1083">
        <f>'[8]Top Down Subscriber Model'!ED145</f>
        <v>0.86720853382613261</v>
      </c>
      <c r="I1090" s="1083">
        <f>'[8]Top Down Subscriber Model'!EE145</f>
        <v>0.86576954859797239</v>
      </c>
      <c r="J1090" s="1083">
        <f>'[8]Top Down Subscriber Model'!EF145</f>
        <v>0.87015227569571907</v>
      </c>
      <c r="K1090" s="1083">
        <f>'[8]Top Down Subscriber Model'!EG145</f>
        <v>0.87173322273218656</v>
      </c>
    </row>
    <row r="1091" spans="1:11" x14ac:dyDescent="0.3">
      <c r="A1091" s="144" t="s">
        <v>893</v>
      </c>
      <c r="B1091" s="1083">
        <f>Drivers!EJ120</f>
        <v>0.33381433381433384</v>
      </c>
      <c r="C1091" s="1083">
        <f>Drivers!EK120</f>
        <v>0.32394683487271908</v>
      </c>
      <c r="D1091" s="1083">
        <f>Drivers!EL120</f>
        <v>0.31356993736951982</v>
      </c>
      <c r="E1091" s="1083">
        <f>Drivers!EM120</f>
        <v>0.30458325275575326</v>
      </c>
      <c r="F1091" s="1083">
        <f>Drivers!EO120</f>
        <v>0.30108892921960073</v>
      </c>
      <c r="G1091" s="1083">
        <f>Drivers!EP120</f>
        <v>0.29557157569515963</v>
      </c>
      <c r="H1091" s="1083">
        <f>Drivers!EQ120</f>
        <v>0.29181552452094833</v>
      </c>
      <c r="I1091" s="1083">
        <f>Drivers!ER120</f>
        <v>0.28932367894007088</v>
      </c>
      <c r="J1091" s="1083">
        <f>Drivers!ET120</f>
        <v>0.28812564215470426</v>
      </c>
      <c r="K1091" s="1083">
        <f>Drivers!EU120</f>
        <v>0.28509929176503263</v>
      </c>
    </row>
    <row r="1092" spans="1:11" x14ac:dyDescent="0.3">
      <c r="A1092" s="614" t="s">
        <v>926</v>
      </c>
      <c r="B1092" s="1695">
        <f>B1090-B1091</f>
        <v>0.508127281895002</v>
      </c>
      <c r="C1092" s="1695">
        <f t="shared" ref="C1092:K1092" si="332">C1090-C1091</f>
        <v>0.52307733893913255</v>
      </c>
      <c r="D1092" s="1695">
        <f t="shared" si="332"/>
        <v>0.53707245847320606</v>
      </c>
      <c r="E1092" s="1695">
        <f t="shared" si="332"/>
        <v>0.54607217664810204</v>
      </c>
      <c r="F1092" s="1695">
        <f t="shared" si="332"/>
        <v>0.55777741630236954</v>
      </c>
      <c r="G1092" s="1695">
        <f t="shared" si="332"/>
        <v>0.56618785230526947</v>
      </c>
      <c r="H1092" s="1695">
        <f t="shared" si="332"/>
        <v>0.57539300930518422</v>
      </c>
      <c r="I1092" s="1695">
        <f t="shared" si="332"/>
        <v>0.57644586965790157</v>
      </c>
      <c r="J1092" s="1695">
        <f t="shared" si="332"/>
        <v>0.5820266335410148</v>
      </c>
      <c r="K1092" s="1695">
        <f t="shared" si="332"/>
        <v>0.58663393096715399</v>
      </c>
    </row>
    <row r="1093" spans="1:11" x14ac:dyDescent="0.3">
      <c r="A1093" s="144"/>
      <c r="B1093" s="144"/>
      <c r="C1093" s="144"/>
      <c r="D1093" s="144"/>
      <c r="E1093" s="144"/>
      <c r="F1093" s="144"/>
      <c r="G1093" s="144"/>
      <c r="H1093" s="144"/>
      <c r="I1093" s="144"/>
      <c r="J1093" s="144"/>
      <c r="K1093" s="144"/>
    </row>
    <row r="1094" spans="1:11" x14ac:dyDescent="0.3">
      <c r="A1094" s="708" t="s">
        <v>927</v>
      </c>
      <c r="B1094" s="877">
        <f>B1086</f>
        <v>4158</v>
      </c>
      <c r="C1094" s="877">
        <f t="shared" ref="C1094:K1094" si="333">C1086</f>
        <v>4439</v>
      </c>
      <c r="D1094" s="877">
        <f t="shared" si="333"/>
        <v>4790</v>
      </c>
      <c r="E1094" s="877">
        <f t="shared" si="333"/>
        <v>5171</v>
      </c>
      <c r="F1094" s="877">
        <f t="shared" si="333"/>
        <v>5510</v>
      </c>
      <c r="G1094" s="877">
        <f t="shared" si="333"/>
        <v>5826</v>
      </c>
      <c r="H1094" s="877">
        <f t="shared" si="333"/>
        <v>6158</v>
      </c>
      <c r="I1094" s="877">
        <f t="shared" si="333"/>
        <v>6491</v>
      </c>
      <c r="J1094" s="877">
        <f t="shared" si="333"/>
        <v>6813</v>
      </c>
      <c r="K1094" s="877">
        <f t="shared" si="333"/>
        <v>7201</v>
      </c>
    </row>
    <row r="1095" spans="1:11" x14ac:dyDescent="0.3">
      <c r="A1095" s="708" t="s">
        <v>928</v>
      </c>
      <c r="B1095" s="1736">
        <f>B1090</f>
        <v>0.8419416157093359</v>
      </c>
      <c r="C1095" s="1736">
        <f t="shared" ref="C1095:K1095" si="334">C1090</f>
        <v>0.84702417381185169</v>
      </c>
      <c r="D1095" s="1736">
        <f t="shared" si="334"/>
        <v>0.85064239584272594</v>
      </c>
      <c r="E1095" s="1736">
        <f t="shared" si="334"/>
        <v>0.8506554294038553</v>
      </c>
      <c r="F1095" s="1736">
        <f t="shared" si="334"/>
        <v>0.85886634552197028</v>
      </c>
      <c r="G1095" s="1736">
        <f t="shared" si="334"/>
        <v>0.86175942800042904</v>
      </c>
      <c r="H1095" s="1736">
        <f t="shared" si="334"/>
        <v>0.86720853382613261</v>
      </c>
      <c r="I1095" s="1736">
        <f t="shared" si="334"/>
        <v>0.86576954859797239</v>
      </c>
      <c r="J1095" s="1736">
        <f t="shared" si="334"/>
        <v>0.87015227569571907</v>
      </c>
      <c r="K1095" s="1736">
        <f t="shared" si="334"/>
        <v>0.87173322273218656</v>
      </c>
    </row>
    <row r="1096" spans="1:11" x14ac:dyDescent="0.3">
      <c r="A1096" s="708" t="s">
        <v>903</v>
      </c>
      <c r="B1096" s="999">
        <f>B1086*B1090</f>
        <v>3500.7932381194187</v>
      </c>
      <c r="C1096" s="999">
        <f t="shared" ref="C1096:K1096" si="335">C1086*C1090</f>
        <v>3759.9403075508098</v>
      </c>
      <c r="D1096" s="999">
        <f t="shared" si="335"/>
        <v>4074.5770760866571</v>
      </c>
      <c r="E1096" s="999">
        <f t="shared" si="335"/>
        <v>4398.7392254473361</v>
      </c>
      <c r="F1096" s="999">
        <f t="shared" si="335"/>
        <v>4732.3535638260564</v>
      </c>
      <c r="G1096" s="999">
        <f t="shared" si="335"/>
        <v>5020.6104275304997</v>
      </c>
      <c r="H1096" s="999">
        <f t="shared" si="335"/>
        <v>5340.2701513013244</v>
      </c>
      <c r="I1096" s="999">
        <f t="shared" si="335"/>
        <v>5619.7101399494386</v>
      </c>
      <c r="J1096" s="999">
        <f t="shared" si="335"/>
        <v>5928.3474543149341</v>
      </c>
      <c r="K1096" s="999">
        <f t="shared" si="335"/>
        <v>6277.3509368944751</v>
      </c>
    </row>
    <row r="1097" spans="1:11" x14ac:dyDescent="0.3">
      <c r="A1097" s="708" t="s">
        <v>904</v>
      </c>
      <c r="B1097" s="1737">
        <f>Drivers!EJ119</f>
        <v>1.1900000000000001E-2</v>
      </c>
      <c r="C1097" s="1737">
        <f>Drivers!EK119</f>
        <v>1.43E-2</v>
      </c>
      <c r="D1097" s="1737">
        <f>Drivers!EL119</f>
        <v>1.6E-2</v>
      </c>
      <c r="E1097" s="1737">
        <f>Drivers!EM119</f>
        <v>1.32E-2</v>
      </c>
      <c r="F1097" s="1737">
        <f>Drivers!EO119</f>
        <v>1.2E-2</v>
      </c>
      <c r="G1097" s="1737">
        <f>Drivers!EP119</f>
        <v>1.41E-2</v>
      </c>
      <c r="H1097" s="1737">
        <f>Drivers!EQ119</f>
        <v>1.47E-2</v>
      </c>
      <c r="I1097" s="1737">
        <f>Drivers!ER119</f>
        <v>1.2E-2</v>
      </c>
      <c r="J1097" s="1737">
        <f>Drivers!ET119</f>
        <v>1.24E-2</v>
      </c>
      <c r="K1097" s="1737">
        <f>Drivers!EU119</f>
        <v>1.4E-2</v>
      </c>
    </row>
    <row r="1098" spans="1:11" x14ac:dyDescent="0.3">
      <c r="A1098" s="708" t="s">
        <v>905</v>
      </c>
      <c r="B1098" s="999">
        <f t="shared" ref="B1098:K1098" si="336">B1096*B1097*3</f>
        <v>124.97831860086325</v>
      </c>
      <c r="C1098" s="999">
        <f t="shared" si="336"/>
        <v>161.30143919392975</v>
      </c>
      <c r="D1098" s="999">
        <f t="shared" si="336"/>
        <v>195.57969965215955</v>
      </c>
      <c r="E1098" s="999">
        <f t="shared" si="336"/>
        <v>174.19007332771452</v>
      </c>
      <c r="F1098" s="999">
        <f t="shared" si="336"/>
        <v>170.36472829773803</v>
      </c>
      <c r="G1098" s="999">
        <f t="shared" si="336"/>
        <v>212.37182108454016</v>
      </c>
      <c r="H1098" s="999">
        <f t="shared" si="336"/>
        <v>235.50591367238837</v>
      </c>
      <c r="I1098" s="999">
        <f t="shared" si="336"/>
        <v>202.30956503817981</v>
      </c>
      <c r="J1098" s="999">
        <f t="shared" si="336"/>
        <v>220.53452530051555</v>
      </c>
      <c r="K1098" s="999">
        <f t="shared" si="336"/>
        <v>263.64873934956796</v>
      </c>
    </row>
    <row r="1099" spans="1:11" x14ac:dyDescent="0.3">
      <c r="A1099" s="144"/>
      <c r="B1099" s="144"/>
      <c r="C1099" s="144"/>
      <c r="D1099" s="144"/>
      <c r="E1099" s="144"/>
      <c r="F1099" s="144"/>
      <c r="G1099" s="144"/>
      <c r="H1099" s="144"/>
      <c r="I1099" s="144"/>
      <c r="J1099" s="144"/>
      <c r="K1099" s="144"/>
    </row>
    <row r="1100" spans="1:11" x14ac:dyDescent="0.3">
      <c r="A1100" s="708" t="s">
        <v>907</v>
      </c>
      <c r="B1100" s="365">
        <f>Drivers!EJ112</f>
        <v>1336</v>
      </c>
      <c r="C1100" s="365">
        <f>Drivers!EK112</f>
        <v>1388</v>
      </c>
      <c r="D1100" s="365">
        <f>Drivers!EL112</f>
        <v>1438</v>
      </c>
      <c r="E1100" s="365">
        <f>Drivers!EM112</f>
        <v>1502</v>
      </c>
      <c r="F1100" s="365">
        <f>Drivers!EO112</f>
        <v>1575</v>
      </c>
      <c r="G1100" s="365">
        <f>Drivers!EP112</f>
        <v>1659</v>
      </c>
      <c r="H1100" s="365">
        <f>Drivers!EQ112</f>
        <v>1722</v>
      </c>
      <c r="I1100" s="365">
        <f>Drivers!ER112</f>
        <v>1797</v>
      </c>
      <c r="J1100" s="365">
        <f>Drivers!ET112</f>
        <v>1878</v>
      </c>
      <c r="K1100" s="365">
        <f>Drivers!EU112</f>
        <v>1963</v>
      </c>
    </row>
    <row r="1101" spans="1:11" x14ac:dyDescent="0.3">
      <c r="A1101" s="708" t="s">
        <v>904</v>
      </c>
      <c r="B1101" s="1737">
        <f>B1097</f>
        <v>1.1900000000000001E-2</v>
      </c>
      <c r="C1101" s="1737">
        <f t="shared" ref="C1101:K1101" si="337">C1097</f>
        <v>1.43E-2</v>
      </c>
      <c r="D1101" s="1737">
        <f t="shared" si="337"/>
        <v>1.6E-2</v>
      </c>
      <c r="E1101" s="1737">
        <f t="shared" si="337"/>
        <v>1.32E-2</v>
      </c>
      <c r="F1101" s="1737">
        <f t="shared" si="337"/>
        <v>1.2E-2</v>
      </c>
      <c r="G1101" s="1737">
        <f t="shared" si="337"/>
        <v>1.41E-2</v>
      </c>
      <c r="H1101" s="1737">
        <f t="shared" si="337"/>
        <v>1.47E-2</v>
      </c>
      <c r="I1101" s="1737">
        <f t="shared" si="337"/>
        <v>1.2E-2</v>
      </c>
      <c r="J1101" s="1737">
        <f t="shared" si="337"/>
        <v>1.24E-2</v>
      </c>
      <c r="K1101" s="1737">
        <f t="shared" si="337"/>
        <v>1.4E-2</v>
      </c>
    </row>
    <row r="1102" spans="1:11" x14ac:dyDescent="0.3">
      <c r="A1102" s="708" t="s">
        <v>908</v>
      </c>
      <c r="B1102" s="999">
        <f>B1100*B1101*3</f>
        <v>47.6952</v>
      </c>
      <c r="C1102" s="999">
        <f t="shared" ref="C1102:K1102" si="338">C1100*C1101*3</f>
        <v>59.545200000000008</v>
      </c>
      <c r="D1102" s="999">
        <f t="shared" si="338"/>
        <v>69.024000000000001</v>
      </c>
      <c r="E1102" s="999">
        <f t="shared" si="338"/>
        <v>59.479199999999999</v>
      </c>
      <c r="F1102" s="999">
        <f t="shared" si="338"/>
        <v>56.7</v>
      </c>
      <c r="G1102" s="999">
        <f t="shared" si="338"/>
        <v>70.175700000000006</v>
      </c>
      <c r="H1102" s="999">
        <f t="shared" si="338"/>
        <v>75.94019999999999</v>
      </c>
      <c r="I1102" s="999">
        <f t="shared" si="338"/>
        <v>64.692000000000007</v>
      </c>
      <c r="J1102" s="999">
        <f t="shared" si="338"/>
        <v>69.861599999999996</v>
      </c>
      <c r="K1102" s="999">
        <f t="shared" si="338"/>
        <v>82.445999999999998</v>
      </c>
    </row>
    <row r="1103" spans="1:11" x14ac:dyDescent="0.3">
      <c r="A1103" s="614" t="s">
        <v>929</v>
      </c>
      <c r="B1103" s="1485">
        <f t="shared" ref="B1103:K1103" si="339">B1098-B1102</f>
        <v>77.283118600863247</v>
      </c>
      <c r="C1103" s="1485">
        <f t="shared" si="339"/>
        <v>101.75623919392974</v>
      </c>
      <c r="D1103" s="1485">
        <f t="shared" si="339"/>
        <v>126.55569965215955</v>
      </c>
      <c r="E1103" s="1485">
        <f t="shared" si="339"/>
        <v>114.71087332771452</v>
      </c>
      <c r="F1103" s="1485">
        <f t="shared" si="339"/>
        <v>113.66472829773802</v>
      </c>
      <c r="G1103" s="1485">
        <f t="shared" si="339"/>
        <v>142.19612108454015</v>
      </c>
      <c r="H1103" s="1485">
        <f t="shared" si="339"/>
        <v>159.56571367238837</v>
      </c>
      <c r="I1103" s="1485">
        <f t="shared" si="339"/>
        <v>137.61756503817981</v>
      </c>
      <c r="J1103" s="1485">
        <f t="shared" si="339"/>
        <v>150.67292530051554</v>
      </c>
      <c r="K1103" s="1485">
        <f t="shared" si="339"/>
        <v>181.20273934956796</v>
      </c>
    </row>
    <row r="1104" spans="1:11" x14ac:dyDescent="0.3">
      <c r="A1104" s="144"/>
      <c r="B1104" s="999"/>
      <c r="C1104" s="999"/>
      <c r="D1104" s="999"/>
      <c r="E1104" s="999"/>
      <c r="F1104" s="999"/>
      <c r="G1104" s="999"/>
      <c r="H1104" s="999"/>
      <c r="I1104" s="999"/>
      <c r="J1104" s="999"/>
      <c r="K1104" s="999"/>
    </row>
    <row r="1105" spans="1:11" x14ac:dyDescent="0.3">
      <c r="A1105" s="708" t="s">
        <v>930</v>
      </c>
      <c r="B1105" s="365">
        <f>[8]Inputs!EJ166-[8]Inputs!EI166</f>
        <v>462.50400000000081</v>
      </c>
      <c r="C1105" s="365">
        <f>[8]Inputs!EK166-[8]Inputs!EJ166</f>
        <v>-73.427301474293927</v>
      </c>
      <c r="D1105" s="365">
        <f>[8]Inputs!EL166-[8]Inputs!EK166</f>
        <v>2.4990977954148548</v>
      </c>
      <c r="E1105" s="365">
        <f>[8]Inputs!EM166-[8]Inputs!EL166</f>
        <v>-0.5861054695706116</v>
      </c>
      <c r="F1105" s="365">
        <f>[8]Inputs!EO166-[8]Inputs!EN166</f>
        <v>72.506635140569415</v>
      </c>
      <c r="G1105" s="365">
        <f>[8]Inputs!EP166-[8]Inputs!EO166</f>
        <v>26.744113832086441</v>
      </c>
      <c r="H1105" s="365">
        <f>[8]Inputs!EQ166-[8]Inputs!EP166</f>
        <v>59.435653081411147</v>
      </c>
      <c r="I1105" s="365">
        <f>[8]Inputs!ER166-[8]Inputs!EQ166</f>
        <v>-224.7044499523181</v>
      </c>
      <c r="J1105" s="365">
        <f>[8]Inputs!ET166-[8]Inputs!ES166</f>
        <v>-198.21248331497191</v>
      </c>
      <c r="K1105" s="365">
        <f>[8]Inputs!EU166-[8]Inputs!ET166</f>
        <v>-406.24506673269207</v>
      </c>
    </row>
    <row r="1106" spans="1:11" x14ac:dyDescent="0.3">
      <c r="A1106" s="708" t="s">
        <v>931</v>
      </c>
      <c r="B1106" s="1244">
        <f>B1088</f>
        <v>3.0841852589641432E-2</v>
      </c>
      <c r="C1106" s="1244">
        <f t="shared" ref="C1106:K1106" si="340">C1088</f>
        <v>3.2949412210620935E-2</v>
      </c>
      <c r="D1106" s="1244">
        <f t="shared" si="340"/>
        <v>3.5498402854740971E-2</v>
      </c>
      <c r="E1106" s="1244">
        <f t="shared" si="340"/>
        <v>3.8032936596175591E-2</v>
      </c>
      <c r="F1106" s="1244">
        <f t="shared" si="340"/>
        <v>4.0591683813833802E-2</v>
      </c>
      <c r="G1106" s="1244">
        <f t="shared" si="340"/>
        <v>4.2818554691298083E-2</v>
      </c>
      <c r="H1106" s="1244">
        <f t="shared" si="340"/>
        <v>4.5198179373236162E-2</v>
      </c>
      <c r="I1106" s="1244">
        <f t="shared" si="340"/>
        <v>4.7365420443961796E-2</v>
      </c>
      <c r="J1106" s="1244">
        <f t="shared" si="340"/>
        <v>4.9738116756127541E-2</v>
      </c>
      <c r="K1106" s="1244">
        <f t="shared" si="340"/>
        <v>5.2533771341372396E-2</v>
      </c>
    </row>
    <row r="1107" spans="1:11" x14ac:dyDescent="0.3">
      <c r="A1107" s="708" t="s">
        <v>932</v>
      </c>
      <c r="B1107" s="999">
        <f>B1105*B1106</f>
        <v>14.264480190119546</v>
      </c>
      <c r="C1107" s="999">
        <f t="shared" ref="C1107:K1107" si="341">C1105*C1106</f>
        <v>-2.4193864237900451</v>
      </c>
      <c r="D1107" s="999">
        <f t="shared" si="341"/>
        <v>8.871398031503154E-2</v>
      </c>
      <c r="E1107" s="999">
        <f t="shared" si="341"/>
        <v>-2.2291312162850793E-2</v>
      </c>
      <c r="F1107" s="999">
        <f t="shared" si="341"/>
        <v>2.9431664080310047</v>
      </c>
      <c r="G1107" s="999">
        <f t="shared" si="341"/>
        <v>1.1451443007894948</v>
      </c>
      <c r="H1107" s="999">
        <f t="shared" si="341"/>
        <v>2.6863833091390577</v>
      </c>
      <c r="I1107" s="999">
        <f t="shared" si="341"/>
        <v>-10.643220747620719</v>
      </c>
      <c r="J1107" s="999">
        <f t="shared" si="341"/>
        <v>-9.8587156376420548</v>
      </c>
      <c r="K1107" s="999">
        <f t="shared" si="341"/>
        <v>-21.341585444295816</v>
      </c>
    </row>
    <row r="1108" spans="1:11" x14ac:dyDescent="0.3">
      <c r="A1108" s="144"/>
      <c r="B1108" s="144"/>
      <c r="C1108" s="144"/>
      <c r="D1108" s="144"/>
      <c r="E1108" s="144"/>
      <c r="F1108" s="144"/>
      <c r="G1108" s="144"/>
      <c r="H1108" s="144"/>
      <c r="I1108" s="144"/>
      <c r="J1108" s="144"/>
      <c r="K1108" s="144"/>
    </row>
    <row r="1109" spans="1:11" x14ac:dyDescent="0.3">
      <c r="A1109" s="708" t="s">
        <v>933</v>
      </c>
      <c r="B1109" s="365">
        <f>Drivers!EJ117</f>
        <v>52</v>
      </c>
      <c r="C1109" s="365">
        <f>Drivers!EK117</f>
        <v>50</v>
      </c>
      <c r="D1109" s="365">
        <f>Drivers!EL117</f>
        <v>64</v>
      </c>
      <c r="E1109" s="365">
        <f>Drivers!EM117</f>
        <v>73</v>
      </c>
      <c r="F1109" s="365">
        <f>Drivers!EO117</f>
        <v>84</v>
      </c>
      <c r="G1109" s="365">
        <f>Drivers!EP117</f>
        <v>63</v>
      </c>
      <c r="H1109" s="365">
        <f>Drivers!EQ117</f>
        <v>75</v>
      </c>
      <c r="I1109" s="365">
        <f>Drivers!ER117</f>
        <v>81</v>
      </c>
      <c r="J1109" s="365">
        <f>Drivers!ET117</f>
        <v>85</v>
      </c>
      <c r="K1109" s="365">
        <f>Drivers!EU117</f>
        <v>90</v>
      </c>
    </row>
    <row r="1110" spans="1:11" x14ac:dyDescent="0.3">
      <c r="A1110" s="708" t="s">
        <v>934</v>
      </c>
      <c r="B1110" s="880">
        <f>B1102</f>
        <v>47.6952</v>
      </c>
      <c r="C1110" s="880">
        <f t="shared" ref="C1110:K1110" si="342">C1102</f>
        <v>59.545200000000008</v>
      </c>
      <c r="D1110" s="880">
        <f t="shared" si="342"/>
        <v>69.024000000000001</v>
      </c>
      <c r="E1110" s="880">
        <f t="shared" si="342"/>
        <v>59.479199999999999</v>
      </c>
      <c r="F1110" s="880">
        <f t="shared" si="342"/>
        <v>56.7</v>
      </c>
      <c r="G1110" s="880">
        <f t="shared" si="342"/>
        <v>70.175700000000006</v>
      </c>
      <c r="H1110" s="880">
        <f t="shared" si="342"/>
        <v>75.94019999999999</v>
      </c>
      <c r="I1110" s="880">
        <f t="shared" si="342"/>
        <v>64.692000000000007</v>
      </c>
      <c r="J1110" s="880">
        <f t="shared" si="342"/>
        <v>69.861599999999996</v>
      </c>
      <c r="K1110" s="880">
        <f t="shared" si="342"/>
        <v>82.445999999999998</v>
      </c>
    </row>
    <row r="1111" spans="1:11" x14ac:dyDescent="0.3">
      <c r="A1111" s="708" t="s">
        <v>910</v>
      </c>
      <c r="B1111" s="365">
        <f>SUM(B1109:B1110)</f>
        <v>99.6952</v>
      </c>
      <c r="C1111" s="365">
        <f t="shared" ref="C1111:K1111" si="343">SUM(C1109:C1110)</f>
        <v>109.54520000000001</v>
      </c>
      <c r="D1111" s="365">
        <f t="shared" si="343"/>
        <v>133.024</v>
      </c>
      <c r="E1111" s="365">
        <f t="shared" si="343"/>
        <v>132.47919999999999</v>
      </c>
      <c r="F1111" s="365">
        <f t="shared" si="343"/>
        <v>140.69999999999999</v>
      </c>
      <c r="G1111" s="365">
        <f t="shared" si="343"/>
        <v>133.17570000000001</v>
      </c>
      <c r="H1111" s="365">
        <f t="shared" si="343"/>
        <v>150.9402</v>
      </c>
      <c r="I1111" s="365">
        <f t="shared" si="343"/>
        <v>145.69200000000001</v>
      </c>
      <c r="J1111" s="365">
        <f t="shared" si="343"/>
        <v>154.86160000000001</v>
      </c>
      <c r="K1111" s="365">
        <f t="shared" si="343"/>
        <v>172.446</v>
      </c>
    </row>
    <row r="1112" spans="1:11" x14ac:dyDescent="0.3">
      <c r="A1112" s="708"/>
      <c r="B1112" s="365"/>
      <c r="C1112" s="365"/>
      <c r="D1112" s="365"/>
      <c r="E1112" s="365"/>
      <c r="F1112" s="365"/>
      <c r="G1112" s="365"/>
      <c r="H1112" s="365"/>
      <c r="I1112" s="365"/>
      <c r="J1112" s="365"/>
      <c r="K1112" s="365"/>
    </row>
    <row r="1113" spans="1:11" x14ac:dyDescent="0.3">
      <c r="A1113" s="708" t="s">
        <v>935</v>
      </c>
      <c r="B1113" s="365">
        <f>B1107</f>
        <v>14.264480190119546</v>
      </c>
      <c r="C1113" s="365">
        <f t="shared" ref="C1113:K1113" si="344">C1107</f>
        <v>-2.4193864237900451</v>
      </c>
      <c r="D1113" s="365">
        <f t="shared" si="344"/>
        <v>8.871398031503154E-2</v>
      </c>
      <c r="E1113" s="365">
        <f t="shared" si="344"/>
        <v>-2.2291312162850793E-2</v>
      </c>
      <c r="F1113" s="365">
        <f t="shared" si="344"/>
        <v>2.9431664080310047</v>
      </c>
      <c r="G1113" s="365">
        <f t="shared" si="344"/>
        <v>1.1451443007894948</v>
      </c>
      <c r="H1113" s="365">
        <f t="shared" si="344"/>
        <v>2.6863833091390577</v>
      </c>
      <c r="I1113" s="365">
        <f t="shared" si="344"/>
        <v>-10.643220747620719</v>
      </c>
      <c r="J1113" s="365">
        <f t="shared" si="344"/>
        <v>-9.8587156376420548</v>
      </c>
      <c r="K1113" s="365">
        <f t="shared" si="344"/>
        <v>-21.341585444295816</v>
      </c>
    </row>
    <row r="1114" spans="1:11" x14ac:dyDescent="0.3">
      <c r="A1114" s="708" t="s">
        <v>936</v>
      </c>
      <c r="B1114" s="656">
        <f>B1103</f>
        <v>77.283118600863247</v>
      </c>
      <c r="C1114" s="656">
        <f t="shared" ref="C1114:K1114" si="345">C1103</f>
        <v>101.75623919392974</v>
      </c>
      <c r="D1114" s="656">
        <f t="shared" si="345"/>
        <v>126.55569965215955</v>
      </c>
      <c r="E1114" s="656">
        <f t="shared" si="345"/>
        <v>114.71087332771452</v>
      </c>
      <c r="F1114" s="656">
        <f t="shared" si="345"/>
        <v>113.66472829773802</v>
      </c>
      <c r="G1114" s="656">
        <f t="shared" si="345"/>
        <v>142.19612108454015</v>
      </c>
      <c r="H1114" s="656">
        <f t="shared" si="345"/>
        <v>159.56571367238837</v>
      </c>
      <c r="I1114" s="656">
        <f t="shared" si="345"/>
        <v>137.61756503817981</v>
      </c>
      <c r="J1114" s="656">
        <f t="shared" si="345"/>
        <v>150.67292530051554</v>
      </c>
      <c r="K1114" s="656">
        <f t="shared" si="345"/>
        <v>181.20273934956796</v>
      </c>
    </row>
    <row r="1115" spans="1:11" x14ac:dyDescent="0.3">
      <c r="A1115" s="708" t="s">
        <v>937</v>
      </c>
      <c r="B1115" s="877">
        <f>SUM(B1113:B1114)</f>
        <v>91.547598790982789</v>
      </c>
      <c r="C1115" s="877">
        <f t="shared" ref="C1115:K1115" si="346">SUM(C1113:C1114)</f>
        <v>99.3368527701397</v>
      </c>
      <c r="D1115" s="877">
        <f t="shared" si="346"/>
        <v>126.64441363247458</v>
      </c>
      <c r="E1115" s="877">
        <f t="shared" si="346"/>
        <v>114.68858201555167</v>
      </c>
      <c r="F1115" s="877">
        <f t="shared" si="346"/>
        <v>116.60789470576903</v>
      </c>
      <c r="G1115" s="877">
        <f t="shared" si="346"/>
        <v>143.34126538532965</v>
      </c>
      <c r="H1115" s="877">
        <f t="shared" si="346"/>
        <v>162.25209698152742</v>
      </c>
      <c r="I1115" s="877">
        <f t="shared" si="346"/>
        <v>126.97434429055909</v>
      </c>
      <c r="J1115" s="877">
        <f t="shared" si="346"/>
        <v>140.81420966287348</v>
      </c>
      <c r="K1115" s="877">
        <f t="shared" si="346"/>
        <v>159.86115390527215</v>
      </c>
    </row>
    <row r="1116" spans="1:11" x14ac:dyDescent="0.3">
      <c r="A1116" s="144"/>
      <c r="B1116" s="877"/>
      <c r="C1116" s="877"/>
      <c r="D1116" s="877"/>
      <c r="E1116" s="877"/>
      <c r="F1116" s="877"/>
      <c r="G1116" s="877"/>
      <c r="H1116" s="877"/>
      <c r="I1116" s="877"/>
      <c r="J1116" s="877"/>
      <c r="K1116" s="877"/>
    </row>
    <row r="1117" spans="1:11" x14ac:dyDescent="0.3">
      <c r="A1117" s="708" t="s">
        <v>911</v>
      </c>
      <c r="B1117" s="877">
        <f>B1111</f>
        <v>99.6952</v>
      </c>
      <c r="C1117" s="877">
        <f t="shared" ref="C1117:K1117" si="347">C1111</f>
        <v>109.54520000000001</v>
      </c>
      <c r="D1117" s="877">
        <f t="shared" si="347"/>
        <v>133.024</v>
      </c>
      <c r="E1117" s="877">
        <f t="shared" si="347"/>
        <v>132.47919999999999</v>
      </c>
      <c r="F1117" s="877">
        <f t="shared" si="347"/>
        <v>140.69999999999999</v>
      </c>
      <c r="G1117" s="877">
        <f t="shared" si="347"/>
        <v>133.17570000000001</v>
      </c>
      <c r="H1117" s="877">
        <f t="shared" si="347"/>
        <v>150.9402</v>
      </c>
      <c r="I1117" s="877">
        <f t="shared" si="347"/>
        <v>145.69200000000001</v>
      </c>
      <c r="J1117" s="877">
        <f t="shared" si="347"/>
        <v>154.86160000000001</v>
      </c>
      <c r="K1117" s="877">
        <f t="shared" si="347"/>
        <v>172.446</v>
      </c>
    </row>
    <row r="1118" spans="1:11" x14ac:dyDescent="0.3">
      <c r="A1118" s="708" t="s">
        <v>938</v>
      </c>
      <c r="B1118" s="880">
        <f>B1115</f>
        <v>91.547598790982789</v>
      </c>
      <c r="C1118" s="880">
        <f t="shared" ref="C1118:K1118" si="348">C1115</f>
        <v>99.3368527701397</v>
      </c>
      <c r="D1118" s="880">
        <f t="shared" si="348"/>
        <v>126.64441363247458</v>
      </c>
      <c r="E1118" s="880">
        <f t="shared" si="348"/>
        <v>114.68858201555167</v>
      </c>
      <c r="F1118" s="880">
        <f t="shared" si="348"/>
        <v>116.60789470576903</v>
      </c>
      <c r="G1118" s="880">
        <f t="shared" si="348"/>
        <v>143.34126538532965</v>
      </c>
      <c r="H1118" s="880">
        <f t="shared" si="348"/>
        <v>162.25209698152742</v>
      </c>
      <c r="I1118" s="880">
        <f t="shared" si="348"/>
        <v>126.97434429055909</v>
      </c>
      <c r="J1118" s="880">
        <f t="shared" si="348"/>
        <v>140.81420966287348</v>
      </c>
      <c r="K1118" s="880">
        <f t="shared" si="348"/>
        <v>159.86115390527215</v>
      </c>
    </row>
    <row r="1119" spans="1:11" x14ac:dyDescent="0.3">
      <c r="A1119" s="144" t="s">
        <v>939</v>
      </c>
      <c r="B1119" s="877">
        <f>SUM(B1117:B1118)</f>
        <v>191.24279879098279</v>
      </c>
      <c r="C1119" s="877">
        <f t="shared" ref="C1119:K1119" si="349">SUM(C1117:C1118)</f>
        <v>208.88205277013969</v>
      </c>
      <c r="D1119" s="877">
        <f t="shared" si="349"/>
        <v>259.6684136324746</v>
      </c>
      <c r="E1119" s="877">
        <f t="shared" si="349"/>
        <v>247.16778201555167</v>
      </c>
      <c r="F1119" s="877">
        <f t="shared" si="349"/>
        <v>257.307894705769</v>
      </c>
      <c r="G1119" s="877">
        <f t="shared" si="349"/>
        <v>276.51696538532963</v>
      </c>
      <c r="H1119" s="877">
        <f t="shared" si="349"/>
        <v>313.19229698152742</v>
      </c>
      <c r="I1119" s="877">
        <f t="shared" si="349"/>
        <v>272.6663442905591</v>
      </c>
      <c r="J1119" s="877">
        <f t="shared" si="349"/>
        <v>295.67580966287346</v>
      </c>
      <c r="K1119" s="877">
        <f t="shared" si="349"/>
        <v>332.30715390527212</v>
      </c>
    </row>
    <row r="1120" spans="1:11" x14ac:dyDescent="0.3">
      <c r="A1120" s="614" t="s">
        <v>940</v>
      </c>
      <c r="B1120" s="884">
        <f>B1117/B1119</f>
        <v>0.52130172027528754</v>
      </c>
      <c r="C1120" s="884">
        <f t="shared" ref="C1120:K1120" si="350">C1117/C1119</f>
        <v>0.52443567337279551</v>
      </c>
      <c r="D1120" s="884">
        <f t="shared" si="350"/>
        <v>0.51228410163231264</v>
      </c>
      <c r="E1120" s="884">
        <f t="shared" si="350"/>
        <v>0.53598895017662318</v>
      </c>
      <c r="F1120" s="884">
        <f t="shared" si="350"/>
        <v>0.54681571337284507</v>
      </c>
      <c r="G1120" s="884">
        <f t="shared" si="350"/>
        <v>0.48161855029190742</v>
      </c>
      <c r="H1120" s="884">
        <f t="shared" si="350"/>
        <v>0.48194097190360558</v>
      </c>
      <c r="I1120" s="884">
        <f t="shared" si="350"/>
        <v>0.53432337012135056</v>
      </c>
      <c r="J1120" s="884">
        <f t="shared" si="350"/>
        <v>0.52375471695358378</v>
      </c>
      <c r="K1120" s="884">
        <f t="shared" si="350"/>
        <v>0.51893556299771282</v>
      </c>
    </row>
    <row r="1121" spans="1:11" x14ac:dyDescent="0.3">
      <c r="A1121" s="494"/>
      <c r="B1121" s="494"/>
      <c r="C1121" s="494"/>
      <c r="D1121" s="494"/>
      <c r="E1121" s="494"/>
      <c r="F1121" s="494"/>
      <c r="G1121" s="494"/>
      <c r="H1121" s="494"/>
      <c r="I1121" s="494"/>
      <c r="J1121" s="494"/>
      <c r="K1121" s="494"/>
    </row>
    <row r="1122" spans="1:11" x14ac:dyDescent="0.3">
      <c r="A1122" s="493"/>
      <c r="B1122" s="820" t="s">
        <v>922</v>
      </c>
      <c r="C1122" s="820" t="s">
        <v>923</v>
      </c>
      <c r="D1122" s="820" t="s">
        <v>924</v>
      </c>
      <c r="E1122" s="820" t="s">
        <v>925</v>
      </c>
      <c r="F1122" s="820" t="s">
        <v>883</v>
      </c>
      <c r="G1122" s="820" t="s">
        <v>884</v>
      </c>
      <c r="H1122" s="820" t="s">
        <v>885</v>
      </c>
      <c r="I1122" s="820" t="s">
        <v>886</v>
      </c>
      <c r="J1122" s="820" t="s">
        <v>887</v>
      </c>
      <c r="K1122" s="820" t="s">
        <v>888</v>
      </c>
    </row>
    <row r="1123" spans="1:11" x14ac:dyDescent="0.3">
      <c r="A1123" s="708" t="s">
        <v>914</v>
      </c>
      <c r="B1123" s="999">
        <f t="shared" ref="B1123:K1123" si="351">B1117</f>
        <v>99.6952</v>
      </c>
      <c r="C1123" s="999">
        <f t="shared" si="351"/>
        <v>109.54520000000001</v>
      </c>
      <c r="D1123" s="999">
        <f t="shared" si="351"/>
        <v>133.024</v>
      </c>
      <c r="E1123" s="999">
        <f t="shared" si="351"/>
        <v>132.47919999999999</v>
      </c>
      <c r="F1123" s="999">
        <f t="shared" si="351"/>
        <v>140.69999999999999</v>
      </c>
      <c r="G1123" s="999">
        <f t="shared" si="351"/>
        <v>133.17570000000001</v>
      </c>
      <c r="H1123" s="999">
        <f t="shared" si="351"/>
        <v>150.9402</v>
      </c>
      <c r="I1123" s="999">
        <f t="shared" si="351"/>
        <v>145.69200000000001</v>
      </c>
      <c r="J1123" s="999">
        <f t="shared" si="351"/>
        <v>154.86160000000001</v>
      </c>
      <c r="K1123" s="999">
        <f t="shared" si="351"/>
        <v>172.446</v>
      </c>
    </row>
    <row r="1124" spans="1:11" x14ac:dyDescent="0.3">
      <c r="A1124" s="708" t="s">
        <v>915</v>
      </c>
      <c r="B1124" s="873">
        <v>0</v>
      </c>
      <c r="C1124" s="873">
        <v>0</v>
      </c>
      <c r="D1124" s="873">
        <v>0</v>
      </c>
      <c r="E1124" s="873">
        <v>0</v>
      </c>
      <c r="F1124" s="873">
        <v>0</v>
      </c>
      <c r="G1124" s="873">
        <v>0</v>
      </c>
      <c r="H1124" s="873">
        <v>0</v>
      </c>
      <c r="I1124" s="873">
        <v>0</v>
      </c>
      <c r="J1124" s="873">
        <v>0</v>
      </c>
      <c r="K1124" s="873">
        <f>K1111*0.28</f>
        <v>48.284880000000001</v>
      </c>
    </row>
    <row r="1125" spans="1:11" x14ac:dyDescent="0.3">
      <c r="A1125" s="708" t="s">
        <v>916</v>
      </c>
      <c r="B1125" s="999">
        <f>B1123-B1124</f>
        <v>99.6952</v>
      </c>
      <c r="C1125" s="999">
        <f t="shared" ref="C1125:K1125" si="352">C1123-C1124</f>
        <v>109.54520000000001</v>
      </c>
      <c r="D1125" s="999">
        <f t="shared" si="352"/>
        <v>133.024</v>
      </c>
      <c r="E1125" s="999">
        <f t="shared" si="352"/>
        <v>132.47919999999999</v>
      </c>
      <c r="F1125" s="999">
        <f t="shared" si="352"/>
        <v>140.69999999999999</v>
      </c>
      <c r="G1125" s="999">
        <f t="shared" si="352"/>
        <v>133.17570000000001</v>
      </c>
      <c r="H1125" s="999">
        <f t="shared" si="352"/>
        <v>150.9402</v>
      </c>
      <c r="I1125" s="999">
        <f t="shared" si="352"/>
        <v>145.69200000000001</v>
      </c>
      <c r="J1125" s="999">
        <f t="shared" si="352"/>
        <v>154.86160000000001</v>
      </c>
      <c r="K1125" s="999">
        <f t="shared" si="352"/>
        <v>124.16112</v>
      </c>
    </row>
    <row r="1126" spans="1:11" x14ac:dyDescent="0.3">
      <c r="A1126" s="708"/>
      <c r="B1126" s="999"/>
      <c r="C1126" s="999"/>
      <c r="D1126" s="999"/>
      <c r="E1126" s="999"/>
      <c r="F1126" s="999"/>
      <c r="G1126" s="999"/>
      <c r="H1126" s="999"/>
      <c r="I1126" s="999"/>
      <c r="J1126" s="999"/>
      <c r="K1126" s="999"/>
    </row>
    <row r="1127" spans="1:11" x14ac:dyDescent="0.3">
      <c r="A1127" s="708" t="s">
        <v>917</v>
      </c>
      <c r="B1127" s="999">
        <f t="shared" ref="B1127:K1127" si="353">B1119</f>
        <v>191.24279879098279</v>
      </c>
      <c r="C1127" s="999">
        <f t="shared" si="353"/>
        <v>208.88205277013969</v>
      </c>
      <c r="D1127" s="999">
        <f t="shared" si="353"/>
        <v>259.6684136324746</v>
      </c>
      <c r="E1127" s="999">
        <f t="shared" si="353"/>
        <v>247.16778201555167</v>
      </c>
      <c r="F1127" s="999">
        <f t="shared" si="353"/>
        <v>257.307894705769</v>
      </c>
      <c r="G1127" s="999">
        <f t="shared" si="353"/>
        <v>276.51696538532963</v>
      </c>
      <c r="H1127" s="999">
        <f t="shared" si="353"/>
        <v>313.19229698152742</v>
      </c>
      <c r="I1127" s="999">
        <f t="shared" si="353"/>
        <v>272.6663442905591</v>
      </c>
      <c r="J1127" s="999">
        <f t="shared" si="353"/>
        <v>295.67580966287346</v>
      </c>
      <c r="K1127" s="999">
        <f t="shared" si="353"/>
        <v>332.30715390527212</v>
      </c>
    </row>
    <row r="1128" spans="1:11" x14ac:dyDescent="0.3">
      <c r="A1128" s="708" t="s">
        <v>915</v>
      </c>
      <c r="B1128" s="873">
        <f>B1124</f>
        <v>0</v>
      </c>
      <c r="C1128" s="873">
        <f t="shared" ref="C1128:K1128" si="354">C1124</f>
        <v>0</v>
      </c>
      <c r="D1128" s="873">
        <f t="shared" si="354"/>
        <v>0</v>
      </c>
      <c r="E1128" s="873">
        <f t="shared" si="354"/>
        <v>0</v>
      </c>
      <c r="F1128" s="873">
        <f t="shared" si="354"/>
        <v>0</v>
      </c>
      <c r="G1128" s="873">
        <f t="shared" si="354"/>
        <v>0</v>
      </c>
      <c r="H1128" s="873">
        <f t="shared" si="354"/>
        <v>0</v>
      </c>
      <c r="I1128" s="873">
        <f t="shared" si="354"/>
        <v>0</v>
      </c>
      <c r="J1128" s="873">
        <f t="shared" si="354"/>
        <v>0</v>
      </c>
      <c r="K1128" s="873">
        <f t="shared" si="354"/>
        <v>48.284880000000001</v>
      </c>
    </row>
    <row r="1129" spans="1:11" x14ac:dyDescent="0.3">
      <c r="A1129" s="708" t="s">
        <v>918</v>
      </c>
      <c r="B1129" s="999">
        <f>B1127-B1128</f>
        <v>191.24279879098279</v>
      </c>
      <c r="C1129" s="999">
        <f t="shared" ref="C1129:K1129" si="355">C1127-C1128</f>
        <v>208.88205277013969</v>
      </c>
      <c r="D1129" s="999">
        <f t="shared" si="355"/>
        <v>259.6684136324746</v>
      </c>
      <c r="E1129" s="999">
        <f t="shared" si="355"/>
        <v>247.16778201555167</v>
      </c>
      <c r="F1129" s="999">
        <f t="shared" si="355"/>
        <v>257.307894705769</v>
      </c>
      <c r="G1129" s="999">
        <f t="shared" si="355"/>
        <v>276.51696538532963</v>
      </c>
      <c r="H1129" s="999">
        <f t="shared" si="355"/>
        <v>313.19229698152742</v>
      </c>
      <c r="I1129" s="999">
        <f t="shared" si="355"/>
        <v>272.6663442905591</v>
      </c>
      <c r="J1129" s="999">
        <f t="shared" si="355"/>
        <v>295.67580966287346</v>
      </c>
      <c r="K1129" s="999">
        <f t="shared" si="355"/>
        <v>284.02227390527213</v>
      </c>
    </row>
    <row r="1130" spans="1:11" x14ac:dyDescent="0.3">
      <c r="A1130" s="614" t="s">
        <v>919</v>
      </c>
      <c r="B1130" s="884">
        <f t="shared" ref="B1130:K1130" si="356">B1125/(B1119-B1124)</f>
        <v>0.52130172027528754</v>
      </c>
      <c r="C1130" s="884">
        <f t="shared" si="356"/>
        <v>0.52443567337279551</v>
      </c>
      <c r="D1130" s="884">
        <f t="shared" si="356"/>
        <v>0.51228410163231264</v>
      </c>
      <c r="E1130" s="884">
        <f t="shared" si="356"/>
        <v>0.53598895017662318</v>
      </c>
      <c r="F1130" s="884">
        <f t="shared" si="356"/>
        <v>0.54681571337284507</v>
      </c>
      <c r="G1130" s="884">
        <f t="shared" si="356"/>
        <v>0.48161855029190742</v>
      </c>
      <c r="H1130" s="884">
        <f t="shared" si="356"/>
        <v>0.48194097190360558</v>
      </c>
      <c r="I1130" s="884">
        <f t="shared" si="356"/>
        <v>0.53432337012135056</v>
      </c>
      <c r="J1130" s="884">
        <f t="shared" si="356"/>
        <v>0.52375471695358378</v>
      </c>
      <c r="K1130" s="884">
        <f t="shared" si="356"/>
        <v>0.43715275669333786</v>
      </c>
    </row>
    <row r="1131" spans="1:11" x14ac:dyDescent="0.3">
      <c r="A1131" s="494"/>
      <c r="B1131" s="494"/>
      <c r="C1131" s="494"/>
      <c r="D1131" s="494"/>
      <c r="E1131" s="494"/>
      <c r="F1131" s="494"/>
      <c r="G1131" s="494"/>
      <c r="H1131" s="494"/>
      <c r="I1131" s="494"/>
      <c r="J1131" s="494"/>
      <c r="K1131" s="494"/>
    </row>
    <row r="1132" spans="1:11" x14ac:dyDescent="0.3">
      <c r="A1132" s="144"/>
      <c r="B1132" s="820" t="s">
        <v>922</v>
      </c>
      <c r="C1132" s="820" t="s">
        <v>923</v>
      </c>
      <c r="D1132" s="820" t="s">
        <v>924</v>
      </c>
      <c r="E1132" s="820" t="s">
        <v>925</v>
      </c>
      <c r="F1132" s="820" t="s">
        <v>883</v>
      </c>
      <c r="G1132" s="820" t="s">
        <v>884</v>
      </c>
      <c r="H1132" s="820" t="s">
        <v>885</v>
      </c>
      <c r="I1132" s="820" t="s">
        <v>886</v>
      </c>
      <c r="J1132" s="820" t="s">
        <v>887</v>
      </c>
      <c r="K1132" s="820" t="s">
        <v>888</v>
      </c>
    </row>
    <row r="1133" spans="1:11" x14ac:dyDescent="0.3">
      <c r="A1133" s="708" t="s">
        <v>914</v>
      </c>
      <c r="B1133" s="877">
        <f>B1123</f>
        <v>99.6952</v>
      </c>
      <c r="C1133" s="877">
        <f t="shared" ref="C1133:K1134" si="357">C1123</f>
        <v>109.54520000000001</v>
      </c>
      <c r="D1133" s="877">
        <f t="shared" si="357"/>
        <v>133.024</v>
      </c>
      <c r="E1133" s="877">
        <f t="shared" si="357"/>
        <v>132.47919999999999</v>
      </c>
      <c r="F1133" s="877">
        <f t="shared" si="357"/>
        <v>140.69999999999999</v>
      </c>
      <c r="G1133" s="877">
        <f t="shared" si="357"/>
        <v>133.17570000000001</v>
      </c>
      <c r="H1133" s="877">
        <f t="shared" si="357"/>
        <v>150.9402</v>
      </c>
      <c r="I1133" s="877">
        <f t="shared" si="357"/>
        <v>145.69200000000001</v>
      </c>
      <c r="J1133" s="877">
        <f t="shared" si="357"/>
        <v>154.86160000000001</v>
      </c>
      <c r="K1133" s="877">
        <f t="shared" si="357"/>
        <v>172.446</v>
      </c>
    </row>
    <row r="1134" spans="1:11" x14ac:dyDescent="0.3">
      <c r="A1134" s="708" t="s">
        <v>915</v>
      </c>
      <c r="B1134" s="880">
        <f>B1124</f>
        <v>0</v>
      </c>
      <c r="C1134" s="880">
        <f t="shared" si="357"/>
        <v>0</v>
      </c>
      <c r="D1134" s="880">
        <f t="shared" si="357"/>
        <v>0</v>
      </c>
      <c r="E1134" s="880">
        <f t="shared" si="357"/>
        <v>0</v>
      </c>
      <c r="F1134" s="880">
        <f t="shared" si="357"/>
        <v>0</v>
      </c>
      <c r="G1134" s="880">
        <f t="shared" si="357"/>
        <v>0</v>
      </c>
      <c r="H1134" s="880">
        <f t="shared" si="357"/>
        <v>0</v>
      </c>
      <c r="I1134" s="880">
        <f t="shared" si="357"/>
        <v>0</v>
      </c>
      <c r="J1134" s="880">
        <f t="shared" si="357"/>
        <v>0</v>
      </c>
      <c r="K1134" s="880">
        <f t="shared" si="357"/>
        <v>48.284880000000001</v>
      </c>
    </row>
    <row r="1135" spans="1:11" x14ac:dyDescent="0.3">
      <c r="A1135" s="708" t="s">
        <v>916</v>
      </c>
      <c r="B1135" s="999">
        <f>B1133-B1134</f>
        <v>99.6952</v>
      </c>
      <c r="C1135" s="999">
        <f t="shared" ref="C1135" si="358">C1133-C1134</f>
        <v>109.54520000000001</v>
      </c>
      <c r="D1135" s="999">
        <f t="shared" ref="D1135" si="359">D1133-D1134</f>
        <v>133.024</v>
      </c>
      <c r="E1135" s="999">
        <f t="shared" ref="E1135" si="360">E1133-E1134</f>
        <v>132.47919999999999</v>
      </c>
      <c r="F1135" s="999">
        <f t="shared" ref="F1135" si="361">F1133-F1134</f>
        <v>140.69999999999999</v>
      </c>
      <c r="G1135" s="999">
        <f t="shared" ref="G1135" si="362">G1133-G1134</f>
        <v>133.17570000000001</v>
      </c>
      <c r="H1135" s="999">
        <f t="shared" ref="H1135" si="363">H1133-H1134</f>
        <v>150.9402</v>
      </c>
      <c r="I1135" s="999">
        <f t="shared" ref="I1135" si="364">I1133-I1134</f>
        <v>145.69200000000001</v>
      </c>
      <c r="J1135" s="999">
        <f t="shared" ref="J1135" si="365">J1133-J1134</f>
        <v>154.86160000000001</v>
      </c>
      <c r="K1135" s="999">
        <f t="shared" ref="K1135" si="366">K1133-K1134</f>
        <v>124.16112</v>
      </c>
    </row>
    <row r="1136" spans="1:11" x14ac:dyDescent="0.3">
      <c r="A1136" s="708"/>
      <c r="B1136" s="144"/>
      <c r="C1136" s="144"/>
      <c r="D1136" s="144"/>
      <c r="E1136" s="144"/>
      <c r="F1136" s="144"/>
      <c r="G1136" s="144"/>
      <c r="H1136" s="144"/>
      <c r="I1136" s="144"/>
      <c r="J1136" s="144"/>
      <c r="K1136" s="144"/>
    </row>
    <row r="1137" spans="1:11" x14ac:dyDescent="0.3">
      <c r="A1137" s="708" t="s">
        <v>917</v>
      </c>
      <c r="B1137" s="877">
        <f>B1127</f>
        <v>191.24279879098279</v>
      </c>
      <c r="C1137" s="877">
        <f t="shared" ref="C1137:K1137" si="367">C1127</f>
        <v>208.88205277013969</v>
      </c>
      <c r="D1137" s="877">
        <f t="shared" si="367"/>
        <v>259.6684136324746</v>
      </c>
      <c r="E1137" s="877">
        <f t="shared" si="367"/>
        <v>247.16778201555167</v>
      </c>
      <c r="F1137" s="877">
        <f t="shared" si="367"/>
        <v>257.307894705769</v>
      </c>
      <c r="G1137" s="877">
        <f t="shared" si="367"/>
        <v>276.51696538532963</v>
      </c>
      <c r="H1137" s="877">
        <f t="shared" si="367"/>
        <v>313.19229698152742</v>
      </c>
      <c r="I1137" s="877">
        <f t="shared" si="367"/>
        <v>272.6663442905591</v>
      </c>
      <c r="J1137" s="877">
        <f t="shared" si="367"/>
        <v>295.67580966287346</v>
      </c>
      <c r="K1137" s="877">
        <f t="shared" si="367"/>
        <v>332.30715390527212</v>
      </c>
    </row>
    <row r="1138" spans="1:11" x14ac:dyDescent="0.3">
      <c r="A1138" s="708" t="s">
        <v>920</v>
      </c>
      <c r="B1138" s="880">
        <f>B1137*B1140</f>
        <v>0</v>
      </c>
      <c r="C1138" s="880">
        <f t="shared" ref="C1138:K1138" si="368">C1137*C1140</f>
        <v>0</v>
      </c>
      <c r="D1138" s="880">
        <f t="shared" si="368"/>
        <v>0</v>
      </c>
      <c r="E1138" s="880">
        <f t="shared" si="368"/>
        <v>0</v>
      </c>
      <c r="F1138" s="880">
        <f t="shared" si="368"/>
        <v>0</v>
      </c>
      <c r="G1138" s="880">
        <f t="shared" si="368"/>
        <v>0</v>
      </c>
      <c r="H1138" s="880">
        <f t="shared" si="368"/>
        <v>0</v>
      </c>
      <c r="I1138" s="880">
        <f t="shared" si="368"/>
        <v>0</v>
      </c>
      <c r="J1138" s="880">
        <f t="shared" si="368"/>
        <v>0</v>
      </c>
      <c r="K1138" s="880">
        <f t="shared" si="368"/>
        <v>66.461430781054432</v>
      </c>
    </row>
    <row r="1139" spans="1:11" x14ac:dyDescent="0.3">
      <c r="A1139" s="708" t="s">
        <v>918</v>
      </c>
      <c r="B1139" s="999">
        <f>B1137-B1138</f>
        <v>191.24279879098279</v>
      </c>
      <c r="C1139" s="999">
        <f t="shared" ref="C1139" si="369">C1137-C1138</f>
        <v>208.88205277013969</v>
      </c>
      <c r="D1139" s="999">
        <f t="shared" ref="D1139" si="370">D1137-D1138</f>
        <v>259.6684136324746</v>
      </c>
      <c r="E1139" s="999">
        <f t="shared" ref="E1139" si="371">E1137-E1138</f>
        <v>247.16778201555167</v>
      </c>
      <c r="F1139" s="999">
        <f t="shared" ref="F1139" si="372">F1137-F1138</f>
        <v>257.307894705769</v>
      </c>
      <c r="G1139" s="999">
        <f t="shared" ref="G1139" si="373">G1137-G1138</f>
        <v>276.51696538532963</v>
      </c>
      <c r="H1139" s="999">
        <f t="shared" ref="H1139" si="374">H1137-H1138</f>
        <v>313.19229698152742</v>
      </c>
      <c r="I1139" s="999">
        <f t="shared" ref="I1139" si="375">I1137-I1138</f>
        <v>272.6663442905591</v>
      </c>
      <c r="J1139" s="999">
        <f t="shared" ref="J1139" si="376">J1137-J1138</f>
        <v>295.67580966287346</v>
      </c>
      <c r="K1139" s="999">
        <f t="shared" ref="K1139" si="377">K1137-K1138</f>
        <v>265.84572312421767</v>
      </c>
    </row>
    <row r="1140" spans="1:11" x14ac:dyDescent="0.3">
      <c r="A1140" s="614" t="s">
        <v>921</v>
      </c>
      <c r="B1140" s="546">
        <v>0</v>
      </c>
      <c r="C1140" s="547">
        <f>B1140</f>
        <v>0</v>
      </c>
      <c r="D1140" s="547">
        <f t="shared" ref="D1140:J1140" si="378">C1140</f>
        <v>0</v>
      </c>
      <c r="E1140" s="547">
        <f t="shared" si="378"/>
        <v>0</v>
      </c>
      <c r="F1140" s="547">
        <f t="shared" si="378"/>
        <v>0</v>
      </c>
      <c r="G1140" s="547">
        <f t="shared" si="378"/>
        <v>0</v>
      </c>
      <c r="H1140" s="547">
        <f t="shared" si="378"/>
        <v>0</v>
      </c>
      <c r="I1140" s="547">
        <f t="shared" si="378"/>
        <v>0</v>
      </c>
      <c r="J1140" s="547">
        <f t="shared" si="378"/>
        <v>0</v>
      </c>
      <c r="K1140" s="546">
        <v>0.2</v>
      </c>
    </row>
    <row r="1141" spans="1:11" x14ac:dyDescent="0.3">
      <c r="A1141" s="614" t="s">
        <v>919</v>
      </c>
      <c r="B1141" s="884">
        <f>B1135/B1139</f>
        <v>0.52130172027528754</v>
      </c>
      <c r="C1141" s="884">
        <f t="shared" ref="C1141:K1141" si="379">C1135/C1139</f>
        <v>0.52443567337279551</v>
      </c>
      <c r="D1141" s="884">
        <f t="shared" si="379"/>
        <v>0.51228410163231264</v>
      </c>
      <c r="E1141" s="884">
        <f t="shared" si="379"/>
        <v>0.53598895017662318</v>
      </c>
      <c r="F1141" s="884">
        <f t="shared" si="379"/>
        <v>0.54681571337284507</v>
      </c>
      <c r="G1141" s="884">
        <f t="shared" si="379"/>
        <v>0.48161855029190742</v>
      </c>
      <c r="H1141" s="884">
        <f t="shared" si="379"/>
        <v>0.48194097190360558</v>
      </c>
      <c r="I1141" s="884">
        <f t="shared" si="379"/>
        <v>0.53432337012135056</v>
      </c>
      <c r="J1141" s="884">
        <f t="shared" si="379"/>
        <v>0.52375471695358378</v>
      </c>
      <c r="K1141" s="884">
        <f t="shared" si="379"/>
        <v>0.4670420066979416</v>
      </c>
    </row>
    <row r="1142" spans="1:11" x14ac:dyDescent="0.3">
      <c r="A1142" s="494"/>
      <c r="B1142" s="494"/>
      <c r="C1142" s="494"/>
      <c r="D1142" s="494"/>
      <c r="E1142" s="494"/>
      <c r="F1142" s="494"/>
      <c r="G1142" s="494"/>
      <c r="H1142" s="494"/>
      <c r="I1142" s="494"/>
      <c r="J1142" s="494"/>
      <c r="K1142" s="494"/>
    </row>
    <row r="1145" spans="1:11" x14ac:dyDescent="0.3">
      <c r="A1145" s="90" t="s">
        <v>941</v>
      </c>
      <c r="B1145" s="692" t="s">
        <v>922</v>
      </c>
      <c r="C1145" s="692" t="s">
        <v>923</v>
      </c>
      <c r="D1145" s="692" t="s">
        <v>924</v>
      </c>
      <c r="E1145" s="692" t="s">
        <v>925</v>
      </c>
      <c r="F1145" s="692" t="s">
        <v>883</v>
      </c>
      <c r="G1145" s="692" t="s">
        <v>884</v>
      </c>
      <c r="H1145" s="692" t="s">
        <v>885</v>
      </c>
      <c r="I1145" s="692" t="s">
        <v>886</v>
      </c>
      <c r="J1145" s="692" t="s">
        <v>887</v>
      </c>
      <c r="K1145" s="692" t="s">
        <v>888</v>
      </c>
    </row>
    <row r="1146" spans="1:11" x14ac:dyDescent="0.3">
      <c r="A1146" s="177" t="s">
        <v>942</v>
      </c>
      <c r="K1146" s="885">
        <f>'[9]Tally_2Q24 (2)'!$E$10</f>
        <v>123.83132530120481</v>
      </c>
    </row>
    <row r="1147" spans="1:11" x14ac:dyDescent="0.3">
      <c r="A1147" s="177" t="s">
        <v>943</v>
      </c>
      <c r="K1147" s="1426">
        <f>SUM([8]Inputs!$ET$157:$ET$160)/[8]Inputs!$ET$166</f>
        <v>0.82626970330394245</v>
      </c>
    </row>
    <row r="1148" spans="1:11" x14ac:dyDescent="0.3">
      <c r="A1148" s="177" t="s">
        <v>944</v>
      </c>
      <c r="K1148" s="885">
        <f>K1146/K1147</f>
        <v>149.86792424561838</v>
      </c>
    </row>
    <row r="1149" spans="1:11" x14ac:dyDescent="0.3">
      <c r="A1149" s="177" t="s">
        <v>931</v>
      </c>
      <c r="K1149" s="1426">
        <f>AVERAGE(J1086:K1086)/AVERAGE('[8]Top Down Subscriber Model'!$EF$123:$EG$123)</f>
        <v>5.1136435177402219E-2</v>
      </c>
    </row>
    <row r="1150" spans="1:11" x14ac:dyDescent="0.3">
      <c r="A1150" s="177" t="s">
        <v>945</v>
      </c>
      <c r="K1150" s="885">
        <f>K1148*K1149</f>
        <v>7.6637113933578904</v>
      </c>
    </row>
    <row r="1152" spans="1:11" x14ac:dyDescent="0.3">
      <c r="A1152" t="s">
        <v>946</v>
      </c>
      <c r="B1152" s="1078">
        <v>0</v>
      </c>
      <c r="C1152" s="1078">
        <v>0</v>
      </c>
      <c r="D1152" s="1078">
        <v>0</v>
      </c>
      <c r="E1152" s="1078">
        <v>0</v>
      </c>
      <c r="F1152" s="1078">
        <v>0</v>
      </c>
      <c r="G1152" s="1078">
        <v>0</v>
      </c>
      <c r="H1152" s="1078">
        <v>0</v>
      </c>
      <c r="I1152" s="1078">
        <v>0</v>
      </c>
      <c r="J1152" s="1078">
        <v>0</v>
      </c>
      <c r="K1152" s="919">
        <v>1</v>
      </c>
    </row>
    <row r="1153" spans="1:11" x14ac:dyDescent="0.3">
      <c r="A1153" t="s">
        <v>947</v>
      </c>
      <c r="B1153" s="1157">
        <v>0</v>
      </c>
      <c r="C1153" s="1157">
        <v>0</v>
      </c>
      <c r="D1153" s="1157">
        <v>0</v>
      </c>
      <c r="E1153" s="1157">
        <v>0</v>
      </c>
      <c r="F1153" s="1157">
        <v>0</v>
      </c>
      <c r="G1153" s="1157">
        <v>0</v>
      </c>
      <c r="H1153" s="1157">
        <v>0</v>
      </c>
      <c r="I1153" s="1157">
        <v>0</v>
      </c>
      <c r="J1153" s="1157">
        <v>0</v>
      </c>
      <c r="K1153" s="901">
        <f>K1150</f>
        <v>7.6637113933578904</v>
      </c>
    </row>
    <row r="1154" spans="1:11" x14ac:dyDescent="0.3">
      <c r="A1154" t="s">
        <v>948</v>
      </c>
      <c r="B1154" s="885">
        <f t="shared" ref="B1154:J1154" si="380">SUM(B1152:B1153)</f>
        <v>0</v>
      </c>
      <c r="C1154" s="885">
        <f t="shared" si="380"/>
        <v>0</v>
      </c>
      <c r="D1154" s="885">
        <f t="shared" si="380"/>
        <v>0</v>
      </c>
      <c r="E1154" s="885">
        <f t="shared" si="380"/>
        <v>0</v>
      </c>
      <c r="F1154" s="885">
        <f t="shared" si="380"/>
        <v>0</v>
      </c>
      <c r="G1154" s="885">
        <f t="shared" si="380"/>
        <v>0</v>
      </c>
      <c r="H1154" s="885">
        <f t="shared" si="380"/>
        <v>0</v>
      </c>
      <c r="I1154" s="885">
        <f t="shared" si="380"/>
        <v>0</v>
      </c>
      <c r="J1154" s="885">
        <f t="shared" si="380"/>
        <v>0</v>
      </c>
      <c r="K1154" s="885">
        <f>SUM(K1152:K1153)</f>
        <v>8.6637113933578895</v>
      </c>
    </row>
    <row r="1155" spans="1:11" x14ac:dyDescent="0.3">
      <c r="A1155" s="94" t="s">
        <v>949</v>
      </c>
      <c r="B1155" s="943">
        <f t="shared" ref="B1155:K1155" si="381">B1119-B1154</f>
        <v>191.24279879098279</v>
      </c>
      <c r="C1155" s="943">
        <f t="shared" si="381"/>
        <v>208.88205277013969</v>
      </c>
      <c r="D1155" s="943">
        <f t="shared" si="381"/>
        <v>259.6684136324746</v>
      </c>
      <c r="E1155" s="943">
        <f t="shared" si="381"/>
        <v>247.16778201555167</v>
      </c>
      <c r="F1155" s="943">
        <f t="shared" si="381"/>
        <v>257.307894705769</v>
      </c>
      <c r="G1155" s="943">
        <f t="shared" si="381"/>
        <v>276.51696538532963</v>
      </c>
      <c r="H1155" s="943">
        <f t="shared" si="381"/>
        <v>313.19229698152742</v>
      </c>
      <c r="I1155" s="943">
        <f t="shared" si="381"/>
        <v>272.6663442905591</v>
      </c>
      <c r="J1155" s="943">
        <f t="shared" si="381"/>
        <v>295.67580966287346</v>
      </c>
      <c r="K1155" s="943">
        <f t="shared" si="381"/>
        <v>323.6434425119142</v>
      </c>
    </row>
    <row r="1157" spans="1:11" x14ac:dyDescent="0.3">
      <c r="A1157" s="90" t="s">
        <v>950</v>
      </c>
      <c r="B1157" s="692" t="s">
        <v>922</v>
      </c>
      <c r="C1157" s="692" t="s">
        <v>923</v>
      </c>
      <c r="D1157" s="692" t="s">
        <v>924</v>
      </c>
      <c r="E1157" s="692" t="s">
        <v>925</v>
      </c>
      <c r="F1157" s="692" t="s">
        <v>883</v>
      </c>
      <c r="G1157" s="692" t="s">
        <v>884</v>
      </c>
      <c r="H1157" s="692" t="s">
        <v>885</v>
      </c>
      <c r="I1157" s="692" t="s">
        <v>886</v>
      </c>
      <c r="J1157" s="692" t="s">
        <v>887</v>
      </c>
      <c r="K1157" s="692" t="s">
        <v>888</v>
      </c>
    </row>
    <row r="1158" spans="1:11" x14ac:dyDescent="0.3">
      <c r="A1158" t="s">
        <v>951</v>
      </c>
      <c r="B1158" s="76">
        <f t="shared" ref="B1158:K1158" si="382">B1111</f>
        <v>99.6952</v>
      </c>
      <c r="C1158" s="76">
        <f t="shared" si="382"/>
        <v>109.54520000000001</v>
      </c>
      <c r="D1158" s="76">
        <f t="shared" si="382"/>
        <v>133.024</v>
      </c>
      <c r="E1158" s="76">
        <f t="shared" si="382"/>
        <v>132.47919999999999</v>
      </c>
      <c r="F1158" s="76">
        <f t="shared" si="382"/>
        <v>140.69999999999999</v>
      </c>
      <c r="G1158" s="76">
        <f t="shared" si="382"/>
        <v>133.17570000000001</v>
      </c>
      <c r="H1158" s="76">
        <f t="shared" si="382"/>
        <v>150.9402</v>
      </c>
      <c r="I1158" s="76">
        <f t="shared" si="382"/>
        <v>145.69200000000001</v>
      </c>
      <c r="J1158" s="76">
        <f t="shared" si="382"/>
        <v>154.86160000000001</v>
      </c>
      <c r="K1158" s="76">
        <f t="shared" si="382"/>
        <v>172.446</v>
      </c>
    </row>
    <row r="1159" spans="1:11" x14ac:dyDescent="0.3">
      <c r="A1159" t="s">
        <v>952</v>
      </c>
      <c r="B1159" s="866">
        <f t="shared" ref="B1159:J1159" si="383">B1155</f>
        <v>191.24279879098279</v>
      </c>
      <c r="C1159" s="866">
        <f t="shared" si="383"/>
        <v>208.88205277013969</v>
      </c>
      <c r="D1159" s="866">
        <f t="shared" si="383"/>
        <v>259.6684136324746</v>
      </c>
      <c r="E1159" s="866">
        <f t="shared" si="383"/>
        <v>247.16778201555167</v>
      </c>
      <c r="F1159" s="866">
        <f t="shared" si="383"/>
        <v>257.307894705769</v>
      </c>
      <c r="G1159" s="866">
        <f t="shared" si="383"/>
        <v>276.51696538532963</v>
      </c>
      <c r="H1159" s="866">
        <f t="shared" si="383"/>
        <v>313.19229698152742</v>
      </c>
      <c r="I1159" s="866">
        <f t="shared" si="383"/>
        <v>272.6663442905591</v>
      </c>
      <c r="J1159" s="866">
        <f t="shared" si="383"/>
        <v>295.67580966287346</v>
      </c>
      <c r="K1159" s="866">
        <f>K1155</f>
        <v>323.6434425119142</v>
      </c>
    </row>
    <row r="1160" spans="1:11" x14ac:dyDescent="0.3">
      <c r="A1160" s="94" t="s">
        <v>940</v>
      </c>
      <c r="B1160" s="1239">
        <f t="shared" ref="B1160:J1160" si="384">B1158/B1159</f>
        <v>0.52130172027528754</v>
      </c>
      <c r="C1160" s="1239">
        <f t="shared" si="384"/>
        <v>0.52443567337279551</v>
      </c>
      <c r="D1160" s="1239">
        <f t="shared" si="384"/>
        <v>0.51228410163231264</v>
      </c>
      <c r="E1160" s="1239">
        <f t="shared" si="384"/>
        <v>0.53598895017662318</v>
      </c>
      <c r="F1160" s="1239">
        <f t="shared" si="384"/>
        <v>0.54681571337284507</v>
      </c>
      <c r="G1160" s="1239">
        <f t="shared" si="384"/>
        <v>0.48161855029190742</v>
      </c>
      <c r="H1160" s="1239">
        <f t="shared" si="384"/>
        <v>0.48194097190360558</v>
      </c>
      <c r="I1160" s="1239">
        <f t="shared" si="384"/>
        <v>0.53432337012135056</v>
      </c>
      <c r="J1160" s="1239">
        <f t="shared" si="384"/>
        <v>0.52375471695358378</v>
      </c>
      <c r="K1160" s="1239">
        <f>K1158/K1159</f>
        <v>0.53282710955483603</v>
      </c>
    </row>
    <row r="1162" spans="1:11" x14ac:dyDescent="0.3">
      <c r="B1162" s="692" t="s">
        <v>922</v>
      </c>
      <c r="C1162" s="692" t="s">
        <v>923</v>
      </c>
      <c r="D1162" s="692" t="s">
        <v>924</v>
      </c>
      <c r="E1162" s="692" t="s">
        <v>925</v>
      </c>
      <c r="F1162" s="692" t="s">
        <v>883</v>
      </c>
      <c r="G1162" s="692" t="s">
        <v>884</v>
      </c>
      <c r="H1162" s="692" t="s">
        <v>885</v>
      </c>
      <c r="I1162" s="692" t="s">
        <v>886</v>
      </c>
      <c r="J1162" s="692" t="s">
        <v>887</v>
      </c>
      <c r="K1162" s="692" t="s">
        <v>888</v>
      </c>
    </row>
    <row r="1163" spans="1:11" x14ac:dyDescent="0.3">
      <c r="A1163" t="s">
        <v>953</v>
      </c>
      <c r="B1163" s="885">
        <f>B1159*B1165</f>
        <v>47.810699697745697</v>
      </c>
      <c r="C1163" s="885">
        <f t="shared" ref="C1163:K1163" si="385">C1159*C1165</f>
        <v>52.220513192534924</v>
      </c>
      <c r="D1163" s="885">
        <f t="shared" si="385"/>
        <v>64.917103408118649</v>
      </c>
      <c r="E1163" s="885">
        <f t="shared" si="385"/>
        <v>61.791945503887916</v>
      </c>
      <c r="F1163" s="885">
        <f t="shared" si="385"/>
        <v>64.32697367644225</v>
      </c>
      <c r="G1163" s="885">
        <f t="shared" si="385"/>
        <v>69.129241346332407</v>
      </c>
      <c r="H1163" s="885">
        <f t="shared" si="385"/>
        <v>78.298074245381855</v>
      </c>
      <c r="I1163" s="885">
        <f t="shared" si="385"/>
        <v>68.166586072639774</v>
      </c>
      <c r="J1163" s="885">
        <f t="shared" si="385"/>
        <v>73.918952415718366</v>
      </c>
      <c r="K1163" s="885">
        <f t="shared" si="385"/>
        <v>80.91086062797855</v>
      </c>
    </row>
    <row r="1164" spans="1:11" x14ac:dyDescent="0.3">
      <c r="A1164" t="s">
        <v>954</v>
      </c>
      <c r="B1164" s="887">
        <f>B1159-B1163</f>
        <v>143.4320990932371</v>
      </c>
      <c r="C1164" s="887">
        <f t="shared" ref="C1164:K1164" si="386">C1159-C1163</f>
        <v>156.66153957760477</v>
      </c>
      <c r="D1164" s="887">
        <f t="shared" si="386"/>
        <v>194.75131022435596</v>
      </c>
      <c r="E1164" s="887">
        <f t="shared" si="386"/>
        <v>185.37583651166375</v>
      </c>
      <c r="F1164" s="887">
        <f t="shared" si="386"/>
        <v>192.98092102932674</v>
      </c>
      <c r="G1164" s="887">
        <f t="shared" si="386"/>
        <v>207.38772403899722</v>
      </c>
      <c r="H1164" s="887">
        <f t="shared" si="386"/>
        <v>234.89422273614557</v>
      </c>
      <c r="I1164" s="887">
        <f t="shared" si="386"/>
        <v>204.49975821791932</v>
      </c>
      <c r="J1164" s="887">
        <f t="shared" si="386"/>
        <v>221.7568572471551</v>
      </c>
      <c r="K1164" s="887">
        <f t="shared" si="386"/>
        <v>242.73258188393567</v>
      </c>
    </row>
    <row r="1165" spans="1:11" x14ac:dyDescent="0.3">
      <c r="A1165" s="94" t="s">
        <v>955</v>
      </c>
      <c r="B1165" s="546">
        <v>0.25</v>
      </c>
      <c r="C1165" s="657">
        <f>B1165</f>
        <v>0.25</v>
      </c>
      <c r="D1165" s="657">
        <f t="shared" ref="D1165:K1165" si="387">C1165</f>
        <v>0.25</v>
      </c>
      <c r="E1165" s="657">
        <f t="shared" si="387"/>
        <v>0.25</v>
      </c>
      <c r="F1165" s="657">
        <f t="shared" si="387"/>
        <v>0.25</v>
      </c>
      <c r="G1165" s="657">
        <f t="shared" si="387"/>
        <v>0.25</v>
      </c>
      <c r="H1165" s="657">
        <f t="shared" si="387"/>
        <v>0.25</v>
      </c>
      <c r="I1165" s="657">
        <f t="shared" si="387"/>
        <v>0.25</v>
      </c>
      <c r="J1165" s="657">
        <f t="shared" si="387"/>
        <v>0.25</v>
      </c>
      <c r="K1165" s="657">
        <f t="shared" si="387"/>
        <v>0.25</v>
      </c>
    </row>
    <row r="1167" spans="1:11" x14ac:dyDescent="0.3">
      <c r="A1167" t="s">
        <v>956</v>
      </c>
      <c r="B1167" s="887">
        <f t="shared" ref="B1167:K1167" si="388">B1124</f>
        <v>0</v>
      </c>
      <c r="C1167" s="887">
        <f t="shared" si="388"/>
        <v>0</v>
      </c>
      <c r="D1167" s="887">
        <f t="shared" si="388"/>
        <v>0</v>
      </c>
      <c r="E1167" s="887">
        <f t="shared" si="388"/>
        <v>0</v>
      </c>
      <c r="F1167" s="887">
        <f t="shared" si="388"/>
        <v>0</v>
      </c>
      <c r="G1167" s="887">
        <f t="shared" si="388"/>
        <v>0</v>
      </c>
      <c r="H1167" s="887">
        <f t="shared" si="388"/>
        <v>0</v>
      </c>
      <c r="I1167" s="887">
        <f t="shared" si="388"/>
        <v>0</v>
      </c>
      <c r="J1167" s="887">
        <f t="shared" si="388"/>
        <v>0</v>
      </c>
      <c r="K1167" s="887">
        <f t="shared" si="388"/>
        <v>48.284880000000001</v>
      </c>
    </row>
    <row r="1168" spans="1:11" x14ac:dyDescent="0.3">
      <c r="A1168" t="s">
        <v>957</v>
      </c>
      <c r="B1168" s="885">
        <f t="shared" ref="B1168:J1168" si="389">B1158-B1167</f>
        <v>99.6952</v>
      </c>
      <c r="C1168" s="885">
        <f t="shared" si="389"/>
        <v>109.54520000000001</v>
      </c>
      <c r="D1168" s="885">
        <f t="shared" si="389"/>
        <v>133.024</v>
      </c>
      <c r="E1168" s="885">
        <f t="shared" si="389"/>
        <v>132.47919999999999</v>
      </c>
      <c r="F1168" s="885">
        <f t="shared" si="389"/>
        <v>140.69999999999999</v>
      </c>
      <c r="G1168" s="885">
        <f t="shared" si="389"/>
        <v>133.17570000000001</v>
      </c>
      <c r="H1168" s="885">
        <f t="shared" si="389"/>
        <v>150.9402</v>
      </c>
      <c r="I1168" s="885">
        <f t="shared" si="389"/>
        <v>145.69200000000001</v>
      </c>
      <c r="J1168" s="885">
        <f t="shared" si="389"/>
        <v>154.86160000000001</v>
      </c>
      <c r="K1168" s="885">
        <f>K1158-K1167</f>
        <v>124.16112</v>
      </c>
    </row>
    <row r="1169" spans="1:20" x14ac:dyDescent="0.3">
      <c r="A1169" s="94" t="s">
        <v>919</v>
      </c>
      <c r="B1169" s="1239">
        <f>B1168/B1164</f>
        <v>0.69506896036705001</v>
      </c>
      <c r="C1169" s="1239">
        <f t="shared" ref="C1169:K1169" si="390">C1168/C1164</f>
        <v>0.6992475644970606</v>
      </c>
      <c r="D1169" s="1239">
        <f t="shared" si="390"/>
        <v>0.68304546884308337</v>
      </c>
      <c r="E1169" s="1239">
        <f t="shared" si="390"/>
        <v>0.71465193356883094</v>
      </c>
      <c r="F1169" s="1239">
        <f t="shared" si="390"/>
        <v>0.72908761783046017</v>
      </c>
      <c r="G1169" s="1239">
        <f t="shared" si="390"/>
        <v>0.64215806705587664</v>
      </c>
      <c r="H1169" s="1239">
        <f t="shared" si="390"/>
        <v>0.64258796253814077</v>
      </c>
      <c r="I1169" s="1239">
        <f t="shared" si="390"/>
        <v>0.71243116016180075</v>
      </c>
      <c r="J1169" s="1239">
        <f t="shared" si="390"/>
        <v>0.69833962260477844</v>
      </c>
      <c r="K1169" s="1239">
        <f t="shared" si="390"/>
        <v>0.51151402517264255</v>
      </c>
    </row>
    <row r="1172" spans="1:20" x14ac:dyDescent="0.3">
      <c r="B1172" s="692" t="s">
        <v>922</v>
      </c>
      <c r="C1172" s="692" t="s">
        <v>923</v>
      </c>
      <c r="D1172" s="692" t="s">
        <v>924</v>
      </c>
      <c r="E1172" s="692" t="s">
        <v>925</v>
      </c>
      <c r="F1172" s="692" t="s">
        <v>883</v>
      </c>
      <c r="G1172" s="692" t="s">
        <v>884</v>
      </c>
      <c r="H1172" s="692" t="s">
        <v>885</v>
      </c>
      <c r="I1172" s="692" t="s">
        <v>886</v>
      </c>
      <c r="J1172" s="692" t="s">
        <v>887</v>
      </c>
      <c r="K1172" s="692" t="s">
        <v>888</v>
      </c>
    </row>
    <row r="1173" spans="1:20" x14ac:dyDescent="0.3">
      <c r="A1173" t="s">
        <v>958</v>
      </c>
      <c r="B1173" s="898">
        <f>Drivers!EJ154</f>
        <v>0.42399999999999999</v>
      </c>
      <c r="C1173" s="898">
        <f>Drivers!EK154</f>
        <v>0.42599999999999999</v>
      </c>
      <c r="D1173" s="898">
        <f>Drivers!EL154</f>
        <v>0.42899999999999999</v>
      </c>
      <c r="E1173" s="898">
        <f>Drivers!EM154</f>
        <v>0.432</v>
      </c>
      <c r="F1173" s="898">
        <f>Drivers!EO154</f>
        <v>0.435</v>
      </c>
      <c r="G1173" s="898">
        <f>Drivers!EP154</f>
        <v>0.434</v>
      </c>
      <c r="H1173" s="898">
        <f>Drivers!EQ154</f>
        <v>0.439</v>
      </c>
      <c r="I1173" s="898">
        <f>Drivers!ER154</f>
        <v>0.44500000000000001</v>
      </c>
      <c r="J1173" s="898">
        <f>Drivers!ET154</f>
        <v>0.44900000000000001</v>
      </c>
      <c r="K1173" s="898">
        <f>Drivers!EU154</f>
        <v>0.45300000000000001</v>
      </c>
    </row>
    <row r="1174" spans="1:20" x14ac:dyDescent="0.3">
      <c r="A1174" t="s">
        <v>959</v>
      </c>
      <c r="B1174" s="898">
        <f>Drivers!EJ165</f>
        <v>0.13416898395721935</v>
      </c>
      <c r="C1174" s="898">
        <f>Drivers!EK165</f>
        <v>0.14227138157894734</v>
      </c>
      <c r="D1174" s="898">
        <f>Drivers!EL165</f>
        <v>0.14635162731333765</v>
      </c>
      <c r="E1174" s="898">
        <f>Drivers!EM165</f>
        <v>0.15229158110882957</v>
      </c>
      <c r="F1174" s="898">
        <f>Drivers!EO165</f>
        <v>0.16396808045474426</v>
      </c>
      <c r="G1174" s="898">
        <f>Drivers!EP165</f>
        <v>0.17104033807145605</v>
      </c>
      <c r="H1174" s="898">
        <f>Drivers!EQ165</f>
        <v>0.17311856899488928</v>
      </c>
      <c r="I1174" s="898">
        <f>Drivers!ER165</f>
        <v>0.17526468788249691</v>
      </c>
      <c r="J1174" s="898">
        <f>Drivers!ET165</f>
        <v>0.18046601671309193</v>
      </c>
      <c r="K1174" s="898">
        <f>Drivers!EU165</f>
        <v>0.18275037707390648</v>
      </c>
    </row>
    <row r="1181" spans="1:20" x14ac:dyDescent="0.3">
      <c r="A1181" s="1256" t="s">
        <v>960</v>
      </c>
      <c r="B1181" s="1257"/>
      <c r="C1181" s="1257"/>
      <c r="D1181" s="1257"/>
      <c r="E1181" s="1257"/>
      <c r="F1181" s="1257"/>
      <c r="G1181" s="1257"/>
      <c r="H1181" s="1257"/>
      <c r="I1181" s="1257"/>
      <c r="J1181" s="1257"/>
      <c r="K1181" s="1257"/>
      <c r="L1181" s="1257"/>
      <c r="M1181" s="1257"/>
      <c r="N1181" s="1257"/>
      <c r="O1181" s="1257"/>
      <c r="P1181" s="1257"/>
      <c r="Q1181" s="1257"/>
      <c r="R1181" s="1257"/>
      <c r="S1181" s="1257"/>
      <c r="T1181" s="1257"/>
    </row>
    <row r="1183" spans="1:20" hidden="1" x14ac:dyDescent="0.3">
      <c r="A1183" t="s">
        <v>961</v>
      </c>
      <c r="B1183">
        <v>252</v>
      </c>
    </row>
    <row r="1184" spans="1:20" hidden="1" x14ac:dyDescent="0.3">
      <c r="A1184" s="177" t="s">
        <v>962</v>
      </c>
      <c r="B1184">
        <v>388</v>
      </c>
    </row>
    <row r="1185" spans="1:4" hidden="1" x14ac:dyDescent="0.3">
      <c r="B1185" s="885">
        <f>B1183/B1184*1000</f>
        <v>649.48453608247428</v>
      </c>
    </row>
    <row r="1186" spans="1:4" hidden="1" x14ac:dyDescent="0.3"/>
    <row r="1187" spans="1:4" hidden="1" x14ac:dyDescent="0.3">
      <c r="B1187" s="692" t="s">
        <v>884</v>
      </c>
      <c r="C1187" s="692" t="s">
        <v>888</v>
      </c>
    </row>
    <row r="1188" spans="1:4" hidden="1" x14ac:dyDescent="0.3">
      <c r="A1188" t="s">
        <v>284</v>
      </c>
      <c r="B1188">
        <v>1449</v>
      </c>
      <c r="C1188">
        <v>1480</v>
      </c>
      <c r="D1188" s="898">
        <f>C1188/B1188-1</f>
        <v>2.1394064872325647E-2</v>
      </c>
    </row>
    <row r="1189" spans="1:4" hidden="1" x14ac:dyDescent="0.3">
      <c r="A1189" t="s">
        <v>963</v>
      </c>
      <c r="B1189">
        <f>B1188-B1190</f>
        <v>916</v>
      </c>
      <c r="C1189">
        <f>C1188-C1190</f>
        <v>920</v>
      </c>
      <c r="D1189" s="898">
        <f>C1189/B1189-1</f>
        <v>4.366812227074135E-3</v>
      </c>
    </row>
    <row r="1190" spans="1:4" hidden="1" x14ac:dyDescent="0.3">
      <c r="A1190" t="s">
        <v>44</v>
      </c>
      <c r="B1190">
        <v>533</v>
      </c>
      <c r="C1190">
        <v>560</v>
      </c>
      <c r="D1190" s="898">
        <f>C1190/B1190-1</f>
        <v>5.065666041275807E-2</v>
      </c>
    </row>
    <row r="1191" spans="1:4" hidden="1" x14ac:dyDescent="0.3"/>
    <row r="1192" spans="1:4" hidden="1" x14ac:dyDescent="0.3"/>
    <row r="1193" spans="1:4" hidden="1" x14ac:dyDescent="0.3">
      <c r="C1193">
        <v>2235</v>
      </c>
    </row>
    <row r="1194" spans="1:4" hidden="1" x14ac:dyDescent="0.3">
      <c r="C1194">
        <f>-547-560</f>
        <v>-1107</v>
      </c>
    </row>
    <row r="1195" spans="1:4" hidden="1" x14ac:dyDescent="0.3">
      <c r="B1195">
        <f>526+549</f>
        <v>1075</v>
      </c>
      <c r="C1195">
        <f>SUM(C1193:C1194)</f>
        <v>1128</v>
      </c>
      <c r="D1195" s="898">
        <f>C1195/B1195-1</f>
        <v>4.9302325581395356E-2</v>
      </c>
    </row>
    <row r="1196" spans="1:4" hidden="1" x14ac:dyDescent="0.3"/>
    <row r="1197" spans="1:4" hidden="1" x14ac:dyDescent="0.3"/>
    <row r="1198" spans="1:4" hidden="1" x14ac:dyDescent="0.3"/>
    <row r="1199" spans="1:4" hidden="1" x14ac:dyDescent="0.3">
      <c r="B1199" s="692" t="s">
        <v>884</v>
      </c>
      <c r="C1199" s="692" t="s">
        <v>888</v>
      </c>
    </row>
    <row r="1200" spans="1:4" hidden="1" x14ac:dyDescent="0.3">
      <c r="A1200" t="s">
        <v>964</v>
      </c>
      <c r="B1200">
        <f>Drivers!EP186</f>
        <v>63.12</v>
      </c>
      <c r="C1200">
        <f>Drivers!EU186</f>
        <v>65.319999999999993</v>
      </c>
      <c r="D1200" s="898">
        <f>C1200/B1200-1</f>
        <v>3.4854245880861834E-2</v>
      </c>
    </row>
    <row r="1201" spans="1:4" hidden="1" x14ac:dyDescent="0.3">
      <c r="A1201" t="s">
        <v>965</v>
      </c>
      <c r="B1201" s="114">
        <v>1.34</v>
      </c>
      <c r="C1201" s="114">
        <v>0.17</v>
      </c>
      <c r="D1201" s="898"/>
    </row>
    <row r="1202" spans="1:4" hidden="1" x14ac:dyDescent="0.3">
      <c r="A1202" t="s">
        <v>966</v>
      </c>
      <c r="B1202">
        <f>SUM(B1200:B1201)</f>
        <v>64.459999999999994</v>
      </c>
      <c r="C1202">
        <f>SUM(C1200:C1201)</f>
        <v>65.489999999999995</v>
      </c>
      <c r="D1202" s="898">
        <f>C1202/B1202-1</f>
        <v>1.5978901644430721E-2</v>
      </c>
    </row>
    <row r="1203" spans="1:4" hidden="1" x14ac:dyDescent="0.3"/>
    <row r="1204" spans="1:4" x14ac:dyDescent="0.3">
      <c r="A1204" s="114"/>
      <c r="B1204" s="114"/>
      <c r="C1204" s="114"/>
    </row>
    <row r="1205" spans="1:4" x14ac:dyDescent="0.3">
      <c r="A1205" s="90"/>
      <c r="B1205" s="692" t="s">
        <v>967</v>
      </c>
      <c r="C1205" s="692" t="s">
        <v>968</v>
      </c>
    </row>
    <row r="1206" spans="1:4" x14ac:dyDescent="0.3">
      <c r="A1206" t="s">
        <v>969</v>
      </c>
      <c r="B1206">
        <v>65</v>
      </c>
      <c r="C1206" s="146">
        <f>1-C1207-C1208</f>
        <v>0.85</v>
      </c>
    </row>
    <row r="1207" spans="1:4" x14ac:dyDescent="0.3">
      <c r="A1207" t="s">
        <v>970</v>
      </c>
      <c r="B1207">
        <v>100</v>
      </c>
      <c r="C1207" s="146">
        <v>0.1</v>
      </c>
    </row>
    <row r="1208" spans="1:4" x14ac:dyDescent="0.3">
      <c r="A1208" t="s">
        <v>971</v>
      </c>
      <c r="B1208">
        <v>130</v>
      </c>
      <c r="C1208" s="146">
        <v>0.05</v>
      </c>
    </row>
    <row r="1209" spans="1:4" x14ac:dyDescent="0.3">
      <c r="C1209" s="146"/>
    </row>
    <row r="1210" spans="1:4" x14ac:dyDescent="0.3">
      <c r="A1210" s="177" t="s">
        <v>972</v>
      </c>
      <c r="B1210" s="1015">
        <f>SUMPRODUCT(B1206:B1208,C1206:C1208)</f>
        <v>71.75</v>
      </c>
    </row>
    <row r="1211" spans="1:4" x14ac:dyDescent="0.3">
      <c r="A1211" s="177" t="s">
        <v>973</v>
      </c>
      <c r="B1211" s="1227">
        <f>6*0.55</f>
        <v>3.3000000000000003</v>
      </c>
    </row>
    <row r="1212" spans="1:4" x14ac:dyDescent="0.3">
      <c r="A1212" s="177" t="s">
        <v>974</v>
      </c>
      <c r="B1212" s="1015">
        <f>SUM(B1210:B1211)</f>
        <v>75.05</v>
      </c>
    </row>
    <row r="1213" spans="1:4" x14ac:dyDescent="0.3">
      <c r="A1213" s="114"/>
      <c r="B1213" s="114"/>
      <c r="C1213" s="114"/>
    </row>
    <row r="1216" spans="1:4" x14ac:dyDescent="0.3">
      <c r="A1216" s="177" t="s">
        <v>975</v>
      </c>
      <c r="B1216" s="76">
        <f>Drivers!EU113</f>
        <v>172.44599999999991</v>
      </c>
    </row>
    <row r="1217" spans="1:7" x14ac:dyDescent="0.3">
      <c r="A1217" s="177" t="s">
        <v>976</v>
      </c>
      <c r="B1217" s="634">
        <v>0.65</v>
      </c>
    </row>
    <row r="1218" spans="1:7" x14ac:dyDescent="0.3">
      <c r="A1218" s="177" t="s">
        <v>977</v>
      </c>
      <c r="B1218" s="885">
        <f>B1216*B1217</f>
        <v>112.08989999999994</v>
      </c>
    </row>
    <row r="1219" spans="1:7" x14ac:dyDescent="0.3">
      <c r="A1219" s="94" t="s">
        <v>978</v>
      </c>
      <c r="B1219" s="1252">
        <f>B1216-B1218</f>
        <v>60.356099999999969</v>
      </c>
    </row>
    <row r="1220" spans="1:7" x14ac:dyDescent="0.3">
      <c r="A1220" s="114"/>
      <c r="B1220" s="114"/>
    </row>
    <row r="1221" spans="1:7" x14ac:dyDescent="0.3">
      <c r="A1221" s="708" t="s">
        <v>979</v>
      </c>
      <c r="B1221" s="365">
        <f>Drivers!EU112</f>
        <v>1963</v>
      </c>
    </row>
    <row r="1222" spans="1:7" x14ac:dyDescent="0.3">
      <c r="A1222" s="708" t="s">
        <v>207</v>
      </c>
      <c r="B1222" s="656">
        <f>-Drivers!EU114</f>
        <v>82.445999999999998</v>
      </c>
    </row>
    <row r="1223" spans="1:7" x14ac:dyDescent="0.3">
      <c r="A1223" s="708" t="s">
        <v>980</v>
      </c>
      <c r="B1223" s="365">
        <f>B1221-B1222</f>
        <v>1880.5540000000001</v>
      </c>
    </row>
    <row r="1224" spans="1:7" x14ac:dyDescent="0.3">
      <c r="A1224" s="144"/>
      <c r="B1224" s="144"/>
    </row>
    <row r="1225" spans="1:7" x14ac:dyDescent="0.3">
      <c r="A1225" s="708" t="s">
        <v>981</v>
      </c>
      <c r="B1225" s="1691">
        <f>B1200</f>
        <v>63.12</v>
      </c>
    </row>
    <row r="1226" spans="1:7" x14ac:dyDescent="0.3">
      <c r="A1226" s="708" t="s">
        <v>982</v>
      </c>
      <c r="B1226" s="1692">
        <f>B1225*B1230</f>
        <v>2.367</v>
      </c>
    </row>
    <row r="1227" spans="1:7" x14ac:dyDescent="0.3">
      <c r="A1227" s="708" t="s">
        <v>983</v>
      </c>
      <c r="B1227" s="1691">
        <f>SUM(B1225:B1226)</f>
        <v>65.486999999999995</v>
      </c>
      <c r="F1227" s="816"/>
      <c r="G1227" s="816"/>
    </row>
    <row r="1228" spans="1:7" x14ac:dyDescent="0.3">
      <c r="A1228" s="708" t="s">
        <v>984</v>
      </c>
      <c r="B1228" s="656">
        <f>AVERAGE(B1221,B1223)</f>
        <v>1921.777</v>
      </c>
    </row>
    <row r="1229" spans="1:7" x14ac:dyDescent="0.3">
      <c r="A1229" s="708" t="s">
        <v>985</v>
      </c>
      <c r="B1229" s="999">
        <f>B1227*B1228*3/1000</f>
        <v>377.55423119699998</v>
      </c>
    </row>
    <row r="1230" spans="1:7" x14ac:dyDescent="0.3">
      <c r="A1230" s="712" t="s">
        <v>986</v>
      </c>
      <c r="B1230" s="1695">
        <v>3.7499999999999999E-2</v>
      </c>
    </row>
    <row r="1231" spans="1:7" x14ac:dyDescent="0.3">
      <c r="A1231" s="144"/>
      <c r="B1231" s="144"/>
    </row>
    <row r="1232" spans="1:7" x14ac:dyDescent="0.3">
      <c r="A1232" s="708" t="s">
        <v>987</v>
      </c>
      <c r="B1232" s="999">
        <f>Drivers!EU199</f>
        <v>393.48768000000001</v>
      </c>
    </row>
    <row r="1233" spans="1:9" x14ac:dyDescent="0.3">
      <c r="A1233" s="708" t="s">
        <v>988</v>
      </c>
      <c r="B1233" s="873">
        <f>B1229</f>
        <v>377.55423119699998</v>
      </c>
    </row>
    <row r="1234" spans="1:9" x14ac:dyDescent="0.3">
      <c r="A1234" s="708" t="s">
        <v>989</v>
      </c>
      <c r="B1234" s="999">
        <f>B1232-B1233</f>
        <v>15.933448803000033</v>
      </c>
    </row>
    <row r="1235" spans="1:9" hidden="1" x14ac:dyDescent="0.3">
      <c r="A1235" s="708" t="s">
        <v>990</v>
      </c>
      <c r="B1235" s="873">
        <f>B1216</f>
        <v>172.44599999999991</v>
      </c>
    </row>
    <row r="1236" spans="1:9" hidden="1" x14ac:dyDescent="0.3">
      <c r="A1236" s="708" t="s">
        <v>991</v>
      </c>
      <c r="B1236" s="999">
        <f>B1234/B1235*1000/3*2</f>
        <v>61.597828897162174</v>
      </c>
    </row>
    <row r="1237" spans="1:9" x14ac:dyDescent="0.3">
      <c r="A1237" s="144"/>
      <c r="B1237" s="144"/>
    </row>
    <row r="1238" spans="1:9" x14ac:dyDescent="0.3">
      <c r="A1238" s="708" t="s">
        <v>992</v>
      </c>
      <c r="B1238" s="999">
        <f>B1218</f>
        <v>112.08989999999994</v>
      </c>
    </row>
    <row r="1239" spans="1:9" x14ac:dyDescent="0.3">
      <c r="A1239" s="708" t="s">
        <v>993</v>
      </c>
      <c r="B1239" s="1692">
        <f>B1212</f>
        <v>75.05</v>
      </c>
    </row>
    <row r="1240" spans="1:9" x14ac:dyDescent="0.3">
      <c r="A1240" s="708" t="s">
        <v>994</v>
      </c>
      <c r="B1240" s="999">
        <f>B1238*B1239*1.5/1000</f>
        <v>12.618520492499995</v>
      </c>
    </row>
    <row r="1241" spans="1:9" x14ac:dyDescent="0.3">
      <c r="A1241" s="144"/>
      <c r="B1241" s="144"/>
    </row>
    <row r="1242" spans="1:9" x14ac:dyDescent="0.3">
      <c r="A1242" s="708" t="s">
        <v>995</v>
      </c>
      <c r="B1242" s="877">
        <f>B1234</f>
        <v>15.933448803000033</v>
      </c>
    </row>
    <row r="1243" spans="1:9" x14ac:dyDescent="0.3">
      <c r="A1243" s="708" t="s">
        <v>996</v>
      </c>
      <c r="B1243" s="880">
        <f>B1240</f>
        <v>12.618520492499995</v>
      </c>
    </row>
    <row r="1244" spans="1:9" x14ac:dyDescent="0.3">
      <c r="A1244" s="708" t="s">
        <v>997</v>
      </c>
      <c r="B1244" s="877">
        <f>B1242-B1243</f>
        <v>3.3149283105000382</v>
      </c>
      <c r="G1244" s="885"/>
      <c r="H1244" s="885"/>
      <c r="I1244" s="885"/>
    </row>
    <row r="1245" spans="1:9" x14ac:dyDescent="0.3">
      <c r="A1245" s="708" t="s">
        <v>998</v>
      </c>
      <c r="B1245" s="873">
        <f>B1216-B1238</f>
        <v>60.356099999999969</v>
      </c>
      <c r="E1245" s="146"/>
      <c r="F1245" s="885"/>
      <c r="G1245" s="885"/>
      <c r="H1245" s="885"/>
      <c r="I1245" s="885"/>
    </row>
    <row r="1246" spans="1:9" x14ac:dyDescent="0.3">
      <c r="A1246" s="708" t="s">
        <v>999</v>
      </c>
      <c r="B1246" s="1691">
        <f>B1244/B1245*1000/3*2</f>
        <v>36.615225420463325</v>
      </c>
      <c r="E1246" s="146"/>
      <c r="F1246" s="885"/>
      <c r="G1246" s="885"/>
      <c r="H1246" s="885"/>
      <c r="I1246" s="885"/>
    </row>
    <row r="1247" spans="1:9" x14ac:dyDescent="0.3">
      <c r="A1247" s="614"/>
      <c r="B1247" s="1485"/>
      <c r="E1247" s="146"/>
      <c r="F1247" s="885"/>
      <c r="G1247" s="885"/>
      <c r="H1247" s="885"/>
      <c r="I1247" s="885"/>
    </row>
    <row r="1248" spans="1:9" x14ac:dyDescent="0.3">
      <c r="A1248" s="708" t="s">
        <v>1000</v>
      </c>
      <c r="B1248" s="1691">
        <f>30+6*0.55</f>
        <v>33.299999999999997</v>
      </c>
      <c r="G1248" s="887"/>
      <c r="H1248" s="887"/>
      <c r="I1248" s="887"/>
    </row>
    <row r="1249" spans="1:9" x14ac:dyDescent="0.3">
      <c r="A1249" s="708" t="s">
        <v>1001</v>
      </c>
      <c r="B1249" s="1734">
        <f>45+6*0.55</f>
        <v>48.3</v>
      </c>
      <c r="D1249" s="816"/>
      <c r="G1249" s="816"/>
      <c r="H1249" s="816"/>
      <c r="I1249" s="816"/>
    </row>
    <row r="1250" spans="1:9" x14ac:dyDescent="0.3">
      <c r="A1250" s="144"/>
      <c r="B1250" s="144"/>
      <c r="D1250" s="816"/>
    </row>
    <row r="1251" spans="1:9" x14ac:dyDescent="0.3">
      <c r="A1251" s="708" t="s">
        <v>1002</v>
      </c>
      <c r="B1251" s="146">
        <f>1-B1217-B1252</f>
        <v>0.27264474018918899</v>
      </c>
      <c r="C1251" s="816"/>
      <c r="D1251" s="816"/>
    </row>
    <row r="1252" spans="1:9" x14ac:dyDescent="0.3">
      <c r="A1252" s="708" t="s">
        <v>1003</v>
      </c>
      <c r="B1252" s="1002">
        <f>(B1246-B1248)/(B1249-B1248)*(1-B1217)</f>
        <v>7.7355259810810983E-2</v>
      </c>
      <c r="C1252" s="816"/>
      <c r="D1252" s="816"/>
    </row>
    <row r="1253" spans="1:9" x14ac:dyDescent="0.3">
      <c r="A1253" s="708" t="s">
        <v>1004</v>
      </c>
      <c r="B1253" s="1002">
        <f>B1217</f>
        <v>0.65</v>
      </c>
      <c r="C1253" s="816"/>
      <c r="D1253" s="816"/>
    </row>
    <row r="1254" spans="1:9" x14ac:dyDescent="0.3">
      <c r="A1254" s="708"/>
      <c r="B1254" s="877"/>
      <c r="D1254" s="816"/>
    </row>
    <row r="1255" spans="1:9" x14ac:dyDescent="0.3">
      <c r="A1255" s="708" t="s">
        <v>1005</v>
      </c>
      <c r="B1255" s="877">
        <f>B1216*B1251</f>
        <v>47.016494866664864</v>
      </c>
      <c r="D1255" s="816"/>
      <c r="G1255" s="887"/>
    </row>
    <row r="1256" spans="1:9" x14ac:dyDescent="0.3">
      <c r="A1256" s="708" t="s">
        <v>1006</v>
      </c>
      <c r="B1256" s="877">
        <f>B1252*B1216</f>
        <v>13.339605133335104</v>
      </c>
      <c r="D1256" s="816"/>
    </row>
    <row r="1257" spans="1:9" x14ac:dyDescent="0.3">
      <c r="A1257" s="708" t="s">
        <v>1007</v>
      </c>
      <c r="B1257" s="880">
        <f>B1258-B1255-B1256</f>
        <v>112.08989999999996</v>
      </c>
      <c r="D1257" s="816"/>
    </row>
    <row r="1258" spans="1:9" x14ac:dyDescent="0.3">
      <c r="A1258" s="708" t="s">
        <v>1008</v>
      </c>
      <c r="B1258" s="877">
        <f>B1216</f>
        <v>172.44599999999991</v>
      </c>
      <c r="D1258" s="816"/>
    </row>
    <row r="1259" spans="1:9" hidden="1" x14ac:dyDescent="0.3">
      <c r="A1259" s="144"/>
      <c r="B1259" s="144"/>
    </row>
    <row r="1260" spans="1:9" hidden="1" x14ac:dyDescent="0.3">
      <c r="A1260" s="708" t="s">
        <v>1009</v>
      </c>
      <c r="B1260" s="877">
        <f>B1238</f>
        <v>112.08989999999994</v>
      </c>
    </row>
    <row r="1261" spans="1:9" hidden="1" x14ac:dyDescent="0.3">
      <c r="A1261" s="708" t="s">
        <v>1010</v>
      </c>
      <c r="B1261" s="880">
        <f>B1247</f>
        <v>0</v>
      </c>
    </row>
    <row r="1262" spans="1:9" hidden="1" x14ac:dyDescent="0.3">
      <c r="A1262" s="708" t="s">
        <v>1008</v>
      </c>
      <c r="B1262" s="877">
        <f>SUM(B1260:B1261)</f>
        <v>112.08989999999994</v>
      </c>
    </row>
    <row r="1263" spans="1:9" hidden="1" x14ac:dyDescent="0.3">
      <c r="A1263" s="614" t="s">
        <v>1011</v>
      </c>
      <c r="B1263" s="884">
        <f>B1260/B1262</f>
        <v>1</v>
      </c>
      <c r="D1263" s="146">
        <f>B1263-B1217</f>
        <v>0.35</v>
      </c>
    </row>
    <row r="1264" spans="1:9" hidden="1" x14ac:dyDescent="0.3">
      <c r="A1264" s="614" t="s">
        <v>1012</v>
      </c>
      <c r="B1264" s="884">
        <f>1-B1263</f>
        <v>0</v>
      </c>
    </row>
    <row r="1265" spans="1:3" x14ac:dyDescent="0.3">
      <c r="A1265" s="494"/>
      <c r="B1265" s="494"/>
    </row>
    <row r="1267" spans="1:3" x14ac:dyDescent="0.3">
      <c r="A1267" s="114"/>
      <c r="B1267" s="114"/>
      <c r="C1267" s="114"/>
    </row>
    <row r="1268" spans="1:3" x14ac:dyDescent="0.3">
      <c r="B1268" s="522" t="s">
        <v>1013</v>
      </c>
      <c r="C1268" s="522" t="s">
        <v>1014</v>
      </c>
    </row>
    <row r="1269" spans="1:3" x14ac:dyDescent="0.3">
      <c r="A1269" t="s">
        <v>1015</v>
      </c>
      <c r="B1269" s="885">
        <f>B1218</f>
        <v>112.08989999999994</v>
      </c>
      <c r="C1269" s="885">
        <f>B1216</f>
        <v>172.44599999999991</v>
      </c>
    </row>
    <row r="1270" spans="1:3" x14ac:dyDescent="0.3">
      <c r="A1270" t="s">
        <v>1016</v>
      </c>
      <c r="B1270" s="901">
        <f>C1269-B1269</f>
        <v>60.356099999999969</v>
      </c>
      <c r="C1270" s="901">
        <v>0</v>
      </c>
    </row>
    <row r="1271" spans="1:3" x14ac:dyDescent="0.3">
      <c r="A1271" t="s">
        <v>1017</v>
      </c>
      <c r="B1271" s="885">
        <f>SUM(B1269:B1270)</f>
        <v>172.44599999999991</v>
      </c>
      <c r="C1271" s="885">
        <f>SUM(C1269:C1270)</f>
        <v>172.44599999999991</v>
      </c>
    </row>
    <row r="1273" spans="1:3" x14ac:dyDescent="0.3">
      <c r="A1273" t="s">
        <v>1018</v>
      </c>
      <c r="B1273" s="890">
        <f>B1269/B1271</f>
        <v>0.65</v>
      </c>
      <c r="C1273" s="890">
        <f>C1269/C1271</f>
        <v>1</v>
      </c>
    </row>
    <row r="1274" spans="1:3" x14ac:dyDescent="0.3">
      <c r="A1274" t="s">
        <v>1019</v>
      </c>
      <c r="B1274" s="890">
        <f>1-B1273</f>
        <v>0.35</v>
      </c>
      <c r="C1274" s="890">
        <f>1-C1273</f>
        <v>0</v>
      </c>
    </row>
    <row r="1276" spans="1:3" x14ac:dyDescent="0.3">
      <c r="A1276" t="s">
        <v>1020</v>
      </c>
      <c r="B1276" s="816">
        <f>C1276</f>
        <v>75.05</v>
      </c>
      <c r="C1276" s="816">
        <f>B1212</f>
        <v>75.05</v>
      </c>
    </row>
    <row r="1277" spans="1:3" x14ac:dyDescent="0.3">
      <c r="A1277" s="90" t="s">
        <v>1021</v>
      </c>
      <c r="B1277" s="1224">
        <f>B1281/B1270*1000/3*2</f>
        <v>36.615225420463325</v>
      </c>
      <c r="C1277" s="1224">
        <f>B1277</f>
        <v>36.615225420463325</v>
      </c>
    </row>
    <row r="1279" spans="1:3" x14ac:dyDescent="0.3">
      <c r="A1279" t="s">
        <v>1022</v>
      </c>
      <c r="B1279" s="887">
        <f>C1279</f>
        <v>377.55423119699998</v>
      </c>
      <c r="C1279" s="887">
        <f>B1229</f>
        <v>377.55423119699998</v>
      </c>
    </row>
    <row r="1280" spans="1:3" x14ac:dyDescent="0.3">
      <c r="A1280" t="s">
        <v>1023</v>
      </c>
      <c r="B1280" s="885">
        <f>B1269*B1276/1000*3/2</f>
        <v>12.618520492499995</v>
      </c>
      <c r="C1280" s="885">
        <f>C1269*C1276/1000*3/2</f>
        <v>19.413108449999989</v>
      </c>
    </row>
    <row r="1281" spans="1:9" x14ac:dyDescent="0.3">
      <c r="A1281" t="s">
        <v>1024</v>
      </c>
      <c r="B1281" s="901">
        <f>B1282-B1279-B1280</f>
        <v>3.3149283105000382</v>
      </c>
      <c r="C1281" s="901">
        <f>C1270*C1277/1000*3/2</f>
        <v>0</v>
      </c>
    </row>
    <row r="1282" spans="1:9" x14ac:dyDescent="0.3">
      <c r="A1282" t="s">
        <v>651</v>
      </c>
      <c r="B1282" s="887">
        <f>B1232</f>
        <v>393.48768000000001</v>
      </c>
      <c r="C1282" s="887">
        <f>SUM(C1279:C1281)</f>
        <v>396.96733964699996</v>
      </c>
    </row>
    <row r="1283" spans="1:9" x14ac:dyDescent="0.3">
      <c r="A1283" s="177" t="s">
        <v>1025</v>
      </c>
      <c r="B1283" s="104">
        <f>Drivers!EU180</f>
        <v>2008</v>
      </c>
      <c r="C1283" s="104">
        <f>Drivers!EU180</f>
        <v>2008</v>
      </c>
    </row>
    <row r="1284" spans="1:9" x14ac:dyDescent="0.3">
      <c r="A1284" s="177" t="s">
        <v>1026</v>
      </c>
      <c r="B1284" s="816">
        <f>B1282/B1283*1000/3</f>
        <v>65.320000000000007</v>
      </c>
      <c r="C1284" s="816">
        <f>C1282/C1283*1000/3</f>
        <v>65.89763274352589</v>
      </c>
    </row>
    <row r="1285" spans="1:9" x14ac:dyDescent="0.3">
      <c r="A1285" s="141" t="s">
        <v>624</v>
      </c>
      <c r="B1285" s="1169">
        <f>B1284/Drivers!EP186-1</f>
        <v>3.4854245880862056E-2</v>
      </c>
      <c r="C1285" s="1169">
        <f>C1284/Drivers!EP186-1</f>
        <v>4.4005588458901901E-2</v>
      </c>
    </row>
    <row r="1286" spans="1:9" x14ac:dyDescent="0.3">
      <c r="A1286" s="114"/>
      <c r="B1286" s="114"/>
      <c r="C1286" s="114"/>
    </row>
    <row r="1289" spans="1:9" x14ac:dyDescent="0.3">
      <c r="B1289" s="692" t="s">
        <v>883</v>
      </c>
      <c r="C1289" s="692" t="s">
        <v>884</v>
      </c>
      <c r="D1289" s="692" t="s">
        <v>885</v>
      </c>
      <c r="E1289" s="692" t="s">
        <v>886</v>
      </c>
      <c r="F1289" s="692" t="s">
        <v>887</v>
      </c>
      <c r="G1289" s="692" t="s">
        <v>888</v>
      </c>
      <c r="H1289" s="692" t="s">
        <v>1027</v>
      </c>
      <c r="I1289" s="692" t="s">
        <v>1028</v>
      </c>
    </row>
    <row r="1290" spans="1:9" x14ac:dyDescent="0.3">
      <c r="A1290" t="s">
        <v>1029</v>
      </c>
      <c r="B1290" s="76">
        <f>Drivers!EO180</f>
        <v>1617</v>
      </c>
      <c r="C1290" s="76">
        <f>Drivers!EP180</f>
        <v>1690.5</v>
      </c>
      <c r="D1290" s="76">
        <f>Drivers!EQ180</f>
        <v>1759.5</v>
      </c>
      <c r="E1290" s="76">
        <f>Drivers!ER180</f>
        <v>1837.5</v>
      </c>
      <c r="F1290" s="76">
        <f>Drivers!ET180</f>
        <v>1920.5</v>
      </c>
      <c r="G1290" s="76">
        <f>Drivers!EU180</f>
        <v>2008</v>
      </c>
      <c r="H1290" s="76">
        <f>Drivers!EV180</f>
        <v>2105</v>
      </c>
      <c r="I1290" s="76">
        <f>Drivers!EW180</f>
        <v>2203</v>
      </c>
    </row>
    <row r="1291" spans="1:9" x14ac:dyDescent="0.3">
      <c r="A1291" s="177" t="s">
        <v>213</v>
      </c>
      <c r="B1291" s="1227">
        <f>Drivers!EO186</f>
        <v>61.44</v>
      </c>
      <c r="C1291" s="1227">
        <f>Drivers!EP186</f>
        <v>63.12</v>
      </c>
      <c r="D1291" s="1227">
        <f>Drivers!EQ186</f>
        <v>64.489999999999995</v>
      </c>
      <c r="E1291" s="1227">
        <f>Drivers!ER186</f>
        <v>64.16</v>
      </c>
      <c r="F1291" s="1227">
        <f>Drivers!ET186</f>
        <v>65.180000000000007</v>
      </c>
      <c r="G1291" s="1227">
        <f>Drivers!EU186</f>
        <v>65.319999999999993</v>
      </c>
      <c r="H1291" s="1227">
        <f>Drivers!EV186</f>
        <v>65.400000000000006</v>
      </c>
      <c r="I1291" s="1227">
        <f>Drivers!EW186</f>
        <v>65.98</v>
      </c>
    </row>
    <row r="1292" spans="1:9" x14ac:dyDescent="0.3">
      <c r="A1292" s="177" t="s">
        <v>1030</v>
      </c>
      <c r="B1292" s="887">
        <f>B1290*B1291*3/1000</f>
        <v>298.04543999999999</v>
      </c>
      <c r="C1292" s="887">
        <f t="shared" ref="C1292:I1292" si="391">C1290*C1291*3/1000</f>
        <v>320.11308000000002</v>
      </c>
      <c r="D1292" s="887">
        <f t="shared" si="391"/>
        <v>340.41046499999999</v>
      </c>
      <c r="E1292" s="887">
        <f t="shared" si="391"/>
        <v>353.68200000000002</v>
      </c>
      <c r="F1292" s="887">
        <f t="shared" si="391"/>
        <v>375.53457000000009</v>
      </c>
      <c r="G1292" s="887">
        <f t="shared" si="391"/>
        <v>393.48768000000001</v>
      </c>
      <c r="H1292" s="887">
        <f t="shared" si="391"/>
        <v>413.00099999999998</v>
      </c>
      <c r="I1292" s="887">
        <f t="shared" si="391"/>
        <v>436.06182000000001</v>
      </c>
    </row>
    <row r="1294" spans="1:9" x14ac:dyDescent="0.3">
      <c r="B1294" s="692" t="s">
        <v>1031</v>
      </c>
      <c r="C1294" s="692" t="s">
        <v>1032</v>
      </c>
      <c r="D1294" s="692" t="s">
        <v>1033</v>
      </c>
      <c r="E1294" s="692" t="s">
        <v>1034</v>
      </c>
    </row>
    <row r="1295" spans="1:9" x14ac:dyDescent="0.3">
      <c r="A1295" t="s">
        <v>1029</v>
      </c>
      <c r="B1295" s="76">
        <f>AVERAGE(B1290:C1290)</f>
        <v>1653.75</v>
      </c>
      <c r="C1295" s="76">
        <f>AVERAGE(D1290:E1290)</f>
        <v>1798.5</v>
      </c>
      <c r="D1295" s="76">
        <f>AVERAGE(F1290:G1290)</f>
        <v>1964.25</v>
      </c>
      <c r="E1295" s="76">
        <f>AVERAGE(H1290:I1290)</f>
        <v>2154</v>
      </c>
    </row>
    <row r="1296" spans="1:9" x14ac:dyDescent="0.3">
      <c r="A1296" s="177" t="s">
        <v>213</v>
      </c>
      <c r="B1296" s="1422">
        <f>B1297/B1295*1000/6</f>
        <v>62.298666666666662</v>
      </c>
      <c r="C1296" s="1422">
        <f t="shared" ref="C1296:E1296" si="392">C1297/C1295*1000/6</f>
        <v>64.321422018348613</v>
      </c>
      <c r="D1296" s="1422">
        <f t="shared" si="392"/>
        <v>65.251559119256726</v>
      </c>
      <c r="E1296" s="1422">
        <f t="shared" si="392"/>
        <v>65.696597028783657</v>
      </c>
    </row>
    <row r="1297" spans="1:5" x14ac:dyDescent="0.3">
      <c r="A1297" s="177" t="s">
        <v>1030</v>
      </c>
      <c r="B1297" s="887">
        <f>B1292+C1292</f>
        <v>618.15851999999995</v>
      </c>
      <c r="C1297" s="887">
        <f>D1292+E1292</f>
        <v>694.09246499999995</v>
      </c>
      <c r="D1297" s="887">
        <f>F1292+G1292</f>
        <v>769.0222500000001</v>
      </c>
      <c r="E1297" s="887">
        <f>I1292+H1292</f>
        <v>849.06281999999999</v>
      </c>
    </row>
    <row r="1299" spans="1:5" x14ac:dyDescent="0.3">
      <c r="A1299" s="177" t="s">
        <v>1035</v>
      </c>
      <c r="D1299" s="885">
        <f>(D1295-B1295)*B1296*6/1000</f>
        <v>116.06241599999998</v>
      </c>
      <c r="E1299" s="885">
        <f>(E1295-C1295)*C1296*6/1000</f>
        <v>137.19759316513759</v>
      </c>
    </row>
    <row r="1300" spans="1:5" x14ac:dyDescent="0.3">
      <c r="A1300" s="177" t="s">
        <v>1036</v>
      </c>
      <c r="D1300" s="901">
        <f>(D1296-B1296)*D1295*6/1000</f>
        <v>34.80131400000019</v>
      </c>
      <c r="E1300" s="901">
        <f>(E1296-C1296)*E1295*6/1000</f>
        <v>17.772761834862504</v>
      </c>
    </row>
    <row r="1301" spans="1:5" x14ac:dyDescent="0.3">
      <c r="A1301" s="177" t="s">
        <v>1037</v>
      </c>
      <c r="D1301" s="885">
        <f>D1297-B1297</f>
        <v>150.86373000000015</v>
      </c>
      <c r="E1301" s="887">
        <f>E1297-C1297</f>
        <v>154.97035500000004</v>
      </c>
    </row>
    <row r="1304" spans="1:5" x14ac:dyDescent="0.3">
      <c r="A1304" s="177" t="s">
        <v>1038</v>
      </c>
      <c r="D1304" s="887">
        <f>D1300</f>
        <v>34.80131400000019</v>
      </c>
      <c r="E1304" s="887">
        <f>E1300</f>
        <v>17.772761834862504</v>
      </c>
    </row>
    <row r="1305" spans="1:5" x14ac:dyDescent="0.3">
      <c r="A1305" s="177" t="s">
        <v>1039</v>
      </c>
      <c r="D1305" s="104">
        <f>Drivers!EP30+Drivers!EO30</f>
        <v>1052</v>
      </c>
      <c r="E1305" s="104">
        <f>Drivers!EQ30+Drivers!ER30</f>
        <v>1075</v>
      </c>
    </row>
    <row r="1306" spans="1:5" x14ac:dyDescent="0.3">
      <c r="A1306" s="177" t="s">
        <v>1040</v>
      </c>
      <c r="D1306" s="898">
        <f>D1304/D1305</f>
        <v>3.3081096958175085E-2</v>
      </c>
      <c r="E1306" s="898">
        <f>E1304/E1305</f>
        <v>1.653280170684884E-2</v>
      </c>
    </row>
    <row r="1307" spans="1:5" x14ac:dyDescent="0.3">
      <c r="A1307" t="s">
        <v>1041</v>
      </c>
      <c r="E1307" s="231">
        <f>E1306-D1306</f>
        <v>-1.6548295251326246E-2</v>
      </c>
    </row>
    <row r="1310" spans="1:5" x14ac:dyDescent="0.3">
      <c r="B1310" s="692" t="s">
        <v>1033</v>
      </c>
      <c r="C1310" s="692" t="s">
        <v>1034</v>
      </c>
    </row>
    <row r="1311" spans="1:5" x14ac:dyDescent="0.3">
      <c r="A1311" s="177" t="s">
        <v>975</v>
      </c>
      <c r="B1311" s="76">
        <f>Drivers!ET113+Drivers!EU113</f>
        <v>327.30759999999987</v>
      </c>
      <c r="C1311" s="76">
        <f>Drivers!EV113+Drivers!EW113</f>
        <v>372.53920000000016</v>
      </c>
    </row>
    <row r="1312" spans="1:5" x14ac:dyDescent="0.3">
      <c r="A1312" s="177" t="s">
        <v>794</v>
      </c>
      <c r="B1312" s="901">
        <v>500</v>
      </c>
      <c r="C1312" s="901">
        <v>500</v>
      </c>
    </row>
    <row r="1313" spans="1:21" x14ac:dyDescent="0.3">
      <c r="A1313" t="s">
        <v>1042</v>
      </c>
      <c r="B1313" s="885">
        <f>B1311*B1312/1000</f>
        <v>163.65379999999993</v>
      </c>
      <c r="C1313" s="885">
        <f>C1311*C1312/1000</f>
        <v>186.26960000000008</v>
      </c>
    </row>
    <row r="1314" spans="1:21" x14ac:dyDescent="0.3">
      <c r="A1314" s="94" t="s">
        <v>1043</v>
      </c>
      <c r="B1314" s="94"/>
      <c r="C1314" s="943">
        <f>C1313-B1313</f>
        <v>22.615800000000149</v>
      </c>
    </row>
    <row r="1315" spans="1:21" x14ac:dyDescent="0.3">
      <c r="C1315" s="898">
        <f>C1314/E1305</f>
        <v>2.1037953488372233E-2</v>
      </c>
    </row>
    <row r="1319" spans="1:21" x14ac:dyDescent="0.3">
      <c r="B1319" s="692" t="s">
        <v>883</v>
      </c>
      <c r="C1319" s="692" t="s">
        <v>884</v>
      </c>
      <c r="D1319" s="692" t="s">
        <v>885</v>
      </c>
      <c r="E1319" s="692" t="s">
        <v>886</v>
      </c>
      <c r="F1319" s="692" t="s">
        <v>887</v>
      </c>
      <c r="G1319" s="692" t="s">
        <v>888</v>
      </c>
      <c r="H1319" s="692" t="s">
        <v>1027</v>
      </c>
      <c r="I1319" s="692" t="s">
        <v>1028</v>
      </c>
    </row>
    <row r="1320" spans="1:21" x14ac:dyDescent="0.3">
      <c r="A1320" t="s">
        <v>284</v>
      </c>
      <c r="B1320" s="885">
        <f>Drivers!EO12</f>
        <v>1440</v>
      </c>
      <c r="C1320" s="885">
        <f>Drivers!EP12</f>
        <v>1449</v>
      </c>
      <c r="D1320" s="885">
        <f>Drivers!EQ12</f>
        <v>1436</v>
      </c>
      <c r="E1320" s="885">
        <f>Drivers!ER12</f>
        <v>1426</v>
      </c>
      <c r="F1320" s="885">
        <f>Drivers!ET12</f>
        <v>1462</v>
      </c>
      <c r="G1320" s="885">
        <f>Drivers!EU12</f>
        <v>1480</v>
      </c>
      <c r="H1320" s="885">
        <f>Drivers!EV12</f>
        <v>1489</v>
      </c>
      <c r="I1320" s="885">
        <f>Drivers!EW12</f>
        <v>1506</v>
      </c>
    </row>
    <row r="1321" spans="1:21" x14ac:dyDescent="0.3">
      <c r="A1321" t="s">
        <v>963</v>
      </c>
      <c r="B1321" s="901">
        <f>B1320-B1322</f>
        <v>921</v>
      </c>
      <c r="C1321" s="901">
        <f t="shared" ref="C1321:I1321" si="393">C1320-C1322</f>
        <v>916</v>
      </c>
      <c r="D1321" s="901">
        <f t="shared" si="393"/>
        <v>910</v>
      </c>
      <c r="E1321" s="901">
        <f t="shared" si="393"/>
        <v>877</v>
      </c>
      <c r="F1321" s="901">
        <f t="shared" si="393"/>
        <v>915</v>
      </c>
      <c r="G1321" s="901">
        <f t="shared" si="393"/>
        <v>920</v>
      </c>
      <c r="H1321" s="901">
        <f t="shared" si="393"/>
        <v>940</v>
      </c>
      <c r="I1321" s="901">
        <f t="shared" si="393"/>
        <v>911</v>
      </c>
    </row>
    <row r="1322" spans="1:21" x14ac:dyDescent="0.3">
      <c r="A1322" s="90" t="s">
        <v>44</v>
      </c>
      <c r="B1322" s="900">
        <f>Drivers!EO30</f>
        <v>519</v>
      </c>
      <c r="C1322" s="900">
        <f>Drivers!EP30</f>
        <v>533</v>
      </c>
      <c r="D1322" s="900">
        <f>Drivers!EQ30</f>
        <v>526</v>
      </c>
      <c r="E1322" s="900">
        <f>Drivers!ER30</f>
        <v>549</v>
      </c>
      <c r="F1322" s="900">
        <f>Drivers!ET30</f>
        <v>547</v>
      </c>
      <c r="G1322" s="900">
        <f>Drivers!EU30</f>
        <v>560</v>
      </c>
      <c r="H1322" s="900">
        <f>Drivers!EV30</f>
        <v>549</v>
      </c>
      <c r="I1322" s="900">
        <f>Drivers!EW30</f>
        <v>595</v>
      </c>
    </row>
    <row r="1323" spans="1:21" x14ac:dyDescent="0.3">
      <c r="A1323" t="s">
        <v>1044</v>
      </c>
      <c r="F1323" s="898">
        <f>F1321/B1321-1</f>
        <v>-6.514657980456029E-3</v>
      </c>
      <c r="G1323" s="898">
        <f t="shared" ref="G1323:I1323" si="394">G1321/C1321-1</f>
        <v>4.366812227074135E-3</v>
      </c>
      <c r="H1323" s="898">
        <f t="shared" si="394"/>
        <v>3.2967032967033072E-2</v>
      </c>
      <c r="I1323" s="898">
        <f t="shared" si="394"/>
        <v>3.8768529076396829E-2</v>
      </c>
    </row>
    <row r="1327" spans="1:21" x14ac:dyDescent="0.3">
      <c r="A1327" s="1256" t="s">
        <v>1045</v>
      </c>
      <c r="B1327" s="1257"/>
      <c r="C1327" s="1257"/>
      <c r="D1327" s="1257"/>
      <c r="E1327" s="1257"/>
      <c r="F1327" s="1257"/>
      <c r="G1327" s="1257"/>
      <c r="H1327" s="1257"/>
      <c r="I1327" s="1257"/>
      <c r="J1327" s="1257"/>
      <c r="K1327" s="1257"/>
      <c r="L1327" s="1257"/>
      <c r="M1327" s="1257"/>
      <c r="N1327" s="1257"/>
      <c r="O1327" s="1257"/>
      <c r="P1327" s="1257"/>
      <c r="Q1327" s="1257"/>
      <c r="R1327" s="1257"/>
      <c r="S1327" s="1257"/>
      <c r="T1327" s="1257"/>
    </row>
    <row r="1328" spans="1:21" x14ac:dyDescent="0.3">
      <c r="A1328" s="90" t="s">
        <v>1046</v>
      </c>
      <c r="B1328" s="692" t="s">
        <v>887</v>
      </c>
      <c r="C1328" s="692" t="s">
        <v>888</v>
      </c>
      <c r="D1328" s="692" t="s">
        <v>1027</v>
      </c>
      <c r="E1328" s="692" t="s">
        <v>1028</v>
      </c>
      <c r="F1328" s="692" t="s">
        <v>1047</v>
      </c>
      <c r="G1328" s="692" t="s">
        <v>1048</v>
      </c>
      <c r="H1328" s="692" t="s">
        <v>1049</v>
      </c>
      <c r="I1328" s="692" t="s">
        <v>1050</v>
      </c>
      <c r="J1328" s="692" t="s">
        <v>1051</v>
      </c>
      <c r="K1328" s="692" t="s">
        <v>1052</v>
      </c>
      <c r="L1328" s="692" t="s">
        <v>1053</v>
      </c>
      <c r="M1328" s="692" t="s">
        <v>1054</v>
      </c>
      <c r="N1328" s="692" t="s">
        <v>1055</v>
      </c>
      <c r="O1328" s="692" t="s">
        <v>1056</v>
      </c>
      <c r="P1328" s="692" t="s">
        <v>1057</v>
      </c>
      <c r="Q1328" s="692" t="s">
        <v>1058</v>
      </c>
      <c r="R1328" s="692" t="s">
        <v>1059</v>
      </c>
      <c r="S1328" s="692" t="s">
        <v>1060</v>
      </c>
      <c r="T1328" s="692" t="s">
        <v>1061</v>
      </c>
      <c r="U1328" s="692" t="s">
        <v>1062</v>
      </c>
    </row>
    <row r="1329" spans="1:21" x14ac:dyDescent="0.3">
      <c r="A1329" t="s">
        <v>1063</v>
      </c>
      <c r="B1329" s="885">
        <f>Drivers!ET87</f>
        <v>322</v>
      </c>
      <c r="C1329" s="885">
        <f>Drivers!EU87</f>
        <v>388</v>
      </c>
      <c r="D1329" s="885">
        <f>Drivers!EV87</f>
        <v>381</v>
      </c>
      <c r="E1329" s="885">
        <f>Drivers!EW87</f>
        <v>241</v>
      </c>
      <c r="F1329" s="885">
        <f>Drivers!FC87/4</f>
        <v>325</v>
      </c>
      <c r="G1329" s="885">
        <f>F1329</f>
        <v>325</v>
      </c>
      <c r="H1329" s="885">
        <f t="shared" ref="H1329:I1329" si="395">G1329</f>
        <v>325</v>
      </c>
      <c r="I1329" s="885">
        <f t="shared" si="395"/>
        <v>325</v>
      </c>
      <c r="J1329" s="885">
        <f>I1329</f>
        <v>325</v>
      </c>
      <c r="K1329" s="885">
        <f>J1329</f>
        <v>325</v>
      </c>
      <c r="L1329" s="885">
        <f>Drivers!FD87-Analysis!J1329-Analysis!K1329-M1329</f>
        <v>224.9425</v>
      </c>
      <c r="M1329" s="885">
        <f>N1329</f>
        <v>25.057500000000001</v>
      </c>
      <c r="N1329" s="885">
        <f>Drivers!FE87/4</f>
        <v>25.057500000000001</v>
      </c>
      <c r="O1329" s="885">
        <f>N1329</f>
        <v>25.057500000000001</v>
      </c>
      <c r="P1329" s="885">
        <f t="shared" ref="P1329:Q1329" si="396">O1329</f>
        <v>25.057500000000001</v>
      </c>
      <c r="Q1329" s="885">
        <f t="shared" si="396"/>
        <v>25.057500000000001</v>
      </c>
      <c r="R1329" s="885">
        <f>Drivers!FF87/4</f>
        <v>25.308074999999999</v>
      </c>
      <c r="S1329" s="885">
        <f>R1329</f>
        <v>25.308074999999999</v>
      </c>
      <c r="T1329" s="885">
        <f t="shared" ref="T1329:U1329" si="397">S1329</f>
        <v>25.308074999999999</v>
      </c>
      <c r="U1329" s="885">
        <f t="shared" si="397"/>
        <v>25.308074999999999</v>
      </c>
    </row>
    <row r="1330" spans="1:21" x14ac:dyDescent="0.3">
      <c r="A1330" s="94" t="s">
        <v>1064</v>
      </c>
      <c r="B1330" s="943">
        <f>Drivers!ES90+Analysis!B1329</f>
        <v>6813</v>
      </c>
      <c r="C1330" s="943">
        <f>B1330+C1329</f>
        <v>7201</v>
      </c>
      <c r="D1330" s="943">
        <f t="shared" ref="D1330:U1330" si="398">C1330+D1329</f>
        <v>7582</v>
      </c>
      <c r="E1330" s="943">
        <f t="shared" si="398"/>
        <v>7823</v>
      </c>
      <c r="F1330" s="943">
        <f t="shared" si="398"/>
        <v>8148</v>
      </c>
      <c r="G1330" s="943">
        <f t="shared" si="398"/>
        <v>8473</v>
      </c>
      <c r="H1330" s="943">
        <f t="shared" si="398"/>
        <v>8798</v>
      </c>
      <c r="I1330" s="943">
        <f t="shared" si="398"/>
        <v>9123</v>
      </c>
      <c r="J1330" s="943">
        <f t="shared" si="398"/>
        <v>9448</v>
      </c>
      <c r="K1330" s="943">
        <f t="shared" si="398"/>
        <v>9773</v>
      </c>
      <c r="L1330" s="943">
        <f t="shared" si="398"/>
        <v>9997.9424999999992</v>
      </c>
      <c r="M1330" s="943">
        <f t="shared" si="398"/>
        <v>10023</v>
      </c>
      <c r="N1330" s="943">
        <f t="shared" si="398"/>
        <v>10048.057500000001</v>
      </c>
      <c r="O1330" s="943">
        <f t="shared" si="398"/>
        <v>10073.115000000002</v>
      </c>
      <c r="P1330" s="943">
        <f t="shared" si="398"/>
        <v>10098.172500000002</v>
      </c>
      <c r="Q1330" s="943">
        <f t="shared" si="398"/>
        <v>10123.230000000003</v>
      </c>
      <c r="R1330" s="943">
        <f t="shared" si="398"/>
        <v>10148.538075000004</v>
      </c>
      <c r="S1330" s="943">
        <f t="shared" si="398"/>
        <v>10173.846150000005</v>
      </c>
      <c r="T1330" s="943">
        <f t="shared" si="398"/>
        <v>10199.154225000006</v>
      </c>
      <c r="U1330" s="943">
        <f t="shared" si="398"/>
        <v>10224.462300000007</v>
      </c>
    </row>
    <row r="1332" spans="1:21" x14ac:dyDescent="0.3">
      <c r="A1332" t="s">
        <v>1065</v>
      </c>
      <c r="B1332" s="887">
        <f>Drivers!ET115</f>
        <v>1963</v>
      </c>
      <c r="C1332" s="887">
        <f>Drivers!EU115</f>
        <v>2053</v>
      </c>
      <c r="D1332" s="887">
        <f>Drivers!EV115</f>
        <v>2157</v>
      </c>
      <c r="E1332" s="887">
        <f>Drivers!EW115</f>
        <v>2249</v>
      </c>
      <c r="F1332" s="887">
        <f>E1332+F1333</f>
        <v>2352.8417875656314</v>
      </c>
      <c r="G1332" s="887">
        <f t="shared" ref="G1332:I1332" si="399">F1332+G1333</f>
        <v>2462.7919155762997</v>
      </c>
      <c r="H1332" s="887">
        <f t="shared" si="399"/>
        <v>2589.8453968330723</v>
      </c>
      <c r="I1332" s="887">
        <f t="shared" si="399"/>
        <v>2702.2388610217558</v>
      </c>
      <c r="J1332" s="887">
        <f>I1332+J1333</f>
        <v>2812.6120843201816</v>
      </c>
      <c r="K1332" s="887">
        <f t="shared" ref="K1332" si="400">J1332+K1333</f>
        <v>2929.4778501655737</v>
      </c>
      <c r="L1332" s="887">
        <f t="shared" ref="L1332" si="401">K1332+L1333</f>
        <v>3064.522735142471</v>
      </c>
      <c r="M1332" s="887">
        <f t="shared" ref="M1332" si="402">L1332+M1333</f>
        <v>3183.9855180066493</v>
      </c>
      <c r="N1332" s="887">
        <f>M1332+N1333</f>
        <v>3280.1500761481207</v>
      </c>
      <c r="O1332" s="887">
        <f t="shared" ref="O1332" si="403">N1332+O1333</f>
        <v>3381.9713730037965</v>
      </c>
      <c r="P1332" s="887">
        <f t="shared" ref="P1332" si="404">O1332+P1333</f>
        <v>3499.6315382592443</v>
      </c>
      <c r="Q1332" s="887">
        <f t="shared" ref="Q1332" si="405">P1332+Q1333</f>
        <v>3603.7155306006016</v>
      </c>
      <c r="R1332" s="887">
        <f>Q1332+R1333</f>
        <v>3674.7269108092187</v>
      </c>
      <c r="S1332" s="887">
        <f t="shared" ref="S1332" si="406">R1332+S1333</f>
        <v>3749.9154310301074</v>
      </c>
      <c r="T1332" s="887">
        <f t="shared" ref="T1332" si="407">S1332+T1333</f>
        <v>3836.7999432853562</v>
      </c>
      <c r="U1332" s="887">
        <f t="shared" ref="U1332" si="408">T1332+U1333</f>
        <v>3913.6593195111532</v>
      </c>
    </row>
    <row r="1333" spans="1:21" x14ac:dyDescent="0.3">
      <c r="A1333" s="94" t="s">
        <v>1066</v>
      </c>
      <c r="B1333" s="943">
        <f>Drivers!ET117</f>
        <v>85</v>
      </c>
      <c r="C1333" s="943">
        <f>Drivers!EU117</f>
        <v>90</v>
      </c>
      <c r="D1333" s="943">
        <f>Drivers!EV117</f>
        <v>104</v>
      </c>
      <c r="E1333" s="943">
        <f>Drivers!EW117</f>
        <v>92</v>
      </c>
      <c r="F1333" s="943">
        <f>B1333/Drivers!$EX$117*Drivers!$FC$117</f>
        <v>103.84178756563139</v>
      </c>
      <c r="G1333" s="943">
        <f>C1333/Drivers!$EX$117*Drivers!$FC$117</f>
        <v>109.95012801066854</v>
      </c>
      <c r="H1333" s="943">
        <f>D1333/Drivers!$EX$117*Drivers!$FC$117</f>
        <v>127.05348125677253</v>
      </c>
      <c r="I1333" s="943">
        <f>E1333/Drivers!$EX$117*Drivers!$FC$117</f>
        <v>112.39346418868338</v>
      </c>
      <c r="J1333" s="943">
        <f>F1333/Drivers!$FC$117*Drivers!$FD$117</f>
        <v>110.37322329842571</v>
      </c>
      <c r="K1333" s="943">
        <f>G1333/Drivers!$FC$117*Drivers!$FD$117</f>
        <v>116.86576584539195</v>
      </c>
      <c r="L1333" s="943">
        <f>H1333/Drivers!$FC$117*Drivers!$FD$117</f>
        <v>135.04488497689735</v>
      </c>
      <c r="M1333" s="943">
        <f>I1333/Drivers!$FC$117*Drivers!$FD$117</f>
        <v>119.46278286417842</v>
      </c>
      <c r="N1333" s="943">
        <f>J1333/Drivers!$FD$117*Drivers!$FE$117</f>
        <v>96.164558141471559</v>
      </c>
      <c r="O1333" s="943">
        <f>K1333/Drivers!$FD$117*Drivers!$FE$117</f>
        <v>101.82129685567577</v>
      </c>
      <c r="P1333" s="943">
        <f>L1333/Drivers!$FD$117*Drivers!$FE$117</f>
        <v>117.66016525544755</v>
      </c>
      <c r="Q1333" s="943">
        <f>M1333/Drivers!$FD$117*Drivers!$FE$117</f>
        <v>104.08399234135744</v>
      </c>
      <c r="R1333" s="943">
        <f>N1333/Drivers!$FE$117*Drivers!$FF$117</f>
        <v>71.011380208616941</v>
      </c>
      <c r="S1333" s="943">
        <f>O1333/Drivers!$FE$117*Drivers!$FF$117</f>
        <v>75.18852022088852</v>
      </c>
      <c r="T1333" s="943">
        <f>P1333/Drivers!$FE$117*Drivers!$FF$117</f>
        <v>86.884512255248964</v>
      </c>
      <c r="U1333" s="943">
        <f>Q1333/Drivers!$FE$117*Drivers!$FF$117</f>
        <v>76.859376225797149</v>
      </c>
    </row>
    <row r="1334" spans="1:21" x14ac:dyDescent="0.3">
      <c r="A1334" s="94" t="s">
        <v>696</v>
      </c>
      <c r="B1334" s="1168">
        <f>B1332/B1330</f>
        <v>0.28812564215470426</v>
      </c>
      <c r="C1334" s="1168">
        <f t="shared" ref="C1334:U1334" si="409">C1332/C1330</f>
        <v>0.28509929176503263</v>
      </c>
      <c r="D1334" s="1168">
        <f t="shared" si="409"/>
        <v>0.28448958058559748</v>
      </c>
      <c r="E1334" s="1168">
        <f t="shared" si="409"/>
        <v>0.28748561932762368</v>
      </c>
      <c r="F1334" s="1168">
        <f t="shared" si="409"/>
        <v>0.28876310598498178</v>
      </c>
      <c r="G1334" s="1168">
        <f t="shared" si="409"/>
        <v>0.29066350945076119</v>
      </c>
      <c r="H1334" s="1168">
        <f t="shared" si="409"/>
        <v>0.29436751498443647</v>
      </c>
      <c r="I1334" s="1168">
        <f t="shared" si="409"/>
        <v>0.29620068628979018</v>
      </c>
      <c r="J1334" s="1168">
        <f t="shared" si="409"/>
        <v>0.29769391239629356</v>
      </c>
      <c r="K1334" s="1168">
        <f t="shared" si="409"/>
        <v>0.29975215902645796</v>
      </c>
      <c r="L1334" s="1168">
        <f t="shared" si="409"/>
        <v>0.30651533904525569</v>
      </c>
      <c r="M1334" s="1168">
        <f t="shared" si="409"/>
        <v>0.3176679155947969</v>
      </c>
      <c r="N1334" s="1168">
        <f t="shared" si="409"/>
        <v>0.32644618884278087</v>
      </c>
      <c r="O1334" s="1168">
        <f t="shared" si="409"/>
        <v>0.33574235705675909</v>
      </c>
      <c r="P1334" s="1168">
        <f t="shared" si="409"/>
        <v>0.34656087903620614</v>
      </c>
      <c r="Q1334" s="1168">
        <f t="shared" si="409"/>
        <v>0.3559847529494638</v>
      </c>
      <c r="R1334" s="1168">
        <f t="shared" si="409"/>
        <v>0.36209421333911851</v>
      </c>
      <c r="S1334" s="1168">
        <f t="shared" si="409"/>
        <v>0.36858385469394045</v>
      </c>
      <c r="T1334" s="1168">
        <f t="shared" si="409"/>
        <v>0.37618805036604436</v>
      </c>
      <c r="U1334" s="1168">
        <f t="shared" si="409"/>
        <v>0.3827740965420891</v>
      </c>
    </row>
    <row r="1336" spans="1:21" x14ac:dyDescent="0.3">
      <c r="A1336" t="s">
        <v>1067</v>
      </c>
      <c r="B1336" s="885">
        <f>Drivers!ET30</f>
        <v>547</v>
      </c>
      <c r="C1336" s="885">
        <f>Drivers!EU30</f>
        <v>560</v>
      </c>
      <c r="D1336" s="885">
        <f>Drivers!EV30</f>
        <v>549</v>
      </c>
      <c r="E1336" s="885">
        <f>Drivers!EW30</f>
        <v>595</v>
      </c>
      <c r="F1336" s="885">
        <f>B1336/SUM($B$1336:$E$1336)*Drivers!$FC$30</f>
        <v>587.20598156850122</v>
      </c>
      <c r="G1336" s="885">
        <f>C1336/SUM($B$1336:$E$1336)*Drivers!$FC$30</f>
        <v>601.16151677945288</v>
      </c>
      <c r="H1336" s="885">
        <f>D1336/SUM($B$1336:$E$1336)*Drivers!$FC$30</f>
        <v>589.35298698557074</v>
      </c>
      <c r="I1336" s="885">
        <f>E1336/SUM($B$1336:$E$1336)*Drivers!$FC$30</f>
        <v>638.73411157816861</v>
      </c>
      <c r="J1336" s="885">
        <f>B1336/SUM($B$1336:$E$1336)*Drivers!$FD$30</f>
        <v>650.52249325633636</v>
      </c>
      <c r="K1336" s="885">
        <f>C1336/SUM($B$1336:$E$1336)*Drivers!$FD$30</f>
        <v>665.98280845255647</v>
      </c>
      <c r="L1336" s="885">
        <f>D1336/SUM($B$1336:$E$1336)*Drivers!$FD$30</f>
        <v>652.90100328652409</v>
      </c>
      <c r="M1336" s="885">
        <f>E1336/SUM($B$1336:$E$1336)*Drivers!$FD$30</f>
        <v>707.60673398084111</v>
      </c>
      <c r="N1336" s="885">
        <f>B1336/SUM($B$1336:$E$1336)*Drivers!$FE$30</f>
        <v>727.52125699427506</v>
      </c>
      <c r="O1336" s="885">
        <f>C1336/SUM($B$1336:$E$1336)*Drivers!$FE$30</f>
        <v>744.81152452795982</v>
      </c>
      <c r="P1336" s="885">
        <f>D1336/SUM($B$1336:$E$1336)*Drivers!$FE$30</f>
        <v>730.18129815330349</v>
      </c>
      <c r="Q1336" s="885">
        <f>E1336/SUM($B$1336:$E$1336)*Drivers!$FE$30</f>
        <v>791.36224481095724</v>
      </c>
      <c r="R1336" s="885">
        <f>B1336/SUM($B$1336:$E$1336)*Drivers!$FF$30</f>
        <v>795.10710540650211</v>
      </c>
      <c r="S1336" s="885">
        <f>C1336/SUM($B$1336:$E$1336)*Drivers!$FF$30</f>
        <v>814.00361796643733</v>
      </c>
      <c r="T1336" s="885">
        <f>D1336/SUM($B$1336:$E$1336)*Drivers!$FF$30</f>
        <v>798.01426118495374</v>
      </c>
      <c r="U1336" s="885">
        <f>E1336/SUM($B$1336:$E$1336)*Drivers!$FF$30</f>
        <v>864.87884408933951</v>
      </c>
    </row>
    <row r="1337" spans="1:21" x14ac:dyDescent="0.3">
      <c r="A1337" s="94" t="s">
        <v>1068</v>
      </c>
      <c r="B1337" s="94"/>
      <c r="C1337" s="94"/>
      <c r="D1337" s="94"/>
      <c r="E1337" s="943">
        <f>SUM(B1336:E1336)</f>
        <v>2251</v>
      </c>
      <c r="F1337" s="943">
        <f t="shared" ref="F1337:U1337" si="410">SUM(C1336:F1336)</f>
        <v>2291.2059815685011</v>
      </c>
      <c r="G1337" s="943">
        <f t="shared" si="410"/>
        <v>2332.3674983479541</v>
      </c>
      <c r="H1337" s="943">
        <f t="shared" si="410"/>
        <v>2372.7204853335247</v>
      </c>
      <c r="I1337" s="943">
        <f t="shared" si="410"/>
        <v>2416.4545969116934</v>
      </c>
      <c r="J1337" s="943">
        <f t="shared" si="410"/>
        <v>2479.7711085995288</v>
      </c>
      <c r="K1337" s="943">
        <f t="shared" si="410"/>
        <v>2544.5924002726324</v>
      </c>
      <c r="L1337" s="943">
        <f t="shared" si="410"/>
        <v>2608.1404165735853</v>
      </c>
      <c r="M1337" s="943">
        <f t="shared" si="410"/>
        <v>2677.013038976258</v>
      </c>
      <c r="N1337" s="943">
        <f t="shared" si="410"/>
        <v>2754.0118027141966</v>
      </c>
      <c r="O1337" s="943">
        <f t="shared" si="410"/>
        <v>2832.8405187895996</v>
      </c>
      <c r="P1337" s="943">
        <f t="shared" si="410"/>
        <v>2910.1208136563796</v>
      </c>
      <c r="Q1337" s="943">
        <f t="shared" si="410"/>
        <v>2993.8763244864958</v>
      </c>
      <c r="R1337" s="943">
        <f t="shared" si="410"/>
        <v>3061.4621728987231</v>
      </c>
      <c r="S1337" s="943">
        <f t="shared" si="410"/>
        <v>3130.6542663372002</v>
      </c>
      <c r="T1337" s="943">
        <f t="shared" si="410"/>
        <v>3198.4872293688504</v>
      </c>
      <c r="U1337" s="943">
        <f t="shared" si="410"/>
        <v>3272.0038286472327</v>
      </c>
    </row>
    <row r="1339" spans="1:21" x14ac:dyDescent="0.3">
      <c r="A1339" t="s">
        <v>1069</v>
      </c>
      <c r="B1339" s="885">
        <f>Drivers!ET580</f>
        <v>1029</v>
      </c>
      <c r="C1339" s="885">
        <f>Drivers!EU580</f>
        <v>678</v>
      </c>
      <c r="D1339" s="885">
        <f>Drivers!EV580</f>
        <v>699</v>
      </c>
      <c r="E1339" s="885">
        <f>Drivers!EW580</f>
        <v>840</v>
      </c>
      <c r="F1339" s="885">
        <f>B1339/SUM($B$1339:$E$1339)*Drivers!$FC$580</f>
        <v>1012.6577149609939</v>
      </c>
      <c r="G1339" s="885">
        <f>C1339/SUM($B$1339:$E$1339)*Drivers!$FC$580</f>
        <v>667.23219702969266</v>
      </c>
      <c r="H1339" s="885">
        <f>D1339/SUM($B$1339:$E$1339)*Drivers!$FC$580</f>
        <v>687.89868100848844</v>
      </c>
      <c r="I1339" s="885">
        <f>E1339/SUM($B$1339:$E$1339)*Drivers!$FC$580</f>
        <v>826.65935915183161</v>
      </c>
      <c r="J1339" s="885">
        <f>B1339/SUM($B$1339:$E$1339)*Drivers!$FD$580</f>
        <v>977.15958239531369</v>
      </c>
      <c r="K1339" s="885">
        <f>C1339/SUM($B$1339:$E$1339)*Drivers!$FD$580</f>
        <v>643.84275691353025</v>
      </c>
      <c r="L1339" s="885">
        <f>D1339/SUM($B$1339:$E$1339)*Drivers!$FD$580</f>
        <v>663.7847892073122</v>
      </c>
      <c r="M1339" s="885">
        <f>E1339/SUM($B$1339:$E$1339)*Drivers!$FD$580</f>
        <v>797.68129175127649</v>
      </c>
      <c r="N1339" s="885">
        <f>B1339/SUM($B$1339:$E$1339)*Drivers!$FE$580</f>
        <v>618.48466144937595</v>
      </c>
      <c r="O1339" s="885">
        <f>C1339/SUM($B$1339:$E$1339)*Drivers!$FE$580</f>
        <v>407.51467489084246</v>
      </c>
      <c r="P1339" s="885">
        <f>D1339/SUM($B$1339:$E$1339)*Drivers!$FE$580</f>
        <v>420.1368108387889</v>
      </c>
      <c r="Q1339" s="885">
        <f>E1339/SUM($B$1339:$E$1339)*Drivers!$FE$580</f>
        <v>504.88543791785793</v>
      </c>
      <c r="R1339" s="885">
        <f>B1339/SUM($B$1339:$E$1339)*Drivers!$FF$580</f>
        <v>510.72792101709979</v>
      </c>
      <c r="S1339" s="885">
        <f>C1339/SUM($B$1339:$E$1339)*Drivers!$FF$580</f>
        <v>336.51460685091706</v>
      </c>
      <c r="T1339" s="885">
        <f>D1339/SUM($B$1339:$E$1339)*Drivers!$FF$580</f>
        <v>346.9376256471844</v>
      </c>
      <c r="U1339" s="885">
        <f>E1339/SUM($B$1339:$E$1339)*Drivers!$FF$580</f>
        <v>416.9207518506937</v>
      </c>
    </row>
    <row r="1340" spans="1:21" x14ac:dyDescent="0.3">
      <c r="A1340" s="94" t="s">
        <v>1070</v>
      </c>
      <c r="B1340" s="94"/>
      <c r="C1340" s="94"/>
      <c r="D1340" s="94"/>
      <c r="E1340" s="943">
        <f>SUM(B1339:E1339)</f>
        <v>3246</v>
      </c>
      <c r="F1340" s="943">
        <f t="shared" ref="F1340" si="411">SUM(C1339:F1339)</f>
        <v>3229.6577149609939</v>
      </c>
      <c r="G1340" s="943">
        <f t="shared" ref="G1340" si="412">SUM(D1339:G1339)</f>
        <v>3218.8899119906864</v>
      </c>
      <c r="H1340" s="943">
        <f t="shared" ref="H1340" si="413">SUM(E1339:H1339)</f>
        <v>3207.7885929991749</v>
      </c>
      <c r="I1340" s="943">
        <f t="shared" ref="I1340" si="414">SUM(F1339:I1339)</f>
        <v>3194.4479521510066</v>
      </c>
      <c r="J1340" s="943">
        <f t="shared" ref="J1340" si="415">SUM(G1339:J1339)</f>
        <v>3158.9498195853266</v>
      </c>
      <c r="K1340" s="943">
        <f t="shared" ref="K1340" si="416">SUM(H1339:K1339)</f>
        <v>3135.5603794691642</v>
      </c>
      <c r="L1340" s="943">
        <f t="shared" ref="L1340" si="417">SUM(I1339:L1339)</f>
        <v>3111.4464876679876</v>
      </c>
      <c r="M1340" s="943">
        <f t="shared" ref="M1340" si="418">SUM(J1339:M1339)</f>
        <v>3082.468420267433</v>
      </c>
      <c r="N1340" s="943">
        <f t="shared" ref="N1340" si="419">SUM(K1339:N1339)</f>
        <v>2723.7934993214949</v>
      </c>
      <c r="O1340" s="943">
        <f t="shared" ref="O1340" si="420">SUM(L1339:O1339)</f>
        <v>2487.4654172988071</v>
      </c>
      <c r="P1340" s="943">
        <f t="shared" ref="P1340" si="421">SUM(M1339:P1339)</f>
        <v>2243.8174389302835</v>
      </c>
      <c r="Q1340" s="943">
        <f t="shared" ref="Q1340" si="422">SUM(N1339:Q1339)</f>
        <v>1951.0215850968652</v>
      </c>
      <c r="R1340" s="943">
        <f t="shared" ref="R1340" si="423">SUM(O1339:R1339)</f>
        <v>1843.264844664589</v>
      </c>
      <c r="S1340" s="943">
        <f t="shared" ref="S1340" si="424">SUM(P1339:S1339)</f>
        <v>1772.2647766246637</v>
      </c>
      <c r="T1340" s="943">
        <f t="shared" ref="T1340" si="425">SUM(Q1339:T1339)</f>
        <v>1699.0655914330591</v>
      </c>
      <c r="U1340" s="943">
        <f t="shared" ref="U1340" si="426">SUM(R1339:U1339)</f>
        <v>1611.100905365895</v>
      </c>
    </row>
    <row r="1342" spans="1:21" x14ac:dyDescent="0.3">
      <c r="A1342" t="s">
        <v>1071</v>
      </c>
      <c r="B1342" s="887">
        <f t="shared" ref="B1342:U1342" si="427">B1336-B1339</f>
        <v>-482</v>
      </c>
      <c r="C1342" s="887">
        <f t="shared" si="427"/>
        <v>-118</v>
      </c>
      <c r="D1342" s="887">
        <f t="shared" si="427"/>
        <v>-150</v>
      </c>
      <c r="E1342" s="887">
        <f t="shared" si="427"/>
        <v>-245</v>
      </c>
      <c r="F1342" s="887">
        <f t="shared" si="427"/>
        <v>-425.45173339249266</v>
      </c>
      <c r="G1342" s="887">
        <f t="shared" si="427"/>
        <v>-66.070680250239775</v>
      </c>
      <c r="H1342" s="887">
        <f t="shared" si="427"/>
        <v>-98.545694022917701</v>
      </c>
      <c r="I1342" s="887">
        <f t="shared" si="427"/>
        <v>-187.925247573663</v>
      </c>
      <c r="J1342" s="887">
        <f t="shared" si="427"/>
        <v>-326.63708913897733</v>
      </c>
      <c r="K1342" s="887">
        <f t="shared" si="427"/>
        <v>22.140051539026217</v>
      </c>
      <c r="L1342" s="887">
        <f t="shared" si="427"/>
        <v>-10.883785920788114</v>
      </c>
      <c r="M1342" s="887">
        <f t="shared" si="427"/>
        <v>-90.074557770435376</v>
      </c>
      <c r="N1342" s="887">
        <f t="shared" si="427"/>
        <v>109.03659554489911</v>
      </c>
      <c r="O1342" s="887">
        <f t="shared" si="427"/>
        <v>337.29684963711736</v>
      </c>
      <c r="P1342" s="887">
        <f t="shared" si="427"/>
        <v>310.04448731451458</v>
      </c>
      <c r="Q1342" s="887">
        <f t="shared" si="427"/>
        <v>286.47680689309931</v>
      </c>
      <c r="R1342" s="887">
        <f t="shared" si="427"/>
        <v>284.37918438940233</v>
      </c>
      <c r="S1342" s="887">
        <f t="shared" si="427"/>
        <v>477.48901111552027</v>
      </c>
      <c r="T1342" s="887">
        <f t="shared" si="427"/>
        <v>451.07663553776933</v>
      </c>
      <c r="U1342" s="887">
        <f t="shared" si="427"/>
        <v>447.9580922386458</v>
      </c>
    </row>
    <row r="1343" spans="1:21" x14ac:dyDescent="0.3">
      <c r="A1343" s="94" t="s">
        <v>1072</v>
      </c>
      <c r="E1343" s="943">
        <f>SUM(B1342:E1342)</f>
        <v>-995</v>
      </c>
      <c r="F1343" s="943">
        <f t="shared" ref="F1343" si="428">SUM(C1342:F1342)</f>
        <v>-938.45173339249266</v>
      </c>
      <c r="G1343" s="943">
        <f t="shared" ref="G1343" si="429">SUM(D1342:G1342)</f>
        <v>-886.52241364273243</v>
      </c>
      <c r="H1343" s="943">
        <f t="shared" ref="H1343" si="430">SUM(E1342:H1342)</f>
        <v>-835.06810766565013</v>
      </c>
      <c r="I1343" s="943">
        <f t="shared" ref="I1343" si="431">SUM(F1342:I1342)</f>
        <v>-777.99335523931313</v>
      </c>
      <c r="J1343" s="943">
        <f t="shared" ref="J1343" si="432">SUM(G1342:J1342)</f>
        <v>-679.17871098579781</v>
      </c>
      <c r="K1343" s="943">
        <f t="shared" ref="K1343" si="433">SUM(H1342:K1342)</f>
        <v>-590.96797919653181</v>
      </c>
      <c r="L1343" s="943">
        <f t="shared" ref="L1343" si="434">SUM(I1342:L1342)</f>
        <v>-503.30607109440223</v>
      </c>
      <c r="M1343" s="943">
        <f t="shared" ref="M1343" si="435">SUM(J1342:M1342)</f>
        <v>-405.4553812911746</v>
      </c>
      <c r="N1343" s="943">
        <f t="shared" ref="N1343" si="436">SUM(K1342:N1342)</f>
        <v>30.218303392701841</v>
      </c>
      <c r="O1343" s="943">
        <f t="shared" ref="O1343" si="437">SUM(L1342:O1342)</f>
        <v>345.37510149079299</v>
      </c>
      <c r="P1343" s="943">
        <f t="shared" ref="P1343" si="438">SUM(M1342:P1342)</f>
        <v>666.30337472609563</v>
      </c>
      <c r="Q1343" s="943">
        <f t="shared" ref="Q1343" si="439">SUM(N1342:Q1342)</f>
        <v>1042.8547393896304</v>
      </c>
      <c r="R1343" s="943">
        <f t="shared" ref="R1343" si="440">SUM(O1342:R1342)</f>
        <v>1218.1973282341337</v>
      </c>
      <c r="S1343" s="943">
        <f t="shared" ref="S1343" si="441">SUM(P1342:S1342)</f>
        <v>1358.3894897125365</v>
      </c>
      <c r="T1343" s="943">
        <f t="shared" ref="T1343" si="442">SUM(Q1342:T1342)</f>
        <v>1499.4216379357913</v>
      </c>
      <c r="U1343" s="943">
        <f t="shared" ref="U1343" si="443">SUM(R1342:U1342)</f>
        <v>1660.9029232813377</v>
      </c>
    </row>
    <row r="1346" spans="1:21" x14ac:dyDescent="0.3">
      <c r="A1346" s="90" t="s">
        <v>1073</v>
      </c>
      <c r="B1346" s="692" t="s">
        <v>887</v>
      </c>
      <c r="C1346" s="692" t="s">
        <v>888</v>
      </c>
      <c r="D1346" s="692" t="s">
        <v>1027</v>
      </c>
      <c r="E1346" s="692" t="s">
        <v>1028</v>
      </c>
      <c r="F1346" s="692" t="s">
        <v>1047</v>
      </c>
      <c r="G1346" s="692" t="s">
        <v>1048</v>
      </c>
      <c r="H1346" s="692" t="s">
        <v>1049</v>
      </c>
      <c r="I1346" s="692" t="s">
        <v>1050</v>
      </c>
      <c r="J1346" s="692" t="s">
        <v>1051</v>
      </c>
      <c r="K1346" s="692" t="s">
        <v>1052</v>
      </c>
      <c r="L1346" s="692" t="s">
        <v>1053</v>
      </c>
      <c r="M1346" s="692" t="s">
        <v>1054</v>
      </c>
      <c r="N1346" s="692" t="s">
        <v>1055</v>
      </c>
      <c r="O1346" s="692" t="s">
        <v>1056</v>
      </c>
      <c r="P1346" s="692" t="s">
        <v>1057</v>
      </c>
      <c r="Q1346" s="692" t="s">
        <v>1058</v>
      </c>
      <c r="R1346" s="692" t="s">
        <v>1059</v>
      </c>
      <c r="S1346" s="692" t="s">
        <v>1060</v>
      </c>
      <c r="T1346" s="692" t="s">
        <v>1061</v>
      </c>
      <c r="U1346" s="692" t="s">
        <v>1062</v>
      </c>
    </row>
    <row r="1347" spans="1:21" x14ac:dyDescent="0.3">
      <c r="A1347" t="s">
        <v>1074</v>
      </c>
      <c r="B1347" s="887">
        <f t="shared" ref="B1347:K1347" si="444">B1329</f>
        <v>322</v>
      </c>
      <c r="C1347" s="887">
        <f t="shared" si="444"/>
        <v>388</v>
      </c>
      <c r="D1347" s="887">
        <f t="shared" si="444"/>
        <v>381</v>
      </c>
      <c r="E1347" s="887">
        <f t="shared" si="444"/>
        <v>241</v>
      </c>
      <c r="F1347" s="887">
        <f t="shared" si="444"/>
        <v>325</v>
      </c>
      <c r="G1347" s="887">
        <f t="shared" si="444"/>
        <v>325</v>
      </c>
      <c r="H1347" s="887">
        <f t="shared" si="444"/>
        <v>325</v>
      </c>
      <c r="I1347" s="887">
        <f t="shared" si="444"/>
        <v>325</v>
      </c>
      <c r="J1347" s="887">
        <f t="shared" si="444"/>
        <v>325</v>
      </c>
      <c r="K1347" s="887">
        <f t="shared" si="444"/>
        <v>325</v>
      </c>
      <c r="L1347" s="887">
        <f>K1347</f>
        <v>325</v>
      </c>
      <c r="M1347" s="887">
        <f>L1347</f>
        <v>325</v>
      </c>
      <c r="N1347" s="887">
        <f t="shared" ref="N1347:Q1347" si="445">M1347</f>
        <v>325</v>
      </c>
      <c r="O1347" s="887">
        <f t="shared" si="445"/>
        <v>325</v>
      </c>
      <c r="P1347" s="887">
        <f t="shared" si="445"/>
        <v>325</v>
      </c>
      <c r="Q1347" s="887">
        <f t="shared" si="445"/>
        <v>325</v>
      </c>
      <c r="R1347" s="887">
        <f t="shared" ref="R1347:T1347" si="446">Q1347</f>
        <v>325</v>
      </c>
      <c r="S1347" s="887">
        <f t="shared" si="446"/>
        <v>325</v>
      </c>
      <c r="T1347" s="887">
        <f t="shared" si="446"/>
        <v>325</v>
      </c>
      <c r="U1347" s="887">
        <f>T1347-91</f>
        <v>234</v>
      </c>
    </row>
    <row r="1348" spans="1:21" x14ac:dyDescent="0.3">
      <c r="A1348" s="94" t="s">
        <v>1075</v>
      </c>
      <c r="B1348" s="943"/>
      <c r="C1348" s="943"/>
      <c r="D1348" s="943"/>
      <c r="E1348" s="943"/>
      <c r="F1348" s="943"/>
      <c r="G1348" s="943"/>
      <c r="H1348" s="943"/>
      <c r="I1348" s="943"/>
      <c r="J1348" s="943"/>
      <c r="K1348" s="943"/>
      <c r="L1348" s="943">
        <f>L1347-L1329</f>
        <v>100.0575</v>
      </c>
      <c r="M1348" s="943">
        <f t="shared" ref="M1348:U1348" si="447">M1347-M1329</f>
        <v>299.9425</v>
      </c>
      <c r="N1348" s="943">
        <f t="shared" si="447"/>
        <v>299.9425</v>
      </c>
      <c r="O1348" s="943">
        <f t="shared" si="447"/>
        <v>299.9425</v>
      </c>
      <c r="P1348" s="943">
        <f t="shared" si="447"/>
        <v>299.9425</v>
      </c>
      <c r="Q1348" s="943">
        <f t="shared" si="447"/>
        <v>299.9425</v>
      </c>
      <c r="R1348" s="943">
        <f t="shared" si="447"/>
        <v>299.69192500000003</v>
      </c>
      <c r="S1348" s="943">
        <f t="shared" si="447"/>
        <v>299.69192500000003</v>
      </c>
      <c r="T1348" s="943">
        <f t="shared" si="447"/>
        <v>299.69192500000003</v>
      </c>
      <c r="U1348" s="943">
        <f t="shared" si="447"/>
        <v>208.691925</v>
      </c>
    </row>
    <row r="1349" spans="1:21" x14ac:dyDescent="0.3">
      <c r="A1349" s="94" t="s">
        <v>1076</v>
      </c>
      <c r="B1349" s="943">
        <f>B1347-B1329</f>
        <v>0</v>
      </c>
      <c r="C1349" s="943">
        <f t="shared" ref="C1349:K1349" si="448">B1349+C1347-C1329</f>
        <v>0</v>
      </c>
      <c r="D1349" s="943">
        <f t="shared" si="448"/>
        <v>0</v>
      </c>
      <c r="E1349" s="943">
        <f t="shared" si="448"/>
        <v>0</v>
      </c>
      <c r="F1349" s="943">
        <f t="shared" si="448"/>
        <v>0</v>
      </c>
      <c r="G1349" s="943">
        <f t="shared" si="448"/>
        <v>0</v>
      </c>
      <c r="H1349" s="943">
        <f t="shared" si="448"/>
        <v>0</v>
      </c>
      <c r="I1349" s="943">
        <f t="shared" si="448"/>
        <v>0</v>
      </c>
      <c r="J1349" s="943">
        <f t="shared" si="448"/>
        <v>0</v>
      </c>
      <c r="K1349" s="943">
        <f t="shared" si="448"/>
        <v>0</v>
      </c>
      <c r="L1349" s="943">
        <f>L1348</f>
        <v>100.0575</v>
      </c>
      <c r="M1349" s="943">
        <f>L1349+M1348</f>
        <v>400</v>
      </c>
      <c r="N1349" s="943">
        <f t="shared" ref="N1349:U1349" si="449">M1349+N1348</f>
        <v>699.9425</v>
      </c>
      <c r="O1349" s="943">
        <f t="shared" si="449"/>
        <v>999.88499999999999</v>
      </c>
      <c r="P1349" s="943">
        <f t="shared" si="449"/>
        <v>1299.8274999999999</v>
      </c>
      <c r="Q1349" s="943">
        <f t="shared" si="449"/>
        <v>1599.77</v>
      </c>
      <c r="R1349" s="943">
        <f t="shared" si="449"/>
        <v>1899.4619250000001</v>
      </c>
      <c r="S1349" s="943">
        <f t="shared" si="449"/>
        <v>2199.1538500000001</v>
      </c>
      <c r="T1349" s="943">
        <f t="shared" si="449"/>
        <v>2498.8457750000002</v>
      </c>
      <c r="U1349" s="943">
        <f t="shared" si="449"/>
        <v>2707.5377000000003</v>
      </c>
    </row>
    <row r="1350" spans="1:21" x14ac:dyDescent="0.3">
      <c r="A1350" s="94" t="s">
        <v>1064</v>
      </c>
      <c r="B1350" s="943">
        <f>Drivers!ES90+Analysis!B1347</f>
        <v>6813</v>
      </c>
      <c r="C1350" s="943">
        <f t="shared" ref="C1350:U1350" si="450">B1350+C1347</f>
        <v>7201</v>
      </c>
      <c r="D1350" s="943">
        <f t="shared" si="450"/>
        <v>7582</v>
      </c>
      <c r="E1350" s="943">
        <f t="shared" si="450"/>
        <v>7823</v>
      </c>
      <c r="F1350" s="943">
        <f t="shared" si="450"/>
        <v>8148</v>
      </c>
      <c r="G1350" s="943">
        <f t="shared" si="450"/>
        <v>8473</v>
      </c>
      <c r="H1350" s="943">
        <f t="shared" si="450"/>
        <v>8798</v>
      </c>
      <c r="I1350" s="943">
        <f t="shared" si="450"/>
        <v>9123</v>
      </c>
      <c r="J1350" s="943">
        <f t="shared" si="450"/>
        <v>9448</v>
      </c>
      <c r="K1350" s="943">
        <f t="shared" si="450"/>
        <v>9773</v>
      </c>
      <c r="L1350" s="943">
        <f t="shared" si="450"/>
        <v>10098</v>
      </c>
      <c r="M1350" s="943">
        <f t="shared" si="450"/>
        <v>10423</v>
      </c>
      <c r="N1350" s="943">
        <f t="shared" si="450"/>
        <v>10748</v>
      </c>
      <c r="O1350" s="943">
        <f t="shared" si="450"/>
        <v>11073</v>
      </c>
      <c r="P1350" s="943">
        <f t="shared" si="450"/>
        <v>11398</v>
      </c>
      <c r="Q1350" s="943">
        <f t="shared" si="450"/>
        <v>11723</v>
      </c>
      <c r="R1350" s="943">
        <f t="shared" si="450"/>
        <v>12048</v>
      </c>
      <c r="S1350" s="943">
        <f t="shared" si="450"/>
        <v>12373</v>
      </c>
      <c r="T1350" s="943">
        <f t="shared" si="450"/>
        <v>12698</v>
      </c>
      <c r="U1350" s="943">
        <f t="shared" si="450"/>
        <v>12932</v>
      </c>
    </row>
    <row r="1352" spans="1:21" x14ac:dyDescent="0.3">
      <c r="A1352" t="s">
        <v>1077</v>
      </c>
      <c r="B1352" s="887">
        <f>B1332</f>
        <v>1963</v>
      </c>
      <c r="C1352" s="887">
        <f>B1352+C1353</f>
        <v>2053</v>
      </c>
      <c r="D1352" s="887">
        <f t="shared" ref="D1352:U1352" si="451">C1352+D1353</f>
        <v>2157</v>
      </c>
      <c r="E1352" s="887">
        <f t="shared" si="451"/>
        <v>2249</v>
      </c>
      <c r="F1352" s="887">
        <f t="shared" si="451"/>
        <v>2352.8417875656314</v>
      </c>
      <c r="G1352" s="887">
        <f t="shared" si="451"/>
        <v>2462.7919155762997</v>
      </c>
      <c r="H1352" s="887">
        <f t="shared" si="451"/>
        <v>2589.8453968330723</v>
      </c>
      <c r="I1352" s="887">
        <f t="shared" si="451"/>
        <v>2702.2388610217558</v>
      </c>
      <c r="J1352" s="887">
        <f t="shared" si="451"/>
        <v>2812.6120843201816</v>
      </c>
      <c r="K1352" s="887">
        <f t="shared" si="451"/>
        <v>2929.4778501655737</v>
      </c>
      <c r="L1352" s="887">
        <f t="shared" si="451"/>
        <v>3069.5256101424711</v>
      </c>
      <c r="M1352" s="887">
        <f t="shared" si="451"/>
        <v>3207.9878180066494</v>
      </c>
      <c r="N1352" s="887">
        <f t="shared" si="451"/>
        <v>3334.1489261481211</v>
      </c>
      <c r="O1352" s="887">
        <f t="shared" si="451"/>
        <v>3474.9650480037967</v>
      </c>
      <c r="P1352" s="887">
        <f t="shared" si="451"/>
        <v>3640.1180257592441</v>
      </c>
      <c r="Q1352" s="887">
        <f t="shared" si="451"/>
        <v>3799.1933931006015</v>
      </c>
      <c r="R1352" s="887">
        <f t="shared" si="451"/>
        <v>3932.6821820592186</v>
      </c>
      <c r="S1352" s="887">
        <f t="shared" si="451"/>
        <v>4077.8366505301069</v>
      </c>
      <c r="T1352" s="887">
        <f t="shared" si="451"/>
        <v>4242.1781562853557</v>
      </c>
      <c r="U1352" s="887">
        <f t="shared" si="451"/>
        <v>4399.4355712611532</v>
      </c>
    </row>
    <row r="1353" spans="1:21" x14ac:dyDescent="0.3">
      <c r="A1353" s="94" t="s">
        <v>1066</v>
      </c>
      <c r="B1353" s="943">
        <f>B1333</f>
        <v>85</v>
      </c>
      <c r="C1353" s="943">
        <f t="shared" ref="C1353:K1353" si="452">C1333</f>
        <v>90</v>
      </c>
      <c r="D1353" s="943">
        <f t="shared" si="452"/>
        <v>104</v>
      </c>
      <c r="E1353" s="943">
        <f t="shared" si="452"/>
        <v>92</v>
      </c>
      <c r="F1353" s="943">
        <f t="shared" si="452"/>
        <v>103.84178756563139</v>
      </c>
      <c r="G1353" s="943">
        <f t="shared" si="452"/>
        <v>109.95012801066854</v>
      </c>
      <c r="H1353" s="943">
        <f t="shared" si="452"/>
        <v>127.05348125677253</v>
      </c>
      <c r="I1353" s="943">
        <f t="shared" si="452"/>
        <v>112.39346418868338</v>
      </c>
      <c r="J1353" s="943">
        <f t="shared" si="452"/>
        <v>110.37322329842571</v>
      </c>
      <c r="K1353" s="943">
        <f t="shared" si="452"/>
        <v>116.86576584539195</v>
      </c>
      <c r="L1353" s="943">
        <f>L1333+L1354</f>
        <v>140.04775997689734</v>
      </c>
      <c r="M1353" s="943">
        <f t="shared" ref="M1353:U1353" si="453">M1333+M1354</f>
        <v>138.46220786417842</v>
      </c>
      <c r="N1353" s="943">
        <f t="shared" si="453"/>
        <v>126.16110814147157</v>
      </c>
      <c r="O1353" s="943">
        <f t="shared" si="453"/>
        <v>140.81612185567576</v>
      </c>
      <c r="P1353" s="943">
        <f t="shared" si="453"/>
        <v>165.15297775544758</v>
      </c>
      <c r="Q1353" s="943">
        <f t="shared" si="453"/>
        <v>159.07536734135743</v>
      </c>
      <c r="R1353" s="943">
        <f t="shared" si="453"/>
        <v>133.48878895861694</v>
      </c>
      <c r="S1353" s="943">
        <f t="shared" si="453"/>
        <v>145.15446847088845</v>
      </c>
      <c r="T1353" s="943">
        <f t="shared" si="453"/>
        <v>164.34150575524899</v>
      </c>
      <c r="U1353" s="943">
        <f t="shared" si="453"/>
        <v>157.2574149757971</v>
      </c>
    </row>
    <row r="1354" spans="1:21" x14ac:dyDescent="0.3">
      <c r="A1354" s="94" t="s">
        <v>1078</v>
      </c>
      <c r="B1354" s="943">
        <f t="shared" ref="B1354:K1354" si="454">B1353-B1333</f>
        <v>0</v>
      </c>
      <c r="C1354" s="943">
        <f t="shared" si="454"/>
        <v>0</v>
      </c>
      <c r="D1354" s="943">
        <f t="shared" si="454"/>
        <v>0</v>
      </c>
      <c r="E1354" s="943">
        <f t="shared" si="454"/>
        <v>0</v>
      </c>
      <c r="F1354" s="943">
        <f t="shared" si="454"/>
        <v>0</v>
      </c>
      <c r="G1354" s="943">
        <f t="shared" si="454"/>
        <v>0</v>
      </c>
      <c r="H1354" s="943">
        <f t="shared" si="454"/>
        <v>0</v>
      </c>
      <c r="I1354" s="943">
        <f t="shared" si="454"/>
        <v>0</v>
      </c>
      <c r="J1354" s="943">
        <f t="shared" si="454"/>
        <v>0</v>
      </c>
      <c r="K1354" s="943">
        <f t="shared" si="454"/>
        <v>0</v>
      </c>
      <c r="L1354" s="943">
        <f>L1355-K1355</f>
        <v>5.0028750000000004</v>
      </c>
      <c r="M1354" s="943">
        <f t="shared" ref="M1354:U1354" si="455">M1355-L1355</f>
        <v>18.999424999999999</v>
      </c>
      <c r="N1354" s="943">
        <f t="shared" si="455"/>
        <v>29.996550000000006</v>
      </c>
      <c r="O1354" s="943">
        <f t="shared" si="455"/>
        <v>38.994824999999992</v>
      </c>
      <c r="P1354" s="943">
        <f t="shared" si="455"/>
        <v>47.492812500000014</v>
      </c>
      <c r="Q1354" s="943">
        <f t="shared" si="455"/>
        <v>54.991375000000005</v>
      </c>
      <c r="R1354" s="943">
        <f t="shared" si="455"/>
        <v>62.477408749999995</v>
      </c>
      <c r="S1354" s="943">
        <f t="shared" si="455"/>
        <v>69.96594824999994</v>
      </c>
      <c r="T1354" s="943">
        <f t="shared" si="455"/>
        <v>77.45699350000001</v>
      </c>
      <c r="U1354" s="943">
        <f t="shared" si="455"/>
        <v>80.398038749999955</v>
      </c>
    </row>
    <row r="1355" spans="1:21" x14ac:dyDescent="0.3">
      <c r="A1355" s="94" t="s">
        <v>1079</v>
      </c>
      <c r="B1355" s="943">
        <f>B1354</f>
        <v>0</v>
      </c>
      <c r="C1355" s="943">
        <f>B1355+C1354</f>
        <v>0</v>
      </c>
      <c r="D1355" s="943">
        <f t="shared" ref="D1355:K1355" si="456">C1355+D1354</f>
        <v>0</v>
      </c>
      <c r="E1355" s="943">
        <f t="shared" si="456"/>
        <v>0</v>
      </c>
      <c r="F1355" s="943">
        <f t="shared" si="456"/>
        <v>0</v>
      </c>
      <c r="G1355" s="943">
        <f t="shared" si="456"/>
        <v>0</v>
      </c>
      <c r="H1355" s="943">
        <f t="shared" si="456"/>
        <v>0</v>
      </c>
      <c r="I1355" s="943">
        <f t="shared" si="456"/>
        <v>0</v>
      </c>
      <c r="J1355" s="943">
        <f t="shared" si="456"/>
        <v>0</v>
      </c>
      <c r="K1355" s="943">
        <f t="shared" si="456"/>
        <v>0</v>
      </c>
      <c r="L1355" s="943">
        <f>L1381</f>
        <v>5.0028750000000004</v>
      </c>
      <c r="M1355" s="943">
        <f t="shared" ref="M1355:U1355" si="457">M1381</f>
        <v>24.002299999999998</v>
      </c>
      <c r="N1355" s="943">
        <f t="shared" si="457"/>
        <v>53.998850000000004</v>
      </c>
      <c r="O1355" s="943">
        <f t="shared" si="457"/>
        <v>92.993674999999996</v>
      </c>
      <c r="P1355" s="943">
        <f t="shared" si="457"/>
        <v>140.48648750000001</v>
      </c>
      <c r="Q1355" s="943">
        <f t="shared" si="457"/>
        <v>195.47786250000001</v>
      </c>
      <c r="R1355" s="943">
        <f t="shared" si="457"/>
        <v>257.95527125000001</v>
      </c>
      <c r="S1355" s="943">
        <f t="shared" si="457"/>
        <v>327.92121949999995</v>
      </c>
      <c r="T1355" s="943">
        <f t="shared" si="457"/>
        <v>405.37821299999996</v>
      </c>
      <c r="U1355" s="943">
        <f t="shared" si="457"/>
        <v>485.77625174999991</v>
      </c>
    </row>
    <row r="1356" spans="1:21" x14ac:dyDescent="0.3">
      <c r="A1356" s="94" t="s">
        <v>696</v>
      </c>
      <c r="B1356" s="1168">
        <f>B1352/B1350</f>
        <v>0.28812564215470426</v>
      </c>
      <c r="C1356" s="1168">
        <f t="shared" ref="C1356:U1356" si="458">C1352/C1350</f>
        <v>0.28509929176503263</v>
      </c>
      <c r="D1356" s="1168">
        <f t="shared" si="458"/>
        <v>0.28448958058559748</v>
      </c>
      <c r="E1356" s="1168">
        <f t="shared" si="458"/>
        <v>0.28748561932762368</v>
      </c>
      <c r="F1356" s="1168">
        <f t="shared" si="458"/>
        <v>0.28876310598498178</v>
      </c>
      <c r="G1356" s="1168">
        <f t="shared" si="458"/>
        <v>0.29066350945076119</v>
      </c>
      <c r="H1356" s="1168">
        <f t="shared" si="458"/>
        <v>0.29436751498443647</v>
      </c>
      <c r="I1356" s="1168">
        <f t="shared" si="458"/>
        <v>0.29620068628979018</v>
      </c>
      <c r="J1356" s="1168">
        <f t="shared" si="458"/>
        <v>0.29769391239629356</v>
      </c>
      <c r="K1356" s="1168">
        <f t="shared" si="458"/>
        <v>0.29975215902645796</v>
      </c>
      <c r="L1356" s="1168">
        <f t="shared" si="458"/>
        <v>0.30397361954272839</v>
      </c>
      <c r="M1356" s="1168">
        <f t="shared" si="458"/>
        <v>0.30777970047075215</v>
      </c>
      <c r="N1356" s="1168">
        <f t="shared" si="458"/>
        <v>0.31021110217232239</v>
      </c>
      <c r="O1356" s="1168">
        <f t="shared" si="458"/>
        <v>0.3138232681300277</v>
      </c>
      <c r="P1356" s="1168">
        <f t="shared" si="458"/>
        <v>0.31936462763285173</v>
      </c>
      <c r="Q1356" s="1168">
        <f t="shared" si="458"/>
        <v>0.32408030308799807</v>
      </c>
      <c r="R1356" s="1168">
        <f t="shared" si="458"/>
        <v>0.32641784379641586</v>
      </c>
      <c r="S1356" s="1168">
        <f t="shared" si="458"/>
        <v>0.32957541829225789</v>
      </c>
      <c r="T1356" s="1168">
        <f t="shared" si="458"/>
        <v>0.33408238748506502</v>
      </c>
      <c r="U1356" s="1168">
        <f t="shared" si="458"/>
        <v>0.34019761608886123</v>
      </c>
    </row>
    <row r="1358" spans="1:21" x14ac:dyDescent="0.3">
      <c r="A1358" s="90" t="s">
        <v>270</v>
      </c>
    </row>
    <row r="1359" spans="1:21" x14ac:dyDescent="0.3">
      <c r="A1359" t="s">
        <v>1080</v>
      </c>
      <c r="L1359" s="910">
        <v>0.05</v>
      </c>
      <c r="M1359" s="890">
        <f>L1359</f>
        <v>0.05</v>
      </c>
      <c r="N1359" s="890">
        <f t="shared" ref="N1359:U1367" si="459">M1359</f>
        <v>0.05</v>
      </c>
      <c r="O1359" s="890">
        <f t="shared" si="459"/>
        <v>0.05</v>
      </c>
      <c r="P1359" s="890">
        <f t="shared" si="459"/>
        <v>0.05</v>
      </c>
      <c r="Q1359" s="890">
        <f t="shared" si="459"/>
        <v>0.05</v>
      </c>
      <c r="R1359" s="890">
        <f t="shared" si="459"/>
        <v>0.05</v>
      </c>
      <c r="S1359" s="890">
        <f t="shared" si="459"/>
        <v>0.05</v>
      </c>
      <c r="T1359" s="890">
        <f t="shared" si="459"/>
        <v>0.05</v>
      </c>
      <c r="U1359" s="890">
        <f t="shared" si="459"/>
        <v>0.05</v>
      </c>
    </row>
    <row r="1360" spans="1:21" x14ac:dyDescent="0.3">
      <c r="A1360" t="s">
        <v>1081</v>
      </c>
      <c r="L1360" s="890"/>
      <c r="M1360" s="910">
        <f>L1359+4%</f>
        <v>0.09</v>
      </c>
      <c r="N1360" s="890">
        <f t="shared" si="459"/>
        <v>0.09</v>
      </c>
      <c r="O1360" s="890">
        <f t="shared" si="459"/>
        <v>0.09</v>
      </c>
      <c r="P1360" s="890">
        <f t="shared" si="459"/>
        <v>0.09</v>
      </c>
      <c r="Q1360" s="890">
        <f t="shared" si="459"/>
        <v>0.09</v>
      </c>
      <c r="R1360" s="890">
        <f t="shared" si="459"/>
        <v>0.09</v>
      </c>
      <c r="S1360" s="890">
        <f t="shared" si="459"/>
        <v>0.09</v>
      </c>
      <c r="T1360" s="890">
        <f t="shared" si="459"/>
        <v>0.09</v>
      </c>
      <c r="U1360" s="890">
        <f t="shared" si="459"/>
        <v>0.09</v>
      </c>
    </row>
    <row r="1361" spans="1:21" x14ac:dyDescent="0.3">
      <c r="A1361" t="s">
        <v>1082</v>
      </c>
      <c r="L1361" s="890"/>
      <c r="M1361" s="890"/>
      <c r="N1361" s="910">
        <f>M1360+3%</f>
        <v>0.12</v>
      </c>
      <c r="O1361" s="890">
        <f t="shared" si="459"/>
        <v>0.12</v>
      </c>
      <c r="P1361" s="890">
        <f t="shared" si="459"/>
        <v>0.12</v>
      </c>
      <c r="Q1361" s="890">
        <f t="shared" si="459"/>
        <v>0.12</v>
      </c>
      <c r="R1361" s="890">
        <f t="shared" si="459"/>
        <v>0.12</v>
      </c>
      <c r="S1361" s="890">
        <f t="shared" si="459"/>
        <v>0.12</v>
      </c>
      <c r="T1361" s="890">
        <f t="shared" si="459"/>
        <v>0.12</v>
      </c>
      <c r="U1361" s="890">
        <f t="shared" si="459"/>
        <v>0.12</v>
      </c>
    </row>
    <row r="1362" spans="1:21" x14ac:dyDescent="0.3">
      <c r="A1362" t="s">
        <v>1083</v>
      </c>
      <c r="L1362" s="890"/>
      <c r="M1362" s="890"/>
      <c r="N1362" s="890"/>
      <c r="O1362" s="910">
        <f>N1361+3%</f>
        <v>0.15</v>
      </c>
      <c r="P1362" s="890">
        <f t="shared" si="459"/>
        <v>0.15</v>
      </c>
      <c r="Q1362" s="890">
        <f t="shared" si="459"/>
        <v>0.15</v>
      </c>
      <c r="R1362" s="890">
        <f t="shared" si="459"/>
        <v>0.15</v>
      </c>
      <c r="S1362" s="890">
        <f t="shared" si="459"/>
        <v>0.15</v>
      </c>
      <c r="T1362" s="890">
        <f t="shared" si="459"/>
        <v>0.15</v>
      </c>
      <c r="U1362" s="890">
        <f t="shared" si="459"/>
        <v>0.15</v>
      </c>
    </row>
    <row r="1363" spans="1:21" x14ac:dyDescent="0.3">
      <c r="A1363" t="s">
        <v>1084</v>
      </c>
      <c r="L1363" s="890"/>
      <c r="M1363" s="890"/>
      <c r="N1363" s="890"/>
      <c r="O1363" s="890"/>
      <c r="P1363" s="910">
        <f>O1362+2.5%</f>
        <v>0.17499999999999999</v>
      </c>
      <c r="Q1363" s="890">
        <f t="shared" si="459"/>
        <v>0.17499999999999999</v>
      </c>
      <c r="R1363" s="890">
        <f t="shared" si="459"/>
        <v>0.17499999999999999</v>
      </c>
      <c r="S1363" s="890">
        <f t="shared" si="459"/>
        <v>0.17499999999999999</v>
      </c>
      <c r="T1363" s="890">
        <f t="shared" si="459"/>
        <v>0.17499999999999999</v>
      </c>
      <c r="U1363" s="890">
        <f t="shared" si="459"/>
        <v>0.17499999999999999</v>
      </c>
    </row>
    <row r="1364" spans="1:21" x14ac:dyDescent="0.3">
      <c r="A1364" t="s">
        <v>1085</v>
      </c>
      <c r="L1364" s="890"/>
      <c r="M1364" s="890"/>
      <c r="N1364" s="890"/>
      <c r="O1364" s="890"/>
      <c r="P1364" s="890"/>
      <c r="Q1364" s="910">
        <f>P1363+2.5%</f>
        <v>0.19999999999999998</v>
      </c>
      <c r="R1364" s="890">
        <f t="shared" si="459"/>
        <v>0.19999999999999998</v>
      </c>
      <c r="S1364" s="890">
        <f t="shared" si="459"/>
        <v>0.19999999999999998</v>
      </c>
      <c r="T1364" s="890">
        <f t="shared" si="459"/>
        <v>0.19999999999999998</v>
      </c>
      <c r="U1364" s="890">
        <f t="shared" si="459"/>
        <v>0.19999999999999998</v>
      </c>
    </row>
    <row r="1365" spans="1:21" x14ac:dyDescent="0.3">
      <c r="A1365" t="s">
        <v>1086</v>
      </c>
      <c r="L1365" s="890"/>
      <c r="M1365" s="890"/>
      <c r="N1365" s="890"/>
      <c r="O1365" s="890"/>
      <c r="P1365" s="890"/>
      <c r="Q1365" s="890"/>
      <c r="R1365" s="910">
        <f>Q1364+2.5%</f>
        <v>0.22499999999999998</v>
      </c>
      <c r="S1365" s="890">
        <f t="shared" si="459"/>
        <v>0.22499999999999998</v>
      </c>
      <c r="T1365" s="890">
        <f t="shared" si="459"/>
        <v>0.22499999999999998</v>
      </c>
      <c r="U1365" s="890">
        <f t="shared" si="459"/>
        <v>0.22499999999999998</v>
      </c>
    </row>
    <row r="1366" spans="1:21" x14ac:dyDescent="0.3">
      <c r="A1366" t="s">
        <v>1087</v>
      </c>
      <c r="L1366" s="890"/>
      <c r="M1366" s="890"/>
      <c r="N1366" s="890"/>
      <c r="O1366" s="890"/>
      <c r="P1366" s="890"/>
      <c r="Q1366" s="890"/>
      <c r="R1366" s="890"/>
      <c r="S1366" s="910">
        <f>R1365+2.5%</f>
        <v>0.24999999999999997</v>
      </c>
      <c r="T1366" s="890">
        <f t="shared" si="459"/>
        <v>0.24999999999999997</v>
      </c>
      <c r="U1366" s="890">
        <f t="shared" si="459"/>
        <v>0.24999999999999997</v>
      </c>
    </row>
    <row r="1367" spans="1:21" x14ac:dyDescent="0.3">
      <c r="A1367" t="s">
        <v>1088</v>
      </c>
      <c r="L1367" s="890"/>
      <c r="M1367" s="890"/>
      <c r="N1367" s="890"/>
      <c r="O1367" s="890"/>
      <c r="P1367" s="890"/>
      <c r="Q1367" s="890"/>
      <c r="R1367" s="890"/>
      <c r="S1367" s="890"/>
      <c r="T1367" s="910">
        <f>S1366+2.5%</f>
        <v>0.27499999999999997</v>
      </c>
      <c r="U1367" s="890">
        <f t="shared" si="459"/>
        <v>0.27499999999999997</v>
      </c>
    </row>
    <row r="1368" spans="1:21" x14ac:dyDescent="0.3">
      <c r="A1368" t="s">
        <v>1089</v>
      </c>
      <c r="U1368" s="910">
        <f>T1367+2.5%</f>
        <v>0.3</v>
      </c>
    </row>
    <row r="1370" spans="1:21" x14ac:dyDescent="0.3">
      <c r="A1370" s="90" t="s">
        <v>1090</v>
      </c>
    </row>
    <row r="1371" spans="1:21" x14ac:dyDescent="0.3">
      <c r="A1371" t="s">
        <v>1080</v>
      </c>
      <c r="L1371" s="885">
        <f>L1359*$L$1348</f>
        <v>5.0028750000000004</v>
      </c>
      <c r="M1371" s="885">
        <f>M1359*$M$1348</f>
        <v>14.997125</v>
      </c>
      <c r="N1371" s="885">
        <f>N1359*$N$1348</f>
        <v>14.997125</v>
      </c>
      <c r="O1371" s="885">
        <f>O1359*$O$1348</f>
        <v>14.997125</v>
      </c>
      <c r="P1371" s="885">
        <f>P1359*$P$1348</f>
        <v>14.997125</v>
      </c>
      <c r="Q1371" s="885">
        <f>Q1359*$Q$1348</f>
        <v>14.997125</v>
      </c>
      <c r="R1371" s="885">
        <f>R1359*$R$1348</f>
        <v>14.984596250000003</v>
      </c>
      <c r="S1371" s="885">
        <f>S1359*$S$1348</f>
        <v>14.984596250000003</v>
      </c>
      <c r="T1371" s="885">
        <f>T1359*$T$1348</f>
        <v>14.984596250000003</v>
      </c>
      <c r="U1371" s="885">
        <f>U1359*$U$1348</f>
        <v>10.43459625</v>
      </c>
    </row>
    <row r="1372" spans="1:21" x14ac:dyDescent="0.3">
      <c r="A1372" t="s">
        <v>1081</v>
      </c>
      <c r="L1372" s="885"/>
      <c r="M1372" s="885">
        <f>M1360*$L$1348</f>
        <v>9.0051749999999995</v>
      </c>
      <c r="N1372" s="885">
        <f>N1360*$M$1348</f>
        <v>26.994824999999999</v>
      </c>
      <c r="O1372" s="885">
        <f>O1360*$N$1348</f>
        <v>26.994824999999999</v>
      </c>
      <c r="P1372" s="885">
        <f>P1360*$O$1348</f>
        <v>26.994824999999999</v>
      </c>
      <c r="Q1372" s="885">
        <f>Q1360*$P$1348</f>
        <v>26.994824999999999</v>
      </c>
      <c r="R1372" s="885">
        <f>R1360*$Q$1348</f>
        <v>26.994824999999999</v>
      </c>
      <c r="S1372" s="885">
        <f>S1360*$R$1348</f>
        <v>26.972273250000001</v>
      </c>
      <c r="T1372" s="885">
        <f>T1360*$S$1348</f>
        <v>26.972273250000001</v>
      </c>
      <c r="U1372" s="885">
        <f>U1360*$T$1348</f>
        <v>26.972273250000001</v>
      </c>
    </row>
    <row r="1373" spans="1:21" x14ac:dyDescent="0.3">
      <c r="A1373" t="s">
        <v>1082</v>
      </c>
      <c r="L1373" s="885"/>
      <c r="M1373" s="885"/>
      <c r="N1373" s="885">
        <f>N1361*$L$1348</f>
        <v>12.0069</v>
      </c>
      <c r="O1373" s="885">
        <f>O1361*$M$1348</f>
        <v>35.993099999999998</v>
      </c>
      <c r="P1373" s="885">
        <f>P1361*$N$1348</f>
        <v>35.993099999999998</v>
      </c>
      <c r="Q1373" s="885">
        <f>Q1361*$O$1348</f>
        <v>35.993099999999998</v>
      </c>
      <c r="R1373" s="885">
        <f>R1361*$P$1348</f>
        <v>35.993099999999998</v>
      </c>
      <c r="S1373" s="885">
        <f>S1361*$Q$1348</f>
        <v>35.993099999999998</v>
      </c>
      <c r="T1373" s="885">
        <f>T1361*$R$1348</f>
        <v>35.963031000000001</v>
      </c>
      <c r="U1373" s="885">
        <f>U1361*$S$1348</f>
        <v>35.963031000000001</v>
      </c>
    </row>
    <row r="1374" spans="1:21" x14ac:dyDescent="0.3">
      <c r="A1374" t="s">
        <v>1083</v>
      </c>
      <c r="L1374" s="885"/>
      <c r="M1374" s="885"/>
      <c r="N1374" s="885"/>
      <c r="O1374" s="885">
        <f>O1362*$L$1348</f>
        <v>15.008625</v>
      </c>
      <c r="P1374" s="885">
        <f>P1362*$M$1348</f>
        <v>44.991374999999998</v>
      </c>
      <c r="Q1374" s="885">
        <f>Q1362*$N$1348</f>
        <v>44.991374999999998</v>
      </c>
      <c r="R1374" s="885">
        <f>R1362*$O$1348</f>
        <v>44.991374999999998</v>
      </c>
      <c r="S1374" s="885">
        <f>S1362*$P$1348</f>
        <v>44.991374999999998</v>
      </c>
      <c r="T1374" s="885">
        <f>T1362*$Q$1348</f>
        <v>44.991374999999998</v>
      </c>
      <c r="U1374" s="885">
        <f>U1362*$R$1348</f>
        <v>44.953788750000001</v>
      </c>
    </row>
    <row r="1375" spans="1:21" x14ac:dyDescent="0.3">
      <c r="A1375" t="s">
        <v>1084</v>
      </c>
      <c r="L1375" s="885"/>
      <c r="M1375" s="885"/>
      <c r="N1375" s="885"/>
      <c r="O1375" s="885"/>
      <c r="P1375" s="885">
        <f>P1363*$L$1348</f>
        <v>17.5100625</v>
      </c>
      <c r="Q1375" s="885">
        <f>Q1363*$M$1348</f>
        <v>52.489937499999996</v>
      </c>
      <c r="R1375" s="885">
        <f>R1363*$N$1348</f>
        <v>52.489937499999996</v>
      </c>
      <c r="S1375" s="885">
        <f>S1363*$O$1348</f>
        <v>52.489937499999996</v>
      </c>
      <c r="T1375" s="885">
        <f>T1363*$P$1348</f>
        <v>52.489937499999996</v>
      </c>
      <c r="U1375" s="885">
        <f>U1363*$Q$1348</f>
        <v>52.489937499999996</v>
      </c>
    </row>
    <row r="1376" spans="1:21" x14ac:dyDescent="0.3">
      <c r="A1376" t="s">
        <v>1085</v>
      </c>
      <c r="L1376" s="885"/>
      <c r="M1376" s="885"/>
      <c r="N1376" s="885"/>
      <c r="O1376" s="885"/>
      <c r="P1376" s="885"/>
      <c r="Q1376" s="885">
        <f>Q1364*$L$1348</f>
        <v>20.011499999999998</v>
      </c>
      <c r="R1376" s="885">
        <f>R1364*$M$1348</f>
        <v>59.988499999999995</v>
      </c>
      <c r="S1376" s="885">
        <f>S1364*$N$1348</f>
        <v>59.988499999999995</v>
      </c>
      <c r="T1376" s="885">
        <f>T1364*$O$1348</f>
        <v>59.988499999999995</v>
      </c>
      <c r="U1376" s="885">
        <f>U1364*$P$1348</f>
        <v>59.988499999999995</v>
      </c>
    </row>
    <row r="1377" spans="1:21" x14ac:dyDescent="0.3">
      <c r="A1377" t="s">
        <v>1086</v>
      </c>
      <c r="L1377" s="885"/>
      <c r="M1377" s="885"/>
      <c r="N1377" s="885"/>
      <c r="O1377" s="885"/>
      <c r="P1377" s="885"/>
      <c r="Q1377" s="885"/>
      <c r="R1377" s="885">
        <f>R1365*$L$1348</f>
        <v>22.5129375</v>
      </c>
      <c r="S1377" s="885">
        <f>S1365*$M$1348</f>
        <v>67.487062499999993</v>
      </c>
      <c r="T1377" s="885">
        <f>T1365*$N$1348</f>
        <v>67.487062499999993</v>
      </c>
      <c r="U1377" s="885">
        <f>U1365*$O$1348</f>
        <v>67.487062499999993</v>
      </c>
    </row>
    <row r="1378" spans="1:21" x14ac:dyDescent="0.3">
      <c r="A1378" t="s">
        <v>1087</v>
      </c>
      <c r="L1378" s="885"/>
      <c r="M1378" s="885"/>
      <c r="N1378" s="885"/>
      <c r="O1378" s="885"/>
      <c r="P1378" s="885"/>
      <c r="Q1378" s="885"/>
      <c r="R1378" s="885"/>
      <c r="S1378" s="885">
        <f>S1366*$L$1348</f>
        <v>25.014374999999998</v>
      </c>
      <c r="T1378" s="885">
        <f>T1366*$M$1348</f>
        <v>74.985624999999985</v>
      </c>
      <c r="U1378" s="885">
        <f>U1366*$N$1348</f>
        <v>74.985624999999985</v>
      </c>
    </row>
    <row r="1379" spans="1:21" x14ac:dyDescent="0.3">
      <c r="A1379" t="s">
        <v>1088</v>
      </c>
      <c r="L1379" s="885"/>
      <c r="M1379" s="885"/>
      <c r="N1379" s="885"/>
      <c r="O1379" s="885"/>
      <c r="P1379" s="885"/>
      <c r="Q1379" s="885"/>
      <c r="R1379" s="885"/>
      <c r="S1379" s="885"/>
      <c r="T1379" s="885">
        <f>T1367*$L$1348</f>
        <v>27.515812499999999</v>
      </c>
      <c r="U1379" s="885">
        <f>U1367*$M$1348</f>
        <v>82.48418749999999</v>
      </c>
    </row>
    <row r="1380" spans="1:21" x14ac:dyDescent="0.3">
      <c r="A1380" t="s">
        <v>1089</v>
      </c>
      <c r="L1380" s="885"/>
      <c r="M1380" s="885"/>
      <c r="N1380" s="885"/>
      <c r="O1380" s="885"/>
      <c r="P1380" s="885"/>
      <c r="Q1380" s="885"/>
      <c r="R1380" s="885"/>
      <c r="S1380" s="885"/>
      <c r="T1380" s="885"/>
      <c r="U1380" s="885">
        <f>U1368*$L$1348</f>
        <v>30.017250000000001</v>
      </c>
    </row>
    <row r="1381" spans="1:21" x14ac:dyDescent="0.3">
      <c r="A1381" s="90" t="s">
        <v>1091</v>
      </c>
      <c r="B1381" s="90"/>
      <c r="C1381" s="90"/>
      <c r="D1381" s="90"/>
      <c r="E1381" s="90"/>
      <c r="F1381" s="90"/>
      <c r="G1381" s="90"/>
      <c r="H1381" s="90"/>
      <c r="I1381" s="90"/>
      <c r="J1381" s="90"/>
      <c r="K1381" s="90"/>
      <c r="L1381" s="916">
        <f t="shared" ref="L1381:U1381" si="460">SUM(L1371:L1380)</f>
        <v>5.0028750000000004</v>
      </c>
      <c r="M1381" s="916">
        <f t="shared" si="460"/>
        <v>24.002299999999998</v>
      </c>
      <c r="N1381" s="916">
        <f t="shared" si="460"/>
        <v>53.998850000000004</v>
      </c>
      <c r="O1381" s="916">
        <f t="shared" si="460"/>
        <v>92.993674999999996</v>
      </c>
      <c r="P1381" s="916">
        <f t="shared" si="460"/>
        <v>140.48648750000001</v>
      </c>
      <c r="Q1381" s="916">
        <f t="shared" si="460"/>
        <v>195.47786250000001</v>
      </c>
      <c r="R1381" s="916">
        <f t="shared" si="460"/>
        <v>257.95527125000001</v>
      </c>
      <c r="S1381" s="916">
        <f t="shared" si="460"/>
        <v>327.92121949999995</v>
      </c>
      <c r="T1381" s="916">
        <f t="shared" si="460"/>
        <v>405.37821299999996</v>
      </c>
      <c r="U1381" s="916">
        <f t="shared" si="460"/>
        <v>485.77625174999991</v>
      </c>
    </row>
    <row r="1383" spans="1:21" x14ac:dyDescent="0.3">
      <c r="A1383" t="s">
        <v>1092</v>
      </c>
      <c r="B1383" s="1015">
        <f>Drivers!ET186</f>
        <v>65.180000000000007</v>
      </c>
      <c r="C1383" s="1015">
        <f>Drivers!EU186</f>
        <v>65.319999999999993</v>
      </c>
      <c r="D1383" s="1015">
        <f>Drivers!EV186</f>
        <v>65.400000000000006</v>
      </c>
      <c r="E1383" s="1015">
        <f>Drivers!EW186</f>
        <v>65.98</v>
      </c>
      <c r="F1383" s="1015">
        <f>B1383*(1+F1384)</f>
        <v>67.461264713171914</v>
      </c>
      <c r="G1383" s="1015">
        <f t="shared" ref="G1383:I1383" si="461">C1383*(1+G1384)</f>
        <v>67.606164637379393</v>
      </c>
      <c r="H1383" s="1015">
        <f t="shared" si="461"/>
        <v>67.688964594069404</v>
      </c>
      <c r="I1383" s="1015">
        <f t="shared" si="461"/>
        <v>68.289264280071848</v>
      </c>
      <c r="J1383" s="1015">
        <f t="shared" ref="J1383" si="462">F1383*(1+J1384)</f>
        <v>69.822372456284967</v>
      </c>
      <c r="K1383" s="1015">
        <f t="shared" ref="K1383" si="463">G1383*(1+K1384)</f>
        <v>69.972343799394494</v>
      </c>
      <c r="L1383" s="1015">
        <f t="shared" ref="L1383" si="464">H1383*(1+L1384)</f>
        <v>70.058041709742824</v>
      </c>
      <c r="M1383" s="1015">
        <f t="shared" ref="M1383" si="465">I1383*(1+M1384)</f>
        <v>70.679351559768065</v>
      </c>
      <c r="N1383" s="1015">
        <f t="shared" ref="N1383" si="466">J1383*(1+N1384)</f>
        <v>72.266117692162069</v>
      </c>
      <c r="O1383" s="1015">
        <f t="shared" ref="O1383" si="467">K1383*(1+O1384)</f>
        <v>72.421337951089683</v>
      </c>
      <c r="P1383" s="1015">
        <f t="shared" ref="P1383" si="468">L1383*(1+P1384)</f>
        <v>72.510035241905484</v>
      </c>
      <c r="Q1383" s="1015">
        <f t="shared" ref="Q1383" si="469">M1383*(1+Q1384)</f>
        <v>73.153090600319942</v>
      </c>
      <c r="R1383" s="1015">
        <f t="shared" ref="R1383" si="470">N1383*(1+R1384)</f>
        <v>74.795392688312077</v>
      </c>
      <c r="S1383" s="1015">
        <f t="shared" ref="S1383" si="471">O1383*(1+S1384)</f>
        <v>74.956045572269787</v>
      </c>
      <c r="T1383" s="1015">
        <f t="shared" ref="T1383" si="472">P1383*(1+T1384)</f>
        <v>75.047847220245629</v>
      </c>
      <c r="U1383" s="1015">
        <f t="shared" ref="U1383" si="473">Q1383*(1+U1384)</f>
        <v>75.713409168070442</v>
      </c>
    </row>
    <row r="1384" spans="1:21" x14ac:dyDescent="0.3">
      <c r="A1384" t="s">
        <v>624</v>
      </c>
      <c r="F1384" s="898">
        <f>Drivers!$FC$187</f>
        <v>3.499945862491427E-2</v>
      </c>
      <c r="G1384" s="898">
        <f>F1384</f>
        <v>3.499945862491427E-2</v>
      </c>
      <c r="H1384" s="898">
        <f t="shared" ref="H1384:I1384" si="474">G1384</f>
        <v>3.499945862491427E-2</v>
      </c>
      <c r="I1384" s="898">
        <f t="shared" si="474"/>
        <v>3.499945862491427E-2</v>
      </c>
      <c r="J1384" s="898">
        <f>Drivers!$FD$187</f>
        <v>3.499945862491427E-2</v>
      </c>
      <c r="K1384" s="898">
        <f>J1384</f>
        <v>3.499945862491427E-2</v>
      </c>
      <c r="L1384" s="898">
        <f t="shared" ref="L1384:M1384" si="475">K1384</f>
        <v>3.499945862491427E-2</v>
      </c>
      <c r="M1384" s="898">
        <f t="shared" si="475"/>
        <v>3.499945862491427E-2</v>
      </c>
      <c r="N1384" s="898">
        <f>Drivers!$FE$187</f>
        <v>3.499945862491427E-2</v>
      </c>
      <c r="O1384" s="898">
        <f>N1384</f>
        <v>3.499945862491427E-2</v>
      </c>
      <c r="P1384" s="898">
        <f t="shared" ref="P1384:Q1384" si="476">O1384</f>
        <v>3.499945862491427E-2</v>
      </c>
      <c r="Q1384" s="898">
        <f t="shared" si="476"/>
        <v>3.499945862491427E-2</v>
      </c>
      <c r="R1384" s="898">
        <f>Drivers!$FF$187</f>
        <v>3.499945862491427E-2</v>
      </c>
      <c r="S1384" s="898">
        <f>R1384</f>
        <v>3.499945862491427E-2</v>
      </c>
      <c r="T1384" s="898">
        <f t="shared" ref="T1384:U1384" si="477">S1384</f>
        <v>3.499945862491427E-2</v>
      </c>
      <c r="U1384" s="898">
        <f t="shared" si="477"/>
        <v>3.499945862491427E-2</v>
      </c>
    </row>
    <row r="1386" spans="1:21" x14ac:dyDescent="0.3">
      <c r="A1386" t="s">
        <v>1093</v>
      </c>
      <c r="B1386" s="885">
        <f>B1383*AVERAGE(A1355:B1355)*3/1000</f>
        <v>0</v>
      </c>
      <c r="C1386" s="885">
        <f>C1383*AVERAGE(B1355:C1355)*3/1000</f>
        <v>0</v>
      </c>
      <c r="D1386" s="885">
        <f t="shared" ref="D1386:U1386" si="478">D1383*AVERAGE(C1355:D1355)*3/1000</f>
        <v>0</v>
      </c>
      <c r="E1386" s="885">
        <f t="shared" si="478"/>
        <v>0</v>
      </c>
      <c r="F1386" s="885">
        <f t="shared" si="478"/>
        <v>0</v>
      </c>
      <c r="G1386" s="885">
        <f t="shared" si="478"/>
        <v>0</v>
      </c>
      <c r="H1386" s="885">
        <f t="shared" si="478"/>
        <v>0</v>
      </c>
      <c r="I1386" s="885">
        <f t="shared" si="478"/>
        <v>0</v>
      </c>
      <c r="J1386" s="885">
        <f t="shared" si="478"/>
        <v>0</v>
      </c>
      <c r="K1386" s="885">
        <f t="shared" si="478"/>
        <v>0</v>
      </c>
      <c r="L1386" s="885">
        <f t="shared" si="478"/>
        <v>0.52573743812794449</v>
      </c>
      <c r="M1386" s="885">
        <f t="shared" si="478"/>
        <v>3.0751004413163936</v>
      </c>
      <c r="N1386" s="885">
        <f t="shared" si="478"/>
        <v>8.4552604290359792</v>
      </c>
      <c r="O1386" s="885">
        <f t="shared" si="478"/>
        <v>15.968092993963499</v>
      </c>
      <c r="P1386" s="885">
        <f t="shared" si="478"/>
        <v>25.394482216741231</v>
      </c>
      <c r="Q1386" s="885">
        <f t="shared" si="478"/>
        <v>36.865245801041404</v>
      </c>
      <c r="R1386" s="885">
        <f t="shared" si="478"/>
        <v>50.872063945084783</v>
      </c>
      <c r="S1386" s="885">
        <f t="shared" si="478"/>
        <v>65.87247741056774</v>
      </c>
      <c r="T1386" s="885">
        <f t="shared" si="478"/>
        <v>82.548815665429231</v>
      </c>
      <c r="U1386" s="885">
        <f t="shared" si="478"/>
        <v>101.20851393235432</v>
      </c>
    </row>
    <row r="1388" spans="1:21" x14ac:dyDescent="0.3">
      <c r="A1388" t="s">
        <v>1094</v>
      </c>
      <c r="B1388" s="887">
        <f>B1386*B1389</f>
        <v>0</v>
      </c>
      <c r="C1388" s="887">
        <f t="shared" ref="C1388:U1388" si="479">C1386*C1389</f>
        <v>0</v>
      </c>
      <c r="D1388" s="887">
        <f t="shared" si="479"/>
        <v>0</v>
      </c>
      <c r="E1388" s="887">
        <f t="shared" si="479"/>
        <v>0</v>
      </c>
      <c r="F1388" s="887">
        <f t="shared" si="479"/>
        <v>0</v>
      </c>
      <c r="G1388" s="887">
        <f t="shared" si="479"/>
        <v>0</v>
      </c>
      <c r="H1388" s="887">
        <f t="shared" si="479"/>
        <v>0</v>
      </c>
      <c r="I1388" s="887">
        <f t="shared" si="479"/>
        <v>0</v>
      </c>
      <c r="J1388" s="887">
        <f t="shared" si="479"/>
        <v>0</v>
      </c>
      <c r="K1388" s="887">
        <f t="shared" si="479"/>
        <v>0</v>
      </c>
      <c r="L1388" s="887">
        <f t="shared" si="479"/>
        <v>0.31544246287676669</v>
      </c>
      <c r="M1388" s="887">
        <f t="shared" si="479"/>
        <v>1.845060264789836</v>
      </c>
      <c r="N1388" s="887">
        <f t="shared" si="479"/>
        <v>5.0731562574215872</v>
      </c>
      <c r="O1388" s="887">
        <f t="shared" si="479"/>
        <v>9.5808557963780991</v>
      </c>
      <c r="P1388" s="887">
        <f t="shared" si="479"/>
        <v>15.236689330044738</v>
      </c>
      <c r="Q1388" s="887">
        <f t="shared" si="479"/>
        <v>22.119147480624843</v>
      </c>
      <c r="R1388" s="887">
        <f t="shared" si="479"/>
        <v>30.523238367050869</v>
      </c>
      <c r="S1388" s="887">
        <f t="shared" si="479"/>
        <v>39.523486446340641</v>
      </c>
      <c r="T1388" s="887">
        <f t="shared" si="479"/>
        <v>49.529289399257536</v>
      </c>
      <c r="U1388" s="887">
        <f t="shared" si="479"/>
        <v>60.725108359412587</v>
      </c>
    </row>
    <row r="1389" spans="1:21" x14ac:dyDescent="0.3">
      <c r="A1389" t="s">
        <v>1095</v>
      </c>
      <c r="B1389" s="191">
        <v>0.6</v>
      </c>
      <c r="C1389" s="146">
        <f>B1389</f>
        <v>0.6</v>
      </c>
      <c r="D1389" s="146">
        <f t="shared" ref="D1389:U1389" si="480">C1389</f>
        <v>0.6</v>
      </c>
      <c r="E1389" s="146">
        <f t="shared" si="480"/>
        <v>0.6</v>
      </c>
      <c r="F1389" s="146">
        <f t="shared" si="480"/>
        <v>0.6</v>
      </c>
      <c r="G1389" s="146">
        <f t="shared" si="480"/>
        <v>0.6</v>
      </c>
      <c r="H1389" s="146">
        <f t="shared" si="480"/>
        <v>0.6</v>
      </c>
      <c r="I1389" s="146">
        <f t="shared" si="480"/>
        <v>0.6</v>
      </c>
      <c r="J1389" s="146">
        <f t="shared" si="480"/>
        <v>0.6</v>
      </c>
      <c r="K1389" s="146">
        <f t="shared" si="480"/>
        <v>0.6</v>
      </c>
      <c r="L1389" s="146">
        <f t="shared" si="480"/>
        <v>0.6</v>
      </c>
      <c r="M1389" s="146">
        <f t="shared" si="480"/>
        <v>0.6</v>
      </c>
      <c r="N1389" s="146">
        <f t="shared" si="480"/>
        <v>0.6</v>
      </c>
      <c r="O1389" s="146">
        <f t="shared" si="480"/>
        <v>0.6</v>
      </c>
      <c r="P1389" s="146">
        <f t="shared" si="480"/>
        <v>0.6</v>
      </c>
      <c r="Q1389" s="146">
        <f t="shared" si="480"/>
        <v>0.6</v>
      </c>
      <c r="R1389" s="146">
        <f t="shared" si="480"/>
        <v>0.6</v>
      </c>
      <c r="S1389" s="146">
        <f t="shared" si="480"/>
        <v>0.6</v>
      </c>
      <c r="T1389" s="146">
        <f t="shared" si="480"/>
        <v>0.6</v>
      </c>
      <c r="U1389" s="146">
        <f t="shared" si="480"/>
        <v>0.6</v>
      </c>
    </row>
    <row r="1391" spans="1:21" x14ac:dyDescent="0.3">
      <c r="A1391" t="s">
        <v>1096</v>
      </c>
      <c r="B1391" s="887">
        <f>B1336+B1388</f>
        <v>547</v>
      </c>
      <c r="C1391" s="887">
        <f t="shared" ref="C1391:U1391" si="481">C1336+C1388</f>
        <v>560</v>
      </c>
      <c r="D1391" s="887">
        <f t="shared" si="481"/>
        <v>549</v>
      </c>
      <c r="E1391" s="887">
        <f t="shared" si="481"/>
        <v>595</v>
      </c>
      <c r="F1391" s="887">
        <f t="shared" si="481"/>
        <v>587.20598156850122</v>
      </c>
      <c r="G1391" s="887">
        <f t="shared" si="481"/>
        <v>601.16151677945288</v>
      </c>
      <c r="H1391" s="887">
        <f t="shared" si="481"/>
        <v>589.35298698557074</v>
      </c>
      <c r="I1391" s="887">
        <f t="shared" si="481"/>
        <v>638.73411157816861</v>
      </c>
      <c r="J1391" s="887">
        <f t="shared" si="481"/>
        <v>650.52249325633636</v>
      </c>
      <c r="K1391" s="887">
        <f t="shared" si="481"/>
        <v>665.98280845255647</v>
      </c>
      <c r="L1391" s="887">
        <f t="shared" si="481"/>
        <v>653.2164457494008</v>
      </c>
      <c r="M1391" s="887">
        <f t="shared" si="481"/>
        <v>709.45179424563094</v>
      </c>
      <c r="N1391" s="887">
        <f t="shared" si="481"/>
        <v>732.59441325169666</v>
      </c>
      <c r="O1391" s="887">
        <f t="shared" si="481"/>
        <v>754.39238032433786</v>
      </c>
      <c r="P1391" s="887">
        <f t="shared" si="481"/>
        <v>745.41798748334827</v>
      </c>
      <c r="Q1391" s="887">
        <f t="shared" si="481"/>
        <v>813.4813922915821</v>
      </c>
      <c r="R1391" s="887">
        <f t="shared" si="481"/>
        <v>825.63034377355302</v>
      </c>
      <c r="S1391" s="887">
        <f t="shared" si="481"/>
        <v>853.52710441277793</v>
      </c>
      <c r="T1391" s="887">
        <f t="shared" si="481"/>
        <v>847.54355058421129</v>
      </c>
      <c r="U1391" s="887">
        <f t="shared" si="481"/>
        <v>925.60395244875212</v>
      </c>
    </row>
    <row r="1392" spans="1:21" x14ac:dyDescent="0.3">
      <c r="A1392" s="94" t="s">
        <v>1068</v>
      </c>
      <c r="B1392" s="94"/>
      <c r="C1392" s="94"/>
      <c r="D1392" s="94"/>
      <c r="E1392" s="943">
        <f>SUM(B1391:E1391)</f>
        <v>2251</v>
      </c>
      <c r="F1392" s="943">
        <f t="shared" ref="F1392" si="482">SUM(C1391:F1391)</f>
        <v>2291.2059815685011</v>
      </c>
      <c r="G1392" s="943">
        <f t="shared" ref="G1392" si="483">SUM(D1391:G1391)</f>
        <v>2332.3674983479541</v>
      </c>
      <c r="H1392" s="943">
        <f t="shared" ref="H1392" si="484">SUM(E1391:H1391)</f>
        <v>2372.7204853335247</v>
      </c>
      <c r="I1392" s="943">
        <f t="shared" ref="I1392" si="485">SUM(F1391:I1391)</f>
        <v>2416.4545969116934</v>
      </c>
      <c r="J1392" s="943">
        <f t="shared" ref="J1392" si="486">SUM(G1391:J1391)</f>
        <v>2479.7711085995288</v>
      </c>
      <c r="K1392" s="943">
        <f t="shared" ref="K1392" si="487">SUM(H1391:K1391)</f>
        <v>2544.5924002726324</v>
      </c>
      <c r="L1392" s="943">
        <f t="shared" ref="L1392" si="488">SUM(I1391:L1391)</f>
        <v>2608.4558590364622</v>
      </c>
      <c r="M1392" s="943">
        <f t="shared" ref="M1392" si="489">SUM(J1391:M1391)</f>
        <v>2679.1735417039245</v>
      </c>
      <c r="N1392" s="943">
        <f t="shared" ref="N1392" si="490">SUM(K1391:N1391)</f>
        <v>2761.245461699285</v>
      </c>
      <c r="O1392" s="943">
        <f t="shared" ref="O1392" si="491">SUM(L1391:O1391)</f>
        <v>2849.6550335710663</v>
      </c>
      <c r="P1392" s="943">
        <f t="shared" ref="P1392" si="492">SUM(M1391:P1391)</f>
        <v>2941.8565753050134</v>
      </c>
      <c r="Q1392" s="943">
        <f t="shared" ref="Q1392" si="493">SUM(N1391:Q1391)</f>
        <v>3045.8861733509648</v>
      </c>
      <c r="R1392" s="943">
        <f t="shared" ref="R1392" si="494">SUM(O1391:R1391)</f>
        <v>3138.922103872821</v>
      </c>
      <c r="S1392" s="943">
        <f t="shared" ref="S1392" si="495">SUM(P1391:S1391)</f>
        <v>3238.0568279612612</v>
      </c>
      <c r="T1392" s="943">
        <f t="shared" ref="T1392" si="496">SUM(Q1391:T1391)</f>
        <v>3340.1823910621242</v>
      </c>
      <c r="U1392" s="943">
        <f t="shared" ref="U1392" si="497">SUM(R1391:U1391)</f>
        <v>3452.3049512192947</v>
      </c>
    </row>
    <row r="1394" spans="1:21" x14ac:dyDescent="0.3">
      <c r="A1394" t="s">
        <v>1097</v>
      </c>
      <c r="B1394" s="885">
        <f>B1395*B1348/1000</f>
        <v>0</v>
      </c>
      <c r="C1394" s="885">
        <f t="shared" ref="C1394:U1394" si="498">C1395*C1348/1000</f>
        <v>0</v>
      </c>
      <c r="D1394" s="885">
        <f t="shared" si="498"/>
        <v>0</v>
      </c>
      <c r="E1394" s="885">
        <f t="shared" si="498"/>
        <v>0</v>
      </c>
      <c r="F1394" s="885">
        <f t="shared" si="498"/>
        <v>0</v>
      </c>
      <c r="G1394" s="885">
        <f t="shared" si="498"/>
        <v>0</v>
      </c>
      <c r="H1394" s="885">
        <f t="shared" si="498"/>
        <v>0</v>
      </c>
      <c r="I1394" s="885">
        <f t="shared" si="498"/>
        <v>0</v>
      </c>
      <c r="J1394" s="885">
        <f t="shared" si="498"/>
        <v>0</v>
      </c>
      <c r="K1394" s="885">
        <f t="shared" si="498"/>
        <v>0</v>
      </c>
      <c r="L1394" s="885">
        <f t="shared" si="498"/>
        <v>110.06325</v>
      </c>
      <c r="M1394" s="885">
        <f t="shared" si="498"/>
        <v>329.93675000000002</v>
      </c>
      <c r="N1394" s="885">
        <f t="shared" si="498"/>
        <v>329.93675000000002</v>
      </c>
      <c r="O1394" s="885">
        <f t="shared" si="498"/>
        <v>329.93675000000002</v>
      </c>
      <c r="P1394" s="885">
        <f t="shared" si="498"/>
        <v>329.93675000000002</v>
      </c>
      <c r="Q1394" s="885">
        <f t="shared" si="498"/>
        <v>329.93675000000002</v>
      </c>
      <c r="R1394" s="885">
        <f t="shared" si="498"/>
        <v>329.66111750000005</v>
      </c>
      <c r="S1394" s="885">
        <f t="shared" si="498"/>
        <v>329.66111750000005</v>
      </c>
      <c r="T1394" s="885">
        <f t="shared" si="498"/>
        <v>329.66111750000005</v>
      </c>
      <c r="U1394" s="885">
        <f t="shared" si="498"/>
        <v>229.56111749999999</v>
      </c>
    </row>
    <row r="1395" spans="1:21" x14ac:dyDescent="0.3">
      <c r="A1395" s="94" t="s">
        <v>1098</v>
      </c>
      <c r="B1395" s="1696">
        <v>1100</v>
      </c>
      <c r="C1395" s="943">
        <f>B1395</f>
        <v>1100</v>
      </c>
      <c r="D1395" s="943">
        <f t="shared" ref="D1395:U1395" si="499">C1395</f>
        <v>1100</v>
      </c>
      <c r="E1395" s="943">
        <f t="shared" si="499"/>
        <v>1100</v>
      </c>
      <c r="F1395" s="943">
        <f t="shared" si="499"/>
        <v>1100</v>
      </c>
      <c r="G1395" s="943">
        <f t="shared" si="499"/>
        <v>1100</v>
      </c>
      <c r="H1395" s="943">
        <f t="shared" si="499"/>
        <v>1100</v>
      </c>
      <c r="I1395" s="943">
        <f t="shared" si="499"/>
        <v>1100</v>
      </c>
      <c r="J1395" s="943">
        <f t="shared" si="499"/>
        <v>1100</v>
      </c>
      <c r="K1395" s="943">
        <f t="shared" si="499"/>
        <v>1100</v>
      </c>
      <c r="L1395" s="943">
        <f t="shared" si="499"/>
        <v>1100</v>
      </c>
      <c r="M1395" s="943">
        <f t="shared" si="499"/>
        <v>1100</v>
      </c>
      <c r="N1395" s="943">
        <f t="shared" si="499"/>
        <v>1100</v>
      </c>
      <c r="O1395" s="943">
        <f t="shared" si="499"/>
        <v>1100</v>
      </c>
      <c r="P1395" s="943">
        <f t="shared" si="499"/>
        <v>1100</v>
      </c>
      <c r="Q1395" s="943">
        <f t="shared" si="499"/>
        <v>1100</v>
      </c>
      <c r="R1395" s="943">
        <f t="shared" si="499"/>
        <v>1100</v>
      </c>
      <c r="S1395" s="943">
        <f t="shared" si="499"/>
        <v>1100</v>
      </c>
      <c r="T1395" s="943">
        <f t="shared" si="499"/>
        <v>1100</v>
      </c>
      <c r="U1395" s="943">
        <f t="shared" si="499"/>
        <v>1100</v>
      </c>
    </row>
    <row r="1397" spans="1:21" x14ac:dyDescent="0.3">
      <c r="A1397" t="s">
        <v>1099</v>
      </c>
      <c r="B1397" s="885">
        <f>B1398*B1354/1000</f>
        <v>0</v>
      </c>
      <c r="C1397" s="885">
        <f t="shared" ref="C1397:U1397" si="500">C1398*C1354/1000</f>
        <v>0</v>
      </c>
      <c r="D1397" s="885">
        <f t="shared" si="500"/>
        <v>0</v>
      </c>
      <c r="E1397" s="885">
        <f t="shared" si="500"/>
        <v>0</v>
      </c>
      <c r="F1397" s="885">
        <f t="shared" si="500"/>
        <v>0</v>
      </c>
      <c r="G1397" s="885">
        <f t="shared" si="500"/>
        <v>0</v>
      </c>
      <c r="H1397" s="885">
        <f t="shared" si="500"/>
        <v>0</v>
      </c>
      <c r="I1397" s="885">
        <f t="shared" si="500"/>
        <v>0</v>
      </c>
      <c r="J1397" s="885">
        <f t="shared" si="500"/>
        <v>0</v>
      </c>
      <c r="K1397" s="885">
        <f t="shared" si="500"/>
        <v>0</v>
      </c>
      <c r="L1397" s="885">
        <f t="shared" si="500"/>
        <v>4.0023</v>
      </c>
      <c r="M1397" s="885">
        <f t="shared" si="500"/>
        <v>15.199539999999999</v>
      </c>
      <c r="N1397" s="885">
        <f t="shared" si="500"/>
        <v>23.997240000000005</v>
      </c>
      <c r="O1397" s="885">
        <f t="shared" si="500"/>
        <v>31.195859999999993</v>
      </c>
      <c r="P1397" s="885">
        <f t="shared" si="500"/>
        <v>37.994250000000015</v>
      </c>
      <c r="Q1397" s="885">
        <f t="shared" si="500"/>
        <v>43.993100000000005</v>
      </c>
      <c r="R1397" s="885">
        <f t="shared" si="500"/>
        <v>49.981926999999999</v>
      </c>
      <c r="S1397" s="885">
        <f t="shared" si="500"/>
        <v>55.972758599999949</v>
      </c>
      <c r="T1397" s="885">
        <f t="shared" si="500"/>
        <v>61.965594800000005</v>
      </c>
      <c r="U1397" s="885">
        <f t="shared" si="500"/>
        <v>64.318430999999961</v>
      </c>
    </row>
    <row r="1398" spans="1:21" x14ac:dyDescent="0.3">
      <c r="A1398" s="94" t="s">
        <v>1100</v>
      </c>
      <c r="B1398" s="1696">
        <v>800</v>
      </c>
      <c r="C1398" s="943">
        <f>B1398</f>
        <v>800</v>
      </c>
      <c r="D1398" s="943">
        <f t="shared" ref="D1398:U1398" si="501">C1398</f>
        <v>800</v>
      </c>
      <c r="E1398" s="943">
        <f t="shared" si="501"/>
        <v>800</v>
      </c>
      <c r="F1398" s="943">
        <f t="shared" si="501"/>
        <v>800</v>
      </c>
      <c r="G1398" s="943">
        <f t="shared" si="501"/>
        <v>800</v>
      </c>
      <c r="H1398" s="943">
        <f t="shared" si="501"/>
        <v>800</v>
      </c>
      <c r="I1398" s="943">
        <f t="shared" si="501"/>
        <v>800</v>
      </c>
      <c r="J1398" s="943">
        <f t="shared" si="501"/>
        <v>800</v>
      </c>
      <c r="K1398" s="943">
        <f t="shared" si="501"/>
        <v>800</v>
      </c>
      <c r="L1398" s="943">
        <f t="shared" si="501"/>
        <v>800</v>
      </c>
      <c r="M1398" s="943">
        <f t="shared" si="501"/>
        <v>800</v>
      </c>
      <c r="N1398" s="943">
        <f t="shared" si="501"/>
        <v>800</v>
      </c>
      <c r="O1398" s="943">
        <f t="shared" si="501"/>
        <v>800</v>
      </c>
      <c r="P1398" s="943">
        <f t="shared" si="501"/>
        <v>800</v>
      </c>
      <c r="Q1398" s="943">
        <f t="shared" si="501"/>
        <v>800</v>
      </c>
      <c r="R1398" s="943">
        <f t="shared" si="501"/>
        <v>800</v>
      </c>
      <c r="S1398" s="943">
        <f t="shared" si="501"/>
        <v>800</v>
      </c>
      <c r="T1398" s="943">
        <f t="shared" si="501"/>
        <v>800</v>
      </c>
      <c r="U1398" s="943">
        <f t="shared" si="501"/>
        <v>800</v>
      </c>
    </row>
    <row r="1400" spans="1:21" x14ac:dyDescent="0.3">
      <c r="A1400" t="s">
        <v>1101</v>
      </c>
      <c r="B1400" s="887">
        <f>B1394+B1397</f>
        <v>0</v>
      </c>
      <c r="C1400" s="887">
        <f t="shared" ref="C1400:U1400" si="502">C1394+C1397</f>
        <v>0</v>
      </c>
      <c r="D1400" s="887">
        <f t="shared" si="502"/>
        <v>0</v>
      </c>
      <c r="E1400" s="887">
        <f t="shared" si="502"/>
        <v>0</v>
      </c>
      <c r="F1400" s="887">
        <f t="shared" si="502"/>
        <v>0</v>
      </c>
      <c r="G1400" s="887">
        <f t="shared" si="502"/>
        <v>0</v>
      </c>
      <c r="H1400" s="887">
        <f t="shared" si="502"/>
        <v>0</v>
      </c>
      <c r="I1400" s="887">
        <f t="shared" si="502"/>
        <v>0</v>
      </c>
      <c r="J1400" s="887">
        <f t="shared" si="502"/>
        <v>0</v>
      </c>
      <c r="K1400" s="887">
        <f t="shared" si="502"/>
        <v>0</v>
      </c>
      <c r="L1400" s="887">
        <f t="shared" si="502"/>
        <v>114.06555</v>
      </c>
      <c r="M1400" s="887">
        <f t="shared" si="502"/>
        <v>345.13629000000003</v>
      </c>
      <c r="N1400" s="887">
        <f t="shared" si="502"/>
        <v>353.93398999999999</v>
      </c>
      <c r="O1400" s="887">
        <f t="shared" si="502"/>
        <v>361.13261</v>
      </c>
      <c r="P1400" s="887">
        <f t="shared" si="502"/>
        <v>367.93100000000004</v>
      </c>
      <c r="Q1400" s="887">
        <f t="shared" si="502"/>
        <v>373.92985000000004</v>
      </c>
      <c r="R1400" s="887">
        <f t="shared" si="502"/>
        <v>379.64304450000003</v>
      </c>
      <c r="S1400" s="887">
        <f t="shared" si="502"/>
        <v>385.63387610000001</v>
      </c>
      <c r="T1400" s="887">
        <f t="shared" si="502"/>
        <v>391.62671230000007</v>
      </c>
      <c r="U1400" s="887">
        <f t="shared" si="502"/>
        <v>293.87954849999994</v>
      </c>
    </row>
    <row r="1402" spans="1:21" x14ac:dyDescent="0.3">
      <c r="A1402" t="s">
        <v>1102</v>
      </c>
      <c r="B1402" s="887">
        <f>B1339+B1400</f>
        <v>1029</v>
      </c>
      <c r="C1402" s="887">
        <f t="shared" ref="C1402:U1402" si="503">C1339+C1400</f>
        <v>678</v>
      </c>
      <c r="D1402" s="887">
        <f t="shared" si="503"/>
        <v>699</v>
      </c>
      <c r="E1402" s="887">
        <f t="shared" si="503"/>
        <v>840</v>
      </c>
      <c r="F1402" s="887">
        <f t="shared" si="503"/>
        <v>1012.6577149609939</v>
      </c>
      <c r="G1402" s="887">
        <f t="shared" si="503"/>
        <v>667.23219702969266</v>
      </c>
      <c r="H1402" s="887">
        <f t="shared" si="503"/>
        <v>687.89868100848844</v>
      </c>
      <c r="I1402" s="887">
        <f t="shared" si="503"/>
        <v>826.65935915183161</v>
      </c>
      <c r="J1402" s="887">
        <f>(Drivers!$FD$580+SUM(Analysis!$J$1400:$M$1400))*Analysis!F1402/SUM(Analysis!$F$1402:$I$1402)</f>
        <v>1122.729112081081</v>
      </c>
      <c r="K1402" s="887">
        <f>(Drivers!$FD$580+SUM(Analysis!$J$1400:$M$1400))*Analysis!G1402/SUM(Analysis!$F$1402:$I$1402)</f>
        <v>739.75737414088701</v>
      </c>
      <c r="L1402" s="887">
        <f>(Drivers!$FD$580+SUM(Analysis!$J$1400:$M$1400))*Analysis!H1402/SUM(Analysis!$F$1402:$I$1402)</f>
        <v>762.67021316294984</v>
      </c>
      <c r="M1402" s="887">
        <f>(Drivers!$FD$580+SUM(Analysis!$J$1400:$M$1400))*Analysis!I1402/SUM(Analysis!$F$1402:$I$1402)</f>
        <v>916.51356088251487</v>
      </c>
      <c r="N1402" s="887">
        <f>(Drivers!$FE$580+SUM(Analysis!$N$1400:$Q$1400))*Analysis!J1402/SUM(Analysis!$J$1402:$M$1402)</f>
        <v>1080.3387421795055</v>
      </c>
      <c r="O1402" s="887">
        <f>(Drivers!$FE$580+SUM(Analysis!$N$1400:$Q$1400))*Analysis!K1402/SUM(Analysis!$J$1402:$M$1402)</f>
        <v>711.8266930978665</v>
      </c>
      <c r="P1402" s="887">
        <f>(Drivers!$FE$580+SUM(Analysis!$N$1400:$Q$1400))*Analysis!L1402/SUM(Analysis!$J$1402:$M$1402)</f>
        <v>733.87442253010124</v>
      </c>
      <c r="Q1402" s="887">
        <f>(Drivers!$FE$580+SUM(Analysis!$N$1400:$Q$1400))*Analysis!M1402/SUM(Analysis!$J$1402:$M$1402)</f>
        <v>881.90917728939212</v>
      </c>
      <c r="R1402" s="887">
        <f t="shared" si="503"/>
        <v>890.37096551709988</v>
      </c>
      <c r="S1402" s="887">
        <f t="shared" si="503"/>
        <v>722.14848295091701</v>
      </c>
      <c r="T1402" s="887">
        <f t="shared" si="503"/>
        <v>738.56433794718441</v>
      </c>
      <c r="U1402" s="887">
        <f t="shared" si="503"/>
        <v>710.80030035069365</v>
      </c>
    </row>
    <row r="1403" spans="1:21" x14ac:dyDescent="0.3">
      <c r="A1403" s="94" t="s">
        <v>1070</v>
      </c>
      <c r="E1403" s="943">
        <f>SUM(B1402:E1402)</f>
        <v>3246</v>
      </c>
      <c r="F1403" s="943">
        <f t="shared" ref="F1403" si="504">SUM(C1402:F1402)</f>
        <v>3229.6577149609939</v>
      </c>
      <c r="G1403" s="943">
        <f t="shared" ref="G1403" si="505">SUM(D1402:G1402)</f>
        <v>3218.8899119906864</v>
      </c>
      <c r="H1403" s="943">
        <f t="shared" ref="H1403" si="506">SUM(E1402:H1402)</f>
        <v>3207.7885929991749</v>
      </c>
      <c r="I1403" s="943">
        <f t="shared" ref="I1403" si="507">SUM(F1402:I1402)</f>
        <v>3194.4479521510066</v>
      </c>
      <c r="J1403" s="943">
        <f t="shared" ref="J1403" si="508">SUM(G1402:J1402)</f>
        <v>3304.5193492710937</v>
      </c>
      <c r="K1403" s="943">
        <f t="shared" ref="K1403" si="509">SUM(H1402:K1402)</f>
        <v>3377.044526382288</v>
      </c>
      <c r="L1403" s="943">
        <f t="shared" ref="L1403" si="510">SUM(I1402:L1402)</f>
        <v>3451.8160585367496</v>
      </c>
      <c r="M1403" s="943">
        <f t="shared" ref="M1403" si="511">SUM(J1402:M1402)</f>
        <v>3541.6702602674327</v>
      </c>
      <c r="N1403" s="943">
        <f t="shared" ref="N1403" si="512">SUM(K1402:N1402)</f>
        <v>3499.2798903658572</v>
      </c>
      <c r="O1403" s="943">
        <f t="shared" ref="O1403" si="513">SUM(L1402:O1402)</f>
        <v>3471.3492093228369</v>
      </c>
      <c r="P1403" s="943">
        <f t="shared" ref="P1403" si="514">SUM(M1402:P1402)</f>
        <v>3442.5534186899881</v>
      </c>
      <c r="Q1403" s="943">
        <f t="shared" ref="Q1403" si="515">SUM(N1402:Q1402)</f>
        <v>3407.9490350968654</v>
      </c>
      <c r="R1403" s="943">
        <f t="shared" ref="R1403" si="516">SUM(O1402:R1402)</f>
        <v>3217.98125843446</v>
      </c>
      <c r="S1403" s="943">
        <f t="shared" ref="S1403" si="517">SUM(P1402:S1402)</f>
        <v>3228.3030482875101</v>
      </c>
      <c r="T1403" s="943">
        <f t="shared" ref="T1403" si="518">SUM(Q1402:T1402)</f>
        <v>3232.9929637045934</v>
      </c>
      <c r="U1403" s="943">
        <f t="shared" ref="U1403" si="519">SUM(R1402:U1402)</f>
        <v>3061.8840867658951</v>
      </c>
    </row>
    <row r="1405" spans="1:21" x14ac:dyDescent="0.3">
      <c r="A1405" t="s">
        <v>1071</v>
      </c>
      <c r="B1405" s="887">
        <f>B1391-B1402</f>
        <v>-482</v>
      </c>
      <c r="C1405" s="887">
        <f t="shared" ref="C1405:U1405" si="520">C1391-C1402</f>
        <v>-118</v>
      </c>
      <c r="D1405" s="887">
        <f t="shared" si="520"/>
        <v>-150</v>
      </c>
      <c r="E1405" s="887">
        <f t="shared" si="520"/>
        <v>-245</v>
      </c>
      <c r="F1405" s="887">
        <f t="shared" si="520"/>
        <v>-425.45173339249266</v>
      </c>
      <c r="G1405" s="887">
        <f t="shared" si="520"/>
        <v>-66.070680250239775</v>
      </c>
      <c r="H1405" s="887">
        <f t="shared" si="520"/>
        <v>-98.545694022917701</v>
      </c>
      <c r="I1405" s="887">
        <f t="shared" si="520"/>
        <v>-187.925247573663</v>
      </c>
      <c r="J1405" s="887">
        <f t="shared" si="520"/>
        <v>-472.20661882474462</v>
      </c>
      <c r="K1405" s="887">
        <f t="shared" si="520"/>
        <v>-73.77456568833054</v>
      </c>
      <c r="L1405" s="887">
        <f t="shared" si="520"/>
        <v>-109.45376741354903</v>
      </c>
      <c r="M1405" s="887">
        <f t="shared" si="520"/>
        <v>-207.06176663688393</v>
      </c>
      <c r="N1405" s="887">
        <f t="shared" si="520"/>
        <v>-347.74432892780885</v>
      </c>
      <c r="O1405" s="887">
        <f t="shared" si="520"/>
        <v>42.565687226471368</v>
      </c>
      <c r="P1405" s="887">
        <f t="shared" si="520"/>
        <v>11.543564953247028</v>
      </c>
      <c r="Q1405" s="887">
        <f t="shared" si="520"/>
        <v>-68.427784997810022</v>
      </c>
      <c r="R1405" s="887">
        <f t="shared" si="520"/>
        <v>-64.740621743546853</v>
      </c>
      <c r="S1405" s="887">
        <f t="shared" si="520"/>
        <v>131.37862146186092</v>
      </c>
      <c r="T1405" s="887">
        <f t="shared" si="520"/>
        <v>108.97921263702688</v>
      </c>
      <c r="U1405" s="887">
        <f t="shared" si="520"/>
        <v>214.80365209805848</v>
      </c>
    </row>
    <row r="1406" spans="1:21" x14ac:dyDescent="0.3">
      <c r="A1406" s="94" t="s">
        <v>1072</v>
      </c>
      <c r="E1406" s="943">
        <f>SUM(B1405:E1405)</f>
        <v>-995</v>
      </c>
      <c r="F1406" s="943">
        <f t="shared" ref="F1406" si="521">SUM(C1405:F1405)</f>
        <v>-938.45173339249266</v>
      </c>
      <c r="G1406" s="943">
        <f t="shared" ref="G1406" si="522">SUM(D1405:G1405)</f>
        <v>-886.52241364273243</v>
      </c>
      <c r="H1406" s="943">
        <f t="shared" ref="H1406" si="523">SUM(E1405:H1405)</f>
        <v>-835.06810766565013</v>
      </c>
      <c r="I1406" s="943">
        <f t="shared" ref="I1406" si="524">SUM(F1405:I1405)</f>
        <v>-777.99335523931313</v>
      </c>
      <c r="J1406" s="943">
        <f t="shared" ref="J1406" si="525">SUM(G1405:J1405)</f>
        <v>-824.7482406715651</v>
      </c>
      <c r="K1406" s="943">
        <f t="shared" ref="K1406" si="526">SUM(H1405:K1405)</f>
        <v>-832.45212610965586</v>
      </c>
      <c r="L1406" s="943">
        <f t="shared" ref="L1406" si="527">SUM(I1405:L1405)</f>
        <v>-843.36019950028719</v>
      </c>
      <c r="M1406" s="943">
        <f t="shared" ref="M1406" si="528">SUM(J1405:M1405)</f>
        <v>-862.49671856350813</v>
      </c>
      <c r="N1406" s="943">
        <f t="shared" ref="N1406" si="529">SUM(K1405:N1405)</f>
        <v>-738.03442866657235</v>
      </c>
      <c r="O1406" s="943">
        <f t="shared" ref="O1406" si="530">SUM(L1405:O1405)</f>
        <v>-621.69417575177044</v>
      </c>
      <c r="P1406" s="943">
        <f t="shared" ref="P1406" si="531">SUM(M1405:P1405)</f>
        <v>-500.69684338497439</v>
      </c>
      <c r="Q1406" s="943">
        <f t="shared" ref="Q1406" si="532">SUM(N1405:Q1405)</f>
        <v>-362.06286174590048</v>
      </c>
      <c r="R1406" s="943">
        <f t="shared" ref="R1406" si="533">SUM(O1405:R1405)</f>
        <v>-79.059154561638479</v>
      </c>
      <c r="S1406" s="943">
        <f t="shared" ref="S1406" si="534">SUM(P1405:S1405)</f>
        <v>9.7537796737510689</v>
      </c>
      <c r="T1406" s="943">
        <f t="shared" ref="T1406" si="535">SUM(Q1405:T1405)</f>
        <v>107.18942735753092</v>
      </c>
      <c r="U1406" s="943">
        <f t="shared" ref="U1406" si="536">SUM(R1405:U1405)</f>
        <v>390.42086445339942</v>
      </c>
    </row>
    <row r="1407" spans="1:21" x14ac:dyDescent="0.3">
      <c r="A1407" s="94" t="s">
        <v>1103</v>
      </c>
      <c r="B1407" s="943">
        <f>B1405-B1342</f>
        <v>0</v>
      </c>
      <c r="C1407" s="943">
        <f t="shared" ref="C1407:U1407" si="537">C1405-C1342</f>
        <v>0</v>
      </c>
      <c r="D1407" s="943">
        <f t="shared" si="537"/>
        <v>0</v>
      </c>
      <c r="E1407" s="943">
        <f t="shared" si="537"/>
        <v>0</v>
      </c>
      <c r="F1407" s="943">
        <f t="shared" si="537"/>
        <v>0</v>
      </c>
      <c r="G1407" s="943">
        <f t="shared" si="537"/>
        <v>0</v>
      </c>
      <c r="H1407" s="943">
        <f t="shared" si="537"/>
        <v>0</v>
      </c>
      <c r="I1407" s="943">
        <f t="shared" si="537"/>
        <v>0</v>
      </c>
      <c r="J1407" s="943">
        <f t="shared" si="537"/>
        <v>-145.56952968576729</v>
      </c>
      <c r="K1407" s="943">
        <f t="shared" si="537"/>
        <v>-95.914617227356757</v>
      </c>
      <c r="L1407" s="943">
        <f t="shared" si="537"/>
        <v>-98.569981492760917</v>
      </c>
      <c r="M1407" s="943">
        <f t="shared" si="537"/>
        <v>-116.98720886644855</v>
      </c>
      <c r="N1407" s="943">
        <f t="shared" si="537"/>
        <v>-456.78092447270797</v>
      </c>
      <c r="O1407" s="943">
        <f t="shared" si="537"/>
        <v>-294.73116241064599</v>
      </c>
      <c r="P1407" s="943">
        <f t="shared" si="537"/>
        <v>-298.50092236126756</v>
      </c>
      <c r="Q1407" s="943">
        <f t="shared" si="537"/>
        <v>-354.90459189090933</v>
      </c>
      <c r="R1407" s="943">
        <f t="shared" si="537"/>
        <v>-349.11980613294918</v>
      </c>
      <c r="S1407" s="943">
        <f t="shared" si="537"/>
        <v>-346.11038965365935</v>
      </c>
      <c r="T1407" s="943">
        <f t="shared" si="537"/>
        <v>-342.09742290074246</v>
      </c>
      <c r="U1407" s="943">
        <f t="shared" si="537"/>
        <v>-233.15444014058733</v>
      </c>
    </row>
    <row r="1408" spans="1:21" x14ac:dyDescent="0.3">
      <c r="A1408" s="94" t="s">
        <v>1104</v>
      </c>
      <c r="B1408" s="887">
        <f>B1407</f>
        <v>0</v>
      </c>
      <c r="C1408" s="887">
        <f>B1408+C1407</f>
        <v>0</v>
      </c>
      <c r="D1408" s="887">
        <f t="shared" ref="D1408:U1408" si="538">C1408+D1407</f>
        <v>0</v>
      </c>
      <c r="E1408" s="887">
        <f t="shared" si="538"/>
        <v>0</v>
      </c>
      <c r="F1408" s="887">
        <f t="shared" si="538"/>
        <v>0</v>
      </c>
      <c r="G1408" s="887">
        <f t="shared" si="538"/>
        <v>0</v>
      </c>
      <c r="H1408" s="887">
        <f t="shared" si="538"/>
        <v>0</v>
      </c>
      <c r="I1408" s="887">
        <f t="shared" si="538"/>
        <v>0</v>
      </c>
      <c r="J1408" s="887">
        <f t="shared" si="538"/>
        <v>-145.56952968576729</v>
      </c>
      <c r="K1408" s="887">
        <f t="shared" si="538"/>
        <v>-241.48414691312405</v>
      </c>
      <c r="L1408" s="887">
        <f t="shared" si="538"/>
        <v>-340.05412840588497</v>
      </c>
      <c r="M1408" s="887">
        <f t="shared" si="538"/>
        <v>-457.04133727233352</v>
      </c>
      <c r="N1408" s="887">
        <f t="shared" si="538"/>
        <v>-913.82226174504149</v>
      </c>
      <c r="O1408" s="887">
        <f t="shared" si="538"/>
        <v>-1208.5534241556875</v>
      </c>
      <c r="P1408" s="887">
        <f t="shared" si="538"/>
        <v>-1507.0543465169551</v>
      </c>
      <c r="Q1408" s="887">
        <f t="shared" si="538"/>
        <v>-1861.9589384078645</v>
      </c>
      <c r="R1408" s="887">
        <f t="shared" si="538"/>
        <v>-2211.0787445408137</v>
      </c>
      <c r="S1408" s="887">
        <f t="shared" si="538"/>
        <v>-2557.1891341944729</v>
      </c>
      <c r="T1408" s="887">
        <f t="shared" si="538"/>
        <v>-2899.2865570952154</v>
      </c>
      <c r="U1408" s="887">
        <f t="shared" si="538"/>
        <v>-3132.4409972358026</v>
      </c>
    </row>
    <row r="1410" spans="1:21" x14ac:dyDescent="0.3">
      <c r="A1410" t="s">
        <v>1105</v>
      </c>
      <c r="B1410" s="887">
        <f>-B1408</f>
        <v>0</v>
      </c>
      <c r="C1410" s="887">
        <f t="shared" ref="C1410:U1410" si="539">-C1408</f>
        <v>0</v>
      </c>
      <c r="D1410" s="887">
        <f t="shared" si="539"/>
        <v>0</v>
      </c>
      <c r="E1410" s="887">
        <f t="shared" si="539"/>
        <v>0</v>
      </c>
      <c r="F1410" s="887">
        <f t="shared" si="539"/>
        <v>0</v>
      </c>
      <c r="G1410" s="887">
        <f t="shared" si="539"/>
        <v>0</v>
      </c>
      <c r="H1410" s="887">
        <f t="shared" si="539"/>
        <v>0</v>
      </c>
      <c r="I1410" s="887">
        <f t="shared" si="539"/>
        <v>0</v>
      </c>
      <c r="J1410" s="887">
        <f t="shared" si="539"/>
        <v>145.56952968576729</v>
      </c>
      <c r="K1410" s="887">
        <f t="shared" si="539"/>
        <v>241.48414691312405</v>
      </c>
      <c r="L1410" s="887">
        <f t="shared" si="539"/>
        <v>340.05412840588497</v>
      </c>
      <c r="M1410" s="887">
        <f t="shared" si="539"/>
        <v>457.04133727233352</v>
      </c>
      <c r="N1410" s="887">
        <f t="shared" si="539"/>
        <v>913.82226174504149</v>
      </c>
      <c r="O1410" s="887">
        <f t="shared" si="539"/>
        <v>1208.5534241556875</v>
      </c>
      <c r="P1410" s="887">
        <f t="shared" si="539"/>
        <v>1507.0543465169551</v>
      </c>
      <c r="Q1410" s="887">
        <f t="shared" si="539"/>
        <v>1861.9589384078645</v>
      </c>
      <c r="R1410" s="887">
        <f t="shared" si="539"/>
        <v>2211.0787445408137</v>
      </c>
      <c r="S1410" s="887">
        <f t="shared" si="539"/>
        <v>2557.1891341944729</v>
      </c>
      <c r="T1410" s="887">
        <f t="shared" si="539"/>
        <v>2899.2865570952154</v>
      </c>
      <c r="U1410" s="887">
        <f t="shared" si="539"/>
        <v>3132.4409972358026</v>
      </c>
    </row>
    <row r="1411" spans="1:21" x14ac:dyDescent="0.3">
      <c r="A1411" s="94" t="s">
        <v>1106</v>
      </c>
      <c r="B1411" s="885">
        <f>B1410*B1412/4</f>
        <v>0</v>
      </c>
      <c r="C1411" s="885">
        <f t="shared" ref="C1411:U1411" si="540">C1410*C1412/4</f>
        <v>0</v>
      </c>
      <c r="D1411" s="885">
        <f t="shared" si="540"/>
        <v>0</v>
      </c>
      <c r="E1411" s="885">
        <f t="shared" si="540"/>
        <v>0</v>
      </c>
      <c r="F1411" s="885">
        <f t="shared" si="540"/>
        <v>0</v>
      </c>
      <c r="G1411" s="885">
        <f t="shared" si="540"/>
        <v>0</v>
      </c>
      <c r="H1411" s="885">
        <f t="shared" si="540"/>
        <v>0</v>
      </c>
      <c r="I1411" s="885">
        <f t="shared" si="540"/>
        <v>0</v>
      </c>
      <c r="J1411" s="885">
        <f t="shared" si="540"/>
        <v>3.0933525058225553</v>
      </c>
      <c r="K1411" s="885">
        <f t="shared" si="540"/>
        <v>5.131538121903886</v>
      </c>
      <c r="L1411" s="885">
        <f t="shared" si="540"/>
        <v>7.2261502286250563</v>
      </c>
      <c r="M1411" s="885">
        <f t="shared" si="540"/>
        <v>9.7121284170370874</v>
      </c>
      <c r="N1411" s="885">
        <f t="shared" si="540"/>
        <v>19.418723062082133</v>
      </c>
      <c r="O1411" s="885">
        <f t="shared" si="540"/>
        <v>25.681760263308362</v>
      </c>
      <c r="P1411" s="885">
        <f t="shared" si="540"/>
        <v>32.024904863485297</v>
      </c>
      <c r="Q1411" s="885">
        <f t="shared" si="540"/>
        <v>39.566627441167121</v>
      </c>
      <c r="R1411" s="885">
        <f t="shared" si="540"/>
        <v>46.985423321492291</v>
      </c>
      <c r="S1411" s="885">
        <f t="shared" si="540"/>
        <v>54.340269101632551</v>
      </c>
      <c r="T1411" s="885">
        <f t="shared" si="540"/>
        <v>61.609839338273332</v>
      </c>
      <c r="U1411" s="885">
        <f t="shared" si="540"/>
        <v>66.564371191260804</v>
      </c>
    </row>
    <row r="1412" spans="1:21" x14ac:dyDescent="0.3">
      <c r="A1412" s="94" t="s">
        <v>1107</v>
      </c>
      <c r="B1412" s="482">
        <v>8.5000000000000006E-2</v>
      </c>
      <c r="C1412" s="623">
        <f>B1412</f>
        <v>8.5000000000000006E-2</v>
      </c>
      <c r="D1412" s="623">
        <f t="shared" ref="D1412:U1412" si="541">C1412</f>
        <v>8.5000000000000006E-2</v>
      </c>
      <c r="E1412" s="623">
        <f t="shared" si="541"/>
        <v>8.5000000000000006E-2</v>
      </c>
      <c r="F1412" s="623">
        <f t="shared" si="541"/>
        <v>8.5000000000000006E-2</v>
      </c>
      <c r="G1412" s="623">
        <f t="shared" si="541"/>
        <v>8.5000000000000006E-2</v>
      </c>
      <c r="H1412" s="623">
        <f t="shared" si="541"/>
        <v>8.5000000000000006E-2</v>
      </c>
      <c r="I1412" s="623">
        <f t="shared" si="541"/>
        <v>8.5000000000000006E-2</v>
      </c>
      <c r="J1412" s="623">
        <f t="shared" si="541"/>
        <v>8.5000000000000006E-2</v>
      </c>
      <c r="K1412" s="623">
        <f t="shared" si="541"/>
        <v>8.5000000000000006E-2</v>
      </c>
      <c r="L1412" s="623">
        <f t="shared" si="541"/>
        <v>8.5000000000000006E-2</v>
      </c>
      <c r="M1412" s="623">
        <f t="shared" si="541"/>
        <v>8.5000000000000006E-2</v>
      </c>
      <c r="N1412" s="623">
        <f t="shared" si="541"/>
        <v>8.5000000000000006E-2</v>
      </c>
      <c r="O1412" s="623">
        <f t="shared" si="541"/>
        <v>8.5000000000000006E-2</v>
      </c>
      <c r="P1412" s="623">
        <f t="shared" si="541"/>
        <v>8.5000000000000006E-2</v>
      </c>
      <c r="Q1412" s="623">
        <f t="shared" si="541"/>
        <v>8.5000000000000006E-2</v>
      </c>
      <c r="R1412" s="623">
        <f t="shared" si="541"/>
        <v>8.5000000000000006E-2</v>
      </c>
      <c r="S1412" s="623">
        <f t="shared" si="541"/>
        <v>8.5000000000000006E-2</v>
      </c>
      <c r="T1412" s="623">
        <f t="shared" si="541"/>
        <v>8.5000000000000006E-2</v>
      </c>
      <c r="U1412" s="623">
        <f t="shared" si="541"/>
        <v>8.5000000000000006E-2</v>
      </c>
    </row>
    <row r="1414" spans="1:21" x14ac:dyDescent="0.3">
      <c r="A1414" s="94" t="s">
        <v>1108</v>
      </c>
      <c r="B1414" s="887">
        <f>B1407-B1411</f>
        <v>0</v>
      </c>
      <c r="C1414" s="887">
        <f t="shared" ref="C1414:U1414" si="542">C1407-C1411</f>
        <v>0</v>
      </c>
      <c r="D1414" s="887">
        <f t="shared" si="542"/>
        <v>0</v>
      </c>
      <c r="E1414" s="887">
        <f t="shared" si="542"/>
        <v>0</v>
      </c>
      <c r="F1414" s="887">
        <f t="shared" si="542"/>
        <v>0</v>
      </c>
      <c r="G1414" s="887">
        <f t="shared" si="542"/>
        <v>0</v>
      </c>
      <c r="H1414" s="887">
        <f t="shared" si="542"/>
        <v>0</v>
      </c>
      <c r="I1414" s="887">
        <f t="shared" si="542"/>
        <v>0</v>
      </c>
      <c r="J1414" s="887">
        <f t="shared" si="542"/>
        <v>-148.66288219158986</v>
      </c>
      <c r="K1414" s="887">
        <f t="shared" si="542"/>
        <v>-101.04615534926064</v>
      </c>
      <c r="L1414" s="887">
        <f t="shared" si="542"/>
        <v>-105.79613172138598</v>
      </c>
      <c r="M1414" s="887">
        <f t="shared" si="542"/>
        <v>-126.69933728348565</v>
      </c>
      <c r="N1414" s="887">
        <f t="shared" si="542"/>
        <v>-476.19964753479007</v>
      </c>
      <c r="O1414" s="887">
        <f t="shared" si="542"/>
        <v>-320.41292267395437</v>
      </c>
      <c r="P1414" s="887">
        <f t="shared" si="542"/>
        <v>-330.52582722475285</v>
      </c>
      <c r="Q1414" s="887">
        <f t="shared" si="542"/>
        <v>-394.47121933207643</v>
      </c>
      <c r="R1414" s="887">
        <f t="shared" si="542"/>
        <v>-396.10522945444148</v>
      </c>
      <c r="S1414" s="887">
        <f t="shared" si="542"/>
        <v>-400.4506587552919</v>
      </c>
      <c r="T1414" s="887">
        <f t="shared" si="542"/>
        <v>-403.70726223901579</v>
      </c>
      <c r="U1414" s="887">
        <f t="shared" si="542"/>
        <v>-299.71881133184814</v>
      </c>
    </row>
    <row r="1415" spans="1:21" x14ac:dyDescent="0.3">
      <c r="A1415" s="94" t="s">
        <v>1109</v>
      </c>
      <c r="B1415" s="887">
        <f>B1414</f>
        <v>0</v>
      </c>
      <c r="C1415" s="887">
        <f>B1415+C1414</f>
        <v>0</v>
      </c>
      <c r="D1415" s="887">
        <f t="shared" ref="D1415" si="543">C1415+D1414</f>
        <v>0</v>
      </c>
      <c r="E1415" s="887">
        <f t="shared" ref="E1415" si="544">D1415+E1414</f>
        <v>0</v>
      </c>
      <c r="F1415" s="887">
        <f t="shared" ref="F1415" si="545">E1415+F1414</f>
        <v>0</v>
      </c>
      <c r="G1415" s="887">
        <f t="shared" ref="G1415" si="546">F1415+G1414</f>
        <v>0</v>
      </c>
      <c r="H1415" s="887">
        <f t="shared" ref="H1415" si="547">G1415+H1414</f>
        <v>0</v>
      </c>
      <c r="I1415" s="887">
        <f t="shared" ref="I1415" si="548">H1415+I1414</f>
        <v>0</v>
      </c>
      <c r="J1415" s="887">
        <f t="shared" ref="J1415" si="549">I1415+J1414</f>
        <v>-148.66288219158986</v>
      </c>
      <c r="K1415" s="887">
        <f t="shared" ref="K1415" si="550">J1415+K1414</f>
        <v>-249.70903754085049</v>
      </c>
      <c r="L1415" s="887">
        <f t="shared" ref="L1415" si="551">K1415+L1414</f>
        <v>-355.50516926223645</v>
      </c>
      <c r="M1415" s="887">
        <f t="shared" ref="M1415" si="552">L1415+M1414</f>
        <v>-482.2045065457221</v>
      </c>
      <c r="N1415" s="887">
        <f t="shared" ref="N1415" si="553">M1415+N1414</f>
        <v>-958.40415408051217</v>
      </c>
      <c r="O1415" s="887">
        <f t="shared" ref="O1415" si="554">N1415+O1414</f>
        <v>-1278.8170767544666</v>
      </c>
      <c r="P1415" s="887">
        <f t="shared" ref="P1415" si="555">O1415+P1414</f>
        <v>-1609.3429039792195</v>
      </c>
      <c r="Q1415" s="887">
        <f t="shared" ref="Q1415" si="556">P1415+Q1414</f>
        <v>-2003.814123311296</v>
      </c>
      <c r="R1415" s="887">
        <f t="shared" ref="R1415" si="557">Q1415+R1414</f>
        <v>-2399.9193527657376</v>
      </c>
      <c r="S1415" s="887">
        <f t="shared" ref="S1415" si="558">R1415+S1414</f>
        <v>-2800.3700115210295</v>
      </c>
      <c r="T1415" s="887">
        <f t="shared" ref="T1415" si="559">S1415+T1414</f>
        <v>-3204.0772737600455</v>
      </c>
      <c r="U1415" s="887">
        <f t="shared" ref="U1415" si="560">T1415+U1414</f>
        <v>-3503.7960850918935</v>
      </c>
    </row>
    <row r="1418" spans="1:21" x14ac:dyDescent="0.3">
      <c r="A1418" t="s">
        <v>694</v>
      </c>
      <c r="B1418" s="885">
        <f>10000*E1418/1000</f>
        <v>18836.077618784177</v>
      </c>
      <c r="C1418" s="885"/>
      <c r="E1418" s="918">
        <v>1883.6077618784179</v>
      </c>
    </row>
    <row r="1419" spans="1:21" x14ac:dyDescent="0.3">
      <c r="A1419" t="s">
        <v>869</v>
      </c>
      <c r="B1419" s="885">
        <f>B1418</f>
        <v>18836.077618784177</v>
      </c>
      <c r="C1419" s="885">
        <f>Valuation!C279</f>
        <v>1375</v>
      </c>
    </row>
    <row r="1420" spans="1:21" x14ac:dyDescent="0.3">
      <c r="A1420" t="s">
        <v>1110</v>
      </c>
      <c r="B1420" s="885">
        <f>B1419+C1419</f>
        <v>20211.077618784177</v>
      </c>
      <c r="C1420" s="885"/>
    </row>
    <row r="1421" spans="1:21" x14ac:dyDescent="0.3">
      <c r="A1421" t="s">
        <v>866</v>
      </c>
      <c r="B1421" s="885">
        <f>B1420-C1421</f>
        <v>9400.0776187841766</v>
      </c>
      <c r="C1421" s="885">
        <f>Valuation!C281</f>
        <v>10811</v>
      </c>
    </row>
    <row r="1422" spans="1:21" x14ac:dyDescent="0.3">
      <c r="A1422" t="s">
        <v>1111</v>
      </c>
      <c r="B1422" s="885">
        <f>B1421-C1422</f>
        <v>5982.1223696350926</v>
      </c>
      <c r="C1422" s="885">
        <f>Valuation!C282</f>
        <v>3417.955249149084</v>
      </c>
    </row>
    <row r="1423" spans="1:21" x14ac:dyDescent="0.3">
      <c r="A1423" t="s">
        <v>754</v>
      </c>
      <c r="B1423" s="885">
        <f>B1422</f>
        <v>5982.1223696350926</v>
      </c>
      <c r="C1423" s="885"/>
    </row>
    <row r="1424" spans="1:21" x14ac:dyDescent="0.3">
      <c r="B1424" s="816">
        <f>B1423/Valuation!$B$7</f>
        <v>23.008162960134971</v>
      </c>
    </row>
    <row r="1427" spans="1:3" x14ac:dyDescent="0.3">
      <c r="A1427" t="s">
        <v>694</v>
      </c>
      <c r="B1427" s="885">
        <f>13000*E1418/1000</f>
        <v>24486.900904419432</v>
      </c>
      <c r="C1427" s="885"/>
    </row>
    <row r="1428" spans="1:3" x14ac:dyDescent="0.3">
      <c r="A1428" t="s">
        <v>869</v>
      </c>
      <c r="B1428" s="885">
        <f>B1427</f>
        <v>24486.900904419432</v>
      </c>
      <c r="C1428" s="885">
        <f>2400*250/1000</f>
        <v>600</v>
      </c>
    </row>
    <row r="1429" spans="1:3" x14ac:dyDescent="0.3">
      <c r="A1429" t="s">
        <v>1110</v>
      </c>
      <c r="B1429" s="885">
        <f>B1428+C1428</f>
        <v>25086.900904419432</v>
      </c>
      <c r="C1429" s="885"/>
    </row>
    <row r="1430" spans="1:3" x14ac:dyDescent="0.3">
      <c r="A1430" t="s">
        <v>866</v>
      </c>
      <c r="B1430" s="887">
        <f>B1429-C1430</f>
        <v>14275.900904419432</v>
      </c>
      <c r="C1430" s="885">
        <f>C1421</f>
        <v>10811</v>
      </c>
    </row>
    <row r="1431" spans="1:3" x14ac:dyDescent="0.3">
      <c r="A1431" t="s">
        <v>1111</v>
      </c>
      <c r="B1431" s="887">
        <f>B1430-C1431</f>
        <v>7354.1495701784543</v>
      </c>
      <c r="C1431" s="885">
        <f>C1422-U1415</f>
        <v>6921.7513342409775</v>
      </c>
    </row>
    <row r="1432" spans="1:3" x14ac:dyDescent="0.3">
      <c r="A1432" t="s">
        <v>754</v>
      </c>
      <c r="B1432" s="887">
        <f>B1431</f>
        <v>7354.1495701784543</v>
      </c>
      <c r="C1432" s="885"/>
    </row>
    <row r="1433" spans="1:3" x14ac:dyDescent="0.3">
      <c r="B1433" s="816">
        <f>B1432/Valuation!$B$7</f>
        <v>28.285190654532517</v>
      </c>
    </row>
    <row r="1435" spans="1:3" x14ac:dyDescent="0.3">
      <c r="B1435">
        <f>B1433/B1424-1</f>
        <v>0.22935458617625293</v>
      </c>
    </row>
    <row r="1446" spans="1:20" x14ac:dyDescent="0.3">
      <c r="A1446" s="1256" t="s">
        <v>1112</v>
      </c>
      <c r="B1446" s="1257"/>
      <c r="C1446" s="1257"/>
      <c r="D1446" s="1257"/>
      <c r="E1446" s="1257"/>
      <c r="F1446" s="1257"/>
      <c r="G1446" s="1257"/>
      <c r="H1446" s="1257"/>
      <c r="I1446" s="1257"/>
      <c r="J1446" s="1257"/>
      <c r="K1446" s="1257"/>
      <c r="L1446" s="1257"/>
      <c r="M1446" s="1257"/>
      <c r="N1446" s="1257"/>
      <c r="O1446" s="1257"/>
      <c r="P1446" s="1257"/>
      <c r="Q1446" s="1257"/>
      <c r="R1446" s="1257"/>
      <c r="S1446" s="1257"/>
      <c r="T1446" s="1257"/>
    </row>
    <row r="1447" spans="1:20" x14ac:dyDescent="0.3">
      <c r="B1447" s="374" t="s">
        <v>1113</v>
      </c>
      <c r="C1447" s="374" t="s">
        <v>726</v>
      </c>
      <c r="D1447" s="374" t="s">
        <v>1114</v>
      </c>
      <c r="E1447" s="374" t="s">
        <v>1115</v>
      </c>
      <c r="F1447" s="374" t="s">
        <v>722</v>
      </c>
      <c r="G1447" s="374" t="s">
        <v>1114</v>
      </c>
      <c r="H1447" s="374" t="s">
        <v>1115</v>
      </c>
    </row>
    <row r="1448" spans="1:20" x14ac:dyDescent="0.3">
      <c r="A1448" t="s">
        <v>1116</v>
      </c>
      <c r="B1448" s="76" t="e">
        <f>#REF!</f>
        <v>#REF!</v>
      </c>
      <c r="C1448" s="76" t="e">
        <f>#REF!</f>
        <v>#REF!</v>
      </c>
      <c r="D1448" s="76" t="e">
        <f>B1448-C1448</f>
        <v>#REF!</v>
      </c>
      <c r="E1448" s="898" t="e">
        <f>B1448/C1448-1</f>
        <v>#REF!</v>
      </c>
      <c r="F1448" s="76" t="e">
        <f>#REF!</f>
        <v>#REF!</v>
      </c>
      <c r="G1448" s="76" t="e">
        <f>B1448-F1448</f>
        <v>#REF!</v>
      </c>
      <c r="H1448" s="898" t="e">
        <f>B1448/F1448-1</f>
        <v>#REF!</v>
      </c>
      <c r="I1448" s="76"/>
    </row>
    <row r="1449" spans="1:20" x14ac:dyDescent="0.3">
      <c r="A1449" t="s">
        <v>1117</v>
      </c>
      <c r="B1449" s="76" t="e">
        <f>B1448-B1450</f>
        <v>#REF!</v>
      </c>
      <c r="C1449" s="76" t="e">
        <f>C1448-C1450</f>
        <v>#REF!</v>
      </c>
      <c r="D1449" s="76" t="e">
        <f t="shared" ref="D1449:D1450" si="561">B1449-C1449</f>
        <v>#REF!</v>
      </c>
      <c r="E1449" s="898" t="e">
        <f t="shared" ref="E1449:E1450" si="562">B1449/C1449-1</f>
        <v>#REF!</v>
      </c>
      <c r="F1449" s="76" t="e">
        <f>F1448-F1450</f>
        <v>#REF!</v>
      </c>
      <c r="G1449" s="76" t="e">
        <f>B1449-F1449</f>
        <v>#REF!</v>
      </c>
      <c r="H1449" s="898" t="e">
        <f t="shared" ref="H1449:H1450" si="563">B1449/F1449-1</f>
        <v>#REF!</v>
      </c>
    </row>
    <row r="1450" spans="1:20" x14ac:dyDescent="0.3">
      <c r="A1450" t="s">
        <v>298</v>
      </c>
      <c r="B1450" s="76" t="e">
        <f>#REF!</f>
        <v>#REF!</v>
      </c>
      <c r="C1450" s="76" t="e">
        <f>#REF!</f>
        <v>#REF!</v>
      </c>
      <c r="D1450" s="76" t="e">
        <f t="shared" si="561"/>
        <v>#REF!</v>
      </c>
      <c r="E1450" s="898" t="e">
        <f t="shared" si="562"/>
        <v>#REF!</v>
      </c>
      <c r="F1450" s="76" t="e">
        <f>#REF!</f>
        <v>#REF!</v>
      </c>
      <c r="G1450" s="76" t="e">
        <f>B1450-F1450</f>
        <v>#REF!</v>
      </c>
      <c r="H1450" s="898" t="e">
        <f t="shared" si="563"/>
        <v>#REF!</v>
      </c>
    </row>
    <row r="1453" spans="1:20" outlineLevel="1" x14ac:dyDescent="0.3">
      <c r="A1453" t="s">
        <v>1118</v>
      </c>
      <c r="B1453" s="816" t="e">
        <f>#REF!</f>
        <v>#REF!</v>
      </c>
      <c r="C1453" s="816" t="e">
        <f>#REF!</f>
        <v>#REF!</v>
      </c>
      <c r="D1453" s="1015" t="e">
        <f>B1453-C1453</f>
        <v>#REF!</v>
      </c>
      <c r="E1453" s="898" t="e">
        <f>B1453/C1453-1</f>
        <v>#REF!</v>
      </c>
    </row>
    <row r="1454" spans="1:20" outlineLevel="1" x14ac:dyDescent="0.3"/>
    <row r="1455" spans="1:20" outlineLevel="1" x14ac:dyDescent="0.3">
      <c r="A1455" s="177" t="s">
        <v>1119</v>
      </c>
      <c r="B1455" s="885">
        <f>AVERAGE(1878,1963)</f>
        <v>1920.5</v>
      </c>
    </row>
    <row r="1456" spans="1:20" outlineLevel="1" x14ac:dyDescent="0.3">
      <c r="A1456" s="177" t="s">
        <v>1120</v>
      </c>
      <c r="B1456" s="1422" t="e">
        <f>D1453</f>
        <v>#REF!</v>
      </c>
    </row>
    <row r="1457" spans="1:21" outlineLevel="1" x14ac:dyDescent="0.3">
      <c r="A1457" s="177" t="s">
        <v>1121</v>
      </c>
      <c r="B1457" s="816" t="e">
        <f>B1455*B1456*3/1000</f>
        <v>#REF!</v>
      </c>
    </row>
    <row r="1458" spans="1:21" outlineLevel="1" x14ac:dyDescent="0.3"/>
    <row r="1459" spans="1:21" outlineLevel="1" x14ac:dyDescent="0.3"/>
    <row r="1460" spans="1:21" x14ac:dyDescent="0.3">
      <c r="B1460" s="374" t="s">
        <v>1113</v>
      </c>
      <c r="C1460" s="374" t="s">
        <v>726</v>
      </c>
      <c r="D1460" s="374" t="s">
        <v>1114</v>
      </c>
      <c r="E1460" s="374" t="s">
        <v>1115</v>
      </c>
      <c r="F1460" s="374" t="s">
        <v>722</v>
      </c>
      <c r="G1460" s="374" t="s">
        <v>1114</v>
      </c>
      <c r="H1460" s="374" t="s">
        <v>1115</v>
      </c>
    </row>
    <row r="1461" spans="1:21" x14ac:dyDescent="0.3">
      <c r="A1461" t="s">
        <v>1122</v>
      </c>
      <c r="B1461" s="76" t="e">
        <f>#REF!</f>
        <v>#REF!</v>
      </c>
      <c r="C1461" s="76" t="e">
        <f>#REF!</f>
        <v>#REF!</v>
      </c>
      <c r="D1461" s="76" t="e">
        <f>B1461-C1461</f>
        <v>#REF!</v>
      </c>
      <c r="E1461" s="898" t="e">
        <f>B1461/C1461-1</f>
        <v>#REF!</v>
      </c>
      <c r="F1461" s="76" t="e">
        <f>#REF!</f>
        <v>#REF!</v>
      </c>
      <c r="G1461" s="76" t="e">
        <f>B1461-F1461</f>
        <v>#REF!</v>
      </c>
      <c r="H1461" s="898" t="e">
        <f>B1461/F1461-1</f>
        <v>#REF!</v>
      </c>
    </row>
    <row r="1462" spans="1:21" x14ac:dyDescent="0.3">
      <c r="A1462" t="s">
        <v>1123</v>
      </c>
      <c r="B1462" s="76" t="e">
        <f>B1461-B1463</f>
        <v>#REF!</v>
      </c>
      <c r="C1462" s="76" t="e">
        <f>C1461-C1463</f>
        <v>#REF!</v>
      </c>
      <c r="D1462" s="76" t="e">
        <f t="shared" ref="D1462:D1463" si="564">B1462-C1462</f>
        <v>#REF!</v>
      </c>
      <c r="E1462" s="898" t="e">
        <f t="shared" ref="E1462:E1463" si="565">B1462/C1462-1</f>
        <v>#REF!</v>
      </c>
      <c r="F1462" s="76" t="e">
        <f>F1461-F1463</f>
        <v>#REF!</v>
      </c>
      <c r="G1462" s="76" t="e">
        <f>B1462-F1462</f>
        <v>#REF!</v>
      </c>
      <c r="H1462" s="898" t="e">
        <f t="shared" ref="H1462:H1463" si="566">B1462/F1462-1</f>
        <v>#REF!</v>
      </c>
    </row>
    <row r="1463" spans="1:21" x14ac:dyDescent="0.3">
      <c r="A1463" t="s">
        <v>299</v>
      </c>
      <c r="B1463" s="76" t="e">
        <f>#REF!</f>
        <v>#REF!</v>
      </c>
      <c r="C1463" s="76" t="e">
        <f>#REF!</f>
        <v>#REF!</v>
      </c>
      <c r="D1463" s="76" t="e">
        <f t="shared" si="564"/>
        <v>#REF!</v>
      </c>
      <c r="E1463" s="898" t="e">
        <f t="shared" si="565"/>
        <v>#REF!</v>
      </c>
      <c r="F1463" s="76" t="e">
        <f>#REF!</f>
        <v>#REF!</v>
      </c>
      <c r="G1463" s="76" t="e">
        <f>B1463-F1463</f>
        <v>#REF!</v>
      </c>
      <c r="H1463" s="898" t="e">
        <f t="shared" si="566"/>
        <v>#REF!</v>
      </c>
    </row>
    <row r="1466" spans="1:21" x14ac:dyDescent="0.3">
      <c r="A1466" t="s">
        <v>1124</v>
      </c>
      <c r="B1466" s="480" t="e">
        <f>#REF!</f>
        <v>#REF!</v>
      </c>
      <c r="C1466" s="816" t="e">
        <f>#REF!</f>
        <v>#REF!</v>
      </c>
      <c r="D1466" s="1015" t="e">
        <f>B1466-C1466</f>
        <v>#REF!</v>
      </c>
      <c r="E1466" s="898" t="e">
        <f>B1466/C1466-1</f>
        <v>#REF!</v>
      </c>
    </row>
    <row r="1468" spans="1:21" x14ac:dyDescent="0.3">
      <c r="A1468" s="177" t="s">
        <v>1119</v>
      </c>
      <c r="B1468" s="885">
        <f>AVERAGE(822,771)</f>
        <v>796.5</v>
      </c>
    </row>
    <row r="1469" spans="1:21" x14ac:dyDescent="0.3">
      <c r="A1469" s="177" t="s">
        <v>1120</v>
      </c>
      <c r="B1469" s="1422" t="e">
        <f>D1466</f>
        <v>#REF!</v>
      </c>
    </row>
    <row r="1470" spans="1:21" x14ac:dyDescent="0.3">
      <c r="A1470" s="177" t="s">
        <v>1121</v>
      </c>
      <c r="B1470" s="816" t="e">
        <f>B1468*B1469*3/1000</f>
        <v>#REF!</v>
      </c>
    </row>
    <row r="1472" spans="1:21" x14ac:dyDescent="0.3">
      <c r="B1472" s="692" t="s">
        <v>1125</v>
      </c>
      <c r="C1472" s="692" t="s">
        <v>1126</v>
      </c>
      <c r="D1472" s="692" t="s">
        <v>1127</v>
      </c>
      <c r="E1472" s="692" t="s">
        <v>1128</v>
      </c>
      <c r="F1472" s="692" t="s">
        <v>922</v>
      </c>
      <c r="G1472" s="692" t="s">
        <v>923</v>
      </c>
      <c r="H1472" s="692" t="s">
        <v>924</v>
      </c>
      <c r="I1472" s="692" t="s">
        <v>925</v>
      </c>
      <c r="J1472" s="692" t="s">
        <v>883</v>
      </c>
      <c r="K1472" s="692" t="s">
        <v>884</v>
      </c>
      <c r="L1472" s="692" t="s">
        <v>885</v>
      </c>
      <c r="M1472" s="692" t="s">
        <v>886</v>
      </c>
      <c r="N1472" s="692" t="s">
        <v>887</v>
      </c>
      <c r="O1472" s="692" t="s">
        <v>888</v>
      </c>
      <c r="P1472" s="692" t="s">
        <v>1027</v>
      </c>
      <c r="Q1472" s="692" t="s">
        <v>1028</v>
      </c>
      <c r="R1472" s="692" t="s">
        <v>1047</v>
      </c>
      <c r="S1472" s="692" t="s">
        <v>1048</v>
      </c>
      <c r="T1472" s="692" t="s">
        <v>1049</v>
      </c>
      <c r="U1472" s="692" t="s">
        <v>1050</v>
      </c>
    </row>
    <row r="1473" spans="1:21" x14ac:dyDescent="0.3">
      <c r="A1473" s="177" t="s">
        <v>1129</v>
      </c>
      <c r="B1473" s="816">
        <f>Inputs!EE433</f>
        <v>60.73</v>
      </c>
      <c r="C1473" s="816">
        <f>Inputs!EF433</f>
        <v>63.1</v>
      </c>
      <c r="D1473" s="816">
        <f>Inputs!EG433</f>
        <v>63.35</v>
      </c>
      <c r="E1473" s="816">
        <f>Inputs!EH433</f>
        <v>62.21</v>
      </c>
      <c r="F1473" s="816">
        <f>Inputs!EJ433</f>
        <v>62.1</v>
      </c>
      <c r="G1473" s="816">
        <f>Inputs!EK433</f>
        <v>63.35</v>
      </c>
      <c r="H1473" s="816">
        <f>Inputs!EL433</f>
        <v>62.97</v>
      </c>
      <c r="I1473" s="816">
        <f>Inputs!EM433</f>
        <v>61.2</v>
      </c>
      <c r="J1473" s="816">
        <f>Inputs!EO433</f>
        <v>61.44</v>
      </c>
      <c r="K1473" s="816">
        <f>Inputs!EP433</f>
        <v>63.12</v>
      </c>
      <c r="L1473" s="816">
        <f>Inputs!EQ433</f>
        <v>64.489999999999995</v>
      </c>
      <c r="M1473" s="816">
        <f>Inputs!ER433</f>
        <v>64.16</v>
      </c>
      <c r="N1473" s="816">
        <f>Inputs!ET433</f>
        <v>65.180000000000007</v>
      </c>
      <c r="O1473" s="816">
        <f>O1475-O1474</f>
        <v>66.030419999999992</v>
      </c>
      <c r="P1473" s="816">
        <f t="shared" ref="P1473:Q1473" si="567">P1475-P1474</f>
        <v>66.742749999999987</v>
      </c>
      <c r="Q1473" s="816">
        <f t="shared" si="567"/>
        <v>66.411549999999991</v>
      </c>
      <c r="R1473" s="816">
        <f t="shared" ref="R1473" si="568">R1475-R1474</f>
        <v>67.467250000000007</v>
      </c>
      <c r="S1473" s="816">
        <f t="shared" ref="S1473" si="569">S1475-S1474</f>
        <v>68.347434699999994</v>
      </c>
      <c r="T1473" s="816">
        <f t="shared" ref="T1473" si="570">T1475-T1474</f>
        <v>69.084696249999979</v>
      </c>
      <c r="U1473" s="816">
        <f t="shared" ref="U1473" si="571">U1475-U1474</f>
        <v>68.74190424999999</v>
      </c>
    </row>
    <row r="1474" spans="1:21" x14ac:dyDescent="0.3">
      <c r="A1474" s="177" t="s">
        <v>1130</v>
      </c>
      <c r="B1474" s="1422">
        <f>Inputs!EE434</f>
        <v>0</v>
      </c>
      <c r="C1474" s="1422">
        <f>Inputs!EF434</f>
        <v>0</v>
      </c>
      <c r="D1474" s="1422">
        <f>Inputs!EG434</f>
        <v>0.24</v>
      </c>
      <c r="E1474" s="1422">
        <f>Inputs!EH434</f>
        <v>0.54</v>
      </c>
      <c r="F1474" s="1422">
        <f>Inputs!EJ434</f>
        <v>1.1100000000000001</v>
      </c>
      <c r="G1474" s="1422">
        <f>Inputs!EK434</f>
        <v>1.38</v>
      </c>
      <c r="H1474" s="1422">
        <f>Inputs!EL434</f>
        <v>1.66</v>
      </c>
      <c r="I1474" s="1422">
        <f>Inputs!EM434</f>
        <v>2.1</v>
      </c>
      <c r="J1474" s="1422">
        <f>Inputs!EO434</f>
        <v>1.68</v>
      </c>
      <c r="K1474" s="1422">
        <f>Inputs!EP434</f>
        <v>1.34</v>
      </c>
      <c r="L1474" s="1422">
        <f>Inputs!EQ434</f>
        <v>0.16</v>
      </c>
      <c r="M1474" s="1422">
        <f>Inputs!ER434</f>
        <v>0.17</v>
      </c>
      <c r="N1474" s="1422">
        <f>Inputs!ET434</f>
        <v>0.17</v>
      </c>
      <c r="O1474" s="1422">
        <f>N1474</f>
        <v>0.17</v>
      </c>
      <c r="P1474" s="1422">
        <f>O1474</f>
        <v>0.17</v>
      </c>
      <c r="Q1474" s="1422">
        <f>P1474</f>
        <v>0.17</v>
      </c>
      <c r="R1474" s="1422">
        <f t="shared" ref="R1474:U1474" si="572">Q1474</f>
        <v>0.17</v>
      </c>
      <c r="S1474" s="1422">
        <f t="shared" si="572"/>
        <v>0.17</v>
      </c>
      <c r="T1474" s="1422">
        <f t="shared" si="572"/>
        <v>0.17</v>
      </c>
      <c r="U1474" s="1422">
        <f t="shared" si="572"/>
        <v>0.17</v>
      </c>
    </row>
    <row r="1475" spans="1:21" x14ac:dyDescent="0.3">
      <c r="A1475" s="177" t="s">
        <v>1131</v>
      </c>
      <c r="B1475" s="816">
        <f t="shared" ref="B1475:N1475" si="573">SUM(B1473:B1474)</f>
        <v>60.73</v>
      </c>
      <c r="C1475" s="816">
        <f t="shared" si="573"/>
        <v>63.1</v>
      </c>
      <c r="D1475" s="816">
        <f t="shared" si="573"/>
        <v>63.59</v>
      </c>
      <c r="E1475" s="816">
        <f t="shared" si="573"/>
        <v>62.75</v>
      </c>
      <c r="F1475" s="816">
        <f t="shared" si="573"/>
        <v>63.21</v>
      </c>
      <c r="G1475" s="816">
        <f t="shared" si="573"/>
        <v>64.73</v>
      </c>
      <c r="H1475" s="816">
        <f t="shared" si="573"/>
        <v>64.63</v>
      </c>
      <c r="I1475" s="816">
        <f t="shared" si="573"/>
        <v>63.300000000000004</v>
      </c>
      <c r="J1475" s="816">
        <f t="shared" si="573"/>
        <v>63.12</v>
      </c>
      <c r="K1475" s="816">
        <f t="shared" si="573"/>
        <v>64.459999999999994</v>
      </c>
      <c r="L1475" s="816">
        <f t="shared" si="573"/>
        <v>64.649999999999991</v>
      </c>
      <c r="M1475" s="816">
        <f t="shared" si="573"/>
        <v>64.33</v>
      </c>
      <c r="N1475" s="816">
        <f t="shared" si="573"/>
        <v>65.350000000000009</v>
      </c>
      <c r="O1475" s="816">
        <f>K1475*(1+O1477)</f>
        <v>66.200419999999994</v>
      </c>
      <c r="P1475" s="816">
        <f t="shared" ref="P1475:Q1475" si="574">L1475*(1+P1477)</f>
        <v>66.912749999999988</v>
      </c>
      <c r="Q1475" s="816">
        <f t="shared" si="574"/>
        <v>66.581549999999993</v>
      </c>
      <c r="R1475" s="816">
        <f t="shared" ref="R1475" si="575">N1475*(1+R1477)</f>
        <v>67.637250000000009</v>
      </c>
      <c r="S1475" s="816">
        <f t="shared" ref="S1475" si="576">O1475*(1+S1477)</f>
        <v>68.517434699999995</v>
      </c>
      <c r="T1475" s="816">
        <f t="shared" ref="T1475" si="577">P1475*(1+T1477)</f>
        <v>69.254696249999981</v>
      </c>
      <c r="U1475" s="816">
        <f t="shared" ref="U1475" si="578">Q1475*(1+U1477)</f>
        <v>68.911904249999992</v>
      </c>
    </row>
    <row r="1476" spans="1:21" x14ac:dyDescent="0.3">
      <c r="A1476" s="94" t="s">
        <v>1132</v>
      </c>
      <c r="B1476" s="94"/>
      <c r="C1476" s="94"/>
      <c r="D1476" s="94"/>
      <c r="E1476" s="94"/>
      <c r="F1476" s="1168">
        <f>F1473/B1473-1</f>
        <v>2.2558867116746262E-2</v>
      </c>
      <c r="G1476" s="1168">
        <f t="shared" ref="G1476:N1476" si="579">G1473/C1473-1</f>
        <v>3.961965134706924E-3</v>
      </c>
      <c r="H1476" s="1168">
        <f t="shared" si="579"/>
        <v>-5.9984214680347536E-3</v>
      </c>
      <c r="I1476" s="1168">
        <f t="shared" si="579"/>
        <v>-1.6235331940202546E-2</v>
      </c>
      <c r="J1476" s="1168">
        <f t="shared" si="579"/>
        <v>-1.0628019323671523E-2</v>
      </c>
      <c r="K1476" s="1168">
        <f t="shared" si="579"/>
        <v>-3.6306235201263304E-3</v>
      </c>
      <c r="L1476" s="1168">
        <f t="shared" si="579"/>
        <v>2.4138478640622463E-2</v>
      </c>
      <c r="M1476" s="1168">
        <f t="shared" si="579"/>
        <v>4.8366013071895253E-2</v>
      </c>
      <c r="N1476" s="1168">
        <f t="shared" si="579"/>
        <v>6.0872395833333481E-2</v>
      </c>
      <c r="O1476" s="1168">
        <f t="shared" ref="O1476" si="580">O1473/K1473-1</f>
        <v>4.6109315589353495E-2</v>
      </c>
      <c r="P1476" s="1168">
        <f t="shared" ref="P1476" si="581">P1473/L1473-1</f>
        <v>3.4931772367808867E-2</v>
      </c>
      <c r="Q1476" s="1168">
        <f t="shared" ref="Q1476" si="582">Q1473/M1473-1</f>
        <v>3.5092736907730515E-2</v>
      </c>
      <c r="R1476" s="1168">
        <f t="shared" ref="R1476" si="583">R1473/N1473-1</f>
        <v>3.5091285670451056E-2</v>
      </c>
      <c r="S1476" s="1168">
        <f t="shared" ref="S1476" si="584">S1473/O1473-1</f>
        <v>3.5090109982641282E-2</v>
      </c>
      <c r="T1476" s="1168">
        <f t="shared" ref="T1476" si="585">T1473/P1473-1</f>
        <v>3.5089148259548786E-2</v>
      </c>
      <c r="U1476" s="1168">
        <f t="shared" ref="U1476" si="586">U1473/Q1473-1</f>
        <v>3.5089592849436579E-2</v>
      </c>
    </row>
    <row r="1477" spans="1:21" x14ac:dyDescent="0.3">
      <c r="A1477" s="94" t="s">
        <v>1133</v>
      </c>
      <c r="B1477" s="94"/>
      <c r="C1477" s="94"/>
      <c r="D1477" s="94"/>
      <c r="E1477" s="94"/>
      <c r="F1477" s="1168">
        <f>F1475/B1475-1</f>
        <v>4.0836489379219465E-2</v>
      </c>
      <c r="G1477" s="1168">
        <f t="shared" ref="G1477:N1477" si="587">G1475/C1475-1</f>
        <v>2.5832012678288496E-2</v>
      </c>
      <c r="H1477" s="1168">
        <f t="shared" si="587"/>
        <v>1.6354772763012893E-2</v>
      </c>
      <c r="I1477" s="1168">
        <f t="shared" si="587"/>
        <v>8.7649402390439501E-3</v>
      </c>
      <c r="J1477" s="1168">
        <f t="shared" si="587"/>
        <v>-1.4238253440911341E-3</v>
      </c>
      <c r="K1477" s="1168">
        <f t="shared" si="587"/>
        <v>-4.171172562953962E-3</v>
      </c>
      <c r="L1477" s="1168">
        <f t="shared" si="587"/>
        <v>3.0945381401825678E-4</v>
      </c>
      <c r="M1477" s="1168">
        <f t="shared" si="587"/>
        <v>1.6271721958925678E-2</v>
      </c>
      <c r="N1477" s="1168">
        <f t="shared" si="587"/>
        <v>3.5329531051964791E-2</v>
      </c>
      <c r="O1477" s="376">
        <v>2.7E-2</v>
      </c>
      <c r="P1477" s="376">
        <v>3.5000000000000003E-2</v>
      </c>
      <c r="Q1477" s="376">
        <v>3.5000000000000003E-2</v>
      </c>
      <c r="R1477" s="376">
        <f t="shared" ref="R1477:U1477" si="588">Q1477</f>
        <v>3.5000000000000003E-2</v>
      </c>
      <c r="S1477" s="376">
        <f t="shared" si="588"/>
        <v>3.5000000000000003E-2</v>
      </c>
      <c r="T1477" s="376">
        <f t="shared" si="588"/>
        <v>3.5000000000000003E-2</v>
      </c>
      <c r="U1477" s="376">
        <f t="shared" si="588"/>
        <v>3.5000000000000003E-2</v>
      </c>
    </row>
    <row r="1480" spans="1:21" x14ac:dyDescent="0.3">
      <c r="A1480" s="114"/>
      <c r="B1480" s="114"/>
      <c r="C1480" s="114"/>
      <c r="D1480" s="114"/>
      <c r="E1480" s="114"/>
      <c r="F1480" s="114"/>
      <c r="G1480" s="114"/>
      <c r="H1480" s="114"/>
      <c r="I1480" s="114"/>
      <c r="J1480" s="114"/>
      <c r="K1480" s="114"/>
    </row>
    <row r="1481" spans="1:21" x14ac:dyDescent="0.3">
      <c r="A1481" s="494"/>
      <c r="B1481" s="820" t="s">
        <v>883</v>
      </c>
      <c r="C1481" s="820" t="s">
        <v>884</v>
      </c>
      <c r="D1481" s="820" t="s">
        <v>885</v>
      </c>
      <c r="E1481" s="820" t="s">
        <v>886</v>
      </c>
      <c r="F1481" s="820">
        <v>2023</v>
      </c>
      <c r="G1481" s="820" t="s">
        <v>887</v>
      </c>
      <c r="H1481" s="820" t="s">
        <v>888</v>
      </c>
      <c r="I1481" s="820" t="s">
        <v>1027</v>
      </c>
      <c r="J1481" s="820" t="s">
        <v>1028</v>
      </c>
      <c r="K1481" s="820">
        <v>2024</v>
      </c>
    </row>
    <row r="1482" spans="1:21" x14ac:dyDescent="0.3">
      <c r="A1482" s="708" t="s">
        <v>1129</v>
      </c>
      <c r="B1482" s="1691">
        <f>J1473</f>
        <v>61.44</v>
      </c>
      <c r="C1482" s="1691">
        <f t="shared" ref="C1482:E1482" si="589">K1473</f>
        <v>63.12</v>
      </c>
      <c r="D1482" s="1691">
        <f t="shared" si="589"/>
        <v>64.489999999999995</v>
      </c>
      <c r="E1482" s="1691">
        <f t="shared" si="589"/>
        <v>64.16</v>
      </c>
      <c r="F1482" s="1067">
        <f>Inputs!ES433</f>
        <v>63.39</v>
      </c>
      <c r="G1482" s="1691">
        <f>N1473</f>
        <v>65.180000000000007</v>
      </c>
      <c r="H1482" s="883">
        <f t="shared" ref="H1482:K1482" si="590">H1484-H1483</f>
        <v>66.546099999999981</v>
      </c>
      <c r="I1482" s="883">
        <f t="shared" si="590"/>
        <v>66.742749999999987</v>
      </c>
      <c r="J1482" s="883">
        <f t="shared" si="590"/>
        <v>66.411549999999991</v>
      </c>
      <c r="K1482" s="1066">
        <f t="shared" si="590"/>
        <v>66.297699999999992</v>
      </c>
    </row>
    <row r="1483" spans="1:21" x14ac:dyDescent="0.3">
      <c r="A1483" s="708" t="s">
        <v>1130</v>
      </c>
      <c r="B1483" s="1692">
        <f>J1474</f>
        <v>1.68</v>
      </c>
      <c r="C1483" s="1692">
        <f t="shared" ref="C1483" si="591">K1474</f>
        <v>1.34</v>
      </c>
      <c r="D1483" s="1692">
        <f t="shared" ref="D1483" si="592">L1474</f>
        <v>0.16</v>
      </c>
      <c r="E1483" s="1692">
        <f t="shared" ref="E1483" si="593">M1474</f>
        <v>0.17</v>
      </c>
      <c r="F1483" s="1693">
        <f>Inputs!ES434</f>
        <v>0.83</v>
      </c>
      <c r="G1483" s="1692">
        <f t="shared" ref="G1483" si="594">N1474</f>
        <v>0.17</v>
      </c>
      <c r="H1483" s="1692">
        <f t="shared" ref="H1483" si="595">O1474</f>
        <v>0.17</v>
      </c>
      <c r="I1483" s="1692">
        <f t="shared" ref="I1483" si="596">P1474</f>
        <v>0.17</v>
      </c>
      <c r="J1483" s="1692">
        <f t="shared" ref="J1483" si="597">Q1474</f>
        <v>0.17</v>
      </c>
      <c r="K1483" s="1693">
        <f>AVERAGE(G1483:J1483)</f>
        <v>0.17</v>
      </c>
    </row>
    <row r="1484" spans="1:21" x14ac:dyDescent="0.3">
      <c r="A1484" s="708" t="s">
        <v>1131</v>
      </c>
      <c r="B1484" s="883">
        <f t="shared" ref="B1484:G1484" si="598">SUM(B1482:B1483)</f>
        <v>63.12</v>
      </c>
      <c r="C1484" s="883">
        <f t="shared" si="598"/>
        <v>64.459999999999994</v>
      </c>
      <c r="D1484" s="883">
        <f t="shared" si="598"/>
        <v>64.649999999999991</v>
      </c>
      <c r="E1484" s="883">
        <f t="shared" si="598"/>
        <v>64.33</v>
      </c>
      <c r="F1484" s="1066">
        <f t="shared" si="598"/>
        <v>64.22</v>
      </c>
      <c r="G1484" s="883">
        <f t="shared" si="598"/>
        <v>65.350000000000009</v>
      </c>
      <c r="H1484" s="883">
        <f>C1484*(1+H1486)</f>
        <v>66.716099999999983</v>
      </c>
      <c r="I1484" s="883">
        <f t="shared" ref="I1484:J1484" si="599">D1484*(1+I1486)</f>
        <v>66.912749999999988</v>
      </c>
      <c r="J1484" s="883">
        <f t="shared" si="599"/>
        <v>66.581549999999993</v>
      </c>
      <c r="K1484" s="1066">
        <f>F1484*(1+K1486)</f>
        <v>66.467699999999994</v>
      </c>
    </row>
    <row r="1485" spans="1:21" x14ac:dyDescent="0.3">
      <c r="A1485" s="614" t="s">
        <v>1132</v>
      </c>
      <c r="B1485" s="713">
        <f>J1476</f>
        <v>-1.0628019323671523E-2</v>
      </c>
      <c r="C1485" s="713">
        <f t="shared" ref="C1485:E1485" si="600">K1476</f>
        <v>-3.6306235201263304E-3</v>
      </c>
      <c r="D1485" s="713">
        <f t="shared" si="600"/>
        <v>2.4138478640622463E-2</v>
      </c>
      <c r="E1485" s="713">
        <f t="shared" si="600"/>
        <v>4.8366013071895253E-2</v>
      </c>
      <c r="F1485" s="1694">
        <f>F1482/Drivers!EN186-1</f>
        <v>1.607527773516626E-2</v>
      </c>
      <c r="G1485" s="713">
        <f>N1476</f>
        <v>6.0872395833333481E-2</v>
      </c>
      <c r="H1485" s="713">
        <f>O1476</f>
        <v>4.6109315589353495E-2</v>
      </c>
      <c r="I1485" s="713">
        <f>P1476</f>
        <v>3.4931772367808867E-2</v>
      </c>
      <c r="J1485" s="713">
        <f>Q1476</f>
        <v>3.5092736907730515E-2</v>
      </c>
      <c r="K1485" s="1694">
        <f>K1482/F1482-1</f>
        <v>4.5870011042751013E-2</v>
      </c>
    </row>
    <row r="1486" spans="1:21" x14ac:dyDescent="0.3">
      <c r="A1486" s="614" t="s">
        <v>1133</v>
      </c>
      <c r="B1486" s="713">
        <f>J1477</f>
        <v>-1.4238253440911341E-3</v>
      </c>
      <c r="C1486" s="713">
        <f t="shared" ref="C1486" si="601">K1477</f>
        <v>-4.171172562953962E-3</v>
      </c>
      <c r="D1486" s="713">
        <f t="shared" ref="D1486" si="602">L1477</f>
        <v>3.0945381401825678E-4</v>
      </c>
      <c r="E1486" s="713">
        <f t="shared" ref="E1486" si="603">M1477</f>
        <v>1.6271721958925678E-2</v>
      </c>
      <c r="F1486" s="1694">
        <f>F1484/Inputs!EN435-1</f>
        <v>3.2807373847836274E-3</v>
      </c>
      <c r="G1486" s="713">
        <f t="shared" ref="G1486" si="604">N1477</f>
        <v>3.5329531051964791E-2</v>
      </c>
      <c r="H1486" s="376">
        <v>3.5000000000000003E-2</v>
      </c>
      <c r="I1486" s="376">
        <v>3.5000000000000003E-2</v>
      </c>
      <c r="J1486" s="376">
        <v>3.5000000000000003E-2</v>
      </c>
      <c r="K1486" s="1690">
        <v>3.5000000000000003E-2</v>
      </c>
    </row>
    <row r="1487" spans="1:21" x14ac:dyDescent="0.3">
      <c r="A1487" s="494"/>
      <c r="B1487" s="494"/>
      <c r="C1487" s="494"/>
      <c r="D1487" s="494"/>
      <c r="E1487" s="494"/>
      <c r="F1487" s="618"/>
      <c r="G1487" s="494"/>
      <c r="H1487" s="494"/>
      <c r="I1487" s="494"/>
      <c r="J1487" s="494"/>
      <c r="K1487" s="618"/>
    </row>
    <row r="1489" spans="1:11" x14ac:dyDescent="0.3">
      <c r="A1489" s="494"/>
      <c r="B1489" s="494"/>
      <c r="C1489" s="494"/>
      <c r="D1489" s="494"/>
      <c r="E1489" s="494"/>
      <c r="F1489" s="494"/>
      <c r="G1489" s="494"/>
      <c r="H1489" s="494"/>
      <c r="I1489" s="494"/>
      <c r="J1489" s="494"/>
      <c r="K1489" s="494"/>
    </row>
    <row r="1490" spans="1:11" x14ac:dyDescent="0.3">
      <c r="A1490" s="494"/>
      <c r="B1490" s="820" t="s">
        <v>883</v>
      </c>
      <c r="C1490" s="820" t="s">
        <v>884</v>
      </c>
      <c r="D1490" s="820" t="s">
        <v>885</v>
      </c>
      <c r="E1490" s="820" t="s">
        <v>886</v>
      </c>
      <c r="F1490" s="820">
        <v>2023</v>
      </c>
      <c r="G1490" s="820" t="s">
        <v>887</v>
      </c>
      <c r="H1490" s="820" t="s">
        <v>888</v>
      </c>
      <c r="I1490" s="820" t="s">
        <v>1027</v>
      </c>
      <c r="J1490" s="820" t="s">
        <v>1028</v>
      </c>
      <c r="K1490" s="820">
        <v>2024</v>
      </c>
    </row>
    <row r="1491" spans="1:11" x14ac:dyDescent="0.3">
      <c r="A1491" s="708" t="s">
        <v>1129</v>
      </c>
      <c r="B1491" s="1691">
        <f>B1482</f>
        <v>61.44</v>
      </c>
      <c r="C1491" s="1691">
        <f t="shared" ref="C1491:F1491" si="605">C1482</f>
        <v>63.12</v>
      </c>
      <c r="D1491" s="1691">
        <f t="shared" si="605"/>
        <v>64.489999999999995</v>
      </c>
      <c r="E1491" s="1691">
        <f t="shared" si="605"/>
        <v>64.16</v>
      </c>
      <c r="F1491" s="1067">
        <f t="shared" si="605"/>
        <v>63.39</v>
      </c>
      <c r="G1491" s="1691">
        <f t="shared" ref="G1491" si="606">G1482</f>
        <v>65.180000000000007</v>
      </c>
      <c r="H1491" s="883">
        <f t="shared" ref="H1491" si="607">H1493-H1492</f>
        <v>66.675019999999989</v>
      </c>
      <c r="I1491" s="883">
        <f t="shared" ref="I1491" si="608">I1493-I1492</f>
        <v>66.969024999999988</v>
      </c>
      <c r="J1491" s="883">
        <f t="shared" ref="J1491" si="609">J1493-J1492</f>
        <v>66.733199999999997</v>
      </c>
      <c r="K1491" s="1066">
        <f t="shared" ref="K1491" si="610">K1493-K1492</f>
        <v>66.42613999999999</v>
      </c>
    </row>
    <row r="1492" spans="1:11" x14ac:dyDescent="0.3">
      <c r="A1492" s="708" t="s">
        <v>1130</v>
      </c>
      <c r="B1492" s="1692">
        <f>B1483</f>
        <v>1.68</v>
      </c>
      <c r="C1492" s="1692">
        <f t="shared" ref="C1492:F1492" si="611">C1483</f>
        <v>1.34</v>
      </c>
      <c r="D1492" s="1692">
        <f t="shared" si="611"/>
        <v>0.16</v>
      </c>
      <c r="E1492" s="1692">
        <f t="shared" si="611"/>
        <v>0.17</v>
      </c>
      <c r="F1492" s="1693">
        <f t="shared" si="611"/>
        <v>0.83</v>
      </c>
      <c r="G1492" s="1692">
        <f t="shared" ref="G1492" si="612">G1483</f>
        <v>0.17</v>
      </c>
      <c r="H1492" s="1692">
        <f>G1492</f>
        <v>0.17</v>
      </c>
      <c r="I1492" s="1692">
        <f t="shared" ref="I1492:J1492" si="613">H1492</f>
        <v>0.17</v>
      </c>
      <c r="J1492" s="1692">
        <f t="shared" si="613"/>
        <v>0.17</v>
      </c>
      <c r="K1492" s="1693">
        <f>AVERAGE(G1492:J1492)</f>
        <v>0.17</v>
      </c>
    </row>
    <row r="1493" spans="1:11" x14ac:dyDescent="0.3">
      <c r="A1493" s="708" t="s">
        <v>1131</v>
      </c>
      <c r="B1493" s="883">
        <f>SUM(B1491:B1492)</f>
        <v>63.12</v>
      </c>
      <c r="C1493" s="883">
        <f t="shared" ref="C1493:G1493" si="614">SUM(C1491:C1492)</f>
        <v>64.459999999999994</v>
      </c>
      <c r="D1493" s="883">
        <f t="shared" si="614"/>
        <v>64.649999999999991</v>
      </c>
      <c r="E1493" s="883">
        <f t="shared" si="614"/>
        <v>64.33</v>
      </c>
      <c r="F1493" s="1066">
        <f t="shared" si="614"/>
        <v>64.22</v>
      </c>
      <c r="G1493" s="883">
        <f t="shared" si="614"/>
        <v>65.350000000000009</v>
      </c>
      <c r="H1493" s="883">
        <f>C1493*(1+H1495)</f>
        <v>66.845019999999991</v>
      </c>
      <c r="I1493" s="883">
        <f t="shared" ref="I1493" si="615">D1493*(1+I1495)</f>
        <v>67.13902499999999</v>
      </c>
      <c r="J1493" s="883">
        <f t="shared" ref="J1493" si="616">E1493*(1+J1495)</f>
        <v>66.903199999999998</v>
      </c>
      <c r="K1493" s="1066">
        <f>F1493*(1+K1495)</f>
        <v>66.596139999999991</v>
      </c>
    </row>
    <row r="1494" spans="1:11" x14ac:dyDescent="0.3">
      <c r="A1494" s="614" t="s">
        <v>1132</v>
      </c>
      <c r="B1494" s="713">
        <f>B1485</f>
        <v>-1.0628019323671523E-2</v>
      </c>
      <c r="C1494" s="713">
        <f t="shared" ref="C1494:E1494" si="617">C1485</f>
        <v>-3.6306235201263304E-3</v>
      </c>
      <c r="D1494" s="713">
        <f t="shared" si="617"/>
        <v>2.4138478640622463E-2</v>
      </c>
      <c r="E1494" s="713">
        <f t="shared" si="617"/>
        <v>4.8366013071895253E-2</v>
      </c>
      <c r="F1494" s="1694">
        <f>F1491/Drivers!EN186-1</f>
        <v>1.607527773516626E-2</v>
      </c>
      <c r="G1494" s="713">
        <f t="shared" ref="G1494" si="618">G1485</f>
        <v>6.0872395833333481E-2</v>
      </c>
      <c r="H1494" s="713">
        <f>H1491/C1491-1</f>
        <v>5.6321609632445924E-2</v>
      </c>
      <c r="I1494" s="713">
        <f t="shared" ref="I1494:J1494" si="619">I1491/D1491-1</f>
        <v>3.8440455884633185E-2</v>
      </c>
      <c r="J1494" s="713">
        <f t="shared" si="619"/>
        <v>4.0105985037406588E-2</v>
      </c>
      <c r="K1494" s="1694">
        <f>K1491/F1491-1</f>
        <v>4.789619813850754E-2</v>
      </c>
    </row>
    <row r="1495" spans="1:11" x14ac:dyDescent="0.3">
      <c r="A1495" s="614" t="s">
        <v>1133</v>
      </c>
      <c r="B1495" s="713">
        <f>B1486</f>
        <v>-1.4238253440911341E-3</v>
      </c>
      <c r="C1495" s="713">
        <f t="shared" ref="C1495:E1495" si="620">C1486</f>
        <v>-4.171172562953962E-3</v>
      </c>
      <c r="D1495" s="713">
        <f t="shared" si="620"/>
        <v>3.0945381401825678E-4</v>
      </c>
      <c r="E1495" s="713">
        <f t="shared" si="620"/>
        <v>1.6271721958925678E-2</v>
      </c>
      <c r="F1495" s="1694">
        <f>F1493/Inputs!EN435-1</f>
        <v>3.2807373847836274E-3</v>
      </c>
      <c r="G1495" s="713">
        <f t="shared" ref="G1495" si="621">G1486</f>
        <v>3.5329531051964791E-2</v>
      </c>
      <c r="H1495" s="376">
        <v>3.6999999999999998E-2</v>
      </c>
      <c r="I1495" s="376">
        <v>3.85E-2</v>
      </c>
      <c r="J1495" s="376">
        <v>0.04</v>
      </c>
      <c r="K1495" s="89">
        <v>3.6999999999999998E-2</v>
      </c>
    </row>
    <row r="1496" spans="1:11" x14ac:dyDescent="0.3">
      <c r="A1496" s="494"/>
      <c r="B1496" s="494"/>
      <c r="C1496" s="494"/>
      <c r="D1496" s="494"/>
      <c r="E1496" s="494"/>
      <c r="F1496" s="618"/>
      <c r="G1496" s="494"/>
      <c r="H1496" s="494"/>
      <c r="I1496" s="494"/>
      <c r="J1496" s="494"/>
      <c r="K1496" s="618"/>
    </row>
    <row r="1499" spans="1:11" x14ac:dyDescent="0.3">
      <c r="A1499" s="494"/>
      <c r="B1499" s="820" t="s">
        <v>883</v>
      </c>
      <c r="C1499" s="820" t="s">
        <v>887</v>
      </c>
      <c r="D1499" s="820" t="s">
        <v>553</v>
      </c>
      <c r="E1499" s="820" t="s">
        <v>1134</v>
      </c>
    </row>
    <row r="1500" spans="1:11" x14ac:dyDescent="0.3">
      <c r="A1500" s="144" t="s">
        <v>1135</v>
      </c>
      <c r="B1500" s="999">
        <v>378</v>
      </c>
      <c r="C1500" s="999">
        <v>401</v>
      </c>
      <c r="D1500" s="999">
        <f>C1500-B1500</f>
        <v>23</v>
      </c>
      <c r="E1500" s="1083">
        <f>C1500/B1500-1</f>
        <v>6.0846560846560926E-2</v>
      </c>
    </row>
    <row r="1501" spans="1:11" x14ac:dyDescent="0.3">
      <c r="A1501" s="144"/>
      <c r="B1501" s="999"/>
      <c r="C1501" s="999"/>
      <c r="D1501" s="999"/>
      <c r="E1501" s="144"/>
    </row>
    <row r="1502" spans="1:11" x14ac:dyDescent="0.3">
      <c r="A1502" s="708" t="s">
        <v>1136</v>
      </c>
      <c r="B1502" s="999">
        <f>Drivers!EO113</f>
        <v>140.70000000000005</v>
      </c>
      <c r="C1502" s="999">
        <f>Drivers!ET113</f>
        <v>154.86159999999995</v>
      </c>
      <c r="D1502" s="999">
        <f>C1502-B1502</f>
        <v>14.161599999999908</v>
      </c>
      <c r="E1502" s="1083">
        <f>C1502/B1502-1</f>
        <v>0.10065103056147762</v>
      </c>
    </row>
    <row r="1503" spans="1:11" x14ac:dyDescent="0.3">
      <c r="A1503" s="708" t="s">
        <v>1137</v>
      </c>
      <c r="B1503" s="873">
        <v>500</v>
      </c>
      <c r="C1503" s="873">
        <f>C1504/C1502*1000</f>
        <v>602.79630327983216</v>
      </c>
      <c r="D1503" s="873">
        <f>C1503-B1503</f>
        <v>102.79630327983216</v>
      </c>
      <c r="E1503" s="1244">
        <f>C1503/B1503-1</f>
        <v>0.20559260655966427</v>
      </c>
    </row>
    <row r="1504" spans="1:11" x14ac:dyDescent="0.3">
      <c r="A1504" s="708" t="s">
        <v>1138</v>
      </c>
      <c r="B1504" s="999">
        <f>B1502*B1503/1000</f>
        <v>70.350000000000023</v>
      </c>
      <c r="C1504" s="999">
        <f>B1504+D1500</f>
        <v>93.350000000000023</v>
      </c>
      <c r="D1504" s="999">
        <f>C1504-B1504</f>
        <v>23</v>
      </c>
      <c r="E1504" s="1083">
        <f>C1504/B1504-1</f>
        <v>0.32693674484719248</v>
      </c>
    </row>
    <row r="1505" spans="1:6" x14ac:dyDescent="0.3">
      <c r="A1505" s="494"/>
      <c r="B1505" s="494"/>
      <c r="C1505" s="494"/>
      <c r="D1505" s="494"/>
      <c r="E1505" s="494"/>
    </row>
    <row r="1508" spans="1:6" x14ac:dyDescent="0.3">
      <c r="B1508" s="692" t="s">
        <v>883</v>
      </c>
      <c r="C1508" s="692" t="s">
        <v>884</v>
      </c>
      <c r="D1508" s="692" t="s">
        <v>885</v>
      </c>
      <c r="E1508" s="692" t="s">
        <v>886</v>
      </c>
      <c r="F1508" s="692" t="s">
        <v>887</v>
      </c>
    </row>
    <row r="1509" spans="1:6" x14ac:dyDescent="0.3">
      <c r="A1509" t="s">
        <v>1139</v>
      </c>
      <c r="B1509" s="898">
        <f>Drivers!EO154</f>
        <v>0.435</v>
      </c>
      <c r="C1509" s="898">
        <f>Drivers!EP154</f>
        <v>0.434</v>
      </c>
      <c r="D1509" s="898">
        <f>Drivers!EQ154</f>
        <v>0.439</v>
      </c>
      <c r="E1509" s="898">
        <f>Drivers!ER154</f>
        <v>0.44500000000000001</v>
      </c>
      <c r="F1509" s="898">
        <f>Drivers!ET154</f>
        <v>0.44900000000000001</v>
      </c>
    </row>
    <row r="1510" spans="1:6" x14ac:dyDescent="0.3">
      <c r="A1510" t="s">
        <v>1140</v>
      </c>
      <c r="B1510" s="898">
        <f>Drivers!EO165</f>
        <v>0.16396808045474426</v>
      </c>
      <c r="C1510" s="898">
        <f>Drivers!EP165</f>
        <v>0.17104033807145605</v>
      </c>
      <c r="D1510" s="898">
        <f>Drivers!EQ165</f>
        <v>0.17311856899488928</v>
      </c>
      <c r="E1510" s="898">
        <f>Drivers!ER165</f>
        <v>0.17526468788249691</v>
      </c>
      <c r="F1510" s="898">
        <f>Drivers!ET165</f>
        <v>0.18046601671309193</v>
      </c>
    </row>
    <row r="1513" spans="1:6" x14ac:dyDescent="0.3">
      <c r="B1513" s="692" t="s">
        <v>883</v>
      </c>
      <c r="C1513" s="692" t="s">
        <v>884</v>
      </c>
      <c r="D1513" s="692" t="s">
        <v>885</v>
      </c>
      <c r="E1513" s="692" t="s">
        <v>886</v>
      </c>
      <c r="F1513" s="692" t="s">
        <v>887</v>
      </c>
    </row>
    <row r="1514" spans="1:6" x14ac:dyDescent="0.3">
      <c r="A1514" t="s">
        <v>1139</v>
      </c>
      <c r="B1514" s="898">
        <f>Drivers!EO152</f>
        <v>1.8753190763765505E-2</v>
      </c>
      <c r="C1514" s="898">
        <f>Drivers!EP152</f>
        <v>1.7296511254924044E-2</v>
      </c>
      <c r="D1514" s="898">
        <f>Drivers!EQ152</f>
        <v>2.3941275704989152E-2</v>
      </c>
      <c r="E1514" s="898">
        <f>Drivers!ER152</f>
        <v>2.177811201248056E-2</v>
      </c>
      <c r="F1514" s="898">
        <f>Drivers!ET152</f>
        <v>2.0622645739910263E-2</v>
      </c>
    </row>
    <row r="1515" spans="1:6" x14ac:dyDescent="0.3">
      <c r="A1515" t="s">
        <v>1140</v>
      </c>
      <c r="B1515" s="898">
        <f>Drivers!EO163</f>
        <v>4.2101093822141111E-2</v>
      </c>
      <c r="C1515" s="898">
        <f>Drivers!EP163</f>
        <v>3.5172042627967207E-2</v>
      </c>
      <c r="D1515" s="898">
        <f>Drivers!EQ163</f>
        <v>2.9727652005352094E-2</v>
      </c>
      <c r="E1515" s="898">
        <f>Drivers!ER163</f>
        <v>2.6736658063445162E-2</v>
      </c>
      <c r="F1515" s="898">
        <f>Drivers!ET163</f>
        <v>2.814325248768423E-2</v>
      </c>
    </row>
    <row r="1523" spans="1:5" x14ac:dyDescent="0.3">
      <c r="B1523" s="692" t="s">
        <v>887</v>
      </c>
      <c r="C1523" s="692" t="s">
        <v>888</v>
      </c>
      <c r="D1523" s="692" t="s">
        <v>1027</v>
      </c>
      <c r="E1523" s="692" t="s">
        <v>1028</v>
      </c>
    </row>
    <row r="1524" spans="1:5" x14ac:dyDescent="0.3">
      <c r="A1524" t="s">
        <v>1141</v>
      </c>
      <c r="B1524" s="885">
        <f>Drivers!ET173</f>
        <v>88</v>
      </c>
      <c r="C1524" s="885">
        <f>Drivers!EU173</f>
        <v>92</v>
      </c>
      <c r="D1524" s="885">
        <f>Drivers!EV173</f>
        <v>108</v>
      </c>
      <c r="E1524" s="885">
        <f>Drivers!EW173</f>
        <v>97</v>
      </c>
    </row>
    <row r="1525" spans="1:5" x14ac:dyDescent="0.3">
      <c r="A1525" t="s">
        <v>1142</v>
      </c>
      <c r="B1525" s="885"/>
      <c r="C1525" s="885">
        <f>-9/3</f>
        <v>-3</v>
      </c>
      <c r="D1525" s="885">
        <f>C1525*2</f>
        <v>-6</v>
      </c>
      <c r="E1525" s="885"/>
    </row>
    <row r="1526" spans="1:5" x14ac:dyDescent="0.3">
      <c r="A1526" t="s">
        <v>1143</v>
      </c>
      <c r="B1526" s="885">
        <f>SUM(B1524:B1525)</f>
        <v>88</v>
      </c>
      <c r="C1526" s="885">
        <f t="shared" ref="C1526:E1526" si="622">SUM(C1524:C1525)</f>
        <v>89</v>
      </c>
      <c r="D1526" s="885">
        <f t="shared" si="622"/>
        <v>102</v>
      </c>
      <c r="E1526" s="885">
        <f t="shared" si="622"/>
        <v>97</v>
      </c>
    </row>
    <row r="1530" spans="1:5" x14ac:dyDescent="0.3">
      <c r="B1530" s="692" t="s">
        <v>887</v>
      </c>
      <c r="C1530" s="692" t="s">
        <v>888</v>
      </c>
      <c r="D1530" s="692" t="s">
        <v>1027</v>
      </c>
      <c r="E1530" s="692" t="s">
        <v>1028</v>
      </c>
    </row>
    <row r="1531" spans="1:5" x14ac:dyDescent="0.3">
      <c r="A1531" t="s">
        <v>1142</v>
      </c>
      <c r="B1531" s="885">
        <v>0</v>
      </c>
      <c r="C1531" s="885">
        <f>-13/3</f>
        <v>-4.333333333333333</v>
      </c>
      <c r="D1531" s="885">
        <f>C1531*2</f>
        <v>-8.6666666666666661</v>
      </c>
      <c r="E1531" s="885">
        <v>0</v>
      </c>
    </row>
    <row r="1540" spans="1:9" x14ac:dyDescent="0.3">
      <c r="A1540" s="114"/>
      <c r="B1540" s="114"/>
      <c r="C1540" s="114"/>
      <c r="D1540" s="114"/>
      <c r="E1540" s="114"/>
      <c r="F1540" s="114"/>
      <c r="G1540" s="114"/>
      <c r="H1540" s="114"/>
      <c r="I1540" s="114"/>
    </row>
    <row r="1541" spans="1:9" x14ac:dyDescent="0.3">
      <c r="A1541" s="144"/>
      <c r="B1541" s="820" t="s">
        <v>883</v>
      </c>
      <c r="C1541" s="820" t="s">
        <v>884</v>
      </c>
      <c r="D1541" s="820" t="s">
        <v>885</v>
      </c>
      <c r="E1541" s="820" t="s">
        <v>886</v>
      </c>
      <c r="F1541" s="820" t="s">
        <v>887</v>
      </c>
      <c r="G1541" s="820" t="s">
        <v>888</v>
      </c>
      <c r="H1541" s="820" t="s">
        <v>1027</v>
      </c>
      <c r="I1541" s="820" t="s">
        <v>1028</v>
      </c>
    </row>
    <row r="1542" spans="1:9" x14ac:dyDescent="0.3">
      <c r="A1542" s="708" t="s">
        <v>1144</v>
      </c>
      <c r="B1542" s="999">
        <v>378</v>
      </c>
      <c r="C1542" s="999">
        <v>385</v>
      </c>
      <c r="D1542" s="999">
        <v>363</v>
      </c>
      <c r="E1542" s="999">
        <v>363</v>
      </c>
      <c r="F1542" s="999">
        <v>401</v>
      </c>
      <c r="G1542" s="999">
        <v>402</v>
      </c>
      <c r="H1542" s="999">
        <v>403</v>
      </c>
      <c r="I1542" s="999">
        <v>404</v>
      </c>
    </row>
    <row r="1543" spans="1:9" x14ac:dyDescent="0.3">
      <c r="A1543" s="708" t="s">
        <v>1145</v>
      </c>
      <c r="B1543" s="875">
        <v>0.15</v>
      </c>
      <c r="C1543" s="875">
        <f t="shared" ref="C1543:E1543" si="623">B1543</f>
        <v>0.15</v>
      </c>
      <c r="D1543" s="875">
        <f t="shared" si="623"/>
        <v>0.15</v>
      </c>
      <c r="E1543" s="875">
        <f t="shared" si="623"/>
        <v>0.15</v>
      </c>
      <c r="F1543" s="875">
        <f>F1544/F1542</f>
        <v>0.23054862842892765</v>
      </c>
      <c r="G1543" s="875">
        <f t="shared" ref="G1543:I1543" si="624">G1544/G1542</f>
        <v>0.22997512437810944</v>
      </c>
      <c r="H1543" s="875">
        <f t="shared" si="624"/>
        <v>0.22940446650124066</v>
      </c>
      <c r="I1543" s="875">
        <f t="shared" si="624"/>
        <v>0.22883663366336632</v>
      </c>
    </row>
    <row r="1544" spans="1:9" x14ac:dyDescent="0.3">
      <c r="A1544" s="708" t="s">
        <v>1146</v>
      </c>
      <c r="B1544" s="877">
        <f>B1542*B1543</f>
        <v>56.699999999999996</v>
      </c>
      <c r="C1544" s="877">
        <f t="shared" ref="C1544:E1544" si="625">C1542*C1543</f>
        <v>57.75</v>
      </c>
      <c r="D1544" s="877">
        <f t="shared" si="625"/>
        <v>54.449999999999996</v>
      </c>
      <c r="E1544" s="877">
        <f t="shared" si="625"/>
        <v>54.449999999999996</v>
      </c>
      <c r="F1544" s="877">
        <f>E1544+(F1542-E1542)</f>
        <v>92.449999999999989</v>
      </c>
      <c r="G1544" s="877">
        <f>F1544</f>
        <v>92.449999999999989</v>
      </c>
      <c r="H1544" s="877">
        <f t="shared" ref="H1544:I1544" si="626">G1544</f>
        <v>92.449999999999989</v>
      </c>
      <c r="I1544" s="877">
        <f t="shared" si="626"/>
        <v>92.449999999999989</v>
      </c>
    </row>
    <row r="1545" spans="1:9" x14ac:dyDescent="0.3">
      <c r="A1545" s="708" t="s">
        <v>1147</v>
      </c>
      <c r="B1545" s="880">
        <f>Drivers!EO113</f>
        <v>140.70000000000005</v>
      </c>
      <c r="C1545" s="880">
        <f>Drivers!EP113</f>
        <v>133.17570000000001</v>
      </c>
      <c r="D1545" s="880">
        <f>Drivers!EQ113</f>
        <v>150.9402</v>
      </c>
      <c r="E1545" s="880">
        <f>Drivers!ER113</f>
        <v>145.69200000000001</v>
      </c>
      <c r="F1545" s="880">
        <f>Drivers!ET113</f>
        <v>154.86159999999995</v>
      </c>
      <c r="G1545" s="880">
        <f>Drivers!EU113</f>
        <v>172.44599999999991</v>
      </c>
      <c r="H1545" s="880">
        <f>Drivers!EV113</f>
        <v>195.76909999999998</v>
      </c>
      <c r="I1545" s="880">
        <f>Drivers!EW113</f>
        <v>176.77010000000018</v>
      </c>
    </row>
    <row r="1546" spans="1:9" x14ac:dyDescent="0.3">
      <c r="A1546" s="708" t="s">
        <v>1148</v>
      </c>
      <c r="B1546" s="999">
        <f>B1544/B1545*1000</f>
        <v>402.98507462686553</v>
      </c>
      <c r="C1546" s="999">
        <f t="shared" ref="C1546:E1546" si="627">C1544/C1545*1000</f>
        <v>433.63766813315038</v>
      </c>
      <c r="D1546" s="999">
        <f t="shared" si="627"/>
        <v>360.73888864596705</v>
      </c>
      <c r="E1546" s="999">
        <f t="shared" si="627"/>
        <v>373.73362984927098</v>
      </c>
      <c r="F1546" s="999">
        <f>F1544/F1545*1000</f>
        <v>596.98466243407017</v>
      </c>
      <c r="G1546" s="999">
        <f t="shared" ref="G1546:I1546" si="628">G1544/G1545*1000</f>
        <v>536.10985467914622</v>
      </c>
      <c r="H1546" s="999">
        <f t="shared" si="628"/>
        <v>472.24000110334066</v>
      </c>
      <c r="I1546" s="999">
        <f t="shared" si="628"/>
        <v>522.99568761911598</v>
      </c>
    </row>
    <row r="1547" spans="1:9" x14ac:dyDescent="0.3">
      <c r="A1547" s="614" t="s">
        <v>1149</v>
      </c>
      <c r="B1547" s="1695"/>
      <c r="C1547" s="1695"/>
      <c r="D1547" s="1695"/>
      <c r="E1547" s="1695"/>
      <c r="F1547" s="1695">
        <f t="shared" ref="F1547" si="629">F1546/B1546-1</f>
        <v>0.48140638455861917</v>
      </c>
      <c r="G1547" s="1695">
        <f t="shared" ref="G1547" si="630">G1546/C1546-1</f>
        <v>0.23630831469772429</v>
      </c>
      <c r="H1547" s="1695">
        <f t="shared" ref="H1547" si="631">H1546/D1546-1</f>
        <v>0.30909091303100955</v>
      </c>
      <c r="I1547" s="1695">
        <f t="shared" ref="I1547" si="632">I1546/E1546-1</f>
        <v>0.39938085804599188</v>
      </c>
    </row>
    <row r="1548" spans="1:9" x14ac:dyDescent="0.3">
      <c r="A1548" s="494"/>
      <c r="B1548" s="494"/>
      <c r="C1548" s="494"/>
      <c r="D1548" s="494"/>
      <c r="E1548" s="494"/>
      <c r="F1548" s="494"/>
      <c r="G1548" s="494"/>
      <c r="H1548" s="494"/>
      <c r="I1548" s="494"/>
    </row>
    <row r="1550" spans="1:9" x14ac:dyDescent="0.3">
      <c r="B1550" s="816">
        <f>B1542/2</f>
        <v>189</v>
      </c>
      <c r="F1550" s="816">
        <f>B1550+(F1542-B1542)</f>
        <v>212</v>
      </c>
      <c r="G1550" s="890">
        <f>F1550/B1550-1</f>
        <v>0.12169312169312163</v>
      </c>
    </row>
    <row r="1553" spans="1:5" x14ac:dyDescent="0.3">
      <c r="A1553" s="494"/>
      <c r="B1553" s="820" t="s">
        <v>887</v>
      </c>
      <c r="C1553" s="820" t="s">
        <v>888</v>
      </c>
      <c r="D1553" s="820" t="s">
        <v>1027</v>
      </c>
      <c r="E1553" s="820" t="s">
        <v>1028</v>
      </c>
    </row>
    <row r="1554" spans="1:5" x14ac:dyDescent="0.3">
      <c r="A1554" s="144" t="s">
        <v>1150</v>
      </c>
      <c r="B1554" s="999">
        <f>Drivers!ET117-B1556</f>
        <v>84.25</v>
      </c>
      <c r="C1554" s="999">
        <f>C1557-C1556-C1555</f>
        <v>85</v>
      </c>
      <c r="D1554" s="999">
        <f>D1557-D1556-D1555</f>
        <v>90.9381443298969</v>
      </c>
      <c r="E1554" s="999">
        <f>D1554</f>
        <v>90.9381443298969</v>
      </c>
    </row>
    <row r="1555" spans="1:5" x14ac:dyDescent="0.3">
      <c r="A1555" s="144" t="s">
        <v>1151</v>
      </c>
      <c r="B1555" s="999"/>
      <c r="C1555" s="999">
        <f>C1557-C1556-B1557</f>
        <v>11.1881443298969</v>
      </c>
      <c r="D1555" s="999">
        <f>D1557-D1556-C1557</f>
        <v>12.0618556701031</v>
      </c>
      <c r="E1555" s="999">
        <f>D1555+1</f>
        <v>13.0618556701031</v>
      </c>
    </row>
    <row r="1556" spans="1:5" x14ac:dyDescent="0.3">
      <c r="A1556" s="144" t="s">
        <v>1152</v>
      </c>
      <c r="B1556" s="999">
        <f>0-C1556-D1556-E1556</f>
        <v>0.75</v>
      </c>
      <c r="C1556" s="999">
        <f>(Drivers!EP117-Drivers!EO117)/4</f>
        <v>-5.25</v>
      </c>
      <c r="D1556" s="999">
        <f>(Drivers!EQ117-Drivers!EP117)/4</f>
        <v>3</v>
      </c>
      <c r="E1556" s="999">
        <f>(Drivers!ER117-Drivers!EQ117)/4</f>
        <v>1.5</v>
      </c>
    </row>
    <row r="1557" spans="1:5" x14ac:dyDescent="0.3">
      <c r="A1557" s="144" t="s">
        <v>1153</v>
      </c>
      <c r="B1557" s="877">
        <f>SUM(B1554:B1556)</f>
        <v>85</v>
      </c>
      <c r="C1557" s="877">
        <f>C1560-C1559</f>
        <v>90.9381443298969</v>
      </c>
      <c r="D1557" s="877">
        <f>D1560-D1559</f>
        <v>106</v>
      </c>
      <c r="E1557" s="877">
        <f>E1560-E1559</f>
        <v>96</v>
      </c>
    </row>
    <row r="1558" spans="1:5" x14ac:dyDescent="0.3">
      <c r="A1558" s="144" t="s">
        <v>1154</v>
      </c>
      <c r="B1558" s="877"/>
      <c r="C1558" s="877"/>
      <c r="D1558" s="877"/>
      <c r="E1558" s="877"/>
    </row>
    <row r="1559" spans="1:5" x14ac:dyDescent="0.3">
      <c r="A1559" s="144" t="s">
        <v>1155</v>
      </c>
      <c r="B1559" s="873"/>
      <c r="C1559" s="873">
        <f>-13*14/97/2</f>
        <v>-0.93814432989690721</v>
      </c>
      <c r="D1559" s="873">
        <v>-2</v>
      </c>
      <c r="E1559" s="873">
        <v>-4</v>
      </c>
    </row>
    <row r="1560" spans="1:5" x14ac:dyDescent="0.3">
      <c r="A1560" s="493" t="s">
        <v>1156</v>
      </c>
      <c r="B1560" s="1064">
        <f>Drivers!ET117</f>
        <v>85</v>
      </c>
      <c r="C1560" s="1064">
        <f>Drivers!EU117</f>
        <v>90</v>
      </c>
      <c r="D1560" s="1064">
        <f>Drivers!EV117</f>
        <v>104</v>
      </c>
      <c r="E1560" s="1064">
        <f>Drivers!EW117</f>
        <v>92</v>
      </c>
    </row>
    <row r="1561" spans="1:5" x14ac:dyDescent="0.3">
      <c r="A1561" s="494"/>
      <c r="B1561" s="873"/>
      <c r="C1561" s="873"/>
      <c r="D1561" s="873"/>
      <c r="E1561" s="873"/>
    </row>
    <row r="1563" spans="1:5" x14ac:dyDescent="0.3">
      <c r="A1563" s="493" t="s">
        <v>1157</v>
      </c>
      <c r="B1563" s="887">
        <f>B1557+B1558</f>
        <v>85</v>
      </c>
      <c r="C1563" s="887">
        <f t="shared" ref="C1563:E1563" si="633">C1557+C1558</f>
        <v>90.9381443298969</v>
      </c>
      <c r="D1563" s="887">
        <f t="shared" si="633"/>
        <v>106</v>
      </c>
      <c r="E1563" s="887">
        <f t="shared" si="633"/>
        <v>96</v>
      </c>
    </row>
    <row r="1570" spans="1:2" x14ac:dyDescent="0.3">
      <c r="A1570" s="177" t="s">
        <v>1158</v>
      </c>
      <c r="B1570" s="885">
        <f>22-14</f>
        <v>8</v>
      </c>
    </row>
    <row r="1571" spans="1:2" x14ac:dyDescent="0.3">
      <c r="A1571" s="177" t="s">
        <v>1159</v>
      </c>
      <c r="B1571" s="901">
        <f>Drivers!ET113/Drivers!EO113*Drivers!EP113/90*1000</f>
        <v>1628.6663494527352</v>
      </c>
    </row>
    <row r="1572" spans="1:2" x14ac:dyDescent="0.3">
      <c r="A1572" s="177" t="s">
        <v>1160</v>
      </c>
      <c r="B1572" s="885">
        <f>B1570*B1571</f>
        <v>13029.330795621881</v>
      </c>
    </row>
    <row r="1573" spans="1:2" x14ac:dyDescent="0.3">
      <c r="A1573" s="177" t="s">
        <v>1161</v>
      </c>
      <c r="B1573" s="901">
        <f>B1572*0.25</f>
        <v>3257.3326989054704</v>
      </c>
    </row>
    <row r="1574" spans="1:2" x14ac:dyDescent="0.3">
      <c r="A1574" s="177" t="s">
        <v>1162</v>
      </c>
      <c r="B1574" s="885">
        <f>B1572-B1573</f>
        <v>9771.998096716412</v>
      </c>
    </row>
    <row r="1585" spans="1:6" x14ac:dyDescent="0.3">
      <c r="C1585" s="820" t="s">
        <v>887</v>
      </c>
      <c r="D1585" s="820" t="s">
        <v>888</v>
      </c>
      <c r="E1585" s="820" t="s">
        <v>1027</v>
      </c>
      <c r="F1585" s="820" t="s">
        <v>1028</v>
      </c>
    </row>
    <row r="1586" spans="1:6" x14ac:dyDescent="0.3">
      <c r="A1586" t="s">
        <v>1163</v>
      </c>
      <c r="C1586" s="898">
        <v>3.5000000000000003E-2</v>
      </c>
      <c r="D1586" s="898">
        <v>3.5000000000000003E-2</v>
      </c>
      <c r="E1586" s="898">
        <v>3.5000000000000003E-2</v>
      </c>
      <c r="F1586" s="898">
        <v>3.5000000000000003E-2</v>
      </c>
    </row>
    <row r="1587" spans="1:6" x14ac:dyDescent="0.3">
      <c r="A1587" t="s">
        <v>1164</v>
      </c>
      <c r="C1587" s="898">
        <f>C1588-C1586</f>
        <v>2.5872395833333478E-2</v>
      </c>
      <c r="D1587" s="898">
        <f t="shared" ref="D1587" si="634">D1588-D1586</f>
        <v>-1.4575411913816949E-4</v>
      </c>
      <c r="E1587" s="898"/>
      <c r="F1587" s="898"/>
    </row>
    <row r="1588" spans="1:6" x14ac:dyDescent="0.3">
      <c r="A1588" t="s">
        <v>1165</v>
      </c>
      <c r="C1588" s="898">
        <f>Drivers!ET187</f>
        <v>6.0872395833333481E-2</v>
      </c>
      <c r="D1588" s="898">
        <f>Drivers!EU187</f>
        <v>3.4854245880861834E-2</v>
      </c>
      <c r="E1588" s="898">
        <f>Drivers!EV187</f>
        <v>1.4110714839510097E-2</v>
      </c>
      <c r="F1588" s="898">
        <f>Drivers!EW187</f>
        <v>2.8366583541147294E-2</v>
      </c>
    </row>
    <row r="1603" spans="1:20" x14ac:dyDescent="0.3">
      <c r="A1603" s="1256" t="s">
        <v>267</v>
      </c>
      <c r="B1603" s="1257"/>
      <c r="C1603" s="1257"/>
      <c r="D1603" s="1257"/>
      <c r="E1603" s="1257"/>
      <c r="F1603" s="1257"/>
      <c r="G1603" s="1257"/>
      <c r="H1603" s="1257"/>
      <c r="I1603" s="1257"/>
      <c r="J1603" s="1257"/>
      <c r="K1603" s="1257"/>
      <c r="L1603" s="1257"/>
      <c r="M1603" s="1257"/>
      <c r="N1603" s="1257"/>
      <c r="O1603" s="1257"/>
      <c r="P1603" s="1257"/>
      <c r="Q1603" s="1257"/>
      <c r="R1603" s="1257"/>
      <c r="S1603" s="1257"/>
      <c r="T1603" s="1257"/>
    </row>
    <row r="1605" spans="1:20" x14ac:dyDescent="0.3">
      <c r="B1605" s="704" t="s">
        <v>1166</v>
      </c>
      <c r="C1605" s="704" t="s">
        <v>1167</v>
      </c>
      <c r="D1605" s="704" t="s">
        <v>1168</v>
      </c>
      <c r="E1605" s="704" t="s">
        <v>1169</v>
      </c>
      <c r="F1605" s="704" t="s">
        <v>1125</v>
      </c>
      <c r="G1605" s="704" t="s">
        <v>1126</v>
      </c>
      <c r="H1605" s="704" t="s">
        <v>1127</v>
      </c>
      <c r="I1605" s="704" t="s">
        <v>1128</v>
      </c>
      <c r="J1605" s="704" t="s">
        <v>922</v>
      </c>
      <c r="K1605" s="704" t="s">
        <v>923</v>
      </c>
      <c r="L1605" s="704" t="s">
        <v>924</v>
      </c>
      <c r="M1605" s="704" t="s">
        <v>925</v>
      </c>
      <c r="N1605" s="704" t="s">
        <v>883</v>
      </c>
      <c r="O1605" s="704" t="s">
        <v>884</v>
      </c>
      <c r="P1605" s="704" t="s">
        <v>885</v>
      </c>
      <c r="Q1605" s="704" t="s">
        <v>886</v>
      </c>
      <c r="R1605" s="704" t="s">
        <v>887</v>
      </c>
      <c r="S1605" s="704" t="s">
        <v>888</v>
      </c>
    </row>
    <row r="1606" spans="1:20" x14ac:dyDescent="0.3">
      <c r="A1606" t="s">
        <v>1170</v>
      </c>
      <c r="B1606" s="1161">
        <f>Drivers!DZ82</f>
        <v>3223</v>
      </c>
      <c r="C1606" s="1161">
        <f>Drivers!EA82</f>
        <v>3223</v>
      </c>
      <c r="D1606" s="1161">
        <f>Drivers!EB82</f>
        <v>3223</v>
      </c>
      <c r="E1606" s="1161">
        <f>Drivers!EC82</f>
        <v>3223</v>
      </c>
      <c r="F1606" s="1161">
        <f>Drivers!EE82</f>
        <v>3223</v>
      </c>
      <c r="G1606" s="1161">
        <f>Drivers!EF82</f>
        <v>3223</v>
      </c>
      <c r="H1606" s="1161">
        <f>Drivers!EG82</f>
        <v>3223</v>
      </c>
      <c r="I1606" s="1161">
        <f>Drivers!EH82</f>
        <v>3223</v>
      </c>
      <c r="J1606" s="1161">
        <f>Drivers!EJ82</f>
        <v>3223</v>
      </c>
      <c r="K1606" s="1161">
        <f>Drivers!EK82</f>
        <v>3223</v>
      </c>
      <c r="L1606" s="1161">
        <f>Drivers!EL82</f>
        <v>3223</v>
      </c>
      <c r="M1606" s="1161">
        <f>Drivers!EM82</f>
        <v>3223</v>
      </c>
      <c r="N1606" s="1161">
        <f>Drivers!EO82</f>
        <v>3223</v>
      </c>
      <c r="O1606" s="1161">
        <f>Drivers!EP82</f>
        <v>3223</v>
      </c>
      <c r="P1606" s="1161">
        <f>Drivers!EQ82</f>
        <v>3223</v>
      </c>
      <c r="Q1606" s="1161">
        <f>Drivers!ER82</f>
        <v>3223</v>
      </c>
      <c r="R1606" s="1161">
        <f>Drivers!ET82</f>
        <v>3223</v>
      </c>
      <c r="S1606" s="1161">
        <f>Drivers!EU82</f>
        <v>3223</v>
      </c>
    </row>
    <row r="1607" spans="1:20" x14ac:dyDescent="0.3">
      <c r="A1607" t="s">
        <v>1171</v>
      </c>
      <c r="B1607" s="1110">
        <f>Drivers!DZ86</f>
        <v>9</v>
      </c>
      <c r="C1607" s="1110">
        <f>Drivers!EA86</f>
        <v>17</v>
      </c>
      <c r="D1607" s="1110">
        <f>Drivers!EB86</f>
        <v>26</v>
      </c>
      <c r="E1607" s="1110">
        <f>Drivers!EC86</f>
        <v>86</v>
      </c>
      <c r="F1607" s="1110">
        <f>Drivers!EE86</f>
        <v>190</v>
      </c>
      <c r="G1607" s="1110">
        <f>Drivers!EF86</f>
        <v>347</v>
      </c>
      <c r="H1607" s="1110">
        <f>Drivers!EG86</f>
        <v>532</v>
      </c>
      <c r="I1607" s="1110">
        <f>Drivers!EH86</f>
        <v>724</v>
      </c>
      <c r="J1607" s="1110">
        <f>Drivers!EJ86</f>
        <v>935</v>
      </c>
      <c r="K1607" s="1110">
        <f>Drivers!EK86</f>
        <v>1216</v>
      </c>
      <c r="L1607" s="1110">
        <f>Drivers!EL86</f>
        <v>1567</v>
      </c>
      <c r="M1607" s="1110">
        <f>Drivers!EM86</f>
        <v>1948</v>
      </c>
      <c r="N1607" s="1110">
        <f>Drivers!EO86</f>
        <v>2287</v>
      </c>
      <c r="O1607" s="1110">
        <f>Drivers!EP86</f>
        <v>2603</v>
      </c>
      <c r="P1607" s="1110">
        <f>Drivers!EQ86</f>
        <v>2935</v>
      </c>
      <c r="Q1607" s="1110">
        <f>Drivers!ER86</f>
        <v>3268</v>
      </c>
      <c r="R1607" s="1110">
        <f>Drivers!ET86</f>
        <v>3590</v>
      </c>
      <c r="S1607" s="1110">
        <f>Drivers!EU86</f>
        <v>3978</v>
      </c>
    </row>
    <row r="1608" spans="1:20" x14ac:dyDescent="0.3">
      <c r="A1608" s="90" t="s">
        <v>1172</v>
      </c>
      <c r="B1608" s="916">
        <f t="shared" ref="B1608:S1608" si="635">SUM(B1606:B1607)</f>
        <v>3232</v>
      </c>
      <c r="C1608" s="916">
        <f t="shared" si="635"/>
        <v>3240</v>
      </c>
      <c r="D1608" s="916">
        <f t="shared" si="635"/>
        <v>3249</v>
      </c>
      <c r="E1608" s="916">
        <f t="shared" si="635"/>
        <v>3309</v>
      </c>
      <c r="F1608" s="916">
        <f t="shared" si="635"/>
        <v>3413</v>
      </c>
      <c r="G1608" s="916">
        <f t="shared" si="635"/>
        <v>3570</v>
      </c>
      <c r="H1608" s="916">
        <f t="shared" si="635"/>
        <v>3755</v>
      </c>
      <c r="I1608" s="916">
        <f t="shared" si="635"/>
        <v>3947</v>
      </c>
      <c r="J1608" s="916">
        <f t="shared" si="635"/>
        <v>4158</v>
      </c>
      <c r="K1608" s="916">
        <f t="shared" si="635"/>
        <v>4439</v>
      </c>
      <c r="L1608" s="916">
        <f t="shared" si="635"/>
        <v>4790</v>
      </c>
      <c r="M1608" s="916">
        <f t="shared" si="635"/>
        <v>5171</v>
      </c>
      <c r="N1608" s="916">
        <f t="shared" si="635"/>
        <v>5510</v>
      </c>
      <c r="O1608" s="916">
        <f t="shared" si="635"/>
        <v>5826</v>
      </c>
      <c r="P1608" s="916">
        <f t="shared" si="635"/>
        <v>6158</v>
      </c>
      <c r="Q1608" s="916">
        <f t="shared" si="635"/>
        <v>6491</v>
      </c>
      <c r="R1608" s="916">
        <f t="shared" si="635"/>
        <v>6813</v>
      </c>
      <c r="S1608" s="916">
        <f t="shared" si="635"/>
        <v>7201</v>
      </c>
    </row>
    <row r="1610" spans="1:20" x14ac:dyDescent="0.3">
      <c r="A1610" s="90" t="s">
        <v>1173</v>
      </c>
    </row>
    <row r="1611" spans="1:20" x14ac:dyDescent="0.3">
      <c r="A1611" t="s">
        <v>1166</v>
      </c>
      <c r="B1611" s="887">
        <f>B1607</f>
        <v>9</v>
      </c>
      <c r="C1611" s="887">
        <f>B1611</f>
        <v>9</v>
      </c>
      <c r="D1611" s="887">
        <f t="shared" ref="D1611:S1627" si="636">C1611</f>
        <v>9</v>
      </c>
      <c r="E1611" s="887">
        <f t="shared" si="636"/>
        <v>9</v>
      </c>
      <c r="F1611" s="887">
        <f t="shared" si="636"/>
        <v>9</v>
      </c>
      <c r="G1611" s="887">
        <f t="shared" si="636"/>
        <v>9</v>
      </c>
      <c r="H1611" s="887">
        <f t="shared" si="636"/>
        <v>9</v>
      </c>
      <c r="I1611" s="887">
        <f t="shared" si="636"/>
        <v>9</v>
      </c>
      <c r="J1611" s="887">
        <f t="shared" si="636"/>
        <v>9</v>
      </c>
      <c r="K1611" s="887">
        <f t="shared" si="636"/>
        <v>9</v>
      </c>
      <c r="L1611" s="887">
        <f t="shared" si="636"/>
        <v>9</v>
      </c>
      <c r="M1611" s="887">
        <f t="shared" si="636"/>
        <v>9</v>
      </c>
      <c r="N1611" s="887">
        <f t="shared" si="636"/>
        <v>9</v>
      </c>
      <c r="O1611" s="887">
        <f t="shared" si="636"/>
        <v>9</v>
      </c>
      <c r="P1611" s="887">
        <f t="shared" si="636"/>
        <v>9</v>
      </c>
      <c r="Q1611" s="887">
        <f t="shared" si="636"/>
        <v>9</v>
      </c>
      <c r="R1611" s="887">
        <f t="shared" si="636"/>
        <v>9</v>
      </c>
      <c r="S1611" s="887">
        <f t="shared" si="636"/>
        <v>9</v>
      </c>
    </row>
    <row r="1612" spans="1:20" x14ac:dyDescent="0.3">
      <c r="A1612" t="s">
        <v>1167</v>
      </c>
      <c r="C1612" s="887">
        <f>C$1607-B$1607</f>
        <v>8</v>
      </c>
      <c r="D1612" s="887">
        <f t="shared" si="636"/>
        <v>8</v>
      </c>
      <c r="E1612" s="887">
        <f t="shared" si="636"/>
        <v>8</v>
      </c>
      <c r="F1612" s="887">
        <f t="shared" si="636"/>
        <v>8</v>
      </c>
      <c r="G1612" s="887">
        <f t="shared" si="636"/>
        <v>8</v>
      </c>
      <c r="H1612" s="887">
        <f t="shared" si="636"/>
        <v>8</v>
      </c>
      <c r="I1612" s="887">
        <f t="shared" si="636"/>
        <v>8</v>
      </c>
      <c r="J1612" s="887">
        <f t="shared" si="636"/>
        <v>8</v>
      </c>
      <c r="K1612" s="887">
        <f t="shared" si="636"/>
        <v>8</v>
      </c>
      <c r="L1612" s="887">
        <f t="shared" si="636"/>
        <v>8</v>
      </c>
      <c r="M1612" s="887">
        <f t="shared" si="636"/>
        <v>8</v>
      </c>
      <c r="N1612" s="887">
        <f t="shared" si="636"/>
        <v>8</v>
      </c>
      <c r="O1612" s="887">
        <f t="shared" si="636"/>
        <v>8</v>
      </c>
      <c r="P1612" s="887">
        <f t="shared" si="636"/>
        <v>8</v>
      </c>
      <c r="Q1612" s="887">
        <f t="shared" si="636"/>
        <v>8</v>
      </c>
      <c r="R1612" s="887">
        <f t="shared" si="636"/>
        <v>8</v>
      </c>
      <c r="S1612" s="887">
        <f t="shared" si="636"/>
        <v>8</v>
      </c>
    </row>
    <row r="1613" spans="1:20" x14ac:dyDescent="0.3">
      <c r="A1613" t="s">
        <v>1168</v>
      </c>
      <c r="D1613" s="887">
        <f>D$1607-C$1607</f>
        <v>9</v>
      </c>
      <c r="E1613" s="887">
        <f t="shared" si="636"/>
        <v>9</v>
      </c>
      <c r="F1613" s="887">
        <f t="shared" si="636"/>
        <v>9</v>
      </c>
      <c r="G1613" s="887">
        <f t="shared" si="636"/>
        <v>9</v>
      </c>
      <c r="H1613" s="887">
        <f t="shared" si="636"/>
        <v>9</v>
      </c>
      <c r="I1613" s="887">
        <f t="shared" si="636"/>
        <v>9</v>
      </c>
      <c r="J1613" s="887">
        <f t="shared" si="636"/>
        <v>9</v>
      </c>
      <c r="K1613" s="887">
        <f t="shared" si="636"/>
        <v>9</v>
      </c>
      <c r="L1613" s="887">
        <f t="shared" si="636"/>
        <v>9</v>
      </c>
      <c r="M1613" s="887">
        <f t="shared" si="636"/>
        <v>9</v>
      </c>
      <c r="N1613" s="887">
        <f t="shared" si="636"/>
        <v>9</v>
      </c>
      <c r="O1613" s="887">
        <f t="shared" si="636"/>
        <v>9</v>
      </c>
      <c r="P1613" s="887">
        <f t="shared" si="636"/>
        <v>9</v>
      </c>
      <c r="Q1613" s="887">
        <f t="shared" si="636"/>
        <v>9</v>
      </c>
      <c r="R1613" s="887">
        <f t="shared" si="636"/>
        <v>9</v>
      </c>
      <c r="S1613" s="887">
        <f t="shared" si="636"/>
        <v>9</v>
      </c>
    </row>
    <row r="1614" spans="1:20" x14ac:dyDescent="0.3">
      <c r="A1614" t="s">
        <v>1169</v>
      </c>
      <c r="E1614" s="887">
        <f>E$1607-D$1607</f>
        <v>60</v>
      </c>
      <c r="F1614" s="887">
        <f t="shared" si="636"/>
        <v>60</v>
      </c>
      <c r="G1614" s="887">
        <f t="shared" si="636"/>
        <v>60</v>
      </c>
      <c r="H1614" s="887">
        <f t="shared" si="636"/>
        <v>60</v>
      </c>
      <c r="I1614" s="887">
        <f t="shared" si="636"/>
        <v>60</v>
      </c>
      <c r="J1614" s="887">
        <f t="shared" si="636"/>
        <v>60</v>
      </c>
      <c r="K1614" s="887">
        <f t="shared" si="636"/>
        <v>60</v>
      </c>
      <c r="L1614" s="887">
        <f t="shared" si="636"/>
        <v>60</v>
      </c>
      <c r="M1614" s="887">
        <f t="shared" si="636"/>
        <v>60</v>
      </c>
      <c r="N1614" s="887">
        <f t="shared" si="636"/>
        <v>60</v>
      </c>
      <c r="O1614" s="887">
        <f t="shared" si="636"/>
        <v>60</v>
      </c>
      <c r="P1614" s="887">
        <f t="shared" si="636"/>
        <v>60</v>
      </c>
      <c r="Q1614" s="887">
        <f t="shared" si="636"/>
        <v>60</v>
      </c>
      <c r="R1614" s="887">
        <f t="shared" si="636"/>
        <v>60</v>
      </c>
      <c r="S1614" s="887">
        <f t="shared" si="636"/>
        <v>60</v>
      </c>
    </row>
    <row r="1615" spans="1:20" x14ac:dyDescent="0.3">
      <c r="A1615" t="s">
        <v>1125</v>
      </c>
      <c r="F1615" s="887">
        <f>F$1607-E$1607</f>
        <v>104</v>
      </c>
      <c r="G1615" s="887">
        <f t="shared" si="636"/>
        <v>104</v>
      </c>
      <c r="H1615" s="887">
        <f t="shared" si="636"/>
        <v>104</v>
      </c>
      <c r="I1615" s="887">
        <f t="shared" si="636"/>
        <v>104</v>
      </c>
      <c r="J1615" s="887">
        <f t="shared" si="636"/>
        <v>104</v>
      </c>
      <c r="K1615" s="887">
        <f t="shared" si="636"/>
        <v>104</v>
      </c>
      <c r="L1615" s="887">
        <f t="shared" si="636"/>
        <v>104</v>
      </c>
      <c r="M1615" s="887">
        <f t="shared" si="636"/>
        <v>104</v>
      </c>
      <c r="N1615" s="887">
        <f t="shared" si="636"/>
        <v>104</v>
      </c>
      <c r="O1615" s="887">
        <f t="shared" si="636"/>
        <v>104</v>
      </c>
      <c r="P1615" s="887">
        <f t="shared" si="636"/>
        <v>104</v>
      </c>
      <c r="Q1615" s="887">
        <f t="shared" si="636"/>
        <v>104</v>
      </c>
      <c r="R1615" s="887">
        <f t="shared" si="636"/>
        <v>104</v>
      </c>
      <c r="S1615" s="887">
        <f t="shared" si="636"/>
        <v>104</v>
      </c>
    </row>
    <row r="1616" spans="1:20" x14ac:dyDescent="0.3">
      <c r="A1616" t="s">
        <v>1126</v>
      </c>
      <c r="G1616" s="887">
        <f>G$1607-F$1607</f>
        <v>157</v>
      </c>
      <c r="H1616" s="887">
        <f t="shared" si="636"/>
        <v>157</v>
      </c>
      <c r="I1616" s="887">
        <f t="shared" si="636"/>
        <v>157</v>
      </c>
      <c r="J1616" s="887">
        <f t="shared" si="636"/>
        <v>157</v>
      </c>
      <c r="K1616" s="887">
        <f t="shared" si="636"/>
        <v>157</v>
      </c>
      <c r="L1616" s="887">
        <f t="shared" si="636"/>
        <v>157</v>
      </c>
      <c r="M1616" s="887">
        <f t="shared" si="636"/>
        <v>157</v>
      </c>
      <c r="N1616" s="887">
        <f t="shared" si="636"/>
        <v>157</v>
      </c>
      <c r="O1616" s="887">
        <f t="shared" si="636"/>
        <v>157</v>
      </c>
      <c r="P1616" s="887">
        <f t="shared" si="636"/>
        <v>157</v>
      </c>
      <c r="Q1616" s="887">
        <f t="shared" si="636"/>
        <v>157</v>
      </c>
      <c r="R1616" s="887">
        <f t="shared" si="636"/>
        <v>157</v>
      </c>
      <c r="S1616" s="887">
        <f t="shared" si="636"/>
        <v>157</v>
      </c>
    </row>
    <row r="1617" spans="1:19" x14ac:dyDescent="0.3">
      <c r="A1617" t="s">
        <v>1127</v>
      </c>
      <c r="H1617" s="887">
        <f>H$1607-G$1607</f>
        <v>185</v>
      </c>
      <c r="I1617" s="887">
        <f t="shared" si="636"/>
        <v>185</v>
      </c>
      <c r="J1617" s="887">
        <f t="shared" si="636"/>
        <v>185</v>
      </c>
      <c r="K1617" s="887">
        <f t="shared" si="636"/>
        <v>185</v>
      </c>
      <c r="L1617" s="887">
        <f t="shared" si="636"/>
        <v>185</v>
      </c>
      <c r="M1617" s="887">
        <f t="shared" si="636"/>
        <v>185</v>
      </c>
      <c r="N1617" s="887">
        <f t="shared" si="636"/>
        <v>185</v>
      </c>
      <c r="O1617" s="887">
        <f t="shared" si="636"/>
        <v>185</v>
      </c>
      <c r="P1617" s="887">
        <f t="shared" si="636"/>
        <v>185</v>
      </c>
      <c r="Q1617" s="887">
        <f t="shared" si="636"/>
        <v>185</v>
      </c>
      <c r="R1617" s="887">
        <f t="shared" si="636"/>
        <v>185</v>
      </c>
      <c r="S1617" s="887">
        <f t="shared" si="636"/>
        <v>185</v>
      </c>
    </row>
    <row r="1618" spans="1:19" x14ac:dyDescent="0.3">
      <c r="A1618" t="s">
        <v>1128</v>
      </c>
      <c r="I1618" s="887">
        <f>I$1607-H$1607</f>
        <v>192</v>
      </c>
      <c r="J1618" s="887">
        <f t="shared" si="636"/>
        <v>192</v>
      </c>
      <c r="K1618" s="887">
        <f t="shared" si="636"/>
        <v>192</v>
      </c>
      <c r="L1618" s="887">
        <f t="shared" si="636"/>
        <v>192</v>
      </c>
      <c r="M1618" s="887">
        <f t="shared" si="636"/>
        <v>192</v>
      </c>
      <c r="N1618" s="887">
        <f t="shared" si="636"/>
        <v>192</v>
      </c>
      <c r="O1618" s="887">
        <f t="shared" si="636"/>
        <v>192</v>
      </c>
      <c r="P1618" s="887">
        <f t="shared" si="636"/>
        <v>192</v>
      </c>
      <c r="Q1618" s="887">
        <f t="shared" si="636"/>
        <v>192</v>
      </c>
      <c r="R1618" s="887">
        <f t="shared" si="636"/>
        <v>192</v>
      </c>
      <c r="S1618" s="887">
        <f t="shared" si="636"/>
        <v>192</v>
      </c>
    </row>
    <row r="1619" spans="1:19" x14ac:dyDescent="0.3">
      <c r="A1619" t="s">
        <v>922</v>
      </c>
      <c r="J1619" s="887">
        <f>J$1607-I$1607</f>
        <v>211</v>
      </c>
      <c r="K1619" s="887">
        <f t="shared" si="636"/>
        <v>211</v>
      </c>
      <c r="L1619" s="887">
        <f t="shared" si="636"/>
        <v>211</v>
      </c>
      <c r="M1619" s="887">
        <f t="shared" si="636"/>
        <v>211</v>
      </c>
      <c r="N1619" s="887">
        <f t="shared" si="636"/>
        <v>211</v>
      </c>
      <c r="O1619" s="887">
        <f t="shared" si="636"/>
        <v>211</v>
      </c>
      <c r="P1619" s="887">
        <f t="shared" si="636"/>
        <v>211</v>
      </c>
      <c r="Q1619" s="887">
        <f t="shared" si="636"/>
        <v>211</v>
      </c>
      <c r="R1619" s="887">
        <f t="shared" si="636"/>
        <v>211</v>
      </c>
      <c r="S1619" s="887">
        <f t="shared" si="636"/>
        <v>211</v>
      </c>
    </row>
    <row r="1620" spans="1:19" x14ac:dyDescent="0.3">
      <c r="A1620" t="s">
        <v>923</v>
      </c>
      <c r="K1620" s="887">
        <f>K$1607-J$1607</f>
        <v>281</v>
      </c>
      <c r="L1620" s="887">
        <f t="shared" si="636"/>
        <v>281</v>
      </c>
      <c r="M1620" s="887">
        <f t="shared" si="636"/>
        <v>281</v>
      </c>
      <c r="N1620" s="887">
        <f t="shared" si="636"/>
        <v>281</v>
      </c>
      <c r="O1620" s="887">
        <f t="shared" si="636"/>
        <v>281</v>
      </c>
      <c r="P1620" s="887">
        <f t="shared" si="636"/>
        <v>281</v>
      </c>
      <c r="Q1620" s="887">
        <f t="shared" si="636"/>
        <v>281</v>
      </c>
      <c r="R1620" s="887">
        <f t="shared" si="636"/>
        <v>281</v>
      </c>
      <c r="S1620" s="887">
        <f t="shared" si="636"/>
        <v>281</v>
      </c>
    </row>
    <row r="1621" spans="1:19" x14ac:dyDescent="0.3">
      <c r="A1621" t="s">
        <v>924</v>
      </c>
      <c r="L1621" s="887">
        <f>L$1607-K$1607</f>
        <v>351</v>
      </c>
      <c r="M1621" s="887">
        <f t="shared" si="636"/>
        <v>351</v>
      </c>
      <c r="N1621" s="887">
        <f t="shared" si="636"/>
        <v>351</v>
      </c>
      <c r="O1621" s="887">
        <f t="shared" si="636"/>
        <v>351</v>
      </c>
      <c r="P1621" s="887">
        <f t="shared" si="636"/>
        <v>351</v>
      </c>
      <c r="Q1621" s="887">
        <f t="shared" si="636"/>
        <v>351</v>
      </c>
      <c r="R1621" s="887">
        <f t="shared" si="636"/>
        <v>351</v>
      </c>
      <c r="S1621" s="887">
        <f t="shared" si="636"/>
        <v>351</v>
      </c>
    </row>
    <row r="1622" spans="1:19" x14ac:dyDescent="0.3">
      <c r="A1622" t="s">
        <v>925</v>
      </c>
      <c r="M1622" s="887">
        <f>M$1607-L$1607</f>
        <v>381</v>
      </c>
      <c r="N1622" s="887">
        <f t="shared" si="636"/>
        <v>381</v>
      </c>
      <c r="O1622" s="887">
        <f t="shared" si="636"/>
        <v>381</v>
      </c>
      <c r="P1622" s="887">
        <f t="shared" si="636"/>
        <v>381</v>
      </c>
      <c r="Q1622" s="887">
        <f t="shared" si="636"/>
        <v>381</v>
      </c>
      <c r="R1622" s="887">
        <f t="shared" si="636"/>
        <v>381</v>
      </c>
      <c r="S1622" s="887">
        <f t="shared" si="636"/>
        <v>381</v>
      </c>
    </row>
    <row r="1623" spans="1:19" x14ac:dyDescent="0.3">
      <c r="A1623" t="s">
        <v>883</v>
      </c>
      <c r="N1623" s="887">
        <f>N$1607-M$1607</f>
        <v>339</v>
      </c>
      <c r="O1623" s="887">
        <f t="shared" si="636"/>
        <v>339</v>
      </c>
      <c r="P1623" s="887">
        <f t="shared" si="636"/>
        <v>339</v>
      </c>
      <c r="Q1623" s="887">
        <f t="shared" si="636"/>
        <v>339</v>
      </c>
      <c r="R1623" s="887">
        <f t="shared" si="636"/>
        <v>339</v>
      </c>
      <c r="S1623" s="887">
        <f t="shared" si="636"/>
        <v>339</v>
      </c>
    </row>
    <row r="1624" spans="1:19" x14ac:dyDescent="0.3">
      <c r="A1624" t="s">
        <v>884</v>
      </c>
      <c r="O1624" s="887">
        <f>O$1607-N$1607</f>
        <v>316</v>
      </c>
      <c r="P1624" s="887">
        <f t="shared" si="636"/>
        <v>316</v>
      </c>
      <c r="Q1624" s="887">
        <f t="shared" si="636"/>
        <v>316</v>
      </c>
      <c r="R1624" s="887">
        <f t="shared" si="636"/>
        <v>316</v>
      </c>
      <c r="S1624" s="887">
        <f t="shared" si="636"/>
        <v>316</v>
      </c>
    </row>
    <row r="1625" spans="1:19" x14ac:dyDescent="0.3">
      <c r="A1625" t="s">
        <v>885</v>
      </c>
      <c r="P1625" s="887">
        <f>P$1607-O$1607</f>
        <v>332</v>
      </c>
      <c r="Q1625" s="887">
        <f t="shared" si="636"/>
        <v>332</v>
      </c>
      <c r="R1625" s="887">
        <f t="shared" si="636"/>
        <v>332</v>
      </c>
      <c r="S1625" s="887">
        <f t="shared" si="636"/>
        <v>332</v>
      </c>
    </row>
    <row r="1626" spans="1:19" x14ac:dyDescent="0.3">
      <c r="A1626" t="s">
        <v>886</v>
      </c>
      <c r="Q1626" s="887">
        <f>Q$1607-P$1607</f>
        <v>333</v>
      </c>
      <c r="R1626" s="887">
        <f t="shared" si="636"/>
        <v>333</v>
      </c>
      <c r="S1626" s="887">
        <f t="shared" si="636"/>
        <v>333</v>
      </c>
    </row>
    <row r="1627" spans="1:19" x14ac:dyDescent="0.3">
      <c r="A1627" t="s">
        <v>887</v>
      </c>
      <c r="R1627" s="887">
        <f>R$1607-Q$1607</f>
        <v>322</v>
      </c>
      <c r="S1627" s="887">
        <f t="shared" si="636"/>
        <v>322</v>
      </c>
    </row>
    <row r="1628" spans="1:19" x14ac:dyDescent="0.3">
      <c r="A1628" t="s">
        <v>888</v>
      </c>
      <c r="S1628" s="887">
        <f>S$1607-R$1607</f>
        <v>388</v>
      </c>
    </row>
    <row r="1630" spans="1:19" x14ac:dyDescent="0.3">
      <c r="A1630" s="90" t="s">
        <v>1174</v>
      </c>
      <c r="B1630" s="704" t="s">
        <v>1166</v>
      </c>
      <c r="C1630" s="704" t="s">
        <v>1167</v>
      </c>
      <c r="D1630" s="704" t="s">
        <v>1168</v>
      </c>
      <c r="E1630" s="704" t="s">
        <v>1169</v>
      </c>
      <c r="F1630" s="704" t="s">
        <v>1125</v>
      </c>
      <c r="G1630" s="704" t="s">
        <v>1126</v>
      </c>
      <c r="H1630" s="704" t="s">
        <v>1127</v>
      </c>
      <c r="I1630" s="704" t="s">
        <v>1128</v>
      </c>
      <c r="J1630" s="704" t="s">
        <v>922</v>
      </c>
      <c r="K1630" s="704" t="s">
        <v>923</v>
      </c>
      <c r="L1630" s="704" t="s">
        <v>924</v>
      </c>
      <c r="M1630" s="704" t="s">
        <v>925</v>
      </c>
      <c r="N1630" s="704" t="s">
        <v>883</v>
      </c>
      <c r="O1630" s="704" t="s">
        <v>884</v>
      </c>
      <c r="P1630" s="704" t="s">
        <v>885</v>
      </c>
      <c r="Q1630" s="704" t="s">
        <v>886</v>
      </c>
      <c r="R1630" s="704" t="s">
        <v>887</v>
      </c>
      <c r="S1630" s="704" t="s">
        <v>888</v>
      </c>
    </row>
    <row r="1631" spans="1:19" x14ac:dyDescent="0.3">
      <c r="A1631" t="s">
        <v>1166</v>
      </c>
      <c r="B1631" s="887">
        <f>B1649</f>
        <v>0.85375156250006512</v>
      </c>
      <c r="C1631" s="885">
        <f>C1649-C1632</f>
        <v>3.9383785919540086</v>
      </c>
      <c r="D1631" s="885">
        <f>D1649-D1632-D1633</f>
        <v>2.8967792744253629</v>
      </c>
      <c r="E1631" s="885">
        <f>E1611*E1652</f>
        <v>2.61</v>
      </c>
      <c r="F1631" s="885">
        <f t="shared" ref="F1631:H1631" si="637">F1611*F1652</f>
        <v>3.15</v>
      </c>
      <c r="G1631" s="885">
        <f t="shared" si="637"/>
        <v>3.5550000000000002</v>
      </c>
      <c r="H1631" s="885">
        <f t="shared" si="637"/>
        <v>3.7574999999999998</v>
      </c>
      <c r="I1631" s="885">
        <f>I1611*I1652</f>
        <v>3.96</v>
      </c>
      <c r="J1631" s="885">
        <f t="shared" ref="J1631:S1631" si="638">J1611*J1652</f>
        <v>4.0049999999999999</v>
      </c>
      <c r="K1631" s="885">
        <f t="shared" si="638"/>
        <v>4.05</v>
      </c>
      <c r="L1631" s="885">
        <f t="shared" si="638"/>
        <v>4.05</v>
      </c>
      <c r="M1631" s="885">
        <f t="shared" si="638"/>
        <v>4.05</v>
      </c>
      <c r="N1631" s="885">
        <f t="shared" si="638"/>
        <v>4.05</v>
      </c>
      <c r="O1631" s="885">
        <f t="shared" si="638"/>
        <v>4.05</v>
      </c>
      <c r="P1631" s="885">
        <f t="shared" si="638"/>
        <v>4.05</v>
      </c>
      <c r="Q1631" s="885">
        <f t="shared" si="638"/>
        <v>4.05</v>
      </c>
      <c r="R1631" s="885">
        <f t="shared" si="638"/>
        <v>4.05</v>
      </c>
      <c r="S1631" s="885">
        <f t="shared" si="638"/>
        <v>4.05</v>
      </c>
    </row>
    <row r="1632" spans="1:19" x14ac:dyDescent="0.3">
      <c r="A1632" t="s">
        <v>1167</v>
      </c>
      <c r="C1632" s="885">
        <f t="shared" ref="C1632:E1633" si="639">C1612*C1653</f>
        <v>0.78505890804603695</v>
      </c>
      <c r="D1632" s="885">
        <f t="shared" si="639"/>
        <v>1.5925294540230186</v>
      </c>
      <c r="E1632" s="885">
        <f t="shared" si="639"/>
        <v>1.9962647270115093</v>
      </c>
      <c r="F1632" s="885">
        <f>F1612*F1653</f>
        <v>2.4</v>
      </c>
      <c r="G1632" s="885">
        <f t="shared" ref="G1632:S1641" si="640">G1612*G1653</f>
        <v>2.8479999999999999</v>
      </c>
      <c r="H1632" s="885">
        <f t="shared" si="640"/>
        <v>3.1840000000000002</v>
      </c>
      <c r="I1632" s="885">
        <f t="shared" si="640"/>
        <v>3.3520000000000003</v>
      </c>
      <c r="J1632" s="885">
        <f t="shared" si="640"/>
        <v>3.52</v>
      </c>
      <c r="K1632" s="885">
        <f t="shared" si="640"/>
        <v>3.56</v>
      </c>
      <c r="L1632" s="885">
        <f t="shared" si="640"/>
        <v>3.6</v>
      </c>
      <c r="M1632" s="885">
        <f t="shared" si="640"/>
        <v>3.6</v>
      </c>
      <c r="N1632" s="885">
        <f t="shared" si="640"/>
        <v>3.6</v>
      </c>
      <c r="O1632" s="885">
        <f t="shared" si="640"/>
        <v>3.6</v>
      </c>
      <c r="P1632" s="885">
        <f t="shared" si="640"/>
        <v>3.6</v>
      </c>
      <c r="Q1632" s="885">
        <f t="shared" si="640"/>
        <v>3.6</v>
      </c>
      <c r="R1632" s="885">
        <f t="shared" si="640"/>
        <v>3.6</v>
      </c>
      <c r="S1632" s="885">
        <f t="shared" si="640"/>
        <v>3.6</v>
      </c>
    </row>
    <row r="1633" spans="1:19" x14ac:dyDescent="0.3">
      <c r="A1633" t="s">
        <v>1168</v>
      </c>
      <c r="D1633" s="885">
        <f t="shared" si="639"/>
        <v>0.88319127155179156</v>
      </c>
      <c r="E1633" s="885">
        <f t="shared" si="639"/>
        <v>1.791595635775896</v>
      </c>
      <c r="F1633" s="885">
        <f t="shared" ref="F1633" si="641">F1613*F1654</f>
        <v>2.2457978178879481</v>
      </c>
      <c r="G1633" s="885">
        <f>G1613*G1654</f>
        <v>2.6999999999999997</v>
      </c>
      <c r="H1633" s="885">
        <f t="shared" ref="H1633:J1633" si="642">H1613*H1654</f>
        <v>3.1319999999999997</v>
      </c>
      <c r="I1633" s="885">
        <f t="shared" si="642"/>
        <v>3.456</v>
      </c>
      <c r="J1633" s="885">
        <f t="shared" si="642"/>
        <v>3.6180000000000003</v>
      </c>
      <c r="K1633" s="885">
        <f>K1613*K1654</f>
        <v>3.78</v>
      </c>
      <c r="L1633" s="885">
        <f t="shared" si="640"/>
        <v>3.8249999999999997</v>
      </c>
      <c r="M1633" s="885">
        <f t="shared" si="640"/>
        <v>3.87</v>
      </c>
      <c r="N1633" s="885">
        <f t="shared" si="640"/>
        <v>3.915</v>
      </c>
      <c r="O1633" s="885">
        <f t="shared" si="640"/>
        <v>3.96</v>
      </c>
      <c r="P1633" s="885">
        <f t="shared" si="640"/>
        <v>4.0049999999999999</v>
      </c>
      <c r="Q1633" s="885">
        <f t="shared" si="640"/>
        <v>4.05</v>
      </c>
      <c r="R1633" s="885">
        <f t="shared" si="640"/>
        <v>4.05</v>
      </c>
      <c r="S1633" s="885">
        <f t="shared" si="640"/>
        <v>4.05</v>
      </c>
    </row>
    <row r="1634" spans="1:19" x14ac:dyDescent="0.3">
      <c r="A1634" t="s">
        <v>1169</v>
      </c>
      <c r="E1634" s="885">
        <f>E1649-SUM(E1631:E1633)</f>
        <v>2.6261396372127095</v>
      </c>
      <c r="F1634" s="885">
        <f t="shared" ref="F1634:G1634" si="643">F1614*F1655</f>
        <v>5.3272495602244847</v>
      </c>
      <c r="G1634" s="885">
        <f t="shared" si="643"/>
        <v>6.677804521730371</v>
      </c>
      <c r="H1634" s="885">
        <f>H1614*H1655</f>
        <v>13.2</v>
      </c>
      <c r="I1634" s="885">
        <f t="shared" ref="I1634:L1634" si="644">I1614*I1655</f>
        <v>15.36</v>
      </c>
      <c r="J1634" s="885">
        <f t="shared" si="644"/>
        <v>16.98</v>
      </c>
      <c r="K1634" s="885">
        <f t="shared" si="644"/>
        <v>17.79</v>
      </c>
      <c r="L1634" s="885">
        <f t="shared" si="644"/>
        <v>18.600000000000001</v>
      </c>
      <c r="M1634" s="885">
        <f t="shared" si="640"/>
        <v>19.5</v>
      </c>
      <c r="N1634" s="885">
        <f t="shared" si="640"/>
        <v>20.400000000000002</v>
      </c>
      <c r="O1634" s="885">
        <f t="shared" si="640"/>
        <v>21.000000000000004</v>
      </c>
      <c r="P1634" s="885">
        <f t="shared" si="640"/>
        <v>21.6</v>
      </c>
      <c r="Q1634" s="885">
        <f t="shared" si="640"/>
        <v>22.200000000000003</v>
      </c>
      <c r="R1634" s="885">
        <f t="shared" si="640"/>
        <v>22.800000000000004</v>
      </c>
      <c r="S1634" s="885">
        <f t="shared" si="640"/>
        <v>23.400000000000006</v>
      </c>
    </row>
    <row r="1635" spans="1:19" x14ac:dyDescent="0.3">
      <c r="A1635" t="s">
        <v>1125</v>
      </c>
      <c r="F1635" s="885">
        <f>F$1649-SUM(F$1631:F1634)</f>
        <v>5.7779526218876356</v>
      </c>
      <c r="G1635" s="885">
        <f t="shared" ref="G1635:I1636" si="645">G1615*G1656</f>
        <v>11.720852588256973</v>
      </c>
      <c r="H1635" s="885">
        <f t="shared" si="645"/>
        <v>14.69230257144164</v>
      </c>
      <c r="I1635" s="885">
        <f>I1615*I1656</f>
        <v>18.72</v>
      </c>
      <c r="J1635" s="885">
        <f t="shared" ref="J1635:M1635" si="646">J1615*J1656</f>
        <v>21.631999999999998</v>
      </c>
      <c r="K1635" s="885">
        <f t="shared" si="646"/>
        <v>23.815999999999999</v>
      </c>
      <c r="L1635" s="885">
        <f t="shared" si="646"/>
        <v>24.907999999999998</v>
      </c>
      <c r="M1635" s="885">
        <f t="shared" si="646"/>
        <v>26</v>
      </c>
      <c r="N1635" s="885">
        <f t="shared" si="640"/>
        <v>27.04</v>
      </c>
      <c r="O1635" s="885">
        <f t="shared" si="640"/>
        <v>28.080000000000002</v>
      </c>
      <c r="P1635" s="885">
        <f t="shared" si="640"/>
        <v>29.120000000000005</v>
      </c>
      <c r="Q1635" s="885">
        <f t="shared" si="640"/>
        <v>30.160000000000004</v>
      </c>
      <c r="R1635" s="885">
        <f t="shared" si="640"/>
        <v>31.200000000000003</v>
      </c>
      <c r="S1635" s="885">
        <f t="shared" si="640"/>
        <v>32.240000000000009</v>
      </c>
    </row>
    <row r="1636" spans="1:19" x14ac:dyDescent="0.3">
      <c r="A1636" t="s">
        <v>1126</v>
      </c>
      <c r="F1636" s="885"/>
      <c r="G1636" s="885">
        <f>G$1649-SUM(G$1631:G1635)</f>
        <v>7.6223428900126819</v>
      </c>
      <c r="H1636" s="885">
        <f t="shared" si="645"/>
        <v>15.462286252150008</v>
      </c>
      <c r="I1636" s="885">
        <f t="shared" si="645"/>
        <v>19.382257933218664</v>
      </c>
      <c r="J1636" s="885">
        <f>J1616*J1657</f>
        <v>26.69</v>
      </c>
      <c r="K1636" s="885">
        <f t="shared" ref="K1636:N1636" si="647">K1616*K1657</f>
        <v>31.086000000000002</v>
      </c>
      <c r="L1636" s="885">
        <f t="shared" si="647"/>
        <v>34.383000000000003</v>
      </c>
      <c r="M1636" s="885">
        <f t="shared" si="647"/>
        <v>36.031499999999994</v>
      </c>
      <c r="N1636" s="885">
        <f t="shared" si="647"/>
        <v>37.68</v>
      </c>
      <c r="O1636" s="885">
        <f t="shared" si="640"/>
        <v>39.25</v>
      </c>
      <c r="P1636" s="885">
        <f t="shared" si="640"/>
        <v>40.82</v>
      </c>
      <c r="Q1636" s="885">
        <f t="shared" si="640"/>
        <v>42.39</v>
      </c>
      <c r="R1636" s="885">
        <f t="shared" si="640"/>
        <v>43.96</v>
      </c>
      <c r="S1636" s="885">
        <f t="shared" si="640"/>
        <v>45.530000000000008</v>
      </c>
    </row>
    <row r="1637" spans="1:19" x14ac:dyDescent="0.3">
      <c r="A1637" t="s">
        <v>1127</v>
      </c>
      <c r="H1637" s="885">
        <f>H$1649-SUM(H$1631:H1636)</f>
        <v>1.0269111764085039</v>
      </c>
      <c r="I1637" s="885">
        <f t="shared" ref="I1637:J1637" si="648">I1617*I1658</f>
        <v>10.276911176408504</v>
      </c>
      <c r="J1637" s="885">
        <f t="shared" si="648"/>
        <v>19.526911176408504</v>
      </c>
      <c r="K1637" s="885">
        <f>K1617*K1658</f>
        <v>31.450000000000003</v>
      </c>
      <c r="L1637" s="885">
        <f t="shared" ref="L1637:O1637" si="649">L1617*L1658</f>
        <v>37.370000000000005</v>
      </c>
      <c r="M1637" s="885">
        <f t="shared" si="649"/>
        <v>41.81</v>
      </c>
      <c r="N1637" s="885">
        <f t="shared" si="649"/>
        <v>44.03</v>
      </c>
      <c r="O1637" s="885">
        <f t="shared" si="649"/>
        <v>46.25</v>
      </c>
      <c r="P1637" s="885">
        <f t="shared" si="640"/>
        <v>48.1</v>
      </c>
      <c r="Q1637" s="885">
        <f t="shared" si="640"/>
        <v>49.95</v>
      </c>
      <c r="R1637" s="885">
        <f t="shared" si="640"/>
        <v>51.800000000000004</v>
      </c>
      <c r="S1637" s="885">
        <f t="shared" si="640"/>
        <v>53.650000000000006</v>
      </c>
    </row>
    <row r="1638" spans="1:19" x14ac:dyDescent="0.3">
      <c r="A1638" t="s">
        <v>1128</v>
      </c>
      <c r="I1638" s="885">
        <f>I$1649-SUM(I$1631:I1637)</f>
        <v>12.055830890372931</v>
      </c>
      <c r="J1638" s="885">
        <f t="shared" ref="J1638" si="650">J1618*J1659</f>
        <v>21.655830890372933</v>
      </c>
      <c r="K1638" s="885">
        <f t="shared" ref="K1638" si="651">K1618*K1659</f>
        <v>31.25583089037293</v>
      </c>
      <c r="L1638" s="885">
        <f>L1618*L1659</f>
        <v>34.56</v>
      </c>
      <c r="M1638" s="885">
        <f t="shared" ref="M1638:P1641" si="652">M1618*M1659</f>
        <v>39.936</v>
      </c>
      <c r="N1638" s="885">
        <f t="shared" si="652"/>
        <v>43.967999999999996</v>
      </c>
      <c r="O1638" s="885">
        <f t="shared" si="652"/>
        <v>45.983999999999995</v>
      </c>
      <c r="P1638" s="885">
        <f t="shared" si="652"/>
        <v>48</v>
      </c>
      <c r="Q1638" s="885">
        <f t="shared" si="640"/>
        <v>49.92</v>
      </c>
      <c r="R1638" s="885">
        <f t="shared" si="640"/>
        <v>51.84</v>
      </c>
      <c r="S1638" s="885">
        <f t="shared" si="640"/>
        <v>53.760000000000005</v>
      </c>
    </row>
    <row r="1639" spans="1:19" x14ac:dyDescent="0.3">
      <c r="A1639" t="s">
        <v>922</v>
      </c>
      <c r="J1639" s="885">
        <f>J$1649-SUM(J$1631:J1638)</f>
        <v>7.8202579332186701</v>
      </c>
      <c r="K1639" s="885">
        <f t="shared" ref="K1639:L1640" si="653">K1619*K1660</f>
        <v>18.370257933218671</v>
      </c>
      <c r="L1639" s="885">
        <f t="shared" si="653"/>
        <v>28.920257933218675</v>
      </c>
      <c r="M1639" s="885">
        <f>M1619*M1660</f>
        <v>42.2</v>
      </c>
      <c r="N1639" s="885">
        <f t="shared" si="652"/>
        <v>45.365000000000002</v>
      </c>
      <c r="O1639" s="885">
        <f t="shared" si="652"/>
        <v>48.530000000000008</v>
      </c>
      <c r="P1639" s="885">
        <f t="shared" si="652"/>
        <v>51.695000000000007</v>
      </c>
      <c r="Q1639" s="885">
        <f t="shared" si="640"/>
        <v>53.805000000000014</v>
      </c>
      <c r="R1639" s="885">
        <f t="shared" si="640"/>
        <v>55.915000000000013</v>
      </c>
      <c r="S1639" s="885">
        <f t="shared" si="640"/>
        <v>58.02500000000002</v>
      </c>
    </row>
    <row r="1640" spans="1:19" x14ac:dyDescent="0.3">
      <c r="A1640" t="s">
        <v>923</v>
      </c>
      <c r="K1640" s="885">
        <f>K$1649-SUM(K$1631:K1639)</f>
        <v>7.8439111764083407</v>
      </c>
      <c r="L1640" s="885">
        <f t="shared" si="653"/>
        <v>21.893911176408338</v>
      </c>
      <c r="M1640" s="885">
        <f t="shared" ref="M1640" si="654">M1620*M1661</f>
        <v>35.943911176408342</v>
      </c>
      <c r="N1640" s="885">
        <f>N1620*N1661</f>
        <v>53.39</v>
      </c>
      <c r="O1640" s="885">
        <f t="shared" si="652"/>
        <v>57.605000000000004</v>
      </c>
      <c r="P1640" s="885">
        <f t="shared" si="652"/>
        <v>61.820000000000007</v>
      </c>
      <c r="Q1640" s="885">
        <f t="shared" si="640"/>
        <v>66.035000000000011</v>
      </c>
      <c r="R1640" s="885">
        <f t="shared" si="640"/>
        <v>68.845000000000013</v>
      </c>
      <c r="S1640" s="885">
        <f t="shared" si="640"/>
        <v>71.655000000000015</v>
      </c>
    </row>
    <row r="1641" spans="1:19" x14ac:dyDescent="0.3">
      <c r="A1641" t="s">
        <v>924</v>
      </c>
      <c r="L1641" s="885">
        <f>L$1649-SUM(L$1631:L1640)</f>
        <v>17.222830890373075</v>
      </c>
      <c r="M1641" s="885">
        <f t="shared" ref="M1641:S1643" si="655">M1621*M1662</f>
        <v>34.772830890373072</v>
      </c>
      <c r="N1641" s="885">
        <f t="shared" si="655"/>
        <v>52.322830890373083</v>
      </c>
      <c r="O1641" s="885">
        <f>O1621*O1662</f>
        <v>63.18</v>
      </c>
      <c r="P1641" s="885">
        <f t="shared" si="652"/>
        <v>68.445000000000007</v>
      </c>
      <c r="Q1641" s="885">
        <f t="shared" si="640"/>
        <v>73.710000000000008</v>
      </c>
      <c r="R1641" s="885">
        <f t="shared" si="640"/>
        <v>78.975000000000009</v>
      </c>
      <c r="S1641" s="885">
        <f t="shared" si="640"/>
        <v>84.240000000000023</v>
      </c>
    </row>
    <row r="1642" spans="1:19" x14ac:dyDescent="0.3">
      <c r="A1642" t="s">
        <v>925</v>
      </c>
      <c r="M1642" s="885">
        <f>M$1649-SUM(M$1631:M1641)</f>
        <v>8.9497579332185637</v>
      </c>
      <c r="N1642" s="885">
        <f t="shared" si="655"/>
        <v>27.999757933218564</v>
      </c>
      <c r="O1642" s="885">
        <f t="shared" si="655"/>
        <v>47.049757933218565</v>
      </c>
      <c r="P1642" s="885">
        <f>P1622*P1663</f>
        <v>68.58</v>
      </c>
      <c r="Q1642" s="885">
        <f t="shared" ref="Q1642:S1642" si="656">Q1622*Q1663</f>
        <v>74.295000000000002</v>
      </c>
      <c r="R1642" s="885">
        <f t="shared" si="656"/>
        <v>80.010000000000005</v>
      </c>
      <c r="S1642" s="885">
        <f t="shared" si="656"/>
        <v>85.725000000000009</v>
      </c>
    </row>
    <row r="1643" spans="1:19" x14ac:dyDescent="0.3">
      <c r="A1643" t="s">
        <v>883</v>
      </c>
      <c r="N1643" s="885">
        <f>N$1649-SUM(N$1631:N1642)</f>
        <v>11.234411176408457</v>
      </c>
      <c r="O1643" s="885">
        <f t="shared" si="655"/>
        <v>24.794411176408456</v>
      </c>
      <c r="P1643" s="885">
        <f t="shared" si="655"/>
        <v>41.744411176408455</v>
      </c>
      <c r="Q1643" s="885">
        <f t="shared" si="655"/>
        <v>61.019999999999996</v>
      </c>
      <c r="R1643" s="885">
        <f t="shared" si="655"/>
        <v>66.105000000000004</v>
      </c>
      <c r="S1643" s="885">
        <f t="shared" si="655"/>
        <v>71.190000000000012</v>
      </c>
    </row>
    <row r="1644" spans="1:19" x14ac:dyDescent="0.3">
      <c r="A1644" t="s">
        <v>884</v>
      </c>
      <c r="O1644" s="885">
        <f>O$1649-SUM(O$1631:O1643)</f>
        <v>11.884830890373053</v>
      </c>
      <c r="P1644" s="885">
        <f t="shared" ref="P1644:S1647" si="657">P1624*P1665</f>
        <v>27.68483089037305</v>
      </c>
      <c r="Q1644" s="885">
        <f t="shared" si="657"/>
        <v>43.484830890373047</v>
      </c>
      <c r="R1644" s="885">
        <f t="shared" si="657"/>
        <v>56.879999999999995</v>
      </c>
      <c r="S1644" s="885">
        <f t="shared" si="657"/>
        <v>61.620000000000005</v>
      </c>
    </row>
    <row r="1645" spans="1:19" x14ac:dyDescent="0.3">
      <c r="A1645" t="s">
        <v>885</v>
      </c>
      <c r="P1645" s="885">
        <f>P$1649-SUM(P$1631:P1644)</f>
        <v>-11.161242066781369</v>
      </c>
      <c r="Q1645" s="885">
        <f t="shared" si="657"/>
        <v>5.438757933218632</v>
      </c>
      <c r="R1645" s="885">
        <f t="shared" si="657"/>
        <v>22.038757933218633</v>
      </c>
      <c r="S1645" s="885">
        <f t="shared" si="657"/>
        <v>59.76</v>
      </c>
    </row>
    <row r="1646" spans="1:19" x14ac:dyDescent="0.3">
      <c r="A1646" t="s">
        <v>886</v>
      </c>
      <c r="Q1646" s="885">
        <f>Q$1649-SUM(Q$1631:Q1645)</f>
        <v>-11.343588823591858</v>
      </c>
      <c r="R1646" s="885">
        <f t="shared" si="657"/>
        <v>5.306411176408143</v>
      </c>
      <c r="S1646" s="885">
        <f t="shared" si="657"/>
        <v>22.105139734222305</v>
      </c>
    </row>
    <row r="1647" spans="1:19" x14ac:dyDescent="0.3">
      <c r="A1647" t="s">
        <v>887</v>
      </c>
      <c r="R1647" s="885">
        <f>R$1649-SUM(R$1631:R1646)</f>
        <v>0.49783089037316586</v>
      </c>
      <c r="S1647" s="885">
        <f t="shared" si="657"/>
        <v>16.597830890373167</v>
      </c>
    </row>
    <row r="1648" spans="1:19" x14ac:dyDescent="0.3">
      <c r="A1648" t="s">
        <v>888</v>
      </c>
      <c r="S1648" s="885">
        <f>S$1649-SUM(S$1631:S1647)</f>
        <v>-24.21697062459566</v>
      </c>
    </row>
    <row r="1649" spans="1:20" x14ac:dyDescent="0.3">
      <c r="A1649" s="90" t="s">
        <v>1175</v>
      </c>
      <c r="B1649" s="917">
        <f>Drivers!DZ160</f>
        <v>0.85375156250006512</v>
      </c>
      <c r="C1649" s="917">
        <f>Drivers!EA160</f>
        <v>4.7234375000000455</v>
      </c>
      <c r="D1649" s="917">
        <f>Drivers!EB160</f>
        <v>5.3725000000001728</v>
      </c>
      <c r="E1649" s="917">
        <f>Drivers!EC160</f>
        <v>9.0240000000001146</v>
      </c>
      <c r="F1649" s="917">
        <f>Drivers!EE160</f>
        <v>18.901000000000067</v>
      </c>
      <c r="G1649" s="917">
        <f>Drivers!EF160</f>
        <v>35.124000000000024</v>
      </c>
      <c r="H1649" s="917">
        <f>Drivers!EG160</f>
        <v>54.455000000000155</v>
      </c>
      <c r="I1649" s="917">
        <f>Drivers!EH160</f>
        <v>86.563000000000102</v>
      </c>
      <c r="J1649" s="917">
        <f>Drivers!EJ160</f>
        <v>125.44800000000009</v>
      </c>
      <c r="K1649" s="917">
        <f>Drivers!EK160</f>
        <v>173.00199999999995</v>
      </c>
      <c r="L1649" s="917">
        <f>Drivers!EL160</f>
        <v>229.33300000000008</v>
      </c>
      <c r="M1649" s="917">
        <f>Drivers!EM160</f>
        <v>296.66399999999999</v>
      </c>
      <c r="N1649" s="917">
        <f>Drivers!EO160</f>
        <v>374.99500000000012</v>
      </c>
      <c r="O1649" s="917">
        <f>Drivers!EP160</f>
        <v>445.21800000000007</v>
      </c>
      <c r="P1649" s="917">
        <f>Drivers!EQ160</f>
        <v>508.10300000000007</v>
      </c>
      <c r="Q1649" s="917">
        <f>Drivers!ER160</f>
        <v>572.76499999999987</v>
      </c>
      <c r="R1649" s="917">
        <f>Drivers!ET160</f>
        <v>647.87300000000005</v>
      </c>
      <c r="S1649" s="917">
        <f>Drivers!EU160</f>
        <v>726.98099999999999</v>
      </c>
    </row>
    <row r="1651" spans="1:20" x14ac:dyDescent="0.3">
      <c r="A1651" s="90" t="s">
        <v>1176</v>
      </c>
      <c r="B1651" s="704" t="s">
        <v>1166</v>
      </c>
      <c r="C1651" s="704" t="s">
        <v>1167</v>
      </c>
      <c r="D1651" s="704" t="s">
        <v>1168</v>
      </c>
      <c r="E1651" s="704" t="s">
        <v>1169</v>
      </c>
      <c r="F1651" s="704" t="s">
        <v>1125</v>
      </c>
      <c r="G1651" s="704" t="s">
        <v>1126</v>
      </c>
      <c r="H1651" s="704" t="s">
        <v>1127</v>
      </c>
      <c r="I1651" s="704" t="s">
        <v>1128</v>
      </c>
      <c r="J1651" s="704" t="s">
        <v>922</v>
      </c>
      <c r="K1651" s="704" t="s">
        <v>923</v>
      </c>
      <c r="L1651" s="704" t="s">
        <v>924</v>
      </c>
      <c r="M1651" s="704" t="s">
        <v>925</v>
      </c>
      <c r="N1651" s="704" t="s">
        <v>883</v>
      </c>
      <c r="O1651" s="704" t="s">
        <v>884</v>
      </c>
      <c r="P1651" s="704" t="s">
        <v>885</v>
      </c>
      <c r="Q1651" s="704" t="s">
        <v>886</v>
      </c>
      <c r="R1651" s="704" t="s">
        <v>887</v>
      </c>
      <c r="S1651" s="704" t="s">
        <v>888</v>
      </c>
    </row>
    <row r="1652" spans="1:20" x14ac:dyDescent="0.3">
      <c r="A1652" t="s">
        <v>1166</v>
      </c>
      <c r="B1652" s="890">
        <f>B1631/B1611</f>
        <v>9.4861284722229461E-2</v>
      </c>
      <c r="C1652" s="890">
        <f>B1652+(E1652-B1652)/2</f>
        <v>0.19243064236111473</v>
      </c>
      <c r="D1652" s="890">
        <f>C1652+(E1652-C1652)/2</f>
        <v>0.24121532118055736</v>
      </c>
      <c r="E1652" s="910">
        <v>0.28999999999999998</v>
      </c>
      <c r="F1652" s="890">
        <f>E1652+(I1652-E1652)/2.5</f>
        <v>0.35</v>
      </c>
      <c r="G1652" s="890">
        <f>F1652+(I1652-F1652)/2</f>
        <v>0.39500000000000002</v>
      </c>
      <c r="H1652" s="890">
        <f>G1652+(I1652-G1652)/2</f>
        <v>0.41749999999999998</v>
      </c>
      <c r="I1652" s="910">
        <v>0.44</v>
      </c>
      <c r="J1652" s="890">
        <f t="shared" ref="J1652:S1652" si="658">MIN(I1652+0.5%,0.45)</f>
        <v>0.44500000000000001</v>
      </c>
      <c r="K1652" s="890">
        <f t="shared" si="658"/>
        <v>0.45</v>
      </c>
      <c r="L1652" s="890">
        <f t="shared" si="658"/>
        <v>0.45</v>
      </c>
      <c r="M1652" s="890">
        <f t="shared" si="658"/>
        <v>0.45</v>
      </c>
      <c r="N1652" s="890">
        <f t="shared" si="658"/>
        <v>0.45</v>
      </c>
      <c r="O1652" s="890">
        <f t="shared" si="658"/>
        <v>0.45</v>
      </c>
      <c r="P1652" s="890">
        <f t="shared" si="658"/>
        <v>0.45</v>
      </c>
      <c r="Q1652" s="890">
        <f t="shared" si="658"/>
        <v>0.45</v>
      </c>
      <c r="R1652" s="890">
        <f t="shared" si="658"/>
        <v>0.45</v>
      </c>
      <c r="S1652" s="890">
        <f t="shared" si="658"/>
        <v>0.45</v>
      </c>
    </row>
    <row r="1653" spans="1:20" x14ac:dyDescent="0.3">
      <c r="A1653" t="s">
        <v>1167</v>
      </c>
      <c r="B1653" s="890"/>
      <c r="C1653" s="890">
        <f>B1652/E1652*F1653</f>
        <v>9.8132363505754619E-2</v>
      </c>
      <c r="D1653" s="890">
        <f>C1653/B1652*C1652</f>
        <v>0.19906618175287732</v>
      </c>
      <c r="E1653" s="890">
        <f>D1653/C1652*D1652</f>
        <v>0.24953309087643866</v>
      </c>
      <c r="F1653" s="910">
        <v>0.3</v>
      </c>
      <c r="G1653" s="890">
        <f>F1653+(J1653-F1653)/2.5</f>
        <v>0.35599999999999998</v>
      </c>
      <c r="H1653" s="890">
        <f>G1653+(J1653-G1653)/2</f>
        <v>0.39800000000000002</v>
      </c>
      <c r="I1653" s="890">
        <f>H1653+(J1653-H1653)/2</f>
        <v>0.41900000000000004</v>
      </c>
      <c r="J1653" s="910">
        <v>0.44</v>
      </c>
      <c r="K1653" s="890">
        <f t="shared" ref="K1653:S1654" si="659">MIN(J1653+0.5%,0.45)</f>
        <v>0.44500000000000001</v>
      </c>
      <c r="L1653" s="890">
        <f t="shared" si="659"/>
        <v>0.45</v>
      </c>
      <c r="M1653" s="890">
        <f t="shared" si="659"/>
        <v>0.45</v>
      </c>
      <c r="N1653" s="890">
        <f t="shared" si="659"/>
        <v>0.45</v>
      </c>
      <c r="O1653" s="890">
        <f t="shared" si="659"/>
        <v>0.45</v>
      </c>
      <c r="P1653" s="890">
        <f t="shared" si="659"/>
        <v>0.45</v>
      </c>
      <c r="Q1653" s="890">
        <f t="shared" si="659"/>
        <v>0.45</v>
      </c>
      <c r="R1653" s="890">
        <f t="shared" si="659"/>
        <v>0.45</v>
      </c>
      <c r="S1653" s="890">
        <f t="shared" si="659"/>
        <v>0.45</v>
      </c>
    </row>
    <row r="1654" spans="1:20" x14ac:dyDescent="0.3">
      <c r="A1654" t="s">
        <v>1168</v>
      </c>
      <c r="B1654" s="890"/>
      <c r="C1654" s="890"/>
      <c r="D1654" s="890">
        <f>C1653/F1653*G1654</f>
        <v>9.8132363505754619E-2</v>
      </c>
      <c r="E1654" s="890">
        <f>D1654/C1653*D1653</f>
        <v>0.19906618175287732</v>
      </c>
      <c r="F1654" s="890">
        <f>E1654/D1653*E1653</f>
        <v>0.24953309087643866</v>
      </c>
      <c r="G1654" s="910">
        <v>0.3</v>
      </c>
      <c r="H1654" s="890">
        <f>G1654+(K1654-G1654)/2.5</f>
        <v>0.34799999999999998</v>
      </c>
      <c r="I1654" s="890">
        <f>H1654+(K1654-H1654)/2</f>
        <v>0.38400000000000001</v>
      </c>
      <c r="J1654" s="890">
        <f>I1654+(K1654-I1654)/2</f>
        <v>0.40200000000000002</v>
      </c>
      <c r="K1654" s="910">
        <v>0.42</v>
      </c>
      <c r="L1654" s="890">
        <f>MIN(K1654+0.5%,0.45)</f>
        <v>0.42499999999999999</v>
      </c>
      <c r="M1654" s="890">
        <f t="shared" si="659"/>
        <v>0.43</v>
      </c>
      <c r="N1654" s="890">
        <f t="shared" si="659"/>
        <v>0.435</v>
      </c>
      <c r="O1654" s="890">
        <f t="shared" si="659"/>
        <v>0.44</v>
      </c>
      <c r="P1654" s="890">
        <f t="shared" si="659"/>
        <v>0.44500000000000001</v>
      </c>
      <c r="Q1654" s="890">
        <f t="shared" si="659"/>
        <v>0.45</v>
      </c>
      <c r="R1654" s="890">
        <f t="shared" si="659"/>
        <v>0.45</v>
      </c>
      <c r="S1654" s="890">
        <f t="shared" si="659"/>
        <v>0.45</v>
      </c>
    </row>
    <row r="1655" spans="1:20" x14ac:dyDescent="0.3">
      <c r="A1655" t="s">
        <v>1169</v>
      </c>
      <c r="B1655" s="890"/>
      <c r="C1655" s="890"/>
      <c r="D1655" s="890"/>
      <c r="E1655" s="890">
        <f>E1634/E1614</f>
        <v>4.3768993953545159E-2</v>
      </c>
      <c r="F1655" s="890">
        <f>E1655/D1654*E1654</f>
        <v>8.8787492670408072E-2</v>
      </c>
      <c r="G1655" s="890">
        <f>F1655/E1654*F1654</f>
        <v>0.11129674202883952</v>
      </c>
      <c r="H1655" s="910">
        <v>0.22</v>
      </c>
      <c r="I1655" s="890">
        <f>H1655+(L1655-H1655)/2.5</f>
        <v>0.25600000000000001</v>
      </c>
      <c r="J1655" s="890">
        <f>I1655+(L1655-I1655)/2</f>
        <v>0.28300000000000003</v>
      </c>
      <c r="K1655" s="890">
        <f>J1655+(L1655-J1655)/2</f>
        <v>0.29649999999999999</v>
      </c>
      <c r="L1655" s="910">
        <v>0.31</v>
      </c>
      <c r="M1655" s="890">
        <f>L1655+0.015</f>
        <v>0.32500000000000001</v>
      </c>
      <c r="N1655" s="890">
        <f t="shared" ref="N1655" si="660">M1655+0.015</f>
        <v>0.34</v>
      </c>
      <c r="O1655" s="890">
        <f>N1655+0.01</f>
        <v>0.35000000000000003</v>
      </c>
      <c r="P1655" s="890">
        <f t="shared" ref="P1655:S1655" si="661">O1655+0.01</f>
        <v>0.36000000000000004</v>
      </c>
      <c r="Q1655" s="890">
        <f t="shared" si="661"/>
        <v>0.37000000000000005</v>
      </c>
      <c r="R1655" s="890">
        <f t="shared" si="661"/>
        <v>0.38000000000000006</v>
      </c>
      <c r="S1655" s="890">
        <f t="shared" si="661"/>
        <v>0.39000000000000007</v>
      </c>
    </row>
    <row r="1656" spans="1:20" x14ac:dyDescent="0.3">
      <c r="A1656" t="s">
        <v>1125</v>
      </c>
      <c r="B1656" s="890"/>
      <c r="C1656" s="890"/>
      <c r="D1656" s="890"/>
      <c r="E1656" s="890"/>
      <c r="F1656" s="890">
        <f>F1635/F1615</f>
        <v>5.5557236748919575E-2</v>
      </c>
      <c r="G1656" s="890">
        <f>F1656/E1655*F1655</f>
        <v>0.11270050565631705</v>
      </c>
      <c r="H1656" s="890">
        <f>G1656/F1655*G1655</f>
        <v>0.14127214011001576</v>
      </c>
      <c r="I1656" s="910">
        <v>0.18</v>
      </c>
      <c r="J1656" s="890">
        <f>I1656+(M1656-I1656)/2.5</f>
        <v>0.20799999999999999</v>
      </c>
      <c r="K1656" s="890">
        <f>J1656+(M1656-J1656)/2</f>
        <v>0.22899999999999998</v>
      </c>
      <c r="L1656" s="890">
        <f>K1656+(M1656-K1656)/2</f>
        <v>0.23949999999999999</v>
      </c>
      <c r="M1656" s="910">
        <v>0.25</v>
      </c>
      <c r="N1656" s="890">
        <f t="shared" ref="N1656:S1661" si="662">M1656+0.01</f>
        <v>0.26</v>
      </c>
      <c r="O1656" s="890">
        <f t="shared" si="662"/>
        <v>0.27</v>
      </c>
      <c r="P1656" s="890">
        <f t="shared" si="662"/>
        <v>0.28000000000000003</v>
      </c>
      <c r="Q1656" s="890">
        <f t="shared" si="662"/>
        <v>0.29000000000000004</v>
      </c>
      <c r="R1656" s="890">
        <f t="shared" si="662"/>
        <v>0.30000000000000004</v>
      </c>
      <c r="S1656" s="890">
        <f t="shared" si="662"/>
        <v>0.31000000000000005</v>
      </c>
    </row>
    <row r="1657" spans="1:20" x14ac:dyDescent="0.3">
      <c r="A1657" t="s">
        <v>1126</v>
      </c>
      <c r="B1657" s="890"/>
      <c r="C1657" s="890"/>
      <c r="D1657" s="890"/>
      <c r="E1657" s="890"/>
      <c r="F1657" s="890"/>
      <c r="G1657" s="890">
        <f>G1636/G1616</f>
        <v>4.8549954713456571E-2</v>
      </c>
      <c r="H1657" s="890">
        <f>G1657/F1656*G1656</f>
        <v>9.8485899695222978E-2</v>
      </c>
      <c r="I1657" s="890">
        <f>H1657/G1656*H1656</f>
        <v>0.12345387218610615</v>
      </c>
      <c r="J1657" s="910">
        <v>0.17</v>
      </c>
      <c r="K1657" s="890">
        <f>J1657+(N1657-J1657)/2.5</f>
        <v>0.19800000000000001</v>
      </c>
      <c r="L1657" s="890">
        <f>K1657+(N1657-K1657)/2</f>
        <v>0.219</v>
      </c>
      <c r="M1657" s="890">
        <f>L1657+(N1657-L1657)/2</f>
        <v>0.22949999999999998</v>
      </c>
      <c r="N1657" s="910">
        <v>0.24</v>
      </c>
      <c r="O1657" s="890">
        <f t="shared" si="662"/>
        <v>0.25</v>
      </c>
      <c r="P1657" s="890">
        <f t="shared" si="662"/>
        <v>0.26</v>
      </c>
      <c r="Q1657" s="890">
        <f t="shared" si="662"/>
        <v>0.27</v>
      </c>
      <c r="R1657" s="890">
        <f t="shared" si="662"/>
        <v>0.28000000000000003</v>
      </c>
      <c r="S1657" s="890">
        <f t="shared" si="662"/>
        <v>0.29000000000000004</v>
      </c>
    </row>
    <row r="1658" spans="1:20" x14ac:dyDescent="0.3">
      <c r="A1658" t="s">
        <v>1127</v>
      </c>
      <c r="B1658" s="890"/>
      <c r="C1658" s="890"/>
      <c r="D1658" s="890"/>
      <c r="E1658" s="890"/>
      <c r="F1658" s="890"/>
      <c r="G1658" s="890"/>
      <c r="H1658" s="890">
        <f>H1637/H1617</f>
        <v>5.5508712238297514E-3</v>
      </c>
      <c r="I1658" s="890">
        <f>H1658+5%</f>
        <v>5.5550871223829755E-2</v>
      </c>
      <c r="J1658" s="890">
        <f>I1658+5%</f>
        <v>0.10555087122382975</v>
      </c>
      <c r="K1658" s="910">
        <v>0.17</v>
      </c>
      <c r="L1658" s="890">
        <f>K1658+(O1658-K1658)/2.5</f>
        <v>0.20200000000000001</v>
      </c>
      <c r="M1658" s="890">
        <f>L1658+(O1658-L1658)/2</f>
        <v>0.22600000000000001</v>
      </c>
      <c r="N1658" s="890">
        <f>M1658+(O1658-M1658)/2</f>
        <v>0.23799999999999999</v>
      </c>
      <c r="O1658" s="910">
        <v>0.25</v>
      </c>
      <c r="P1658" s="890">
        <f t="shared" si="662"/>
        <v>0.26</v>
      </c>
      <c r="Q1658" s="890">
        <f t="shared" si="662"/>
        <v>0.27</v>
      </c>
      <c r="R1658" s="890">
        <f t="shared" si="662"/>
        <v>0.28000000000000003</v>
      </c>
      <c r="S1658" s="890">
        <f t="shared" si="662"/>
        <v>0.29000000000000004</v>
      </c>
      <c r="T1658" s="890"/>
    </row>
    <row r="1659" spans="1:20" x14ac:dyDescent="0.3">
      <c r="A1659" t="s">
        <v>1128</v>
      </c>
      <c r="B1659" s="890"/>
      <c r="C1659" s="890"/>
      <c r="D1659" s="890"/>
      <c r="E1659" s="890"/>
      <c r="F1659" s="890"/>
      <c r="G1659" s="890"/>
      <c r="H1659" s="890"/>
      <c r="I1659" s="890">
        <f>I1638/I1618</f>
        <v>6.2790785887359021E-2</v>
      </c>
      <c r="J1659" s="890">
        <f>I1659+5%</f>
        <v>0.11279078588735902</v>
      </c>
      <c r="K1659" s="890">
        <f>J1659+5%</f>
        <v>0.16279078588735901</v>
      </c>
      <c r="L1659" s="910">
        <v>0.18</v>
      </c>
      <c r="M1659" s="890">
        <f>L1659+(P1659-L1659)/2.5</f>
        <v>0.20799999999999999</v>
      </c>
      <c r="N1659" s="890">
        <f>M1659+(P1659-M1659)/2</f>
        <v>0.22899999999999998</v>
      </c>
      <c r="O1659" s="890">
        <f>N1659+(P1659-N1659)/2</f>
        <v>0.23949999999999999</v>
      </c>
      <c r="P1659" s="910">
        <v>0.25</v>
      </c>
      <c r="Q1659" s="890">
        <f t="shared" si="662"/>
        <v>0.26</v>
      </c>
      <c r="R1659" s="890">
        <f t="shared" si="662"/>
        <v>0.27</v>
      </c>
      <c r="S1659" s="890">
        <f t="shared" si="662"/>
        <v>0.28000000000000003</v>
      </c>
      <c r="T1659" s="890"/>
    </row>
    <row r="1660" spans="1:20" x14ac:dyDescent="0.3">
      <c r="A1660" t="s">
        <v>922</v>
      </c>
      <c r="B1660" s="890"/>
      <c r="C1660" s="890"/>
      <c r="D1660" s="890"/>
      <c r="E1660" s="890"/>
      <c r="F1660" s="890"/>
      <c r="G1660" s="890"/>
      <c r="H1660" s="890"/>
      <c r="I1660" s="890"/>
      <c r="J1660" s="890">
        <f>J1639/J1619</f>
        <v>3.7062833806723552E-2</v>
      </c>
      <c r="K1660" s="890">
        <f>J1660+5%</f>
        <v>8.7062833806723555E-2</v>
      </c>
      <c r="L1660" s="890">
        <f>K1660+5%</f>
        <v>0.13706283380672357</v>
      </c>
      <c r="M1660" s="910">
        <v>0.2</v>
      </c>
      <c r="N1660" s="890">
        <f t="shared" ref="N1660:S1663" si="663">M1660+0.015</f>
        <v>0.21500000000000002</v>
      </c>
      <c r="O1660" s="890">
        <f t="shared" si="663"/>
        <v>0.23000000000000004</v>
      </c>
      <c r="P1660" s="890">
        <f t="shared" si="663"/>
        <v>0.24500000000000005</v>
      </c>
      <c r="Q1660" s="890">
        <f t="shared" si="662"/>
        <v>0.25500000000000006</v>
      </c>
      <c r="R1660" s="890">
        <f t="shared" si="662"/>
        <v>0.26500000000000007</v>
      </c>
      <c r="S1660" s="890">
        <f t="shared" si="662"/>
        <v>0.27500000000000008</v>
      </c>
    </row>
    <row r="1661" spans="1:20" x14ac:dyDescent="0.3">
      <c r="A1661" t="s">
        <v>923</v>
      </c>
      <c r="B1661" s="890"/>
      <c r="C1661" s="890"/>
      <c r="D1661" s="890"/>
      <c r="E1661" s="890"/>
      <c r="F1661" s="890"/>
      <c r="G1661" s="890"/>
      <c r="H1661" s="890"/>
      <c r="I1661" s="890"/>
      <c r="J1661" s="890"/>
      <c r="K1661" s="890">
        <f>K1640/K1620</f>
        <v>2.7914274649140002E-2</v>
      </c>
      <c r="L1661" s="890">
        <f>K1661+5%</f>
        <v>7.7914274649139997E-2</v>
      </c>
      <c r="M1661" s="890">
        <f>L1661+5%</f>
        <v>0.12791427464914001</v>
      </c>
      <c r="N1661" s="910">
        <v>0.19</v>
      </c>
      <c r="O1661" s="890">
        <f t="shared" si="663"/>
        <v>0.20500000000000002</v>
      </c>
      <c r="P1661" s="890">
        <f t="shared" si="663"/>
        <v>0.22000000000000003</v>
      </c>
      <c r="Q1661" s="890">
        <f t="shared" si="663"/>
        <v>0.23500000000000004</v>
      </c>
      <c r="R1661" s="890">
        <f t="shared" si="662"/>
        <v>0.24500000000000005</v>
      </c>
      <c r="S1661" s="890">
        <f t="shared" si="662"/>
        <v>0.25500000000000006</v>
      </c>
    </row>
    <row r="1662" spans="1:20" x14ac:dyDescent="0.3">
      <c r="A1662" t="s">
        <v>924</v>
      </c>
      <c r="B1662" s="890"/>
      <c r="C1662" s="890"/>
      <c r="D1662" s="890"/>
      <c r="E1662" s="890"/>
      <c r="F1662" s="890"/>
      <c r="G1662" s="890"/>
      <c r="H1662" s="890"/>
      <c r="I1662" s="890"/>
      <c r="J1662" s="890"/>
      <c r="K1662" s="890"/>
      <c r="L1662" s="890">
        <f>L1641/L1621</f>
        <v>4.9067894274567168E-2</v>
      </c>
      <c r="M1662" s="890">
        <f>L1662+5%</f>
        <v>9.9067894274567164E-2</v>
      </c>
      <c r="N1662" s="890">
        <f>M1662+5%</f>
        <v>0.14906789427456718</v>
      </c>
      <c r="O1662" s="910">
        <v>0.18</v>
      </c>
      <c r="P1662" s="890">
        <f t="shared" si="663"/>
        <v>0.19500000000000001</v>
      </c>
      <c r="Q1662" s="890">
        <f t="shared" si="663"/>
        <v>0.21000000000000002</v>
      </c>
      <c r="R1662" s="890">
        <f t="shared" si="663"/>
        <v>0.22500000000000003</v>
      </c>
      <c r="S1662" s="890">
        <f t="shared" si="663"/>
        <v>0.24000000000000005</v>
      </c>
    </row>
    <row r="1663" spans="1:20" x14ac:dyDescent="0.3">
      <c r="A1663" t="s">
        <v>925</v>
      </c>
      <c r="B1663" s="890"/>
      <c r="C1663" s="890"/>
      <c r="D1663" s="890"/>
      <c r="E1663" s="890"/>
      <c r="F1663" s="890"/>
      <c r="G1663" s="890"/>
      <c r="H1663" s="890"/>
      <c r="I1663" s="890"/>
      <c r="J1663" s="890"/>
      <c r="K1663" s="890"/>
      <c r="L1663" s="890"/>
      <c r="M1663" s="890">
        <f>M1642/M1622</f>
        <v>2.349017830241093E-2</v>
      </c>
      <c r="N1663" s="890">
        <f>M1663+5%</f>
        <v>7.3490178302410933E-2</v>
      </c>
      <c r="O1663" s="890">
        <f>N1663+5%</f>
        <v>0.12349017830241094</v>
      </c>
      <c r="P1663" s="910">
        <v>0.18</v>
      </c>
      <c r="Q1663" s="890">
        <f t="shared" si="663"/>
        <v>0.19500000000000001</v>
      </c>
      <c r="R1663" s="890">
        <f t="shared" si="663"/>
        <v>0.21000000000000002</v>
      </c>
      <c r="S1663" s="890">
        <f t="shared" si="663"/>
        <v>0.22500000000000003</v>
      </c>
    </row>
    <row r="1664" spans="1:20" x14ac:dyDescent="0.3">
      <c r="A1664" t="s">
        <v>883</v>
      </c>
      <c r="B1664" s="890"/>
      <c r="C1664" s="890"/>
      <c r="D1664" s="890"/>
      <c r="E1664" s="890"/>
      <c r="F1664" s="890"/>
      <c r="G1664" s="890"/>
      <c r="H1664" s="890"/>
      <c r="I1664" s="890"/>
      <c r="J1664" s="890"/>
      <c r="K1664" s="890"/>
      <c r="L1664" s="890"/>
      <c r="M1664" s="890"/>
      <c r="N1664" s="890">
        <f>N1643/N1623</f>
        <v>3.3139855977606068E-2</v>
      </c>
      <c r="O1664" s="890">
        <f>N1664+4%</f>
        <v>7.3139855977606069E-2</v>
      </c>
      <c r="P1664" s="890">
        <f>O1664+5%</f>
        <v>0.12313985597760607</v>
      </c>
      <c r="Q1664" s="890">
        <f>P1663</f>
        <v>0.18</v>
      </c>
      <c r="R1664" s="890">
        <f t="shared" ref="R1664:S1667" si="664">Q1663</f>
        <v>0.19500000000000001</v>
      </c>
      <c r="S1664" s="890">
        <f t="shared" si="664"/>
        <v>0.21000000000000002</v>
      </c>
    </row>
    <row r="1665" spans="1:20" x14ac:dyDescent="0.3">
      <c r="A1665" t="s">
        <v>884</v>
      </c>
      <c r="B1665" s="890"/>
      <c r="C1665" s="890"/>
      <c r="D1665" s="890"/>
      <c r="E1665" s="890"/>
      <c r="F1665" s="890"/>
      <c r="G1665" s="890"/>
      <c r="H1665" s="890"/>
      <c r="I1665" s="890"/>
      <c r="J1665" s="890"/>
      <c r="K1665" s="890"/>
      <c r="L1665" s="890"/>
      <c r="M1665" s="890"/>
      <c r="N1665" s="890"/>
      <c r="O1665" s="890">
        <f>O1644/O1624</f>
        <v>3.7610224336623581E-2</v>
      </c>
      <c r="P1665" s="890">
        <f>O1665+5%</f>
        <v>8.7610224336623577E-2</v>
      </c>
      <c r="Q1665" s="890">
        <f>P1665+5%</f>
        <v>0.13761022433662357</v>
      </c>
      <c r="R1665" s="890">
        <f t="shared" si="664"/>
        <v>0.18</v>
      </c>
      <c r="S1665" s="890">
        <f t="shared" si="664"/>
        <v>0.19500000000000001</v>
      </c>
    </row>
    <row r="1666" spans="1:20" x14ac:dyDescent="0.3">
      <c r="A1666" t="s">
        <v>885</v>
      </c>
      <c r="B1666" s="890"/>
      <c r="C1666" s="890"/>
      <c r="D1666" s="890"/>
      <c r="E1666" s="890"/>
      <c r="F1666" s="890"/>
      <c r="G1666" s="890"/>
      <c r="H1666" s="890"/>
      <c r="I1666" s="890"/>
      <c r="J1666" s="890"/>
      <c r="K1666" s="890"/>
      <c r="L1666" s="890"/>
      <c r="M1666" s="890"/>
      <c r="N1666" s="890"/>
      <c r="O1666" s="890"/>
      <c r="P1666" s="890">
        <f>P1645/P1625</f>
        <v>-3.3618198996329424E-2</v>
      </c>
      <c r="Q1666" s="890">
        <f>P1666+5%</f>
        <v>1.6381801003670579E-2</v>
      </c>
      <c r="R1666" s="890">
        <f>Q1666+5%</f>
        <v>6.6381801003670582E-2</v>
      </c>
      <c r="S1666" s="890">
        <f t="shared" si="664"/>
        <v>0.18</v>
      </c>
    </row>
    <row r="1667" spans="1:20" x14ac:dyDescent="0.3">
      <c r="A1667" t="s">
        <v>886</v>
      </c>
      <c r="B1667" s="890"/>
      <c r="C1667" s="890"/>
      <c r="D1667" s="890"/>
      <c r="E1667" s="890"/>
      <c r="F1667" s="890"/>
      <c r="G1667" s="890"/>
      <c r="H1667" s="890"/>
      <c r="I1667" s="890"/>
      <c r="J1667" s="890"/>
      <c r="K1667" s="890"/>
      <c r="L1667" s="890"/>
      <c r="M1667" s="890"/>
      <c r="N1667" s="890"/>
      <c r="O1667" s="890"/>
      <c r="P1667" s="890"/>
      <c r="Q1667" s="890">
        <f>Q1646/Q1626</f>
        <v>-3.4064831302077651E-2</v>
      </c>
      <c r="R1667" s="890">
        <f>Q1667+5%</f>
        <v>1.5935168697922351E-2</v>
      </c>
      <c r="S1667" s="890">
        <f t="shared" si="664"/>
        <v>6.6381801003670582E-2</v>
      </c>
    </row>
    <row r="1668" spans="1:20" x14ac:dyDescent="0.3">
      <c r="A1668" t="s">
        <v>887</v>
      </c>
      <c r="B1668" s="890"/>
      <c r="C1668" s="890"/>
      <c r="D1668" s="890"/>
      <c r="E1668" s="890"/>
      <c r="F1668" s="890"/>
      <c r="G1668" s="890"/>
      <c r="H1668" s="890"/>
      <c r="I1668" s="890"/>
      <c r="J1668" s="890"/>
      <c r="K1668" s="890"/>
      <c r="L1668" s="890"/>
      <c r="M1668" s="890"/>
      <c r="N1668" s="890"/>
      <c r="O1668" s="890"/>
      <c r="P1668" s="890"/>
      <c r="Q1668" s="890"/>
      <c r="R1668" s="890">
        <f>R1647/R1627</f>
        <v>1.5460586657551735E-3</v>
      </c>
      <c r="S1668" s="890">
        <f>R1668+5%</f>
        <v>5.1546058665755179E-2</v>
      </c>
    </row>
    <row r="1669" spans="1:20" x14ac:dyDescent="0.3">
      <c r="A1669" t="s">
        <v>888</v>
      </c>
      <c r="B1669" s="890"/>
      <c r="C1669" s="890"/>
      <c r="D1669" s="890"/>
      <c r="E1669" s="890"/>
      <c r="F1669" s="890"/>
      <c r="G1669" s="890"/>
      <c r="H1669" s="890"/>
      <c r="I1669" s="890"/>
      <c r="J1669" s="890"/>
      <c r="K1669" s="890"/>
      <c r="L1669" s="890"/>
      <c r="M1669" s="890"/>
      <c r="N1669" s="890"/>
      <c r="O1669" s="890"/>
      <c r="P1669" s="890"/>
      <c r="Q1669" s="890"/>
      <c r="R1669" s="890"/>
      <c r="S1669" s="890">
        <f>S1648/S1628</f>
        <v>-6.2414872743803251E-2</v>
      </c>
    </row>
    <row r="1670" spans="1:20" x14ac:dyDescent="0.3">
      <c r="A1670" s="90" t="s">
        <v>702</v>
      </c>
      <c r="B1670" s="911">
        <f>B1649/B1607</f>
        <v>9.4861284722229461E-2</v>
      </c>
      <c r="C1670" s="911">
        <f t="shared" ref="C1670:S1670" si="665">C1649/C1607</f>
        <v>0.277849264705885</v>
      </c>
      <c r="D1670" s="911">
        <f t="shared" si="665"/>
        <v>0.20663461538462202</v>
      </c>
      <c r="E1670" s="911">
        <f t="shared" si="665"/>
        <v>0.10493023255814087</v>
      </c>
      <c r="F1670" s="911">
        <f t="shared" si="665"/>
        <v>9.9478947368421403E-2</v>
      </c>
      <c r="G1670" s="911">
        <f t="shared" si="665"/>
        <v>0.10122190201729113</v>
      </c>
      <c r="H1670" s="911">
        <f t="shared" si="665"/>
        <v>0.10235902255639127</v>
      </c>
      <c r="I1670" s="911">
        <f t="shared" si="665"/>
        <v>0.11956215469613274</v>
      </c>
      <c r="J1670" s="911">
        <f t="shared" si="665"/>
        <v>0.13416898395721935</v>
      </c>
      <c r="K1670" s="911">
        <f t="shared" si="665"/>
        <v>0.14227138157894734</v>
      </c>
      <c r="L1670" s="911">
        <f t="shared" si="665"/>
        <v>0.14635162731333765</v>
      </c>
      <c r="M1670" s="911">
        <f t="shared" si="665"/>
        <v>0.15229158110882957</v>
      </c>
      <c r="N1670" s="911">
        <f t="shared" si="665"/>
        <v>0.16396808045474426</v>
      </c>
      <c r="O1670" s="911">
        <f t="shared" si="665"/>
        <v>0.17104033807145605</v>
      </c>
      <c r="P1670" s="911">
        <f t="shared" si="665"/>
        <v>0.17311856899488928</v>
      </c>
      <c r="Q1670" s="911">
        <f t="shared" si="665"/>
        <v>0.17526468788249691</v>
      </c>
      <c r="R1670" s="911">
        <f t="shared" si="665"/>
        <v>0.18046601671309193</v>
      </c>
      <c r="S1670" s="911">
        <f t="shared" si="665"/>
        <v>0.18275037707390648</v>
      </c>
    </row>
    <row r="1678" spans="1:20" x14ac:dyDescent="0.3">
      <c r="A1678" s="1256" t="s">
        <v>198</v>
      </c>
      <c r="B1678" s="1257"/>
      <c r="C1678" s="1257"/>
      <c r="D1678" s="1257"/>
      <c r="E1678" s="1257"/>
      <c r="F1678" s="1257"/>
      <c r="G1678" s="1257"/>
      <c r="H1678" s="1257"/>
      <c r="I1678" s="1257"/>
      <c r="J1678" s="1257"/>
      <c r="K1678" s="1257"/>
      <c r="L1678" s="1257"/>
      <c r="M1678" s="1257"/>
      <c r="N1678" s="1257"/>
      <c r="O1678" s="1257"/>
      <c r="P1678" s="1257"/>
      <c r="Q1678" s="1257"/>
      <c r="R1678" s="1257"/>
      <c r="S1678" s="1257"/>
      <c r="T1678" s="1257"/>
    </row>
    <row r="1680" spans="1:20" x14ac:dyDescent="0.3">
      <c r="A1680" s="610"/>
      <c r="B1680" s="611">
        <v>2021</v>
      </c>
      <c r="C1680" s="611">
        <v>2022</v>
      </c>
      <c r="D1680" s="611">
        <v>2023</v>
      </c>
    </row>
    <row r="1681" spans="1:4" x14ac:dyDescent="0.3">
      <c r="A1681" s="725" t="s">
        <v>506</v>
      </c>
      <c r="B1681" s="999">
        <v>1705</v>
      </c>
      <c r="C1681" s="999">
        <f>F1706</f>
        <v>2738</v>
      </c>
      <c r="D1681" s="999">
        <f>K1706</f>
        <v>3211</v>
      </c>
    </row>
    <row r="1682" spans="1:4" x14ac:dyDescent="0.3">
      <c r="A1682" s="725" t="s">
        <v>507</v>
      </c>
      <c r="B1682" s="873">
        <v>0</v>
      </c>
      <c r="C1682" s="873">
        <f>F1707</f>
        <v>0</v>
      </c>
      <c r="D1682" s="873">
        <f>K1707</f>
        <v>4</v>
      </c>
    </row>
    <row r="1683" spans="1:4" x14ac:dyDescent="0.3">
      <c r="A1683" s="726" t="s">
        <v>508</v>
      </c>
      <c r="B1683" s="1064">
        <f>SUM(B1681:B1682)</f>
        <v>1705</v>
      </c>
      <c r="C1683" s="1064">
        <f>SUM(C1681:C1682)</f>
        <v>2738</v>
      </c>
      <c r="D1683" s="1064">
        <f>SUM(D1681:D1682)</f>
        <v>3215</v>
      </c>
    </row>
    <row r="1684" spans="1:4" x14ac:dyDescent="0.3">
      <c r="A1684" s="725" t="s">
        <v>509</v>
      </c>
      <c r="B1684" s="999">
        <v>-20</v>
      </c>
      <c r="C1684" s="999">
        <f t="shared" ref="C1684:C1686" si="666">F1709</f>
        <v>797</v>
      </c>
      <c r="D1684" s="999">
        <f t="shared" ref="D1684:D1686" si="667">K1709</f>
        <v>-326</v>
      </c>
    </row>
    <row r="1685" spans="1:4" x14ac:dyDescent="0.3">
      <c r="A1685" s="725" t="s">
        <v>510</v>
      </c>
      <c r="B1685" s="999">
        <v>0</v>
      </c>
      <c r="C1685" s="999">
        <f t="shared" si="666"/>
        <v>0</v>
      </c>
      <c r="D1685" s="999">
        <f t="shared" si="667"/>
        <v>255</v>
      </c>
    </row>
    <row r="1686" spans="1:4" x14ac:dyDescent="0.3">
      <c r="A1686" s="725" t="s">
        <v>511</v>
      </c>
      <c r="B1686" s="873">
        <v>-60</v>
      </c>
      <c r="C1686" s="873">
        <f t="shared" si="666"/>
        <v>-408</v>
      </c>
      <c r="D1686" s="873">
        <f t="shared" si="667"/>
        <v>-52</v>
      </c>
    </row>
    <row r="1687" spans="1:4" x14ac:dyDescent="0.3">
      <c r="A1687" s="726" t="s">
        <v>512</v>
      </c>
      <c r="B1687" s="1064">
        <f>SUM(B1683:B1686)</f>
        <v>1625</v>
      </c>
      <c r="C1687" s="1064">
        <f>SUM(C1683:C1686)</f>
        <v>3127</v>
      </c>
      <c r="D1687" s="1064">
        <f>SUM(D1683:D1686)</f>
        <v>3092</v>
      </c>
    </row>
    <row r="1688" spans="1:4" x14ac:dyDescent="0.3">
      <c r="A1688" s="494"/>
      <c r="B1688" s="494"/>
      <c r="C1688" s="494"/>
      <c r="D1688" s="494"/>
    </row>
    <row r="1693" spans="1:4" x14ac:dyDescent="0.3">
      <c r="A1693" s="610"/>
      <c r="B1693" s="611">
        <v>2022</v>
      </c>
      <c r="C1693" s="611">
        <v>2023</v>
      </c>
      <c r="D1693" s="611">
        <v>2024</v>
      </c>
    </row>
    <row r="1694" spans="1:4" x14ac:dyDescent="0.3">
      <c r="A1694" s="708" t="s">
        <v>1177</v>
      </c>
      <c r="B1694" s="999">
        <v>62</v>
      </c>
      <c r="C1694" s="999">
        <v>126</v>
      </c>
      <c r="D1694" s="1476" t="s">
        <v>1178</v>
      </c>
    </row>
    <row r="1695" spans="1:4" x14ac:dyDescent="0.3">
      <c r="A1695" s="708" t="s">
        <v>1179</v>
      </c>
      <c r="B1695" s="873">
        <v>1517</v>
      </c>
      <c r="C1695" s="873">
        <v>1245</v>
      </c>
      <c r="D1695" s="1477" t="s">
        <v>1178</v>
      </c>
    </row>
    <row r="1696" spans="1:4" x14ac:dyDescent="0.3">
      <c r="A1696" s="708" t="s">
        <v>1180</v>
      </c>
      <c r="B1696" s="999">
        <f>SUM(B1694:B1695)</f>
        <v>1579</v>
      </c>
      <c r="C1696" s="999">
        <f>SUM(C1694:C1695)</f>
        <v>1371</v>
      </c>
      <c r="D1696" s="999">
        <f>Drivers!EX540</f>
        <v>1431.9</v>
      </c>
    </row>
    <row r="1697" spans="1:11" x14ac:dyDescent="0.3">
      <c r="A1697" s="708" t="s">
        <v>1181</v>
      </c>
      <c r="B1697" s="656">
        <f>Drivers!EN87</f>
        <v>1224</v>
      </c>
      <c r="C1697" s="656">
        <f>Drivers!ES87</f>
        <v>1320</v>
      </c>
      <c r="D1697" s="656">
        <f>Drivers!EX87</f>
        <v>1332</v>
      </c>
    </row>
    <row r="1698" spans="1:11" x14ac:dyDescent="0.3">
      <c r="A1698" s="709" t="s">
        <v>1182</v>
      </c>
      <c r="B1698" s="1064">
        <f>B1696/B1697*1000</f>
        <v>1290.0326797385621</v>
      </c>
      <c r="C1698" s="1064">
        <f t="shared" ref="C1698:D1698" si="668">C1696/C1697*1000</f>
        <v>1038.6363636363635</v>
      </c>
      <c r="D1698" s="1064">
        <f t="shared" si="668"/>
        <v>1075.0000000000002</v>
      </c>
    </row>
    <row r="1699" spans="1:11" x14ac:dyDescent="0.3">
      <c r="A1699" s="144"/>
      <c r="B1699" s="144"/>
      <c r="C1699" s="144"/>
      <c r="D1699" s="144"/>
    </row>
    <row r="1700" spans="1:11" x14ac:dyDescent="0.3">
      <c r="A1700" s="708" t="s">
        <v>1136</v>
      </c>
      <c r="B1700" s="999">
        <f>Drivers!EN113</f>
        <v>474.74360000000001</v>
      </c>
      <c r="C1700" s="999">
        <f>Drivers!ES113</f>
        <v>570.50790000000006</v>
      </c>
      <c r="D1700" s="999">
        <f>Drivers!EX113</f>
        <v>699.84680000000003</v>
      </c>
    </row>
    <row r="1701" spans="1:11" x14ac:dyDescent="0.3">
      <c r="A1701" s="708" t="s">
        <v>1183</v>
      </c>
      <c r="B1701" s="873">
        <v>630</v>
      </c>
      <c r="C1701" s="873">
        <v>700</v>
      </c>
      <c r="D1701" s="873">
        <v>700</v>
      </c>
    </row>
    <row r="1702" spans="1:11" x14ac:dyDescent="0.3">
      <c r="A1702" s="709" t="s">
        <v>1184</v>
      </c>
      <c r="B1702" s="1064">
        <f>B1700*B1701/1000</f>
        <v>299.08846799999998</v>
      </c>
      <c r="C1702" s="1064">
        <f t="shared" ref="C1702:D1702" si="669">C1700*C1701/1000</f>
        <v>399.35553000000004</v>
      </c>
      <c r="D1702" s="1064">
        <f t="shared" si="669"/>
        <v>489.89276000000001</v>
      </c>
    </row>
    <row r="1703" spans="1:11" x14ac:dyDescent="0.3">
      <c r="A1703" s="494"/>
      <c r="B1703" s="494"/>
      <c r="C1703" s="494"/>
      <c r="D1703" s="494"/>
    </row>
    <row r="1704" spans="1:11" x14ac:dyDescent="0.3">
      <c r="A1704" s="114"/>
      <c r="B1704" s="114"/>
      <c r="C1704" s="114"/>
      <c r="D1704" s="114"/>
      <c r="E1704" s="114"/>
      <c r="F1704" s="114"/>
      <c r="G1704" s="114"/>
      <c r="H1704" s="114"/>
      <c r="I1704" s="114"/>
      <c r="J1704" s="114"/>
      <c r="K1704" s="114"/>
    </row>
    <row r="1705" spans="1:11" x14ac:dyDescent="0.3">
      <c r="A1705" s="494"/>
      <c r="B1705" s="1478" t="s">
        <v>922</v>
      </c>
      <c r="C1705" s="1478" t="s">
        <v>923</v>
      </c>
      <c r="D1705" s="1478" t="s">
        <v>924</v>
      </c>
      <c r="E1705" s="1478" t="s">
        <v>925</v>
      </c>
      <c r="F1705" s="1479">
        <v>2022</v>
      </c>
      <c r="G1705" s="1478" t="s">
        <v>883</v>
      </c>
      <c r="H1705" s="1478" t="s">
        <v>884</v>
      </c>
      <c r="I1705" s="1478" t="s">
        <v>885</v>
      </c>
      <c r="J1705" s="1478" t="s">
        <v>886</v>
      </c>
      <c r="K1705" s="1479">
        <v>2023</v>
      </c>
    </row>
    <row r="1706" spans="1:11" x14ac:dyDescent="0.3">
      <c r="A1706" s="725" t="s">
        <v>506</v>
      </c>
      <c r="B1706" s="999">
        <f>Inputs!EJ300</f>
        <v>447</v>
      </c>
      <c r="C1706" s="999">
        <f>Inputs!EK300</f>
        <v>641</v>
      </c>
      <c r="D1706" s="999">
        <f>Inputs!EL300</f>
        <v>772</v>
      </c>
      <c r="E1706" s="999">
        <f>Inputs!EM300</f>
        <v>878</v>
      </c>
      <c r="F1706" s="1480">
        <f>Inputs!EN300</f>
        <v>2738</v>
      </c>
      <c r="G1706" s="999">
        <f>Inputs!EO300</f>
        <v>1154</v>
      </c>
      <c r="H1706" s="999">
        <f>Inputs!EP300</f>
        <v>1057</v>
      </c>
      <c r="I1706" s="999">
        <f>Inputs!EQ300</f>
        <v>671</v>
      </c>
      <c r="J1706" s="999">
        <f>Inputs!ER300</f>
        <v>329</v>
      </c>
      <c r="K1706" s="1480">
        <f>Inputs!ES300</f>
        <v>3211</v>
      </c>
    </row>
    <row r="1707" spans="1:11" x14ac:dyDescent="0.3">
      <c r="A1707" s="725" t="s">
        <v>507</v>
      </c>
      <c r="B1707" s="873">
        <f>Inputs!EJ301</f>
        <v>0</v>
      </c>
      <c r="C1707" s="873">
        <f>Inputs!EK301</f>
        <v>0</v>
      </c>
      <c r="D1707" s="873">
        <f>Inputs!EL301</f>
        <v>0</v>
      </c>
      <c r="E1707" s="873">
        <f>Inputs!EM301</f>
        <v>0</v>
      </c>
      <c r="F1707" s="1481">
        <f>Inputs!EN301</f>
        <v>0</v>
      </c>
      <c r="G1707" s="873">
        <f>Inputs!EO301</f>
        <v>0</v>
      </c>
      <c r="H1707" s="873">
        <f>Inputs!EP301</f>
        <v>0</v>
      </c>
      <c r="I1707" s="873">
        <f>Inputs!EQ301</f>
        <v>0</v>
      </c>
      <c r="J1707" s="873">
        <f>Inputs!ER301</f>
        <v>4</v>
      </c>
      <c r="K1707" s="1481">
        <f>Inputs!ES301</f>
        <v>4</v>
      </c>
    </row>
    <row r="1708" spans="1:11" x14ac:dyDescent="0.3">
      <c r="A1708" s="726" t="s">
        <v>508</v>
      </c>
      <c r="B1708" s="1064">
        <f>Inputs!EJ302</f>
        <v>447</v>
      </c>
      <c r="C1708" s="1064">
        <f>Inputs!EK302</f>
        <v>641</v>
      </c>
      <c r="D1708" s="1064">
        <f>Inputs!EL302</f>
        <v>772</v>
      </c>
      <c r="E1708" s="1064">
        <f>Inputs!EM302</f>
        <v>878</v>
      </c>
      <c r="F1708" s="1482">
        <f>Inputs!EN302</f>
        <v>2738</v>
      </c>
      <c r="G1708" s="1064">
        <f>Inputs!EO302</f>
        <v>1154</v>
      </c>
      <c r="H1708" s="1064">
        <f>Inputs!EP302</f>
        <v>1057</v>
      </c>
      <c r="I1708" s="1064">
        <f>Inputs!EQ302</f>
        <v>671</v>
      </c>
      <c r="J1708" s="1064">
        <f>Inputs!ER302</f>
        <v>333</v>
      </c>
      <c r="K1708" s="1482">
        <f>Inputs!ES302</f>
        <v>3215</v>
      </c>
    </row>
    <row r="1709" spans="1:11" x14ac:dyDescent="0.3">
      <c r="A1709" s="725" t="s">
        <v>509</v>
      </c>
      <c r="B1709" s="999">
        <f>Inputs!EJ303</f>
        <v>146</v>
      </c>
      <c r="C1709" s="999">
        <f>Inputs!EK303</f>
        <v>103</v>
      </c>
      <c r="D1709" s="999">
        <f>Inputs!EL303</f>
        <v>182</v>
      </c>
      <c r="E1709" s="999">
        <f>Inputs!EM303</f>
        <v>366</v>
      </c>
      <c r="F1709" s="1480">
        <f>Inputs!EN303</f>
        <v>797</v>
      </c>
      <c r="G1709" s="999">
        <f>Inputs!EO303</f>
        <v>-25</v>
      </c>
      <c r="H1709" s="999">
        <f>Inputs!EP303</f>
        <v>-193</v>
      </c>
      <c r="I1709" s="999">
        <f>Inputs!EQ303</f>
        <v>-296</v>
      </c>
      <c r="J1709" s="999">
        <f>Inputs!ER303</f>
        <v>188</v>
      </c>
      <c r="K1709" s="1480">
        <f>Inputs!ES303</f>
        <v>-326</v>
      </c>
    </row>
    <row r="1710" spans="1:11" x14ac:dyDescent="0.3">
      <c r="A1710" s="725" t="s">
        <v>510</v>
      </c>
      <c r="B1710" s="999">
        <f>Inputs!EJ304</f>
        <v>0</v>
      </c>
      <c r="C1710" s="999">
        <f>Inputs!EK304</f>
        <v>0</v>
      </c>
      <c r="D1710" s="999">
        <f>Inputs!EL304</f>
        <v>0</v>
      </c>
      <c r="E1710" s="999">
        <f>Inputs!EM304</f>
        <v>0</v>
      </c>
      <c r="F1710" s="1480">
        <f>Inputs!EN304</f>
        <v>0</v>
      </c>
      <c r="G1710" s="999">
        <f>Inputs!EO304</f>
        <v>0</v>
      </c>
      <c r="H1710" s="999">
        <f>Inputs!EP304</f>
        <v>0</v>
      </c>
      <c r="I1710" s="999">
        <f>Inputs!EQ304</f>
        <v>167</v>
      </c>
      <c r="J1710" s="999">
        <f>Inputs!ER304</f>
        <v>88</v>
      </c>
      <c r="K1710" s="1480">
        <f>Inputs!ES304</f>
        <v>255</v>
      </c>
    </row>
    <row r="1711" spans="1:11" x14ac:dyDescent="0.3">
      <c r="A1711" s="725" t="s">
        <v>511</v>
      </c>
      <c r="B1711" s="873">
        <f>Inputs!EJ305</f>
        <v>-58</v>
      </c>
      <c r="C1711" s="873">
        <f>Inputs!EK305</f>
        <v>-77</v>
      </c>
      <c r="D1711" s="873">
        <f>Inputs!EL305</f>
        <v>-82</v>
      </c>
      <c r="E1711" s="873">
        <f>Inputs!EM305</f>
        <v>-191</v>
      </c>
      <c r="F1711" s="1481">
        <f>Inputs!EN305</f>
        <v>-408</v>
      </c>
      <c r="G1711" s="873">
        <f>Inputs!EO305</f>
        <v>-111</v>
      </c>
      <c r="H1711" s="873">
        <f>Inputs!EP305</f>
        <v>56</v>
      </c>
      <c r="I1711" s="873">
        <f>Inputs!EQ305</f>
        <v>11</v>
      </c>
      <c r="J1711" s="873">
        <f>Inputs!ER305</f>
        <v>-8</v>
      </c>
      <c r="K1711" s="1481">
        <f>Inputs!ES305</f>
        <v>-52</v>
      </c>
    </row>
    <row r="1712" spans="1:11" x14ac:dyDescent="0.3">
      <c r="A1712" s="726" t="s">
        <v>512</v>
      </c>
      <c r="B1712" s="1064">
        <f>Inputs!EJ306</f>
        <v>535</v>
      </c>
      <c r="C1712" s="1064">
        <f>Inputs!EK306</f>
        <v>667</v>
      </c>
      <c r="D1712" s="1064">
        <f>Inputs!EL306</f>
        <v>872</v>
      </c>
      <c r="E1712" s="1064">
        <f>Inputs!EM306</f>
        <v>1053</v>
      </c>
      <c r="F1712" s="1482">
        <f>Inputs!EN306</f>
        <v>3127</v>
      </c>
      <c r="G1712" s="1064">
        <f>Inputs!EO306</f>
        <v>1018</v>
      </c>
      <c r="H1712" s="1064">
        <f>Inputs!EP306</f>
        <v>920</v>
      </c>
      <c r="I1712" s="1064">
        <f>Inputs!EQ306</f>
        <v>553</v>
      </c>
      <c r="J1712" s="1064">
        <f>Inputs!ER306</f>
        <v>601</v>
      </c>
      <c r="K1712" s="1482">
        <f>Inputs!ES306</f>
        <v>3092</v>
      </c>
    </row>
    <row r="1713" spans="1:11" x14ac:dyDescent="0.3">
      <c r="A1713" s="494"/>
      <c r="B1713" s="494"/>
      <c r="C1713" s="494"/>
      <c r="D1713" s="494"/>
      <c r="E1713" s="494"/>
      <c r="F1713" s="1483"/>
      <c r="G1713" s="494"/>
      <c r="H1713" s="494"/>
      <c r="I1713" s="494"/>
      <c r="J1713" s="494"/>
      <c r="K1713" s="1483"/>
    </row>
    <row r="1715" spans="1:11" x14ac:dyDescent="0.3">
      <c r="A1715" s="610"/>
      <c r="B1715" s="611">
        <v>2022</v>
      </c>
      <c r="C1715" s="611">
        <v>2023</v>
      </c>
      <c r="D1715" s="611">
        <v>2024</v>
      </c>
      <c r="I1715" s="887"/>
    </row>
    <row r="1716" spans="1:11" x14ac:dyDescent="0.3">
      <c r="A1716" s="708" t="s">
        <v>1185</v>
      </c>
      <c r="B1716" s="877">
        <f>B1696</f>
        <v>1579</v>
      </c>
      <c r="C1716" s="877">
        <f t="shared" ref="C1716:D1716" si="670">C1696</f>
        <v>1371</v>
      </c>
      <c r="D1716" s="877">
        <f t="shared" si="670"/>
        <v>1431.9</v>
      </c>
      <c r="I1716" s="887"/>
    </row>
    <row r="1717" spans="1:11" x14ac:dyDescent="0.3">
      <c r="A1717" s="708" t="s">
        <v>1186</v>
      </c>
      <c r="B1717" s="880">
        <f>B1702</f>
        <v>299.08846799999998</v>
      </c>
      <c r="C1717" s="880">
        <f t="shared" ref="C1717:D1717" si="671">C1702</f>
        <v>399.35553000000004</v>
      </c>
      <c r="D1717" s="880">
        <f t="shared" si="671"/>
        <v>489.89276000000001</v>
      </c>
    </row>
    <row r="1718" spans="1:11" x14ac:dyDescent="0.3">
      <c r="A1718" s="708" t="s">
        <v>1187</v>
      </c>
      <c r="B1718" s="877">
        <f>SUM(B1716:B1717)</f>
        <v>1878.0884679999999</v>
      </c>
      <c r="C1718" s="877">
        <f>SUM(C1716:C1717)</f>
        <v>1770.35553</v>
      </c>
      <c r="D1718" s="877">
        <f>SUM(D1716:D1717)</f>
        <v>1921.79276</v>
      </c>
    </row>
    <row r="1719" spans="1:11" x14ac:dyDescent="0.3">
      <c r="A1719" s="708" t="s">
        <v>1188</v>
      </c>
      <c r="B1719" s="999">
        <f>B1721-B1718-B1720</f>
        <v>648.91153200000008</v>
      </c>
      <c r="C1719" s="999">
        <f t="shared" ref="C1719:D1719" si="672">C1721-C1718-C1720</f>
        <v>721.64446999999996</v>
      </c>
      <c r="D1719" s="999">
        <f t="shared" si="672"/>
        <v>261.20723999999996</v>
      </c>
    </row>
    <row r="1720" spans="1:11" x14ac:dyDescent="0.3">
      <c r="A1720" s="708" t="s">
        <v>1189</v>
      </c>
      <c r="B1720" s="873">
        <v>600</v>
      </c>
      <c r="C1720" s="873">
        <f>B1720</f>
        <v>600</v>
      </c>
      <c r="D1720" s="873">
        <f>C1720</f>
        <v>600</v>
      </c>
    </row>
    <row r="1721" spans="1:11" x14ac:dyDescent="0.3">
      <c r="A1721" s="709" t="s">
        <v>1190</v>
      </c>
      <c r="B1721" s="1064">
        <f>F1712</f>
        <v>3127</v>
      </c>
      <c r="C1721" s="1064">
        <f>K1712</f>
        <v>3092</v>
      </c>
      <c r="D1721" s="1064">
        <f>Drivers!EX572</f>
        <v>2783</v>
      </c>
    </row>
    <row r="1722" spans="1:11" x14ac:dyDescent="0.3">
      <c r="A1722" s="494"/>
      <c r="B1722" s="494"/>
      <c r="C1722" s="494"/>
      <c r="D1722" s="494"/>
    </row>
    <row r="1724" spans="1:11" x14ac:dyDescent="0.3">
      <c r="A1724" s="114"/>
      <c r="B1724" s="114"/>
    </row>
    <row r="1725" spans="1:11" x14ac:dyDescent="0.3">
      <c r="A1725" s="144"/>
      <c r="B1725" s="144"/>
    </row>
    <row r="1726" spans="1:11" x14ac:dyDescent="0.3">
      <c r="A1726" s="708" t="s">
        <v>1191</v>
      </c>
      <c r="B1726" s="999">
        <v>10000</v>
      </c>
    </row>
    <row r="1727" spans="1:11" x14ac:dyDescent="0.3">
      <c r="A1727" s="708" t="s">
        <v>1192</v>
      </c>
      <c r="B1727" s="873">
        <f>Drivers!EN82</f>
        <v>3223</v>
      </c>
    </row>
    <row r="1728" spans="1:11" x14ac:dyDescent="0.3">
      <c r="A1728" s="708" t="s">
        <v>1193</v>
      </c>
      <c r="B1728" s="999">
        <f>B1726-B1727</f>
        <v>6777</v>
      </c>
    </row>
    <row r="1729" spans="1:2" x14ac:dyDescent="0.3">
      <c r="A1729" s="708" t="s">
        <v>1194</v>
      </c>
      <c r="B1729" s="873">
        <v>1000</v>
      </c>
    </row>
    <row r="1730" spans="1:2" x14ac:dyDescent="0.3">
      <c r="A1730" s="709" t="s">
        <v>1195</v>
      </c>
      <c r="B1730" s="1064">
        <f>B1728*B1729/1000</f>
        <v>6777</v>
      </c>
    </row>
    <row r="1731" spans="1:2" x14ac:dyDescent="0.3">
      <c r="A1731" s="144"/>
      <c r="B1731" s="144"/>
    </row>
    <row r="1732" spans="1:2" x14ac:dyDescent="0.3">
      <c r="A1732" s="708" t="s">
        <v>1196</v>
      </c>
      <c r="B1732" s="999">
        <f>Drivers!ES86</f>
        <v>3268</v>
      </c>
    </row>
    <row r="1733" spans="1:2" x14ac:dyDescent="0.3">
      <c r="A1733" s="708" t="s">
        <v>1197</v>
      </c>
      <c r="B1733" s="873">
        <v>920</v>
      </c>
    </row>
    <row r="1734" spans="1:2" x14ac:dyDescent="0.3">
      <c r="A1734" s="709" t="s">
        <v>1198</v>
      </c>
      <c r="B1734" s="1064">
        <f>B1732*B1733/1000</f>
        <v>3006.56</v>
      </c>
    </row>
    <row r="1735" spans="1:2" x14ac:dyDescent="0.3">
      <c r="A1735" s="144"/>
      <c r="B1735" s="144"/>
    </row>
    <row r="1736" spans="1:2" x14ac:dyDescent="0.3">
      <c r="A1736" s="708" t="s">
        <v>1199</v>
      </c>
      <c r="B1736" s="877">
        <f>B1730</f>
        <v>6777</v>
      </c>
    </row>
    <row r="1737" spans="1:2" x14ac:dyDescent="0.3">
      <c r="A1737" s="708" t="s">
        <v>1200</v>
      </c>
      <c r="B1737" s="880">
        <f>B1734</f>
        <v>3006.56</v>
      </c>
    </row>
    <row r="1738" spans="1:2" x14ac:dyDescent="0.3">
      <c r="A1738" s="708" t="s">
        <v>1201</v>
      </c>
      <c r="B1738" s="877">
        <f>B1736-B1737</f>
        <v>3770.44</v>
      </c>
    </row>
    <row r="1739" spans="1:2" x14ac:dyDescent="0.3">
      <c r="A1739" s="708" t="s">
        <v>1202</v>
      </c>
      <c r="B1739" s="880">
        <f>B1728-B1732</f>
        <v>3509</v>
      </c>
    </row>
    <row r="1740" spans="1:2" x14ac:dyDescent="0.3">
      <c r="A1740" s="709" t="s">
        <v>1203</v>
      </c>
      <c r="B1740" s="1064">
        <f>B1738/B1739*1000</f>
        <v>1074.5055571387861</v>
      </c>
    </row>
    <row r="1741" spans="1:2" x14ac:dyDescent="0.3">
      <c r="A1741" s="494"/>
      <c r="B1741" s="494"/>
    </row>
    <row r="1743" spans="1:2" x14ac:dyDescent="0.3">
      <c r="A1743" s="618" t="s">
        <v>1204</v>
      </c>
      <c r="B1743" s="494"/>
    </row>
    <row r="1744" spans="1:2" x14ac:dyDescent="0.3">
      <c r="A1744" s="612">
        <v>2020</v>
      </c>
      <c r="B1744" s="999">
        <f>270+68</f>
        <v>338</v>
      </c>
    </row>
    <row r="1745" spans="1:5" x14ac:dyDescent="0.3">
      <c r="A1745" s="612">
        <v>2021</v>
      </c>
      <c r="B1745" s="999">
        <f>128+459</f>
        <v>587</v>
      </c>
    </row>
    <row r="1746" spans="1:5" x14ac:dyDescent="0.3">
      <c r="A1746" s="612">
        <v>2022</v>
      </c>
      <c r="B1746" s="999">
        <f>62+1517</f>
        <v>1579</v>
      </c>
    </row>
    <row r="1747" spans="1:5" x14ac:dyDescent="0.3">
      <c r="A1747" s="612">
        <v>2023</v>
      </c>
      <c r="B1747" s="873">
        <f>126+1245</f>
        <v>1371</v>
      </c>
    </row>
    <row r="1748" spans="1:5" x14ac:dyDescent="0.3">
      <c r="A1748" s="493" t="s">
        <v>266</v>
      </c>
      <c r="B1748" s="1064">
        <f>SUM(B1745:B1747)</f>
        <v>3537</v>
      </c>
    </row>
    <row r="1749" spans="1:5" x14ac:dyDescent="0.3">
      <c r="A1749" s="144"/>
      <c r="B1749" s="144"/>
    </row>
    <row r="1750" spans="1:5" x14ac:dyDescent="0.3">
      <c r="A1750" s="708" t="s">
        <v>1205</v>
      </c>
      <c r="B1750" s="877">
        <f>B1748</f>
        <v>3537</v>
      </c>
    </row>
    <row r="1751" spans="1:5" x14ac:dyDescent="0.3">
      <c r="A1751" s="708" t="s">
        <v>1200</v>
      </c>
      <c r="B1751" s="880">
        <f>B1734</f>
        <v>3006.56</v>
      </c>
    </row>
    <row r="1752" spans="1:5" x14ac:dyDescent="0.3">
      <c r="A1752" s="709" t="s">
        <v>1206</v>
      </c>
      <c r="B1752" s="1065">
        <f>B1750-B1751</f>
        <v>530.44000000000005</v>
      </c>
    </row>
    <row r="1753" spans="1:5" x14ac:dyDescent="0.3">
      <c r="A1753" s="494"/>
      <c r="B1753" s="494"/>
    </row>
    <row r="1755" spans="1:5" x14ac:dyDescent="0.3">
      <c r="A1755" s="114"/>
      <c r="B1755" s="114"/>
      <c r="C1755" s="114"/>
      <c r="D1755" s="114"/>
      <c r="E1755" s="114"/>
    </row>
    <row r="1756" spans="1:5" x14ac:dyDescent="0.3">
      <c r="A1756" s="144"/>
      <c r="B1756" s="144"/>
      <c r="C1756" s="144"/>
      <c r="D1756" s="144"/>
      <c r="E1756" s="144"/>
    </row>
    <row r="1757" spans="1:5" x14ac:dyDescent="0.3">
      <c r="A1757" s="493" t="s">
        <v>1207</v>
      </c>
      <c r="B1757" s="618">
        <v>2021</v>
      </c>
      <c r="C1757" s="618">
        <v>2022</v>
      </c>
      <c r="D1757" s="618">
        <v>2023</v>
      </c>
      <c r="E1757" s="820" t="s">
        <v>266</v>
      </c>
    </row>
    <row r="1758" spans="1:5" x14ac:dyDescent="0.3">
      <c r="A1758" s="144" t="s">
        <v>1208</v>
      </c>
      <c r="B1758" s="999">
        <v>-20</v>
      </c>
      <c r="C1758" s="999">
        <v>797</v>
      </c>
      <c r="D1758" s="999">
        <v>-326</v>
      </c>
      <c r="E1758" s="877">
        <f>SUM(B1758:D1758)</f>
        <v>451</v>
      </c>
    </row>
    <row r="1759" spans="1:5" x14ac:dyDescent="0.3">
      <c r="A1759" s="144" t="s">
        <v>1209</v>
      </c>
      <c r="B1759" s="999">
        <v>0</v>
      </c>
      <c r="C1759" s="999">
        <v>0</v>
      </c>
      <c r="D1759" s="999">
        <v>255</v>
      </c>
      <c r="E1759" s="877">
        <f>SUM(B1759:D1759)</f>
        <v>255</v>
      </c>
    </row>
    <row r="1760" spans="1:5" x14ac:dyDescent="0.3">
      <c r="A1760" s="144" t="s">
        <v>1210</v>
      </c>
      <c r="B1760" s="873">
        <v>-60</v>
      </c>
      <c r="C1760" s="873">
        <v>-408</v>
      </c>
      <c r="D1760" s="873">
        <v>-52</v>
      </c>
      <c r="E1760" s="880">
        <f>SUM(B1760:D1760)</f>
        <v>-520</v>
      </c>
    </row>
    <row r="1761" spans="1:5" x14ac:dyDescent="0.3">
      <c r="A1761" s="493" t="s">
        <v>1211</v>
      </c>
      <c r="B1761" s="1064">
        <f>SUM(B1758:B1760)</f>
        <v>-80</v>
      </c>
      <c r="C1761" s="1064">
        <f>SUM(C1758:C1760)</f>
        <v>389</v>
      </c>
      <c r="D1761" s="1064">
        <f>SUM(D1758:D1760)</f>
        <v>-123</v>
      </c>
      <c r="E1761" s="1065">
        <f>SUM(B1761:D1761)</f>
        <v>186</v>
      </c>
    </row>
    <row r="1762" spans="1:5" x14ac:dyDescent="0.3">
      <c r="A1762" s="708" t="s">
        <v>1212</v>
      </c>
      <c r="B1762" s="875">
        <v>0.75</v>
      </c>
      <c r="C1762" s="875">
        <f>B1762</f>
        <v>0.75</v>
      </c>
      <c r="D1762" s="875">
        <f>C1762</f>
        <v>0.75</v>
      </c>
      <c r="E1762" s="894">
        <f>E1763/E1761</f>
        <v>0.75</v>
      </c>
    </row>
    <row r="1763" spans="1:5" x14ac:dyDescent="0.3">
      <c r="A1763" s="493" t="s">
        <v>1213</v>
      </c>
      <c r="B1763" s="877">
        <f>B1761*B1762</f>
        <v>-60</v>
      </c>
      <c r="C1763" s="877">
        <f t="shared" ref="C1763:D1763" si="673">C1761*C1762</f>
        <v>291.75</v>
      </c>
      <c r="D1763" s="877">
        <f t="shared" si="673"/>
        <v>-92.25</v>
      </c>
      <c r="E1763" s="877">
        <f>SUM(B1763:D1763)</f>
        <v>139.5</v>
      </c>
    </row>
    <row r="1764" spans="1:5" x14ac:dyDescent="0.3">
      <c r="A1764" s="614" t="s">
        <v>1214</v>
      </c>
      <c r="B1764" s="1484">
        <f>B1761-B1763</f>
        <v>-20</v>
      </c>
      <c r="C1764" s="1484">
        <f t="shared" ref="C1764:D1764" si="674">C1761-C1763</f>
        <v>97.25</v>
      </c>
      <c r="D1764" s="1484">
        <f t="shared" si="674"/>
        <v>-30.75</v>
      </c>
      <c r="E1764" s="1484">
        <f>SUM(B1764:D1764)</f>
        <v>46.5</v>
      </c>
    </row>
    <row r="1765" spans="1:5" x14ac:dyDescent="0.3">
      <c r="A1765" s="494"/>
      <c r="B1765" s="494"/>
      <c r="C1765" s="494"/>
      <c r="D1765" s="494"/>
      <c r="E1765" s="494"/>
    </row>
    <row r="1767" spans="1:5" x14ac:dyDescent="0.3">
      <c r="A1767" s="114"/>
      <c r="B1767" s="114"/>
    </row>
    <row r="1768" spans="1:5" x14ac:dyDescent="0.3">
      <c r="A1768" s="144"/>
      <c r="B1768" s="144"/>
    </row>
    <row r="1769" spans="1:5" x14ac:dyDescent="0.3">
      <c r="A1769" s="708" t="s">
        <v>1215</v>
      </c>
      <c r="B1769" s="877">
        <f>B1738</f>
        <v>3770.44</v>
      </c>
    </row>
    <row r="1770" spans="1:5" x14ac:dyDescent="0.3">
      <c r="A1770" s="708" t="s">
        <v>1216</v>
      </c>
      <c r="B1770" s="877">
        <f>B1752</f>
        <v>530.44000000000005</v>
      </c>
    </row>
    <row r="1771" spans="1:5" x14ac:dyDescent="0.3">
      <c r="A1771" s="708" t="s">
        <v>1217</v>
      </c>
      <c r="B1771" s="880">
        <f>E1763</f>
        <v>139.5</v>
      </c>
    </row>
    <row r="1772" spans="1:5" x14ac:dyDescent="0.3">
      <c r="A1772" s="708" t="s">
        <v>1218</v>
      </c>
      <c r="B1772" s="877">
        <f>B1769-B1770+B1771</f>
        <v>3379.5</v>
      </c>
    </row>
    <row r="1773" spans="1:5" x14ac:dyDescent="0.3">
      <c r="A1773" s="708" t="s">
        <v>1219</v>
      </c>
      <c r="B1773" s="880">
        <f>B1739</f>
        <v>3509</v>
      </c>
    </row>
    <row r="1774" spans="1:5" x14ac:dyDescent="0.3">
      <c r="A1774" s="709" t="s">
        <v>1220</v>
      </c>
      <c r="B1774" s="1064">
        <f>B1772/B1773*1000</f>
        <v>963.09489883157596</v>
      </c>
    </row>
    <row r="1775" spans="1:5" x14ac:dyDescent="0.3">
      <c r="A1775" s="494"/>
      <c r="B1775" s="494"/>
    </row>
    <row r="1777" spans="1:5" x14ac:dyDescent="0.3">
      <c r="A1777" s="114"/>
      <c r="B1777" s="114"/>
      <c r="C1777" s="114"/>
      <c r="D1777" s="114"/>
      <c r="E1777" s="114"/>
    </row>
    <row r="1778" spans="1:5" x14ac:dyDescent="0.3">
      <c r="A1778" s="144"/>
      <c r="B1778" s="144"/>
      <c r="C1778" s="144"/>
      <c r="D1778" s="144"/>
      <c r="E1778" s="144"/>
    </row>
    <row r="1779" spans="1:5" x14ac:dyDescent="0.3">
      <c r="A1779" s="144"/>
      <c r="B1779" s="618">
        <v>2024</v>
      </c>
      <c r="C1779" s="618">
        <v>2025</v>
      </c>
      <c r="D1779" s="618">
        <v>2026</v>
      </c>
      <c r="E1779" s="820" t="s">
        <v>266</v>
      </c>
    </row>
    <row r="1780" spans="1:5" x14ac:dyDescent="0.3">
      <c r="A1780" s="708" t="s">
        <v>1221</v>
      </c>
      <c r="B1780" s="365">
        <f>Drivers!EX91</f>
        <v>1332</v>
      </c>
      <c r="C1780" s="365">
        <f>Drivers!FC91</f>
        <v>1300</v>
      </c>
      <c r="D1780" s="365">
        <f>Drivers!FD91</f>
        <v>900</v>
      </c>
      <c r="E1780" s="365">
        <f>SUM(B1780:D1780)</f>
        <v>3532</v>
      </c>
    </row>
    <row r="1781" spans="1:5" x14ac:dyDescent="0.3">
      <c r="A1781" s="708" t="s">
        <v>1222</v>
      </c>
      <c r="B1781" s="873">
        <f>B1740</f>
        <v>1074.5055571387861</v>
      </c>
      <c r="C1781" s="873">
        <f>B1781</f>
        <v>1074.5055571387861</v>
      </c>
      <c r="D1781" s="873">
        <f>C1781</f>
        <v>1074.5055571387861</v>
      </c>
      <c r="E1781" s="873">
        <f>E1782/E1780*1000</f>
        <v>1074.5055571387861</v>
      </c>
    </row>
    <row r="1782" spans="1:5" x14ac:dyDescent="0.3">
      <c r="A1782" s="708" t="s">
        <v>1223</v>
      </c>
      <c r="B1782" s="877">
        <f>B1780*B1781/1000</f>
        <v>1431.241402108863</v>
      </c>
      <c r="C1782" s="877">
        <f t="shared" ref="C1782:D1782" si="675">C1780*C1781/1000</f>
        <v>1396.8572242804219</v>
      </c>
      <c r="D1782" s="877">
        <f t="shared" si="675"/>
        <v>967.05500142490746</v>
      </c>
      <c r="E1782" s="877">
        <f>SUM(B1782:D1782)</f>
        <v>3795.1536278141921</v>
      </c>
    </row>
    <row r="1783" spans="1:5" x14ac:dyDescent="0.3">
      <c r="A1783" s="708" t="s">
        <v>1224</v>
      </c>
      <c r="B1783" s="877">
        <f>B1782-B1785+B1784</f>
        <v>79.141402108863076</v>
      </c>
      <c r="C1783" s="877">
        <f>(E1783-B1783)*C1780/(C1780+D1780)</f>
        <v>266.67644420839918</v>
      </c>
      <c r="D1783" s="877">
        <f>E1783-B1783-C1783</f>
        <v>184.6221536827378</v>
      </c>
      <c r="E1783" s="877">
        <f>B1770</f>
        <v>530.44000000000005</v>
      </c>
    </row>
    <row r="1784" spans="1:5" x14ac:dyDescent="0.3">
      <c r="A1784" s="708" t="s">
        <v>1225</v>
      </c>
      <c r="B1784" s="880">
        <f>E1763/3</f>
        <v>46.5</v>
      </c>
      <c r="C1784" s="880">
        <f>B1784</f>
        <v>46.5</v>
      </c>
      <c r="D1784" s="880">
        <f>C1784</f>
        <v>46.5</v>
      </c>
      <c r="E1784" s="880">
        <f>SUM(B1784:D1784)</f>
        <v>139.5</v>
      </c>
    </row>
    <row r="1785" spans="1:5" x14ac:dyDescent="0.3">
      <c r="A1785" s="708" t="s">
        <v>1226</v>
      </c>
      <c r="B1785" s="877">
        <f>B1787*B1786/1000</f>
        <v>1398.6</v>
      </c>
      <c r="C1785" s="877">
        <f>C1782-C1783+C1784</f>
        <v>1176.6807800720226</v>
      </c>
      <c r="D1785" s="877">
        <f>D1782-D1783+D1784</f>
        <v>828.93284774216966</v>
      </c>
      <c r="E1785" s="877">
        <f>E1782-E1783+E1784</f>
        <v>3404.213627814192</v>
      </c>
    </row>
    <row r="1786" spans="1:5" x14ac:dyDescent="0.3">
      <c r="A1786" s="708" t="s">
        <v>1227</v>
      </c>
      <c r="B1786" s="656">
        <f>B1780</f>
        <v>1332</v>
      </c>
      <c r="C1786" s="656">
        <f t="shared" ref="C1786:D1786" si="676">C1780</f>
        <v>1300</v>
      </c>
      <c r="D1786" s="656">
        <f t="shared" si="676"/>
        <v>900</v>
      </c>
      <c r="E1786" s="656">
        <f>SUM(B1786:D1786)</f>
        <v>3532</v>
      </c>
    </row>
    <row r="1787" spans="1:5" x14ac:dyDescent="0.3">
      <c r="A1787" s="709" t="s">
        <v>1220</v>
      </c>
      <c r="B1787" s="1064">
        <v>1050</v>
      </c>
      <c r="C1787" s="1064">
        <f>C1785/C1786*1000</f>
        <v>905.13906159386352</v>
      </c>
      <c r="D1787" s="1064">
        <f>D1785/D1786*1000</f>
        <v>921.03649749129954</v>
      </c>
      <c r="E1787" s="1064">
        <f>B1774</f>
        <v>963.09489883157596</v>
      </c>
    </row>
    <row r="1788" spans="1:5" x14ac:dyDescent="0.3">
      <c r="A1788" s="494"/>
      <c r="B1788" s="494"/>
      <c r="C1788" s="494"/>
      <c r="D1788" s="494"/>
      <c r="E1788" s="494"/>
    </row>
    <row r="1790" spans="1:5" x14ac:dyDescent="0.3">
      <c r="A1790" s="114"/>
      <c r="B1790" s="114"/>
      <c r="C1790" s="114"/>
      <c r="D1790" s="114"/>
    </row>
    <row r="1791" spans="1:5" x14ac:dyDescent="0.3">
      <c r="A1791" s="144"/>
      <c r="B1791" s="144"/>
      <c r="C1791" s="144"/>
      <c r="D1791" s="144"/>
    </row>
    <row r="1792" spans="1:5" x14ac:dyDescent="0.3">
      <c r="A1792" s="144"/>
      <c r="B1792" s="618">
        <v>2024</v>
      </c>
      <c r="C1792" s="618">
        <v>2025</v>
      </c>
      <c r="D1792" s="618">
        <v>2026</v>
      </c>
    </row>
    <row r="1793" spans="1:4" x14ac:dyDescent="0.3">
      <c r="A1793" s="708" t="s">
        <v>1228</v>
      </c>
      <c r="B1793" s="365">
        <f>Drivers!EX113</f>
        <v>699.84680000000003</v>
      </c>
      <c r="C1793" s="365">
        <f>Drivers!FC113</f>
        <v>844.31377080254811</v>
      </c>
      <c r="D1793" s="365">
        <f>Drivers!FD113</f>
        <v>921.98952763454338</v>
      </c>
    </row>
    <row r="1794" spans="1:4" x14ac:dyDescent="0.3">
      <c r="A1794" s="708" t="s">
        <v>1229</v>
      </c>
      <c r="B1794" s="1244">
        <f>Drivers!ES120</f>
        <v>0.28932367894007088</v>
      </c>
      <c r="C1794" s="1244">
        <f>Drivers!EX120</f>
        <v>0.28748561932762368</v>
      </c>
      <c r="D1794" s="1244">
        <f>Drivers!FC120</f>
        <v>0.29620068628979018</v>
      </c>
    </row>
    <row r="1795" spans="1:4" x14ac:dyDescent="0.3">
      <c r="A1795" s="708" t="s">
        <v>1230</v>
      </c>
      <c r="B1795" s="999">
        <f>B1793*B1794</f>
        <v>202.48225087043602</v>
      </c>
      <c r="C1795" s="999">
        <f t="shared" ref="C1795:D1795" si="677">C1793*C1794</f>
        <v>242.72806730601184</v>
      </c>
      <c r="D1795" s="999">
        <f t="shared" si="677"/>
        <v>273.09393083735119</v>
      </c>
    </row>
    <row r="1796" spans="1:4" x14ac:dyDescent="0.3">
      <c r="A1796" s="614" t="s">
        <v>1231</v>
      </c>
      <c r="B1796" s="1485">
        <f>B1793-B1795</f>
        <v>497.36454912956401</v>
      </c>
      <c r="C1796" s="1485">
        <f t="shared" ref="C1796:D1796" si="678">C1793-C1795</f>
        <v>601.58570349653633</v>
      </c>
      <c r="D1796" s="1485">
        <f t="shared" si="678"/>
        <v>648.89559679719218</v>
      </c>
    </row>
    <row r="1797" spans="1:4" x14ac:dyDescent="0.3">
      <c r="A1797" s="144"/>
      <c r="B1797" s="144"/>
      <c r="C1797" s="144"/>
      <c r="D1797" s="144"/>
    </row>
    <row r="1798" spans="1:4" x14ac:dyDescent="0.3">
      <c r="A1798" s="708" t="s">
        <v>1232</v>
      </c>
      <c r="B1798" s="877">
        <f>B1795</f>
        <v>202.48225087043602</v>
      </c>
      <c r="C1798" s="877">
        <f t="shared" ref="C1798:D1798" si="679">C1795</f>
        <v>242.72806730601184</v>
      </c>
      <c r="D1798" s="877">
        <f t="shared" si="679"/>
        <v>273.09393083735119</v>
      </c>
    </row>
    <row r="1799" spans="1:4" x14ac:dyDescent="0.3">
      <c r="A1799" s="708" t="s">
        <v>1233</v>
      </c>
      <c r="B1799" s="873">
        <v>600</v>
      </c>
      <c r="C1799" s="873">
        <v>450</v>
      </c>
      <c r="D1799" s="873">
        <v>300</v>
      </c>
    </row>
    <row r="1800" spans="1:4" x14ac:dyDescent="0.3">
      <c r="A1800" s="708" t="s">
        <v>1234</v>
      </c>
      <c r="B1800" s="999">
        <f>B1798*B1799/1000</f>
        <v>121.4893505222616</v>
      </c>
      <c r="C1800" s="999">
        <f t="shared" ref="C1800:D1800" si="680">C1798*C1799/1000</f>
        <v>109.22763028770532</v>
      </c>
      <c r="D1800" s="999">
        <f t="shared" si="680"/>
        <v>81.928179251205364</v>
      </c>
    </row>
    <row r="1801" spans="1:4" x14ac:dyDescent="0.3">
      <c r="A1801" s="144"/>
      <c r="B1801" s="144"/>
      <c r="C1801" s="144"/>
      <c r="D1801" s="144"/>
    </row>
    <row r="1802" spans="1:4" x14ac:dyDescent="0.3">
      <c r="A1802" s="708" t="s">
        <v>1235</v>
      </c>
      <c r="B1802" s="877">
        <f>B1796</f>
        <v>497.36454912956401</v>
      </c>
      <c r="C1802" s="877">
        <f t="shared" ref="C1802:D1802" si="681">C1796</f>
        <v>601.58570349653633</v>
      </c>
      <c r="D1802" s="877">
        <f t="shared" si="681"/>
        <v>648.89559679719218</v>
      </c>
    </row>
    <row r="1803" spans="1:4" x14ac:dyDescent="0.3">
      <c r="A1803" s="708" t="s">
        <v>1233</v>
      </c>
      <c r="B1803" s="873">
        <v>800</v>
      </c>
      <c r="C1803" s="873">
        <f>B1803</f>
        <v>800</v>
      </c>
      <c r="D1803" s="873">
        <f>C1803</f>
        <v>800</v>
      </c>
    </row>
    <row r="1804" spans="1:4" x14ac:dyDescent="0.3">
      <c r="A1804" s="708" t="s">
        <v>1234</v>
      </c>
      <c r="B1804" s="999">
        <f>B1802*B1803/1000</f>
        <v>397.89163930365123</v>
      </c>
      <c r="C1804" s="999">
        <f t="shared" ref="C1804" si="682">C1802*C1803/1000</f>
        <v>481.26856279722904</v>
      </c>
      <c r="D1804" s="999">
        <f t="shared" ref="D1804" si="683">D1802*D1803/1000</f>
        <v>519.1164774377537</v>
      </c>
    </row>
    <row r="1805" spans="1:4" x14ac:dyDescent="0.3">
      <c r="A1805" s="144"/>
      <c r="B1805" s="144"/>
      <c r="C1805" s="144"/>
      <c r="D1805" s="144"/>
    </row>
    <row r="1806" spans="1:4" x14ac:dyDescent="0.3">
      <c r="A1806" s="493" t="s">
        <v>1236</v>
      </c>
      <c r="B1806" s="1065">
        <f>B1800+B1804</f>
        <v>519.38098982591282</v>
      </c>
      <c r="C1806" s="1065">
        <f t="shared" ref="C1806:D1806" si="684">C1800+C1804</f>
        <v>590.49619308493436</v>
      </c>
      <c r="D1806" s="1065">
        <f t="shared" si="684"/>
        <v>601.04465668895909</v>
      </c>
    </row>
    <row r="1807" spans="1:4" x14ac:dyDescent="0.3">
      <c r="A1807" s="614" t="s">
        <v>1237</v>
      </c>
      <c r="B1807" s="1485">
        <f>B1806/B1793*1000</f>
        <v>742.13526421198583</v>
      </c>
      <c r="C1807" s="1485">
        <f t="shared" ref="C1807:D1807" si="685">C1806/C1793*1000</f>
        <v>699.38003323533167</v>
      </c>
      <c r="D1807" s="1485">
        <f t="shared" si="685"/>
        <v>651.89965685510492</v>
      </c>
    </row>
    <row r="1808" spans="1:4" x14ac:dyDescent="0.3">
      <c r="A1808" s="494"/>
      <c r="B1808" s="494"/>
      <c r="C1808" s="494"/>
      <c r="D1808" s="494"/>
    </row>
    <row r="1810" spans="1:4" x14ac:dyDescent="0.3">
      <c r="A1810" s="114"/>
      <c r="B1810" s="114"/>
      <c r="C1810" s="114"/>
      <c r="D1810" s="114"/>
    </row>
    <row r="1811" spans="1:4" x14ac:dyDescent="0.3">
      <c r="A1811" s="144"/>
      <c r="B1811" s="144"/>
      <c r="C1811" s="144"/>
      <c r="D1811" s="144"/>
    </row>
    <row r="1812" spans="1:4" x14ac:dyDescent="0.3">
      <c r="A1812" s="144"/>
      <c r="B1812" s="618">
        <v>2024</v>
      </c>
      <c r="C1812" s="618">
        <v>2025</v>
      </c>
      <c r="D1812" s="618">
        <v>2026</v>
      </c>
    </row>
    <row r="1813" spans="1:4" x14ac:dyDescent="0.3">
      <c r="A1813" s="708" t="s">
        <v>1238</v>
      </c>
      <c r="B1813" s="877">
        <f>B1782</f>
        <v>1431.241402108863</v>
      </c>
      <c r="C1813" s="877">
        <f t="shared" ref="C1813:D1813" si="686">C1782</f>
        <v>1396.8572242804219</v>
      </c>
      <c r="D1813" s="877">
        <f t="shared" si="686"/>
        <v>967.05500142490746</v>
      </c>
    </row>
    <row r="1814" spans="1:4" x14ac:dyDescent="0.3">
      <c r="A1814" s="708" t="s">
        <v>1239</v>
      </c>
      <c r="B1814" s="877">
        <f>B1783</f>
        <v>79.141402108863076</v>
      </c>
      <c r="C1814" s="877">
        <f t="shared" ref="C1814:D1815" si="687">C1783</f>
        <v>266.67644420839918</v>
      </c>
      <c r="D1814" s="877">
        <f t="shared" si="687"/>
        <v>184.6221536827378</v>
      </c>
    </row>
    <row r="1815" spans="1:4" x14ac:dyDescent="0.3">
      <c r="A1815" s="708" t="s">
        <v>1225</v>
      </c>
      <c r="B1815" s="880">
        <f>B1784</f>
        <v>46.5</v>
      </c>
      <c r="C1815" s="880">
        <f t="shared" si="687"/>
        <v>46.5</v>
      </c>
      <c r="D1815" s="880">
        <f t="shared" si="687"/>
        <v>46.5</v>
      </c>
    </row>
    <row r="1816" spans="1:4" x14ac:dyDescent="0.3">
      <c r="A1816" s="709" t="s">
        <v>1240</v>
      </c>
      <c r="B1816" s="1065">
        <f>B1813-B1814+B1815</f>
        <v>1398.6</v>
      </c>
      <c r="C1816" s="1065">
        <f t="shared" ref="C1816:D1816" si="688">C1813-C1814+C1815</f>
        <v>1176.6807800720226</v>
      </c>
      <c r="D1816" s="1065">
        <f t="shared" si="688"/>
        <v>828.93284774216966</v>
      </c>
    </row>
    <row r="1817" spans="1:4" x14ac:dyDescent="0.3">
      <c r="A1817" s="708"/>
      <c r="B1817" s="877"/>
      <c r="C1817" s="877"/>
      <c r="D1817" s="877"/>
    </row>
    <row r="1818" spans="1:4" x14ac:dyDescent="0.3">
      <c r="A1818" s="708" t="s">
        <v>1241</v>
      </c>
      <c r="B1818" s="877">
        <f>B1806</f>
        <v>519.38098982591282</v>
      </c>
      <c r="C1818" s="877">
        <f t="shared" ref="C1818:D1818" si="689">C1806</f>
        <v>590.49619308493436</v>
      </c>
      <c r="D1818" s="877">
        <f t="shared" si="689"/>
        <v>601.04465668895909</v>
      </c>
    </row>
    <row r="1819" spans="1:4" x14ac:dyDescent="0.3">
      <c r="A1819" s="708" t="s">
        <v>1189</v>
      </c>
      <c r="B1819" s="999">
        <v>600</v>
      </c>
      <c r="C1819" s="999">
        <f>B1819</f>
        <v>600</v>
      </c>
      <c r="D1819" s="999">
        <f>C1819</f>
        <v>600</v>
      </c>
    </row>
    <row r="1820" spans="1:4" x14ac:dyDescent="0.3">
      <c r="A1820" s="708" t="s">
        <v>1242</v>
      </c>
      <c r="B1820" s="873">
        <f>B1821-B1818-B1819</f>
        <v>218.51901017408727</v>
      </c>
      <c r="C1820" s="880">
        <f>B1820</f>
        <v>218.51901017408727</v>
      </c>
      <c r="D1820" s="880">
        <f>C1820</f>
        <v>218.51901017408727</v>
      </c>
    </row>
    <row r="1821" spans="1:4" x14ac:dyDescent="0.3">
      <c r="A1821" s="708" t="s">
        <v>1243</v>
      </c>
      <c r="B1821" s="876">
        <f>B1823-B1822</f>
        <v>1337.9</v>
      </c>
      <c r="C1821" s="876">
        <f t="shared" ref="C1821:D1821" si="690">SUM(C1818:C1820)</f>
        <v>1409.0152032590217</v>
      </c>
      <c r="D1821" s="876">
        <f t="shared" si="690"/>
        <v>1419.5636668630464</v>
      </c>
    </row>
    <row r="1822" spans="1:4" x14ac:dyDescent="0.3">
      <c r="A1822" s="708" t="s">
        <v>1225</v>
      </c>
      <c r="B1822" s="873">
        <f>E1764</f>
        <v>46.5</v>
      </c>
      <c r="C1822" s="880">
        <v>0</v>
      </c>
      <c r="D1822" s="880">
        <v>0</v>
      </c>
    </row>
    <row r="1823" spans="1:4" x14ac:dyDescent="0.3">
      <c r="A1823" s="709" t="s">
        <v>1244</v>
      </c>
      <c r="B1823" s="874">
        <f>B1825-B1816</f>
        <v>1384.4</v>
      </c>
      <c r="C1823" s="874">
        <f t="shared" ref="C1823:D1823" si="691">C1821-C1822</f>
        <v>1409.0152032590217</v>
      </c>
      <c r="D1823" s="874">
        <f t="shared" si="691"/>
        <v>1419.5636668630464</v>
      </c>
    </row>
    <row r="1824" spans="1:4" x14ac:dyDescent="0.3">
      <c r="A1824" s="708"/>
      <c r="B1824" s="876"/>
      <c r="C1824" s="877"/>
      <c r="D1824" s="877"/>
    </row>
    <row r="1825" spans="1:5" x14ac:dyDescent="0.3">
      <c r="A1825" s="709" t="s">
        <v>1245</v>
      </c>
      <c r="B1825" s="475">
        <f>Drivers!EX572</f>
        <v>2783</v>
      </c>
      <c r="C1825" s="1065">
        <f>C1816+C1823</f>
        <v>2585.6959833310443</v>
      </c>
      <c r="D1825" s="1065">
        <f>D1816+D1823</f>
        <v>2248.4965146052159</v>
      </c>
    </row>
    <row r="1826" spans="1:5" x14ac:dyDescent="0.3">
      <c r="A1826" s="1486"/>
      <c r="B1826" s="1487"/>
      <c r="C1826" s="1487"/>
      <c r="D1826" s="1487"/>
    </row>
    <row r="1829" spans="1:5" x14ac:dyDescent="0.3">
      <c r="A1829" s="114"/>
      <c r="B1829" s="114"/>
      <c r="C1829" s="114"/>
      <c r="D1829" s="114"/>
      <c r="E1829" s="114"/>
    </row>
    <row r="1830" spans="1:5" x14ac:dyDescent="0.3">
      <c r="A1830" s="144"/>
      <c r="B1830" s="618">
        <v>2023</v>
      </c>
      <c r="C1830" s="618">
        <v>2024</v>
      </c>
      <c r="D1830" s="618">
        <v>2025</v>
      </c>
      <c r="E1830" s="618">
        <v>2026</v>
      </c>
    </row>
    <row r="1831" spans="1:5" x14ac:dyDescent="0.3">
      <c r="A1831" s="708" t="s">
        <v>238</v>
      </c>
      <c r="B1831" s="999">
        <f>Drivers!ES30</f>
        <v>2127</v>
      </c>
      <c r="C1831" s="999">
        <f>Drivers!EX30</f>
        <v>2251</v>
      </c>
      <c r="D1831" s="999">
        <f>Drivers!FC30</f>
        <v>2416.4545969116934</v>
      </c>
      <c r="E1831" s="999">
        <f>Drivers!FD30</f>
        <v>2677.013038976258</v>
      </c>
    </row>
    <row r="1832" spans="1:5" x14ac:dyDescent="0.3">
      <c r="A1832" s="708" t="s">
        <v>101</v>
      </c>
      <c r="B1832" s="999">
        <f>Drivers!ES578</f>
        <v>3211</v>
      </c>
      <c r="C1832" s="999">
        <f>Drivers!EX578</f>
        <v>2783</v>
      </c>
      <c r="D1832" s="999">
        <f>Drivers!FC578</f>
        <v>3194.4479521510066</v>
      </c>
      <c r="E1832" s="999">
        <f>Drivers!FD578</f>
        <v>2782.4684202674325</v>
      </c>
    </row>
    <row r="1833" spans="1:5" x14ac:dyDescent="0.3">
      <c r="A1833" s="708" t="s">
        <v>1246</v>
      </c>
      <c r="B1833" s="999">
        <f>'Model Main'!ES213</f>
        <v>711</v>
      </c>
      <c r="C1833" s="999">
        <f>'Model Main'!EX213</f>
        <v>835</v>
      </c>
      <c r="D1833" s="999">
        <f>'Model Main'!FC213</f>
        <v>903.71337880249621</v>
      </c>
      <c r="E1833" s="999">
        <f>'Model Main'!FD213</f>
        <v>1001.5431338161031</v>
      </c>
    </row>
    <row r="1834" spans="1:5" x14ac:dyDescent="0.3">
      <c r="A1834" s="708" t="s">
        <v>1247</v>
      </c>
      <c r="B1834" s="999">
        <v>116</v>
      </c>
      <c r="C1834" s="999">
        <v>125</v>
      </c>
      <c r="D1834" s="999">
        <f>C1834</f>
        <v>125</v>
      </c>
      <c r="E1834" s="999">
        <f>D1834</f>
        <v>125</v>
      </c>
    </row>
    <row r="1835" spans="1:5" x14ac:dyDescent="0.3">
      <c r="A1835" s="708" t="s">
        <v>1248</v>
      </c>
      <c r="B1835" s="999">
        <f>'Model Main'!ES166</f>
        <v>0</v>
      </c>
      <c r="C1835" s="999">
        <f>'Model Main'!EX166</f>
        <v>16</v>
      </c>
      <c r="D1835" s="999">
        <f>'Model Main'!FC166</f>
        <v>20</v>
      </c>
      <c r="E1835" s="999">
        <f>'Model Main'!FD166</f>
        <v>20</v>
      </c>
    </row>
    <row r="1836" spans="1:5" x14ac:dyDescent="0.3">
      <c r="A1836" s="708" t="s">
        <v>1249</v>
      </c>
      <c r="B1836" s="873">
        <f>B1837-B1831+B1832+B1833+B1834+B1835</f>
        <v>44</v>
      </c>
      <c r="C1836" s="873">
        <f t="shared" ref="C1836:E1836" si="692">C1837-C1831+C1832+C1833+C1834+C1835</f>
        <v>-143</v>
      </c>
      <c r="D1836" s="873">
        <f t="shared" si="692"/>
        <v>-11.499999999998636</v>
      </c>
      <c r="E1836" s="873">
        <f t="shared" si="692"/>
        <v>-327.74999999999841</v>
      </c>
    </row>
    <row r="1837" spans="1:5" x14ac:dyDescent="0.3">
      <c r="A1837" s="709" t="s">
        <v>248</v>
      </c>
      <c r="B1837" s="1064">
        <f>'Model Main'!ES132</f>
        <v>-1867</v>
      </c>
      <c r="C1837" s="1064">
        <f>'Model Main'!EX132</f>
        <v>-1651</v>
      </c>
      <c r="D1837" s="1064">
        <f>'Model Main'!FC132</f>
        <v>-1838.2067340418082</v>
      </c>
      <c r="E1837" s="1064">
        <f>'Model Main'!FD132</f>
        <v>-1579.7485151072758</v>
      </c>
    </row>
    <row r="1838" spans="1:5" x14ac:dyDescent="0.3">
      <c r="A1838" s="494"/>
      <c r="B1838" s="494"/>
      <c r="C1838" s="494"/>
      <c r="D1838" s="494"/>
      <c r="E1838" s="494"/>
    </row>
    <row r="1841" spans="1:3" x14ac:dyDescent="0.3">
      <c r="A1841" s="368">
        <v>2024</v>
      </c>
      <c r="B1841" s="887">
        <f>-C1837</f>
        <v>1651</v>
      </c>
    </row>
    <row r="1842" spans="1:3" x14ac:dyDescent="0.3">
      <c r="A1842" s="368">
        <v>2025</v>
      </c>
      <c r="B1842" s="887">
        <f>B1841+C1841</f>
        <v>1651</v>
      </c>
      <c r="C1842" s="887">
        <f>-D1837</f>
        <v>1838.2067340418082</v>
      </c>
    </row>
    <row r="1843" spans="1:3" x14ac:dyDescent="0.3">
      <c r="A1843" s="368">
        <v>2026</v>
      </c>
      <c r="B1843" s="887">
        <f>B1842+C1842</f>
        <v>3489.206734041808</v>
      </c>
      <c r="C1843" s="887">
        <f>-E1837</f>
        <v>1579.7485151072758</v>
      </c>
    </row>
    <row r="1844" spans="1:3" x14ac:dyDescent="0.3">
      <c r="A1844" s="368" t="s">
        <v>266</v>
      </c>
      <c r="B1844" s="887">
        <f>B1843+C1843</f>
        <v>5068.955249149084</v>
      </c>
    </row>
    <row r="1851" spans="1:3" x14ac:dyDescent="0.3">
      <c r="A1851" t="s">
        <v>1250</v>
      </c>
      <c r="B1851" s="885">
        <f>'Model Main'!ES171+'Model Main'!ES172</f>
        <v>2200</v>
      </c>
      <c r="C1851" s="885"/>
    </row>
    <row r="1852" spans="1:3" x14ac:dyDescent="0.3">
      <c r="A1852" t="s">
        <v>1251</v>
      </c>
      <c r="B1852" s="885">
        <f>B1851-C1852</f>
        <v>549</v>
      </c>
      <c r="C1852" s="885">
        <f>-C1837</f>
        <v>1651</v>
      </c>
    </row>
    <row r="1853" spans="1:3" x14ac:dyDescent="0.3">
      <c r="A1853" t="s">
        <v>1252</v>
      </c>
      <c r="B1853" s="885">
        <f>B1852+D1837</f>
        <v>-1289.2067340418082</v>
      </c>
      <c r="C1853" s="885">
        <f>B1852</f>
        <v>549</v>
      </c>
    </row>
    <row r="1854" spans="1:3" x14ac:dyDescent="0.3">
      <c r="A1854" t="s">
        <v>1253</v>
      </c>
      <c r="B1854" s="885">
        <f>B1853</f>
        <v>-1289.2067340418082</v>
      </c>
      <c r="C1854" s="885">
        <f>E1837</f>
        <v>-1579.7485151072758</v>
      </c>
    </row>
    <row r="1855" spans="1:3" x14ac:dyDescent="0.3">
      <c r="A1855" t="s">
        <v>1254</v>
      </c>
      <c r="B1855" s="885">
        <f>B1853+E1837</f>
        <v>-2868.955249149084</v>
      </c>
      <c r="C1855" s="885"/>
    </row>
    <row r="1862" spans="1:5" x14ac:dyDescent="0.3">
      <c r="A1862" s="114"/>
      <c r="B1862" s="114"/>
      <c r="C1862" s="114"/>
      <c r="D1862" s="114"/>
      <c r="E1862" s="114"/>
    </row>
    <row r="1863" spans="1:5" x14ac:dyDescent="0.3">
      <c r="A1863" s="144"/>
      <c r="B1863" s="144"/>
      <c r="C1863" s="144"/>
      <c r="D1863" s="144"/>
      <c r="E1863" s="144"/>
    </row>
    <row r="1864" spans="1:5" x14ac:dyDescent="0.3">
      <c r="A1864" s="618" t="s">
        <v>1255</v>
      </c>
      <c r="B1864" s="820" t="s">
        <v>722</v>
      </c>
      <c r="C1864" s="820" t="s">
        <v>726</v>
      </c>
      <c r="D1864" s="820" t="s">
        <v>1256</v>
      </c>
      <c r="E1864" s="820" t="s">
        <v>1257</v>
      </c>
    </row>
    <row r="1865" spans="1:5" x14ac:dyDescent="0.3">
      <c r="A1865" s="612">
        <v>2024</v>
      </c>
      <c r="B1865" s="999">
        <f>Drivers!EX572</f>
        <v>2783</v>
      </c>
      <c r="C1865" s="999">
        <v>3040.5</v>
      </c>
      <c r="D1865" s="999">
        <f>B1865-C1865</f>
        <v>-257.5</v>
      </c>
      <c r="E1865" s="1002">
        <f>B1865/C1865-1</f>
        <v>-8.4690018089130126E-2</v>
      </c>
    </row>
    <row r="1866" spans="1:5" x14ac:dyDescent="0.3">
      <c r="A1866" s="612">
        <v>2025</v>
      </c>
      <c r="B1866" s="999">
        <f>Drivers!FC572</f>
        <v>3194.4479521510066</v>
      </c>
      <c r="C1866" s="999">
        <v>3025</v>
      </c>
      <c r="D1866" s="999">
        <f t="shared" ref="D1866:D1868" si="693">B1866-C1866</f>
        <v>169.44795215100658</v>
      </c>
      <c r="E1866" s="1002">
        <f t="shared" ref="E1866:E1868" si="694">B1866/C1866-1</f>
        <v>5.6015851950745876E-2</v>
      </c>
    </row>
    <row r="1867" spans="1:5" x14ac:dyDescent="0.3">
      <c r="A1867" s="612">
        <v>2026</v>
      </c>
      <c r="B1867" s="873">
        <f>Drivers!FD572</f>
        <v>2782.4684202674325</v>
      </c>
      <c r="C1867" s="873">
        <v>2097.8000000000002</v>
      </c>
      <c r="D1867" s="873">
        <f t="shared" si="693"/>
        <v>684.66842026743234</v>
      </c>
      <c r="E1867" s="894">
        <f t="shared" si="694"/>
        <v>0.32637449721967404</v>
      </c>
    </row>
    <row r="1868" spans="1:5" x14ac:dyDescent="0.3">
      <c r="A1868" s="612" t="s">
        <v>266</v>
      </c>
      <c r="B1868" s="999">
        <f>SUM(B1865:B1867)</f>
        <v>8759.91637241844</v>
      </c>
      <c r="C1868" s="999">
        <f>SUM(C1865:C1867)</f>
        <v>8163.3</v>
      </c>
      <c r="D1868" s="999">
        <f t="shared" si="693"/>
        <v>596.61637241843982</v>
      </c>
      <c r="E1868" s="1002">
        <f t="shared" si="694"/>
        <v>7.3085195009179982E-2</v>
      </c>
    </row>
    <row r="1869" spans="1:5" x14ac:dyDescent="0.3">
      <c r="A1869" s="494"/>
      <c r="B1869" s="494"/>
      <c r="C1869" s="494"/>
      <c r="D1869" s="494"/>
      <c r="E1869" s="494"/>
    </row>
    <row r="1871" spans="1:5" x14ac:dyDescent="0.3">
      <c r="A1871" s="114"/>
      <c r="B1871" s="114"/>
    </row>
    <row r="1872" spans="1:5" x14ac:dyDescent="0.3">
      <c r="A1872" s="144"/>
      <c r="B1872" s="144"/>
    </row>
    <row r="1873" spans="1:2" x14ac:dyDescent="0.3">
      <c r="A1873" s="144"/>
      <c r="B1873" s="820">
        <v>2026</v>
      </c>
    </row>
    <row r="1874" spans="1:2" x14ac:dyDescent="0.3">
      <c r="A1874" s="725" t="s">
        <v>1258</v>
      </c>
      <c r="B1874" s="999">
        <f>Valuation!C244</f>
        <v>10000</v>
      </c>
    </row>
    <row r="1875" spans="1:2" x14ac:dyDescent="0.3">
      <c r="A1875" s="995" t="s">
        <v>1259</v>
      </c>
      <c r="B1875" s="873">
        <v>3200</v>
      </c>
    </row>
    <row r="1876" spans="1:2" x14ac:dyDescent="0.3">
      <c r="A1876" s="998" t="s">
        <v>1260</v>
      </c>
      <c r="B1876" s="999">
        <f>B1874*B1875/1000</f>
        <v>32000</v>
      </c>
    </row>
    <row r="1877" spans="1:2" x14ac:dyDescent="0.3">
      <c r="A1877" s="994" t="s">
        <v>1261</v>
      </c>
      <c r="B1877" s="999"/>
    </row>
    <row r="1878" spans="1:2" x14ac:dyDescent="0.3">
      <c r="A1878" s="998"/>
      <c r="B1878" s="999"/>
    </row>
    <row r="1879" spans="1:2" x14ac:dyDescent="0.3">
      <c r="A1879" s="725" t="s">
        <v>1262</v>
      </c>
      <c r="B1879" s="999">
        <f>Valuation!C249</f>
        <v>5500</v>
      </c>
    </row>
    <row r="1880" spans="1:2" x14ac:dyDescent="0.3">
      <c r="A1880" s="995" t="s">
        <v>1259</v>
      </c>
      <c r="B1880" s="873">
        <v>250</v>
      </c>
    </row>
    <row r="1881" spans="1:2" x14ac:dyDescent="0.3">
      <c r="A1881" s="998" t="s">
        <v>1263</v>
      </c>
      <c r="B1881" s="999">
        <f>B1879*B1880/1000</f>
        <v>1375</v>
      </c>
    </row>
    <row r="1882" spans="1:2" x14ac:dyDescent="0.3">
      <c r="A1882" s="994" t="s">
        <v>1261</v>
      </c>
      <c r="B1882" s="999"/>
    </row>
    <row r="1883" spans="1:2" x14ac:dyDescent="0.3">
      <c r="A1883" s="994"/>
      <c r="B1883" s="999"/>
    </row>
    <row r="1884" spans="1:2" x14ac:dyDescent="0.3">
      <c r="A1884" s="995" t="s">
        <v>1264</v>
      </c>
      <c r="B1884" s="999">
        <f>B1876</f>
        <v>32000</v>
      </c>
    </row>
    <row r="1885" spans="1:2" x14ac:dyDescent="0.3">
      <c r="A1885" s="995" t="s">
        <v>1265</v>
      </c>
      <c r="B1885" s="873">
        <f>B1881</f>
        <v>1375</v>
      </c>
    </row>
    <row r="1886" spans="1:2" x14ac:dyDescent="0.3">
      <c r="A1886" s="998" t="s">
        <v>1266</v>
      </c>
      <c r="B1886" s="999">
        <f>SUM(B1884:B1885)</f>
        <v>33375</v>
      </c>
    </row>
    <row r="1887" spans="1:2" x14ac:dyDescent="0.3">
      <c r="A1887" s="998"/>
      <c r="B1887" s="999"/>
    </row>
    <row r="1888" spans="1:2" x14ac:dyDescent="0.3">
      <c r="A1888" s="995" t="s">
        <v>1267</v>
      </c>
      <c r="B1888" s="999">
        <f>Valuation!C258</f>
        <v>10811</v>
      </c>
    </row>
    <row r="1889" spans="1:4" x14ac:dyDescent="0.3">
      <c r="A1889" s="995" t="s">
        <v>1268</v>
      </c>
      <c r="B1889" s="999">
        <f>Valuation!C259</f>
        <v>3417.955249149084</v>
      </c>
    </row>
    <row r="1890" spans="1:4" x14ac:dyDescent="0.3">
      <c r="A1890" s="998"/>
      <c r="B1890" s="144"/>
    </row>
    <row r="1891" spans="1:4" x14ac:dyDescent="0.3">
      <c r="A1891" s="998" t="s">
        <v>1269</v>
      </c>
      <c r="B1891" s="387">
        <f>B1886-B1888-B1889</f>
        <v>19146.044750850917</v>
      </c>
    </row>
    <row r="1892" spans="1:4" x14ac:dyDescent="0.3">
      <c r="A1892" s="998"/>
      <c r="B1892" s="144"/>
    </row>
    <row r="1893" spans="1:4" x14ac:dyDescent="0.3">
      <c r="A1893" s="995" t="s">
        <v>104</v>
      </c>
      <c r="B1893" s="999">
        <f>Valuation!C263</f>
        <v>260</v>
      </c>
    </row>
    <row r="1894" spans="1:4" ht="12.5" thickBot="1" x14ac:dyDescent="0.35">
      <c r="A1894" s="998" t="s">
        <v>1270</v>
      </c>
      <c r="B1894" s="1490">
        <f>B1891/B1893</f>
        <v>73.638633657118916</v>
      </c>
    </row>
    <row r="1895" spans="1:4" ht="12.5" thickTop="1" x14ac:dyDescent="0.3">
      <c r="A1895" s="494"/>
      <c r="B1895" s="494"/>
    </row>
    <row r="1898" spans="1:4" x14ac:dyDescent="0.3">
      <c r="A1898" s="114"/>
      <c r="B1898" s="114"/>
      <c r="C1898" s="114"/>
      <c r="D1898" s="114"/>
    </row>
    <row r="1899" spans="1:4" x14ac:dyDescent="0.3">
      <c r="A1899" s="144"/>
      <c r="B1899" s="820" t="s">
        <v>628</v>
      </c>
      <c r="C1899" s="820" t="s">
        <v>629</v>
      </c>
      <c r="D1899" s="820" t="s">
        <v>266</v>
      </c>
    </row>
    <row r="1900" spans="1:4" x14ac:dyDescent="0.3">
      <c r="A1900" s="708" t="s">
        <v>1271</v>
      </c>
      <c r="B1900" s="999">
        <f>Valuation!C254</f>
        <v>33000</v>
      </c>
      <c r="C1900" s="999">
        <f>Valuation!C255</f>
        <v>1375</v>
      </c>
      <c r="D1900" s="999">
        <f>SUM(B1900:C1900)</f>
        <v>34375</v>
      </c>
    </row>
    <row r="1901" spans="1:4" x14ac:dyDescent="0.3">
      <c r="A1901" s="708" t="s">
        <v>1272</v>
      </c>
      <c r="B1901" s="873">
        <f>Drivers!FD27</f>
        <v>2189.7533312017049</v>
      </c>
      <c r="C1901" s="873">
        <f>Drivers!FD28</f>
        <v>423.25970777455382</v>
      </c>
      <c r="D1901" s="873">
        <f>Drivers!FD30</f>
        <v>2677.013038976258</v>
      </c>
    </row>
    <row r="1902" spans="1:4" x14ac:dyDescent="0.3">
      <c r="A1902" s="708" t="s">
        <v>777</v>
      </c>
      <c r="B1902" s="549">
        <f>B1900/B1901</f>
        <v>15.070190568857397</v>
      </c>
      <c r="C1902" s="549">
        <f t="shared" ref="C1902:D1902" si="695">C1900/C1901</f>
        <v>3.2485964875550679</v>
      </c>
      <c r="D1902" s="549">
        <f t="shared" si="695"/>
        <v>12.840804097519701</v>
      </c>
    </row>
    <row r="1903" spans="1:4" x14ac:dyDescent="0.3">
      <c r="A1903" s="494"/>
      <c r="B1903" s="494"/>
      <c r="C1903" s="494"/>
      <c r="D1903" s="494"/>
    </row>
    <row r="1906" spans="1:20" x14ac:dyDescent="0.3">
      <c r="A1906" s="177" t="s">
        <v>1271</v>
      </c>
      <c r="B1906" s="887">
        <f>B1900</f>
        <v>33000</v>
      </c>
      <c r="C1906" s="887">
        <f>C1900</f>
        <v>1375</v>
      </c>
      <c r="D1906" s="887">
        <f>SUM(B1906:C1906)</f>
        <v>34375</v>
      </c>
    </row>
    <row r="1907" spans="1:20" x14ac:dyDescent="0.3">
      <c r="A1907" s="177" t="s">
        <v>1272</v>
      </c>
      <c r="B1907" s="901">
        <v>3500</v>
      </c>
      <c r="C1907" s="901">
        <f>D1907-B1907</f>
        <v>500</v>
      </c>
      <c r="D1907" s="901">
        <v>4000</v>
      </c>
    </row>
    <row r="1908" spans="1:20" x14ac:dyDescent="0.3">
      <c r="A1908" s="177" t="s">
        <v>777</v>
      </c>
      <c r="B1908" s="459">
        <f>B1906/B1907</f>
        <v>9.4285714285714288</v>
      </c>
      <c r="C1908" s="459">
        <f t="shared" ref="C1908" si="696">C1906/C1907</f>
        <v>2.75</v>
      </c>
      <c r="D1908" s="459">
        <f t="shared" ref="D1908" si="697">D1906/D1907</f>
        <v>8.59375</v>
      </c>
    </row>
    <row r="1917" spans="1:20" x14ac:dyDescent="0.3">
      <c r="A1917" s="1256" t="s">
        <v>1273</v>
      </c>
      <c r="B1917" s="1257"/>
      <c r="C1917" s="1257"/>
      <c r="D1917" s="1257"/>
      <c r="E1917" s="1257"/>
      <c r="F1917" s="1257"/>
      <c r="G1917" s="1257"/>
      <c r="H1917" s="1257"/>
      <c r="I1917" s="1257"/>
      <c r="J1917" s="1257"/>
      <c r="K1917" s="1257"/>
      <c r="L1917" s="1257"/>
      <c r="M1917" s="1257"/>
      <c r="N1917" s="1257"/>
      <c r="O1917" s="1257"/>
      <c r="P1917" s="1257"/>
      <c r="Q1917" s="1257"/>
      <c r="R1917" s="1257"/>
      <c r="S1917" s="1257"/>
      <c r="T1917" s="1257"/>
    </row>
    <row r="1919" spans="1:20" x14ac:dyDescent="0.3">
      <c r="B1919" s="692" t="s">
        <v>883</v>
      </c>
      <c r="C1919" s="692" t="s">
        <v>884</v>
      </c>
      <c r="D1919" s="692" t="s">
        <v>885</v>
      </c>
      <c r="E1919" s="692" t="s">
        <v>886</v>
      </c>
      <c r="F1919" s="692" t="s">
        <v>887</v>
      </c>
      <c r="G1919" s="692" t="s">
        <v>888</v>
      </c>
      <c r="H1919" s="692" t="s">
        <v>1027</v>
      </c>
      <c r="I1919" s="692" t="s">
        <v>1028</v>
      </c>
    </row>
    <row r="1920" spans="1:20" x14ac:dyDescent="0.3">
      <c r="A1920" t="s">
        <v>1273</v>
      </c>
      <c r="B1920" s="898">
        <f>Drivers!EO36</f>
        <v>1.9646365422396839E-2</v>
      </c>
      <c r="C1920" s="898">
        <f>Drivers!EP36</f>
        <v>-3.7383177570093906E-3</v>
      </c>
      <c r="D1920" s="898">
        <f>Drivers!EQ36</f>
        <v>3.5433070866141669E-2</v>
      </c>
      <c r="E1920" s="898">
        <f>Drivers!ER36</f>
        <v>3.9772727272727293E-2</v>
      </c>
      <c r="F1920" s="898">
        <f>Drivers!ET36</f>
        <v>5.3949903660886367E-2</v>
      </c>
      <c r="G1920" s="898">
        <f>Drivers!EU36</f>
        <v>5.065666041275807E-2</v>
      </c>
      <c r="H1920" s="898">
        <f>Drivers!EV36</f>
        <v>4.3726235741444963E-2</v>
      </c>
      <c r="I1920" s="898">
        <f>Drivers!EW36</f>
        <v>8.3788706739526431E-2</v>
      </c>
    </row>
    <row r="1940" spans="1:20" x14ac:dyDescent="0.3">
      <c r="A1940" s="1256" t="s">
        <v>1274</v>
      </c>
      <c r="B1940" s="1257"/>
      <c r="C1940" s="1257"/>
      <c r="D1940" s="1257"/>
      <c r="E1940" s="1257"/>
      <c r="F1940" s="1257"/>
      <c r="G1940" s="1257"/>
      <c r="H1940" s="1257"/>
      <c r="I1940" s="1257"/>
      <c r="J1940" s="1257"/>
      <c r="K1940" s="1257"/>
      <c r="L1940" s="1257"/>
      <c r="M1940" s="1257"/>
      <c r="N1940" s="1257"/>
      <c r="O1940" s="1257"/>
      <c r="P1940" s="1257"/>
      <c r="Q1940" s="1257"/>
      <c r="R1940" s="1257"/>
      <c r="S1940" s="1257"/>
      <c r="T1940" s="1257"/>
    </row>
    <row r="1941" spans="1:20" x14ac:dyDescent="0.3">
      <c r="A1941" s="366"/>
      <c r="B1941" s="366"/>
      <c r="C1941" s="366"/>
      <c r="D1941" s="366"/>
    </row>
    <row r="1942" spans="1:20" x14ac:dyDescent="0.3">
      <c r="B1942" s="1473">
        <v>800</v>
      </c>
      <c r="C1942" s="1473">
        <v>600</v>
      </c>
      <c r="D1942" s="692" t="s">
        <v>266</v>
      </c>
    </row>
    <row r="1943" spans="1:20" x14ac:dyDescent="0.3">
      <c r="A1943" s="177" t="s">
        <v>1275</v>
      </c>
      <c r="B1943" s="76">
        <f>Drivers!ES561</f>
        <v>570.50790000000006</v>
      </c>
      <c r="C1943" s="76">
        <f>B1943</f>
        <v>570.50790000000006</v>
      </c>
      <c r="D1943" s="76">
        <f>C1943</f>
        <v>570.50790000000006</v>
      </c>
    </row>
    <row r="1944" spans="1:20" x14ac:dyDescent="0.3">
      <c r="A1944" s="177" t="s">
        <v>1276</v>
      </c>
      <c r="B1944" s="634">
        <v>0.6</v>
      </c>
      <c r="C1944" s="634">
        <v>0.4</v>
      </c>
      <c r="D1944" s="634">
        <f>SUM(B1944:C1944)</f>
        <v>1</v>
      </c>
    </row>
    <row r="1945" spans="1:20" x14ac:dyDescent="0.3">
      <c r="A1945" s="177" t="s">
        <v>1277</v>
      </c>
      <c r="B1945" s="885">
        <f>B1943*B1944</f>
        <v>342.30474000000004</v>
      </c>
      <c r="C1945" s="885">
        <f>C1943*C1944</f>
        <v>228.20316000000003</v>
      </c>
      <c r="D1945" s="885">
        <f>SUM(B1945:C1945)</f>
        <v>570.50790000000006</v>
      </c>
    </row>
    <row r="1946" spans="1:20" x14ac:dyDescent="0.3">
      <c r="A1946" s="177" t="s">
        <v>1183</v>
      </c>
      <c r="B1946" s="901">
        <f>B1942</f>
        <v>800</v>
      </c>
      <c r="C1946" s="901">
        <f>C1942</f>
        <v>600</v>
      </c>
      <c r="D1946" s="901">
        <f>D1947/D1945*1000</f>
        <v>720</v>
      </c>
    </row>
    <row r="1947" spans="1:20" x14ac:dyDescent="0.3">
      <c r="A1947" s="177" t="s">
        <v>1278</v>
      </c>
      <c r="B1947" s="885">
        <f>B1945*B1946/1000</f>
        <v>273.84379200000001</v>
      </c>
      <c r="C1947" s="885">
        <f>C1945*C1946/1000</f>
        <v>136.921896</v>
      </c>
      <c r="D1947" s="885">
        <f>SUM(B1947:C1947)</f>
        <v>410.76568800000001</v>
      </c>
    </row>
    <row r="1949" spans="1:20" x14ac:dyDescent="0.3">
      <c r="A1949" s="177" t="s">
        <v>1279</v>
      </c>
      <c r="D1949" s="885">
        <f>Drivers!ES87</f>
        <v>1320</v>
      </c>
    </row>
    <row r="1950" spans="1:20" x14ac:dyDescent="0.3">
      <c r="A1950" s="177" t="s">
        <v>1280</v>
      </c>
      <c r="D1950" s="901">
        <v>1050</v>
      </c>
    </row>
    <row r="1951" spans="1:20" x14ac:dyDescent="0.3">
      <c r="A1951" s="177" t="s">
        <v>1281</v>
      </c>
      <c r="D1951" s="885">
        <f>D1949*D1950/1000</f>
        <v>1386</v>
      </c>
    </row>
    <row r="1953" spans="1:20" x14ac:dyDescent="0.3">
      <c r="A1953" s="177" t="s">
        <v>1282</v>
      </c>
      <c r="D1953" s="885">
        <f>D1955-D1951-D1947</f>
        <v>1414.234312</v>
      </c>
    </row>
    <row r="1955" spans="1:20" x14ac:dyDescent="0.3">
      <c r="A1955" s="298" t="s">
        <v>1283</v>
      </c>
      <c r="B1955" s="90"/>
      <c r="C1955" s="90"/>
      <c r="D1955" s="85">
        <f>Drivers!ES572</f>
        <v>3211</v>
      </c>
    </row>
    <row r="1956" spans="1:20" x14ac:dyDescent="0.3">
      <c r="A1956" s="114"/>
      <c r="B1956" s="114"/>
      <c r="C1956" s="114"/>
      <c r="D1956" s="114"/>
    </row>
    <row r="1964" spans="1:20" x14ac:dyDescent="0.3">
      <c r="A1964" s="1256" t="s">
        <v>1288</v>
      </c>
      <c r="B1964" s="1257"/>
      <c r="C1964" s="1257"/>
      <c r="D1964" s="1257"/>
      <c r="E1964" s="1257"/>
      <c r="F1964" s="1257"/>
      <c r="G1964" s="1257"/>
      <c r="H1964" s="1257"/>
      <c r="I1964" s="1257"/>
      <c r="J1964" s="1257"/>
      <c r="K1964" s="1257"/>
      <c r="L1964" s="1257"/>
      <c r="M1964" s="1257"/>
      <c r="N1964" s="1257"/>
      <c r="O1964" s="1257"/>
      <c r="P1964" s="1257"/>
      <c r="Q1964" s="1257"/>
      <c r="R1964" s="1257"/>
      <c r="S1964" s="1257"/>
      <c r="T1964" s="1257"/>
    </row>
    <row r="1965" spans="1:20" x14ac:dyDescent="0.3">
      <c r="A1965" s="366"/>
      <c r="B1965" s="366"/>
      <c r="C1965" s="366"/>
      <c r="D1965" s="366"/>
    </row>
    <row r="1966" spans="1:20" x14ac:dyDescent="0.3">
      <c r="A1966" s="147" t="s">
        <v>1289</v>
      </c>
      <c r="B1966" s="692" t="s">
        <v>1290</v>
      </c>
      <c r="C1966" s="692" t="s">
        <v>1291</v>
      </c>
      <c r="D1966" s="692" t="s">
        <v>17</v>
      </c>
    </row>
    <row r="1967" spans="1:20" x14ac:dyDescent="0.3">
      <c r="A1967" s="177" t="s">
        <v>780</v>
      </c>
      <c r="B1967" s="885">
        <f>Drivers!ES90</f>
        <v>6491</v>
      </c>
      <c r="C1967" s="885">
        <v>10000</v>
      </c>
      <c r="D1967" s="1429">
        <f>(C1967/B1967)^(1/7)-1</f>
        <v>6.368400161861909E-2</v>
      </c>
      <c r="F1967" s="885"/>
    </row>
    <row r="1968" spans="1:20" x14ac:dyDescent="0.3">
      <c r="A1968" s="177" t="s">
        <v>1292</v>
      </c>
      <c r="B1968" s="634">
        <f>B1969/B1967</f>
        <v>0.30919735017716837</v>
      </c>
      <c r="C1968" s="634">
        <v>0.45</v>
      </c>
      <c r="F1968" s="885"/>
    </row>
    <row r="1969" spans="1:6" x14ac:dyDescent="0.3">
      <c r="A1969" s="298" t="s">
        <v>1293</v>
      </c>
      <c r="B1969" s="85">
        <f>Drivers!ES171</f>
        <v>2007</v>
      </c>
      <c r="C1969" s="900">
        <f>C1967*C1968</f>
        <v>4500</v>
      </c>
      <c r="D1969" s="1430">
        <f>(C1969/B1969)^(1/7)-1</f>
        <v>0.12226396988745236</v>
      </c>
      <c r="F1969" s="885"/>
    </row>
    <row r="1970" spans="1:6" x14ac:dyDescent="0.3">
      <c r="A1970" s="94" t="s">
        <v>1294</v>
      </c>
      <c r="B1970" s="77">
        <f>Drivers!ES115</f>
        <v>1878</v>
      </c>
      <c r="C1970" s="1252">
        <f>C1967*C1972*0.9</f>
        <v>4050</v>
      </c>
      <c r="D1970" s="1152">
        <f>(C1970/B1970)^(1/7)-1</f>
        <v>0.11604040832043716</v>
      </c>
    </row>
    <row r="1971" spans="1:6" x14ac:dyDescent="0.3">
      <c r="A1971" s="94" t="s">
        <v>1295</v>
      </c>
      <c r="B1971" s="77">
        <f>B1969-B1970</f>
        <v>129</v>
      </c>
      <c r="C1971" s="1252">
        <f>C1969-C1970</f>
        <v>450</v>
      </c>
      <c r="D1971" s="1152">
        <f>(C1971/B1971)^(1/7)-1</f>
        <v>0.19541181343605474</v>
      </c>
    </row>
    <row r="1972" spans="1:6" x14ac:dyDescent="0.3">
      <c r="A1972" s="94" t="s">
        <v>1296</v>
      </c>
      <c r="B1972" s="1239">
        <f>B1970/B1967/0.9</f>
        <v>0.32147075437785655</v>
      </c>
      <c r="C1972" s="1407">
        <v>0.45</v>
      </c>
    </row>
    <row r="1973" spans="1:6" x14ac:dyDescent="0.3">
      <c r="A1973" s="94" t="s">
        <v>1297</v>
      </c>
      <c r="B1973" s="1239">
        <f>B1971/B1967/0.1</f>
        <v>0.1987367123709752</v>
      </c>
      <c r="C1973" s="1239">
        <f>C1971/C1967/0.1</f>
        <v>0.44999999999999996</v>
      </c>
    </row>
    <row r="1975" spans="1:6" x14ac:dyDescent="0.3">
      <c r="A1975" s="177" t="s">
        <v>782</v>
      </c>
      <c r="B1975" s="885">
        <f>Drivers!ES94</f>
        <v>8909</v>
      </c>
      <c r="C1975" s="885">
        <f>B1975+B1967-C1967</f>
        <v>5400</v>
      </c>
      <c r="D1975" s="1429">
        <f>(C1975/B1975)^(1/7)-1</f>
        <v>-6.9025407472262934E-2</v>
      </c>
    </row>
    <row r="1976" spans="1:6" x14ac:dyDescent="0.3">
      <c r="A1976" s="177" t="s">
        <v>1292</v>
      </c>
      <c r="B1976" s="634">
        <f>B1977/B1975</f>
        <v>0.10506229655404647</v>
      </c>
      <c r="C1976" s="634">
        <v>0.05</v>
      </c>
    </row>
    <row r="1977" spans="1:6" x14ac:dyDescent="0.3">
      <c r="A1977" s="298" t="s">
        <v>1298</v>
      </c>
      <c r="B1977" s="85">
        <f>Drivers!ES260+Drivers!ES305</f>
        <v>936</v>
      </c>
      <c r="C1977" s="900">
        <f>C1975*C1976</f>
        <v>270</v>
      </c>
      <c r="D1977" s="1430">
        <f>(C1977/B1977)^(1/7)-1</f>
        <v>-0.16272195719611426</v>
      </c>
    </row>
    <row r="1978" spans="1:6" x14ac:dyDescent="0.3">
      <c r="A1978" s="94" t="s">
        <v>1294</v>
      </c>
      <c r="B1978" s="77">
        <f>Drivers!ES260</f>
        <v>822</v>
      </c>
      <c r="C1978" s="1252">
        <f>B1978/B1977*C1977</f>
        <v>237.11538461538461</v>
      </c>
      <c r="D1978" s="1152">
        <f t="shared" ref="D1978:D1979" si="698">(C1978/B1978)^(1/7)-1</f>
        <v>-0.16272195719611426</v>
      </c>
    </row>
    <row r="1979" spans="1:6" x14ac:dyDescent="0.3">
      <c r="A1979" s="94" t="s">
        <v>1295</v>
      </c>
      <c r="B1979" s="77">
        <f>B1977-B1978</f>
        <v>114</v>
      </c>
      <c r="C1979" s="1252">
        <f>C1977-C1978</f>
        <v>32.884615384615387</v>
      </c>
      <c r="D1979" s="1152">
        <f t="shared" si="698"/>
        <v>-0.16272195719611426</v>
      </c>
    </row>
    <row r="1980" spans="1:6" x14ac:dyDescent="0.3">
      <c r="A1980" s="94" t="s">
        <v>1296</v>
      </c>
      <c r="B1980" s="1239">
        <f>B1978/B1975/0.9</f>
        <v>0.10251805290530175</v>
      </c>
      <c r="C1980" s="1239">
        <f>C1978/C1975/0.9</f>
        <v>4.8789173789173787E-2</v>
      </c>
    </row>
    <row r="1981" spans="1:6" x14ac:dyDescent="0.3">
      <c r="A1981" s="94" t="s">
        <v>1297</v>
      </c>
      <c r="B1981" s="1239">
        <f>B1979/B1975/0.1</f>
        <v>0.1279604893927489</v>
      </c>
      <c r="C1981" s="1239">
        <f>C1979/C1975/0.1</f>
        <v>6.0897435897435896E-2</v>
      </c>
    </row>
    <row r="1983" spans="1:6" x14ac:dyDescent="0.3">
      <c r="A1983" t="s">
        <v>1299</v>
      </c>
      <c r="B1983" s="1015">
        <f>Drivers!ES186</f>
        <v>63.39</v>
      </c>
      <c r="C1983" s="1015">
        <f>B1983*(1+D1983)^7</f>
        <v>80.649782466773075</v>
      </c>
      <c r="D1983" s="948">
        <v>3.5000000000000003E-2</v>
      </c>
    </row>
    <row r="1984" spans="1:6" x14ac:dyDescent="0.3">
      <c r="A1984" t="s">
        <v>1300</v>
      </c>
      <c r="B1984" s="1015">
        <f>Drivers!ES323</f>
        <v>52.261183591123064</v>
      </c>
      <c r="C1984" s="1015">
        <f>B1984*(1+D1984)^7</f>
        <v>76.023254706194109</v>
      </c>
      <c r="D1984" s="948">
        <v>5.5E-2</v>
      </c>
    </row>
    <row r="1985" spans="1:4" x14ac:dyDescent="0.3">
      <c r="D1985" s="149"/>
    </row>
    <row r="1986" spans="1:4" x14ac:dyDescent="0.3">
      <c r="A1986" s="177" t="s">
        <v>1301</v>
      </c>
      <c r="B1986" s="885">
        <f>Drivers!ES199</f>
        <v>1312.2509849999999</v>
      </c>
      <c r="C1986" s="885">
        <f>C1970*C1983*12/1000</f>
        <v>3919.5794278851713</v>
      </c>
      <c r="D1986" s="1429">
        <f t="shared" ref="D1986:D1987" si="699">(C1986/B1986)^(1/7)-1</f>
        <v>0.16920035204414852</v>
      </c>
    </row>
    <row r="1987" spans="1:4" x14ac:dyDescent="0.3">
      <c r="A1987" s="177" t="s">
        <v>1302</v>
      </c>
      <c r="B1987" s="901">
        <f>Drivers!ES337</f>
        <v>582.84285</v>
      </c>
      <c r="C1987" s="901">
        <f>C1978*C1984*12/1000</f>
        <v>216.31539935247076</v>
      </c>
      <c r="D1987" s="1429">
        <f t="shared" si="699"/>
        <v>-0.13202915450057018</v>
      </c>
    </row>
    <row r="1988" spans="1:4" x14ac:dyDescent="0.3">
      <c r="A1988" s="298" t="s">
        <v>1303</v>
      </c>
      <c r="B1988" s="900">
        <f>SUM(B1986:B1987)</f>
        <v>1895.0938349999999</v>
      </c>
      <c r="C1988" s="900">
        <f>SUM(C1986:C1987)</f>
        <v>4135.8948272376419</v>
      </c>
      <c r="D1988" s="1430">
        <f>(C1988/B1988)^(1/7)-1</f>
        <v>0.11794341955974752</v>
      </c>
    </row>
    <row r="1989" spans="1:4" x14ac:dyDescent="0.3">
      <c r="B1989" s="885"/>
      <c r="C1989" s="885"/>
      <c r="D1989" s="149"/>
    </row>
    <row r="1990" spans="1:4" x14ac:dyDescent="0.3">
      <c r="A1990" t="s">
        <v>1304</v>
      </c>
      <c r="B1990" s="885">
        <f>Drivers!ES126+Drivers!ES271</f>
        <v>222</v>
      </c>
      <c r="C1990" s="885">
        <f>B1990*(1+D1990)^7</f>
        <v>29.6334228515625</v>
      </c>
      <c r="D1990" s="149">
        <v>-0.25</v>
      </c>
    </row>
    <row r="1991" spans="1:4" x14ac:dyDescent="0.3">
      <c r="A1991" s="94" t="s">
        <v>696</v>
      </c>
      <c r="B1991" s="1168">
        <f>B1990/(B1967+B1975)</f>
        <v>1.4415584415584416E-2</v>
      </c>
      <c r="C1991" s="1168">
        <f>C1990/(C1967+C1975)</f>
        <v>1.924248237114448E-3</v>
      </c>
      <c r="D1991" s="149"/>
    </row>
    <row r="1992" spans="1:4" x14ac:dyDescent="0.3">
      <c r="B1992" s="885"/>
      <c r="C1992" s="885"/>
      <c r="D1992" s="149"/>
    </row>
    <row r="1993" spans="1:4" x14ac:dyDescent="0.3">
      <c r="A1993" t="s">
        <v>646</v>
      </c>
      <c r="B1993" s="1015">
        <f>Drivers!ES462/Drivers!ES452*1000/12</f>
        <v>130.78071707317073</v>
      </c>
      <c r="C1993" s="1015">
        <f>B1993*(1+D1993)^7</f>
        <v>184.02160226894603</v>
      </c>
      <c r="D1993" s="948">
        <v>0.05</v>
      </c>
    </row>
    <row r="1994" spans="1:4" x14ac:dyDescent="0.3">
      <c r="B1994" s="885"/>
      <c r="C1994" s="885"/>
      <c r="D1994" s="149"/>
    </row>
    <row r="1995" spans="1:4" x14ac:dyDescent="0.3">
      <c r="A1995" t="s">
        <v>1305</v>
      </c>
      <c r="B1995" s="885">
        <f>Drivers!ES462</f>
        <v>402.15070500000002</v>
      </c>
      <c r="C1995" s="885">
        <f>C1993*C1990*12/1000</f>
        <v>65.438279446292768</v>
      </c>
      <c r="D1995" s="1429">
        <f>(C1995/B1995)^(1/7)-1</f>
        <v>-0.22847677268447109</v>
      </c>
    </row>
    <row r="1996" spans="1:4" x14ac:dyDescent="0.3">
      <c r="B1996" s="885"/>
      <c r="C1996" s="885"/>
      <c r="D1996" s="149"/>
    </row>
    <row r="1997" spans="1:4" x14ac:dyDescent="0.3">
      <c r="A1997" t="s">
        <v>1306</v>
      </c>
      <c r="B1997" s="885">
        <f>Drivers!ES463</f>
        <v>799.75545999999997</v>
      </c>
      <c r="C1997" s="885">
        <f>B1997*(1+D1997)^7</f>
        <v>446.14086518131768</v>
      </c>
      <c r="D1997" s="948">
        <v>-0.08</v>
      </c>
    </row>
    <row r="1998" spans="1:4" x14ac:dyDescent="0.3">
      <c r="B1998" s="885"/>
      <c r="C1998" s="885"/>
      <c r="D1998" s="149"/>
    </row>
    <row r="1999" spans="1:4" x14ac:dyDescent="0.3">
      <c r="A1999" s="90" t="s">
        <v>1307</v>
      </c>
      <c r="B1999" s="900">
        <f>B1988+B1995+B1997</f>
        <v>3096.9999999999995</v>
      </c>
      <c r="C1999" s="900">
        <f>C1988+C1995+C1997</f>
        <v>4647.4739718652527</v>
      </c>
      <c r="D1999" s="1430">
        <f>(C1999/B1999)^(1/7)-1</f>
        <v>5.9698333964708139E-2</v>
      </c>
    </row>
    <row r="2000" spans="1:4" x14ac:dyDescent="0.3">
      <c r="B2000" s="885"/>
      <c r="C2000" s="885"/>
      <c r="D2000" s="149"/>
    </row>
    <row r="2001" spans="1:4" x14ac:dyDescent="0.3">
      <c r="A2001" s="177" t="s">
        <v>1308</v>
      </c>
      <c r="B2001" s="885">
        <f>B2004*0.2</f>
        <v>224.8</v>
      </c>
      <c r="C2001" s="885">
        <f>C2005*C1971*12/1000</f>
        <v>900.78327239845851</v>
      </c>
      <c r="D2001" s="1429">
        <f>(C2001/B2001)^(1/7)-1</f>
        <v>0.21932004970477581</v>
      </c>
    </row>
    <row r="2002" spans="1:4" x14ac:dyDescent="0.3">
      <c r="A2002" s="177" t="s">
        <v>1309</v>
      </c>
      <c r="B2002" s="885">
        <f>B2004*0.3</f>
        <v>337.2</v>
      </c>
      <c r="C2002" s="885">
        <f t="shared" ref="C2002:C2005" si="700">B2002*(1+D2002)^7</f>
        <v>349.18051264841529</v>
      </c>
      <c r="D2002" s="149">
        <v>5.0000000000000001E-3</v>
      </c>
    </row>
    <row r="2003" spans="1:4" x14ac:dyDescent="0.3">
      <c r="A2003" s="177" t="s">
        <v>1310</v>
      </c>
      <c r="B2003" s="901">
        <f>B2004-B2001-B2002</f>
        <v>562</v>
      </c>
      <c r="C2003" s="901">
        <f t="shared" si="700"/>
        <v>571.90907061326266</v>
      </c>
      <c r="D2003" s="149">
        <v>2.5000000000000001E-3</v>
      </c>
    </row>
    <row r="2004" spans="1:4" x14ac:dyDescent="0.3">
      <c r="A2004" s="177" t="s">
        <v>1311</v>
      </c>
      <c r="B2004" s="885">
        <f>Drivers!ES205</f>
        <v>1124</v>
      </c>
      <c r="C2004" s="885">
        <f>SUM(C2001:C2003)</f>
        <v>1821.8728556601366</v>
      </c>
      <c r="D2004" s="1429">
        <f>(C2004/B2004)^(1/7)-1</f>
        <v>7.1431810466077161E-2</v>
      </c>
    </row>
    <row r="2005" spans="1:4" x14ac:dyDescent="0.3">
      <c r="A2005" s="465" t="s">
        <v>1312</v>
      </c>
      <c r="B2005" s="1431">
        <f>B2001/B1971*1000/12</f>
        <v>145.21963824289406</v>
      </c>
      <c r="C2005" s="1431">
        <f t="shared" si="700"/>
        <v>166.81171711082567</v>
      </c>
      <c r="D2005" s="376">
        <v>0.02</v>
      </c>
    </row>
    <row r="2006" spans="1:4" x14ac:dyDescent="0.3">
      <c r="A2006" s="177"/>
      <c r="B2006" s="885"/>
      <c r="C2006" s="885"/>
      <c r="D2006" s="149"/>
    </row>
    <row r="2007" spans="1:4" x14ac:dyDescent="0.3">
      <c r="A2007" s="177" t="s">
        <v>1313</v>
      </c>
      <c r="B2007" s="885">
        <f>B2010*0.2</f>
        <v>291</v>
      </c>
      <c r="C2007" s="885">
        <f>C2011*C1979*12/1000</f>
        <v>78.239716223346377</v>
      </c>
      <c r="D2007" s="1429">
        <f>(C2007/B2007)^(1/7)-1</f>
        <v>-0.17109473762415306</v>
      </c>
    </row>
    <row r="2008" spans="1:4" x14ac:dyDescent="0.3">
      <c r="A2008" s="177" t="s">
        <v>1314</v>
      </c>
      <c r="B2008" s="885">
        <f>B2010*0.3</f>
        <v>436.5</v>
      </c>
      <c r="C2008" s="885">
        <f t="shared" ref="C2008:C2009" si="701">B2008*(1+D2008)^7</f>
        <v>262.64243002020419</v>
      </c>
      <c r="D2008" s="149">
        <v>-7.0000000000000007E-2</v>
      </c>
    </row>
    <row r="2009" spans="1:4" x14ac:dyDescent="0.3">
      <c r="A2009" s="177" t="s">
        <v>1315</v>
      </c>
      <c r="B2009" s="901">
        <f>B2010-B2007-B2008</f>
        <v>727.5</v>
      </c>
      <c r="C2009" s="901">
        <f t="shared" si="701"/>
        <v>437.73738336700694</v>
      </c>
      <c r="D2009" s="149">
        <v>-7.0000000000000007E-2</v>
      </c>
    </row>
    <row r="2010" spans="1:4" x14ac:dyDescent="0.3">
      <c r="A2010" s="177" t="s">
        <v>1316</v>
      </c>
      <c r="B2010" s="1319">
        <f>Drivers!ES343</f>
        <v>1455</v>
      </c>
      <c r="C2010" s="885">
        <f>SUM(C2007:C2009)</f>
        <v>778.61952961055749</v>
      </c>
      <c r="D2010" s="1429">
        <f>(C2010/B2010)^(1/7)-1</f>
        <v>-8.5446955332479924E-2</v>
      </c>
    </row>
    <row r="2011" spans="1:4" x14ac:dyDescent="0.3">
      <c r="A2011" s="465" t="s">
        <v>1317</v>
      </c>
      <c r="B2011" s="1431">
        <f>B2007/B1979*1000/12</f>
        <v>212.71929824561406</v>
      </c>
      <c r="C2011" s="1431">
        <f t="shared" ref="C2011" si="702">B2011*(1+D2011)^7</f>
        <v>198.268286725829</v>
      </c>
      <c r="D2011" s="376">
        <v>-0.01</v>
      </c>
    </row>
    <row r="2012" spans="1:4" x14ac:dyDescent="0.3">
      <c r="A2012" s="177"/>
      <c r="B2012" s="1319"/>
      <c r="C2012" s="885"/>
      <c r="D2012" s="1429"/>
    </row>
    <row r="2013" spans="1:4" x14ac:dyDescent="0.3">
      <c r="A2013" s="177" t="s">
        <v>1318</v>
      </c>
      <c r="B2013" s="1319">
        <f>B2001+B2007</f>
        <v>515.79999999999995</v>
      </c>
      <c r="C2013" s="1319">
        <f>C2001+C2007</f>
        <v>979.02298862180487</v>
      </c>
      <c r="D2013" s="1429">
        <f t="shared" ref="D2013:D2015" si="703">(C2013/B2013)^(1/7)-1</f>
        <v>9.5869381942266241E-2</v>
      </c>
    </row>
    <row r="2014" spans="1:4" x14ac:dyDescent="0.3">
      <c r="A2014" s="177" t="s">
        <v>1319</v>
      </c>
      <c r="B2014" s="1319">
        <f t="shared" ref="B2014:C2014" si="704">B2002+B2008</f>
        <v>773.7</v>
      </c>
      <c r="C2014" s="1319">
        <f t="shared" si="704"/>
        <v>611.82294266861948</v>
      </c>
      <c r="D2014" s="1429">
        <f t="shared" si="703"/>
        <v>-3.2978419850719143E-2</v>
      </c>
    </row>
    <row r="2015" spans="1:4" x14ac:dyDescent="0.3">
      <c r="A2015" s="177" t="s">
        <v>1320</v>
      </c>
      <c r="B2015" s="901">
        <f t="shared" ref="B2015:C2015" si="705">B2003+B2009</f>
        <v>1289.5</v>
      </c>
      <c r="C2015" s="901">
        <f t="shared" si="705"/>
        <v>1009.6464539802696</v>
      </c>
      <c r="D2015" s="1429">
        <f t="shared" si="703"/>
        <v>-3.4346898532176207E-2</v>
      </c>
    </row>
    <row r="2016" spans="1:4" x14ac:dyDescent="0.3">
      <c r="A2016" s="298" t="s">
        <v>1321</v>
      </c>
      <c r="B2016" s="900">
        <f>SUM(B2013:B2015)</f>
        <v>2579</v>
      </c>
      <c r="C2016" s="900">
        <f>SUM(C2013:C2015)</f>
        <v>2600.4923852706938</v>
      </c>
      <c r="D2016" s="1430">
        <f>(C2016/B2016)^(1/7)-1</f>
        <v>1.1862858165470058E-3</v>
      </c>
    </row>
    <row r="2017" spans="1:4" x14ac:dyDescent="0.3">
      <c r="D2017" s="149"/>
    </row>
    <row r="2018" spans="1:4" x14ac:dyDescent="0.3">
      <c r="A2018" t="s">
        <v>465</v>
      </c>
      <c r="B2018">
        <v>80</v>
      </c>
      <c r="C2018">
        <f>B2018</f>
        <v>80</v>
      </c>
      <c r="D2018" s="1429">
        <f>(C2018/B2018)^(1/7)-1</f>
        <v>0</v>
      </c>
    </row>
    <row r="2019" spans="1:4" x14ac:dyDescent="0.3">
      <c r="D2019" s="149"/>
    </row>
    <row r="2020" spans="1:4" x14ac:dyDescent="0.3">
      <c r="A2020" s="90" t="s">
        <v>651</v>
      </c>
      <c r="B2020" s="916">
        <f>B1999+B2016+B2018</f>
        <v>5756</v>
      </c>
      <c r="C2020" s="916">
        <f>C1999+C2016+C2018</f>
        <v>7327.966357135947</v>
      </c>
      <c r="D2020" s="1430">
        <f>(C2020/B2020)^(1/7)-1</f>
        <v>3.5095410743643418E-2</v>
      </c>
    </row>
    <row r="2021" spans="1:4" x14ac:dyDescent="0.3">
      <c r="D2021" s="149"/>
    </row>
    <row r="2022" spans="1:4" x14ac:dyDescent="0.3">
      <c r="A2022" t="s">
        <v>1322</v>
      </c>
      <c r="B2022" s="1015">
        <f>Drivers!ES485</f>
        <v>88.780487804878064</v>
      </c>
      <c r="C2022" s="816">
        <f>C1993-(B1993-B2022)</f>
        <v>142.02137300065334</v>
      </c>
      <c r="D2022" s="1429">
        <f>(C2022/B2022)^(1/7)-1</f>
        <v>6.9419319910661414E-2</v>
      </c>
    </row>
    <row r="2023" spans="1:4" x14ac:dyDescent="0.3">
      <c r="D2023" s="149"/>
    </row>
    <row r="2024" spans="1:4" outlineLevel="1" x14ac:dyDescent="0.3">
      <c r="A2024" s="177" t="s">
        <v>1323</v>
      </c>
      <c r="B2024" s="1319">
        <f>Drivers!ES57</f>
        <v>273</v>
      </c>
      <c r="C2024" s="1319">
        <f>C2022*C1990*12/1000</f>
        <v>50.502952801054114</v>
      </c>
      <c r="D2024" s="1429">
        <f>(C2024/B2024)^(1/7)-1</f>
        <v>-0.21420776661804619</v>
      </c>
    </row>
    <row r="2025" spans="1:4" outlineLevel="1" x14ac:dyDescent="0.3">
      <c r="A2025" s="177" t="s">
        <v>1324</v>
      </c>
      <c r="B2025" s="866">
        <f>B2026-B2024</f>
        <v>3356</v>
      </c>
      <c r="C2025" s="866">
        <f>B2025+((C2020-C2018-C1995)-(B2020-B2018-B1995))*(1-C2030)</f>
        <v>3833.1696956724136</v>
      </c>
      <c r="D2025" s="1429">
        <f>(C2025/B2025)^(1/7)-1</f>
        <v>1.9173243184307243E-2</v>
      </c>
    </row>
    <row r="2026" spans="1:4" x14ac:dyDescent="0.3">
      <c r="A2026" s="298" t="s">
        <v>1325</v>
      </c>
      <c r="B2026" s="916">
        <f>B2020-B2028</f>
        <v>3629</v>
      </c>
      <c r="C2026" s="900">
        <f>SUM(C2024:C2025)</f>
        <v>3883.6726484734677</v>
      </c>
      <c r="D2026" s="1430">
        <f>(C2026/B2026)^(1/7)-1</f>
        <v>9.7362542737846614E-3</v>
      </c>
    </row>
    <row r="2028" spans="1:4" ht="12.5" thickBot="1" x14ac:dyDescent="0.35">
      <c r="A2028" s="90" t="s">
        <v>44</v>
      </c>
      <c r="B2028" s="1250">
        <f>Drivers!ES30</f>
        <v>2127</v>
      </c>
      <c r="C2028" s="1250">
        <f>C2020-C2026</f>
        <v>3444.2937086624793</v>
      </c>
      <c r="D2028" s="1430">
        <f>(C2028/B2028)^(1/7)-1</f>
        <v>7.1284126201386799E-2</v>
      </c>
    </row>
    <row r="2029" spans="1:4" ht="12.5" thickTop="1" x14ac:dyDescent="0.3">
      <c r="A2029" s="94" t="s">
        <v>1326</v>
      </c>
      <c r="B2029" s="1168">
        <f>B2028/B2020</f>
        <v>0.3695274496177901</v>
      </c>
      <c r="C2029" s="1168">
        <f>C2028/C2020</f>
        <v>0.47002040413414814</v>
      </c>
    </row>
    <row r="2030" spans="1:4" x14ac:dyDescent="0.3">
      <c r="A2030" s="94" t="s">
        <v>1095</v>
      </c>
      <c r="B2030" s="94"/>
      <c r="C2030" s="546">
        <v>0.75</v>
      </c>
    </row>
    <row r="2031" spans="1:4" x14ac:dyDescent="0.3">
      <c r="A2031" s="94" t="s">
        <v>1327</v>
      </c>
      <c r="B2031" s="1252">
        <f>B2028/(B1967+B1975)*1000</f>
        <v>138.11688311688312</v>
      </c>
      <c r="C2031" s="1252">
        <f>C2028/(C1967+C1975)*1000</f>
        <v>223.65543562743372</v>
      </c>
      <c r="D2031" s="1152">
        <f>(C2031/B2031)^(1/7)-1</f>
        <v>7.1284126201386799E-2</v>
      </c>
    </row>
    <row r="2033" spans="1:4" x14ac:dyDescent="0.3">
      <c r="A2033" s="90" t="s">
        <v>198</v>
      </c>
      <c r="B2033" s="85">
        <f>Drivers!ES572</f>
        <v>3211</v>
      </c>
      <c r="C2033" s="85">
        <v>1000</v>
      </c>
      <c r="D2033" s="1430">
        <f>(C2033/B2033)^(1/7)-1</f>
        <v>-0.15350808684732598</v>
      </c>
    </row>
    <row r="2034" spans="1:4" x14ac:dyDescent="0.3">
      <c r="A2034" s="94" t="s">
        <v>1328</v>
      </c>
      <c r="B2034" s="1239">
        <f>B2033/B2020</f>
        <v>0.5578526754690758</v>
      </c>
      <c r="C2034" s="1239">
        <f>C2033/C2020</f>
        <v>0.13646350860033679</v>
      </c>
    </row>
    <row r="2035" spans="1:4" x14ac:dyDescent="0.3">
      <c r="A2035" s="94" t="s">
        <v>1329</v>
      </c>
      <c r="B2035" s="1252">
        <f>B2033/(B1967+B1975)*1000</f>
        <v>208.50649350649351</v>
      </c>
      <c r="C2035" s="1252">
        <f>C2033/(C1967+C1975)*1000</f>
        <v>64.935064935064929</v>
      </c>
      <c r="D2035" s="1152">
        <f>(C2035/B2035)^(1/7)-1</f>
        <v>-0.15350808684732598</v>
      </c>
    </row>
    <row r="2037" spans="1:4" x14ac:dyDescent="0.3">
      <c r="A2037" s="90" t="s">
        <v>642</v>
      </c>
      <c r="B2037" s="916">
        <f>B2028-B2033</f>
        <v>-1084</v>
      </c>
      <c r="C2037" s="916">
        <f>C2028-C2033</f>
        <v>2444.2937086624793</v>
      </c>
      <c r="D2037" s="373" t="s">
        <v>1330</v>
      </c>
    </row>
    <row r="2038" spans="1:4" x14ac:dyDescent="0.3">
      <c r="A2038" s="94" t="s">
        <v>1331</v>
      </c>
      <c r="B2038" s="1239">
        <f>B2037/B2020</f>
        <v>-0.18832522585128561</v>
      </c>
      <c r="C2038" s="1239">
        <f>C2037/C2020</f>
        <v>0.33355689553381135</v>
      </c>
    </row>
    <row r="2039" spans="1:4" x14ac:dyDescent="0.3">
      <c r="A2039" s="114"/>
      <c r="B2039" s="114"/>
      <c r="C2039" s="114"/>
      <c r="D2039" s="114"/>
    </row>
    <row r="2041" spans="1:4" x14ac:dyDescent="0.3">
      <c r="B2041" s="114"/>
      <c r="C2041" s="114"/>
      <c r="D2041" s="114"/>
    </row>
    <row r="2042" spans="1:4" x14ac:dyDescent="0.3">
      <c r="A2042" s="147" t="s">
        <v>1332</v>
      </c>
      <c r="B2042" s="692" t="s">
        <v>1290</v>
      </c>
      <c r="C2042" s="692" t="s">
        <v>1291</v>
      </c>
      <c r="D2042" s="692" t="s">
        <v>17</v>
      </c>
    </row>
    <row r="2043" spans="1:4" x14ac:dyDescent="0.3">
      <c r="A2043" s="177" t="s">
        <v>780</v>
      </c>
      <c r="B2043" s="885">
        <f>B1967</f>
        <v>6491</v>
      </c>
      <c r="C2043" s="885">
        <f>C1967</f>
        <v>10000</v>
      </c>
      <c r="D2043" s="1429">
        <f>(C2043/B2043)^(1/7)-1</f>
        <v>6.368400161861909E-2</v>
      </c>
    </row>
    <row r="2044" spans="1:4" x14ac:dyDescent="0.3">
      <c r="A2044" s="177" t="s">
        <v>1292</v>
      </c>
      <c r="B2044" s="634">
        <f>B2045/B2043</f>
        <v>0.30919735017716837</v>
      </c>
      <c r="C2044" s="634">
        <v>0.45</v>
      </c>
    </row>
    <row r="2045" spans="1:4" x14ac:dyDescent="0.3">
      <c r="A2045" s="298" t="s">
        <v>1293</v>
      </c>
      <c r="B2045" s="85">
        <f>B1969</f>
        <v>2007</v>
      </c>
      <c r="C2045" s="85">
        <f>C1969</f>
        <v>4500</v>
      </c>
      <c r="D2045" s="1430">
        <f>(C2045/B2045)^(1/7)-1</f>
        <v>0.12226396988745236</v>
      </c>
    </row>
    <row r="2046" spans="1:4" x14ac:dyDescent="0.3">
      <c r="A2046" s="94" t="s">
        <v>1294</v>
      </c>
      <c r="B2046" s="77">
        <f>B1970</f>
        <v>1878</v>
      </c>
      <c r="C2046" s="77">
        <f>C1970</f>
        <v>4050</v>
      </c>
      <c r="D2046" s="1152">
        <f>(C2046/B2046)^(1/7)-1</f>
        <v>0.11604040832043716</v>
      </c>
    </row>
    <row r="2047" spans="1:4" x14ac:dyDescent="0.3">
      <c r="A2047" s="94" t="s">
        <v>1295</v>
      </c>
      <c r="B2047" s="77">
        <f>B2045-B2046</f>
        <v>129</v>
      </c>
      <c r="C2047" s="1252">
        <f>C2045-C2046</f>
        <v>450</v>
      </c>
      <c r="D2047" s="1152">
        <f>(C2047/B2047)^(1/7)-1</f>
        <v>0.19541181343605474</v>
      </c>
    </row>
    <row r="2048" spans="1:4" x14ac:dyDescent="0.3">
      <c r="A2048" s="94" t="s">
        <v>1296</v>
      </c>
      <c r="B2048" s="1239">
        <f>B2046/B2043/0.9</f>
        <v>0.32147075437785655</v>
      </c>
      <c r="C2048" s="1239">
        <f>C2046/C2043/0.9</f>
        <v>0.45</v>
      </c>
    </row>
    <row r="2049" spans="1:4" x14ac:dyDescent="0.3">
      <c r="A2049" s="94" t="s">
        <v>1297</v>
      </c>
      <c r="B2049" s="1239">
        <f>B2047/B2043/0.1</f>
        <v>0.1987367123709752</v>
      </c>
      <c r="C2049" s="1239">
        <f>C2047/C2043/0.1</f>
        <v>0.44999999999999996</v>
      </c>
    </row>
    <row r="2051" spans="1:4" x14ac:dyDescent="0.3">
      <c r="A2051" s="177" t="s">
        <v>782</v>
      </c>
      <c r="B2051" s="885">
        <f>B1975</f>
        <v>8909</v>
      </c>
      <c r="C2051" s="885">
        <f>B2051+B2043-C2043</f>
        <v>5400</v>
      </c>
      <c r="D2051" s="1429">
        <f>(C2051/B2051)^(1/7)-1</f>
        <v>-6.9025407472262934E-2</v>
      </c>
    </row>
    <row r="2052" spans="1:4" x14ac:dyDescent="0.3">
      <c r="A2052" s="177" t="s">
        <v>1292</v>
      </c>
      <c r="B2052" s="634">
        <f>B2053/B2051</f>
        <v>0.10506229655404647</v>
      </c>
      <c r="C2052" s="634">
        <v>0.05</v>
      </c>
    </row>
    <row r="2053" spans="1:4" x14ac:dyDescent="0.3">
      <c r="A2053" s="298" t="s">
        <v>1298</v>
      </c>
      <c r="B2053" s="85">
        <f>B1977</f>
        <v>936</v>
      </c>
      <c r="C2053" s="900">
        <f>C2051*C2052</f>
        <v>270</v>
      </c>
      <c r="D2053" s="1430">
        <f>(C2053/B2053)^(1/7)-1</f>
        <v>-0.16272195719611426</v>
      </c>
    </row>
    <row r="2054" spans="1:4" x14ac:dyDescent="0.3">
      <c r="A2054" s="94" t="s">
        <v>1294</v>
      </c>
      <c r="B2054" s="77">
        <f>B1978</f>
        <v>822</v>
      </c>
      <c r="C2054" s="1252">
        <f>B2054/B2053*C2053</f>
        <v>237.11538461538461</v>
      </c>
      <c r="D2054" s="1152">
        <f t="shared" ref="D2054:D2055" si="706">(C2054/B2054)^(1/7)-1</f>
        <v>-0.16272195719611426</v>
      </c>
    </row>
    <row r="2055" spans="1:4" x14ac:dyDescent="0.3">
      <c r="A2055" s="94" t="s">
        <v>1295</v>
      </c>
      <c r="B2055" s="77">
        <f>B2053-B2054</f>
        <v>114</v>
      </c>
      <c r="C2055" s="1252">
        <f>C2053-C2054</f>
        <v>32.884615384615387</v>
      </c>
      <c r="D2055" s="1152">
        <f t="shared" si="706"/>
        <v>-0.16272195719611426</v>
      </c>
    </row>
    <row r="2056" spans="1:4" x14ac:dyDescent="0.3">
      <c r="A2056" s="94" t="s">
        <v>1296</v>
      </c>
      <c r="B2056" s="1239">
        <f>B2054/B2051/0.9</f>
        <v>0.10251805290530175</v>
      </c>
      <c r="C2056" s="1239">
        <f>C2054/C2051/0.9</f>
        <v>4.8789173789173787E-2</v>
      </c>
    </row>
    <row r="2057" spans="1:4" x14ac:dyDescent="0.3">
      <c r="A2057" s="94" t="s">
        <v>1297</v>
      </c>
      <c r="B2057" s="1239">
        <f>B2055/B2051/0.1</f>
        <v>0.1279604893927489</v>
      </c>
      <c r="C2057" s="1239">
        <f>C2055/C2051/0.1</f>
        <v>6.0897435897435896E-2</v>
      </c>
    </row>
    <row r="2059" spans="1:4" x14ac:dyDescent="0.3">
      <c r="A2059" t="s">
        <v>1299</v>
      </c>
      <c r="B2059" s="1015">
        <f>B1983</f>
        <v>63.39</v>
      </c>
      <c r="C2059" s="1015">
        <f>B2059*(1+D2059)^7</f>
        <v>80.649782466773075</v>
      </c>
      <c r="D2059" s="948">
        <v>3.5000000000000003E-2</v>
      </c>
    </row>
    <row r="2060" spans="1:4" x14ac:dyDescent="0.3">
      <c r="A2060" t="s">
        <v>1300</v>
      </c>
      <c r="B2060" s="1015">
        <f>B1984</f>
        <v>52.261183591123064</v>
      </c>
      <c r="C2060" s="1015">
        <f>B2060*(1+D2060)^7</f>
        <v>76.023254706194109</v>
      </c>
      <c r="D2060" s="948">
        <v>5.5E-2</v>
      </c>
    </row>
    <row r="2061" spans="1:4" x14ac:dyDescent="0.3">
      <c r="D2061" s="149"/>
    </row>
    <row r="2062" spans="1:4" x14ac:dyDescent="0.3">
      <c r="A2062" s="177" t="s">
        <v>1301</v>
      </c>
      <c r="B2062" s="885">
        <f>B1986</f>
        <v>1312.2509849999999</v>
      </c>
      <c r="C2062" s="885">
        <f>C2046*C2059*12/1000</f>
        <v>3919.5794278851713</v>
      </c>
      <c r="D2062" s="1429">
        <f t="shared" ref="D2062:D2063" si="707">(C2062/B2062)^(1/7)-1</f>
        <v>0.16920035204414852</v>
      </c>
    </row>
    <row r="2063" spans="1:4" x14ac:dyDescent="0.3">
      <c r="A2063" s="177" t="s">
        <v>1302</v>
      </c>
      <c r="B2063" s="901">
        <f>B1987</f>
        <v>582.84285</v>
      </c>
      <c r="C2063" s="901">
        <f>C2054*C2060*12/1000</f>
        <v>216.31539935247076</v>
      </c>
      <c r="D2063" s="1429">
        <f t="shared" si="707"/>
        <v>-0.13202915450057018</v>
      </c>
    </row>
    <row r="2064" spans="1:4" x14ac:dyDescent="0.3">
      <c r="A2064" s="298" t="s">
        <v>1303</v>
      </c>
      <c r="B2064" s="900">
        <f>SUM(B2062:B2063)</f>
        <v>1895.0938349999999</v>
      </c>
      <c r="C2064" s="900">
        <f>SUM(C2062:C2063)</f>
        <v>4135.8948272376419</v>
      </c>
      <c r="D2064" s="1430">
        <f>(C2064/B2064)^(1/7)-1</f>
        <v>0.11794341955974752</v>
      </c>
    </row>
    <row r="2065" spans="1:4" x14ac:dyDescent="0.3">
      <c r="B2065" s="885"/>
      <c r="C2065" s="885"/>
      <c r="D2065" s="149"/>
    </row>
    <row r="2066" spans="1:4" x14ac:dyDescent="0.3">
      <c r="A2066" t="s">
        <v>1304</v>
      </c>
      <c r="B2066" s="885">
        <f>B1990</f>
        <v>222</v>
      </c>
      <c r="C2066" s="885">
        <f>B2066*(1+D2066)^7</f>
        <v>29.6334228515625</v>
      </c>
      <c r="D2066" s="149">
        <v>-0.25</v>
      </c>
    </row>
    <row r="2067" spans="1:4" x14ac:dyDescent="0.3">
      <c r="A2067" s="94" t="s">
        <v>696</v>
      </c>
      <c r="B2067" s="1168">
        <f>B2066/(B2043+B2051)</f>
        <v>1.4415584415584416E-2</v>
      </c>
      <c r="C2067" s="1168">
        <f>C2066/(C2043+C2051)</f>
        <v>1.924248237114448E-3</v>
      </c>
      <c r="D2067" s="149"/>
    </row>
    <row r="2068" spans="1:4" x14ac:dyDescent="0.3">
      <c r="B2068" s="885"/>
      <c r="C2068" s="885"/>
      <c r="D2068" s="149"/>
    </row>
    <row r="2069" spans="1:4" x14ac:dyDescent="0.3">
      <c r="A2069" t="s">
        <v>646</v>
      </c>
      <c r="B2069" s="1015">
        <f>B1993</f>
        <v>130.78071707317073</v>
      </c>
      <c r="C2069" s="1015">
        <f>B2069*(1+D2069)^7</f>
        <v>184.02160226894603</v>
      </c>
      <c r="D2069" s="948">
        <v>0.05</v>
      </c>
    </row>
    <row r="2070" spans="1:4" x14ac:dyDescent="0.3">
      <c r="B2070" s="885"/>
      <c r="C2070" s="885"/>
      <c r="D2070" s="149"/>
    </row>
    <row r="2071" spans="1:4" x14ac:dyDescent="0.3">
      <c r="A2071" t="s">
        <v>1305</v>
      </c>
      <c r="B2071" s="885">
        <f>B1995</f>
        <v>402.15070500000002</v>
      </c>
      <c r="C2071" s="885">
        <f>C2069*C2066*12/1000</f>
        <v>65.438279446292768</v>
      </c>
      <c r="D2071" s="1429">
        <f>(C2071/B2071)^(1/7)-1</f>
        <v>-0.22847677268447109</v>
      </c>
    </row>
    <row r="2072" spans="1:4" x14ac:dyDescent="0.3">
      <c r="B2072" s="885"/>
      <c r="C2072" s="885"/>
      <c r="D2072" s="149"/>
    </row>
    <row r="2073" spans="1:4" x14ac:dyDescent="0.3">
      <c r="A2073" t="s">
        <v>1306</v>
      </c>
      <c r="B2073" s="885">
        <f>B1997</f>
        <v>799.75545999999997</v>
      </c>
      <c r="C2073" s="885">
        <f>B2073*(1+D2073)^7</f>
        <v>446.14086518131768</v>
      </c>
      <c r="D2073" s="948">
        <v>-0.08</v>
      </c>
    </row>
    <row r="2074" spans="1:4" x14ac:dyDescent="0.3">
      <c r="B2074" s="885"/>
      <c r="C2074" s="885"/>
      <c r="D2074" s="149"/>
    </row>
    <row r="2075" spans="1:4" x14ac:dyDescent="0.3">
      <c r="A2075" s="90" t="s">
        <v>1307</v>
      </c>
      <c r="B2075" s="900">
        <f>B2064+B2071+B2073</f>
        <v>3096.9999999999995</v>
      </c>
      <c r="C2075" s="900">
        <f>C2064+C2071+C2073</f>
        <v>4647.4739718652527</v>
      </c>
      <c r="D2075" s="1430">
        <f>(C2075/B2075)^(1/7)-1</f>
        <v>5.9698333964708139E-2</v>
      </c>
    </row>
    <row r="2076" spans="1:4" x14ac:dyDescent="0.3">
      <c r="B2076" s="885"/>
      <c r="C2076" s="885"/>
      <c r="D2076" s="149"/>
    </row>
    <row r="2077" spans="1:4" x14ac:dyDescent="0.3">
      <c r="A2077" s="177" t="s">
        <v>1308</v>
      </c>
      <c r="B2077" s="885">
        <f>B2080*0.2</f>
        <v>224.8</v>
      </c>
      <c r="C2077" s="885">
        <f>C2081*C2047*12/1000</f>
        <v>900.78327239845851</v>
      </c>
      <c r="D2077" s="1429">
        <f>(C2077/B2077)^(1/7)-1</f>
        <v>0.21932004970477581</v>
      </c>
    </row>
    <row r="2078" spans="1:4" x14ac:dyDescent="0.3">
      <c r="A2078" s="177" t="s">
        <v>1309</v>
      </c>
      <c r="B2078" s="885">
        <f>B2080*0.3</f>
        <v>337.2</v>
      </c>
      <c r="C2078" s="885">
        <f t="shared" ref="C2078:C2079" si="708">B2078*(1+D2078)^7</f>
        <v>387.33680713133714</v>
      </c>
      <c r="D2078" s="149">
        <v>0.02</v>
      </c>
    </row>
    <row r="2079" spans="1:4" x14ac:dyDescent="0.3">
      <c r="A2079" s="177" t="s">
        <v>1310</v>
      </c>
      <c r="B2079" s="901">
        <f>B2080-B2077-B2078</f>
        <v>562</v>
      </c>
      <c r="C2079" s="901">
        <f t="shared" si="708"/>
        <v>602.54006788413949</v>
      </c>
      <c r="D2079" s="149">
        <v>0.01</v>
      </c>
    </row>
    <row r="2080" spans="1:4" x14ac:dyDescent="0.3">
      <c r="A2080" s="177" t="s">
        <v>1311</v>
      </c>
      <c r="B2080" s="885">
        <f>B2004</f>
        <v>1124</v>
      </c>
      <c r="C2080" s="885">
        <f>SUM(C2077:C2079)</f>
        <v>1890.6601474139352</v>
      </c>
      <c r="D2080" s="1429">
        <f>(C2080/B2080)^(1/7)-1</f>
        <v>7.711947881233705E-2</v>
      </c>
    </row>
    <row r="2081" spans="1:4" x14ac:dyDescent="0.3">
      <c r="A2081" s="465" t="s">
        <v>1312</v>
      </c>
      <c r="B2081" s="1431">
        <f>B2077/B2047*1000/12</f>
        <v>145.21963824289406</v>
      </c>
      <c r="C2081" s="1431">
        <f t="shared" ref="C2081" si="709">B2081*(1+D2081)^7</f>
        <v>166.81171711082567</v>
      </c>
      <c r="D2081" s="376">
        <v>0.02</v>
      </c>
    </row>
    <row r="2082" spans="1:4" x14ac:dyDescent="0.3">
      <c r="A2082" s="177"/>
      <c r="B2082" s="885"/>
      <c r="C2082" s="885"/>
      <c r="D2082" s="149"/>
    </row>
    <row r="2083" spans="1:4" x14ac:dyDescent="0.3">
      <c r="A2083" s="177" t="s">
        <v>1313</v>
      </c>
      <c r="B2083" s="885">
        <f>B2086*0.2</f>
        <v>291</v>
      </c>
      <c r="C2083" s="885">
        <f>C2087*C2055*12/1000</f>
        <v>83.942307692307708</v>
      </c>
      <c r="D2083" s="1429">
        <f>(C2083/B2083)^(1/7)-1</f>
        <v>-0.16272195719611426</v>
      </c>
    </row>
    <row r="2084" spans="1:4" x14ac:dyDescent="0.3">
      <c r="A2084" s="177" t="s">
        <v>1314</v>
      </c>
      <c r="B2084" s="885">
        <f>B2086*0.3</f>
        <v>436.5</v>
      </c>
      <c r="C2084" s="885">
        <f t="shared" ref="C2084:C2085" si="710">B2084*(1+D2084)^7</f>
        <v>328.00682419421179</v>
      </c>
      <c r="D2084" s="149">
        <v>-0.04</v>
      </c>
    </row>
    <row r="2085" spans="1:4" x14ac:dyDescent="0.3">
      <c r="A2085" s="177" t="s">
        <v>1315</v>
      </c>
      <c r="B2085" s="901">
        <f>B2086-B2083-B2084</f>
        <v>727.5</v>
      </c>
      <c r="C2085" s="901">
        <f t="shared" si="710"/>
        <v>546.67804032368633</v>
      </c>
      <c r="D2085" s="149">
        <v>-0.04</v>
      </c>
    </row>
    <row r="2086" spans="1:4" x14ac:dyDescent="0.3">
      <c r="A2086" s="177" t="s">
        <v>1316</v>
      </c>
      <c r="B2086" s="1319">
        <f>B2010</f>
        <v>1455</v>
      </c>
      <c r="C2086" s="885">
        <f>SUM(C2083:C2085)</f>
        <v>958.6271722102058</v>
      </c>
      <c r="D2086" s="1429">
        <f>(C2086/B2086)^(1/7)-1</f>
        <v>-5.7866619064903868E-2</v>
      </c>
    </row>
    <row r="2087" spans="1:4" x14ac:dyDescent="0.3">
      <c r="A2087" s="465" t="s">
        <v>1317</v>
      </c>
      <c r="B2087" s="1431">
        <f>B2083/B2055*1000/12</f>
        <v>212.71929824561406</v>
      </c>
      <c r="C2087" s="1431">
        <f t="shared" ref="C2087" si="711">B2087*(1+D2087)^7</f>
        <v>212.71929824561406</v>
      </c>
      <c r="D2087" s="376">
        <v>0</v>
      </c>
    </row>
    <row r="2088" spans="1:4" x14ac:dyDescent="0.3">
      <c r="A2088" s="177"/>
      <c r="B2088" s="1319"/>
      <c r="C2088" s="1319"/>
      <c r="D2088" s="1429"/>
    </row>
    <row r="2089" spans="1:4" x14ac:dyDescent="0.3">
      <c r="A2089" s="177" t="s">
        <v>1318</v>
      </c>
      <c r="B2089" s="1319">
        <f>B2077+B2083</f>
        <v>515.79999999999995</v>
      </c>
      <c r="C2089" s="1319">
        <f>C2077+C2083</f>
        <v>984.72558009076624</v>
      </c>
      <c r="D2089" s="1429">
        <f t="shared" ref="D2089:D2091" si="712">(C2089/B2089)^(1/7)-1</f>
        <v>9.6778998855568066E-2</v>
      </c>
    </row>
    <row r="2090" spans="1:4" x14ac:dyDescent="0.3">
      <c r="A2090" s="177" t="s">
        <v>1319</v>
      </c>
      <c r="B2090" s="1319">
        <f t="shared" ref="B2090:C2090" si="713">B2078+B2084</f>
        <v>773.7</v>
      </c>
      <c r="C2090" s="1319">
        <f t="shared" si="713"/>
        <v>715.34363132554893</v>
      </c>
      <c r="D2090" s="1429">
        <f t="shared" si="712"/>
        <v>-1.1140504248641658E-2</v>
      </c>
    </row>
    <row r="2091" spans="1:4" x14ac:dyDescent="0.3">
      <c r="A2091" s="177" t="s">
        <v>1320</v>
      </c>
      <c r="B2091" s="901">
        <f t="shared" ref="B2091:C2091" si="714">B2079+B2085</f>
        <v>1289.5</v>
      </c>
      <c r="C2091" s="901">
        <f t="shared" si="714"/>
        <v>1149.2181082078259</v>
      </c>
      <c r="D2091" s="1429">
        <f t="shared" si="712"/>
        <v>-1.6318633331317001E-2</v>
      </c>
    </row>
    <row r="2092" spans="1:4" x14ac:dyDescent="0.3">
      <c r="A2092" s="298" t="s">
        <v>1333</v>
      </c>
      <c r="B2092" s="900">
        <f>SUM(B2089:B2091)</f>
        <v>2579</v>
      </c>
      <c r="C2092" s="900">
        <f>SUM(C2089:C2091)</f>
        <v>2849.2873196241412</v>
      </c>
      <c r="D2092" s="1430">
        <f>(C2092/B2092)^(1/7)-1</f>
        <v>1.4340013043680822E-2</v>
      </c>
    </row>
    <row r="2093" spans="1:4" x14ac:dyDescent="0.3">
      <c r="D2093" s="149"/>
    </row>
    <row r="2094" spans="1:4" x14ac:dyDescent="0.3">
      <c r="A2094" t="s">
        <v>465</v>
      </c>
      <c r="B2094">
        <v>80</v>
      </c>
      <c r="C2094">
        <f>B2094</f>
        <v>80</v>
      </c>
      <c r="D2094" s="1429">
        <f>(C2094/B2094)^(1/7)-1</f>
        <v>0</v>
      </c>
    </row>
    <row r="2095" spans="1:4" x14ac:dyDescent="0.3">
      <c r="D2095" s="149"/>
    </row>
    <row r="2096" spans="1:4" x14ac:dyDescent="0.3">
      <c r="A2096" s="90" t="s">
        <v>651</v>
      </c>
      <c r="B2096" s="916">
        <f>B2075+B2092+B2094</f>
        <v>5756</v>
      </c>
      <c r="C2096" s="916">
        <f>C2075+C2092+C2094</f>
        <v>7576.7612914893944</v>
      </c>
      <c r="D2096" s="1430">
        <f>(C2096/B2096)^(1/7)-1</f>
        <v>4.0044283696800242E-2</v>
      </c>
    </row>
    <row r="2097" spans="1:4" x14ac:dyDescent="0.3">
      <c r="D2097" s="149"/>
    </row>
    <row r="2098" spans="1:4" x14ac:dyDescent="0.3">
      <c r="A2098" t="s">
        <v>1322</v>
      </c>
      <c r="B2098" s="1015">
        <f>B2022</f>
        <v>88.780487804878064</v>
      </c>
      <c r="C2098" s="816">
        <f>C2069-(B2069-B2098)</f>
        <v>142.02137300065334</v>
      </c>
      <c r="D2098" s="1429">
        <f>(C2098/B2098)^(1/7)-1</f>
        <v>6.9419319910661414E-2</v>
      </c>
    </row>
    <row r="2099" spans="1:4" x14ac:dyDescent="0.3">
      <c r="D2099" s="149"/>
    </row>
    <row r="2100" spans="1:4" outlineLevel="1" x14ac:dyDescent="0.3">
      <c r="A2100" s="177" t="s">
        <v>1323</v>
      </c>
      <c r="B2100" s="1319">
        <f>B2024</f>
        <v>273</v>
      </c>
      <c r="C2100" s="1319">
        <f>C2098*C2066*12/1000</f>
        <v>50.502952801054114</v>
      </c>
      <c r="D2100" s="1429">
        <f>(C2100/B2100)^(1/7)-1</f>
        <v>-0.21420776661804619</v>
      </c>
    </row>
    <row r="2101" spans="1:4" outlineLevel="1" x14ac:dyDescent="0.3">
      <c r="A2101" s="177" t="s">
        <v>1324</v>
      </c>
      <c r="B2101" s="866">
        <f>B2102-B2100</f>
        <v>3356</v>
      </c>
      <c r="C2101" s="866">
        <f>B2101+((C2096-C2094-C2071)-(B2096-B2094-B2071))*(1-C2109)</f>
        <v>3895.3684292607754</v>
      </c>
      <c r="D2101" s="1429">
        <f>(C2101/B2101)^(1/7)-1</f>
        <v>2.1519485973483965E-2</v>
      </c>
    </row>
    <row r="2102" spans="1:4" x14ac:dyDescent="0.3">
      <c r="A2102" s="298" t="s">
        <v>1325</v>
      </c>
      <c r="B2102" s="916">
        <f>B2096-B2107</f>
        <v>3629</v>
      </c>
      <c r="C2102" s="900">
        <f>SUM(C2100:C2101)</f>
        <v>3945.8713820618295</v>
      </c>
      <c r="D2102" s="1430">
        <f>(C2102/B2102)^(1/7)-1</f>
        <v>1.2030749114307238E-2</v>
      </c>
    </row>
    <row r="2103" spans="1:4" x14ac:dyDescent="0.3">
      <c r="A2103" t="s">
        <v>1334</v>
      </c>
      <c r="B2103" s="114"/>
      <c r="C2103" s="1157">
        <v>-250</v>
      </c>
    </row>
    <row r="2104" spans="1:4" x14ac:dyDescent="0.3">
      <c r="A2104" s="90" t="s">
        <v>1335</v>
      </c>
      <c r="B2104" s="900">
        <f>SUM(B2102:B2103)</f>
        <v>3629</v>
      </c>
      <c r="C2104" s="900">
        <f>SUM(C2102:C2103)</f>
        <v>3695.8713820618295</v>
      </c>
      <c r="D2104" s="1430">
        <f>(C2104/B2104)^(1/7)-1</f>
        <v>2.6118658106277781E-3</v>
      </c>
    </row>
    <row r="2107" spans="1:4" ht="12.5" thickBot="1" x14ac:dyDescent="0.35">
      <c r="A2107" s="90" t="s">
        <v>44</v>
      </c>
      <c r="B2107" s="1250">
        <f>B2028</f>
        <v>2127</v>
      </c>
      <c r="C2107" s="1250">
        <f>C2096-C2104</f>
        <v>3880.8899094275648</v>
      </c>
      <c r="D2107" s="1430">
        <f>(C2107/B2107)^(1/7)-1</f>
        <v>8.9705440140557924E-2</v>
      </c>
    </row>
    <row r="2108" spans="1:4" ht="12.5" thickTop="1" x14ac:dyDescent="0.3">
      <c r="A2108" s="94" t="s">
        <v>1326</v>
      </c>
      <c r="B2108" s="1168">
        <f>B2107/B2096</f>
        <v>0.3695274496177901</v>
      </c>
      <c r="C2108" s="1168">
        <f>C2107/C2096</f>
        <v>0.51220960514973313</v>
      </c>
    </row>
    <row r="2109" spans="1:4" x14ac:dyDescent="0.3">
      <c r="A2109" s="94" t="s">
        <v>1095</v>
      </c>
      <c r="B2109" s="94"/>
      <c r="C2109" s="546">
        <v>0.75</v>
      </c>
    </row>
    <row r="2110" spans="1:4" x14ac:dyDescent="0.3">
      <c r="A2110" s="94" t="s">
        <v>1327</v>
      </c>
      <c r="B2110" s="1252">
        <f>B2107/(B2043+B2051)*1000</f>
        <v>138.11688311688312</v>
      </c>
      <c r="C2110" s="1252">
        <f>C2107/(C2043+C2051)*1000</f>
        <v>252.00583827451717</v>
      </c>
      <c r="D2110" s="1152">
        <f>(C2110/B2110)^(1/7)-1</f>
        <v>8.9705440140557924E-2</v>
      </c>
    </row>
    <row r="2112" spans="1:4" x14ac:dyDescent="0.3">
      <c r="A2112" s="90" t="s">
        <v>198</v>
      </c>
      <c r="B2112" s="85">
        <f>B2033</f>
        <v>3211</v>
      </c>
      <c r="C2112" s="85">
        <v>1000</v>
      </c>
      <c r="D2112" s="1430">
        <f>(C2112/B2112)^(1/7)-1</f>
        <v>-0.15350808684732598</v>
      </c>
    </row>
    <row r="2113" spans="1:4" x14ac:dyDescent="0.3">
      <c r="A2113" s="94" t="s">
        <v>1328</v>
      </c>
      <c r="B2113" s="1239">
        <f>B2112/B2096</f>
        <v>0.5578526754690758</v>
      </c>
      <c r="C2113" s="1239">
        <f>C2112/C2096</f>
        <v>0.13198251357387372</v>
      </c>
    </row>
    <row r="2114" spans="1:4" x14ac:dyDescent="0.3">
      <c r="A2114" s="94" t="s">
        <v>1329</v>
      </c>
      <c r="B2114" s="1252">
        <f>B2112/(B2043+B2051)*1000</f>
        <v>208.50649350649351</v>
      </c>
      <c r="C2114" s="1252">
        <f>C2112/(C2043+C2051)*1000</f>
        <v>64.935064935064929</v>
      </c>
      <c r="D2114" s="1152">
        <f>(C2114/B2114)^(1/7)-1</f>
        <v>-0.15350808684732598</v>
      </c>
    </row>
    <row r="2116" spans="1:4" x14ac:dyDescent="0.3">
      <c r="A2116" s="90" t="s">
        <v>642</v>
      </c>
      <c r="B2116" s="916">
        <f>B2107-B2112</f>
        <v>-1084</v>
      </c>
      <c r="C2116" s="916">
        <f>C2107-C2112</f>
        <v>2880.8899094275648</v>
      </c>
      <c r="D2116" s="373" t="s">
        <v>1330</v>
      </c>
    </row>
    <row r="2117" spans="1:4" x14ac:dyDescent="0.3">
      <c r="A2117" s="94" t="s">
        <v>1331</v>
      </c>
      <c r="B2117" s="1239">
        <f>B2116/B2096</f>
        <v>-0.18832522585128561</v>
      </c>
      <c r="C2117" s="1239">
        <f>C2116/C2096</f>
        <v>0.38022709157585943</v>
      </c>
    </row>
    <row r="2118" spans="1:4" x14ac:dyDescent="0.3">
      <c r="A2118" s="114"/>
      <c r="B2118" s="114"/>
      <c r="C2118" s="114"/>
      <c r="D2118" s="114"/>
    </row>
    <row r="2121" spans="1:4" x14ac:dyDescent="0.3">
      <c r="A2121" s="147" t="s">
        <v>1336</v>
      </c>
      <c r="B2121" s="374" t="s">
        <v>1289</v>
      </c>
      <c r="C2121" s="374" t="s">
        <v>1337</v>
      </c>
    </row>
    <row r="2122" spans="1:4" x14ac:dyDescent="0.3">
      <c r="A2122" s="177" t="s">
        <v>1338</v>
      </c>
      <c r="B2122" s="887">
        <f>C2037</f>
        <v>2444.2937086624793</v>
      </c>
      <c r="C2122" s="887">
        <f>C2116</f>
        <v>2880.8899094275648</v>
      </c>
    </row>
    <row r="2123" spans="1:4" x14ac:dyDescent="0.3">
      <c r="A2123" s="177" t="s">
        <v>881</v>
      </c>
      <c r="B2123" s="1432">
        <v>12</v>
      </c>
      <c r="C2123" s="1432">
        <f>B2123</f>
        <v>12</v>
      </c>
    </row>
    <row r="2124" spans="1:4" x14ac:dyDescent="0.3">
      <c r="A2124" s="177" t="s">
        <v>1339</v>
      </c>
      <c r="B2124" s="887">
        <f>B2122*B2123</f>
        <v>29331.524503949753</v>
      </c>
      <c r="C2124" s="887">
        <f>C2122*C2123</f>
        <v>34570.678913130774</v>
      </c>
    </row>
    <row r="2125" spans="1:4" x14ac:dyDescent="0.3">
      <c r="A2125" s="177" t="s">
        <v>1340</v>
      </c>
      <c r="B2125" s="901">
        <f>C2028*3.5</f>
        <v>12055.027980318677</v>
      </c>
      <c r="C2125" s="901">
        <f>C2107*3.5</f>
        <v>13583.114682996476</v>
      </c>
    </row>
    <row r="2126" spans="1:4" x14ac:dyDescent="0.3">
      <c r="A2126" s="177" t="s">
        <v>787</v>
      </c>
      <c r="B2126" s="887">
        <f>B2124-B2125</f>
        <v>17276.496523631075</v>
      </c>
      <c r="C2126" s="887">
        <f>C2124-C2125</f>
        <v>20987.564230134296</v>
      </c>
    </row>
    <row r="2127" spans="1:4" x14ac:dyDescent="0.3">
      <c r="A2127" s="177" t="s">
        <v>1341</v>
      </c>
      <c r="B2127" s="104">
        <f>Valuation!B7</f>
        <v>260</v>
      </c>
      <c r="C2127" s="104">
        <f>B2127</f>
        <v>260</v>
      </c>
    </row>
    <row r="2128" spans="1:4" x14ac:dyDescent="0.3">
      <c r="A2128" s="177" t="s">
        <v>873</v>
      </c>
      <c r="B2128" s="816">
        <f>B2126/B2127</f>
        <v>66.448063552427215</v>
      </c>
      <c r="C2128" s="816">
        <f>C2126/C2127</f>
        <v>80.721400885131914</v>
      </c>
    </row>
    <row r="2129" spans="1:20" x14ac:dyDescent="0.3">
      <c r="A2129" s="177" t="s">
        <v>1342</v>
      </c>
      <c r="B2129" s="1227">
        <f>(1+Valuation!H141)^7</f>
        <v>1.5931842850094486</v>
      </c>
      <c r="C2129" s="1227">
        <f>B2129</f>
        <v>1.5931842850094486</v>
      </c>
    </row>
    <row r="2130" spans="1:20" ht="12.5" thickBot="1" x14ac:dyDescent="0.35">
      <c r="A2130" s="298" t="s">
        <v>1343</v>
      </c>
      <c r="B2130" s="1248">
        <f>B2128/B2129</f>
        <v>41.707707123180121</v>
      </c>
      <c r="C2130" s="1248">
        <f>C2128/C2129</f>
        <v>50.66670669843645</v>
      </c>
    </row>
    <row r="2131" spans="1:20" ht="12.5" thickTop="1" x14ac:dyDescent="0.3">
      <c r="A2131" s="465" t="s">
        <v>1344</v>
      </c>
      <c r="B2131" s="1433">
        <f>B2130/Valuation!$B$6-1</f>
        <v>0.16567096487367583</v>
      </c>
      <c r="C2131" s="1433">
        <f>C2130/Valuation!$B$6-1</f>
        <v>0.4160622330474133</v>
      </c>
    </row>
    <row r="2132" spans="1:20" x14ac:dyDescent="0.3">
      <c r="A2132" s="114"/>
      <c r="B2132" s="114"/>
      <c r="C2132" s="114"/>
    </row>
    <row r="2133" spans="1:20" x14ac:dyDescent="0.3">
      <c r="A2133" s="94" t="s">
        <v>1345</v>
      </c>
    </row>
    <row r="2136" spans="1:20" x14ac:dyDescent="0.3">
      <c r="A2136" s="1256" t="s">
        <v>1346</v>
      </c>
      <c r="B2136" s="1257"/>
      <c r="C2136" s="1257"/>
      <c r="D2136" s="1257"/>
      <c r="E2136" s="1257"/>
      <c r="F2136" s="1257"/>
      <c r="G2136" s="1257"/>
      <c r="H2136" s="1257"/>
      <c r="I2136" s="1257"/>
      <c r="J2136" s="1257"/>
      <c r="K2136" s="1257"/>
      <c r="L2136" s="1257"/>
      <c r="M2136" s="1257"/>
      <c r="N2136" s="1257"/>
      <c r="O2136" s="1257"/>
      <c r="P2136" s="1257"/>
      <c r="Q2136" s="1257"/>
      <c r="R2136" s="1257"/>
      <c r="S2136" s="1257"/>
      <c r="T2136" s="1257"/>
    </row>
    <row r="2137" spans="1:20" x14ac:dyDescent="0.3">
      <c r="B2137" s="374" t="s">
        <v>857</v>
      </c>
      <c r="C2137" s="374" t="s">
        <v>858</v>
      </c>
      <c r="D2137" s="374" t="s">
        <v>1347</v>
      </c>
      <c r="E2137" s="374" t="s">
        <v>722</v>
      </c>
      <c r="F2137" s="374" t="s">
        <v>1348</v>
      </c>
    </row>
    <row r="2138" spans="1:20" x14ac:dyDescent="0.3">
      <c r="A2138" s="177" t="s">
        <v>621</v>
      </c>
      <c r="B2138" s="885">
        <v>2110</v>
      </c>
      <c r="C2138" s="885">
        <v>2160</v>
      </c>
      <c r="D2138" s="885">
        <f>AVERAGE(B2138:C2138)</f>
        <v>2135</v>
      </c>
    </row>
    <row r="2139" spans="1:20" x14ac:dyDescent="0.3">
      <c r="A2139" s="177" t="s">
        <v>1349</v>
      </c>
      <c r="B2139" s="885">
        <f>519+533+526</f>
        <v>1578</v>
      </c>
      <c r="C2139" s="885">
        <f>B2139</f>
        <v>1578</v>
      </c>
      <c r="D2139" s="885">
        <f>C2139</f>
        <v>1578</v>
      </c>
    </row>
    <row r="2140" spans="1:20" ht="12.5" thickBot="1" x14ac:dyDescent="0.35">
      <c r="A2140" s="298" t="s">
        <v>1350</v>
      </c>
      <c r="B2140" s="1251">
        <f>B2138-B2139</f>
        <v>532</v>
      </c>
      <c r="C2140" s="1251">
        <f t="shared" ref="C2140:D2140" si="715">C2138-C2139</f>
        <v>582</v>
      </c>
      <c r="D2140" s="1251">
        <f t="shared" si="715"/>
        <v>557</v>
      </c>
      <c r="E2140" s="85" t="e">
        <f>#REF!</f>
        <v>#REF!</v>
      </c>
      <c r="F2140" s="85" t="e">
        <f>#REF!</f>
        <v>#REF!</v>
      </c>
    </row>
    <row r="2141" spans="1:20" ht="12.5" thickTop="1" x14ac:dyDescent="0.3">
      <c r="A2141" s="94" t="s">
        <v>624</v>
      </c>
      <c r="B2141" s="1168">
        <f>B2140/Drivers!$EM$30-1</f>
        <v>7.575757575757569E-3</v>
      </c>
      <c r="C2141" s="1168">
        <f>C2140/Drivers!$EM$30-1</f>
        <v>0.10227272727272729</v>
      </c>
      <c r="D2141" s="1168">
        <f>D2140/Drivers!$EM$30-1</f>
        <v>5.4924242424242431E-2</v>
      </c>
    </row>
    <row r="2142" spans="1:20" x14ac:dyDescent="0.3">
      <c r="A2142" s="114"/>
      <c r="B2142" s="114"/>
      <c r="C2142" s="114"/>
      <c r="D2142" s="114"/>
    </row>
    <row r="2145" spans="1:4" x14ac:dyDescent="0.3">
      <c r="A2145" s="177" t="s">
        <v>1351</v>
      </c>
      <c r="B2145" s="885">
        <f>Drivers!EQ90</f>
        <v>6158</v>
      </c>
      <c r="C2145" s="887">
        <f>B2145</f>
        <v>6158</v>
      </c>
      <c r="D2145" s="887">
        <v>10000</v>
      </c>
    </row>
    <row r="2146" spans="1:4" x14ac:dyDescent="0.3">
      <c r="A2146" s="177" t="s">
        <v>1352</v>
      </c>
      <c r="B2146" s="885">
        <f>[10]Valuation!$D$15</f>
        <v>2593.6035541338238</v>
      </c>
      <c r="C2146" s="887">
        <f>B2146+600</f>
        <v>3193.6035541338238</v>
      </c>
      <c r="D2146" s="887">
        <f>C2146</f>
        <v>3193.6035541338238</v>
      </c>
    </row>
    <row r="2147" spans="1:4" x14ac:dyDescent="0.3">
      <c r="A2147" s="177" t="s">
        <v>1353</v>
      </c>
      <c r="B2147" s="885">
        <f>B2145*B2146/1000</f>
        <v>15971.410686356086</v>
      </c>
      <c r="C2147" s="885">
        <f>C2145*C2146/1000</f>
        <v>19666.210686356088</v>
      </c>
      <c r="D2147" s="885">
        <f>D2145*D2146/1000</f>
        <v>31936.035541338239</v>
      </c>
    </row>
    <row r="2148" spans="1:4" x14ac:dyDescent="0.3">
      <c r="A2148" s="177" t="s">
        <v>1268</v>
      </c>
      <c r="D2148" s="76">
        <f>SUM('Model Main'!ER132,'Model Main'!EX132:FD132)</f>
        <v>-6940.161983190892</v>
      </c>
    </row>
    <row r="2149" spans="1:4" x14ac:dyDescent="0.3">
      <c r="D2149" s="887">
        <f>SUM(D2147:D2148)</f>
        <v>24995.873558147345</v>
      </c>
    </row>
    <row r="2152" spans="1:4" x14ac:dyDescent="0.3">
      <c r="B2152" s="374" t="s">
        <v>857</v>
      </c>
      <c r="C2152" s="374" t="s">
        <v>858</v>
      </c>
      <c r="D2152" s="374" t="s">
        <v>1347</v>
      </c>
    </row>
    <row r="2153" spans="1:4" x14ac:dyDescent="0.3">
      <c r="A2153" s="177" t="s">
        <v>1354</v>
      </c>
      <c r="B2153" s="885">
        <v>3000</v>
      </c>
      <c r="C2153" s="885">
        <v>3200</v>
      </c>
      <c r="D2153" s="885">
        <f>AVERAGE(B2153:C2153)</f>
        <v>3100</v>
      </c>
    </row>
    <row r="2154" spans="1:4" x14ac:dyDescent="0.3">
      <c r="A2154" s="177" t="s">
        <v>1355</v>
      </c>
      <c r="B2154" s="885">
        <f>1154+1057+671</f>
        <v>2882</v>
      </c>
      <c r="C2154" s="885">
        <f>B2154</f>
        <v>2882</v>
      </c>
      <c r="D2154" s="885">
        <f>C2154</f>
        <v>2882</v>
      </c>
    </row>
    <row r="2155" spans="1:4" ht="12.5" thickBot="1" x14ac:dyDescent="0.35">
      <c r="A2155" s="298" t="s">
        <v>1356</v>
      </c>
      <c r="B2155" s="1251">
        <f>B2153-B2154</f>
        <v>118</v>
      </c>
      <c r="C2155" s="1251">
        <f t="shared" ref="C2155:D2155" si="716">C2153-C2154</f>
        <v>318</v>
      </c>
      <c r="D2155" s="1251">
        <f t="shared" si="716"/>
        <v>218</v>
      </c>
    </row>
    <row r="2156" spans="1:4" ht="12.5" thickTop="1" x14ac:dyDescent="0.3">
      <c r="A2156" s="94"/>
      <c r="B2156" s="1168"/>
      <c r="C2156" s="1168"/>
      <c r="D2156" s="1168"/>
    </row>
    <row r="2157" spans="1:4" x14ac:dyDescent="0.3">
      <c r="A2157" s="114"/>
      <c r="B2157" s="114"/>
      <c r="C2157" s="114"/>
      <c r="D2157" s="114"/>
    </row>
    <row r="2161" spans="1:20" x14ac:dyDescent="0.3">
      <c r="A2161" s="1256" t="s">
        <v>1357</v>
      </c>
      <c r="B2161" s="1257"/>
      <c r="C2161" s="1257"/>
      <c r="D2161" s="1257"/>
      <c r="E2161" s="1257"/>
      <c r="F2161" s="1257"/>
      <c r="G2161" s="1257"/>
      <c r="H2161" s="1257"/>
      <c r="I2161" s="1257"/>
      <c r="J2161" s="1257"/>
      <c r="K2161" s="1257"/>
      <c r="L2161" s="1257"/>
      <c r="M2161" s="1257"/>
      <c r="N2161" s="1257"/>
      <c r="O2161" s="1257"/>
      <c r="P2161" s="1257"/>
      <c r="Q2161" s="1257"/>
      <c r="R2161" s="1257"/>
      <c r="S2161" s="1257"/>
      <c r="T2161" s="1257"/>
    </row>
    <row r="2163" spans="1:20" x14ac:dyDescent="0.3">
      <c r="A2163" t="s">
        <v>694</v>
      </c>
      <c r="B2163" s="885">
        <v>10000</v>
      </c>
    </row>
    <row r="2164" spans="1:20" x14ac:dyDescent="0.3">
      <c r="A2164" s="177" t="s">
        <v>1292</v>
      </c>
      <c r="B2164" s="634">
        <v>0.4</v>
      </c>
    </row>
    <row r="2165" spans="1:20" x14ac:dyDescent="0.3">
      <c r="A2165" s="177" t="s">
        <v>1358</v>
      </c>
      <c r="B2165" s="885">
        <f>B2163*B2164</f>
        <v>4000</v>
      </c>
    </row>
    <row r="2166" spans="1:20" x14ac:dyDescent="0.3">
      <c r="A2166" s="177" t="s">
        <v>1359</v>
      </c>
      <c r="B2166" s="104">
        <f>Drivers!EP171</f>
        <v>1844</v>
      </c>
    </row>
    <row r="2167" spans="1:20" x14ac:dyDescent="0.3">
      <c r="A2167" s="177" t="s">
        <v>1360</v>
      </c>
      <c r="B2167" s="76">
        <f>B2165-B2166</f>
        <v>2156</v>
      </c>
    </row>
    <row r="2168" spans="1:20" x14ac:dyDescent="0.3">
      <c r="A2168" s="177" t="s">
        <v>213</v>
      </c>
      <c r="B2168" s="1227">
        <f>Drivers!ES186</f>
        <v>63.39</v>
      </c>
    </row>
    <row r="2169" spans="1:20" x14ac:dyDescent="0.3">
      <c r="A2169" s="177" t="s">
        <v>994</v>
      </c>
      <c r="B2169" s="885">
        <f>B2167*B2168*12/1000</f>
        <v>1640.0260800000001</v>
      </c>
    </row>
    <row r="2170" spans="1:20" x14ac:dyDescent="0.3">
      <c r="A2170" s="177"/>
      <c r="B2170" s="146"/>
    </row>
    <row r="2171" spans="1:20" x14ac:dyDescent="0.3">
      <c r="A2171" s="177" t="s">
        <v>1361</v>
      </c>
      <c r="B2171" s="885">
        <f>B2169+Drivers!ES12</f>
        <v>7391.0260799999996</v>
      </c>
    </row>
    <row r="2172" spans="1:20" x14ac:dyDescent="0.3">
      <c r="A2172" s="177" t="s">
        <v>1362</v>
      </c>
      <c r="B2172" s="634">
        <v>0.45</v>
      </c>
    </row>
    <row r="2173" spans="1:20" x14ac:dyDescent="0.3">
      <c r="A2173" s="177" t="s">
        <v>1363</v>
      </c>
      <c r="B2173" s="885">
        <f>B2171*B2172</f>
        <v>3325.9617359999997</v>
      </c>
    </row>
    <row r="2174" spans="1:20" x14ac:dyDescent="0.3">
      <c r="A2174" s="177" t="s">
        <v>881</v>
      </c>
      <c r="B2174" s="114">
        <v>13</v>
      </c>
    </row>
    <row r="2175" spans="1:20" x14ac:dyDescent="0.3">
      <c r="A2175" s="177" t="s">
        <v>872</v>
      </c>
      <c r="B2175" s="885">
        <f>B2173*B2174</f>
        <v>43237.502567999996</v>
      </c>
    </row>
    <row r="2176" spans="1:20" x14ac:dyDescent="0.3">
      <c r="A2176" s="177" t="s">
        <v>786</v>
      </c>
      <c r="B2176" s="76">
        <f>Valuation!B9-Valuation!B10</f>
        <v>10811</v>
      </c>
    </row>
    <row r="2177" spans="1:20" x14ac:dyDescent="0.3">
      <c r="A2177" s="177" t="s">
        <v>1364</v>
      </c>
      <c r="B2177" s="104">
        <f>-SUM('Model Main'!EQ132:ER132,'Model Main'!EX132:FD132)</f>
        <v>7228.161983190892</v>
      </c>
    </row>
    <row r="2178" spans="1:20" x14ac:dyDescent="0.3">
      <c r="A2178" s="177" t="s">
        <v>787</v>
      </c>
      <c r="B2178" s="887">
        <f>B2175-B2176-B2177</f>
        <v>25198.340584809106</v>
      </c>
    </row>
    <row r="2179" spans="1:20" x14ac:dyDescent="0.3">
      <c r="A2179" s="94" t="s">
        <v>1365</v>
      </c>
      <c r="B2179" s="943">
        <f>B2178/Valuation!B7</f>
        <v>96.916694556958106</v>
      </c>
    </row>
    <row r="2182" spans="1:20" x14ac:dyDescent="0.3">
      <c r="A2182" s="1256" t="s">
        <v>1366</v>
      </c>
      <c r="B2182" s="1257"/>
      <c r="C2182" s="1257"/>
      <c r="D2182" s="1257"/>
      <c r="E2182" s="1257"/>
      <c r="F2182" s="1257"/>
      <c r="G2182" s="1257"/>
      <c r="H2182" s="1257"/>
      <c r="I2182" s="1257"/>
      <c r="J2182" s="1257"/>
      <c r="K2182" s="1257"/>
      <c r="L2182" s="1257"/>
      <c r="M2182" s="1257"/>
      <c r="N2182" s="1257"/>
      <c r="O2182" s="1257"/>
      <c r="P2182" s="1257"/>
      <c r="Q2182" s="1257"/>
      <c r="R2182" s="1257"/>
      <c r="S2182" s="1257"/>
      <c r="T2182" s="1257"/>
    </row>
    <row r="2184" spans="1:20" x14ac:dyDescent="0.3">
      <c r="A2184" t="s">
        <v>1367</v>
      </c>
      <c r="B2184" s="885">
        <f>Drivers!EN9</f>
        <v>2769</v>
      </c>
    </row>
    <row r="2185" spans="1:20" x14ac:dyDescent="0.3">
      <c r="A2185" t="s">
        <v>1368</v>
      </c>
      <c r="B2185" s="76">
        <f>Drivers!EN27</f>
        <v>1168</v>
      </c>
    </row>
    <row r="2186" spans="1:20" x14ac:dyDescent="0.3">
      <c r="A2186" s="94" t="s">
        <v>1369</v>
      </c>
      <c r="B2186" s="1239">
        <f>B2185/B2184</f>
        <v>0.4218129288551824</v>
      </c>
    </row>
    <row r="2187" spans="1:20" x14ac:dyDescent="0.3">
      <c r="K2187" s="76"/>
    </row>
    <row r="2188" spans="1:20" x14ac:dyDescent="0.3">
      <c r="A2188" s="177" t="s">
        <v>1370</v>
      </c>
      <c r="B2188" s="146">
        <v>0.45</v>
      </c>
      <c r="K2188" s="76"/>
    </row>
    <row r="2189" spans="1:20" x14ac:dyDescent="0.3">
      <c r="A2189" s="177" t="s">
        <v>1371</v>
      </c>
      <c r="B2189" s="634">
        <f>Drivers!EN120</f>
        <v>0.30458325275575326</v>
      </c>
    </row>
    <row r="2190" spans="1:20" x14ac:dyDescent="0.3">
      <c r="A2190" s="177" t="s">
        <v>1372</v>
      </c>
      <c r="B2190" s="146">
        <f>B2188-B2189</f>
        <v>0.14541674724424675</v>
      </c>
    </row>
    <row r="2191" spans="1:20" x14ac:dyDescent="0.3">
      <c r="A2191" s="177" t="s">
        <v>1373</v>
      </c>
      <c r="B2191" s="901">
        <f>Drivers!EN90</f>
        <v>5171</v>
      </c>
    </row>
    <row r="2192" spans="1:20" x14ac:dyDescent="0.3">
      <c r="A2192" s="177" t="s">
        <v>1374</v>
      </c>
      <c r="B2192" s="885">
        <f>B2190*B2191</f>
        <v>751.94999999999993</v>
      </c>
    </row>
    <row r="2193" spans="1:20" x14ac:dyDescent="0.3">
      <c r="A2193" s="177" t="s">
        <v>213</v>
      </c>
      <c r="B2193" s="1227">
        <f>Drivers!EN186</f>
        <v>62.387109881559596</v>
      </c>
    </row>
    <row r="2194" spans="1:20" x14ac:dyDescent="0.3">
      <c r="A2194" s="177" t="s">
        <v>1375</v>
      </c>
      <c r="B2194" s="885">
        <f>B2192*B2193*12/1000</f>
        <v>562.94384730526474</v>
      </c>
    </row>
    <row r="2195" spans="1:20" x14ac:dyDescent="0.3">
      <c r="A2195" s="177" t="s">
        <v>1376</v>
      </c>
      <c r="B2195" s="634">
        <v>0.75</v>
      </c>
    </row>
    <row r="2196" spans="1:20" x14ac:dyDescent="0.3">
      <c r="A2196" s="177" t="s">
        <v>1377</v>
      </c>
      <c r="B2196" s="885">
        <f>B2194*B2195</f>
        <v>422.20788547894858</v>
      </c>
    </row>
    <row r="2198" spans="1:20" x14ac:dyDescent="0.3">
      <c r="A2198" s="177" t="s">
        <v>1378</v>
      </c>
      <c r="B2198" s="887">
        <f>B2185+B2196</f>
        <v>1590.2078854789486</v>
      </c>
    </row>
    <row r="2199" spans="1:20" x14ac:dyDescent="0.3">
      <c r="A2199" s="177" t="s">
        <v>1379</v>
      </c>
      <c r="B2199" s="866">
        <f>B2184+B2194</f>
        <v>3331.9438473052646</v>
      </c>
    </row>
    <row r="2200" spans="1:20" x14ac:dyDescent="0.3">
      <c r="A2200" s="177" t="s">
        <v>1380</v>
      </c>
      <c r="B2200" s="890">
        <f>B2198/B2199</f>
        <v>0.47726131002028788</v>
      </c>
    </row>
    <row r="2205" spans="1:20" x14ac:dyDescent="0.3">
      <c r="A2205" s="1256" t="s">
        <v>1381</v>
      </c>
      <c r="B2205" s="1257"/>
      <c r="C2205" s="1257"/>
      <c r="D2205" s="1257"/>
      <c r="E2205" s="1257"/>
      <c r="F2205" s="1257"/>
      <c r="G2205" s="1257"/>
      <c r="H2205" s="1257"/>
      <c r="I2205" s="1257"/>
      <c r="J2205" s="1257"/>
      <c r="K2205" s="1257"/>
      <c r="L2205" s="1257"/>
      <c r="M2205" s="1257"/>
      <c r="N2205" s="1257"/>
      <c r="O2205" s="1257"/>
      <c r="P2205" s="1257"/>
      <c r="Q2205" s="1257"/>
      <c r="R2205" s="1257"/>
      <c r="S2205" s="1257"/>
      <c r="T2205" s="1257"/>
    </row>
    <row r="2207" spans="1:20" x14ac:dyDescent="0.3">
      <c r="A2207" t="s">
        <v>1382</v>
      </c>
      <c r="B2207">
        <v>100</v>
      </c>
    </row>
    <row r="2208" spans="1:20" x14ac:dyDescent="0.3">
      <c r="A2208" t="s">
        <v>1383</v>
      </c>
      <c r="B2208">
        <f>Drivers!EP12+Drivers!EO12+Drivers!EM12+Drivers!EL12</f>
        <v>5770</v>
      </c>
    </row>
    <row r="2209" spans="1:5" x14ac:dyDescent="0.3">
      <c r="A2209" s="94" t="s">
        <v>1384</v>
      </c>
      <c r="B2209" s="1168">
        <f>B2207/B2208</f>
        <v>1.7331022530329289E-2</v>
      </c>
    </row>
    <row r="2211" spans="1:5" x14ac:dyDescent="0.3">
      <c r="A2211" t="s">
        <v>1385</v>
      </c>
      <c r="B2211">
        <v>40</v>
      </c>
    </row>
    <row r="2212" spans="1:5" x14ac:dyDescent="0.3">
      <c r="A2212" t="s">
        <v>1386</v>
      </c>
      <c r="B2212" s="76">
        <f>Drivers!EL30+Drivers!EM30+Drivers!EO30+Drivers!EP30</f>
        <v>2088</v>
      </c>
    </row>
    <row r="2213" spans="1:5" x14ac:dyDescent="0.3">
      <c r="A2213" s="94" t="s">
        <v>1384</v>
      </c>
      <c r="B2213" s="1168">
        <f>B2211/B2212</f>
        <v>1.9157088122605363E-2</v>
      </c>
    </row>
    <row r="2215" spans="1:5" x14ac:dyDescent="0.3">
      <c r="B2215" s="692" t="s">
        <v>924</v>
      </c>
      <c r="C2215" s="692" t="s">
        <v>925</v>
      </c>
      <c r="D2215" s="692" t="s">
        <v>883</v>
      </c>
      <c r="E2215" s="692" t="s">
        <v>884</v>
      </c>
    </row>
    <row r="2216" spans="1:5" x14ac:dyDescent="0.3">
      <c r="A2216" t="s">
        <v>1387</v>
      </c>
      <c r="B2216" s="76">
        <f>AVERAGE(Drivers!EL428,Drivers!EL431)</f>
        <v>3150.5</v>
      </c>
      <c r="C2216" s="76">
        <f>AVERAGE(Drivers!EM428,Drivers!EM431)</f>
        <v>3137.5</v>
      </c>
      <c r="D2216" s="76">
        <f>AVERAGE(Drivers!EO428,Drivers!EO431)</f>
        <v>3136.5</v>
      </c>
      <c r="E2216" s="76">
        <f>AVERAGE(Drivers!EP428,Drivers!EP431)</f>
        <v>3133.5</v>
      </c>
    </row>
    <row r="2217" spans="1:5" x14ac:dyDescent="0.3">
      <c r="A2217" t="s">
        <v>1388</v>
      </c>
      <c r="B2217" s="76">
        <f>AVERAGE(Drivers!EL439,Drivers!EL442)</f>
        <v>254.5</v>
      </c>
      <c r="C2217" s="76">
        <f>AVERAGE(Drivers!EM439,Drivers!EM442)</f>
        <v>251.5</v>
      </c>
      <c r="D2217" s="76">
        <f>AVERAGE(Drivers!EO439,Drivers!EO442)</f>
        <v>249</v>
      </c>
      <c r="E2217" s="76">
        <f>AVERAGE(Drivers!EP439,Drivers!EP442)</f>
        <v>248</v>
      </c>
    </row>
    <row r="2218" spans="1:5" x14ac:dyDescent="0.3">
      <c r="A2218" s="90" t="s">
        <v>1389</v>
      </c>
      <c r="B2218" s="381">
        <f>SUM(B2216:B2217)</f>
        <v>3405</v>
      </c>
      <c r="C2218" s="381">
        <f>SUM(C2216:C2217)</f>
        <v>3389</v>
      </c>
      <c r="D2218" s="381">
        <f>SUM(D2216:D2217)</f>
        <v>3385.5</v>
      </c>
      <c r="E2218" s="381">
        <f>SUM(E2216:E2217)</f>
        <v>3381.5</v>
      </c>
    </row>
    <row r="2220" spans="1:5" x14ac:dyDescent="0.3">
      <c r="A2220" t="s">
        <v>1383</v>
      </c>
      <c r="B2220" s="885">
        <f>B2208</f>
        <v>5770</v>
      </c>
    </row>
    <row r="2221" spans="1:5" x14ac:dyDescent="0.3">
      <c r="A2221" s="177" t="s">
        <v>1390</v>
      </c>
      <c r="B2221" s="104">
        <f>AVERAGE(B2218:E2218)</f>
        <v>3390.25</v>
      </c>
    </row>
    <row r="2222" spans="1:5" x14ac:dyDescent="0.3">
      <c r="A2222" s="177" t="s">
        <v>1026</v>
      </c>
      <c r="B2222" s="816">
        <f>B2220/B2221*1000/12</f>
        <v>141.82828208342553</v>
      </c>
    </row>
    <row r="2224" spans="1:5" x14ac:dyDescent="0.3">
      <c r="A2224" t="s">
        <v>1382</v>
      </c>
      <c r="B2224">
        <f>B2207</f>
        <v>100</v>
      </c>
    </row>
    <row r="2225" spans="1:20" x14ac:dyDescent="0.3">
      <c r="A2225" s="177" t="s">
        <v>1391</v>
      </c>
      <c r="B2225" s="1422">
        <f>B2222</f>
        <v>141.82828208342553</v>
      </c>
    </row>
    <row r="2226" spans="1:20" x14ac:dyDescent="0.3">
      <c r="A2226" s="177" t="s">
        <v>1392</v>
      </c>
      <c r="B2226" s="885">
        <f>B2224*1000/B2225/12</f>
        <v>58.756499133448862</v>
      </c>
    </row>
    <row r="2227" spans="1:20" x14ac:dyDescent="0.3">
      <c r="A2227" t="s">
        <v>880</v>
      </c>
      <c r="B2227" s="901">
        <v>216.572</v>
      </c>
      <c r="C2227" s="898"/>
    </row>
    <row r="2228" spans="1:20" x14ac:dyDescent="0.3">
      <c r="A2228" s="94" t="s">
        <v>210</v>
      </c>
      <c r="B2228" s="1239">
        <f>B2226/B2227</f>
        <v>0.27130238042521132</v>
      </c>
    </row>
    <row r="2230" spans="1:20" x14ac:dyDescent="0.3">
      <c r="A2230" s="177" t="s">
        <v>1393</v>
      </c>
      <c r="B2230" s="885">
        <f>B2227</f>
        <v>216.572</v>
      </c>
      <c r="C2230" s="885">
        <f>B2230</f>
        <v>216.572</v>
      </c>
    </row>
    <row r="2231" spans="1:20" x14ac:dyDescent="0.3">
      <c r="A2231" s="177" t="s">
        <v>1394</v>
      </c>
      <c r="B2231" s="901">
        <v>1071</v>
      </c>
      <c r="C2231" s="901">
        <f>C2232/C2230*1000</f>
        <v>646.43628908630842</v>
      </c>
    </row>
    <row r="2232" spans="1:20" x14ac:dyDescent="0.3">
      <c r="A2232" s="177" t="s">
        <v>1395</v>
      </c>
      <c r="B2232" s="885">
        <f>B2230*B2231/1000</f>
        <v>231.948612</v>
      </c>
      <c r="C2232" s="885">
        <f>C2234*C2233</f>
        <v>140</v>
      </c>
    </row>
    <row r="2233" spans="1:20" x14ac:dyDescent="0.3">
      <c r="A2233" s="177" t="s">
        <v>1272</v>
      </c>
      <c r="B2233" s="901">
        <f>B2211</f>
        <v>40</v>
      </c>
      <c r="C2233" s="901">
        <f>B2233</f>
        <v>40</v>
      </c>
    </row>
    <row r="2234" spans="1:20" x14ac:dyDescent="0.3">
      <c r="A2234" s="177" t="s">
        <v>1396</v>
      </c>
      <c r="B2234" s="1015">
        <f>B2232/B2233</f>
        <v>5.7987152999999996</v>
      </c>
      <c r="C2234" s="1015">
        <v>3.5</v>
      </c>
    </row>
    <row r="2239" spans="1:20" x14ac:dyDescent="0.3">
      <c r="A2239" s="1256" t="s">
        <v>1397</v>
      </c>
      <c r="B2239" s="1257"/>
      <c r="C2239" s="1257"/>
      <c r="D2239" s="1257"/>
      <c r="E2239" s="1257"/>
      <c r="F2239" s="1257"/>
      <c r="G2239" s="1257"/>
      <c r="H2239" s="1257"/>
      <c r="I2239" s="1257"/>
      <c r="J2239" s="1257"/>
      <c r="K2239" s="1257"/>
      <c r="L2239" s="1257"/>
      <c r="M2239" s="1257"/>
      <c r="N2239" s="1257"/>
      <c r="O2239" s="1257"/>
      <c r="P2239" s="1257"/>
      <c r="Q2239" s="1257"/>
      <c r="R2239" s="1257"/>
      <c r="S2239" s="1257"/>
      <c r="T2239" s="1257"/>
    </row>
    <row r="2240" spans="1:20" x14ac:dyDescent="0.3">
      <c r="A2240" s="366"/>
      <c r="B2240" s="366"/>
    </row>
    <row r="2241" spans="1:6" x14ac:dyDescent="0.3">
      <c r="A2241" s="90" t="s">
        <v>1398</v>
      </c>
      <c r="C2241" s="806"/>
      <c r="D2241" s="806"/>
    </row>
    <row r="2242" spans="1:6" x14ac:dyDescent="0.3">
      <c r="A2242" t="s">
        <v>628</v>
      </c>
      <c r="B2242">
        <v>286</v>
      </c>
    </row>
    <row r="2243" spans="1:6" x14ac:dyDescent="0.3">
      <c r="A2243" t="s">
        <v>629</v>
      </c>
      <c r="B2243">
        <v>2</v>
      </c>
    </row>
    <row r="2244" spans="1:6" x14ac:dyDescent="0.3">
      <c r="A2244" s="90" t="s">
        <v>266</v>
      </c>
      <c r="B2244" s="147">
        <f>SUM(B2242:B2243)</f>
        <v>288</v>
      </c>
    </row>
    <row r="2245" spans="1:6" x14ac:dyDescent="0.3">
      <c r="A2245" s="90"/>
      <c r="B2245" s="90"/>
    </row>
    <row r="2246" spans="1:6" x14ac:dyDescent="0.3">
      <c r="A2246" s="90" t="s">
        <v>880</v>
      </c>
    </row>
    <row r="2247" spans="1:6" x14ac:dyDescent="0.3">
      <c r="A2247" t="s">
        <v>628</v>
      </c>
      <c r="B2247">
        <v>621</v>
      </c>
      <c r="D2247">
        <v>49.142000000000003</v>
      </c>
      <c r="E2247" s="898">
        <f>D2247/B2247</f>
        <v>7.9133655394524965E-2</v>
      </c>
      <c r="F2247">
        <f>B2247*0.15*(1-B2250)</f>
        <v>50.249999999999993</v>
      </c>
    </row>
    <row r="2248" spans="1:6" x14ac:dyDescent="0.3">
      <c r="A2248" t="s">
        <v>629</v>
      </c>
      <c r="B2248">
        <v>175</v>
      </c>
      <c r="D2248">
        <v>3.6</v>
      </c>
      <c r="E2248" s="898">
        <f>D2248/B2247</f>
        <v>5.7971014492753624E-3</v>
      </c>
    </row>
    <row r="2249" spans="1:6" x14ac:dyDescent="0.3">
      <c r="A2249" s="90" t="s">
        <v>266</v>
      </c>
      <c r="B2249" s="147">
        <f>SUM(B2247:B2248)</f>
        <v>796</v>
      </c>
    </row>
    <row r="2250" spans="1:6" x14ac:dyDescent="0.3">
      <c r="A2250" s="94" t="s">
        <v>1399</v>
      </c>
      <c r="B2250" s="1239">
        <f>B2242/B2247</f>
        <v>0.46054750402576489</v>
      </c>
    </row>
    <row r="2251" spans="1:6" x14ac:dyDescent="0.3">
      <c r="A2251" s="94" t="s">
        <v>1400</v>
      </c>
      <c r="B2251" s="1239">
        <f>B2244/B2249</f>
        <v>0.36180904522613067</v>
      </c>
    </row>
    <row r="2252" spans="1:6" x14ac:dyDescent="0.3">
      <c r="A2252" s="501"/>
      <c r="B2252" s="1421"/>
    </row>
    <row r="2254" spans="1:6" ht="24" x14ac:dyDescent="0.3">
      <c r="A2254" s="1416" t="s">
        <v>1401</v>
      </c>
      <c r="B2254" s="1417" t="s">
        <v>1402</v>
      </c>
      <c r="C2254" s="1417" t="s">
        <v>9</v>
      </c>
      <c r="D2254" s="1418" t="s">
        <v>1403</v>
      </c>
    </row>
    <row r="2255" spans="1:6" x14ac:dyDescent="0.3">
      <c r="A2255" t="s">
        <v>1404</v>
      </c>
      <c r="B2255" s="885">
        <v>1119</v>
      </c>
      <c r="C2255" s="372" t="s">
        <v>1405</v>
      </c>
      <c r="D2255" s="623">
        <v>6.6000000000000003E-2</v>
      </c>
    </row>
    <row r="2256" spans="1:6" x14ac:dyDescent="0.3">
      <c r="A2256" t="s">
        <v>1406</v>
      </c>
      <c r="B2256" s="885">
        <v>155</v>
      </c>
      <c r="C2256" s="372" t="s">
        <v>1407</v>
      </c>
      <c r="D2256" s="623">
        <v>8.3000000000000004E-2</v>
      </c>
    </row>
    <row r="2257" spans="1:6" x14ac:dyDescent="0.3">
      <c r="A2257" t="s">
        <v>1408</v>
      </c>
      <c r="B2257" s="901">
        <v>312</v>
      </c>
      <c r="C2257" s="372" t="s">
        <v>1409</v>
      </c>
      <c r="D2257" s="623">
        <v>0.115</v>
      </c>
    </row>
    <row r="2258" spans="1:6" x14ac:dyDescent="0.3">
      <c r="A2258" s="90" t="s">
        <v>1410</v>
      </c>
      <c r="B2258" s="900">
        <f>SUM(B2255:B2257)</f>
        <v>1586</v>
      </c>
      <c r="D2258" s="903">
        <v>8.7970000000000007E-2</v>
      </c>
      <c r="E2258" s="902">
        <f>SUMPRODUCT(D2255:D2257,B2255:B2257)/B2258</f>
        <v>7.7300756620428748E-2</v>
      </c>
      <c r="F2258" s="816">
        <f>B2258*E2258/D2258</f>
        <v>1393.6455609866998</v>
      </c>
    </row>
    <row r="2259" spans="1:6" x14ac:dyDescent="0.3">
      <c r="A2259" s="94" t="s">
        <v>1411</v>
      </c>
      <c r="B2259" s="1252">
        <f>B2258/D2258*E2258</f>
        <v>1393.6455609867</v>
      </c>
      <c r="C2259" s="94"/>
      <c r="D2259" s="1425"/>
      <c r="E2259" s="902"/>
      <c r="F2259" s="816"/>
    </row>
    <row r="2260" spans="1:6" x14ac:dyDescent="0.3">
      <c r="A2260" s="90"/>
      <c r="B2260" s="900"/>
      <c r="D2260" s="903"/>
      <c r="E2260" s="902"/>
      <c r="F2260" s="816"/>
    </row>
    <row r="2261" spans="1:6" x14ac:dyDescent="0.3">
      <c r="A2261" t="s">
        <v>1412</v>
      </c>
      <c r="B2261" s="1419">
        <v>500</v>
      </c>
      <c r="D2261" s="90"/>
    </row>
    <row r="2262" spans="1:6" x14ac:dyDescent="0.3">
      <c r="A2262" s="90" t="s">
        <v>1413</v>
      </c>
      <c r="B2262" s="921">
        <f>B2258+B2261</f>
        <v>2086</v>
      </c>
      <c r="D2262" s="1420">
        <v>8.5000000000000006E-2</v>
      </c>
    </row>
    <row r="2263" spans="1:6" x14ac:dyDescent="0.3">
      <c r="A2263" s="94" t="s">
        <v>1414</v>
      </c>
      <c r="B2263" s="1252">
        <f>B2259+B2261</f>
        <v>1893.6455609867</v>
      </c>
      <c r="D2263" s="1420"/>
    </row>
    <row r="2264" spans="1:6" ht="4.5" customHeight="1" x14ac:dyDescent="0.3">
      <c r="A2264" s="114"/>
      <c r="B2264" s="114"/>
      <c r="C2264" s="114"/>
      <c r="D2264" s="114"/>
    </row>
    <row r="2265" spans="1:6" x14ac:dyDescent="0.3">
      <c r="A2265" s="522" t="s">
        <v>1415</v>
      </c>
      <c r="B2265" s="692" t="s">
        <v>1416</v>
      </c>
      <c r="C2265" s="147" t="s">
        <v>1417</v>
      </c>
    </row>
    <row r="2266" spans="1:6" x14ac:dyDescent="0.3">
      <c r="A2266" t="s">
        <v>1418</v>
      </c>
      <c r="B2266" s="885">
        <v>469.37340799999998</v>
      </c>
      <c r="C2266" s="890">
        <f>B2266/$B$2266</f>
        <v>1</v>
      </c>
      <c r="E2266" s="816">
        <f>B2266/B2244*1000/12</f>
        <v>135.8140648148148</v>
      </c>
    </row>
    <row r="2267" spans="1:6" x14ac:dyDescent="0.3">
      <c r="B2267" s="885"/>
      <c r="C2267" s="890"/>
    </row>
    <row r="2268" spans="1:6" x14ac:dyDescent="0.3">
      <c r="A2268" t="s">
        <v>1419</v>
      </c>
      <c r="B2268" s="885">
        <v>-65.761352000000002</v>
      </c>
      <c r="C2268" s="890">
        <f>-B2268/$B$2266</f>
        <v>0.14010455402705729</v>
      </c>
      <c r="E2268" s="885">
        <f>-B2268/Drivers!EP219*1000/12</f>
        <v>61.477601957746465</v>
      </c>
      <c r="F2268" s="890">
        <f>E2268/B2249</f>
        <v>7.7233168288626211E-2</v>
      </c>
    </row>
    <row r="2269" spans="1:6" x14ac:dyDescent="0.3">
      <c r="A2269" t="s">
        <v>1420</v>
      </c>
      <c r="B2269" s="885">
        <v>-85.932508999999996</v>
      </c>
      <c r="C2269" s="890">
        <f t="shared" ref="C2269:C2277" si="717">-B2269/$B$2266</f>
        <v>0.18307920204972497</v>
      </c>
      <c r="E2269" s="885">
        <f>-SUM(B2269:B2270)/B2249*1000</f>
        <v>142.53933668341708</v>
      </c>
      <c r="F2269" s="816">
        <f>E2269*717/1000</f>
        <v>102.20070440201005</v>
      </c>
    </row>
    <row r="2270" spans="1:6" x14ac:dyDescent="0.3">
      <c r="A2270" t="s">
        <v>1421</v>
      </c>
      <c r="B2270" s="901">
        <v>-27.528803</v>
      </c>
      <c r="C2270" s="1426">
        <f t="shared" si="717"/>
        <v>5.8650112108609272E-2</v>
      </c>
      <c r="E2270" s="885">
        <f>-SUM(B2269:B2270)/B2244*1000</f>
        <v>393.96288888888887</v>
      </c>
      <c r="F2270" s="816">
        <f>E2270*([11]Mature_Fiber_Market!$EQ$138+[11]Mature_Fiber_Market!$EQ$209)/1000</f>
        <v>148.48069119047952</v>
      </c>
    </row>
    <row r="2271" spans="1:6" x14ac:dyDescent="0.3">
      <c r="A2271" s="90" t="s">
        <v>44</v>
      </c>
      <c r="B2271" s="900">
        <f>B2266+SUM(B2268:B2270)</f>
        <v>290.15074399999997</v>
      </c>
      <c r="C2271" s="1423">
        <f>B2271/$B$2266</f>
        <v>0.61816613181460844</v>
      </c>
    </row>
    <row r="2272" spans="1:6" x14ac:dyDescent="0.3">
      <c r="A2272" s="94" t="s">
        <v>1422</v>
      </c>
      <c r="B2272" s="523">
        <f>B2262/B2271</f>
        <v>7.1893663660569489</v>
      </c>
      <c r="C2272" s="1423"/>
    </row>
    <row r="2273" spans="1:4" ht="6.75" customHeight="1" x14ac:dyDescent="0.3">
      <c r="B2273" s="885"/>
      <c r="C2273" s="890"/>
    </row>
    <row r="2274" spans="1:4" x14ac:dyDescent="0.3">
      <c r="A2274" t="s">
        <v>1423</v>
      </c>
      <c r="B2274" s="885">
        <v>-24.571179000000001</v>
      </c>
      <c r="C2274" s="890">
        <f t="shared" si="717"/>
        <v>5.2348894464852178E-2</v>
      </c>
    </row>
    <row r="2275" spans="1:4" x14ac:dyDescent="0.3">
      <c r="A2275" t="s">
        <v>1424</v>
      </c>
      <c r="B2275" s="885">
        <v>-12.887397999999999</v>
      </c>
      <c r="C2275" s="890">
        <f t="shared" si="717"/>
        <v>2.745660018302528E-2</v>
      </c>
    </row>
    <row r="2276" spans="1:4" x14ac:dyDescent="0.3">
      <c r="A2276" t="s">
        <v>1425</v>
      </c>
      <c r="B2276" s="901">
        <v>-4.0113510000000003</v>
      </c>
      <c r="C2276" s="1426">
        <f t="shared" si="717"/>
        <v>8.5461829145634105E-3</v>
      </c>
    </row>
    <row r="2277" spans="1:4" x14ac:dyDescent="0.3">
      <c r="A2277" t="s">
        <v>1426</v>
      </c>
      <c r="B2277" s="1319">
        <f>SUM(B2274:B2276)</f>
        <v>-41.469927999999996</v>
      </c>
      <c r="C2277" s="890">
        <f t="shared" si="717"/>
        <v>8.8351677562440861E-2</v>
      </c>
    </row>
    <row r="2278" spans="1:4" x14ac:dyDescent="0.3">
      <c r="A2278" s="90" t="s">
        <v>1427</v>
      </c>
      <c r="B2278" s="886">
        <f>B2271+B2277</f>
        <v>248.68081599999999</v>
      </c>
      <c r="C2278" s="1424">
        <f t="shared" ref="C2278" si="718">B2278/$B$2266</f>
        <v>0.52981445425216755</v>
      </c>
    </row>
    <row r="2279" spans="1:4" x14ac:dyDescent="0.3">
      <c r="A2279" s="94" t="s">
        <v>1428</v>
      </c>
      <c r="B2279" s="523">
        <f>B2262/B2278</f>
        <v>8.3882626474894639</v>
      </c>
      <c r="C2279" s="1423"/>
    </row>
    <row r="2280" spans="1:4" x14ac:dyDescent="0.3">
      <c r="A2280" s="114"/>
      <c r="B2280" s="114"/>
      <c r="C2280" s="114"/>
      <c r="D2280" s="114"/>
    </row>
    <row r="2299" spans="1:20" x14ac:dyDescent="0.3">
      <c r="A2299" s="1256" t="s">
        <v>1429</v>
      </c>
      <c r="B2299" s="1257"/>
      <c r="C2299" s="1257"/>
      <c r="D2299" s="1257"/>
      <c r="E2299" s="1257"/>
      <c r="F2299" s="1257"/>
      <c r="G2299" s="1257"/>
      <c r="H2299" s="1257"/>
      <c r="I2299" s="1257"/>
      <c r="J2299" s="1257"/>
      <c r="K2299" s="1257"/>
      <c r="L2299" s="1257"/>
      <c r="M2299" s="1257"/>
      <c r="N2299" s="1257"/>
      <c r="O2299" s="1257"/>
      <c r="P2299" s="1257"/>
      <c r="Q2299" s="1257"/>
      <c r="R2299" s="1257"/>
      <c r="S2299" s="1257"/>
      <c r="T2299" s="1257"/>
    </row>
    <row r="2300" spans="1:20" ht="13" x14ac:dyDescent="0.3">
      <c r="B2300" s="1406">
        <v>0.18</v>
      </c>
      <c r="C2300" s="1406">
        <v>0.33</v>
      </c>
      <c r="D2300" s="1406">
        <v>0.45</v>
      </c>
    </row>
    <row r="2301" spans="1:20" x14ac:dyDescent="0.3">
      <c r="A2301" s="177" t="s">
        <v>1430</v>
      </c>
      <c r="B2301" s="885">
        <f>SUM(Drivers!EN86)</f>
        <v>1948</v>
      </c>
      <c r="C2301" s="885">
        <f>B2301</f>
        <v>1948</v>
      </c>
      <c r="D2301" s="885">
        <f>C2301</f>
        <v>1948</v>
      </c>
    </row>
    <row r="2302" spans="1:20" x14ac:dyDescent="0.3">
      <c r="A2302" s="177" t="s">
        <v>1292</v>
      </c>
      <c r="B2302" s="634">
        <v>0.18</v>
      </c>
      <c r="C2302" s="634">
        <v>0.33</v>
      </c>
      <c r="D2302" s="634">
        <v>0.45</v>
      </c>
    </row>
    <row r="2303" spans="1:20" x14ac:dyDescent="0.3">
      <c r="A2303" s="177" t="s">
        <v>1392</v>
      </c>
      <c r="B2303" s="885">
        <f>B2301*B2302</f>
        <v>350.64</v>
      </c>
      <c r="C2303" s="885">
        <f>C2301*C2302</f>
        <v>642.84</v>
      </c>
      <c r="D2303" s="885">
        <f>D2301*D2302</f>
        <v>876.6</v>
      </c>
    </row>
    <row r="2304" spans="1:20" x14ac:dyDescent="0.3">
      <c r="A2304" s="177" t="s">
        <v>213</v>
      </c>
      <c r="B2304" s="1227">
        <f>AVERAGE(Drivers!DZ186:EC186,Drivers!EE186:EH186,Drivers!EJ186:EM186)</f>
        <v>60.835833333333341</v>
      </c>
      <c r="C2304" s="1227">
        <f>B2304*1.04</f>
        <v>63.269266666666674</v>
      </c>
      <c r="D2304" s="1227">
        <f>B2304*1.04^6</f>
        <v>76.97673692271961</v>
      </c>
    </row>
    <row r="2305" spans="1:4" x14ac:dyDescent="0.3">
      <c r="A2305" s="298" t="s">
        <v>1431</v>
      </c>
      <c r="B2305" s="900">
        <f>B2303*B2304*12/1000</f>
        <v>255.97771920000002</v>
      </c>
      <c r="C2305" s="900">
        <f t="shared" ref="C2305:D2305" si="719">C2303*C2304*12/1000</f>
        <v>488.06418460800012</v>
      </c>
      <c r="D2305" s="900">
        <f t="shared" si="719"/>
        <v>809.73369103747211</v>
      </c>
    </row>
    <row r="2306" spans="1:4" x14ac:dyDescent="0.3">
      <c r="A2306" s="177"/>
      <c r="B2306" s="885"/>
      <c r="C2306" s="885"/>
      <c r="D2306" s="885"/>
    </row>
    <row r="2307" spans="1:4" x14ac:dyDescent="0.3">
      <c r="A2307" s="177" t="s">
        <v>1430</v>
      </c>
      <c r="B2307" s="885">
        <f>B2301</f>
        <v>1948</v>
      </c>
      <c r="C2307" s="885">
        <f t="shared" ref="C2307:D2307" si="720">C2301</f>
        <v>1948</v>
      </c>
      <c r="D2307" s="885">
        <f t="shared" si="720"/>
        <v>1948</v>
      </c>
    </row>
    <row r="2308" spans="1:4" x14ac:dyDescent="0.3">
      <c r="A2308" s="177" t="s">
        <v>1432</v>
      </c>
      <c r="B2308" s="901">
        <f>B2362*B2302/Drivers!ED154</f>
        <v>76.791808873720143</v>
      </c>
      <c r="C2308" s="901">
        <f>B2308*C2302/B2302*1.04</f>
        <v>146.41638225255974</v>
      </c>
      <c r="D2308" s="901">
        <f>C2308*D2302/C2302*1.04^6</f>
        <v>252.63195420483285</v>
      </c>
    </row>
    <row r="2309" spans="1:4" x14ac:dyDescent="0.3">
      <c r="A2309" s="298" t="s">
        <v>1433</v>
      </c>
      <c r="B2309" s="900">
        <f>B2307*B2308/1000</f>
        <v>149.59044368600686</v>
      </c>
      <c r="C2309" s="900">
        <f>C2307*C2308/1000</f>
        <v>285.21911262798636</v>
      </c>
      <c r="D2309" s="900">
        <f>D2307*D2308/1000</f>
        <v>492.12704679101438</v>
      </c>
    </row>
    <row r="2310" spans="1:4" x14ac:dyDescent="0.3">
      <c r="A2310" s="177"/>
      <c r="B2310" s="885"/>
      <c r="C2310" s="885"/>
      <c r="D2310" s="885"/>
    </row>
    <row r="2311" spans="1:4" x14ac:dyDescent="0.3">
      <c r="A2311" s="177" t="s">
        <v>1430</v>
      </c>
      <c r="B2311" s="885">
        <f>B2307</f>
        <v>1948</v>
      </c>
      <c r="C2311" s="885">
        <f t="shared" ref="C2311:D2311" si="721">C2307</f>
        <v>1948</v>
      </c>
      <c r="D2311" s="885">
        <f t="shared" si="721"/>
        <v>1948</v>
      </c>
    </row>
    <row r="2312" spans="1:4" x14ac:dyDescent="0.3">
      <c r="A2312" s="177" t="s">
        <v>1434</v>
      </c>
      <c r="B2312" s="901">
        <f>C2312/C2302*B2302</f>
        <v>70.307167235494873</v>
      </c>
      <c r="C2312" s="901">
        <f>D2312/D2302*C2302</f>
        <v>128.89647326507395</v>
      </c>
      <c r="D2312" s="901">
        <f>B2366</f>
        <v>175.76791808873722</v>
      </c>
    </row>
    <row r="2313" spans="1:4" x14ac:dyDescent="0.3">
      <c r="A2313" s="298" t="s">
        <v>1435</v>
      </c>
      <c r="B2313" s="900">
        <f>B2311*B2312/1000</f>
        <v>136.95836177474399</v>
      </c>
      <c r="C2313" s="900">
        <f>C2311*C2312/1000</f>
        <v>251.09032992036404</v>
      </c>
      <c r="D2313" s="900">
        <f>D2311*D2312/1000</f>
        <v>342.39590443686012</v>
      </c>
    </row>
    <row r="2314" spans="1:4" x14ac:dyDescent="0.3">
      <c r="A2314" s="298"/>
      <c r="B2314" s="900"/>
      <c r="C2314" s="900"/>
      <c r="D2314" s="900"/>
    </row>
    <row r="2315" spans="1:4" x14ac:dyDescent="0.3">
      <c r="A2315" s="298" t="s">
        <v>1436</v>
      </c>
      <c r="B2315" s="900">
        <f>B2309+B2313</f>
        <v>286.54880546075083</v>
      </c>
      <c r="C2315" s="900">
        <f t="shared" ref="C2315:D2315" si="722">C2309+C2313</f>
        <v>536.30944254835038</v>
      </c>
      <c r="D2315" s="900">
        <f t="shared" si="722"/>
        <v>834.5229512278745</v>
      </c>
    </row>
    <row r="2316" spans="1:4" x14ac:dyDescent="0.3">
      <c r="A2316" s="177"/>
      <c r="B2316" s="885"/>
      <c r="C2316" s="885"/>
      <c r="D2316" s="885"/>
    </row>
    <row r="2317" spans="1:4" ht="12.5" thickBot="1" x14ac:dyDescent="0.35">
      <c r="A2317" s="298" t="s">
        <v>19</v>
      </c>
      <c r="B2317" s="1251">
        <f>B2305+B2315</f>
        <v>542.52652466075085</v>
      </c>
      <c r="C2317" s="1251">
        <f t="shared" ref="C2317:D2317" si="723">C2305+C2315</f>
        <v>1024.3736271563505</v>
      </c>
      <c r="D2317" s="1251">
        <f t="shared" si="723"/>
        <v>1644.2566422653467</v>
      </c>
    </row>
    <row r="2318" spans="1:4" ht="12.5" thickTop="1" x14ac:dyDescent="0.3">
      <c r="A2318" s="177"/>
      <c r="B2318" s="885"/>
      <c r="C2318" s="885"/>
      <c r="D2318" s="885"/>
    </row>
    <row r="2319" spans="1:4" x14ac:dyDescent="0.3">
      <c r="A2319" s="177"/>
      <c r="B2319" s="885"/>
      <c r="C2319" s="885"/>
      <c r="D2319" s="885"/>
    </row>
    <row r="2320" spans="1:4" x14ac:dyDescent="0.3">
      <c r="A2320" s="177" t="s">
        <v>1437</v>
      </c>
      <c r="B2320" s="1319">
        <f>B2303*B2344*12/1000</f>
        <v>21.038399999999999</v>
      </c>
      <c r="C2320" s="1319">
        <f>C2303*C2344*12/1000</f>
        <v>38.570399999999999</v>
      </c>
      <c r="D2320" s="1319">
        <f>D2303*D2344*12/1000</f>
        <v>52.595999999999997</v>
      </c>
    </row>
    <row r="2321" spans="1:4" x14ac:dyDescent="0.3">
      <c r="A2321" s="177" t="s">
        <v>1438</v>
      </c>
      <c r="B2321" s="1319">
        <f>B2325-SUM(B2320,B2322:B2324)</f>
        <v>235.777279250785</v>
      </c>
      <c r="C2321" s="1319">
        <f>B2321*1.02</f>
        <v>240.49282483580072</v>
      </c>
      <c r="D2321" s="1319">
        <f>C2321*1.02^6</f>
        <v>270.83398143271876</v>
      </c>
    </row>
    <row r="2322" spans="1:4" x14ac:dyDescent="0.3">
      <c r="A2322" s="177" t="s">
        <v>1439</v>
      </c>
      <c r="B2322" s="1319">
        <f>B2307*B2345*12/1000</f>
        <v>93.504000000000005</v>
      </c>
      <c r="C2322" s="1319">
        <f t="shared" ref="C2322:D2322" si="724">C2307*C2345*12/1000</f>
        <v>178.28096000000002</v>
      </c>
      <c r="D2322" s="1319">
        <f t="shared" si="724"/>
        <v>307.61221271417003</v>
      </c>
    </row>
    <row r="2323" spans="1:4" x14ac:dyDescent="0.3">
      <c r="A2323" s="177" t="s">
        <v>1440</v>
      </c>
      <c r="B2323" s="1319">
        <f>(B2325-B2320-B2322-B2324)/5</f>
        <v>58.944319812696243</v>
      </c>
      <c r="C2323" s="1319">
        <f>B2323*1.02</f>
        <v>60.123206208950165</v>
      </c>
      <c r="D2323" s="1319">
        <f>C2323*1.02^6</f>
        <v>67.708495358179675</v>
      </c>
    </row>
    <row r="2324" spans="1:4" x14ac:dyDescent="0.3">
      <c r="A2324" s="177" t="s">
        <v>1441</v>
      </c>
      <c r="B2324" s="901">
        <f>B2313*(1-B2334)</f>
        <v>123.2625255972696</v>
      </c>
      <c r="C2324" s="901">
        <f t="shared" ref="C2324:D2324" si="725">C2313*(1-C2334)</f>
        <v>213.42678043230944</v>
      </c>
      <c r="D2324" s="901">
        <f t="shared" si="725"/>
        <v>267.06880546075092</v>
      </c>
    </row>
    <row r="2325" spans="1:4" x14ac:dyDescent="0.3">
      <c r="A2325" s="298" t="s">
        <v>1442</v>
      </c>
      <c r="B2325" s="1111">
        <f>B2317-B2330</f>
        <v>532.52652466075085</v>
      </c>
      <c r="C2325" s="1111">
        <f>SUM(C2320:C2324)</f>
        <v>730.89417147706035</v>
      </c>
      <c r="D2325" s="1111">
        <f>SUM(D2320:D2324)</f>
        <v>965.81949496581933</v>
      </c>
    </row>
    <row r="2326" spans="1:4" x14ac:dyDescent="0.3">
      <c r="A2326" s="177"/>
      <c r="B2326" s="1319"/>
      <c r="C2326" s="1319"/>
      <c r="D2326" s="1319"/>
    </row>
    <row r="2327" spans="1:4" x14ac:dyDescent="0.3">
      <c r="A2327" s="177" t="s">
        <v>1443</v>
      </c>
      <c r="B2327" s="1319">
        <f>B2305-B2320-B2321</f>
        <v>-0.8379600507849716</v>
      </c>
      <c r="C2327" s="1319">
        <f t="shared" ref="C2327:D2327" si="726">C2305-C2320-C2321</f>
        <v>209.00095977219939</v>
      </c>
      <c r="D2327" s="1319">
        <f t="shared" si="726"/>
        <v>486.30370960475335</v>
      </c>
    </row>
    <row r="2328" spans="1:4" x14ac:dyDescent="0.3">
      <c r="A2328" s="177" t="s">
        <v>1444</v>
      </c>
      <c r="B2328" s="1319">
        <f>B2309-B2322-B2323</f>
        <v>-2.8578761266893835</v>
      </c>
      <c r="C2328" s="1319">
        <f t="shared" ref="C2328:D2328" si="727">C2309-C2322-C2323</f>
        <v>46.814946419036175</v>
      </c>
      <c r="D2328" s="1319">
        <f t="shared" si="727"/>
        <v>116.80633871866468</v>
      </c>
    </row>
    <row r="2329" spans="1:4" x14ac:dyDescent="0.3">
      <c r="A2329" s="177" t="s">
        <v>1445</v>
      </c>
      <c r="B2329" s="901">
        <f>B2334*B2313</f>
        <v>13.6958361774744</v>
      </c>
      <c r="C2329" s="901">
        <f t="shared" ref="C2329:D2329" si="728">C2334*C2313</f>
        <v>37.663549488054606</v>
      </c>
      <c r="D2329" s="901">
        <f t="shared" si="728"/>
        <v>75.327098976109227</v>
      </c>
    </row>
    <row r="2330" spans="1:4" x14ac:dyDescent="0.3">
      <c r="A2330" s="298" t="s">
        <v>218</v>
      </c>
      <c r="B2330" s="147">
        <v>10</v>
      </c>
      <c r="C2330" s="921">
        <f>C2317-C2325</f>
        <v>293.47945567929014</v>
      </c>
      <c r="D2330" s="921">
        <f>D2317-D2325</f>
        <v>678.4371472995274</v>
      </c>
    </row>
    <row r="2331" spans="1:4" x14ac:dyDescent="0.3">
      <c r="A2331" s="94" t="s">
        <v>1326</v>
      </c>
      <c r="B2331" s="1239">
        <f>B2330/B2317</f>
        <v>1.8432278507033613E-2</v>
      </c>
      <c r="C2331" s="1239">
        <f>C2330/C2317</f>
        <v>0.28649649688267137</v>
      </c>
      <c r="D2331" s="1239">
        <f>D2330/D2317</f>
        <v>0.41261025186726452</v>
      </c>
    </row>
    <row r="2332" spans="1:4" x14ac:dyDescent="0.3">
      <c r="A2332" s="94" t="s">
        <v>1446</v>
      </c>
      <c r="B2332" s="1239">
        <f>B2327/B2305</f>
        <v>-3.2735663611810615E-3</v>
      </c>
      <c r="C2332" s="1239">
        <f t="shared" ref="C2332:D2332" si="729">C2327/C2305</f>
        <v>0.42822433270751731</v>
      </c>
      <c r="D2332" s="1239">
        <f t="shared" si="729"/>
        <v>0.60057240422054836</v>
      </c>
    </row>
    <row r="2333" spans="1:4" x14ac:dyDescent="0.3">
      <c r="A2333" s="94" t="s">
        <v>1447</v>
      </c>
      <c r="B2333" s="1239">
        <f>B2328/B2309</f>
        <v>-1.9104670433949103E-2</v>
      </c>
      <c r="C2333" s="1239">
        <f t="shared" ref="C2333:D2333" si="730">C2328/C2309</f>
        <v>0.16413677887041636</v>
      </c>
      <c r="D2333" s="1239">
        <f t="shared" si="730"/>
        <v>0.23734996781891446</v>
      </c>
    </row>
    <row r="2334" spans="1:4" x14ac:dyDescent="0.3">
      <c r="A2334" s="94" t="s">
        <v>1448</v>
      </c>
      <c r="B2334" s="1407">
        <v>0.1</v>
      </c>
      <c r="C2334" s="1407">
        <v>0.15</v>
      </c>
      <c r="D2334" s="1407">
        <v>0.22</v>
      </c>
    </row>
    <row r="2335" spans="1:4" x14ac:dyDescent="0.3">
      <c r="A2335" s="94" t="s">
        <v>1449</v>
      </c>
      <c r="B2335" s="1239">
        <f>(B2328+B2329)/B2315</f>
        <v>3.7822387824504519E-2</v>
      </c>
      <c r="C2335" s="1239">
        <f t="shared" ref="C2335:D2335" si="731">(C2328+C2329)/C2315</f>
        <v>0.15751819603563053</v>
      </c>
      <c r="D2335" s="1239">
        <f t="shared" si="731"/>
        <v>0.2302314602756923</v>
      </c>
    </row>
    <row r="2336" spans="1:4" x14ac:dyDescent="0.3">
      <c r="A2336" s="94" t="s">
        <v>1327</v>
      </c>
      <c r="B2336" s="885">
        <f>B2330/B2301*1000</f>
        <v>5.1334702258726894</v>
      </c>
      <c r="C2336" s="885">
        <f t="shared" ref="C2336:D2336" si="732">C2330/C2301*1000</f>
        <v>150.65680476349596</v>
      </c>
      <c r="D2336" s="885">
        <f t="shared" si="732"/>
        <v>348.27368957881282</v>
      </c>
    </row>
    <row r="2339" spans="1:4" ht="13" x14ac:dyDescent="0.3">
      <c r="A2339" s="90" t="s">
        <v>480</v>
      </c>
      <c r="B2339" s="1406">
        <v>0.18</v>
      </c>
      <c r="C2339" s="1406">
        <v>0.33</v>
      </c>
      <c r="D2339" s="1406">
        <v>0.45</v>
      </c>
    </row>
    <row r="2340" spans="1:4" x14ac:dyDescent="0.3">
      <c r="A2340" t="s">
        <v>1450</v>
      </c>
      <c r="B2340" s="885">
        <f>B2342-B2341</f>
        <v>0</v>
      </c>
      <c r="C2340" s="885">
        <f>B2340</f>
        <v>0</v>
      </c>
      <c r="D2340" s="885">
        <f>C2340</f>
        <v>0</v>
      </c>
    </row>
    <row r="2341" spans="1:4" x14ac:dyDescent="0.3">
      <c r="A2341" t="s">
        <v>1451</v>
      </c>
      <c r="B2341" s="901">
        <f>B2303*B2344*12/1000</f>
        <v>21.038399999999999</v>
      </c>
      <c r="C2341" s="901">
        <f>C2303*C2344*12/1000</f>
        <v>38.570399999999999</v>
      </c>
      <c r="D2341" s="901">
        <f>D2303*D2344*12/1000</f>
        <v>52.595999999999997</v>
      </c>
    </row>
    <row r="2342" spans="1:4" x14ac:dyDescent="0.3">
      <c r="A2342" s="90" t="s">
        <v>1452</v>
      </c>
      <c r="B2342" s="900">
        <f>B2320</f>
        <v>21.038399999999999</v>
      </c>
      <c r="C2342" s="900">
        <f>SUM(C2340:C2341)</f>
        <v>38.570399999999999</v>
      </c>
      <c r="D2342" s="900">
        <f>SUM(D2340:D2341)</f>
        <v>52.595999999999997</v>
      </c>
    </row>
    <row r="2344" spans="1:4" x14ac:dyDescent="0.3">
      <c r="A2344" t="s">
        <v>1453</v>
      </c>
      <c r="B2344" s="885">
        <v>5</v>
      </c>
      <c r="C2344" s="885">
        <f>B2344</f>
        <v>5</v>
      </c>
      <c r="D2344" s="885">
        <f>C2344</f>
        <v>5</v>
      </c>
    </row>
    <row r="2345" spans="1:4" x14ac:dyDescent="0.3">
      <c r="A2345" t="s">
        <v>1454</v>
      </c>
      <c r="B2345" s="885">
        <v>4</v>
      </c>
      <c r="C2345" s="885">
        <f>B2345/B2308*C2308</f>
        <v>7.6266666666666669</v>
      </c>
      <c r="D2345" s="885">
        <f>C2345/C2308*D2308</f>
        <v>13.159317792358404</v>
      </c>
    </row>
    <row r="2348" spans="1:4" x14ac:dyDescent="0.3">
      <c r="A2348" s="177" t="s">
        <v>1455</v>
      </c>
      <c r="B2348" s="76">
        <f>Drivers!ED27</f>
        <v>1112</v>
      </c>
    </row>
    <row r="2349" spans="1:4" x14ac:dyDescent="0.3">
      <c r="A2349" s="177" t="s">
        <v>1456</v>
      </c>
      <c r="B2349" s="104">
        <f>Drivers!ED82</f>
        <v>3223</v>
      </c>
    </row>
    <row r="2350" spans="1:4" x14ac:dyDescent="0.3">
      <c r="A2350" s="177" t="s">
        <v>1457</v>
      </c>
      <c r="B2350" s="885">
        <f>B2348/B2349*1000</f>
        <v>345.02016754576482</v>
      </c>
    </row>
    <row r="2351" spans="1:4" x14ac:dyDescent="0.3">
      <c r="A2351" s="177" t="s">
        <v>1458</v>
      </c>
      <c r="B2351" s="901">
        <f>SUM(Drivers!EN86)</f>
        <v>1948</v>
      </c>
    </row>
    <row r="2352" spans="1:4" x14ac:dyDescent="0.3">
      <c r="A2352" s="298" t="s">
        <v>218</v>
      </c>
      <c r="B2352" s="900">
        <f>B2350*B2351/1000</f>
        <v>672.09928637914993</v>
      </c>
    </row>
    <row r="2355" spans="1:2" x14ac:dyDescent="0.3">
      <c r="A2355" s="177" t="s">
        <v>1459</v>
      </c>
      <c r="B2355" s="76">
        <f>Drivers!ED205</f>
        <v>1133</v>
      </c>
    </row>
    <row r="2356" spans="1:2" x14ac:dyDescent="0.3">
      <c r="A2356" s="177" t="s">
        <v>1460</v>
      </c>
      <c r="B2356" s="634">
        <v>0.5</v>
      </c>
    </row>
    <row r="2357" spans="1:2" x14ac:dyDescent="0.3">
      <c r="A2357" s="177" t="s">
        <v>1461</v>
      </c>
      <c r="B2357" s="885">
        <f>B2355*B2356</f>
        <v>566.5</v>
      </c>
    </row>
    <row r="2358" spans="1:2" x14ac:dyDescent="0.3">
      <c r="A2358" s="94" t="s">
        <v>1462</v>
      </c>
      <c r="B2358" s="77">
        <f>B2355-B2357</f>
        <v>566.5</v>
      </c>
    </row>
    <row r="2360" spans="1:2" x14ac:dyDescent="0.3">
      <c r="A2360" s="177" t="s">
        <v>1463</v>
      </c>
      <c r="B2360" s="885">
        <f>B2357</f>
        <v>566.5</v>
      </c>
    </row>
    <row r="2361" spans="1:2" x14ac:dyDescent="0.3">
      <c r="A2361" s="177" t="s">
        <v>1456</v>
      </c>
      <c r="B2361" s="104">
        <f>B2349</f>
        <v>3223</v>
      </c>
    </row>
    <row r="2362" spans="1:2" x14ac:dyDescent="0.3">
      <c r="A2362" s="177" t="s">
        <v>1464</v>
      </c>
      <c r="B2362" s="885">
        <f>B2360/B2361*1000</f>
        <v>175.76791808873722</v>
      </c>
    </row>
    <row r="2364" spans="1:2" x14ac:dyDescent="0.3">
      <c r="A2364" s="177" t="s">
        <v>1465</v>
      </c>
      <c r="B2364" s="76">
        <f>B2358</f>
        <v>566.5</v>
      </c>
    </row>
    <row r="2365" spans="1:2" x14ac:dyDescent="0.3">
      <c r="A2365" s="177" t="s">
        <v>1456</v>
      </c>
      <c r="B2365" s="104">
        <f>B2361</f>
        <v>3223</v>
      </c>
    </row>
    <row r="2366" spans="1:2" x14ac:dyDescent="0.3">
      <c r="A2366" s="177" t="s">
        <v>1466</v>
      </c>
      <c r="B2366" s="885">
        <f>B2364/B2365*1000</f>
        <v>175.76791808873722</v>
      </c>
    </row>
    <row r="2368" spans="1:2" x14ac:dyDescent="0.3">
      <c r="A2368" s="177" t="s">
        <v>1459</v>
      </c>
      <c r="B2368" s="885">
        <f>Drivers!ED205</f>
        <v>1133</v>
      </c>
    </row>
    <row r="2369" spans="1:20" x14ac:dyDescent="0.3">
      <c r="A2369" s="177" t="s">
        <v>1456</v>
      </c>
      <c r="B2369" s="901">
        <f>B2349</f>
        <v>3223</v>
      </c>
    </row>
    <row r="2370" spans="1:20" x14ac:dyDescent="0.3">
      <c r="A2370" s="177" t="s">
        <v>1467</v>
      </c>
      <c r="B2370" s="885">
        <f>B2368/B2369*1000</f>
        <v>351.53583617747444</v>
      </c>
    </row>
    <row r="2372" spans="1:20" x14ac:dyDescent="0.3">
      <c r="A2372" s="177" t="s">
        <v>1430</v>
      </c>
      <c r="D2372" s="887">
        <f>D2301</f>
        <v>1948</v>
      </c>
    </row>
    <row r="2373" spans="1:20" x14ac:dyDescent="0.3">
      <c r="A2373" s="177" t="s">
        <v>1468</v>
      </c>
      <c r="D2373" s="866">
        <f>B2370</f>
        <v>351.53583617747444</v>
      </c>
    </row>
    <row r="2374" spans="1:20" x14ac:dyDescent="0.3">
      <c r="A2374" s="177" t="s">
        <v>1469</v>
      </c>
      <c r="D2374" s="885">
        <f>D2372*D2373/1000</f>
        <v>684.79180887372024</v>
      </c>
    </row>
    <row r="2378" spans="1:20" x14ac:dyDescent="0.3">
      <c r="A2378" s="1256" t="s">
        <v>1470</v>
      </c>
      <c r="B2378" s="1257"/>
      <c r="C2378" s="1257"/>
      <c r="D2378" s="1257"/>
      <c r="E2378" s="1257"/>
      <c r="F2378" s="1257"/>
      <c r="G2378" s="1257"/>
      <c r="H2378" s="1257"/>
      <c r="I2378" s="1257"/>
      <c r="J2378" s="1257"/>
      <c r="K2378" s="1257"/>
      <c r="L2378" s="1257"/>
      <c r="M2378" s="1257"/>
      <c r="N2378" s="1257"/>
      <c r="O2378" s="1257"/>
      <c r="P2378" s="1257"/>
      <c r="Q2378" s="1257"/>
      <c r="R2378" s="1257"/>
      <c r="S2378" s="1257"/>
      <c r="T2378" s="1257"/>
    </row>
    <row r="2379" spans="1:20" ht="13" x14ac:dyDescent="0.3">
      <c r="B2379" s="1338" t="s">
        <v>1127</v>
      </c>
      <c r="C2379" s="1338" t="s">
        <v>1128</v>
      </c>
      <c r="D2379" s="1338" t="s">
        <v>922</v>
      </c>
      <c r="E2379" s="1338" t="s">
        <v>923</v>
      </c>
      <c r="F2379" s="1338" t="s">
        <v>924</v>
      </c>
      <c r="G2379" s="1338" t="s">
        <v>925</v>
      </c>
      <c r="H2379" s="1338" t="s">
        <v>883</v>
      </c>
      <c r="I2379" s="1338" t="s">
        <v>884</v>
      </c>
    </row>
    <row r="2380" spans="1:20" x14ac:dyDescent="0.3">
      <c r="A2380" s="177" t="s">
        <v>1471</v>
      </c>
      <c r="B2380">
        <v>0.24</v>
      </c>
      <c r="C2380">
        <v>0.54</v>
      </c>
      <c r="D2380">
        <v>1.1100000000000001</v>
      </c>
      <c r="E2380">
        <v>1.38</v>
      </c>
      <c r="F2380">
        <v>1.66</v>
      </c>
      <c r="G2380">
        <v>2.1</v>
      </c>
      <c r="H2380">
        <v>1.68</v>
      </c>
      <c r="I2380">
        <v>1.34</v>
      </c>
    </row>
    <row r="2381" spans="1:20" x14ac:dyDescent="0.3">
      <c r="A2381" s="177" t="s">
        <v>1472</v>
      </c>
      <c r="B2381" s="104">
        <f>Drivers!EG180</f>
        <v>1277.5</v>
      </c>
      <c r="C2381" s="104">
        <f>Drivers!EH180</f>
        <v>1314</v>
      </c>
      <c r="D2381" s="104">
        <f>Drivers!EJ180</f>
        <v>1362</v>
      </c>
      <c r="E2381" s="104">
        <f>Drivers!EK180</f>
        <v>1413</v>
      </c>
      <c r="F2381" s="104">
        <f>Drivers!EL180</f>
        <v>1470</v>
      </c>
      <c r="G2381" s="104">
        <f>Drivers!EM180</f>
        <v>1538.5</v>
      </c>
      <c r="H2381" s="104">
        <f>Drivers!EO180</f>
        <v>1617</v>
      </c>
      <c r="I2381" s="104">
        <f>Drivers!EP180</f>
        <v>1690.5</v>
      </c>
    </row>
    <row r="2382" spans="1:20" x14ac:dyDescent="0.3">
      <c r="A2382" s="177" t="s">
        <v>1473</v>
      </c>
      <c r="B2382" s="1015">
        <f>B2380*B2381*3/1000</f>
        <v>0.91979999999999995</v>
      </c>
      <c r="C2382" s="1015">
        <f t="shared" ref="C2382:I2382" si="733">C2380*C2381*3/1000</f>
        <v>2.1286800000000001</v>
      </c>
      <c r="D2382" s="1015">
        <f t="shared" si="733"/>
        <v>4.5354600000000014</v>
      </c>
      <c r="E2382" s="1015">
        <f t="shared" si="733"/>
        <v>5.8498199999999994</v>
      </c>
      <c r="F2382" s="1015">
        <f t="shared" si="733"/>
        <v>7.3205999999999998</v>
      </c>
      <c r="G2382" s="1015">
        <f t="shared" si="733"/>
        <v>9.6925500000000007</v>
      </c>
      <c r="H2382" s="1015">
        <f t="shared" si="733"/>
        <v>8.14968</v>
      </c>
      <c r="I2382" s="1015">
        <f t="shared" si="733"/>
        <v>6.7958099999999995</v>
      </c>
    </row>
    <row r="2385" spans="1:20" x14ac:dyDescent="0.3">
      <c r="A2385" s="1256" t="s">
        <v>1336</v>
      </c>
      <c r="B2385" s="1257"/>
      <c r="C2385" s="1257"/>
      <c r="D2385" s="1257"/>
      <c r="E2385" s="1257"/>
      <c r="F2385" s="1257"/>
      <c r="G2385" s="1257"/>
      <c r="H2385" s="1257"/>
      <c r="I2385" s="1257"/>
      <c r="J2385" s="1257"/>
      <c r="K2385" s="1257"/>
      <c r="L2385" s="1257"/>
      <c r="M2385" s="1257"/>
      <c r="N2385" s="1257"/>
      <c r="O2385" s="1257"/>
      <c r="P2385" s="1257"/>
      <c r="Q2385" s="1257"/>
      <c r="R2385" s="1257"/>
      <c r="S2385" s="1257"/>
      <c r="T2385" s="1257"/>
    </row>
    <row r="2387" spans="1:20" x14ac:dyDescent="0.3">
      <c r="A2387" s="177" t="s">
        <v>780</v>
      </c>
      <c r="B2387">
        <f>Drivers!EP90</f>
        <v>5826</v>
      </c>
    </row>
    <row r="2388" spans="1:20" x14ac:dyDescent="0.3">
      <c r="A2388" s="177" t="s">
        <v>781</v>
      </c>
      <c r="B2388">
        <v>3500</v>
      </c>
    </row>
    <row r="2389" spans="1:20" x14ac:dyDescent="0.3">
      <c r="B2389">
        <f>B2387*B2388/1000</f>
        <v>20391</v>
      </c>
    </row>
    <row r="2390" spans="1:20" x14ac:dyDescent="0.3">
      <c r="B2390" s="76">
        <f>Valuation!B9-Valuation!B10</f>
        <v>10811</v>
      </c>
    </row>
    <row r="2391" spans="1:20" x14ac:dyDescent="0.3">
      <c r="B2391" s="76">
        <f>B2389-B2390</f>
        <v>9580</v>
      </c>
    </row>
    <row r="2392" spans="1:20" x14ac:dyDescent="0.3">
      <c r="B2392" s="76">
        <f>Valuation!B7</f>
        <v>260</v>
      </c>
    </row>
    <row r="2393" spans="1:20" x14ac:dyDescent="0.3">
      <c r="B2393" s="1015">
        <f>B2391/B2392</f>
        <v>36.846153846153847</v>
      </c>
    </row>
    <row r="2395" spans="1:20" x14ac:dyDescent="0.3">
      <c r="A2395" t="s">
        <v>1474</v>
      </c>
      <c r="B2395" s="76">
        <f>AVERAGE(Drivers!EL107,Drivers!EM107,Drivers!EO107,Drivers!EP107)</f>
        <v>10211.625</v>
      </c>
      <c r="C2395" s="76">
        <f>Drivers!EV94</f>
        <v>7818</v>
      </c>
      <c r="D2395" s="76">
        <f>C2395</f>
        <v>7818</v>
      </c>
    </row>
    <row r="2396" spans="1:20" x14ac:dyDescent="0.3">
      <c r="A2396" s="177" t="s">
        <v>1475</v>
      </c>
      <c r="B2396" s="104">
        <f>Valuation!B250</f>
        <v>250</v>
      </c>
      <c r="C2396" s="104">
        <f>B2396</f>
        <v>250</v>
      </c>
      <c r="D2396" s="104">
        <f>C2396</f>
        <v>250</v>
      </c>
    </row>
    <row r="2397" spans="1:20" x14ac:dyDescent="0.3">
      <c r="A2397" s="177" t="s">
        <v>1476</v>
      </c>
      <c r="B2397" s="76">
        <f>B2395*B2396/1000</f>
        <v>2552.90625</v>
      </c>
      <c r="C2397" s="76">
        <f>C2395*C2396/1000</f>
        <v>1954.5</v>
      </c>
      <c r="D2397" s="76">
        <f>D2395*D2396/1000</f>
        <v>1954.5</v>
      </c>
    </row>
    <row r="2398" spans="1:20" x14ac:dyDescent="0.3">
      <c r="A2398" s="177" t="s">
        <v>1477</v>
      </c>
      <c r="B2398" s="104">
        <f>SUM(Drivers!EL28:EM28,Drivers!EO28:EP28)</f>
        <v>767</v>
      </c>
      <c r="C2398" s="76">
        <f>SUM(Drivers!ER28,Drivers!ET28:EV28)</f>
        <v>651</v>
      </c>
      <c r="D2398" s="76">
        <f>C2398</f>
        <v>651</v>
      </c>
    </row>
    <row r="2399" spans="1:20" x14ac:dyDescent="0.3">
      <c r="A2399" s="177" t="s">
        <v>1478</v>
      </c>
      <c r="B2399" s="1402">
        <f>B2397/B2398</f>
        <v>3.3284305736636246</v>
      </c>
      <c r="C2399" s="1402">
        <f>C2397/C2398</f>
        <v>3.0023041474654377</v>
      </c>
      <c r="D2399" s="1402">
        <f>D2397/D2398</f>
        <v>3.0023041474654377</v>
      </c>
    </row>
    <row r="2401" spans="1:4" x14ac:dyDescent="0.3">
      <c r="A2401" t="s">
        <v>1479</v>
      </c>
      <c r="B2401" s="76">
        <f>AVERAGE(Drivers!EL106,Drivers!EM106,Drivers!EO106,Drivers!EP106)</f>
        <v>5150.875</v>
      </c>
      <c r="C2401" s="885">
        <f>Drivers!EV90</f>
        <v>7582</v>
      </c>
      <c r="D2401" s="885">
        <f>C2401</f>
        <v>7582</v>
      </c>
    </row>
    <row r="2402" spans="1:4" x14ac:dyDescent="0.3">
      <c r="A2402" s="177" t="s">
        <v>1480</v>
      </c>
      <c r="B2402" s="104">
        <f>Valuation!B245</f>
        <v>3300</v>
      </c>
      <c r="C2402" s="104">
        <f>B2402</f>
        <v>3300</v>
      </c>
      <c r="D2402" s="104">
        <f>B602</f>
        <v>3310.5248729103546</v>
      </c>
    </row>
    <row r="2403" spans="1:4" x14ac:dyDescent="0.3">
      <c r="A2403" s="177" t="s">
        <v>1353</v>
      </c>
      <c r="B2403" s="76">
        <f>B2401*B2402/1000</f>
        <v>16997.887500000001</v>
      </c>
      <c r="C2403" s="76">
        <f>C2401*C2402/1000</f>
        <v>25020.6</v>
      </c>
      <c r="D2403" s="76">
        <f>D2401*D2402/1000</f>
        <v>25100.399586406311</v>
      </c>
    </row>
    <row r="2404" spans="1:4" x14ac:dyDescent="0.3">
      <c r="A2404" s="177" t="s">
        <v>1481</v>
      </c>
      <c r="B2404" s="104">
        <f>SUM(Drivers!EL27:EM27,Drivers!EO27:EP27)</f>
        <v>1247</v>
      </c>
      <c r="C2404" s="76">
        <f>SUM(Drivers!ER27,Drivers!ET27:EV27)</f>
        <v>1492</v>
      </c>
      <c r="D2404" s="76">
        <f>C2404</f>
        <v>1492</v>
      </c>
    </row>
    <row r="2405" spans="1:4" x14ac:dyDescent="0.3">
      <c r="A2405" s="177" t="s">
        <v>1482</v>
      </c>
      <c r="B2405" s="1402">
        <f>B2403/B2404</f>
        <v>13.631024458700884</v>
      </c>
      <c r="C2405" s="1402">
        <f>C2403/C2404</f>
        <v>16.769839142091151</v>
      </c>
      <c r="D2405" s="1402">
        <f>D2403/D2404</f>
        <v>16.823324119575275</v>
      </c>
    </row>
    <row r="2406" spans="1:4" x14ac:dyDescent="0.3">
      <c r="B2406" s="1179"/>
    </row>
    <row r="2407" spans="1:4" x14ac:dyDescent="0.3">
      <c r="A2407" t="s">
        <v>1483</v>
      </c>
      <c r="B2407" s="899">
        <f>(B2403+B2397)/(B2404+B2398)</f>
        <v>9.7074447616683219</v>
      </c>
      <c r="C2407" s="899">
        <f>(C2403+C2397)/(C2404+C2398)</f>
        <v>12.587540830611292</v>
      </c>
      <c r="D2407" s="899">
        <f>(D2403+D2397)/(D2404+D2398)</f>
        <v>12.624778155112605</v>
      </c>
    </row>
    <row r="2410" spans="1:4" x14ac:dyDescent="0.3">
      <c r="A2410" t="s">
        <v>629</v>
      </c>
      <c r="B2410" s="1179">
        <f>B2399</f>
        <v>3.3284305736636246</v>
      </c>
      <c r="C2410" s="1179">
        <f>C2399</f>
        <v>3.0023041474654377</v>
      </c>
    </row>
    <row r="2411" spans="1:4" x14ac:dyDescent="0.3">
      <c r="A2411" t="s">
        <v>1484</v>
      </c>
      <c r="B2411" s="1179">
        <f>B2405</f>
        <v>13.631024458700884</v>
      </c>
      <c r="C2411" s="1179">
        <f>C2405</f>
        <v>16.769839142091151</v>
      </c>
    </row>
    <row r="2412" spans="1:4" x14ac:dyDescent="0.3">
      <c r="A2412" t="s">
        <v>1485</v>
      </c>
      <c r="B2412" s="1179">
        <f>B2407</f>
        <v>9.7074447616683219</v>
      </c>
      <c r="C2412" s="1179">
        <f>B2421</f>
        <v>9.4285714285714288</v>
      </c>
    </row>
    <row r="2416" spans="1:4" x14ac:dyDescent="0.3">
      <c r="A2416" t="s">
        <v>1486</v>
      </c>
      <c r="B2416" s="76">
        <f>C2404</f>
        <v>1492</v>
      </c>
    </row>
    <row r="2417" spans="1:3" x14ac:dyDescent="0.3">
      <c r="A2417" s="177" t="s">
        <v>1487</v>
      </c>
      <c r="B2417" s="885">
        <f>670+344*Drivers!ES87/1000</f>
        <v>1124.08</v>
      </c>
    </row>
    <row r="2419" spans="1:3" x14ac:dyDescent="0.3">
      <c r="B2419" s="76">
        <f>C2403</f>
        <v>25020.6</v>
      </c>
      <c r="C2419" s="76">
        <f>D2403</f>
        <v>25100.399586406311</v>
      </c>
    </row>
    <row r="2420" spans="1:3" x14ac:dyDescent="0.3">
      <c r="B2420" s="885">
        <f>C2401*350/1000</f>
        <v>2653.7</v>
      </c>
      <c r="C2420" s="887">
        <f>B2420</f>
        <v>2653.7</v>
      </c>
    </row>
    <row r="2421" spans="1:3" x14ac:dyDescent="0.3">
      <c r="B2421" s="899">
        <f>B2419/B2420</f>
        <v>9.4285714285714288</v>
      </c>
      <c r="C2421" s="899">
        <f>C2419/C2420</f>
        <v>9.4586424940295863</v>
      </c>
    </row>
    <row r="2426" spans="1:3" x14ac:dyDescent="0.3">
      <c r="A2426" t="s">
        <v>629</v>
      </c>
      <c r="B2426" s="1179">
        <f>C2410</f>
        <v>3.0023041474654377</v>
      </c>
      <c r="C2426" s="1179">
        <f>D2399</f>
        <v>3.0023041474654377</v>
      </c>
    </row>
    <row r="2427" spans="1:3" x14ac:dyDescent="0.3">
      <c r="A2427" t="s">
        <v>1488</v>
      </c>
      <c r="B2427" s="1179">
        <f>C2407</f>
        <v>12.587540830611292</v>
      </c>
      <c r="C2427" s="1179">
        <f>D2407</f>
        <v>12.624778155112605</v>
      </c>
    </row>
    <row r="2428" spans="1:3" x14ac:dyDescent="0.3">
      <c r="A2428" t="s">
        <v>1484</v>
      </c>
      <c r="B2428" s="1179">
        <f>C2411</f>
        <v>16.769839142091151</v>
      </c>
      <c r="C2428" s="1179">
        <f>D2405</f>
        <v>16.823324119575275</v>
      </c>
    </row>
    <row r="2429" spans="1:3" x14ac:dyDescent="0.3">
      <c r="A2429" t="s">
        <v>1485</v>
      </c>
      <c r="B2429" s="1179">
        <f>C2412</f>
        <v>9.4285714285714288</v>
      </c>
      <c r="C2429" s="1179">
        <f>C2421</f>
        <v>9.4586424940295863</v>
      </c>
    </row>
    <row r="2442" spans="1:20" x14ac:dyDescent="0.3">
      <c r="A2442" s="1256" t="s">
        <v>1489</v>
      </c>
      <c r="B2442" s="1257"/>
      <c r="C2442" s="1257"/>
      <c r="D2442" s="1257"/>
      <c r="E2442" s="1257"/>
      <c r="F2442" s="1257"/>
      <c r="G2442" s="1257"/>
      <c r="H2442" s="1257"/>
      <c r="I2442" s="1257"/>
      <c r="J2442" s="1257"/>
      <c r="K2442" s="1257"/>
      <c r="L2442" s="1257"/>
      <c r="M2442" s="1257"/>
      <c r="N2442" s="1257"/>
      <c r="O2442" s="1257"/>
      <c r="P2442" s="1257"/>
      <c r="Q2442" s="1257"/>
      <c r="R2442" s="1257"/>
      <c r="S2442" s="1257"/>
      <c r="T2442" s="1257"/>
    </row>
    <row r="2444" spans="1:20" x14ac:dyDescent="0.3">
      <c r="A2444" s="177" t="s">
        <v>1490</v>
      </c>
      <c r="B2444" s="76">
        <f>SUM(Drivers!EK27:EM27,Drivers!EO27)</f>
        <v>1216</v>
      </c>
    </row>
    <row r="2445" spans="1:20" x14ac:dyDescent="0.3">
      <c r="A2445" s="177" t="s">
        <v>1491</v>
      </c>
      <c r="B2445" s="901">
        <v>10</v>
      </c>
    </row>
    <row r="2446" spans="1:20" x14ac:dyDescent="0.3">
      <c r="A2446" s="177" t="s">
        <v>1492</v>
      </c>
      <c r="B2446" s="885">
        <f>B2444*B2445</f>
        <v>12160</v>
      </c>
    </row>
    <row r="2447" spans="1:20" x14ac:dyDescent="0.3">
      <c r="A2447" s="177" t="s">
        <v>1267</v>
      </c>
      <c r="B2447" s="104">
        <f>Valuation!B9-Valuation!B10</f>
        <v>10811</v>
      </c>
    </row>
    <row r="2448" spans="1:20" x14ac:dyDescent="0.3">
      <c r="A2448" s="177" t="s">
        <v>1493</v>
      </c>
      <c r="B2448" s="887">
        <f>B2446-B2447</f>
        <v>1349</v>
      </c>
    </row>
    <row r="2449" spans="1:2" x14ac:dyDescent="0.3">
      <c r="A2449" s="177" t="s">
        <v>104</v>
      </c>
      <c r="B2449" s="104">
        <f>Valuation!B7</f>
        <v>260</v>
      </c>
    </row>
    <row r="2450" spans="1:2" x14ac:dyDescent="0.3">
      <c r="A2450" s="298" t="s">
        <v>1494</v>
      </c>
      <c r="B2450" s="1084">
        <f>B2448/B2449</f>
        <v>5.1884615384615387</v>
      </c>
    </row>
    <row r="2452" spans="1:2" x14ac:dyDescent="0.3">
      <c r="A2452" s="177" t="s">
        <v>1495</v>
      </c>
      <c r="B2452" s="76">
        <f>SUM(Drivers!EK28:EM28,Drivers!EO28)</f>
        <v>805</v>
      </c>
    </row>
    <row r="2453" spans="1:2" x14ac:dyDescent="0.3">
      <c r="A2453" s="177" t="s">
        <v>1496</v>
      </c>
      <c r="B2453" s="901">
        <v>5</v>
      </c>
    </row>
    <row r="2454" spans="1:2" x14ac:dyDescent="0.3">
      <c r="A2454" s="298" t="s">
        <v>1497</v>
      </c>
      <c r="B2454" s="1339">
        <f>B2452*B2453</f>
        <v>4025</v>
      </c>
    </row>
    <row r="2455" spans="1:2" x14ac:dyDescent="0.3">
      <c r="A2455" s="177" t="s">
        <v>104</v>
      </c>
      <c r="B2455" s="76">
        <f>B2449</f>
        <v>260</v>
      </c>
    </row>
    <row r="2456" spans="1:2" x14ac:dyDescent="0.3">
      <c r="A2456" s="298" t="s">
        <v>1494</v>
      </c>
      <c r="B2456" s="1084">
        <f>B2454/B2455</f>
        <v>15.48076923076923</v>
      </c>
    </row>
    <row r="2458" spans="1:2" x14ac:dyDescent="0.3">
      <c r="A2458" t="s">
        <v>1269</v>
      </c>
    </row>
    <row r="2467" spans="1:20" x14ac:dyDescent="0.3">
      <c r="A2467" s="1256" t="s">
        <v>1498</v>
      </c>
      <c r="B2467" s="1257"/>
      <c r="C2467" s="1257"/>
      <c r="D2467" s="1257"/>
      <c r="E2467" s="1257"/>
      <c r="F2467" s="1257"/>
      <c r="G2467" s="1257"/>
      <c r="H2467" s="1257"/>
      <c r="I2467" s="1257"/>
      <c r="J2467" s="1257"/>
      <c r="K2467" s="1257"/>
      <c r="L2467" s="1257"/>
      <c r="M2467" s="1257"/>
      <c r="N2467" s="1257"/>
      <c r="O2467" s="1257"/>
      <c r="P2467" s="1257"/>
      <c r="Q2467" s="1257"/>
      <c r="R2467" s="1257"/>
      <c r="S2467" s="1257"/>
      <c r="T2467" s="1257"/>
    </row>
    <row r="2469" spans="1:20" x14ac:dyDescent="0.3">
      <c r="B2469" s="374" t="s">
        <v>628</v>
      </c>
      <c r="C2469" s="374" t="s">
        <v>629</v>
      </c>
      <c r="D2469" s="374" t="s">
        <v>266</v>
      </c>
    </row>
    <row r="2470" spans="1:20" x14ac:dyDescent="0.3">
      <c r="A2470" s="177" t="s">
        <v>1499</v>
      </c>
      <c r="B2470" s="885">
        <f>D2470*0.9</f>
        <v>225</v>
      </c>
      <c r="C2470" s="885">
        <f>D2470-B2470</f>
        <v>25</v>
      </c>
      <c r="D2470" s="885">
        <v>250</v>
      </c>
    </row>
    <row r="2471" spans="1:20" x14ac:dyDescent="0.3">
      <c r="A2471" s="177" t="s">
        <v>1500</v>
      </c>
      <c r="B2471" s="898">
        <f>Drivers!EO154</f>
        <v>0.435</v>
      </c>
      <c r="C2471" s="898">
        <f>Drivers!EO265</f>
        <v>9.9797775530839225E-2</v>
      </c>
      <c r="D2471" s="898">
        <f>D2470/D2472</f>
        <v>0.32562769479300574</v>
      </c>
    </row>
    <row r="2472" spans="1:20" x14ac:dyDescent="0.3">
      <c r="A2472" s="177" t="s">
        <v>1501</v>
      </c>
      <c r="B2472" s="888">
        <f>B2470/B2471</f>
        <v>517.24137931034488</v>
      </c>
      <c r="C2472" s="888">
        <f>C2470/C2471</f>
        <v>250.50658561296862</v>
      </c>
      <c r="D2472" s="888">
        <f>SUM(B2472:C2472)</f>
        <v>767.74796492331348</v>
      </c>
    </row>
    <row r="2475" spans="1:20" x14ac:dyDescent="0.3">
      <c r="A2475" s="1256" t="s">
        <v>1502</v>
      </c>
      <c r="B2475" s="1257"/>
      <c r="C2475" s="1257"/>
      <c r="D2475" s="1257"/>
      <c r="E2475" s="1257"/>
      <c r="F2475" s="1257"/>
      <c r="G2475" s="1257"/>
      <c r="H2475" s="1257"/>
      <c r="I2475" s="1257"/>
      <c r="J2475" s="1257"/>
      <c r="K2475" s="1257"/>
      <c r="L2475" s="1257"/>
      <c r="M2475" s="1257"/>
      <c r="N2475" s="1257"/>
      <c r="O2475" s="1257"/>
      <c r="P2475" s="1257"/>
      <c r="Q2475" s="1257"/>
      <c r="R2475" s="1257"/>
      <c r="S2475" s="1257"/>
      <c r="T2475" s="1257"/>
    </row>
    <row r="2477" spans="1:20" ht="13" x14ac:dyDescent="0.3">
      <c r="A2477" s="90" t="s">
        <v>628</v>
      </c>
      <c r="B2477" s="1338" t="s">
        <v>1127</v>
      </c>
      <c r="C2477" s="1338" t="s">
        <v>1128</v>
      </c>
      <c r="D2477" s="1338" t="s">
        <v>922</v>
      </c>
      <c r="E2477" s="1338" t="s">
        <v>923</v>
      </c>
      <c r="F2477" s="1338" t="s">
        <v>924</v>
      </c>
      <c r="G2477" s="1338" t="s">
        <v>925</v>
      </c>
      <c r="H2477" s="1338" t="s">
        <v>883</v>
      </c>
      <c r="I2477" s="1338" t="s">
        <v>884</v>
      </c>
    </row>
    <row r="2478" spans="1:20" x14ac:dyDescent="0.3">
      <c r="A2478" s="177" t="s">
        <v>1503</v>
      </c>
      <c r="B2478" s="76">
        <f>Drivers!EG113</f>
        <v>88.108400000000074</v>
      </c>
      <c r="C2478" s="76">
        <f>Drivers!EH113</f>
        <v>95.163199999999961</v>
      </c>
      <c r="D2478" s="76">
        <f>Drivers!EJ113</f>
        <v>99.695200000000114</v>
      </c>
      <c r="E2478" s="76">
        <f>Drivers!EK113</f>
        <v>109.54520000000002</v>
      </c>
      <c r="F2478" s="76">
        <f>Drivers!EL113</f>
        <v>133.02399999999989</v>
      </c>
      <c r="G2478" s="76">
        <f>Drivers!EM113</f>
        <v>132.47919999999999</v>
      </c>
      <c r="H2478" s="76">
        <f>Drivers!EO113</f>
        <v>140.70000000000005</v>
      </c>
      <c r="I2478" s="76">
        <f>Drivers!EP113</f>
        <v>133.17570000000001</v>
      </c>
    </row>
    <row r="2479" spans="1:20" x14ac:dyDescent="0.3">
      <c r="A2479" s="177" t="s">
        <v>1504</v>
      </c>
      <c r="B2479" s="634">
        <v>0.5</v>
      </c>
      <c r="C2479" s="634">
        <f>B2479</f>
        <v>0.5</v>
      </c>
      <c r="D2479" s="634">
        <f t="shared" ref="D2479:I2479" si="734">C2479</f>
        <v>0.5</v>
      </c>
      <c r="E2479" s="634">
        <f t="shared" si="734"/>
        <v>0.5</v>
      </c>
      <c r="F2479" s="634">
        <f t="shared" si="734"/>
        <v>0.5</v>
      </c>
      <c r="G2479" s="634">
        <f t="shared" si="734"/>
        <v>0.5</v>
      </c>
      <c r="H2479" s="634">
        <f t="shared" si="734"/>
        <v>0.5</v>
      </c>
      <c r="I2479" s="634">
        <f t="shared" si="734"/>
        <v>0.5</v>
      </c>
    </row>
    <row r="2480" spans="1:20" x14ac:dyDescent="0.3">
      <c r="A2480" s="177" t="s">
        <v>1505</v>
      </c>
      <c r="B2480" s="888">
        <f>B2478*B2479</f>
        <v>44.054200000000037</v>
      </c>
      <c r="C2480" s="888">
        <f t="shared" ref="C2480:I2480" si="735">C2478*C2479</f>
        <v>47.58159999999998</v>
      </c>
      <c r="D2480" s="888">
        <f t="shared" si="735"/>
        <v>49.847600000000057</v>
      </c>
      <c r="E2480" s="888">
        <f t="shared" si="735"/>
        <v>54.772600000000011</v>
      </c>
      <c r="F2480" s="888">
        <f t="shared" si="735"/>
        <v>66.511999999999944</v>
      </c>
      <c r="G2480" s="888">
        <f t="shared" si="735"/>
        <v>66.239599999999996</v>
      </c>
      <c r="H2480" s="888">
        <f t="shared" si="735"/>
        <v>70.350000000000023</v>
      </c>
      <c r="I2480" s="888">
        <f t="shared" si="735"/>
        <v>66.587850000000003</v>
      </c>
    </row>
    <row r="2482" spans="1:9" x14ac:dyDescent="0.3">
      <c r="A2482" s="177" t="s">
        <v>1506</v>
      </c>
      <c r="B2482" s="885">
        <v>0</v>
      </c>
      <c r="C2482" s="885">
        <f>B2485</f>
        <v>44.054200000000037</v>
      </c>
      <c r="D2482" s="885">
        <f t="shared" ref="D2482:I2482" si="736">C2485</f>
        <v>89.89125368000002</v>
      </c>
      <c r="E2482" s="885">
        <f t="shared" si="736"/>
        <v>136.52973592362409</v>
      </c>
      <c r="F2482" s="885">
        <f t="shared" si="736"/>
        <v>185.44521025250063</v>
      </c>
      <c r="G2482" s="885">
        <f t="shared" si="736"/>
        <v>243.05584016038054</v>
      </c>
      <c r="H2482" s="885">
        <f t="shared" si="736"/>
        <v>299.67042889002943</v>
      </c>
      <c r="I2482" s="885">
        <f t="shared" si="736"/>
        <v>359.23229344998839</v>
      </c>
    </row>
    <row r="2483" spans="1:9" x14ac:dyDescent="0.3">
      <c r="A2483" s="177" t="s">
        <v>1507</v>
      </c>
      <c r="B2483" s="885">
        <f t="shared" ref="B2483:I2483" si="737">B2480</f>
        <v>44.054200000000037</v>
      </c>
      <c r="C2483" s="885">
        <f t="shared" si="737"/>
        <v>47.58159999999998</v>
      </c>
      <c r="D2483" s="885">
        <f t="shared" si="737"/>
        <v>49.847600000000057</v>
      </c>
      <c r="E2483" s="885">
        <f t="shared" si="737"/>
        <v>54.772600000000011</v>
      </c>
      <c r="F2483" s="885">
        <f t="shared" si="737"/>
        <v>66.511999999999944</v>
      </c>
      <c r="G2483" s="885">
        <f t="shared" si="737"/>
        <v>66.239599999999996</v>
      </c>
      <c r="H2483" s="885">
        <f t="shared" si="737"/>
        <v>70.350000000000023</v>
      </c>
      <c r="I2483" s="885">
        <f t="shared" si="737"/>
        <v>66.587850000000003</v>
      </c>
    </row>
    <row r="2484" spans="1:9" x14ac:dyDescent="0.3">
      <c r="A2484" s="177" t="s">
        <v>207</v>
      </c>
      <c r="B2484" s="885">
        <f>B2482*B2486*3</f>
        <v>0</v>
      </c>
      <c r="C2484" s="885">
        <f t="shared" ref="C2484:I2484" si="738">C2482*C2486*3</f>
        <v>1.7445463200000013</v>
      </c>
      <c r="D2484" s="885">
        <f t="shared" si="738"/>
        <v>3.2091177563760009</v>
      </c>
      <c r="E2484" s="885">
        <f t="shared" si="738"/>
        <v>5.8571256711234732</v>
      </c>
      <c r="F2484" s="885">
        <f t="shared" si="738"/>
        <v>8.9013700921200307</v>
      </c>
      <c r="G2484" s="885">
        <f t="shared" si="738"/>
        <v>9.6250112703510684</v>
      </c>
      <c r="H2484" s="885">
        <f t="shared" si="738"/>
        <v>10.78813544004106</v>
      </c>
      <c r="I2484" s="885">
        <f t="shared" si="738"/>
        <v>15.19552601293451</v>
      </c>
    </row>
    <row r="2485" spans="1:9" x14ac:dyDescent="0.3">
      <c r="A2485" s="177" t="s">
        <v>1508</v>
      </c>
      <c r="B2485" s="888">
        <f>B2482+B2483-B2484</f>
        <v>44.054200000000037</v>
      </c>
      <c r="C2485" s="888">
        <f t="shared" ref="C2485:I2485" si="739">C2482+C2483-C2484</f>
        <v>89.89125368000002</v>
      </c>
      <c r="D2485" s="888">
        <f t="shared" si="739"/>
        <v>136.52973592362409</v>
      </c>
      <c r="E2485" s="888">
        <f t="shared" si="739"/>
        <v>185.44521025250063</v>
      </c>
      <c r="F2485" s="888">
        <f t="shared" si="739"/>
        <v>243.05584016038054</v>
      </c>
      <c r="G2485" s="888">
        <f t="shared" si="739"/>
        <v>299.67042889002943</v>
      </c>
      <c r="H2485" s="888">
        <f t="shared" si="739"/>
        <v>359.23229344998839</v>
      </c>
      <c r="I2485" s="888">
        <f t="shared" si="739"/>
        <v>410.62461743705387</v>
      </c>
    </row>
    <row r="2486" spans="1:9" x14ac:dyDescent="0.3">
      <c r="A2486" s="94" t="s">
        <v>1509</v>
      </c>
      <c r="B2486" s="1198">
        <f>Drivers!EG119</f>
        <v>1.5599999999999999E-2</v>
      </c>
      <c r="C2486" s="1198">
        <f>Drivers!EH119</f>
        <v>1.32E-2</v>
      </c>
      <c r="D2486" s="1198">
        <f>Drivers!EJ119</f>
        <v>1.1900000000000001E-2</v>
      </c>
      <c r="E2486" s="1198">
        <f>Drivers!EK119</f>
        <v>1.43E-2</v>
      </c>
      <c r="F2486" s="1198">
        <f>Drivers!EL119</f>
        <v>1.6E-2</v>
      </c>
      <c r="G2486" s="1198">
        <f>Drivers!EM119</f>
        <v>1.32E-2</v>
      </c>
      <c r="H2486" s="1198">
        <f>Drivers!EO119</f>
        <v>1.2E-2</v>
      </c>
      <c r="I2486" s="1198">
        <f>Drivers!EP119</f>
        <v>1.41E-2</v>
      </c>
    </row>
    <row r="2487" spans="1:9" x14ac:dyDescent="0.3">
      <c r="A2487" s="94" t="s">
        <v>1510</v>
      </c>
      <c r="B2487" s="1168">
        <f>B2485/Drivers!EG115</f>
        <v>3.4097678018575883E-2</v>
      </c>
      <c r="C2487" s="1168">
        <f>C2485/Drivers!EH115</f>
        <v>6.7283872514970075E-2</v>
      </c>
      <c r="D2487" s="1168">
        <f>D2485/Drivers!EJ115</f>
        <v>9.8364363057366053E-2</v>
      </c>
      <c r="E2487" s="1168">
        <f>E2485/Drivers!EK115</f>
        <v>0.12896050782510474</v>
      </c>
      <c r="F2487" s="1168">
        <f>F2485/Drivers!EL115</f>
        <v>0.16182146482049303</v>
      </c>
      <c r="G2487" s="1168">
        <f>G2485/Drivers!EM115</f>
        <v>0.19026693897779645</v>
      </c>
      <c r="H2487" s="1168">
        <f>H2485/Drivers!EO115</f>
        <v>0.21653543908980613</v>
      </c>
      <c r="I2487" s="1168">
        <f>I2485/Drivers!EP115</f>
        <v>0.23845796599132049</v>
      </c>
    </row>
    <row r="2489" spans="1:9" ht="13" x14ac:dyDescent="0.3">
      <c r="A2489" s="90" t="s">
        <v>629</v>
      </c>
      <c r="B2489" s="1338" t="s">
        <v>1127</v>
      </c>
      <c r="C2489" s="1338" t="s">
        <v>1128</v>
      </c>
      <c r="D2489" s="1338" t="s">
        <v>922</v>
      </c>
      <c r="E2489" s="1338" t="s">
        <v>923</v>
      </c>
      <c r="F2489" s="1338" t="s">
        <v>924</v>
      </c>
      <c r="G2489" s="1338" t="s">
        <v>925</v>
      </c>
      <c r="H2489" s="1338" t="s">
        <v>883</v>
      </c>
      <c r="I2489" s="1338" t="s">
        <v>884</v>
      </c>
    </row>
    <row r="2490" spans="1:9" x14ac:dyDescent="0.3">
      <c r="A2490" s="177" t="s">
        <v>1503</v>
      </c>
      <c r="B2490" s="76">
        <f>Drivers!EG258</f>
        <v>40.539899999999989</v>
      </c>
      <c r="C2490" s="76">
        <f>Drivers!EH258</f>
        <v>34.084800000000087</v>
      </c>
      <c r="D2490" s="76">
        <f>Drivers!EJ258</f>
        <v>26.640599999999949</v>
      </c>
      <c r="E2490" s="76">
        <f>Drivers!EK258</f>
        <v>21.487599999999929</v>
      </c>
      <c r="F2490" s="76">
        <f>Drivers!EL258</f>
        <v>12.477800000000116</v>
      </c>
      <c r="G2490" s="76">
        <f>Drivers!EM258</f>
        <v>0.32200000000011642</v>
      </c>
      <c r="H2490" s="76">
        <v>0</v>
      </c>
      <c r="I2490" s="76">
        <v>0</v>
      </c>
    </row>
    <row r="2491" spans="1:9" x14ac:dyDescent="0.3">
      <c r="A2491" s="177" t="s">
        <v>1504</v>
      </c>
      <c r="B2491" s="634">
        <v>0.5</v>
      </c>
      <c r="C2491" s="634">
        <f>B2491</f>
        <v>0.5</v>
      </c>
      <c r="D2491" s="634">
        <f t="shared" ref="D2491:I2491" si="740">C2491</f>
        <v>0.5</v>
      </c>
      <c r="E2491" s="634">
        <f t="shared" si="740"/>
        <v>0.5</v>
      </c>
      <c r="F2491" s="634">
        <f t="shared" si="740"/>
        <v>0.5</v>
      </c>
      <c r="G2491" s="634">
        <f t="shared" si="740"/>
        <v>0.5</v>
      </c>
      <c r="H2491" s="634">
        <f t="shared" si="740"/>
        <v>0.5</v>
      </c>
      <c r="I2491" s="634">
        <f t="shared" si="740"/>
        <v>0.5</v>
      </c>
    </row>
    <row r="2492" spans="1:9" x14ac:dyDescent="0.3">
      <c r="A2492" s="177" t="s">
        <v>1505</v>
      </c>
      <c r="B2492" s="888">
        <f>B2490*B2491</f>
        <v>20.269949999999994</v>
      </c>
      <c r="C2492" s="888">
        <f t="shared" ref="C2492" si="741">C2490*C2491</f>
        <v>17.042400000000043</v>
      </c>
      <c r="D2492" s="888">
        <f t="shared" ref="D2492" si="742">D2490*D2491</f>
        <v>13.320299999999975</v>
      </c>
      <c r="E2492" s="888">
        <f t="shared" ref="E2492" si="743">E2490*E2491</f>
        <v>10.743799999999965</v>
      </c>
      <c r="F2492" s="888">
        <f t="shared" ref="F2492" si="744">F2490*F2491</f>
        <v>6.2389000000000578</v>
      </c>
      <c r="G2492" s="888">
        <f t="shared" ref="G2492" si="745">G2490*G2491</f>
        <v>0.16100000000005821</v>
      </c>
      <c r="H2492" s="888">
        <f t="shared" ref="H2492" si="746">H2490*H2491</f>
        <v>0</v>
      </c>
      <c r="I2492" s="888">
        <f t="shared" ref="I2492" si="747">I2490*I2491</f>
        <v>0</v>
      </c>
    </row>
    <row r="2494" spans="1:9" x14ac:dyDescent="0.3">
      <c r="A2494" s="177" t="s">
        <v>1506</v>
      </c>
      <c r="B2494" s="885">
        <v>0</v>
      </c>
      <c r="C2494" s="885">
        <f>B2497</f>
        <v>20.269949999999994</v>
      </c>
      <c r="D2494" s="885">
        <f t="shared" ref="D2494:I2494" si="748">C2497</f>
        <v>36.284663535000035</v>
      </c>
      <c r="E2494" s="885">
        <f t="shared" si="748"/>
        <v>47.939497478743512</v>
      </c>
      <c r="F2494" s="885">
        <f t="shared" si="748"/>
        <v>56.195237559596691</v>
      </c>
      <c r="G2494" s="885">
        <f t="shared" si="748"/>
        <v>59.02870616348519</v>
      </c>
      <c r="H2494" s="885">
        <f t="shared" si="748"/>
        <v>55.86048713586468</v>
      </c>
      <c r="I2494" s="885">
        <f t="shared" si="748"/>
        <v>52.994844145794822</v>
      </c>
    </row>
    <row r="2495" spans="1:9" x14ac:dyDescent="0.3">
      <c r="A2495" s="177" t="s">
        <v>1507</v>
      </c>
      <c r="B2495" s="885">
        <f t="shared" ref="B2495:I2495" si="749">B2492</f>
        <v>20.269949999999994</v>
      </c>
      <c r="C2495" s="885">
        <f t="shared" si="749"/>
        <v>17.042400000000043</v>
      </c>
      <c r="D2495" s="885">
        <f t="shared" si="749"/>
        <v>13.320299999999975</v>
      </c>
      <c r="E2495" s="885">
        <f t="shared" si="749"/>
        <v>10.743799999999965</v>
      </c>
      <c r="F2495" s="885">
        <f t="shared" si="749"/>
        <v>6.2389000000000578</v>
      </c>
      <c r="G2495" s="885">
        <f t="shared" si="749"/>
        <v>0.16100000000005821</v>
      </c>
      <c r="H2495" s="885">
        <f t="shared" si="749"/>
        <v>0</v>
      </c>
      <c r="I2495" s="885">
        <f t="shared" si="749"/>
        <v>0</v>
      </c>
    </row>
    <row r="2496" spans="1:9" x14ac:dyDescent="0.3">
      <c r="A2496" s="177" t="s">
        <v>207</v>
      </c>
      <c r="B2496" s="885">
        <f>B2494*B2498*3</f>
        <v>0</v>
      </c>
      <c r="C2496" s="885">
        <f t="shared" ref="C2496:I2496" si="750">C2494*C2498*3</f>
        <v>1.0276864649999995</v>
      </c>
      <c r="D2496" s="885">
        <f t="shared" si="750"/>
        <v>1.6654660562565016</v>
      </c>
      <c r="E2496" s="885">
        <f t="shared" si="750"/>
        <v>2.4880599191467878</v>
      </c>
      <c r="F2496" s="885">
        <f t="shared" si="750"/>
        <v>3.4054313961115592</v>
      </c>
      <c r="G2496" s="885">
        <f t="shared" si="750"/>
        <v>3.3292190276205647</v>
      </c>
      <c r="H2496" s="885">
        <f t="shared" si="750"/>
        <v>2.8656429900698583</v>
      </c>
      <c r="I2496" s="885">
        <f t="shared" si="750"/>
        <v>2.925315396847874</v>
      </c>
    </row>
    <row r="2497" spans="1:20" x14ac:dyDescent="0.3">
      <c r="A2497" s="177" t="s">
        <v>1508</v>
      </c>
      <c r="B2497" s="888">
        <f>B2494+B2495-B2496</f>
        <v>20.269949999999994</v>
      </c>
      <c r="C2497" s="888">
        <f t="shared" ref="C2497" si="751">C2494+C2495-C2496</f>
        <v>36.284663535000035</v>
      </c>
      <c r="D2497" s="888">
        <f t="shared" ref="D2497" si="752">D2494+D2495-D2496</f>
        <v>47.939497478743512</v>
      </c>
      <c r="E2497" s="888">
        <f t="shared" ref="E2497" si="753">E2494+E2495-E2496</f>
        <v>56.195237559596691</v>
      </c>
      <c r="F2497" s="888">
        <f t="shared" ref="F2497" si="754">F2494+F2495-F2496</f>
        <v>59.02870616348519</v>
      </c>
      <c r="G2497" s="888">
        <f t="shared" ref="G2497" si="755">G2494+G2495-G2496</f>
        <v>55.86048713586468</v>
      </c>
      <c r="H2497" s="888">
        <f t="shared" ref="H2497" si="756">H2494+H2495-H2496</f>
        <v>52.994844145794822</v>
      </c>
      <c r="I2497" s="888">
        <f t="shared" ref="I2497" si="757">I2494+I2495-I2496</f>
        <v>50.069528748946951</v>
      </c>
    </row>
    <row r="2498" spans="1:20" x14ac:dyDescent="0.3">
      <c r="A2498" s="94" t="s">
        <v>1509</v>
      </c>
      <c r="B2498" s="1198">
        <f>Drivers!EG264</f>
        <v>1.89E-2</v>
      </c>
      <c r="C2498" s="1198">
        <f>Drivers!EH264</f>
        <v>1.6899999999999998E-2</v>
      </c>
      <c r="D2498" s="1198">
        <f>Drivers!EJ264</f>
        <v>1.5299999999999999E-2</v>
      </c>
      <c r="E2498" s="1198">
        <f>Drivers!EK264</f>
        <v>1.7299999999999999E-2</v>
      </c>
      <c r="F2498" s="1198">
        <f>Drivers!EL264</f>
        <v>2.0199999999999999E-2</v>
      </c>
      <c r="G2498" s="1198">
        <f>Drivers!EM264</f>
        <v>1.8800000000000001E-2</v>
      </c>
      <c r="H2498" s="1198">
        <f>Drivers!EO264</f>
        <v>1.7100000000000001E-2</v>
      </c>
      <c r="I2498" s="1198">
        <f>Drivers!EP264</f>
        <v>1.84E-2</v>
      </c>
    </row>
    <row r="2499" spans="1:20" x14ac:dyDescent="0.3">
      <c r="A2499" s="94" t="s">
        <v>1511</v>
      </c>
      <c r="B2499" s="1168">
        <f>B2497/Drivers!EG260</f>
        <v>1.6036352848101263E-2</v>
      </c>
      <c r="C2499" s="1168">
        <f>C2497/Drivers!EH260</f>
        <v>2.9404103350891438E-2</v>
      </c>
      <c r="D2499" s="1168">
        <f>D2497/Drivers!EJ260</f>
        <v>3.9816858371049431E-2</v>
      </c>
      <c r="E2499" s="1168">
        <f>E2497/Drivers!EK260</f>
        <v>4.8319206844021231E-2</v>
      </c>
      <c r="F2499" s="1168">
        <f>F2497/Drivers!EL260</f>
        <v>5.3419643586864428E-2</v>
      </c>
      <c r="G2499" s="1168">
        <f>G2497/Drivers!EM260</f>
        <v>5.3557514032468535E-2</v>
      </c>
      <c r="H2499" s="1168">
        <f>H2497/Drivers!EO260</f>
        <v>5.3692851211544906E-2</v>
      </c>
      <c r="I2499" s="1168">
        <f>I2497/Drivers!EP260</f>
        <v>5.3954233565675594E-2</v>
      </c>
    </row>
    <row r="2501" spans="1:20" ht="13" x14ac:dyDescent="0.3">
      <c r="A2501" s="90" t="s">
        <v>1512</v>
      </c>
      <c r="B2501" s="1338" t="s">
        <v>1127</v>
      </c>
      <c r="C2501" s="1338" t="s">
        <v>1128</v>
      </c>
      <c r="D2501" s="1338" t="s">
        <v>922</v>
      </c>
      <c r="E2501" s="1338" t="s">
        <v>923</v>
      </c>
      <c r="F2501" s="1338" t="s">
        <v>924</v>
      </c>
      <c r="G2501" s="1338" t="s">
        <v>925</v>
      </c>
      <c r="H2501" s="1338" t="s">
        <v>883</v>
      </c>
      <c r="I2501" s="1338" t="s">
        <v>884</v>
      </c>
    </row>
    <row r="2502" spans="1:20" x14ac:dyDescent="0.3">
      <c r="A2502" s="177" t="s">
        <v>1506</v>
      </c>
      <c r="B2502" s="885">
        <f>B2482+B2494</f>
        <v>0</v>
      </c>
      <c r="C2502" s="885">
        <f>B2505</f>
        <v>64.324150000000031</v>
      </c>
      <c r="D2502" s="885">
        <f t="shared" ref="D2502:I2502" si="758">C2505</f>
        <v>126.17591721500006</v>
      </c>
      <c r="E2502" s="885">
        <f t="shared" si="758"/>
        <v>184.46923340236759</v>
      </c>
      <c r="F2502" s="885">
        <f t="shared" si="758"/>
        <v>241.64044781209731</v>
      </c>
      <c r="G2502" s="885">
        <f t="shared" si="758"/>
        <v>302.08454632386571</v>
      </c>
      <c r="H2502" s="885">
        <f t="shared" si="758"/>
        <v>355.53091602589416</v>
      </c>
      <c r="I2502" s="885">
        <f t="shared" si="758"/>
        <v>412.22713759578323</v>
      </c>
    </row>
    <row r="2503" spans="1:20" x14ac:dyDescent="0.3">
      <c r="A2503" s="177" t="s">
        <v>1507</v>
      </c>
      <c r="B2503" s="885">
        <f>B2483+B2495</f>
        <v>64.324150000000031</v>
      </c>
      <c r="C2503" s="885">
        <f t="shared" ref="C2503:I2504" si="759">C2483+C2495</f>
        <v>64.624000000000024</v>
      </c>
      <c r="D2503" s="885">
        <f t="shared" si="759"/>
        <v>63.167900000000031</v>
      </c>
      <c r="E2503" s="885">
        <f t="shared" si="759"/>
        <v>65.516399999999976</v>
      </c>
      <c r="F2503" s="885">
        <f t="shared" si="759"/>
        <v>72.750900000000001</v>
      </c>
      <c r="G2503" s="885">
        <f t="shared" si="759"/>
        <v>66.400600000000054</v>
      </c>
      <c r="H2503" s="885">
        <f t="shared" si="759"/>
        <v>70.350000000000023</v>
      </c>
      <c r="I2503" s="885">
        <f t="shared" si="759"/>
        <v>66.587850000000003</v>
      </c>
    </row>
    <row r="2504" spans="1:20" x14ac:dyDescent="0.3">
      <c r="A2504" s="177" t="s">
        <v>207</v>
      </c>
      <c r="B2504" s="885">
        <f>B2484+B2496</f>
        <v>0</v>
      </c>
      <c r="C2504" s="885">
        <f t="shared" si="759"/>
        <v>2.7722327850000008</v>
      </c>
      <c r="D2504" s="885">
        <f t="shared" si="759"/>
        <v>4.874583812632503</v>
      </c>
      <c r="E2504" s="885">
        <f t="shared" si="759"/>
        <v>8.3451855902702619</v>
      </c>
      <c r="F2504" s="885">
        <f t="shared" si="759"/>
        <v>12.30680148823159</v>
      </c>
      <c r="G2504" s="885">
        <f t="shared" si="759"/>
        <v>12.954230297971634</v>
      </c>
      <c r="H2504" s="885">
        <f t="shared" si="759"/>
        <v>13.653778430110918</v>
      </c>
      <c r="I2504" s="885">
        <f t="shared" si="759"/>
        <v>18.120841409782383</v>
      </c>
    </row>
    <row r="2505" spans="1:20" x14ac:dyDescent="0.3">
      <c r="A2505" s="177" t="s">
        <v>1508</v>
      </c>
      <c r="B2505" s="888">
        <f>B2502+B2503-B2504</f>
        <v>64.324150000000031</v>
      </c>
      <c r="C2505" s="888">
        <f t="shared" ref="C2505" si="760">C2502+C2503-C2504</f>
        <v>126.17591721500006</v>
      </c>
      <c r="D2505" s="888">
        <f t="shared" ref="D2505" si="761">D2502+D2503-D2504</f>
        <v>184.46923340236759</v>
      </c>
      <c r="E2505" s="888">
        <f t="shared" ref="E2505" si="762">E2502+E2503-E2504</f>
        <v>241.64044781209731</v>
      </c>
      <c r="F2505" s="888">
        <f t="shared" ref="F2505" si="763">F2502+F2503-F2504</f>
        <v>302.08454632386571</v>
      </c>
      <c r="G2505" s="888">
        <f t="shared" ref="G2505" si="764">G2502+G2503-G2504</f>
        <v>355.53091602589416</v>
      </c>
      <c r="H2505" s="888">
        <f t="shared" ref="H2505" si="765">H2502+H2503-H2504</f>
        <v>412.22713759578323</v>
      </c>
      <c r="I2505" s="888">
        <f t="shared" ref="I2505" si="766">I2502+I2503-I2504</f>
        <v>460.69414618600086</v>
      </c>
    </row>
    <row r="2506" spans="1:20" x14ac:dyDescent="0.3">
      <c r="A2506" s="94" t="s">
        <v>1511</v>
      </c>
      <c r="B2506" s="1168">
        <f>B2505/Drivers!EG397</f>
        <v>2.5165942879499231E-2</v>
      </c>
      <c r="C2506" s="1168">
        <f>C2505/Drivers!EH397</f>
        <v>4.9095687632295743E-2</v>
      </c>
      <c r="D2506" s="1168">
        <f>D2505/Drivers!EJ397</f>
        <v>7.1168685726222064E-2</v>
      </c>
      <c r="E2506" s="1168">
        <f>E2505/Drivers!EK397</f>
        <v>9.2902901888541833E-2</v>
      </c>
      <c r="F2506" s="1168">
        <f>F2505/Drivers!EL397</f>
        <v>0.11587439444720588</v>
      </c>
      <c r="G2506" s="1168">
        <f>G2505/Drivers!EM397</f>
        <v>0.13580248893273267</v>
      </c>
      <c r="H2506" s="1168">
        <f>H2505/Drivers!EO397</f>
        <v>0.15579256900823252</v>
      </c>
      <c r="I2506" s="1168">
        <f>I2505/Drivers!EP397</f>
        <v>0.17384684761735883</v>
      </c>
    </row>
    <row r="2508" spans="1:20" x14ac:dyDescent="0.3">
      <c r="A2508" s="1256" t="s">
        <v>1513</v>
      </c>
      <c r="B2508" s="1257"/>
      <c r="C2508" s="1257"/>
      <c r="D2508" s="1257"/>
      <c r="E2508" s="1257"/>
      <c r="F2508" s="1257"/>
      <c r="G2508" s="1257"/>
      <c r="H2508" s="1257"/>
      <c r="I2508" s="1257"/>
      <c r="J2508" s="1257"/>
      <c r="K2508" s="1257"/>
      <c r="L2508" s="1257"/>
      <c r="M2508" s="1257"/>
      <c r="N2508" s="1257"/>
      <c r="O2508" s="1257"/>
      <c r="P2508" s="1257"/>
      <c r="Q2508" s="1257"/>
      <c r="R2508" s="1257"/>
      <c r="S2508" s="1257"/>
      <c r="T2508" s="1257"/>
    </row>
    <row r="2509" spans="1:20" x14ac:dyDescent="0.3">
      <c r="A2509" s="366"/>
      <c r="B2509" s="366"/>
    </row>
    <row r="2510" spans="1:20" x14ac:dyDescent="0.3">
      <c r="A2510" s="144"/>
      <c r="B2510" s="144"/>
    </row>
    <row r="2511" spans="1:20" x14ac:dyDescent="0.3">
      <c r="A2511" s="708" t="s">
        <v>1514</v>
      </c>
      <c r="B2511" s="999">
        <v>3000</v>
      </c>
    </row>
    <row r="2512" spans="1:20" x14ac:dyDescent="0.3">
      <c r="A2512" s="708" t="s">
        <v>1515</v>
      </c>
      <c r="B2512" s="873">
        <v>3000</v>
      </c>
    </row>
    <row r="2513" spans="1:2" x14ac:dyDescent="0.3">
      <c r="A2513" s="709" t="s">
        <v>1516</v>
      </c>
      <c r="B2513" s="1064">
        <f>SUM(B2511:B2512)</f>
        <v>6000</v>
      </c>
    </row>
    <row r="2514" spans="1:2" x14ac:dyDescent="0.3">
      <c r="A2514" s="144"/>
      <c r="B2514" s="144"/>
    </row>
    <row r="2515" spans="1:2" x14ac:dyDescent="0.3">
      <c r="A2515" s="708" t="s">
        <v>1514</v>
      </c>
      <c r="B2515" s="877">
        <f>B2511</f>
        <v>3000</v>
      </c>
    </row>
    <row r="2516" spans="1:2" x14ac:dyDescent="0.3">
      <c r="A2516" s="708" t="s">
        <v>1517</v>
      </c>
      <c r="B2516" s="875">
        <v>0.3</v>
      </c>
    </row>
    <row r="2517" spans="1:2" ht="13" x14ac:dyDescent="0.3">
      <c r="A2517" s="1312" t="s">
        <v>1518</v>
      </c>
      <c r="B2517" s="1065">
        <f>B2515*B2516</f>
        <v>900</v>
      </c>
    </row>
    <row r="2518" spans="1:2" x14ac:dyDescent="0.3">
      <c r="A2518" s="144"/>
      <c r="B2518" s="144"/>
    </row>
    <row r="2519" spans="1:2" x14ac:dyDescent="0.3">
      <c r="A2519" s="708" t="s">
        <v>1519</v>
      </c>
      <c r="B2519" s="877">
        <f>B2512</f>
        <v>3000</v>
      </c>
    </row>
    <row r="2520" spans="1:2" x14ac:dyDescent="0.3">
      <c r="A2520" s="708" t="s">
        <v>1517</v>
      </c>
      <c r="B2520" s="875">
        <f>B2516</f>
        <v>0.3</v>
      </c>
    </row>
    <row r="2521" spans="1:2" ht="13" x14ac:dyDescent="0.3">
      <c r="A2521" s="1312" t="s">
        <v>1520</v>
      </c>
      <c r="B2521" s="1065">
        <f>B2519*B2520</f>
        <v>900</v>
      </c>
    </row>
    <row r="2522" spans="1:2" x14ac:dyDescent="0.3">
      <c r="A2522" s="144"/>
      <c r="B2522" s="144"/>
    </row>
    <row r="2523" spans="1:2" x14ac:dyDescent="0.3">
      <c r="A2523" s="1316" t="s">
        <v>1521</v>
      </c>
      <c r="B2523" s="999">
        <f>B2517</f>
        <v>900</v>
      </c>
    </row>
    <row r="2524" spans="1:2" x14ac:dyDescent="0.3">
      <c r="A2524" s="1316" t="s">
        <v>1522</v>
      </c>
      <c r="B2524" s="873">
        <v>500</v>
      </c>
    </row>
    <row r="2525" spans="1:2" x14ac:dyDescent="0.3">
      <c r="A2525" s="1317" t="s">
        <v>1523</v>
      </c>
      <c r="B2525" s="1064">
        <f t="shared" ref="B2525" si="767">B2523*B2524/1000</f>
        <v>450</v>
      </c>
    </row>
    <row r="2526" spans="1:2" x14ac:dyDescent="0.3">
      <c r="A2526" s="1316"/>
      <c r="B2526" s="999"/>
    </row>
    <row r="2527" spans="1:2" x14ac:dyDescent="0.3">
      <c r="A2527" s="1316" t="s">
        <v>1524</v>
      </c>
      <c r="B2527" s="999">
        <f>B2521</f>
        <v>900</v>
      </c>
    </row>
    <row r="2528" spans="1:2" x14ac:dyDescent="0.3">
      <c r="A2528" s="1316" t="s">
        <v>1522</v>
      </c>
      <c r="B2528" s="873">
        <v>2000</v>
      </c>
    </row>
    <row r="2529" spans="1:20" x14ac:dyDescent="0.3">
      <c r="A2529" s="1317" t="s">
        <v>1525</v>
      </c>
      <c r="B2529" s="1064">
        <f>B2527*B2528/1000</f>
        <v>1800</v>
      </c>
    </row>
    <row r="2530" spans="1:20" x14ac:dyDescent="0.3">
      <c r="A2530" s="1316"/>
      <c r="B2530" s="999"/>
    </row>
    <row r="2531" spans="1:20" ht="12.5" thickBot="1" x14ac:dyDescent="0.35">
      <c r="A2531" s="1317" t="s">
        <v>1526</v>
      </c>
      <c r="B2531" s="1318">
        <f>B2529+B2525</f>
        <v>2250</v>
      </c>
    </row>
    <row r="2532" spans="1:20" ht="13.5" thickTop="1" x14ac:dyDescent="0.3">
      <c r="A2532" s="1309"/>
      <c r="B2532" s="876"/>
    </row>
    <row r="2533" spans="1:20" x14ac:dyDescent="0.3">
      <c r="A2533" s="1316" t="s">
        <v>1527</v>
      </c>
      <c r="B2533" s="876">
        <v>1054</v>
      </c>
    </row>
    <row r="2534" spans="1:20" x14ac:dyDescent="0.3">
      <c r="A2534" s="1316" t="s">
        <v>1528</v>
      </c>
      <c r="B2534" s="880">
        <f>B2609</f>
        <v>6251.1095157182936</v>
      </c>
    </row>
    <row r="2535" spans="1:20" ht="12.5" thickBot="1" x14ac:dyDescent="0.35">
      <c r="A2535" s="1317" t="s">
        <v>1529</v>
      </c>
      <c r="B2535" s="1335">
        <f>B2533/B2534</f>
        <v>0.16861006791670141</v>
      </c>
    </row>
    <row r="2536" spans="1:20" ht="13.5" thickTop="1" x14ac:dyDescent="0.3">
      <c r="A2536" s="1336" t="s">
        <v>1530</v>
      </c>
      <c r="B2536" s="1337">
        <f>B2534-B2533</f>
        <v>5197.1095157182936</v>
      </c>
    </row>
    <row r="2537" spans="1:20" x14ac:dyDescent="0.3">
      <c r="A2537" s="494"/>
      <c r="B2537" s="494"/>
    </row>
    <row r="2541" spans="1:20" x14ac:dyDescent="0.3">
      <c r="A2541" s="1256" t="s">
        <v>1489</v>
      </c>
      <c r="B2541" s="1257"/>
      <c r="C2541" s="1257"/>
      <c r="D2541" s="1257"/>
      <c r="E2541" s="1257"/>
      <c r="F2541" s="1257"/>
      <c r="G2541" s="1257"/>
      <c r="H2541" s="1257"/>
      <c r="I2541" s="1257"/>
      <c r="J2541" s="1257"/>
      <c r="K2541" s="1257"/>
      <c r="L2541" s="1257"/>
      <c r="M2541" s="1257"/>
      <c r="N2541" s="1257"/>
      <c r="O2541" s="1257"/>
      <c r="P2541" s="1257"/>
      <c r="Q2541" s="1257"/>
      <c r="R2541" s="1257"/>
      <c r="S2541" s="1257"/>
      <c r="T2541" s="1257"/>
    </row>
    <row r="2543" spans="1:20" hidden="1" x14ac:dyDescent="0.3">
      <c r="A2543" s="177" t="s">
        <v>1531</v>
      </c>
      <c r="B2543" s="76">
        <f>SUM(Drivers!EK27:EM27,Drivers!EO27)</f>
        <v>1216</v>
      </c>
    </row>
    <row r="2544" spans="1:20" hidden="1" x14ac:dyDescent="0.3">
      <c r="A2544" s="177" t="s">
        <v>1532</v>
      </c>
      <c r="B2544" s="1329">
        <v>9</v>
      </c>
    </row>
    <row r="2545" spans="1:2" hidden="1" x14ac:dyDescent="0.3">
      <c r="A2545" s="177" t="s">
        <v>1533</v>
      </c>
      <c r="B2545" s="76">
        <f>B2543*B2544</f>
        <v>10944</v>
      </c>
    </row>
    <row r="2546" spans="1:2" x14ac:dyDescent="0.3">
      <c r="A2546" s="114"/>
      <c r="B2546" s="114"/>
    </row>
    <row r="2547" spans="1:2" x14ac:dyDescent="0.3">
      <c r="A2547" s="144"/>
      <c r="B2547" s="144"/>
    </row>
    <row r="2548" spans="1:2" x14ac:dyDescent="0.3">
      <c r="A2548" s="708" t="s">
        <v>1534</v>
      </c>
      <c r="B2548" s="365">
        <v>2000</v>
      </c>
    </row>
    <row r="2549" spans="1:2" x14ac:dyDescent="0.3">
      <c r="A2549" s="708" t="s">
        <v>1535</v>
      </c>
      <c r="B2549" s="1330">
        <v>9</v>
      </c>
    </row>
    <row r="2550" spans="1:2" x14ac:dyDescent="0.3">
      <c r="A2550" s="709" t="s">
        <v>1536</v>
      </c>
      <c r="B2550" s="1064">
        <f>B2548/B2549</f>
        <v>222.22222222222223</v>
      </c>
    </row>
    <row r="2551" spans="1:2" x14ac:dyDescent="0.3">
      <c r="A2551" s="144"/>
      <c r="B2551" s="144"/>
    </row>
    <row r="2552" spans="1:2" x14ac:dyDescent="0.3">
      <c r="A2552" s="708" t="s">
        <v>1537</v>
      </c>
      <c r="B2552" s="877">
        <f>B2550</f>
        <v>222.22222222222223</v>
      </c>
    </row>
    <row r="2553" spans="1:2" x14ac:dyDescent="0.3">
      <c r="A2553" s="708" t="s">
        <v>1538</v>
      </c>
      <c r="B2553" s="656">
        <f>B2543</f>
        <v>1216</v>
      </c>
    </row>
    <row r="2554" spans="1:2" x14ac:dyDescent="0.3">
      <c r="A2554" s="709" t="s">
        <v>1539</v>
      </c>
      <c r="B2554" s="1331">
        <f>B2552/B2553</f>
        <v>0.18274853801169591</v>
      </c>
    </row>
    <row r="2555" spans="1:2" x14ac:dyDescent="0.3">
      <c r="A2555" s="144"/>
      <c r="B2555" s="144"/>
    </row>
    <row r="2556" spans="1:2" x14ac:dyDescent="0.3">
      <c r="A2556" s="708" t="s">
        <v>1540</v>
      </c>
      <c r="B2556" s="877">
        <f>B2578</f>
        <v>5826</v>
      </c>
    </row>
    <row r="2557" spans="1:2" x14ac:dyDescent="0.3">
      <c r="A2557" s="708" t="s">
        <v>1541</v>
      </c>
      <c r="B2557" s="875">
        <f>B2554</f>
        <v>0.18274853801169591</v>
      </c>
    </row>
    <row r="2558" spans="1:2" x14ac:dyDescent="0.3">
      <c r="A2558" s="709" t="s">
        <v>1542</v>
      </c>
      <c r="B2558" s="1064">
        <f>B2556*B2557</f>
        <v>1064.6929824561403</v>
      </c>
    </row>
    <row r="2559" spans="1:2" x14ac:dyDescent="0.3">
      <c r="A2559" s="494"/>
      <c r="B2559" s="494"/>
    </row>
    <row r="2560" spans="1:2" x14ac:dyDescent="0.3">
      <c r="A2560" s="144"/>
      <c r="B2560" s="144"/>
    </row>
    <row r="2561" spans="1:20" x14ac:dyDescent="0.3">
      <c r="A2561" s="708" t="s">
        <v>1543</v>
      </c>
      <c r="B2561" s="877">
        <f>B2558</f>
        <v>1064.6929824561403</v>
      </c>
    </row>
    <row r="2562" spans="1:20" x14ac:dyDescent="0.3">
      <c r="A2562" s="708" t="s">
        <v>1517</v>
      </c>
      <c r="B2562" s="875">
        <v>0.3</v>
      </c>
    </row>
    <row r="2563" spans="1:20" x14ac:dyDescent="0.3">
      <c r="A2563" s="708" t="s">
        <v>1544</v>
      </c>
      <c r="B2563" s="999">
        <f>B2561*B2562</f>
        <v>319.40789473684208</v>
      </c>
    </row>
    <row r="2564" spans="1:20" x14ac:dyDescent="0.3">
      <c r="A2564" s="708" t="s">
        <v>1545</v>
      </c>
      <c r="B2564" s="873">
        <v>500</v>
      </c>
    </row>
    <row r="2565" spans="1:20" ht="12.5" thickBot="1" x14ac:dyDescent="0.35">
      <c r="A2565" s="709" t="s">
        <v>1546</v>
      </c>
      <c r="B2565" s="1318">
        <f>B2563*B2564/1000</f>
        <v>159.70394736842104</v>
      </c>
    </row>
    <row r="2566" spans="1:20" ht="12.5" thickTop="1" x14ac:dyDescent="0.3">
      <c r="A2566" s="494"/>
      <c r="B2566" s="494"/>
    </row>
    <row r="2571" spans="1:20" x14ac:dyDescent="0.3">
      <c r="A2571" s="1256" t="s">
        <v>1547</v>
      </c>
      <c r="B2571" s="1257"/>
      <c r="C2571" s="1257"/>
      <c r="D2571" s="1257"/>
      <c r="E2571" s="1257"/>
      <c r="F2571" s="1257"/>
      <c r="G2571" s="1257"/>
      <c r="H2571" s="1257"/>
      <c r="I2571" s="1257"/>
      <c r="J2571" s="1257"/>
      <c r="K2571" s="1257"/>
      <c r="L2571" s="1257"/>
      <c r="M2571" s="1257"/>
      <c r="N2571" s="1257"/>
      <c r="O2571" s="1257"/>
      <c r="P2571" s="1257"/>
      <c r="Q2571" s="1257"/>
      <c r="R2571" s="1257"/>
      <c r="S2571" s="1257"/>
      <c r="T2571" s="1257"/>
    </row>
    <row r="2572" spans="1:20" ht="13" x14ac:dyDescent="0.3">
      <c r="A2572" s="1323"/>
      <c r="B2572" s="1324"/>
    </row>
    <row r="2573" spans="1:20" ht="13" x14ac:dyDescent="0.3">
      <c r="A2573" s="1309"/>
      <c r="B2573" s="999"/>
    </row>
    <row r="2574" spans="1:20" ht="13" hidden="1" x14ac:dyDescent="0.3">
      <c r="A2574" s="1309" t="s">
        <v>1548</v>
      </c>
      <c r="B2574" s="999">
        <f>Drivers!EO99</f>
        <v>15400</v>
      </c>
    </row>
    <row r="2575" spans="1:20" ht="13" hidden="1" x14ac:dyDescent="0.3">
      <c r="A2575" s="1309" t="s">
        <v>1549</v>
      </c>
      <c r="B2575" s="894">
        <v>0.3</v>
      </c>
    </row>
    <row r="2576" spans="1:20" ht="13" hidden="1" x14ac:dyDescent="0.3">
      <c r="A2576" s="1309" t="s">
        <v>1550</v>
      </c>
      <c r="B2576" s="999">
        <f>B2574*B2575</f>
        <v>4620</v>
      </c>
    </row>
    <row r="2577" spans="1:2" ht="13" hidden="1" x14ac:dyDescent="0.3">
      <c r="A2577" s="1310"/>
      <c r="B2577" s="999"/>
    </row>
    <row r="2578" spans="1:2" ht="13" x14ac:dyDescent="0.3">
      <c r="A2578" s="1309" t="s">
        <v>1540</v>
      </c>
      <c r="B2578" s="999">
        <f>Drivers!EP90</f>
        <v>5826</v>
      </c>
    </row>
    <row r="2579" spans="1:2" ht="13" x14ac:dyDescent="0.3">
      <c r="A2579" s="1309" t="s">
        <v>1549</v>
      </c>
      <c r="B2579" s="894">
        <f>B2575</f>
        <v>0.3</v>
      </c>
    </row>
    <row r="2580" spans="1:2" ht="13" x14ac:dyDescent="0.3">
      <c r="A2580" s="1309" t="s">
        <v>1518</v>
      </c>
      <c r="B2580" s="999">
        <f>B2578*B2579</f>
        <v>1747.8</v>
      </c>
    </row>
    <row r="2581" spans="1:2" ht="13" x14ac:dyDescent="0.3">
      <c r="A2581" s="1310"/>
      <c r="B2581" s="999"/>
    </row>
    <row r="2582" spans="1:2" ht="13" x14ac:dyDescent="0.3">
      <c r="A2582" s="1309" t="s">
        <v>1551</v>
      </c>
      <c r="B2582" s="999">
        <f>B2574-B2578</f>
        <v>9574</v>
      </c>
    </row>
    <row r="2583" spans="1:2" ht="13" x14ac:dyDescent="0.3">
      <c r="A2583" s="1309" t="s">
        <v>1549</v>
      </c>
      <c r="B2583" s="894">
        <f>B2575</f>
        <v>0.3</v>
      </c>
    </row>
    <row r="2584" spans="1:2" ht="13" x14ac:dyDescent="0.3">
      <c r="A2584" s="1309" t="s">
        <v>1520</v>
      </c>
      <c r="B2584" s="999">
        <f>B2582*B2583</f>
        <v>2872.2</v>
      </c>
    </row>
    <row r="2585" spans="1:2" ht="13" x14ac:dyDescent="0.3">
      <c r="A2585" s="1309"/>
      <c r="B2585" s="999"/>
    </row>
    <row r="2586" spans="1:2" ht="13" x14ac:dyDescent="0.3">
      <c r="A2586" s="1311" t="s">
        <v>1552</v>
      </c>
      <c r="B2586" s="1064">
        <f>B2580+B2584</f>
        <v>4620</v>
      </c>
    </row>
    <row r="2587" spans="1:2" ht="13" x14ac:dyDescent="0.3">
      <c r="A2587" s="1309"/>
      <c r="B2587" s="999"/>
    </row>
    <row r="2588" spans="1:2" ht="13" x14ac:dyDescent="0.3">
      <c r="A2588" s="1309" t="s">
        <v>1553</v>
      </c>
      <c r="B2588" s="999">
        <f>'[12]Report Tables'!$G$138*1000</f>
        <v>611.98414046951007</v>
      </c>
    </row>
    <row r="2589" spans="1:2" ht="13" x14ac:dyDescent="0.3">
      <c r="A2589" s="1309" t="s">
        <v>1554</v>
      </c>
      <c r="B2589" s="894">
        <f>B2575</f>
        <v>0.3</v>
      </c>
    </row>
    <row r="2590" spans="1:2" ht="13" x14ac:dyDescent="0.3">
      <c r="A2590" s="1309" t="s">
        <v>1555</v>
      </c>
      <c r="B2590" s="999">
        <f>B2588*B2589</f>
        <v>183.595242140853</v>
      </c>
    </row>
    <row r="2591" spans="1:2" ht="13" x14ac:dyDescent="0.3">
      <c r="A2591" s="1309"/>
      <c r="B2591" s="999"/>
    </row>
    <row r="2592" spans="1:2" ht="13" x14ac:dyDescent="0.3">
      <c r="A2592" s="1309" t="s">
        <v>1556</v>
      </c>
      <c r="B2592" s="999">
        <f>B2584</f>
        <v>2872.2</v>
      </c>
    </row>
    <row r="2593" spans="1:2" ht="13" x14ac:dyDescent="0.3">
      <c r="A2593" s="1309" t="s">
        <v>1557</v>
      </c>
      <c r="B2593" s="873">
        <f>B2590</f>
        <v>183.595242140853</v>
      </c>
    </row>
    <row r="2594" spans="1:2" ht="13" x14ac:dyDescent="0.3">
      <c r="A2594" s="1309" t="s">
        <v>1558</v>
      </c>
      <c r="B2594" s="999">
        <f>B2592-B2593</f>
        <v>2688.604757859147</v>
      </c>
    </row>
    <row r="2595" spans="1:2" ht="13" x14ac:dyDescent="0.3">
      <c r="A2595" s="1310"/>
      <c r="B2595" s="999"/>
    </row>
    <row r="2596" spans="1:2" ht="13" x14ac:dyDescent="0.3">
      <c r="A2596" s="1309" t="s">
        <v>1559</v>
      </c>
      <c r="B2596" s="999">
        <f>B2594</f>
        <v>2688.604757859147</v>
      </c>
    </row>
    <row r="2597" spans="1:2" ht="13" x14ac:dyDescent="0.3">
      <c r="A2597" s="1309" t="s">
        <v>1560</v>
      </c>
      <c r="B2597" s="873">
        <f>B2580</f>
        <v>1747.8</v>
      </c>
    </row>
    <row r="2598" spans="1:2" ht="13" x14ac:dyDescent="0.3">
      <c r="A2598" s="1312" t="s">
        <v>1561</v>
      </c>
      <c r="B2598" s="1064">
        <f>SUM(B2596:B2597)</f>
        <v>4436.4047578591471</v>
      </c>
    </row>
    <row r="2599" spans="1:2" ht="13" x14ac:dyDescent="0.3">
      <c r="A2599" s="1325"/>
      <c r="B2599" s="873"/>
    </row>
    <row r="2600" spans="1:2" ht="13" x14ac:dyDescent="0.3">
      <c r="A2600" s="1309"/>
      <c r="B2600" s="999"/>
    </row>
    <row r="2601" spans="1:2" x14ac:dyDescent="0.3">
      <c r="A2601" s="1316" t="s">
        <v>1524</v>
      </c>
      <c r="B2601" s="999">
        <f>B2596</f>
        <v>2688.604757859147</v>
      </c>
    </row>
    <row r="2602" spans="1:2" x14ac:dyDescent="0.3">
      <c r="A2602" s="1316" t="s">
        <v>1522</v>
      </c>
      <c r="B2602" s="873">
        <v>2000</v>
      </c>
    </row>
    <row r="2603" spans="1:2" x14ac:dyDescent="0.3">
      <c r="A2603" s="1316" t="s">
        <v>1525</v>
      </c>
      <c r="B2603" s="999">
        <f>B2601*B2602/1000</f>
        <v>5377.2095157182939</v>
      </c>
    </row>
    <row r="2604" spans="1:2" x14ac:dyDescent="0.3">
      <c r="A2604" s="1316"/>
      <c r="B2604" s="999"/>
    </row>
    <row r="2605" spans="1:2" x14ac:dyDescent="0.3">
      <c r="A2605" s="1316" t="s">
        <v>1521</v>
      </c>
      <c r="B2605" s="999">
        <f>B2597</f>
        <v>1747.8</v>
      </c>
    </row>
    <row r="2606" spans="1:2" x14ac:dyDescent="0.3">
      <c r="A2606" s="1316" t="s">
        <v>1522</v>
      </c>
      <c r="B2606" s="873">
        <v>500</v>
      </c>
    </row>
    <row r="2607" spans="1:2" x14ac:dyDescent="0.3">
      <c r="A2607" s="1316" t="s">
        <v>1523</v>
      </c>
      <c r="B2607" s="999">
        <f t="shared" ref="B2607" si="768">B2605*B2606/1000</f>
        <v>873.9</v>
      </c>
    </row>
    <row r="2608" spans="1:2" x14ac:dyDescent="0.3">
      <c r="A2608" s="1316"/>
      <c r="B2608" s="999"/>
    </row>
    <row r="2609" spans="1:7" ht="12.5" thickBot="1" x14ac:dyDescent="0.35">
      <c r="A2609" s="1317" t="s">
        <v>1526</v>
      </c>
      <c r="B2609" s="1318">
        <f>B2603+B2607</f>
        <v>6251.1095157182936</v>
      </c>
    </row>
    <row r="2610" spans="1:7" ht="13.5" thickTop="1" x14ac:dyDescent="0.3">
      <c r="A2610" s="1325"/>
      <c r="B2610" s="873"/>
    </row>
    <row r="2611" spans="1:7" ht="13" x14ac:dyDescent="0.3">
      <c r="A2611" s="1309"/>
      <c r="B2611" s="885"/>
    </row>
    <row r="2612" spans="1:7" ht="13" x14ac:dyDescent="0.3">
      <c r="A2612" s="1309"/>
      <c r="B2612" s="1304">
        <v>2023</v>
      </c>
      <c r="C2612" s="1304">
        <v>2024</v>
      </c>
      <c r="D2612" s="1304">
        <v>2025</v>
      </c>
      <c r="E2612" s="1304">
        <v>2026</v>
      </c>
      <c r="F2612" s="1304">
        <v>2027</v>
      </c>
      <c r="G2612" s="1304">
        <v>2028</v>
      </c>
    </row>
    <row r="2613" spans="1:7" x14ac:dyDescent="0.3">
      <c r="A2613" s="1305" t="s">
        <v>1524</v>
      </c>
      <c r="C2613" s="885">
        <f>B2596/5</f>
        <v>537.72095157182935</v>
      </c>
      <c r="D2613" s="885">
        <f>C2613</f>
        <v>537.72095157182935</v>
      </c>
      <c r="E2613" s="885">
        <f t="shared" ref="E2613:G2613" si="769">D2613</f>
        <v>537.72095157182935</v>
      </c>
      <c r="F2613" s="885">
        <f t="shared" si="769"/>
        <v>537.72095157182935</v>
      </c>
      <c r="G2613" s="885">
        <f t="shared" si="769"/>
        <v>537.72095157182935</v>
      </c>
    </row>
    <row r="2614" spans="1:7" x14ac:dyDescent="0.3">
      <c r="A2614" s="1305" t="s">
        <v>1522</v>
      </c>
      <c r="C2614" s="901">
        <v>2000</v>
      </c>
      <c r="D2614" s="901">
        <f>C2614</f>
        <v>2000</v>
      </c>
      <c r="E2614" s="901">
        <f t="shared" ref="E2614:G2614" si="770">D2614</f>
        <v>2000</v>
      </c>
      <c r="F2614" s="901">
        <f t="shared" si="770"/>
        <v>2000</v>
      </c>
      <c r="G2614" s="901">
        <f t="shared" si="770"/>
        <v>2000</v>
      </c>
    </row>
    <row r="2615" spans="1:7" x14ac:dyDescent="0.3">
      <c r="A2615" s="1305" t="s">
        <v>1525</v>
      </c>
      <c r="C2615" s="885">
        <f>C2613*C2614/1000</f>
        <v>1075.4419031436587</v>
      </c>
      <c r="D2615" s="885">
        <f t="shared" ref="D2615:G2615" si="771">D2613*D2614/1000</f>
        <v>1075.4419031436587</v>
      </c>
      <c r="E2615" s="885">
        <f t="shared" si="771"/>
        <v>1075.4419031436587</v>
      </c>
      <c r="F2615" s="885">
        <f t="shared" si="771"/>
        <v>1075.4419031436587</v>
      </c>
      <c r="G2615" s="885">
        <f t="shared" si="771"/>
        <v>1075.4419031436587</v>
      </c>
    </row>
    <row r="2616" spans="1:7" x14ac:dyDescent="0.3">
      <c r="A2616" s="1305"/>
    </row>
    <row r="2617" spans="1:7" x14ac:dyDescent="0.3">
      <c r="A2617" s="1305" t="s">
        <v>1521</v>
      </c>
      <c r="C2617" s="885">
        <f>B2597/5</f>
        <v>349.56</v>
      </c>
      <c r="D2617" s="885">
        <f>C2617</f>
        <v>349.56</v>
      </c>
      <c r="E2617" s="885">
        <f t="shared" ref="E2617:G2617" si="772">D2617</f>
        <v>349.56</v>
      </c>
      <c r="F2617" s="885">
        <f t="shared" si="772"/>
        <v>349.56</v>
      </c>
      <c r="G2617" s="885">
        <f t="shared" si="772"/>
        <v>349.56</v>
      </c>
    </row>
    <row r="2618" spans="1:7" x14ac:dyDescent="0.3">
      <c r="A2618" s="1305" t="s">
        <v>1522</v>
      </c>
      <c r="C2618" s="901">
        <v>500</v>
      </c>
      <c r="D2618" s="901">
        <f>C2618</f>
        <v>500</v>
      </c>
      <c r="E2618" s="901">
        <f t="shared" ref="E2618:G2618" si="773">D2618</f>
        <v>500</v>
      </c>
      <c r="F2618" s="901">
        <f t="shared" si="773"/>
        <v>500</v>
      </c>
      <c r="G2618" s="901">
        <f t="shared" si="773"/>
        <v>500</v>
      </c>
    </row>
    <row r="2619" spans="1:7" x14ac:dyDescent="0.3">
      <c r="A2619" s="1305" t="s">
        <v>1523</v>
      </c>
      <c r="C2619" s="885">
        <f t="shared" ref="C2619:D2619" si="774">C2617*C2618/1000</f>
        <v>174.78</v>
      </c>
      <c r="D2619" s="885">
        <f t="shared" si="774"/>
        <v>174.78</v>
      </c>
      <c r="E2619" s="885">
        <f t="shared" ref="E2619" si="775">E2617*E2618/1000</f>
        <v>174.78</v>
      </c>
      <c r="F2619" s="885">
        <f t="shared" ref="F2619" si="776">F2617*F2618/1000</f>
        <v>174.78</v>
      </c>
      <c r="G2619" s="885">
        <f t="shared" ref="G2619" si="777">G2617*G2618/1000</f>
        <v>174.78</v>
      </c>
    </row>
    <row r="2620" spans="1:7" x14ac:dyDescent="0.3">
      <c r="A2620" s="1305"/>
    </row>
    <row r="2621" spans="1:7" x14ac:dyDescent="0.3">
      <c r="A2621" s="1313" t="s">
        <v>1526</v>
      </c>
      <c r="B2621" s="90"/>
      <c r="C2621" s="916">
        <f>C2615+C2619</f>
        <v>1250.2219031436587</v>
      </c>
      <c r="D2621" s="916">
        <f t="shared" ref="D2621:G2621" si="778">D2615+D2619</f>
        <v>1250.2219031436587</v>
      </c>
      <c r="E2621" s="916">
        <f t="shared" si="778"/>
        <v>1250.2219031436587</v>
      </c>
      <c r="F2621" s="916">
        <f t="shared" si="778"/>
        <v>1250.2219031436587</v>
      </c>
      <c r="G2621" s="916">
        <f t="shared" si="778"/>
        <v>1250.2219031436587</v>
      </c>
    </row>
    <row r="2622" spans="1:7" x14ac:dyDescent="0.3">
      <c r="A2622" s="1305"/>
    </row>
    <row r="2623" spans="1:7" x14ac:dyDescent="0.3">
      <c r="A2623" s="1305" t="s">
        <v>1551</v>
      </c>
      <c r="B2623" s="887">
        <f>B2582</f>
        <v>9574</v>
      </c>
      <c r="C2623" s="887">
        <f>B2623-C2613</f>
        <v>9036.2790484281704</v>
      </c>
      <c r="D2623" s="887">
        <f t="shared" ref="D2623:G2623" si="779">C2623-D2613</f>
        <v>8498.5580968563409</v>
      </c>
      <c r="E2623" s="887">
        <f t="shared" si="779"/>
        <v>7960.8371452845113</v>
      </c>
      <c r="F2623" s="887">
        <f t="shared" si="779"/>
        <v>7423.1161937126817</v>
      </c>
      <c r="G2623" s="887">
        <f t="shared" si="779"/>
        <v>6885.3952421408521</v>
      </c>
    </row>
    <row r="2624" spans="1:7" x14ac:dyDescent="0.3">
      <c r="A2624" s="1305" t="s">
        <v>1562</v>
      </c>
      <c r="B2624" s="866">
        <f>B2578</f>
        <v>5826</v>
      </c>
      <c r="C2624" s="866">
        <f>B2624+C2613</f>
        <v>6363.7209515718296</v>
      </c>
      <c r="D2624" s="866">
        <f t="shared" ref="D2624:G2624" si="780">C2624+D2613</f>
        <v>6901.4419031436591</v>
      </c>
      <c r="E2624" s="866">
        <f t="shared" si="780"/>
        <v>7439.1628547154887</v>
      </c>
      <c r="F2624" s="866">
        <f t="shared" si="780"/>
        <v>7976.8838062873183</v>
      </c>
      <c r="G2624" s="866">
        <f t="shared" si="780"/>
        <v>8514.6047578591479</v>
      </c>
    </row>
    <row r="2625" spans="1:7" x14ac:dyDescent="0.3">
      <c r="A2625" s="1305" t="s">
        <v>1563</v>
      </c>
      <c r="B2625" s="887">
        <f t="shared" ref="B2625:G2625" si="781">SUM(B2623:B2624)</f>
        <v>15400</v>
      </c>
      <c r="C2625" s="887">
        <f t="shared" si="781"/>
        <v>15400</v>
      </c>
      <c r="D2625" s="887">
        <f t="shared" si="781"/>
        <v>15400</v>
      </c>
      <c r="E2625" s="887">
        <f t="shared" si="781"/>
        <v>15400</v>
      </c>
      <c r="F2625" s="887">
        <f t="shared" si="781"/>
        <v>15400</v>
      </c>
      <c r="G2625" s="887">
        <f t="shared" si="781"/>
        <v>15400</v>
      </c>
    </row>
    <row r="2626" spans="1:7" x14ac:dyDescent="0.3">
      <c r="A2626" s="1305"/>
    </row>
    <row r="2627" spans="1:7" x14ac:dyDescent="0.3">
      <c r="A2627" s="1305" t="s">
        <v>1540</v>
      </c>
      <c r="B2627" s="885">
        <f>B2624</f>
        <v>5826</v>
      </c>
      <c r="C2627" s="885">
        <f t="shared" ref="C2627:G2627" si="782">C2624</f>
        <v>6363.7209515718296</v>
      </c>
      <c r="D2627" s="885">
        <f t="shared" si="782"/>
        <v>6901.4419031436591</v>
      </c>
      <c r="E2627" s="885">
        <f t="shared" si="782"/>
        <v>7439.1628547154887</v>
      </c>
      <c r="F2627" s="885">
        <f t="shared" si="782"/>
        <v>7976.8838062873183</v>
      </c>
      <c r="G2627" s="885">
        <f t="shared" si="782"/>
        <v>8514.6047578591479</v>
      </c>
    </row>
    <row r="2628" spans="1:7" x14ac:dyDescent="0.3">
      <c r="A2628" s="1305" t="s">
        <v>1564</v>
      </c>
      <c r="B2628" s="901">
        <v>3500</v>
      </c>
      <c r="C2628" s="901">
        <f>B2628</f>
        <v>3500</v>
      </c>
      <c r="D2628" s="901">
        <f t="shared" ref="D2628:G2628" si="783">C2628</f>
        <v>3500</v>
      </c>
      <c r="E2628" s="901">
        <f t="shared" si="783"/>
        <v>3500</v>
      </c>
      <c r="F2628" s="901">
        <f t="shared" si="783"/>
        <v>3500</v>
      </c>
      <c r="G2628" s="901">
        <f t="shared" si="783"/>
        <v>3500</v>
      </c>
    </row>
    <row r="2629" spans="1:7" x14ac:dyDescent="0.3">
      <c r="A2629" s="1305" t="s">
        <v>1565</v>
      </c>
      <c r="B2629" s="885">
        <f>B2627*B2628/1000</f>
        <v>20391</v>
      </c>
      <c r="C2629" s="885">
        <f t="shared" ref="C2629:G2629" si="784">C2627*C2628/1000</f>
        <v>22273.023330501404</v>
      </c>
      <c r="D2629" s="885">
        <f t="shared" si="784"/>
        <v>24155.046661002809</v>
      </c>
      <c r="E2629" s="885">
        <f t="shared" si="784"/>
        <v>26037.06999150421</v>
      </c>
      <c r="F2629" s="885">
        <f t="shared" si="784"/>
        <v>27919.093322005614</v>
      </c>
      <c r="G2629" s="885">
        <f t="shared" si="784"/>
        <v>29801.116652507018</v>
      </c>
    </row>
    <row r="2630" spans="1:7" x14ac:dyDescent="0.3">
      <c r="A2630" s="1305"/>
    </row>
    <row r="2631" spans="1:7" x14ac:dyDescent="0.3">
      <c r="A2631" s="1305" t="s">
        <v>1551</v>
      </c>
      <c r="B2631" s="885">
        <f>B2623</f>
        <v>9574</v>
      </c>
      <c r="C2631" s="885">
        <f t="shared" ref="C2631:G2631" si="785">C2623</f>
        <v>9036.2790484281704</v>
      </c>
      <c r="D2631" s="885">
        <f t="shared" si="785"/>
        <v>8498.5580968563409</v>
      </c>
      <c r="E2631" s="885">
        <f t="shared" si="785"/>
        <v>7960.8371452845113</v>
      </c>
      <c r="F2631" s="885">
        <f t="shared" si="785"/>
        <v>7423.1161937126817</v>
      </c>
      <c r="G2631" s="885">
        <f t="shared" si="785"/>
        <v>6885.3952421408521</v>
      </c>
    </row>
    <row r="2632" spans="1:7" x14ac:dyDescent="0.3">
      <c r="A2632" s="1305" t="s">
        <v>1564</v>
      </c>
      <c r="B2632" s="901">
        <v>500</v>
      </c>
      <c r="C2632" s="901">
        <f>B2632</f>
        <v>500</v>
      </c>
      <c r="D2632" s="901">
        <v>500</v>
      </c>
      <c r="E2632" s="901">
        <v>500</v>
      </c>
      <c r="F2632" s="901">
        <v>500</v>
      </c>
      <c r="G2632" s="901">
        <v>500</v>
      </c>
    </row>
    <row r="2633" spans="1:7" x14ac:dyDescent="0.3">
      <c r="A2633" s="1305" t="s">
        <v>1566</v>
      </c>
      <c r="B2633" s="885">
        <f>B2631*B2632/1000</f>
        <v>4787</v>
      </c>
      <c r="C2633" s="885">
        <f t="shared" ref="C2633" si="786">C2631*C2632/1000</f>
        <v>4518.1395242140852</v>
      </c>
      <c r="D2633" s="885">
        <f t="shared" ref="D2633" si="787">D2631*D2632/1000</f>
        <v>4249.2790484281704</v>
      </c>
      <c r="E2633" s="885">
        <f t="shared" ref="E2633" si="788">E2631*E2632/1000</f>
        <v>3980.4185726422556</v>
      </c>
      <c r="F2633" s="885">
        <f t="shared" ref="F2633" si="789">F2631*F2632/1000</f>
        <v>3711.5580968563409</v>
      </c>
      <c r="G2633" s="885">
        <f t="shared" ref="G2633" si="790">G2631*G2632/1000</f>
        <v>3442.6976210704261</v>
      </c>
    </row>
    <row r="2634" spans="1:7" x14ac:dyDescent="0.3">
      <c r="A2634" s="1305"/>
    </row>
    <row r="2635" spans="1:7" x14ac:dyDescent="0.3">
      <c r="A2635" s="1313" t="s">
        <v>1110</v>
      </c>
      <c r="B2635" s="916">
        <f>B2629+B2633</f>
        <v>25178</v>
      </c>
      <c r="C2635" s="916">
        <f t="shared" ref="C2635:G2635" si="791">C2629+C2633</f>
        <v>26791.162854715491</v>
      </c>
      <c r="D2635" s="916">
        <f t="shared" si="791"/>
        <v>28404.325709430981</v>
      </c>
      <c r="E2635" s="916">
        <f t="shared" si="791"/>
        <v>30017.488564146464</v>
      </c>
      <c r="F2635" s="916">
        <f t="shared" si="791"/>
        <v>31630.651418861955</v>
      </c>
      <c r="G2635" s="916">
        <f t="shared" si="791"/>
        <v>33243.814273577445</v>
      </c>
    </row>
    <row r="2636" spans="1:7" x14ac:dyDescent="0.3">
      <c r="A2636" s="1305"/>
    </row>
    <row r="2637" spans="1:7" x14ac:dyDescent="0.3">
      <c r="A2637" s="995" t="s">
        <v>1267</v>
      </c>
      <c r="B2637" s="76">
        <f>'Model Main'!EP198</f>
        <v>8607</v>
      </c>
      <c r="C2637" s="76">
        <f>B2637</f>
        <v>8607</v>
      </c>
      <c r="D2637" s="76">
        <f t="shared" ref="D2637:G2637" si="792">C2637</f>
        <v>8607</v>
      </c>
      <c r="E2637" s="76">
        <f t="shared" si="792"/>
        <v>8607</v>
      </c>
      <c r="F2637" s="76">
        <f t="shared" si="792"/>
        <v>8607</v>
      </c>
      <c r="G2637" s="76">
        <f t="shared" si="792"/>
        <v>8607</v>
      </c>
    </row>
    <row r="2638" spans="1:7" x14ac:dyDescent="0.3">
      <c r="A2638" s="995" t="s">
        <v>1268</v>
      </c>
      <c r="B2638" s="885">
        <f>B2621</f>
        <v>0</v>
      </c>
      <c r="C2638" s="885">
        <f t="shared" ref="C2638" si="793">C2621</f>
        <v>1250.2219031436587</v>
      </c>
      <c r="D2638" s="885">
        <f>C2638++D2621</f>
        <v>2500.4438062873173</v>
      </c>
      <c r="E2638" s="885">
        <f t="shared" ref="E2638:G2638" si="794">D2638++E2621</f>
        <v>3750.6657094309758</v>
      </c>
      <c r="F2638" s="885">
        <f t="shared" si="794"/>
        <v>5000.8876125746347</v>
      </c>
      <c r="G2638" s="885">
        <f t="shared" si="794"/>
        <v>6251.1095157182936</v>
      </c>
    </row>
    <row r="2639" spans="1:7" x14ac:dyDescent="0.3">
      <c r="A2639" s="998"/>
    </row>
    <row r="2640" spans="1:7" x14ac:dyDescent="0.3">
      <c r="A2640" s="998" t="s">
        <v>1269</v>
      </c>
      <c r="B2640" s="887">
        <f t="shared" ref="B2640:G2640" si="795">B2635-B2637-B2638</f>
        <v>16571</v>
      </c>
      <c r="C2640" s="887">
        <f t="shared" si="795"/>
        <v>16933.940951571833</v>
      </c>
      <c r="D2640" s="887">
        <f t="shared" si="795"/>
        <v>17296.881903143665</v>
      </c>
      <c r="E2640" s="887">
        <f t="shared" si="795"/>
        <v>17659.822854715487</v>
      </c>
      <c r="F2640" s="887">
        <f t="shared" si="795"/>
        <v>18022.763806287319</v>
      </c>
      <c r="G2640" s="887">
        <f t="shared" si="795"/>
        <v>18385.704757859152</v>
      </c>
    </row>
    <row r="2641" spans="1:7" x14ac:dyDescent="0.3">
      <c r="A2641" s="995" t="s">
        <v>104</v>
      </c>
      <c r="B2641" s="104">
        <f>Valuation!B7</f>
        <v>260</v>
      </c>
      <c r="C2641" s="104">
        <f>B2641</f>
        <v>260</v>
      </c>
      <c r="D2641" s="104">
        <f t="shared" ref="D2641:G2641" si="796">C2641</f>
        <v>260</v>
      </c>
      <c r="E2641" s="104">
        <f t="shared" si="796"/>
        <v>260</v>
      </c>
      <c r="F2641" s="104">
        <f t="shared" si="796"/>
        <v>260</v>
      </c>
      <c r="G2641" s="104">
        <f t="shared" si="796"/>
        <v>260</v>
      </c>
    </row>
    <row r="2642" spans="1:7" x14ac:dyDescent="0.3">
      <c r="A2642" s="998" t="s">
        <v>1270</v>
      </c>
      <c r="B2642" s="1224">
        <f>B2640/B2641</f>
        <v>63.734615384615381</v>
      </c>
      <c r="C2642" s="1224">
        <f>C2640/C2641</f>
        <v>65.130542121430125</v>
      </c>
      <c r="D2642" s="1224">
        <f t="shared" ref="D2642:G2642" si="797">D2640/D2641</f>
        <v>66.526468858244868</v>
      </c>
      <c r="E2642" s="1224">
        <f t="shared" si="797"/>
        <v>67.922395595059569</v>
      </c>
      <c r="F2642" s="1224">
        <f t="shared" si="797"/>
        <v>69.318322331874299</v>
      </c>
      <c r="G2642" s="1224">
        <f t="shared" si="797"/>
        <v>70.714249068689043</v>
      </c>
    </row>
    <row r="2643" spans="1:7" x14ac:dyDescent="0.3">
      <c r="A2643" s="1305"/>
    </row>
    <row r="2644" spans="1:7" x14ac:dyDescent="0.3">
      <c r="A2644" s="1305"/>
    </row>
    <row r="2645" spans="1:7" ht="13" x14ac:dyDescent="0.3">
      <c r="A2645" s="1309"/>
      <c r="B2645" s="1304">
        <v>2023</v>
      </c>
      <c r="C2645" s="1304">
        <v>2024</v>
      </c>
      <c r="D2645" s="1304">
        <v>2025</v>
      </c>
      <c r="E2645" s="1304">
        <v>2026</v>
      </c>
      <c r="F2645" s="1304">
        <v>2027</v>
      </c>
      <c r="G2645" s="1304">
        <v>2028</v>
      </c>
    </row>
    <row r="2646" spans="1:7" x14ac:dyDescent="0.3">
      <c r="A2646" s="1326" t="s">
        <v>324</v>
      </c>
      <c r="B2646" s="1327"/>
      <c r="C2646" s="1327"/>
      <c r="D2646" s="1327"/>
      <c r="E2646" s="1327"/>
      <c r="F2646" s="1327"/>
      <c r="G2646" s="1327"/>
    </row>
    <row r="2647" spans="1:7" x14ac:dyDescent="0.3">
      <c r="A2647" s="1306" t="s">
        <v>1567</v>
      </c>
      <c r="B2647" s="885">
        <f>Drivers!ES90</f>
        <v>6491</v>
      </c>
      <c r="C2647" s="885">
        <f>Drivers!EX90</f>
        <v>7823</v>
      </c>
      <c r="D2647" s="885">
        <f>Drivers!FC90</f>
        <v>9123</v>
      </c>
      <c r="E2647" s="885">
        <f>Drivers!FD90</f>
        <v>10023</v>
      </c>
      <c r="F2647" s="885">
        <f>Drivers!FE90</f>
        <v>10123.23</v>
      </c>
      <c r="G2647" s="885">
        <f>Drivers!FF90</f>
        <v>10224.462299999999</v>
      </c>
    </row>
    <row r="2648" spans="1:7" x14ac:dyDescent="0.3">
      <c r="A2648" s="1306" t="s">
        <v>1568</v>
      </c>
      <c r="B2648" s="887">
        <f t="shared" ref="B2648:G2648" si="798">B2624</f>
        <v>5826</v>
      </c>
      <c r="C2648" s="887">
        <f t="shared" si="798"/>
        <v>6363.7209515718296</v>
      </c>
      <c r="D2648" s="887">
        <f t="shared" si="798"/>
        <v>6901.4419031436591</v>
      </c>
      <c r="E2648" s="887">
        <f t="shared" si="798"/>
        <v>7439.1628547154887</v>
      </c>
      <c r="F2648" s="887">
        <f t="shared" si="798"/>
        <v>7976.8838062873183</v>
      </c>
      <c r="G2648" s="887">
        <f t="shared" si="798"/>
        <v>8514.6047578591479</v>
      </c>
    </row>
    <row r="2649" spans="1:7" x14ac:dyDescent="0.3">
      <c r="A2649" s="1306"/>
    </row>
    <row r="2650" spans="1:7" x14ac:dyDescent="0.3">
      <c r="A2650" s="1306" t="s">
        <v>1569</v>
      </c>
      <c r="B2650" s="885">
        <f>Drivers!ES91</f>
        <v>1320</v>
      </c>
      <c r="C2650" s="885">
        <f>Drivers!EX91</f>
        <v>1332</v>
      </c>
      <c r="D2650" s="885">
        <f>Drivers!FC91</f>
        <v>1300</v>
      </c>
      <c r="E2650" s="885">
        <f>Drivers!FD91</f>
        <v>900</v>
      </c>
      <c r="F2650" s="885">
        <f>Drivers!FE91</f>
        <v>100.22999999999956</v>
      </c>
      <c r="G2650" s="885">
        <f>Drivers!FF91</f>
        <v>101.23229999999967</v>
      </c>
    </row>
    <row r="2651" spans="1:7" x14ac:dyDescent="0.3">
      <c r="A2651" s="1306" t="s">
        <v>1570</v>
      </c>
      <c r="B2651" s="885">
        <f>Drivers!EO91+Drivers!EP91</f>
        <v>655</v>
      </c>
      <c r="C2651" s="885">
        <f>C2613</f>
        <v>537.72095157182935</v>
      </c>
      <c r="D2651" s="885">
        <f>D2613</f>
        <v>537.72095157182935</v>
      </c>
      <c r="E2651" s="885">
        <f>E2613</f>
        <v>537.72095157182935</v>
      </c>
      <c r="F2651" s="885">
        <f>F2613</f>
        <v>537.72095157182935</v>
      </c>
      <c r="G2651" s="885">
        <f>G2613</f>
        <v>537.72095157182935</v>
      </c>
    </row>
    <row r="2652" spans="1:7" x14ac:dyDescent="0.3">
      <c r="A2652" s="1306"/>
    </row>
    <row r="2653" spans="1:7" x14ac:dyDescent="0.3">
      <c r="A2653" s="1306" t="s">
        <v>1571</v>
      </c>
      <c r="B2653" s="885">
        <f>Drivers!ES94</f>
        <v>8909</v>
      </c>
      <c r="C2653" s="885">
        <f>Drivers!EX94</f>
        <v>7677</v>
      </c>
      <c r="D2653" s="885">
        <f>Drivers!FC94</f>
        <v>6485.4999999999982</v>
      </c>
      <c r="E2653" s="885">
        <f>Drivers!FD94</f>
        <v>5694.7594999999965</v>
      </c>
      <c r="F2653" s="885">
        <f>Drivers!FE94</f>
        <v>5704.5538164999944</v>
      </c>
      <c r="G2653" s="885">
        <f>Drivers!FF94</f>
        <v>5714.116003215493</v>
      </c>
    </row>
    <row r="2654" spans="1:7" x14ac:dyDescent="0.3">
      <c r="A2654" s="1306" t="s">
        <v>1572</v>
      </c>
      <c r="B2654" s="887">
        <f>B2582</f>
        <v>9574</v>
      </c>
      <c r="C2654" s="887">
        <f>B2654-C2651</f>
        <v>9036.2790484281704</v>
      </c>
      <c r="D2654" s="887">
        <f t="shared" ref="D2654:G2654" si="799">C2654-D2651</f>
        <v>8498.5580968563409</v>
      </c>
      <c r="E2654" s="887">
        <f t="shared" si="799"/>
        <v>7960.8371452845113</v>
      </c>
      <c r="F2654" s="887">
        <f t="shared" si="799"/>
        <v>7423.1161937126817</v>
      </c>
      <c r="G2654" s="887">
        <f t="shared" si="799"/>
        <v>6885.3952421408521</v>
      </c>
    </row>
    <row r="2655" spans="1:7" x14ac:dyDescent="0.3">
      <c r="A2655" s="1306"/>
    </row>
    <row r="2656" spans="1:7" x14ac:dyDescent="0.3">
      <c r="A2656" s="1326" t="s">
        <v>267</v>
      </c>
      <c r="B2656" s="1327"/>
      <c r="C2656" s="1327"/>
      <c r="D2656" s="1327"/>
      <c r="E2656" s="1327"/>
      <c r="F2656" s="1327"/>
      <c r="G2656" s="1327"/>
    </row>
    <row r="2657" spans="1:7" x14ac:dyDescent="0.3">
      <c r="A2657" s="1315" t="s">
        <v>1573</v>
      </c>
    </row>
    <row r="2658" spans="1:7" x14ac:dyDescent="0.3">
      <c r="A2658" s="1306" t="s">
        <v>1574</v>
      </c>
      <c r="B2658" s="76">
        <f>Drivers!ES115</f>
        <v>1878</v>
      </c>
      <c r="C2658" s="76">
        <f>Drivers!EX115</f>
        <v>2249</v>
      </c>
      <c r="D2658" s="76">
        <f>Drivers!FC115</f>
        <v>2702.2388610217558</v>
      </c>
      <c r="E2658" s="76">
        <f>Drivers!FD115</f>
        <v>3183.9855180066493</v>
      </c>
      <c r="F2658" s="76">
        <f>Drivers!FE115</f>
        <v>3603.7155306006016</v>
      </c>
      <c r="G2658" s="76">
        <f>Drivers!FF115</f>
        <v>3913.6593195111532</v>
      </c>
    </row>
    <row r="2659" spans="1:7" x14ac:dyDescent="0.3">
      <c r="A2659" s="1306" t="s">
        <v>1575</v>
      </c>
      <c r="B2659" s="104">
        <f>Drivers!ES260</f>
        <v>822</v>
      </c>
      <c r="C2659" s="104">
        <f>Drivers!EX260</f>
        <v>612</v>
      </c>
      <c r="D2659" s="104">
        <f>Drivers!FC260</f>
        <v>438.84466480671011</v>
      </c>
      <c r="E2659" s="104">
        <f>Drivers!FD260</f>
        <v>300.21500765474059</v>
      </c>
      <c r="F2659" s="104">
        <f>Drivers!FE260</f>
        <v>205.37802564110802</v>
      </c>
      <c r="G2659" s="104">
        <f>Drivers!FF260</f>
        <v>140.4997496485868</v>
      </c>
    </row>
    <row r="2660" spans="1:7" x14ac:dyDescent="0.3">
      <c r="A2660" s="1315" t="s">
        <v>1576</v>
      </c>
      <c r="B2660" s="85">
        <f t="shared" ref="B2660:G2660" si="800">SUM(B2658:B2659)</f>
        <v>2700</v>
      </c>
      <c r="C2660" s="85">
        <f t="shared" si="800"/>
        <v>2861</v>
      </c>
      <c r="D2660" s="85">
        <f t="shared" si="800"/>
        <v>3141.083525828466</v>
      </c>
      <c r="E2660" s="85">
        <f t="shared" si="800"/>
        <v>3484.2005256613897</v>
      </c>
      <c r="F2660" s="85">
        <f t="shared" si="800"/>
        <v>3809.0935562417098</v>
      </c>
      <c r="G2660" s="85">
        <f t="shared" si="800"/>
        <v>4054.1590691597398</v>
      </c>
    </row>
    <row r="2661" spans="1:7" x14ac:dyDescent="0.3">
      <c r="A2661" s="1306"/>
    </row>
    <row r="2662" spans="1:7" x14ac:dyDescent="0.3">
      <c r="A2662" s="1315" t="s">
        <v>1577</v>
      </c>
    </row>
    <row r="2663" spans="1:7" x14ac:dyDescent="0.3">
      <c r="A2663" s="1306" t="s">
        <v>1574</v>
      </c>
      <c r="B2663" s="885">
        <f>B2658-(B2647-B2648)*0.1/2</f>
        <v>1844.75</v>
      </c>
      <c r="C2663" s="885">
        <f>C2658/AVERAGE(B2647:C2647)*AVERAGE(B2648:C2648)</f>
        <v>1915.235602912187</v>
      </c>
      <c r="D2663" s="885">
        <f>D2658/AVERAGE(C2647:D2647)*AVERAGE(C2648:D2648)</f>
        <v>2115.2861184819121</v>
      </c>
      <c r="E2663" s="885">
        <f>E2658/AVERAGE(D2647:E2647)*AVERAGE(D2648:E2648)</f>
        <v>2384.8468540938461</v>
      </c>
      <c r="F2663" s="885">
        <f>F2658/AVERAGE(E2647:F2647)*AVERAGE(E2648:F2648)</f>
        <v>2757.5902177588246</v>
      </c>
      <c r="G2663" s="885">
        <f>G2658/AVERAGE(F2647:G2647)*AVERAGE(F2648:G2648)</f>
        <v>3171.9600906134906</v>
      </c>
    </row>
    <row r="2664" spans="1:7" x14ac:dyDescent="0.3">
      <c r="A2664" s="1306" t="s">
        <v>1575</v>
      </c>
      <c r="B2664" s="901">
        <f>(Drivers!EP260)+SUM(Drivers!EQ262:ER262)*(Analysis!B2654-Analysis!B2653)/1000</f>
        <v>857.51</v>
      </c>
      <c r="C2664" s="901">
        <f>C2659/AVERAGE(B2653:C2653)*AVERAGE(B2654:C2654)</f>
        <v>686.69304097660938</v>
      </c>
      <c r="D2664" s="901">
        <f>D2659/AVERAGE(C2653:D2653)*AVERAGE(C2654:D2654)</f>
        <v>543.34119890292186</v>
      </c>
      <c r="E2664" s="901">
        <f>E2659/AVERAGE(D2653:E2653)*AVERAGE(D2654:E2654)</f>
        <v>405.68573014488891</v>
      </c>
      <c r="F2664" s="901">
        <f>F2659/AVERAGE(E2653:F2653)*AVERAGE(E2654:F2654)</f>
        <v>277.16809562071637</v>
      </c>
      <c r="G2664" s="901">
        <f>G2659/AVERAGE(F2653:G2653)*AVERAGE(F2654:G2654)</f>
        <v>176.05748360551624</v>
      </c>
    </row>
    <row r="2665" spans="1:7" x14ac:dyDescent="0.3">
      <c r="A2665" s="1315" t="s">
        <v>1578</v>
      </c>
      <c r="B2665" s="900">
        <f t="shared" ref="B2665:G2665" si="801">SUM(B2663:B2664)</f>
        <v>2702.26</v>
      </c>
      <c r="C2665" s="900">
        <f t="shared" si="801"/>
        <v>2601.9286438887966</v>
      </c>
      <c r="D2665" s="900">
        <f t="shared" si="801"/>
        <v>2658.627317384834</v>
      </c>
      <c r="E2665" s="900">
        <f t="shared" si="801"/>
        <v>2790.5325842387351</v>
      </c>
      <c r="F2665" s="900">
        <f t="shared" si="801"/>
        <v>3034.7583133795411</v>
      </c>
      <c r="G2665" s="900">
        <f t="shared" si="801"/>
        <v>3348.0175742190067</v>
      </c>
    </row>
    <row r="2666" spans="1:7" x14ac:dyDescent="0.3">
      <c r="A2666" s="1306"/>
    </row>
    <row r="2667" spans="1:7" x14ac:dyDescent="0.3">
      <c r="A2667" s="1315" t="s">
        <v>1579</v>
      </c>
    </row>
    <row r="2668" spans="1:7" x14ac:dyDescent="0.3">
      <c r="A2668" s="1306" t="s">
        <v>1574</v>
      </c>
      <c r="B2668" s="76">
        <f>Drivers!ES138</f>
        <v>129</v>
      </c>
      <c r="C2668" s="76">
        <f>Drivers!EX138</f>
        <v>143</v>
      </c>
      <c r="D2668" s="76">
        <f>Drivers!FC138</f>
        <v>162.98835875308487</v>
      </c>
      <c r="E2668" s="76">
        <f>Drivers!FD138</f>
        <v>187.58914365004199</v>
      </c>
      <c r="F2668" s="76">
        <f>Drivers!FE138</f>
        <v>213.54339308519684</v>
      </c>
      <c r="G2668" s="76">
        <f>Drivers!FF138</f>
        <v>240.11231387097365</v>
      </c>
    </row>
    <row r="2669" spans="1:7" x14ac:dyDescent="0.3">
      <c r="A2669" s="1306" t="s">
        <v>1575</v>
      </c>
      <c r="B2669" s="104">
        <f>Drivers!ES305</f>
        <v>114</v>
      </c>
      <c r="C2669" s="104">
        <f>Drivers!EX305</f>
        <v>90</v>
      </c>
      <c r="D2669" s="104">
        <f>Drivers!FC305</f>
        <v>69.331714740532206</v>
      </c>
      <c r="E2669" s="104">
        <f>Drivers!FD305</f>
        <v>51.928229533687656</v>
      </c>
      <c r="F2669" s="104">
        <f>Drivers!FE305</f>
        <v>39.117382688465298</v>
      </c>
      <c r="G2669" s="104">
        <f>Drivers!FF305</f>
        <v>29.745697540636542</v>
      </c>
    </row>
    <row r="2670" spans="1:7" x14ac:dyDescent="0.3">
      <c r="A2670" s="1315" t="s">
        <v>1580</v>
      </c>
      <c r="B2670" s="85">
        <f t="shared" ref="B2670:G2670" si="802">SUM(B2668:B2669)</f>
        <v>243</v>
      </c>
      <c r="C2670" s="85">
        <f t="shared" si="802"/>
        <v>233</v>
      </c>
      <c r="D2670" s="85">
        <f t="shared" si="802"/>
        <v>232.32007349361709</v>
      </c>
      <c r="E2670" s="85">
        <f t="shared" si="802"/>
        <v>239.51737318372966</v>
      </c>
      <c r="F2670" s="85">
        <f t="shared" si="802"/>
        <v>252.66077577366212</v>
      </c>
      <c r="G2670" s="85">
        <f t="shared" si="802"/>
        <v>269.85801141161016</v>
      </c>
    </row>
    <row r="2671" spans="1:7" x14ac:dyDescent="0.3">
      <c r="A2671" s="1306"/>
    </row>
    <row r="2672" spans="1:7" x14ac:dyDescent="0.3">
      <c r="A2672" s="1315" t="s">
        <v>1581</v>
      </c>
    </row>
    <row r="2673" spans="1:7" x14ac:dyDescent="0.3">
      <c r="A2673" s="1306" t="s">
        <v>1574</v>
      </c>
      <c r="B2673" s="885">
        <f>B2668-(B2647-B2648)*0.01/2</f>
        <v>125.675</v>
      </c>
      <c r="C2673" s="885">
        <f>C2668/AVERAGE(B2647:C2647)*AVERAGE(B2648:C2648)</f>
        <v>121.7779863123356</v>
      </c>
      <c r="D2673" s="885">
        <f>D2668/AVERAGE(C2647:D2647)*AVERAGE(C2648:D2648)</f>
        <v>127.58569115321984</v>
      </c>
      <c r="E2673" s="885">
        <f>E2668/AVERAGE(D2647:E2647)*AVERAGE(D2648:E2648)</f>
        <v>140.50672547532201</v>
      </c>
      <c r="F2673" s="885">
        <f>F2668/AVERAGE(E2647:F2647)*AVERAGE(E2648:F2648)</f>
        <v>163.40500986786404</v>
      </c>
      <c r="G2673" s="885">
        <f>G2668/AVERAGE(F2647:G2647)*AVERAGE(F2648:G2648)</f>
        <v>194.60730091313147</v>
      </c>
    </row>
    <row r="2674" spans="1:7" x14ac:dyDescent="0.3">
      <c r="A2674" s="1306" t="s">
        <v>1575</v>
      </c>
      <c r="B2674" s="901">
        <f>B2669+(B2647-B2648)*0.01/2</f>
        <v>117.325</v>
      </c>
      <c r="C2674" s="901">
        <f>C2669/AVERAGE(B2653:C2653)*AVERAGE(B2654:C2654)</f>
        <v>100.98427073185431</v>
      </c>
      <c r="D2674" s="901">
        <f>D2669/AVERAGE(C2653:D2653)*AVERAGE(C2654:D2654)</f>
        <v>85.840799786658692</v>
      </c>
      <c r="E2674" s="901">
        <f>E2669/AVERAGE(D2653:E2653)*AVERAGE(D2654:E2654)</f>
        <v>70.171514335928322</v>
      </c>
      <c r="F2674" s="901">
        <f>F2669/AVERAGE(E2653:F2653)*AVERAGE(E2654:F2654)</f>
        <v>52.790898303672151</v>
      </c>
      <c r="G2674" s="901">
        <f>G2669/AVERAGE(F2653:G2653)*AVERAGE(F2654:G2654)</f>
        <v>37.273750808764795</v>
      </c>
    </row>
    <row r="2675" spans="1:7" x14ac:dyDescent="0.3">
      <c r="A2675" s="1315" t="s">
        <v>1582</v>
      </c>
      <c r="B2675" s="900">
        <f t="shared" ref="B2675:G2675" si="803">SUM(B2673:B2674)</f>
        <v>243</v>
      </c>
      <c r="C2675" s="900">
        <f t="shared" si="803"/>
        <v>222.76225704418991</v>
      </c>
      <c r="D2675" s="900">
        <f t="shared" si="803"/>
        <v>213.42649093987853</v>
      </c>
      <c r="E2675" s="900">
        <f t="shared" si="803"/>
        <v>210.67823981125034</v>
      </c>
      <c r="F2675" s="900">
        <f t="shared" si="803"/>
        <v>216.19590817153619</v>
      </c>
      <c r="G2675" s="900">
        <f t="shared" si="803"/>
        <v>231.88105172189626</v>
      </c>
    </row>
    <row r="2676" spans="1:7" x14ac:dyDescent="0.3">
      <c r="A2676" s="1306"/>
    </row>
    <row r="2677" spans="1:7" x14ac:dyDescent="0.3">
      <c r="A2677" s="1315" t="s">
        <v>1583</v>
      </c>
    </row>
    <row r="2678" spans="1:7" x14ac:dyDescent="0.3">
      <c r="A2678" s="1306" t="s">
        <v>1574</v>
      </c>
      <c r="B2678" s="887">
        <f>B2658+B2668</f>
        <v>2007</v>
      </c>
      <c r="C2678" s="887">
        <f t="shared" ref="C2678:G2678" si="804">C2658+C2668</f>
        <v>2392</v>
      </c>
      <c r="D2678" s="887">
        <f t="shared" si="804"/>
        <v>2865.2272197748407</v>
      </c>
      <c r="E2678" s="887">
        <f t="shared" si="804"/>
        <v>3371.5746616566912</v>
      </c>
      <c r="F2678" s="887">
        <f t="shared" si="804"/>
        <v>3817.2589236857984</v>
      </c>
      <c r="G2678" s="887">
        <f t="shared" si="804"/>
        <v>4153.7716333821272</v>
      </c>
    </row>
    <row r="2679" spans="1:7" x14ac:dyDescent="0.3">
      <c r="A2679" s="1306" t="s">
        <v>1575</v>
      </c>
      <c r="B2679" s="866">
        <f>B2659+B2669</f>
        <v>936</v>
      </c>
      <c r="C2679" s="866">
        <f t="shared" ref="C2679:G2679" si="805">C2659+C2669</f>
        <v>702</v>
      </c>
      <c r="D2679" s="866">
        <f t="shared" si="805"/>
        <v>508.17637954724233</v>
      </c>
      <c r="E2679" s="866">
        <f t="shared" si="805"/>
        <v>352.14323718842826</v>
      </c>
      <c r="F2679" s="866">
        <f t="shared" si="805"/>
        <v>244.49540832957331</v>
      </c>
      <c r="G2679" s="866">
        <f t="shared" si="805"/>
        <v>170.24544718922334</v>
      </c>
    </row>
    <row r="2680" spans="1:7" x14ac:dyDescent="0.3">
      <c r="A2680" s="1315" t="s">
        <v>1583</v>
      </c>
      <c r="B2680" s="916">
        <f>SUM(B2678:B2679)</f>
        <v>2943</v>
      </c>
      <c r="C2680" s="916">
        <f t="shared" ref="C2680:G2680" si="806">SUM(C2678:C2679)</f>
        <v>3094</v>
      </c>
      <c r="D2680" s="916">
        <f t="shared" si="806"/>
        <v>3373.4035993220832</v>
      </c>
      <c r="E2680" s="916">
        <f t="shared" si="806"/>
        <v>3723.7178988451196</v>
      </c>
      <c r="F2680" s="916">
        <f t="shared" si="806"/>
        <v>4061.7543320153718</v>
      </c>
      <c r="G2680" s="916">
        <f t="shared" si="806"/>
        <v>4324.0170805713506</v>
      </c>
    </row>
    <row r="2681" spans="1:7" x14ac:dyDescent="0.3">
      <c r="A2681" s="1306"/>
    </row>
    <row r="2682" spans="1:7" x14ac:dyDescent="0.3">
      <c r="A2682" s="1315" t="s">
        <v>1584</v>
      </c>
    </row>
    <row r="2683" spans="1:7" x14ac:dyDescent="0.3">
      <c r="A2683" s="1306" t="s">
        <v>1574</v>
      </c>
      <c r="B2683" s="887">
        <f t="shared" ref="B2683:G2684" si="807">B2663+B2673</f>
        <v>1970.425</v>
      </c>
      <c r="C2683" s="887">
        <f t="shared" si="807"/>
        <v>2037.0135892245225</v>
      </c>
      <c r="D2683" s="887">
        <f t="shared" si="807"/>
        <v>2242.8718096351322</v>
      </c>
      <c r="E2683" s="887">
        <f t="shared" si="807"/>
        <v>2525.3535795691682</v>
      </c>
      <c r="F2683" s="887">
        <f t="shared" si="807"/>
        <v>2920.9952276266886</v>
      </c>
      <c r="G2683" s="887">
        <f t="shared" si="807"/>
        <v>3366.567391526622</v>
      </c>
    </row>
    <row r="2684" spans="1:7" x14ac:dyDescent="0.3">
      <c r="A2684" s="1306" t="s">
        <v>1575</v>
      </c>
      <c r="B2684" s="866">
        <f t="shared" si="807"/>
        <v>974.83500000000004</v>
      </c>
      <c r="C2684" s="866">
        <f t="shared" si="807"/>
        <v>787.67731170846366</v>
      </c>
      <c r="D2684" s="866">
        <f t="shared" si="807"/>
        <v>629.1819986895805</v>
      </c>
      <c r="E2684" s="866">
        <f t="shared" si="807"/>
        <v>475.85724448081726</v>
      </c>
      <c r="F2684" s="866">
        <f t="shared" si="807"/>
        <v>329.95899392438855</v>
      </c>
      <c r="G2684" s="866">
        <f t="shared" si="807"/>
        <v>213.33123441428103</v>
      </c>
    </row>
    <row r="2685" spans="1:7" x14ac:dyDescent="0.3">
      <c r="A2685" s="1315" t="s">
        <v>1584</v>
      </c>
      <c r="B2685" s="916">
        <f>SUM(B2683:B2684)</f>
        <v>2945.26</v>
      </c>
      <c r="C2685" s="916">
        <f t="shared" ref="C2685" si="808">SUM(C2683:C2684)</f>
        <v>2824.6909009329861</v>
      </c>
      <c r="D2685" s="916">
        <f t="shared" ref="D2685" si="809">SUM(D2683:D2684)</f>
        <v>2872.0538083247129</v>
      </c>
      <c r="E2685" s="916">
        <f t="shared" ref="E2685" si="810">SUM(E2683:E2684)</f>
        <v>3001.2108240499856</v>
      </c>
      <c r="F2685" s="916">
        <f t="shared" ref="F2685" si="811">SUM(F2683:F2684)</f>
        <v>3250.9542215510774</v>
      </c>
      <c r="G2685" s="916">
        <f t="shared" ref="G2685" si="812">SUM(G2683:G2684)</f>
        <v>3579.898625940903</v>
      </c>
    </row>
    <row r="2686" spans="1:7" x14ac:dyDescent="0.3">
      <c r="A2686" s="1306"/>
    </row>
    <row r="2687" spans="1:7" x14ac:dyDescent="0.3">
      <c r="A2687" s="1326" t="s">
        <v>284</v>
      </c>
      <c r="B2687" s="1327"/>
      <c r="C2687" s="1327"/>
      <c r="D2687" s="1327"/>
      <c r="E2687" s="1327"/>
      <c r="F2687" s="1327"/>
      <c r="G2687" s="1327"/>
    </row>
    <row r="2688" spans="1:7" x14ac:dyDescent="0.3">
      <c r="A2688" s="1315" t="s">
        <v>1585</v>
      </c>
    </row>
    <row r="2689" spans="1:7" x14ac:dyDescent="0.3">
      <c r="A2689" s="1306" t="s">
        <v>1586</v>
      </c>
      <c r="B2689" s="885">
        <f>Drivers!ES202</f>
        <v>1873</v>
      </c>
      <c r="C2689" s="885">
        <f>Drivers!EX202</f>
        <v>2122</v>
      </c>
      <c r="D2689" s="885">
        <f>Drivers!FC202</f>
        <v>2461.7408877429939</v>
      </c>
      <c r="E2689" s="885">
        <f>Drivers!FD202</f>
        <v>2888.2922334087721</v>
      </c>
      <c r="F2689" s="885">
        <f>Drivers!FE202</f>
        <v>3332.2113980397544</v>
      </c>
      <c r="G2689" s="885">
        <f>Drivers!FF202</f>
        <v>3737.5009942105644</v>
      </c>
    </row>
    <row r="2690" spans="1:7" x14ac:dyDescent="0.3">
      <c r="A2690" s="1306" t="s">
        <v>1587</v>
      </c>
      <c r="B2690" s="901">
        <f>B2691-B2689</f>
        <v>1124</v>
      </c>
      <c r="C2690" s="901">
        <f t="shared" ref="C2690:G2690" si="813">C2691-C2689</f>
        <v>1280</v>
      </c>
      <c r="D2690" s="901">
        <f t="shared" si="813"/>
        <v>1337.2420701306687</v>
      </c>
      <c r="E2690" s="901">
        <f t="shared" si="813"/>
        <v>1395.7255095337136</v>
      </c>
      <c r="F2690" s="901">
        <f t="shared" si="813"/>
        <v>1451.7654899084955</v>
      </c>
      <c r="G2690" s="901">
        <f t="shared" si="813"/>
        <v>1505.7063074656808</v>
      </c>
    </row>
    <row r="2691" spans="1:7" x14ac:dyDescent="0.3">
      <c r="A2691" s="1315" t="s">
        <v>1588</v>
      </c>
      <c r="B2691" s="900">
        <f t="shared" ref="B2691:G2691" si="814">B2699</f>
        <v>2997</v>
      </c>
      <c r="C2691" s="900">
        <f t="shared" si="814"/>
        <v>3402</v>
      </c>
      <c r="D2691" s="900">
        <f t="shared" si="814"/>
        <v>3798.9829578736626</v>
      </c>
      <c r="E2691" s="900">
        <f t="shared" si="814"/>
        <v>4284.0177429424857</v>
      </c>
      <c r="F2691" s="900">
        <f t="shared" si="814"/>
        <v>4783.9768879482499</v>
      </c>
      <c r="G2691" s="900">
        <f t="shared" si="814"/>
        <v>5243.2073016762452</v>
      </c>
    </row>
    <row r="2692" spans="1:7" x14ac:dyDescent="0.3">
      <c r="A2692" s="1306"/>
    </row>
    <row r="2693" spans="1:7" x14ac:dyDescent="0.3">
      <c r="A2693" s="1315" t="s">
        <v>1589</v>
      </c>
    </row>
    <row r="2694" spans="1:7" x14ac:dyDescent="0.3">
      <c r="A2694" s="1306" t="s">
        <v>1586</v>
      </c>
      <c r="B2694" s="885">
        <f>Drivers!ES340</f>
        <v>1224</v>
      </c>
      <c r="C2694" s="885">
        <f>Drivers!EX340</f>
        <v>1041</v>
      </c>
      <c r="D2694" s="885">
        <f>Drivers!FC340</f>
        <v>792.79429138054729</v>
      </c>
      <c r="E2694" s="885">
        <f>Drivers!FD340</f>
        <v>576.27000625913502</v>
      </c>
      <c r="F2694" s="885">
        <f>Drivers!FE340</f>
        <v>415.51342480372955</v>
      </c>
      <c r="G2694" s="885">
        <f>Drivers!FF340</f>
        <v>311.77494069666568</v>
      </c>
    </row>
    <row r="2695" spans="1:7" x14ac:dyDescent="0.3">
      <c r="A2695" s="1306" t="s">
        <v>1587</v>
      </c>
      <c r="B2695" s="901">
        <f>B2696-B2694</f>
        <v>1455</v>
      </c>
      <c r="C2695" s="901">
        <f t="shared" ref="C2695:G2695" si="815">C2696-C2694</f>
        <v>1430</v>
      </c>
      <c r="D2695" s="901">
        <f t="shared" si="815"/>
        <v>1365.0461298707205</v>
      </c>
      <c r="E2695" s="901">
        <f t="shared" si="815"/>
        <v>1301.9097035336881</v>
      </c>
      <c r="F2695" s="901">
        <f t="shared" si="815"/>
        <v>1240.7746412603931</v>
      </c>
      <c r="G2695" s="901">
        <f t="shared" si="815"/>
        <v>1182.213737657539</v>
      </c>
    </row>
    <row r="2696" spans="1:7" x14ac:dyDescent="0.3">
      <c r="A2696" s="1315" t="s">
        <v>1590</v>
      </c>
      <c r="B2696" s="900">
        <f t="shared" ref="B2696:G2696" si="816">B2700</f>
        <v>2679</v>
      </c>
      <c r="C2696" s="900">
        <f t="shared" si="816"/>
        <v>2471</v>
      </c>
      <c r="D2696" s="900">
        <f t="shared" si="816"/>
        <v>2157.8404212512678</v>
      </c>
      <c r="E2696" s="900">
        <f t="shared" si="816"/>
        <v>1878.1797097928231</v>
      </c>
      <c r="F2696" s="900">
        <f t="shared" si="816"/>
        <v>1656.2880660641226</v>
      </c>
      <c r="G2696" s="900">
        <f t="shared" si="816"/>
        <v>1493.9886783542047</v>
      </c>
    </row>
    <row r="2697" spans="1:7" x14ac:dyDescent="0.3">
      <c r="A2697" s="1306"/>
    </row>
    <row r="2698" spans="1:7" x14ac:dyDescent="0.3">
      <c r="A2698" s="1315" t="s">
        <v>1591</v>
      </c>
    </row>
    <row r="2699" spans="1:7" x14ac:dyDescent="0.3">
      <c r="A2699" s="1306" t="s">
        <v>628</v>
      </c>
      <c r="B2699" s="885">
        <f>Drivers!ES9</f>
        <v>2997</v>
      </c>
      <c r="C2699" s="885">
        <f>Drivers!EX9</f>
        <v>3402</v>
      </c>
      <c r="D2699" s="885">
        <f>Drivers!FC9</f>
        <v>3798.9829578736626</v>
      </c>
      <c r="E2699" s="885">
        <f>Drivers!FD9</f>
        <v>4284.0177429424857</v>
      </c>
      <c r="F2699" s="885">
        <f>Drivers!FE9</f>
        <v>4783.9768879482499</v>
      </c>
      <c r="G2699" s="885">
        <f>Drivers!FF9</f>
        <v>5243.2073016762452</v>
      </c>
    </row>
    <row r="2700" spans="1:7" x14ac:dyDescent="0.3">
      <c r="A2700" s="1306" t="s">
        <v>629</v>
      </c>
      <c r="B2700" s="885">
        <f>Drivers!ES10</f>
        <v>2679</v>
      </c>
      <c r="C2700" s="885">
        <f>Drivers!EX10</f>
        <v>2471</v>
      </c>
      <c r="D2700" s="885">
        <f>Drivers!FC10</f>
        <v>2157.8404212512678</v>
      </c>
      <c r="E2700" s="885">
        <f>Drivers!FD10</f>
        <v>1878.1797097928231</v>
      </c>
      <c r="F2700" s="885">
        <f>Drivers!FE10</f>
        <v>1656.2880660641226</v>
      </c>
      <c r="G2700" s="885">
        <f>Drivers!FF10</f>
        <v>1493.9886783542047</v>
      </c>
    </row>
    <row r="2701" spans="1:7" x14ac:dyDescent="0.3">
      <c r="A2701" s="1306" t="s">
        <v>34</v>
      </c>
      <c r="B2701" s="901">
        <f>Drivers!ES11</f>
        <v>75</v>
      </c>
      <c r="C2701" s="901">
        <f>Drivers!EX11</f>
        <v>64</v>
      </c>
      <c r="D2701" s="901">
        <f>Drivers!FC11</f>
        <v>64</v>
      </c>
      <c r="E2701" s="901">
        <f>Drivers!FD11</f>
        <v>64</v>
      </c>
      <c r="F2701" s="901">
        <f>Drivers!FE11</f>
        <v>64</v>
      </c>
      <c r="G2701" s="901">
        <f>Drivers!FF11</f>
        <v>64</v>
      </c>
    </row>
    <row r="2702" spans="1:7" x14ac:dyDescent="0.3">
      <c r="A2702" s="1315" t="s">
        <v>19</v>
      </c>
      <c r="B2702" s="900">
        <f>SUM(B2699:B2701)</f>
        <v>5751</v>
      </c>
      <c r="C2702" s="900">
        <f t="shared" ref="C2702:G2702" si="817">SUM(C2699:C2701)</f>
        <v>5937</v>
      </c>
      <c r="D2702" s="900">
        <f t="shared" si="817"/>
        <v>6020.8233791249304</v>
      </c>
      <c r="E2702" s="900">
        <f t="shared" si="817"/>
        <v>6226.1974527353086</v>
      </c>
      <c r="F2702" s="900">
        <f t="shared" si="817"/>
        <v>6504.264954012373</v>
      </c>
      <c r="G2702" s="900">
        <f t="shared" si="817"/>
        <v>6801.1959800304503</v>
      </c>
    </row>
    <row r="2703" spans="1:7" x14ac:dyDescent="0.3">
      <c r="A2703" s="1306"/>
    </row>
    <row r="2704" spans="1:7" x14ac:dyDescent="0.3">
      <c r="A2704" s="1315" t="s">
        <v>1592</v>
      </c>
    </row>
    <row r="2705" spans="1:7" x14ac:dyDescent="0.3">
      <c r="A2705" s="1306" t="s">
        <v>1586</v>
      </c>
      <c r="B2705" s="885">
        <f>B2689/B2658*B2663</f>
        <v>1839.838525026624</v>
      </c>
      <c r="C2705" s="885">
        <f>C2689/AVERAGE(B2658:C2658)*AVERAGE(B2663:C2663)</f>
        <v>1933.2903923866395</v>
      </c>
      <c r="D2705" s="885">
        <f>D2689/AVERAGE(C2658:D2658)*AVERAGE(C2663:D2663)</f>
        <v>2003.9631290267762</v>
      </c>
      <c r="E2705" s="885">
        <f>E2689/AVERAGE(D2658:E2658)*AVERAGE(D2663:E2663)</f>
        <v>2208.1555640838019</v>
      </c>
      <c r="F2705" s="885">
        <f>F2689/AVERAGE(E2658:F2658)*AVERAGE(E2663:F2663)</f>
        <v>2524.5200549964811</v>
      </c>
      <c r="G2705" s="885">
        <f>G2689/AVERAGE(F2658:G2658)*AVERAGE(F2663:G2663)</f>
        <v>2948.0637343012936</v>
      </c>
    </row>
    <row r="2706" spans="1:7" x14ac:dyDescent="0.3">
      <c r="A2706" s="1306" t="s">
        <v>1587</v>
      </c>
      <c r="B2706" s="901">
        <f>SUM(Drivers!EO205:EP205)*2</f>
        <v>1130</v>
      </c>
      <c r="C2706" s="901">
        <f>$B$2706-($B$2690-C2690)/($B$2647-C2647)*($B$2648-C2648)</f>
        <v>1192.9763276615656</v>
      </c>
      <c r="D2706" s="901">
        <f>$B$2706-($B$2690-D2690)/($B$2647-D2647)*($B$2648-D2648)</f>
        <v>1217.1312529375455</v>
      </c>
      <c r="E2706" s="901">
        <f>$B$2706-($B$2690-E2690)/($B$2647-E2647)*($B$2648-E2648)</f>
        <v>1254.1046145692032</v>
      </c>
      <c r="F2706" s="901">
        <f>$B$2706-($B$2690-F2690)/($B$2647-F2647)*($B$2648-F2648)</f>
        <v>1324.0916419125476</v>
      </c>
      <c r="G2706" s="901">
        <f>$B$2706-($B$2690-G2690)/($B$2647-G2647)*($B$2648-G2648)</f>
        <v>1404.8808778267498</v>
      </c>
    </row>
    <row r="2707" spans="1:7" x14ac:dyDescent="0.3">
      <c r="A2707" s="1315" t="s">
        <v>1588</v>
      </c>
      <c r="B2707" s="900">
        <f t="shared" ref="B2707:G2707" si="818">SUM(B2705:B2706)</f>
        <v>2969.8385250266238</v>
      </c>
      <c r="C2707" s="900">
        <f t="shared" si="818"/>
        <v>3126.2667200482051</v>
      </c>
      <c r="D2707" s="900">
        <f t="shared" si="818"/>
        <v>3221.0943819643217</v>
      </c>
      <c r="E2707" s="900">
        <f t="shared" si="818"/>
        <v>3462.2601786530049</v>
      </c>
      <c r="F2707" s="900">
        <f t="shared" si="818"/>
        <v>3848.611696909029</v>
      </c>
      <c r="G2707" s="900">
        <f t="shared" si="818"/>
        <v>4352.9446121280434</v>
      </c>
    </row>
    <row r="2708" spans="1:7" x14ac:dyDescent="0.3">
      <c r="A2708" s="1306"/>
    </row>
    <row r="2709" spans="1:7" x14ac:dyDescent="0.3">
      <c r="A2709" s="1315" t="s">
        <v>1593</v>
      </c>
    </row>
    <row r="2710" spans="1:7" x14ac:dyDescent="0.3">
      <c r="A2710" s="1306" t="s">
        <v>1586</v>
      </c>
      <c r="B2710" s="885">
        <f>B2694*B2664/B2659*0.95</f>
        <v>1213.0323941605839</v>
      </c>
      <c r="C2710" s="885">
        <f>C2694/AVERAGE(B2659:C2659)*AVERAGE(B2664:C2664)</f>
        <v>1121.0009523407605</v>
      </c>
      <c r="D2710" s="885">
        <f>D2694/AVERAGE(C2659:D2659)*AVERAGE(C2664:D2664)</f>
        <v>927.98122904156571</v>
      </c>
      <c r="E2710" s="885">
        <f>E2694/AVERAGE(D2659:E2659)*AVERAGE(D2664:E2664)</f>
        <v>739.98862976926353</v>
      </c>
      <c r="F2710" s="885">
        <f>F2694/AVERAGE(E2659:F2659)*AVERAGE(E2664:F2664)</f>
        <v>561.19232880760035</v>
      </c>
      <c r="G2710" s="885">
        <f>G2694/AVERAGE(F2659:G2659)*AVERAGE(F2664:G2664)</f>
        <v>408.53847278021601</v>
      </c>
    </row>
    <row r="2711" spans="1:7" x14ac:dyDescent="0.3">
      <c r="A2711" s="1306" t="s">
        <v>1587</v>
      </c>
      <c r="B2711" s="901">
        <f>SUM(Drivers!EO343:EP343)+SUM(Drivers!EQ343:ER343)*Analysis!B2674/Analysis!B2669</f>
        <v>1475.7083333333335</v>
      </c>
      <c r="C2711" s="901">
        <f>$B$2711-($B$2695-C2695)/($B$2653-C2653)*($B$2654-C2654)</f>
        <v>1464.7967880498143</v>
      </c>
      <c r="D2711" s="901">
        <f>$B$2711-($B$2695-D2695)/($B$2653-D2653)*($B$2654-D2654)</f>
        <v>1435.7907920554421</v>
      </c>
      <c r="E2711" s="901">
        <f>$B$2711-($B$2695-E2695)/($B$2653-E2653)*($B$2654-E2654)</f>
        <v>1398.8753833170431</v>
      </c>
      <c r="F2711" s="901">
        <f>$B$2711-($B$2695-F2695)/($B$2653-F2653)*($B$2654-F2654)</f>
        <v>1331.9162929546621</v>
      </c>
      <c r="G2711" s="901">
        <f>$B$2711-($B$2695-G2695)/($B$2653-G2653)*($B$2654-G2654)</f>
        <v>1246.1493122387649</v>
      </c>
    </row>
    <row r="2712" spans="1:7" x14ac:dyDescent="0.3">
      <c r="A2712" s="1315" t="s">
        <v>1590</v>
      </c>
      <c r="B2712" s="900">
        <f t="shared" ref="B2712:G2712" si="819">SUM(B2710:B2711)</f>
        <v>2688.7407274939173</v>
      </c>
      <c r="C2712" s="900">
        <f t="shared" si="819"/>
        <v>2585.7977403905747</v>
      </c>
      <c r="D2712" s="900">
        <f t="shared" si="819"/>
        <v>2363.7720210970078</v>
      </c>
      <c r="E2712" s="900">
        <f t="shared" si="819"/>
        <v>2138.8640130863068</v>
      </c>
      <c r="F2712" s="900">
        <f t="shared" si="819"/>
        <v>1893.1086217622624</v>
      </c>
      <c r="G2712" s="900">
        <f t="shared" si="819"/>
        <v>1654.6877850189808</v>
      </c>
    </row>
    <row r="2713" spans="1:7" x14ac:dyDescent="0.3">
      <c r="A2713" s="1306"/>
    </row>
    <row r="2714" spans="1:7" x14ac:dyDescent="0.3">
      <c r="A2714" s="1315" t="s">
        <v>1594</v>
      </c>
    </row>
    <row r="2715" spans="1:7" x14ac:dyDescent="0.3">
      <c r="A2715" s="1306" t="s">
        <v>628</v>
      </c>
      <c r="B2715" s="885">
        <f>B2707</f>
        <v>2969.8385250266238</v>
      </c>
      <c r="C2715" s="885">
        <f t="shared" ref="C2715:G2715" si="820">C2707</f>
        <v>3126.2667200482051</v>
      </c>
      <c r="D2715" s="885">
        <f t="shared" si="820"/>
        <v>3221.0943819643217</v>
      </c>
      <c r="E2715" s="885">
        <f t="shared" si="820"/>
        <v>3462.2601786530049</v>
      </c>
      <c r="F2715" s="885">
        <f t="shared" si="820"/>
        <v>3848.611696909029</v>
      </c>
      <c r="G2715" s="885">
        <f t="shared" si="820"/>
        <v>4352.9446121280434</v>
      </c>
    </row>
    <row r="2716" spans="1:7" x14ac:dyDescent="0.3">
      <c r="A2716" s="1306" t="s">
        <v>629</v>
      </c>
      <c r="B2716" s="885">
        <f>B2712</f>
        <v>2688.7407274939173</v>
      </c>
      <c r="C2716" s="885">
        <f t="shared" ref="C2716:G2716" si="821">C2712</f>
        <v>2585.7977403905747</v>
      </c>
      <c r="D2716" s="885">
        <f t="shared" si="821"/>
        <v>2363.7720210970078</v>
      </c>
      <c r="E2716" s="885">
        <f t="shared" si="821"/>
        <v>2138.8640130863068</v>
      </c>
      <c r="F2716" s="885">
        <f t="shared" si="821"/>
        <v>1893.1086217622624</v>
      </c>
      <c r="G2716" s="885">
        <f t="shared" si="821"/>
        <v>1654.6877850189808</v>
      </c>
    </row>
    <row r="2717" spans="1:7" x14ac:dyDescent="0.3">
      <c r="A2717" s="1306" t="s">
        <v>34</v>
      </c>
      <c r="B2717" s="901">
        <f t="shared" ref="B2717:G2717" si="822">B2701</f>
        <v>75</v>
      </c>
      <c r="C2717" s="901">
        <f t="shared" si="822"/>
        <v>64</v>
      </c>
      <c r="D2717" s="901">
        <f t="shared" si="822"/>
        <v>64</v>
      </c>
      <c r="E2717" s="901">
        <f t="shared" si="822"/>
        <v>64</v>
      </c>
      <c r="F2717" s="901">
        <f t="shared" si="822"/>
        <v>64</v>
      </c>
      <c r="G2717" s="901">
        <f t="shared" si="822"/>
        <v>64</v>
      </c>
    </row>
    <row r="2718" spans="1:7" x14ac:dyDescent="0.3">
      <c r="A2718" s="1315" t="s">
        <v>1594</v>
      </c>
      <c r="B2718" s="900">
        <f>SUM(B2715:B2717)</f>
        <v>5733.5792525205416</v>
      </c>
      <c r="C2718" s="900">
        <f t="shared" ref="C2718" si="823">SUM(C2715:C2717)</f>
        <v>5776.0644604387799</v>
      </c>
      <c r="D2718" s="900">
        <f t="shared" ref="D2718" si="824">SUM(D2715:D2717)</f>
        <v>5648.866403061329</v>
      </c>
      <c r="E2718" s="900">
        <f t="shared" ref="E2718" si="825">SUM(E2715:E2717)</f>
        <v>5665.1241917393118</v>
      </c>
      <c r="F2718" s="900">
        <f t="shared" ref="F2718" si="826">SUM(F2715:F2717)</f>
        <v>5805.7203186712914</v>
      </c>
      <c r="G2718" s="900">
        <f t="shared" ref="G2718" si="827">SUM(G2715:G2717)</f>
        <v>6071.6323971470247</v>
      </c>
    </row>
    <row r="2719" spans="1:7" x14ac:dyDescent="0.3">
      <c r="A2719" s="1320" t="s">
        <v>1595</v>
      </c>
      <c r="B2719" s="943">
        <f t="shared" ref="B2719:G2719" si="828">B2718-B2702</f>
        <v>-17.420747479458441</v>
      </c>
      <c r="C2719" s="943">
        <f t="shared" si="828"/>
        <v>-160.93553956122014</v>
      </c>
      <c r="D2719" s="943">
        <f t="shared" si="828"/>
        <v>-371.95697606360136</v>
      </c>
      <c r="E2719" s="943">
        <f t="shared" si="828"/>
        <v>-561.07326099599686</v>
      </c>
      <c r="F2719" s="943">
        <f t="shared" si="828"/>
        <v>-698.54463534108163</v>
      </c>
      <c r="G2719" s="943">
        <f t="shared" si="828"/>
        <v>-729.56358288342562</v>
      </c>
    </row>
    <row r="2720" spans="1:7" x14ac:dyDescent="0.3">
      <c r="A2720" s="1306"/>
    </row>
    <row r="2721" spans="1:7" x14ac:dyDescent="0.3">
      <c r="A2721" s="1326" t="s">
        <v>1596</v>
      </c>
      <c r="B2721" s="1327"/>
      <c r="C2721" s="1327"/>
      <c r="D2721" s="1327"/>
      <c r="E2721" s="1327"/>
      <c r="F2721" s="1327"/>
      <c r="G2721" s="1327"/>
    </row>
    <row r="2722" spans="1:7" x14ac:dyDescent="0.3">
      <c r="A2722" s="1315" t="s">
        <v>1597</v>
      </c>
    </row>
    <row r="2723" spans="1:7" x14ac:dyDescent="0.3">
      <c r="A2723" s="1306" t="s">
        <v>628</v>
      </c>
      <c r="B2723" s="1319">
        <f>Drivers!ES18</f>
        <v>1668</v>
      </c>
      <c r="C2723" s="1319">
        <f>Drivers!EX18</f>
        <v>1828</v>
      </c>
      <c r="D2723" s="1319">
        <f>Drivers!FC18</f>
        <v>1941.6033447864982</v>
      </c>
      <c r="E2723" s="1319">
        <f>Drivers!FD18</f>
        <v>2094.2644117407808</v>
      </c>
      <c r="F2723" s="1319">
        <f>Drivers!FE18</f>
        <v>2174.425184894269</v>
      </c>
      <c r="G2723" s="1319">
        <f>Drivers!FF18</f>
        <v>2247.918591778086</v>
      </c>
    </row>
    <row r="2724" spans="1:7" x14ac:dyDescent="0.3">
      <c r="A2724" s="1306" t="s">
        <v>629</v>
      </c>
      <c r="B2724" s="1319">
        <f>Drivers!ES19</f>
        <v>1954</v>
      </c>
      <c r="C2724" s="1319">
        <f>Drivers!EX19</f>
        <v>1855</v>
      </c>
      <c r="D2724" s="1319">
        <f>Drivers!FC19</f>
        <v>1662.7654374267386</v>
      </c>
      <c r="E2724" s="1319">
        <f>Drivers!FD19</f>
        <v>1454.9200020182693</v>
      </c>
      <c r="F2724" s="1319">
        <f>Drivers!FE19</f>
        <v>1335.9634446316079</v>
      </c>
      <c r="G2724" s="1319">
        <f>Drivers!FF19</f>
        <v>1281.273559605132</v>
      </c>
    </row>
    <row r="2725" spans="1:7" x14ac:dyDescent="0.3">
      <c r="A2725" s="1306" t="s">
        <v>34</v>
      </c>
      <c r="B2725" s="901">
        <f>Drivers!ES20</f>
        <v>2</v>
      </c>
      <c r="C2725" s="901">
        <f>Drivers!EX20</f>
        <v>3</v>
      </c>
      <c r="D2725" s="901">
        <f>Drivers!FC20</f>
        <v>0</v>
      </c>
      <c r="E2725" s="901">
        <f>Drivers!FD20</f>
        <v>0</v>
      </c>
      <c r="F2725" s="901">
        <f>Drivers!FE20</f>
        <v>0</v>
      </c>
      <c r="G2725" s="901">
        <f>Drivers!FF20</f>
        <v>0</v>
      </c>
    </row>
    <row r="2726" spans="1:7" x14ac:dyDescent="0.3">
      <c r="A2726" s="1315" t="s">
        <v>1598</v>
      </c>
      <c r="B2726" s="900">
        <f>SUM(B2723:B2725)</f>
        <v>3624</v>
      </c>
      <c r="C2726" s="900">
        <f t="shared" ref="C2726" si="829">SUM(C2723:C2725)</f>
        <v>3686</v>
      </c>
      <c r="D2726" s="900">
        <f t="shared" ref="D2726" si="830">SUM(D2723:D2725)</f>
        <v>3604.368782213237</v>
      </c>
      <c r="E2726" s="900">
        <f t="shared" ref="E2726" si="831">SUM(E2723:E2725)</f>
        <v>3549.1844137590501</v>
      </c>
      <c r="F2726" s="900">
        <f t="shared" ref="F2726" si="832">SUM(F2723:F2725)</f>
        <v>3510.3886295258771</v>
      </c>
      <c r="G2726" s="900">
        <f t="shared" ref="G2726" si="833">SUM(G2723:G2725)</f>
        <v>3529.1921513832181</v>
      </c>
    </row>
    <row r="2727" spans="1:7" x14ac:dyDescent="0.3">
      <c r="A2727" s="1306"/>
    </row>
    <row r="2728" spans="1:7" x14ac:dyDescent="0.3">
      <c r="A2728" s="1315" t="s">
        <v>1599</v>
      </c>
    </row>
    <row r="2729" spans="1:7" x14ac:dyDescent="0.3">
      <c r="A2729" s="1306" t="s">
        <v>1600</v>
      </c>
      <c r="B2729" s="76">
        <f>Drivers!ES483</f>
        <v>273</v>
      </c>
      <c r="C2729" s="76">
        <f>Drivers!EX483</f>
        <v>218</v>
      </c>
      <c r="D2729" s="76">
        <f>Drivers!FC483</f>
        <v>178.02912835452085</v>
      </c>
      <c r="E2729" s="76">
        <f>Drivers!FD483</f>
        <v>142.61633023532823</v>
      </c>
      <c r="F2729" s="76">
        <f>Drivers!FE483</f>
        <v>112.59424568469657</v>
      </c>
      <c r="G2729" s="76">
        <f>Drivers!FF483</f>
        <v>89.338150118245863</v>
      </c>
    </row>
    <row r="2730" spans="1:7" x14ac:dyDescent="0.3">
      <c r="A2730" s="1306" t="s">
        <v>1601</v>
      </c>
      <c r="B2730" s="76">
        <f>Drivers!ES498</f>
        <v>2741.2975000000001</v>
      </c>
      <c r="C2730" s="76">
        <f>Drivers!EX498</f>
        <v>2853.9450000000002</v>
      </c>
      <c r="D2730" s="76">
        <f>Drivers!FC498</f>
        <v>2793.4687057273754</v>
      </c>
      <c r="E2730" s="76">
        <f>Drivers!FD498</f>
        <v>2728.9187686438654</v>
      </c>
      <c r="F2730" s="76">
        <f>Drivers!FE498</f>
        <v>2664.9821644467547</v>
      </c>
      <c r="G2730" s="76">
        <f>Drivers!FF498</f>
        <v>2654.5298065035668</v>
      </c>
    </row>
    <row r="2731" spans="1:7" x14ac:dyDescent="0.3">
      <c r="A2731" s="1306" t="s">
        <v>1602</v>
      </c>
      <c r="B2731" s="104">
        <f>Drivers!ES505</f>
        <v>607.7025000000001</v>
      </c>
      <c r="C2731" s="104">
        <f>Drivers!EX505</f>
        <v>611.05500000000029</v>
      </c>
      <c r="D2731" s="104">
        <f>Drivers!FC505</f>
        <v>632.87094813134024</v>
      </c>
      <c r="E2731" s="104">
        <f>Drivers!FD505</f>
        <v>677.64931487985666</v>
      </c>
      <c r="F2731" s="104">
        <f>Drivers!FE505</f>
        <v>732.81221939442594</v>
      </c>
      <c r="G2731" s="104">
        <f>Drivers!FF505</f>
        <v>785.32419476140535</v>
      </c>
    </row>
    <row r="2732" spans="1:7" x14ac:dyDescent="0.3">
      <c r="A2732" s="1315" t="s">
        <v>1603</v>
      </c>
      <c r="B2732" s="85">
        <f t="shared" ref="B2732:G2732" si="834">SUM(B2729:B2731)</f>
        <v>3622</v>
      </c>
      <c r="C2732" s="85">
        <f t="shared" si="834"/>
        <v>3683.0000000000005</v>
      </c>
      <c r="D2732" s="85">
        <f t="shared" si="834"/>
        <v>3604.3687822132365</v>
      </c>
      <c r="E2732" s="85">
        <f t="shared" si="834"/>
        <v>3549.1844137590506</v>
      </c>
      <c r="F2732" s="85">
        <f t="shared" si="834"/>
        <v>3510.3886295258771</v>
      </c>
      <c r="G2732" s="85">
        <f t="shared" si="834"/>
        <v>3529.1921513832176</v>
      </c>
    </row>
    <row r="2733" spans="1:7" x14ac:dyDescent="0.3">
      <c r="A2733" s="1306"/>
    </row>
    <row r="2734" spans="1:7" x14ac:dyDescent="0.3">
      <c r="A2734" s="1315" t="s">
        <v>1604</v>
      </c>
    </row>
    <row r="2735" spans="1:7" x14ac:dyDescent="0.3">
      <c r="A2735" s="1306" t="s">
        <v>628</v>
      </c>
      <c r="B2735" s="1319">
        <f>B2723</f>
        <v>1668</v>
      </c>
      <c r="C2735" s="1319">
        <f>Drivers!EX217+Drivers!EX224*AVERAGE(Analysis!B2648:C2648)*12/1000+Drivers!EX232*AVERAGE(Analysis!B2683:C2683)*12/1000</f>
        <v>1606.5911617125164</v>
      </c>
      <c r="D2735" s="1319">
        <f>Drivers!FC217+Drivers!FC224*AVERAGE(Analysis!C2648:D2648)*12/1000+Drivers!FC232*AVERAGE(Analysis!C2683:D2683)*12/1000</f>
        <v>1568.5721637006363</v>
      </c>
      <c r="E2735" s="1319">
        <f>Drivers!FD217+Drivers!FD224*AVERAGE(Analysis!D2648:E2648)*12/1000+Drivers!FD232*AVERAGE(Analysis!D2683:E2683)*12/1000</f>
        <v>1611.6932426008525</v>
      </c>
      <c r="F2735" s="1319">
        <f>Drivers!FE217+Drivers!FE224*AVERAGE(Analysis!E2648:F2648)*12/1000+Drivers!FE232*AVERAGE(Analysis!E2683:F2683)*12/1000</f>
        <v>1684.7585880541187</v>
      </c>
      <c r="G2735" s="1319">
        <f>Drivers!FF217+Drivers!FF224*AVERAGE(Analysis!F2648:G2648)*12/1000+Drivers!FF232*AVERAGE(Analysis!F2683:G2683)*12/1000</f>
        <v>1823.0266680499444</v>
      </c>
    </row>
    <row r="2736" spans="1:7" x14ac:dyDescent="0.3">
      <c r="A2736" s="1306" t="s">
        <v>629</v>
      </c>
      <c r="B2736" s="1319">
        <f>B2738-B2735-B2737</f>
        <v>1952</v>
      </c>
      <c r="C2736" s="1319">
        <f t="shared" ref="C2736:G2736" si="835">C2738-C2735-C2737</f>
        <v>2001.8086132583719</v>
      </c>
      <c r="D2736" s="1319">
        <f t="shared" si="835"/>
        <v>1904.4249094911011</v>
      </c>
      <c r="E2736" s="1319">
        <f t="shared" si="835"/>
        <v>1750.8385179740708</v>
      </c>
      <c r="F2736" s="1319">
        <f t="shared" si="835"/>
        <v>1607.31984708651</v>
      </c>
      <c r="G2736" s="1319">
        <f t="shared" si="835"/>
        <v>1481.3204904622958</v>
      </c>
    </row>
    <row r="2737" spans="1:7" x14ac:dyDescent="0.3">
      <c r="A2737" s="1306" t="s">
        <v>34</v>
      </c>
      <c r="B2737" s="901">
        <f t="shared" ref="B2737:G2737" si="836">B2725</f>
        <v>2</v>
      </c>
      <c r="C2737" s="901">
        <f t="shared" si="836"/>
        <v>3</v>
      </c>
      <c r="D2737" s="901">
        <f t="shared" si="836"/>
        <v>0</v>
      </c>
      <c r="E2737" s="901">
        <f t="shared" si="836"/>
        <v>0</v>
      </c>
      <c r="F2737" s="901">
        <f t="shared" si="836"/>
        <v>0</v>
      </c>
      <c r="G2737" s="901">
        <f t="shared" si="836"/>
        <v>0</v>
      </c>
    </row>
    <row r="2738" spans="1:7" x14ac:dyDescent="0.3">
      <c r="A2738" s="1315" t="s">
        <v>1604</v>
      </c>
      <c r="B2738" s="900">
        <f>B2745</f>
        <v>3622</v>
      </c>
      <c r="C2738" s="900">
        <f t="shared" ref="C2738:G2738" si="837">C2745</f>
        <v>3611.3997749708883</v>
      </c>
      <c r="D2738" s="900">
        <f t="shared" si="837"/>
        <v>3472.9970731917374</v>
      </c>
      <c r="E2738" s="900">
        <f t="shared" si="837"/>
        <v>3362.5317605749233</v>
      </c>
      <c r="F2738" s="900">
        <f t="shared" si="837"/>
        <v>3292.0784351406287</v>
      </c>
      <c r="G2738" s="900">
        <f t="shared" si="837"/>
        <v>3304.3471585122402</v>
      </c>
    </row>
    <row r="2739" spans="1:7" x14ac:dyDescent="0.3">
      <c r="A2739" s="1320" t="s">
        <v>1595</v>
      </c>
      <c r="B2739" s="943">
        <f t="shared" ref="B2739:G2739" si="838">B2738-B2726</f>
        <v>-2</v>
      </c>
      <c r="C2739" s="943">
        <f t="shared" si="838"/>
        <v>-74.600225029111698</v>
      </c>
      <c r="D2739" s="943">
        <f t="shared" si="838"/>
        <v>-131.37170902149956</v>
      </c>
      <c r="E2739" s="943">
        <f t="shared" si="838"/>
        <v>-186.65265318412685</v>
      </c>
      <c r="F2739" s="943">
        <f t="shared" si="838"/>
        <v>-218.31019438524845</v>
      </c>
      <c r="G2739" s="943">
        <f t="shared" si="838"/>
        <v>-224.84499287097788</v>
      </c>
    </row>
    <row r="2740" spans="1:7" x14ac:dyDescent="0.3">
      <c r="A2740" s="1306"/>
    </row>
    <row r="2741" spans="1:7" x14ac:dyDescent="0.3">
      <c r="A2741" s="1315" t="s">
        <v>1605</v>
      </c>
    </row>
    <row r="2742" spans="1:7" x14ac:dyDescent="0.3">
      <c r="A2742" s="1306" t="s">
        <v>1600</v>
      </c>
      <c r="B2742" s="76">
        <f t="shared" ref="B2742:G2742" si="839">B2729</f>
        <v>273</v>
      </c>
      <c r="C2742" s="76">
        <f t="shared" si="839"/>
        <v>218</v>
      </c>
      <c r="D2742" s="76">
        <f t="shared" si="839"/>
        <v>178.02912835452085</v>
      </c>
      <c r="E2742" s="76">
        <f t="shared" si="839"/>
        <v>142.61633023532823</v>
      </c>
      <c r="F2742" s="76">
        <f t="shared" si="839"/>
        <v>112.59424568469657</v>
      </c>
      <c r="G2742" s="76">
        <f t="shared" si="839"/>
        <v>89.338150118245863</v>
      </c>
    </row>
    <row r="2743" spans="1:7" x14ac:dyDescent="0.3">
      <c r="A2743" s="1306" t="s">
        <v>1601</v>
      </c>
      <c r="B2743" s="76">
        <f>B2730</f>
        <v>2741.2975000000001</v>
      </c>
      <c r="C2743" s="76">
        <f>C2730*C2625/Drivers!EX99</f>
        <v>2835.5324516129031</v>
      </c>
      <c r="D2743" s="76">
        <f>D2730*D2625/Drivers!FC99</f>
        <v>2756.1532542013379</v>
      </c>
      <c r="E2743" s="76">
        <f>E2730*E2625/Drivers!FD99</f>
        <v>2673.7493366733052</v>
      </c>
      <c r="F2743" s="76">
        <f>F2730*F2625/Drivers!FE99</f>
        <v>2592.9546301798919</v>
      </c>
      <c r="G2743" s="76">
        <f>G2730*G2625/Drivers!FF99</f>
        <v>2564.830955588287</v>
      </c>
    </row>
    <row r="2744" spans="1:7" x14ac:dyDescent="0.3">
      <c r="A2744" s="1306" t="s">
        <v>1602</v>
      </c>
      <c r="B2744" s="104">
        <f>B2731</f>
        <v>607.7025000000001</v>
      </c>
      <c r="C2744" s="104">
        <f>C2731/C2680*C2685</f>
        <v>557.86732335798536</v>
      </c>
      <c r="D2744" s="104">
        <f>D2731/D2680*D2685</f>
        <v>538.81469063587861</v>
      </c>
      <c r="E2744" s="104">
        <f>E2731/E2680*E2685</f>
        <v>546.16609366628961</v>
      </c>
      <c r="F2744" s="104">
        <f>F2731/F2680*F2685</f>
        <v>586.52955927604023</v>
      </c>
      <c r="G2744" s="104">
        <f>G2731/G2680*G2685</f>
        <v>650.17805280570758</v>
      </c>
    </row>
    <row r="2745" spans="1:7" x14ac:dyDescent="0.3">
      <c r="A2745" s="1315" t="s">
        <v>1606</v>
      </c>
      <c r="B2745" s="85">
        <f t="shared" ref="B2745:G2745" si="840">SUM(B2742:B2744)</f>
        <v>3622</v>
      </c>
      <c r="C2745" s="85">
        <f t="shared" si="840"/>
        <v>3611.3997749708883</v>
      </c>
      <c r="D2745" s="85">
        <f t="shared" si="840"/>
        <v>3472.9970731917374</v>
      </c>
      <c r="E2745" s="85">
        <f t="shared" si="840"/>
        <v>3362.5317605749233</v>
      </c>
      <c r="F2745" s="85">
        <f t="shared" si="840"/>
        <v>3292.0784351406287</v>
      </c>
      <c r="G2745" s="85">
        <f t="shared" si="840"/>
        <v>3304.3471585122402</v>
      </c>
    </row>
    <row r="2746" spans="1:7" x14ac:dyDescent="0.3">
      <c r="A2746" s="1306"/>
    </row>
    <row r="2747" spans="1:7" x14ac:dyDescent="0.3">
      <c r="A2747" s="1326" t="s">
        <v>44</v>
      </c>
      <c r="B2747" s="1327"/>
      <c r="C2747" s="1327"/>
      <c r="D2747" s="1327"/>
      <c r="E2747" s="1327"/>
      <c r="F2747" s="1327"/>
      <c r="G2747" s="1327"/>
    </row>
    <row r="2748" spans="1:7" x14ac:dyDescent="0.3">
      <c r="A2748" s="1315" t="s">
        <v>1607</v>
      </c>
    </row>
    <row r="2749" spans="1:7" x14ac:dyDescent="0.3">
      <c r="A2749" s="1306" t="s">
        <v>628</v>
      </c>
      <c r="B2749" s="76">
        <f>Drivers!ES27</f>
        <v>1329</v>
      </c>
      <c r="C2749" s="76">
        <f>Drivers!EX27</f>
        <v>1574</v>
      </c>
      <c r="D2749" s="76">
        <f>Drivers!FC27</f>
        <v>1857.3796130871649</v>
      </c>
      <c r="E2749" s="76">
        <f>Drivers!FD27</f>
        <v>2189.7533312017049</v>
      </c>
      <c r="F2749" s="76">
        <f>Drivers!FE27</f>
        <v>2609.5517030539809</v>
      </c>
      <c r="G2749" s="76">
        <f>Drivers!FF27</f>
        <v>2995.2887098981591</v>
      </c>
    </row>
    <row r="2750" spans="1:7" x14ac:dyDescent="0.3">
      <c r="A2750" s="1306" t="s">
        <v>629</v>
      </c>
      <c r="B2750" s="76">
        <f>Drivers!ES28</f>
        <v>725</v>
      </c>
      <c r="C2750" s="76">
        <f>Drivers!EX28</f>
        <v>616</v>
      </c>
      <c r="D2750" s="76">
        <f>Drivers!FC28</f>
        <v>495.07498382452945</v>
      </c>
      <c r="E2750" s="76">
        <f>Drivers!FD28</f>
        <v>423.25970777455382</v>
      </c>
      <c r="F2750" s="76">
        <f>Drivers!FE28</f>
        <v>320.32462143251473</v>
      </c>
      <c r="G2750" s="76">
        <f>Drivers!FF28</f>
        <v>212.71511874907264</v>
      </c>
    </row>
    <row r="2751" spans="1:7" x14ac:dyDescent="0.3">
      <c r="A2751" s="1306" t="s">
        <v>34</v>
      </c>
      <c r="B2751" s="104">
        <f>Drivers!ES29</f>
        <v>73</v>
      </c>
      <c r="C2751" s="104">
        <f>Drivers!EX29</f>
        <v>61</v>
      </c>
      <c r="D2751" s="104">
        <f>Drivers!FC29</f>
        <v>64</v>
      </c>
      <c r="E2751" s="104">
        <f>Drivers!FD29</f>
        <v>64</v>
      </c>
      <c r="F2751" s="104">
        <f>Drivers!FE29</f>
        <v>64</v>
      </c>
      <c r="G2751" s="104">
        <f>Drivers!FF29</f>
        <v>64</v>
      </c>
    </row>
    <row r="2752" spans="1:7" x14ac:dyDescent="0.3">
      <c r="A2752" s="1315" t="s">
        <v>301</v>
      </c>
      <c r="B2752" s="85">
        <f>SUM(B2749:B2751)</f>
        <v>2127</v>
      </c>
      <c r="C2752" s="85">
        <f t="shared" ref="C2752:G2752" si="841">SUM(C2749:C2751)</f>
        <v>2251</v>
      </c>
      <c r="D2752" s="85">
        <f t="shared" si="841"/>
        <v>2416.4545969116944</v>
      </c>
      <c r="E2752" s="85">
        <f t="shared" si="841"/>
        <v>2677.0130389762589</v>
      </c>
      <c r="F2752" s="85">
        <f t="shared" si="841"/>
        <v>2993.8763244864958</v>
      </c>
      <c r="G2752" s="85">
        <f t="shared" si="841"/>
        <v>3272.0038286472318</v>
      </c>
    </row>
    <row r="2753" spans="1:7" x14ac:dyDescent="0.3">
      <c r="A2753" s="1306"/>
    </row>
    <row r="2754" spans="1:7" x14ac:dyDescent="0.3">
      <c r="A2754" s="1315" t="s">
        <v>1608</v>
      </c>
    </row>
    <row r="2755" spans="1:7" x14ac:dyDescent="0.3">
      <c r="A2755" s="1306" t="s">
        <v>628</v>
      </c>
      <c r="B2755" s="76">
        <f t="shared" ref="B2755:G2757" si="842">B2715-B2735</f>
        <v>1301.8385250266238</v>
      </c>
      <c r="C2755" s="76">
        <f t="shared" si="842"/>
        <v>1519.6755583356887</v>
      </c>
      <c r="D2755" s="76">
        <f t="shared" si="842"/>
        <v>1652.5222182636853</v>
      </c>
      <c r="E2755" s="76">
        <f t="shared" si="842"/>
        <v>1850.5669360521524</v>
      </c>
      <c r="F2755" s="76">
        <f t="shared" si="842"/>
        <v>2163.8531088549103</v>
      </c>
      <c r="G2755" s="76">
        <f t="shared" si="842"/>
        <v>2529.917944078099</v>
      </c>
    </row>
    <row r="2756" spans="1:7" x14ac:dyDescent="0.3">
      <c r="A2756" s="1306" t="s">
        <v>629</v>
      </c>
      <c r="B2756" s="76">
        <f t="shared" si="842"/>
        <v>736.74072749391735</v>
      </c>
      <c r="C2756" s="76">
        <f t="shared" si="842"/>
        <v>583.98912713220284</v>
      </c>
      <c r="D2756" s="76">
        <f t="shared" si="842"/>
        <v>459.34711160590678</v>
      </c>
      <c r="E2756" s="76">
        <f t="shared" si="842"/>
        <v>388.02549511223606</v>
      </c>
      <c r="F2756" s="76">
        <f t="shared" si="842"/>
        <v>285.78877467575239</v>
      </c>
      <c r="G2756" s="76">
        <f t="shared" si="842"/>
        <v>173.36729455668501</v>
      </c>
    </row>
    <row r="2757" spans="1:7" x14ac:dyDescent="0.3">
      <c r="A2757" s="1306" t="s">
        <v>34</v>
      </c>
      <c r="B2757" s="104">
        <f t="shared" si="842"/>
        <v>73</v>
      </c>
      <c r="C2757" s="104">
        <f t="shared" si="842"/>
        <v>61</v>
      </c>
      <c r="D2757" s="104">
        <f t="shared" si="842"/>
        <v>64</v>
      </c>
      <c r="E2757" s="104">
        <f t="shared" si="842"/>
        <v>64</v>
      </c>
      <c r="F2757" s="104">
        <f t="shared" si="842"/>
        <v>64</v>
      </c>
      <c r="G2757" s="104">
        <f t="shared" si="842"/>
        <v>64</v>
      </c>
    </row>
    <row r="2758" spans="1:7" x14ac:dyDescent="0.3">
      <c r="A2758" s="1315" t="s">
        <v>301</v>
      </c>
      <c r="B2758" s="85">
        <f>SUM(B2755:B2757)</f>
        <v>2111.5792525205411</v>
      </c>
      <c r="C2758" s="85">
        <f t="shared" ref="C2758" si="843">SUM(C2755:C2757)</f>
        <v>2164.6646854678916</v>
      </c>
      <c r="D2758" s="85">
        <f t="shared" ref="D2758" si="844">SUM(D2755:D2757)</f>
        <v>2175.8693298695921</v>
      </c>
      <c r="E2758" s="85">
        <f t="shared" ref="E2758" si="845">SUM(E2755:E2757)</f>
        <v>2302.5924311643885</v>
      </c>
      <c r="F2758" s="85">
        <f t="shared" ref="F2758" si="846">SUM(F2755:F2757)</f>
        <v>2513.6418835306627</v>
      </c>
      <c r="G2758" s="85">
        <f t="shared" ref="G2758" si="847">SUM(G2755:G2757)</f>
        <v>2767.285238634784</v>
      </c>
    </row>
    <row r="2759" spans="1:7" x14ac:dyDescent="0.3">
      <c r="A2759" s="1320" t="s">
        <v>1595</v>
      </c>
      <c r="B2759" s="943">
        <f t="shared" ref="B2759:G2759" si="848">B2758-B2752</f>
        <v>-15.420747479458896</v>
      </c>
      <c r="C2759" s="943">
        <f t="shared" si="848"/>
        <v>-86.335314532108441</v>
      </c>
      <c r="D2759" s="943">
        <f t="shared" si="848"/>
        <v>-240.58526704210226</v>
      </c>
      <c r="E2759" s="943">
        <f t="shared" si="848"/>
        <v>-374.42060781187047</v>
      </c>
      <c r="F2759" s="943">
        <f t="shared" si="848"/>
        <v>-480.23444095583318</v>
      </c>
      <c r="G2759" s="943">
        <f t="shared" si="848"/>
        <v>-504.71859001244775</v>
      </c>
    </row>
    <row r="2760" spans="1:7" x14ac:dyDescent="0.3">
      <c r="A2760" s="1306"/>
    </row>
    <row r="2761" spans="1:7" x14ac:dyDescent="0.3">
      <c r="A2761" s="1326" t="s">
        <v>198</v>
      </c>
      <c r="B2761" s="1327"/>
      <c r="C2761" s="1327"/>
      <c r="D2761" s="1327"/>
      <c r="E2761" s="1327"/>
      <c r="F2761" s="1327"/>
      <c r="G2761" s="1327"/>
    </row>
    <row r="2762" spans="1:7" x14ac:dyDescent="0.3">
      <c r="A2762" s="1315" t="s">
        <v>1609</v>
      </c>
    </row>
    <row r="2763" spans="1:7" x14ac:dyDescent="0.3">
      <c r="A2763" s="1305" t="s">
        <v>1610</v>
      </c>
      <c r="B2763" s="76">
        <f>Drivers!ES540</f>
        <v>1418.1</v>
      </c>
      <c r="C2763" s="76">
        <f>Drivers!EX540</f>
        <v>1431.9</v>
      </c>
      <c r="D2763" s="76">
        <f>Drivers!FC540</f>
        <v>1397.4999999999998</v>
      </c>
      <c r="E2763" s="76">
        <f>Drivers!FD540</f>
        <v>967.5</v>
      </c>
      <c r="F2763" s="76">
        <f>Drivers!FE540</f>
        <v>100.22999999999956</v>
      </c>
      <c r="G2763" s="76">
        <f>Drivers!FF540</f>
        <v>101.23229999999967</v>
      </c>
    </row>
    <row r="2764" spans="1:7" x14ac:dyDescent="0.3">
      <c r="A2764" s="1305" t="s">
        <v>1611</v>
      </c>
      <c r="B2764" s="76">
        <f>Drivers!ES559</f>
        <v>402.36871309169203</v>
      </c>
      <c r="C2764" s="76">
        <f>Drivers!EX559</f>
        <v>519.75861486117844</v>
      </c>
      <c r="D2764" s="76">
        <f>Drivers!FC559</f>
        <v>589.97842297929003</v>
      </c>
      <c r="E2764" s="76">
        <f>Drivers!FD559</f>
        <v>601.04465668895909</v>
      </c>
      <c r="F2764" s="76">
        <f>Drivers!FE559</f>
        <v>603.37035517334311</v>
      </c>
      <c r="G2764" s="76">
        <f>Drivers!FF559</f>
        <v>561.63497146615521</v>
      </c>
    </row>
    <row r="2765" spans="1:7" x14ac:dyDescent="0.3">
      <c r="A2765" s="1305" t="s">
        <v>1612</v>
      </c>
      <c r="B2765" s="76" t="e">
        <f>Drivers!#REF!</f>
        <v>#REF!</v>
      </c>
      <c r="C2765" s="76" t="e">
        <f>Drivers!#REF!</f>
        <v>#REF!</v>
      </c>
      <c r="D2765" s="76" t="e">
        <f>Drivers!#REF!</f>
        <v>#REF!</v>
      </c>
      <c r="E2765" s="76" t="e">
        <f>Drivers!#REF!</f>
        <v>#REF!</v>
      </c>
      <c r="F2765" s="76" t="e">
        <f>Drivers!#REF!</f>
        <v>#REF!</v>
      </c>
      <c r="G2765" s="76" t="e">
        <f>Drivers!#REF!</f>
        <v>#REF!</v>
      </c>
    </row>
    <row r="2766" spans="1:7" x14ac:dyDescent="0.3">
      <c r="A2766" s="1305" t="s">
        <v>1613</v>
      </c>
      <c r="B2766" s="104" t="e">
        <f>B2767-B2763-B2764-B2765</f>
        <v>#REF!</v>
      </c>
      <c r="C2766" s="104" t="e">
        <f t="shared" ref="C2766:G2766" si="849">C2767-C2763-C2764-C2765</f>
        <v>#REF!</v>
      </c>
      <c r="D2766" s="104" t="e">
        <f t="shared" si="849"/>
        <v>#REF!</v>
      </c>
      <c r="E2766" s="104" t="e">
        <f t="shared" si="849"/>
        <v>#REF!</v>
      </c>
      <c r="F2766" s="104" t="e">
        <f t="shared" si="849"/>
        <v>#REF!</v>
      </c>
      <c r="G2766" s="104" t="e">
        <f t="shared" si="849"/>
        <v>#REF!</v>
      </c>
    </row>
    <row r="2767" spans="1:7" x14ac:dyDescent="0.3">
      <c r="A2767" s="1315" t="s">
        <v>1426</v>
      </c>
      <c r="B2767" s="85">
        <f>Drivers!ES572</f>
        <v>3211</v>
      </c>
      <c r="C2767" s="85">
        <f>Drivers!EX572</f>
        <v>2783</v>
      </c>
      <c r="D2767" s="85">
        <f>Drivers!FC572</f>
        <v>3194.4479521510066</v>
      </c>
      <c r="E2767" s="85">
        <f>Drivers!FD572</f>
        <v>2782.4684202674325</v>
      </c>
      <c r="F2767" s="85">
        <f>Drivers!FE572</f>
        <v>1926.0215850968652</v>
      </c>
      <c r="G2767" s="85">
        <f>Drivers!FF572</f>
        <v>1586.100905365895</v>
      </c>
    </row>
    <row r="2768" spans="1:7" x14ac:dyDescent="0.3">
      <c r="A2768" s="1306"/>
    </row>
    <row r="2769" spans="1:7" x14ac:dyDescent="0.3">
      <c r="A2769" s="1315" t="s">
        <v>1614</v>
      </c>
    </row>
    <row r="2770" spans="1:7" x14ac:dyDescent="0.3">
      <c r="A2770" s="1305" t="s">
        <v>1610</v>
      </c>
      <c r="B2770" s="885">
        <f>SUM(Drivers!EO540:EP540)</f>
        <v>686.6</v>
      </c>
      <c r="C2770" s="885">
        <f>C2615</f>
        <v>1075.4419031436587</v>
      </c>
      <c r="D2770" s="885">
        <f>D2615</f>
        <v>1075.4419031436587</v>
      </c>
      <c r="E2770" s="885">
        <f>E2615</f>
        <v>1075.4419031436587</v>
      </c>
      <c r="F2770" s="885">
        <f>F2615</f>
        <v>1075.4419031436587</v>
      </c>
      <c r="G2770" s="885">
        <f>G2615</f>
        <v>1075.4419031436587</v>
      </c>
    </row>
    <row r="2771" spans="1:7" x14ac:dyDescent="0.3">
      <c r="A2771" s="1305" t="s">
        <v>1611</v>
      </c>
      <c r="B2771" s="885">
        <f>SUM(Drivers!EO559:EP559)</f>
        <v>192.96388611392928</v>
      </c>
      <c r="C2771" s="885">
        <f>C2764/C2647*C2648</f>
        <v>422.8043956477099</v>
      </c>
      <c r="D2771" s="885">
        <f>D2764/D2647*D2648</f>
        <v>446.31171876574439</v>
      </c>
      <c r="E2771" s="885">
        <f>E2764/E2647*E2648</f>
        <v>446.10087639087374</v>
      </c>
      <c r="F2771" s="885">
        <f>F2764/F2647*F2648</f>
        <v>475.44264186194215</v>
      </c>
      <c r="G2771" s="885">
        <f>G2764/G2647*G2648</f>
        <v>467.7116174828883</v>
      </c>
    </row>
    <row r="2772" spans="1:7" x14ac:dyDescent="0.3">
      <c r="A2772" s="1305" t="s">
        <v>1615</v>
      </c>
      <c r="B2772" s="885">
        <v>0</v>
      </c>
      <c r="C2772" s="885">
        <f>C2619</f>
        <v>174.78</v>
      </c>
      <c r="D2772" s="885">
        <f>D2619</f>
        <v>174.78</v>
      </c>
      <c r="E2772" s="885">
        <f>E2619</f>
        <v>174.78</v>
      </c>
      <c r="F2772" s="885">
        <f>F2619</f>
        <v>174.78</v>
      </c>
      <c r="G2772" s="885">
        <f>G2619</f>
        <v>174.78</v>
      </c>
    </row>
    <row r="2773" spans="1:7" x14ac:dyDescent="0.3">
      <c r="A2773" s="1305" t="s">
        <v>1612</v>
      </c>
      <c r="B2773" s="885" t="e">
        <f t="shared" ref="B2773:G2773" si="850">B2765</f>
        <v>#REF!</v>
      </c>
      <c r="C2773" s="885" t="e">
        <f t="shared" si="850"/>
        <v>#REF!</v>
      </c>
      <c r="D2773" s="885" t="e">
        <f t="shared" si="850"/>
        <v>#REF!</v>
      </c>
      <c r="E2773" s="885" t="e">
        <f t="shared" si="850"/>
        <v>#REF!</v>
      </c>
      <c r="F2773" s="885" t="e">
        <f t="shared" si="850"/>
        <v>#REF!</v>
      </c>
      <c r="G2773" s="885" t="e">
        <f t="shared" si="850"/>
        <v>#REF!</v>
      </c>
    </row>
    <row r="2774" spans="1:7" x14ac:dyDescent="0.3">
      <c r="A2774" s="1305" t="s">
        <v>1425</v>
      </c>
      <c r="B2774" s="901" t="e">
        <f>B2766</f>
        <v>#REF!</v>
      </c>
      <c r="C2774" s="901" t="e">
        <f>C2766+40*(C2654-C2653)/1000</f>
        <v>#REF!</v>
      </c>
      <c r="D2774" s="901" t="e">
        <f>D2766+40*(D2654-D2653)/1000</f>
        <v>#REF!</v>
      </c>
      <c r="E2774" s="901" t="e">
        <f>E2766+40*(E2654-E2653)/1000</f>
        <v>#REF!</v>
      </c>
      <c r="F2774" s="901" t="e">
        <f>F2766+40*(F2654-F2653)/1000</f>
        <v>#REF!</v>
      </c>
      <c r="G2774" s="901" t="e">
        <f>G2766+40*(G2654-G2653)/1000</f>
        <v>#REF!</v>
      </c>
    </row>
    <row r="2775" spans="1:7" x14ac:dyDescent="0.3">
      <c r="A2775" s="1315" t="s">
        <v>1614</v>
      </c>
      <c r="B2775" s="900" t="e">
        <f t="shared" ref="B2775:G2775" si="851">SUM(B2770:B2774)</f>
        <v>#REF!</v>
      </c>
      <c r="C2775" s="900" t="e">
        <f t="shared" si="851"/>
        <v>#REF!</v>
      </c>
      <c r="D2775" s="900" t="e">
        <f t="shared" si="851"/>
        <v>#REF!</v>
      </c>
      <c r="E2775" s="900" t="e">
        <f t="shared" si="851"/>
        <v>#REF!</v>
      </c>
      <c r="F2775" s="900" t="e">
        <f t="shared" si="851"/>
        <v>#REF!</v>
      </c>
      <c r="G2775" s="900" t="e">
        <f t="shared" si="851"/>
        <v>#REF!</v>
      </c>
    </row>
    <row r="2776" spans="1:7" x14ac:dyDescent="0.3">
      <c r="A2776" s="1320" t="s">
        <v>1595</v>
      </c>
      <c r="B2776" s="943" t="e">
        <f t="shared" ref="B2776:G2776" si="852">B2775-B2767</f>
        <v>#REF!</v>
      </c>
      <c r="C2776" s="943" t="e">
        <f t="shared" si="852"/>
        <v>#REF!</v>
      </c>
      <c r="D2776" s="943" t="e">
        <f t="shared" si="852"/>
        <v>#REF!</v>
      </c>
      <c r="E2776" s="943" t="e">
        <f t="shared" si="852"/>
        <v>#REF!</v>
      </c>
      <c r="F2776" s="943" t="e">
        <f t="shared" si="852"/>
        <v>#REF!</v>
      </c>
      <c r="G2776" s="943" t="e">
        <f t="shared" si="852"/>
        <v>#REF!</v>
      </c>
    </row>
    <row r="2777" spans="1:7" x14ac:dyDescent="0.3">
      <c r="A2777" s="1306"/>
    </row>
    <row r="2778" spans="1:7" x14ac:dyDescent="0.3">
      <c r="A2778" s="1326" t="s">
        <v>1616</v>
      </c>
      <c r="B2778" s="1327"/>
      <c r="C2778" s="1327"/>
      <c r="D2778" s="1327"/>
      <c r="E2778" s="1327"/>
      <c r="F2778" s="1327"/>
      <c r="G2778" s="1327"/>
    </row>
    <row r="2779" spans="1:7" ht="13" x14ac:dyDescent="0.3">
      <c r="A2779" s="1307" t="s">
        <v>1617</v>
      </c>
    </row>
    <row r="2780" spans="1:7" x14ac:dyDescent="0.3">
      <c r="A2780" s="1305" t="s">
        <v>238</v>
      </c>
      <c r="B2780" s="76">
        <f t="shared" ref="B2780:G2780" si="853">B2752</f>
        <v>2127</v>
      </c>
      <c r="C2780" s="76">
        <f t="shared" si="853"/>
        <v>2251</v>
      </c>
      <c r="D2780" s="76">
        <f t="shared" si="853"/>
        <v>2416.4545969116944</v>
      </c>
      <c r="E2780" s="76">
        <f t="shared" si="853"/>
        <v>2677.0130389762589</v>
      </c>
      <c r="F2780" s="76">
        <f t="shared" si="853"/>
        <v>2993.8763244864958</v>
      </c>
      <c r="G2780" s="76">
        <f t="shared" si="853"/>
        <v>3272.0038286472318</v>
      </c>
    </row>
    <row r="2781" spans="1:7" x14ac:dyDescent="0.3">
      <c r="A2781" s="1305" t="s">
        <v>101</v>
      </c>
      <c r="B2781" s="76">
        <f>Drivers!ES572</f>
        <v>3211</v>
      </c>
      <c r="C2781" s="76">
        <f>Drivers!EX572</f>
        <v>2783</v>
      </c>
      <c r="D2781" s="76">
        <f>Drivers!FC572</f>
        <v>3194.4479521510066</v>
      </c>
      <c r="E2781" s="76">
        <f>Drivers!FD572</f>
        <v>2782.4684202674325</v>
      </c>
      <c r="F2781" s="76">
        <f>Drivers!FE572</f>
        <v>1926.0215850968652</v>
      </c>
      <c r="G2781" s="76">
        <f>Drivers!FF572</f>
        <v>1586.100905365895</v>
      </c>
    </row>
    <row r="2782" spans="1:7" x14ac:dyDescent="0.3">
      <c r="A2782" s="1305" t="s">
        <v>1246</v>
      </c>
      <c r="B2782" s="76">
        <f>'Model Main'!ES204</f>
        <v>736</v>
      </c>
      <c r="C2782" s="76">
        <f>'Model Main'!EX204</f>
        <v>853</v>
      </c>
      <c r="D2782" s="76">
        <f>'Model Main'!FC204</f>
        <v>922.83749999999998</v>
      </c>
      <c r="E2782" s="76">
        <f>'Model Main'!FD204</f>
        <v>1022.7375</v>
      </c>
      <c r="F2782" s="76">
        <f>'Model Main'!FE204</f>
        <v>1082.91265</v>
      </c>
      <c r="G2782" s="76">
        <f>'Model Main'!FF204</f>
        <v>1108.7077999999999</v>
      </c>
    </row>
    <row r="2783" spans="1:7" x14ac:dyDescent="0.3">
      <c r="A2783" s="1305" t="s">
        <v>1248</v>
      </c>
      <c r="B2783" s="76">
        <f>'Model Main'!ES166</f>
        <v>0</v>
      </c>
      <c r="C2783" s="76">
        <f>'Model Main'!EX166</f>
        <v>16</v>
      </c>
      <c r="D2783" s="76">
        <f>'Model Main'!FC166</f>
        <v>20</v>
      </c>
      <c r="E2783" s="76">
        <f>'Model Main'!FD166</f>
        <v>20</v>
      </c>
      <c r="F2783" s="76">
        <f>'Model Main'!FE166</f>
        <v>20</v>
      </c>
      <c r="G2783" s="76">
        <f>'Model Main'!FF166</f>
        <v>20</v>
      </c>
    </row>
    <row r="2784" spans="1:7" x14ac:dyDescent="0.3">
      <c r="A2784" s="1305" t="s">
        <v>1618</v>
      </c>
      <c r="B2784" s="1314">
        <f t="shared" ref="B2784:G2784" si="854">B2780-B2781-B2783-B2782-B2785</f>
        <v>47</v>
      </c>
      <c r="C2784" s="1314">
        <f t="shared" si="854"/>
        <v>250</v>
      </c>
      <c r="D2784" s="1314">
        <f t="shared" si="854"/>
        <v>117.37587880249589</v>
      </c>
      <c r="E2784" s="1314">
        <f t="shared" si="854"/>
        <v>431.55563381610227</v>
      </c>
      <c r="F2784" s="1314">
        <f t="shared" si="854"/>
        <v>167.55861377012775</v>
      </c>
      <c r="G2784" s="1314">
        <f t="shared" si="854"/>
        <v>167.02405641316204</v>
      </c>
    </row>
    <row r="2785" spans="1:7" x14ac:dyDescent="0.3">
      <c r="A2785" s="1313" t="s">
        <v>1619</v>
      </c>
      <c r="B2785" s="85">
        <f>'Model Main'!ES132</f>
        <v>-1867</v>
      </c>
      <c r="C2785" s="85">
        <f>'Model Main'!EX132</f>
        <v>-1651</v>
      </c>
      <c r="D2785" s="85">
        <f>'Model Main'!FC132</f>
        <v>-1838.2067340418082</v>
      </c>
      <c r="E2785" s="85">
        <f>'Model Main'!FD132</f>
        <v>-1579.7485151072758</v>
      </c>
      <c r="F2785" s="85">
        <f>'Model Main'!FE132</f>
        <v>-202.61652438049714</v>
      </c>
      <c r="G2785" s="85">
        <f>'Model Main'!FF132</f>
        <v>390.17106686817488</v>
      </c>
    </row>
    <row r="2786" spans="1:7" x14ac:dyDescent="0.3">
      <c r="A2786" s="1306"/>
    </row>
    <row r="2787" spans="1:7" ht="13" x14ac:dyDescent="0.3">
      <c r="A2787" s="1307" t="s">
        <v>1620</v>
      </c>
    </row>
    <row r="2788" spans="1:7" x14ac:dyDescent="0.3">
      <c r="A2788" s="1305" t="s">
        <v>238</v>
      </c>
      <c r="B2788" s="76">
        <f>B2758</f>
        <v>2111.5792525205411</v>
      </c>
      <c r="C2788" s="76">
        <f t="shared" ref="C2788:G2788" si="855">C2758</f>
        <v>2164.6646854678916</v>
      </c>
      <c r="D2788" s="76">
        <f t="shared" si="855"/>
        <v>2175.8693298695921</v>
      </c>
      <c r="E2788" s="76">
        <f t="shared" si="855"/>
        <v>2302.5924311643885</v>
      </c>
      <c r="F2788" s="76">
        <f t="shared" si="855"/>
        <v>2513.6418835306627</v>
      </c>
      <c r="G2788" s="76">
        <f t="shared" si="855"/>
        <v>2767.285238634784</v>
      </c>
    </row>
    <row r="2789" spans="1:7" x14ac:dyDescent="0.3">
      <c r="A2789" s="1305" t="s">
        <v>101</v>
      </c>
      <c r="B2789" s="887" t="e">
        <f t="shared" ref="B2789:G2789" si="856">B2775</f>
        <v>#REF!</v>
      </c>
      <c r="C2789" s="887" t="e">
        <f t="shared" si="856"/>
        <v>#REF!</v>
      </c>
      <c r="D2789" s="887" t="e">
        <f t="shared" si="856"/>
        <v>#REF!</v>
      </c>
      <c r="E2789" s="887" t="e">
        <f t="shared" si="856"/>
        <v>#REF!</v>
      </c>
      <c r="F2789" s="887" t="e">
        <f t="shared" si="856"/>
        <v>#REF!</v>
      </c>
      <c r="G2789" s="887" t="e">
        <f t="shared" si="856"/>
        <v>#REF!</v>
      </c>
    </row>
    <row r="2790" spans="1:7" x14ac:dyDescent="0.3">
      <c r="A2790" s="1305" t="s">
        <v>1246</v>
      </c>
      <c r="B2790" s="885"/>
      <c r="C2790" s="885"/>
      <c r="D2790" s="885"/>
      <c r="E2790" s="885"/>
      <c r="F2790" s="885"/>
      <c r="G2790" s="885"/>
    </row>
    <row r="2791" spans="1:7" x14ac:dyDescent="0.3">
      <c r="A2791" s="1305" t="s">
        <v>1248</v>
      </c>
      <c r="B2791" s="76">
        <f t="shared" ref="B2791:G2792" si="857">B2783</f>
        <v>0</v>
      </c>
      <c r="C2791" s="76">
        <f t="shared" si="857"/>
        <v>16</v>
      </c>
      <c r="D2791" s="76">
        <f t="shared" si="857"/>
        <v>20</v>
      </c>
      <c r="E2791" s="76">
        <f t="shared" si="857"/>
        <v>20</v>
      </c>
      <c r="F2791" s="76">
        <f t="shared" si="857"/>
        <v>20</v>
      </c>
      <c r="G2791" s="76">
        <f t="shared" si="857"/>
        <v>20</v>
      </c>
    </row>
    <row r="2792" spans="1:7" x14ac:dyDescent="0.3">
      <c r="A2792" s="1305" t="s">
        <v>1618</v>
      </c>
      <c r="B2792" s="866">
        <f t="shared" si="857"/>
        <v>47</v>
      </c>
      <c r="C2792" s="866">
        <f t="shared" si="857"/>
        <v>250</v>
      </c>
      <c r="D2792" s="866">
        <f t="shared" si="857"/>
        <v>117.37587880249589</v>
      </c>
      <c r="E2792" s="866">
        <f t="shared" si="857"/>
        <v>431.55563381610227</v>
      </c>
      <c r="F2792" s="866">
        <f t="shared" si="857"/>
        <v>167.55861377012775</v>
      </c>
      <c r="G2792" s="866">
        <f t="shared" si="857"/>
        <v>167.02405641316204</v>
      </c>
    </row>
    <row r="2793" spans="1:7" x14ac:dyDescent="0.3">
      <c r="A2793" s="1313" t="s">
        <v>1621</v>
      </c>
      <c r="B2793" s="900" t="e">
        <f>B2788-B2789-B2790-B2791-B2792</f>
        <v>#REF!</v>
      </c>
      <c r="C2793" s="900" t="e">
        <f t="shared" ref="C2793:G2793" si="858">C2788-C2789-C2790-C2791-C2792</f>
        <v>#REF!</v>
      </c>
      <c r="D2793" s="900" t="e">
        <f t="shared" si="858"/>
        <v>#REF!</v>
      </c>
      <c r="E2793" s="900" t="e">
        <f t="shared" si="858"/>
        <v>#REF!</v>
      </c>
      <c r="F2793" s="900" t="e">
        <f t="shared" si="858"/>
        <v>#REF!</v>
      </c>
      <c r="G2793" s="900" t="e">
        <f t="shared" si="858"/>
        <v>#REF!</v>
      </c>
    </row>
    <row r="2794" spans="1:7" ht="13" x14ac:dyDescent="0.3">
      <c r="A2794" s="1308" t="s">
        <v>1622</v>
      </c>
      <c r="B2794" s="887" t="e">
        <f>B2793-B2785</f>
        <v>#REF!</v>
      </c>
      <c r="C2794" s="887" t="e">
        <f t="shared" ref="C2794:G2794" si="859">C2793-C2785</f>
        <v>#REF!</v>
      </c>
      <c r="D2794" s="887" t="e">
        <f t="shared" si="859"/>
        <v>#REF!</v>
      </c>
      <c r="E2794" s="887" t="e">
        <f t="shared" si="859"/>
        <v>#REF!</v>
      </c>
      <c r="F2794" s="887" t="e">
        <f t="shared" si="859"/>
        <v>#REF!</v>
      </c>
      <c r="G2794" s="887" t="e">
        <f t="shared" si="859"/>
        <v>#REF!</v>
      </c>
    </row>
    <row r="2796" spans="1:7" x14ac:dyDescent="0.3">
      <c r="A2796" s="1305" t="s">
        <v>1623</v>
      </c>
      <c r="B2796" s="76">
        <f>'Model Main'!ES198</f>
        <v>9061</v>
      </c>
      <c r="C2796" s="76">
        <f>'Model Main'!EX198</f>
        <v>10811</v>
      </c>
      <c r="D2796" s="76">
        <f>'Model Main'!FC198</f>
        <v>12678.206734041809</v>
      </c>
      <c r="E2796" s="76">
        <f>'Model Main'!FD198</f>
        <v>14286.955249149083</v>
      </c>
      <c r="F2796" s="76">
        <f>'Model Main'!FE198</f>
        <v>14518.571773529582</v>
      </c>
      <c r="G2796" s="76">
        <f>'Model Main'!FF198</f>
        <v>14157.400706661409</v>
      </c>
    </row>
    <row r="2797" spans="1:7" x14ac:dyDescent="0.3">
      <c r="A2797" s="1305" t="s">
        <v>1624</v>
      </c>
      <c r="B2797" s="104">
        <f>'Model Main'!ES199</f>
        <v>2127</v>
      </c>
      <c r="C2797" s="104">
        <f>'Model Main'!EX199</f>
        <v>2251</v>
      </c>
      <c r="D2797" s="104">
        <f>'Model Main'!FC199</f>
        <v>2416.4545969116944</v>
      </c>
      <c r="E2797" s="104">
        <f>'Model Main'!FD199</f>
        <v>2677.0130389762598</v>
      </c>
      <c r="F2797" s="104">
        <f>'Model Main'!FE199</f>
        <v>2993.8763244864958</v>
      </c>
      <c r="G2797" s="104">
        <f>'Model Main'!FF199</f>
        <v>3272.0038286472327</v>
      </c>
    </row>
    <row r="2798" spans="1:7" x14ac:dyDescent="0.3">
      <c r="A2798" s="1313" t="s">
        <v>1625</v>
      </c>
      <c r="B2798" s="1321">
        <f>B2796/B2797</f>
        <v>4.2599905970850962</v>
      </c>
      <c r="C2798" s="1321">
        <f t="shared" ref="C2798:G2798" si="860">C2796/C2797</f>
        <v>4.8027543314082628</v>
      </c>
      <c r="D2798" s="1321">
        <f t="shared" si="860"/>
        <v>5.2466149168475829</v>
      </c>
      <c r="E2798" s="1321">
        <f t="shared" si="860"/>
        <v>5.3369016292175715</v>
      </c>
      <c r="F2798" s="1321">
        <f t="shared" si="860"/>
        <v>4.8494226881665794</v>
      </c>
      <c r="G2798" s="1321">
        <f t="shared" si="860"/>
        <v>4.3268288938752866</v>
      </c>
    </row>
    <row r="2799" spans="1:7" x14ac:dyDescent="0.3">
      <c r="A2799" s="1306"/>
    </row>
    <row r="2800" spans="1:7" x14ac:dyDescent="0.3">
      <c r="A2800" s="1305" t="s">
        <v>1626</v>
      </c>
      <c r="B2800" s="76" t="e">
        <f>B2796+B2785-B2793</f>
        <v>#REF!</v>
      </c>
      <c r="C2800" s="76" t="e">
        <f>B2800-C2793</f>
        <v>#REF!</v>
      </c>
      <c r="D2800" s="76" t="e">
        <f t="shared" ref="D2800:G2800" si="861">C2800-D2793</f>
        <v>#REF!</v>
      </c>
      <c r="E2800" s="76" t="e">
        <f t="shared" si="861"/>
        <v>#REF!</v>
      </c>
      <c r="F2800" s="76" t="e">
        <f t="shared" si="861"/>
        <v>#REF!</v>
      </c>
      <c r="G2800" s="76" t="e">
        <f t="shared" si="861"/>
        <v>#REF!</v>
      </c>
    </row>
    <row r="2801" spans="1:7" x14ac:dyDescent="0.3">
      <c r="A2801" s="1305" t="s">
        <v>1627</v>
      </c>
      <c r="B2801" s="104">
        <f>B2758</f>
        <v>2111.5792525205411</v>
      </c>
      <c r="C2801" s="104">
        <f t="shared" ref="C2801:G2801" si="862">C2758</f>
        <v>2164.6646854678916</v>
      </c>
      <c r="D2801" s="104">
        <f t="shared" si="862"/>
        <v>2175.8693298695921</v>
      </c>
      <c r="E2801" s="104">
        <f t="shared" si="862"/>
        <v>2302.5924311643885</v>
      </c>
      <c r="F2801" s="104">
        <f t="shared" si="862"/>
        <v>2513.6418835306627</v>
      </c>
      <c r="G2801" s="104">
        <f t="shared" si="862"/>
        <v>2767.285238634784</v>
      </c>
    </row>
    <row r="2802" spans="1:7" x14ac:dyDescent="0.3">
      <c r="A2802" s="1313" t="s">
        <v>1628</v>
      </c>
      <c r="B2802" s="1321" t="e">
        <f>B2800/B2801</f>
        <v>#REF!</v>
      </c>
      <c r="C2802" s="1321" t="e">
        <f t="shared" ref="C2802" si="863">C2800/C2801</f>
        <v>#REF!</v>
      </c>
      <c r="D2802" s="1321" t="e">
        <f t="shared" ref="D2802" si="864">D2800/D2801</f>
        <v>#REF!</v>
      </c>
      <c r="E2802" s="1321" t="e">
        <f t="shared" ref="E2802" si="865">E2800/E2801</f>
        <v>#REF!</v>
      </c>
      <c r="F2802" s="1321" t="e">
        <f t="shared" ref="F2802" si="866">F2800/F2801</f>
        <v>#REF!</v>
      </c>
      <c r="G2802" s="1321" t="e">
        <f t="shared" ref="G2802" si="867">G2800/G2801</f>
        <v>#REF!</v>
      </c>
    </row>
    <row r="2803" spans="1:7" x14ac:dyDescent="0.3">
      <c r="A2803" s="1320" t="s">
        <v>1595</v>
      </c>
      <c r="B2803" s="1328" t="e">
        <f>B2802-B2798</f>
        <v>#REF!</v>
      </c>
      <c r="C2803" s="1328" t="e">
        <f t="shared" ref="C2803:G2803" si="868">C2802-C2798</f>
        <v>#REF!</v>
      </c>
      <c r="D2803" s="1328" t="e">
        <f t="shared" si="868"/>
        <v>#REF!</v>
      </c>
      <c r="E2803" s="1328" t="e">
        <f t="shared" si="868"/>
        <v>#REF!</v>
      </c>
      <c r="F2803" s="1328" t="e">
        <f t="shared" si="868"/>
        <v>#REF!</v>
      </c>
      <c r="G2803" s="1328" t="e">
        <f t="shared" si="868"/>
        <v>#REF!</v>
      </c>
    </row>
    <row r="2804" spans="1:7" x14ac:dyDescent="0.3">
      <c r="A2804" s="1306"/>
    </row>
    <row r="2805" spans="1:7" x14ac:dyDescent="0.3">
      <c r="A2805" s="1326" t="s">
        <v>1336</v>
      </c>
      <c r="B2805" s="1327"/>
      <c r="C2805" s="1327"/>
      <c r="D2805" s="1327"/>
      <c r="E2805" s="1327"/>
      <c r="F2805" s="1327"/>
      <c r="G2805" s="1327"/>
    </row>
    <row r="2806" spans="1:7" ht="13" x14ac:dyDescent="0.3">
      <c r="A2806" s="1332"/>
      <c r="B2806" s="1333">
        <v>2023</v>
      </c>
      <c r="C2806" s="1333">
        <v>2024</v>
      </c>
      <c r="D2806" s="1333">
        <v>2025</v>
      </c>
      <c r="E2806" s="1333">
        <v>2026</v>
      </c>
      <c r="F2806" s="1333">
        <v>2027</v>
      </c>
      <c r="G2806" s="1333">
        <v>2028</v>
      </c>
    </row>
    <row r="2807" spans="1:7" x14ac:dyDescent="0.3">
      <c r="A2807" s="1316" t="s">
        <v>1551</v>
      </c>
      <c r="B2807" s="877">
        <f t="shared" ref="B2807:G2807" si="869">B2654</f>
        <v>9574</v>
      </c>
      <c r="C2807" s="877">
        <f t="shared" si="869"/>
        <v>9036.2790484281704</v>
      </c>
      <c r="D2807" s="877">
        <f t="shared" si="869"/>
        <v>8498.5580968563409</v>
      </c>
      <c r="E2807" s="877">
        <f t="shared" si="869"/>
        <v>7960.8371452845113</v>
      </c>
      <c r="F2807" s="877">
        <f t="shared" si="869"/>
        <v>7423.1161937126817</v>
      </c>
      <c r="G2807" s="877">
        <f t="shared" si="869"/>
        <v>6885.3952421408521</v>
      </c>
    </row>
    <row r="2808" spans="1:7" x14ac:dyDescent="0.3">
      <c r="A2808" s="1316" t="s">
        <v>1562</v>
      </c>
      <c r="B2808" s="880">
        <f t="shared" ref="B2808:G2808" si="870">B2648</f>
        <v>5826</v>
      </c>
      <c r="C2808" s="880">
        <f t="shared" si="870"/>
        <v>6363.7209515718296</v>
      </c>
      <c r="D2808" s="880">
        <f t="shared" si="870"/>
        <v>6901.4419031436591</v>
      </c>
      <c r="E2808" s="880">
        <f t="shared" si="870"/>
        <v>7439.1628547154887</v>
      </c>
      <c r="F2808" s="880">
        <f t="shared" si="870"/>
        <v>7976.8838062873183</v>
      </c>
      <c r="G2808" s="880">
        <f t="shared" si="870"/>
        <v>8514.6047578591479</v>
      </c>
    </row>
    <row r="2809" spans="1:7" x14ac:dyDescent="0.3">
      <c r="A2809" s="1317" t="s">
        <v>1563</v>
      </c>
      <c r="B2809" s="1065">
        <f t="shared" ref="B2809:G2809" si="871">SUM(B2807:B2808)</f>
        <v>15400</v>
      </c>
      <c r="C2809" s="1065">
        <f t="shared" si="871"/>
        <v>15400</v>
      </c>
      <c r="D2809" s="1065">
        <f t="shared" si="871"/>
        <v>15400</v>
      </c>
      <c r="E2809" s="1065">
        <f t="shared" si="871"/>
        <v>15400</v>
      </c>
      <c r="F2809" s="1065">
        <f t="shared" si="871"/>
        <v>15400</v>
      </c>
      <c r="G2809" s="1065">
        <f t="shared" si="871"/>
        <v>15400</v>
      </c>
    </row>
    <row r="2810" spans="1:7" x14ac:dyDescent="0.3">
      <c r="A2810" s="1316"/>
      <c r="B2810" s="144"/>
      <c r="C2810" s="144"/>
      <c r="D2810" s="144"/>
      <c r="E2810" s="144"/>
      <c r="F2810" s="144"/>
      <c r="G2810" s="144"/>
    </row>
    <row r="2811" spans="1:7" x14ac:dyDescent="0.3">
      <c r="A2811" s="1316" t="s">
        <v>1540</v>
      </c>
      <c r="B2811" s="999">
        <f>B2808</f>
        <v>5826</v>
      </c>
      <c r="C2811" s="999">
        <f t="shared" ref="C2811:G2811" si="872">C2808</f>
        <v>6363.7209515718296</v>
      </c>
      <c r="D2811" s="999">
        <f t="shared" si="872"/>
        <v>6901.4419031436591</v>
      </c>
      <c r="E2811" s="999">
        <f t="shared" si="872"/>
        <v>7439.1628547154887</v>
      </c>
      <c r="F2811" s="999">
        <f t="shared" si="872"/>
        <v>7976.8838062873183</v>
      </c>
      <c r="G2811" s="999">
        <f t="shared" si="872"/>
        <v>8514.6047578591479</v>
      </c>
    </row>
    <row r="2812" spans="1:7" x14ac:dyDescent="0.3">
      <c r="A2812" s="1316" t="s">
        <v>1564</v>
      </c>
      <c r="B2812" s="873">
        <v>3500</v>
      </c>
      <c r="C2812" s="873">
        <f>B2812</f>
        <v>3500</v>
      </c>
      <c r="D2812" s="873">
        <f t="shared" ref="D2812:G2812" si="873">C2812</f>
        <v>3500</v>
      </c>
      <c r="E2812" s="873">
        <f t="shared" si="873"/>
        <v>3500</v>
      </c>
      <c r="F2812" s="873">
        <f t="shared" si="873"/>
        <v>3500</v>
      </c>
      <c r="G2812" s="873">
        <f t="shared" si="873"/>
        <v>3500</v>
      </c>
    </row>
    <row r="2813" spans="1:7" x14ac:dyDescent="0.3">
      <c r="A2813" s="1317" t="s">
        <v>1565</v>
      </c>
      <c r="B2813" s="1064">
        <f>B2811*B2812/1000</f>
        <v>20391</v>
      </c>
      <c r="C2813" s="1064">
        <f t="shared" ref="C2813" si="874">C2811*C2812/1000</f>
        <v>22273.023330501404</v>
      </c>
      <c r="D2813" s="1064">
        <f t="shared" ref="D2813" si="875">D2811*D2812/1000</f>
        <v>24155.046661002809</v>
      </c>
      <c r="E2813" s="1064">
        <f t="shared" ref="E2813" si="876">E2811*E2812/1000</f>
        <v>26037.06999150421</v>
      </c>
      <c r="F2813" s="1064">
        <f t="shared" ref="F2813" si="877">F2811*F2812/1000</f>
        <v>27919.093322005614</v>
      </c>
      <c r="G2813" s="1064">
        <f t="shared" ref="G2813" si="878">G2811*G2812/1000</f>
        <v>29801.116652507018</v>
      </c>
    </row>
    <row r="2814" spans="1:7" x14ac:dyDescent="0.3">
      <c r="A2814" s="1316"/>
      <c r="B2814" s="144"/>
      <c r="C2814" s="144"/>
      <c r="D2814" s="144"/>
      <c r="E2814" s="144"/>
      <c r="F2814" s="144"/>
      <c r="G2814" s="144"/>
    </row>
    <row r="2815" spans="1:7" x14ac:dyDescent="0.3">
      <c r="A2815" s="1316" t="s">
        <v>1551</v>
      </c>
      <c r="B2815" s="999">
        <f>B2807</f>
        <v>9574</v>
      </c>
      <c r="C2815" s="999">
        <f t="shared" ref="C2815:G2815" si="879">C2807</f>
        <v>9036.2790484281704</v>
      </c>
      <c r="D2815" s="999">
        <f t="shared" si="879"/>
        <v>8498.5580968563409</v>
      </c>
      <c r="E2815" s="999">
        <f t="shared" si="879"/>
        <v>7960.8371452845113</v>
      </c>
      <c r="F2815" s="999">
        <f t="shared" si="879"/>
        <v>7423.1161937126817</v>
      </c>
      <c r="G2815" s="999">
        <f t="shared" si="879"/>
        <v>6885.3952421408521</v>
      </c>
    </row>
    <row r="2816" spans="1:7" x14ac:dyDescent="0.3">
      <c r="A2816" s="1316" t="s">
        <v>1564</v>
      </c>
      <c r="B2816" s="873">
        <v>500</v>
      </c>
      <c r="C2816" s="873">
        <f>B2816</f>
        <v>500</v>
      </c>
      <c r="D2816" s="873">
        <v>500</v>
      </c>
      <c r="E2816" s="873">
        <v>500</v>
      </c>
      <c r="F2816" s="873">
        <v>500</v>
      </c>
      <c r="G2816" s="873">
        <v>500</v>
      </c>
    </row>
    <row r="2817" spans="1:7" x14ac:dyDescent="0.3">
      <c r="A2817" s="1317" t="s">
        <v>1566</v>
      </c>
      <c r="B2817" s="1064">
        <f>B2815*B2816/1000</f>
        <v>4787</v>
      </c>
      <c r="C2817" s="1064">
        <f t="shared" ref="C2817" si="880">C2815*C2816/1000</f>
        <v>4518.1395242140852</v>
      </c>
      <c r="D2817" s="1064">
        <f t="shared" ref="D2817" si="881">D2815*D2816/1000</f>
        <v>4249.2790484281704</v>
      </c>
      <c r="E2817" s="1064">
        <f t="shared" ref="E2817" si="882">E2815*E2816/1000</f>
        <v>3980.4185726422556</v>
      </c>
      <c r="F2817" s="1064">
        <f t="shared" ref="F2817" si="883">F2815*F2816/1000</f>
        <v>3711.5580968563409</v>
      </c>
      <c r="G2817" s="1064">
        <f t="shared" ref="G2817" si="884">G2815*G2816/1000</f>
        <v>3442.6976210704261</v>
      </c>
    </row>
    <row r="2818" spans="1:7" x14ac:dyDescent="0.3">
      <c r="A2818" s="1316"/>
      <c r="B2818" s="144"/>
      <c r="C2818" s="144"/>
      <c r="D2818" s="144"/>
      <c r="E2818" s="144"/>
      <c r="F2818" s="144"/>
      <c r="G2818" s="144"/>
    </row>
    <row r="2819" spans="1:7" x14ac:dyDescent="0.3">
      <c r="A2819" s="1316" t="s">
        <v>1629</v>
      </c>
      <c r="B2819" s="877">
        <f>B2813</f>
        <v>20391</v>
      </c>
      <c r="C2819" s="877">
        <f t="shared" ref="C2819:G2819" si="885">C2813</f>
        <v>22273.023330501404</v>
      </c>
      <c r="D2819" s="877">
        <f t="shared" si="885"/>
        <v>24155.046661002809</v>
      </c>
      <c r="E2819" s="877">
        <f t="shared" si="885"/>
        <v>26037.06999150421</v>
      </c>
      <c r="F2819" s="877">
        <f t="shared" si="885"/>
        <v>27919.093322005614</v>
      </c>
      <c r="G2819" s="877">
        <f t="shared" si="885"/>
        <v>29801.116652507018</v>
      </c>
    </row>
    <row r="2820" spans="1:7" x14ac:dyDescent="0.3">
      <c r="A2820" s="1316" t="s">
        <v>1630</v>
      </c>
      <c r="B2820" s="880">
        <f>B2817</f>
        <v>4787</v>
      </c>
      <c r="C2820" s="880">
        <f t="shared" ref="C2820:G2820" si="886">C2817</f>
        <v>4518.1395242140852</v>
      </c>
      <c r="D2820" s="880">
        <f t="shared" si="886"/>
        <v>4249.2790484281704</v>
      </c>
      <c r="E2820" s="880">
        <f t="shared" si="886"/>
        <v>3980.4185726422556</v>
      </c>
      <c r="F2820" s="880">
        <f t="shared" si="886"/>
        <v>3711.5580968563409</v>
      </c>
      <c r="G2820" s="880">
        <f t="shared" si="886"/>
        <v>3442.6976210704261</v>
      </c>
    </row>
    <row r="2821" spans="1:7" x14ac:dyDescent="0.3">
      <c r="A2821" s="1317" t="s">
        <v>1631</v>
      </c>
      <c r="B2821" s="1065">
        <f>SUM(B2819:B2820)</f>
        <v>25178</v>
      </c>
      <c r="C2821" s="1065">
        <f t="shared" ref="C2821:G2821" si="887">SUM(C2819:C2820)</f>
        <v>26791.162854715491</v>
      </c>
      <c r="D2821" s="1065">
        <f t="shared" si="887"/>
        <v>28404.325709430981</v>
      </c>
      <c r="E2821" s="1065">
        <f t="shared" si="887"/>
        <v>30017.488564146464</v>
      </c>
      <c r="F2821" s="1065">
        <f t="shared" si="887"/>
        <v>31630.651418861955</v>
      </c>
      <c r="G2821" s="1065">
        <f t="shared" si="887"/>
        <v>33243.814273577445</v>
      </c>
    </row>
    <row r="2822" spans="1:7" x14ac:dyDescent="0.3">
      <c r="A2822" s="1317"/>
      <c r="B2822" s="144"/>
      <c r="C2822" s="144"/>
      <c r="D2822" s="144"/>
      <c r="E2822" s="144"/>
      <c r="F2822" s="144"/>
      <c r="G2822" s="144"/>
    </row>
    <row r="2823" spans="1:7" x14ac:dyDescent="0.3">
      <c r="A2823" s="1316" t="s">
        <v>1632</v>
      </c>
      <c r="B2823" s="877">
        <f>B2813+B2817</f>
        <v>25178</v>
      </c>
      <c r="C2823" s="877">
        <f t="shared" ref="C2823:G2823" si="888">C2813+C2817</f>
        <v>26791.162854715491</v>
      </c>
      <c r="D2823" s="877">
        <f t="shared" si="888"/>
        <v>28404.325709430981</v>
      </c>
      <c r="E2823" s="877">
        <f t="shared" si="888"/>
        <v>30017.488564146464</v>
      </c>
      <c r="F2823" s="877">
        <f t="shared" si="888"/>
        <v>31630.651418861955</v>
      </c>
      <c r="G2823" s="877">
        <f t="shared" si="888"/>
        <v>33243.814273577445</v>
      </c>
    </row>
    <row r="2824" spans="1:7" x14ac:dyDescent="0.3">
      <c r="A2824" s="995" t="s">
        <v>1267</v>
      </c>
      <c r="B2824" s="656" t="e">
        <f t="shared" ref="B2824:G2824" si="889">B2800</f>
        <v>#REF!</v>
      </c>
      <c r="C2824" s="656" t="e">
        <f t="shared" si="889"/>
        <v>#REF!</v>
      </c>
      <c r="D2824" s="656" t="e">
        <f t="shared" si="889"/>
        <v>#REF!</v>
      </c>
      <c r="E2824" s="656" t="e">
        <f t="shared" si="889"/>
        <v>#REF!</v>
      </c>
      <c r="F2824" s="656" t="e">
        <f t="shared" si="889"/>
        <v>#REF!</v>
      </c>
      <c r="G2824" s="656" t="e">
        <f t="shared" si="889"/>
        <v>#REF!</v>
      </c>
    </row>
    <row r="2825" spans="1:7" x14ac:dyDescent="0.3">
      <c r="A2825" s="998" t="s">
        <v>1633</v>
      </c>
      <c r="B2825" s="1065" t="e">
        <f t="shared" ref="B2825:G2825" si="890">B2823-B2824</f>
        <v>#REF!</v>
      </c>
      <c r="C2825" s="1065" t="e">
        <f t="shared" si="890"/>
        <v>#REF!</v>
      </c>
      <c r="D2825" s="1065" t="e">
        <f t="shared" si="890"/>
        <v>#REF!</v>
      </c>
      <c r="E2825" s="1065" t="e">
        <f t="shared" si="890"/>
        <v>#REF!</v>
      </c>
      <c r="F2825" s="1065" t="e">
        <f t="shared" si="890"/>
        <v>#REF!</v>
      </c>
      <c r="G2825" s="1065" t="e">
        <f t="shared" si="890"/>
        <v>#REF!</v>
      </c>
    </row>
    <row r="2826" spans="1:7" x14ac:dyDescent="0.3">
      <c r="A2826" s="995" t="s">
        <v>104</v>
      </c>
      <c r="B2826" s="656">
        <f>Valuation!B7</f>
        <v>260</v>
      </c>
      <c r="C2826" s="656">
        <f>B2826</f>
        <v>260</v>
      </c>
      <c r="D2826" s="656">
        <f t="shared" ref="D2826:G2826" si="891">C2826</f>
        <v>260</v>
      </c>
      <c r="E2826" s="656">
        <f t="shared" si="891"/>
        <v>260</v>
      </c>
      <c r="F2826" s="656">
        <f t="shared" si="891"/>
        <v>260</v>
      </c>
      <c r="G2826" s="656">
        <f t="shared" si="891"/>
        <v>260</v>
      </c>
    </row>
    <row r="2827" spans="1:7" x14ac:dyDescent="0.3">
      <c r="A2827" s="998" t="s">
        <v>1270</v>
      </c>
      <c r="B2827" s="1066" t="e">
        <f>B2825/B2826</f>
        <v>#REF!</v>
      </c>
      <c r="C2827" s="1066" t="e">
        <f>C2825/C2826</f>
        <v>#REF!</v>
      </c>
      <c r="D2827" s="1066" t="e">
        <f t="shared" ref="D2827" si="892">D2825/D2826</f>
        <v>#REF!</v>
      </c>
      <c r="E2827" s="1066" t="e">
        <f t="shared" ref="E2827" si="893">E2825/E2826</f>
        <v>#REF!</v>
      </c>
      <c r="F2827" s="1066" t="e">
        <f t="shared" ref="F2827" si="894">F2825/F2826</f>
        <v>#REF!</v>
      </c>
      <c r="G2827" s="1066" t="e">
        <f t="shared" ref="G2827" si="895">G2825/G2826</f>
        <v>#REF!</v>
      </c>
    </row>
    <row r="2828" spans="1:7" x14ac:dyDescent="0.3">
      <c r="A2828" s="1334"/>
      <c r="B2828" s="494"/>
      <c r="C2828" s="494"/>
      <c r="D2828" s="494"/>
      <c r="E2828" s="494"/>
      <c r="F2828" s="494"/>
      <c r="G2828" s="494"/>
    </row>
    <row r="2829" spans="1:7" x14ac:dyDescent="0.3">
      <c r="A2829" s="114"/>
      <c r="B2829" s="114"/>
    </row>
    <row r="2830" spans="1:7" x14ac:dyDescent="0.3">
      <c r="A2830" s="144"/>
      <c r="B2830" s="144"/>
    </row>
    <row r="2831" spans="1:7" hidden="1" x14ac:dyDescent="0.3">
      <c r="A2831" s="1316" t="s">
        <v>1551</v>
      </c>
      <c r="B2831" s="877">
        <f>G2807</f>
        <v>6885.3952421408521</v>
      </c>
    </row>
    <row r="2832" spans="1:7" hidden="1" x14ac:dyDescent="0.3">
      <c r="A2832" s="1316" t="s">
        <v>1562</v>
      </c>
      <c r="B2832" s="880">
        <f>G2808</f>
        <v>8514.6047578591479</v>
      </c>
    </row>
    <row r="2833" spans="1:2" hidden="1" x14ac:dyDescent="0.3">
      <c r="A2833" s="1317" t="s">
        <v>1563</v>
      </c>
      <c r="B2833" s="1065">
        <f>SUM(B2831:B2832)</f>
        <v>15400</v>
      </c>
    </row>
    <row r="2834" spans="1:2" hidden="1" x14ac:dyDescent="0.3">
      <c r="A2834" s="1316"/>
      <c r="B2834" s="144"/>
    </row>
    <row r="2835" spans="1:2" x14ac:dyDescent="0.3">
      <c r="A2835" s="1316" t="s">
        <v>1634</v>
      </c>
      <c r="B2835" s="877">
        <f>B2578</f>
        <v>5826</v>
      </c>
    </row>
    <row r="2836" spans="1:2" x14ac:dyDescent="0.3">
      <c r="A2836" s="1316" t="s">
        <v>1635</v>
      </c>
      <c r="B2836" s="880">
        <f>B2596</f>
        <v>2688.604757859147</v>
      </c>
    </row>
    <row r="2837" spans="1:2" x14ac:dyDescent="0.3">
      <c r="A2837" s="1317" t="s">
        <v>1636</v>
      </c>
      <c r="B2837" s="1065">
        <f>SUM(B2835:B2836)</f>
        <v>8514.604757859146</v>
      </c>
    </row>
    <row r="2838" spans="1:2" x14ac:dyDescent="0.3">
      <c r="A2838" s="1316"/>
      <c r="B2838" s="144"/>
    </row>
    <row r="2839" spans="1:2" x14ac:dyDescent="0.3">
      <c r="A2839" s="1316" t="s">
        <v>1540</v>
      </c>
      <c r="B2839" s="877">
        <f>B2832</f>
        <v>8514.6047578591479</v>
      </c>
    </row>
    <row r="2840" spans="1:2" x14ac:dyDescent="0.3">
      <c r="A2840" s="1316" t="s">
        <v>1564</v>
      </c>
      <c r="B2840" s="880">
        <v>3500</v>
      </c>
    </row>
    <row r="2841" spans="1:2" x14ac:dyDescent="0.3">
      <c r="A2841" s="1317" t="s">
        <v>1565</v>
      </c>
      <c r="B2841" s="1065">
        <f>B2839*B2840/1000</f>
        <v>29801.116652507018</v>
      </c>
    </row>
    <row r="2842" spans="1:2" x14ac:dyDescent="0.3">
      <c r="A2842" s="1316"/>
      <c r="B2842" s="144"/>
    </row>
    <row r="2843" spans="1:2" x14ac:dyDescent="0.3">
      <c r="A2843" s="1316" t="s">
        <v>1637</v>
      </c>
      <c r="B2843" s="877">
        <f>B2582</f>
        <v>9574</v>
      </c>
    </row>
    <row r="2844" spans="1:2" x14ac:dyDescent="0.3">
      <c r="A2844" s="1316" t="s">
        <v>1638</v>
      </c>
      <c r="B2844" s="880">
        <f>B2836</f>
        <v>2688.604757859147</v>
      </c>
    </row>
    <row r="2845" spans="1:2" x14ac:dyDescent="0.3">
      <c r="A2845" s="1317" t="s">
        <v>1639</v>
      </c>
      <c r="B2845" s="1065">
        <f>B2843-B2844</f>
        <v>6885.395242140853</v>
      </c>
    </row>
    <row r="2846" spans="1:2" x14ac:dyDescent="0.3">
      <c r="A2846" s="1316"/>
      <c r="B2846" s="144"/>
    </row>
    <row r="2847" spans="1:2" x14ac:dyDescent="0.3">
      <c r="A2847" s="1316" t="s">
        <v>1551</v>
      </c>
      <c r="B2847" s="877">
        <f>B2831</f>
        <v>6885.3952421408521</v>
      </c>
    </row>
    <row r="2848" spans="1:2" x14ac:dyDescent="0.3">
      <c r="A2848" s="1316" t="s">
        <v>1564</v>
      </c>
      <c r="B2848" s="880">
        <v>500</v>
      </c>
    </row>
    <row r="2849" spans="1:2" x14ac:dyDescent="0.3">
      <c r="A2849" s="1317" t="s">
        <v>1566</v>
      </c>
      <c r="B2849" s="1065">
        <f>B2847*B2848/1000</f>
        <v>3442.6976210704261</v>
      </c>
    </row>
    <row r="2850" spans="1:2" x14ac:dyDescent="0.3">
      <c r="A2850" s="1316"/>
      <c r="B2850" s="144"/>
    </row>
    <row r="2851" spans="1:2" x14ac:dyDescent="0.3">
      <c r="A2851" s="1316" t="s">
        <v>1629</v>
      </c>
      <c r="B2851" s="877">
        <f>B2841</f>
        <v>29801.116652507018</v>
      </c>
    </row>
    <row r="2852" spans="1:2" x14ac:dyDescent="0.3">
      <c r="A2852" s="1316" t="s">
        <v>1630</v>
      </c>
      <c r="B2852" s="880">
        <f>B2849</f>
        <v>3442.6976210704261</v>
      </c>
    </row>
    <row r="2853" spans="1:2" x14ac:dyDescent="0.3">
      <c r="A2853" s="1317" t="s">
        <v>1631</v>
      </c>
      <c r="B2853" s="1065">
        <f>SUM(B2851:B2852)</f>
        <v>33243.814273577445</v>
      </c>
    </row>
    <row r="2854" spans="1:2" x14ac:dyDescent="0.3">
      <c r="A2854" s="1316"/>
      <c r="B2854" s="144"/>
    </row>
    <row r="2855" spans="1:2" x14ac:dyDescent="0.3">
      <c r="A2855" s="1316" t="s">
        <v>1632</v>
      </c>
      <c r="B2855" s="877">
        <f>B2841+B2849</f>
        <v>33243.814273577445</v>
      </c>
    </row>
    <row r="2856" spans="1:2" x14ac:dyDescent="0.3">
      <c r="A2856" s="995" t="s">
        <v>1267</v>
      </c>
      <c r="B2856" s="656" t="e">
        <f>G2824</f>
        <v>#REF!</v>
      </c>
    </row>
    <row r="2857" spans="1:2" x14ac:dyDescent="0.3">
      <c r="A2857" s="998" t="s">
        <v>1633</v>
      </c>
      <c r="B2857" s="1065" t="e">
        <f>B2855-B2856</f>
        <v>#REF!</v>
      </c>
    </row>
    <row r="2858" spans="1:2" x14ac:dyDescent="0.3">
      <c r="A2858" s="995" t="s">
        <v>104</v>
      </c>
      <c r="B2858" s="365">
        <f>G2826</f>
        <v>260</v>
      </c>
    </row>
    <row r="2859" spans="1:2" ht="12.5" thickBot="1" x14ac:dyDescent="0.35">
      <c r="A2859" s="998" t="s">
        <v>1270</v>
      </c>
      <c r="B2859" s="1322" t="e">
        <f t="shared" ref="B2859" si="896">B2857/B2858</f>
        <v>#REF!</v>
      </c>
    </row>
    <row r="2860" spans="1:2" ht="12.5" thickTop="1" x14ac:dyDescent="0.3">
      <c r="A2860" s="494"/>
      <c r="B2860" s="494"/>
    </row>
    <row r="2868" spans="1:20" x14ac:dyDescent="0.3">
      <c r="A2868" s="1256" t="s">
        <v>1336</v>
      </c>
      <c r="B2868" s="1257"/>
      <c r="C2868" s="1257"/>
      <c r="D2868" s="1257"/>
      <c r="E2868" s="1257"/>
      <c r="F2868" s="1257"/>
      <c r="G2868" s="1257"/>
      <c r="H2868" s="1257"/>
      <c r="I2868" s="1257"/>
      <c r="J2868" s="1257"/>
      <c r="K2868" s="1257"/>
      <c r="L2868" s="1257"/>
      <c r="M2868" s="1257"/>
      <c r="N2868" s="1257"/>
      <c r="O2868" s="1257"/>
      <c r="P2868" s="1257"/>
      <c r="Q2868" s="1257"/>
      <c r="R2868" s="1257"/>
      <c r="S2868" s="1257"/>
      <c r="T2868" s="1257"/>
    </row>
    <row r="2870" spans="1:20" x14ac:dyDescent="0.3">
      <c r="A2870" s="725" t="s">
        <v>1258</v>
      </c>
      <c r="B2870">
        <f>Drivers!EO90</f>
        <v>5510</v>
      </c>
      <c r="C2870">
        <v>10000</v>
      </c>
    </row>
    <row r="2871" spans="1:20" x14ac:dyDescent="0.3">
      <c r="A2871" s="995" t="s">
        <v>1259</v>
      </c>
      <c r="B2871">
        <v>2800</v>
      </c>
      <c r="C2871">
        <f>B2871</f>
        <v>2800</v>
      </c>
    </row>
    <row r="2872" spans="1:20" x14ac:dyDescent="0.3">
      <c r="A2872" s="998" t="s">
        <v>1260</v>
      </c>
      <c r="B2872">
        <f>B2870*B2871/1000</f>
        <v>15428</v>
      </c>
      <c r="C2872">
        <f>C2870*C2871/1000</f>
        <v>28000</v>
      </c>
    </row>
    <row r="2873" spans="1:20" x14ac:dyDescent="0.3">
      <c r="A2873" s="994" t="s">
        <v>1261</v>
      </c>
    </row>
    <row r="2874" spans="1:20" x14ac:dyDescent="0.3">
      <c r="A2874" s="998"/>
    </row>
    <row r="2875" spans="1:20" x14ac:dyDescent="0.3">
      <c r="A2875" s="725" t="s">
        <v>1262</v>
      </c>
      <c r="B2875" s="76">
        <f>Drivers!EO94</f>
        <v>9890</v>
      </c>
      <c r="C2875" s="76">
        <f>B2875+B2870-C2870</f>
        <v>5400</v>
      </c>
    </row>
    <row r="2876" spans="1:20" x14ac:dyDescent="0.3">
      <c r="A2876" s="995" t="s">
        <v>1259</v>
      </c>
      <c r="B2876">
        <v>500</v>
      </c>
      <c r="C2876">
        <f>B2876</f>
        <v>500</v>
      </c>
    </row>
    <row r="2877" spans="1:20" x14ac:dyDescent="0.3">
      <c r="A2877" s="998" t="s">
        <v>1263</v>
      </c>
      <c r="B2877">
        <f>B2875*B2876/1000</f>
        <v>4945</v>
      </c>
      <c r="C2877">
        <f>C2875*C2876/1000</f>
        <v>2700</v>
      </c>
    </row>
    <row r="2878" spans="1:20" x14ac:dyDescent="0.3">
      <c r="A2878" s="994" t="s">
        <v>1261</v>
      </c>
    </row>
    <row r="2879" spans="1:20" x14ac:dyDescent="0.3">
      <c r="A2879" s="994"/>
    </row>
    <row r="2880" spans="1:20" x14ac:dyDescent="0.3">
      <c r="A2880" s="995" t="s">
        <v>1264</v>
      </c>
      <c r="B2880">
        <f>B2872</f>
        <v>15428</v>
      </c>
      <c r="C2880">
        <f>C2872</f>
        <v>28000</v>
      </c>
    </row>
    <row r="2881" spans="1:20" x14ac:dyDescent="0.3">
      <c r="A2881" s="995" t="s">
        <v>1265</v>
      </c>
      <c r="B2881">
        <f>B2877</f>
        <v>4945</v>
      </c>
      <c r="C2881">
        <f>C2877</f>
        <v>2700</v>
      </c>
    </row>
    <row r="2882" spans="1:20" x14ac:dyDescent="0.3">
      <c r="A2882" s="998" t="s">
        <v>1266</v>
      </c>
      <c r="B2882">
        <f>SUM(B2880:B2881)</f>
        <v>20373</v>
      </c>
      <c r="C2882">
        <f>SUM(C2880:C2881)</f>
        <v>30700</v>
      </c>
    </row>
    <row r="2883" spans="1:20" x14ac:dyDescent="0.3">
      <c r="A2883" s="998"/>
    </row>
    <row r="2884" spans="1:20" x14ac:dyDescent="0.3">
      <c r="A2884" s="995" t="s">
        <v>1267</v>
      </c>
      <c r="B2884" s="76">
        <f>Valuation!B9-Valuation!B10</f>
        <v>10811</v>
      </c>
      <c r="C2884" s="76">
        <f>B2884</f>
        <v>10811</v>
      </c>
    </row>
    <row r="2885" spans="1:20" x14ac:dyDescent="0.3">
      <c r="A2885" s="995" t="s">
        <v>1268</v>
      </c>
      <c r="B2885">
        <v>0</v>
      </c>
      <c r="C2885" s="76">
        <f>-SUM('Model Main'!EP132:ER132,'Model Main'!EX132:FD132)</f>
        <v>8009.1619831908911</v>
      </c>
    </row>
    <row r="2886" spans="1:20" x14ac:dyDescent="0.3">
      <c r="A2886" s="998"/>
    </row>
    <row r="2887" spans="1:20" x14ac:dyDescent="0.3">
      <c r="A2887" s="998" t="s">
        <v>1269</v>
      </c>
      <c r="B2887" s="76">
        <f>B2882-B2884</f>
        <v>9562</v>
      </c>
      <c r="C2887" s="76">
        <f>C2882-C2884-C2885</f>
        <v>11879.83801680911</v>
      </c>
    </row>
    <row r="2888" spans="1:20" x14ac:dyDescent="0.3">
      <c r="A2888" s="998"/>
    </row>
    <row r="2889" spans="1:20" x14ac:dyDescent="0.3">
      <c r="A2889" s="995" t="s">
        <v>104</v>
      </c>
      <c r="B2889" s="76">
        <f>Valuation!B7</f>
        <v>260</v>
      </c>
      <c r="C2889" s="76">
        <f>B2889</f>
        <v>260</v>
      </c>
    </row>
    <row r="2890" spans="1:20" x14ac:dyDescent="0.3">
      <c r="A2890" s="998" t="s">
        <v>1270</v>
      </c>
      <c r="B2890" s="1015">
        <f>B2887/B2889</f>
        <v>36.776923076923076</v>
      </c>
      <c r="C2890" s="1015">
        <f>C2887/C2889</f>
        <v>45.691684680035038</v>
      </c>
    </row>
    <row r="2894" spans="1:20" x14ac:dyDescent="0.3">
      <c r="A2894" s="1256" t="s">
        <v>1640</v>
      </c>
      <c r="B2894" s="1257"/>
      <c r="C2894" s="1257"/>
      <c r="D2894" s="1257"/>
      <c r="E2894" s="1257"/>
      <c r="F2894" s="1257"/>
      <c r="G2894" s="1257"/>
      <c r="H2894" s="1257"/>
      <c r="I2894" s="1257"/>
      <c r="J2894" s="1257"/>
      <c r="K2894" s="1257"/>
      <c r="L2894" s="1257"/>
      <c r="M2894" s="1257"/>
      <c r="N2894" s="1257"/>
      <c r="O2894" s="1257"/>
      <c r="P2894" s="1257"/>
      <c r="Q2894" s="1257"/>
      <c r="R2894" s="1257"/>
      <c r="S2894" s="1257"/>
      <c r="T2894" s="1257"/>
    </row>
    <row r="2896" spans="1:20" x14ac:dyDescent="0.3">
      <c r="A2896" s="177" t="s">
        <v>1641</v>
      </c>
      <c r="B2896" s="885">
        <v>2800</v>
      </c>
    </row>
    <row r="2897" spans="1:75" x14ac:dyDescent="0.3">
      <c r="A2897" s="177" t="s">
        <v>1642</v>
      </c>
      <c r="B2897" s="901">
        <v>550</v>
      </c>
    </row>
    <row r="2898" spans="1:75" x14ac:dyDescent="0.3">
      <c r="A2898" s="177" t="s">
        <v>1643</v>
      </c>
      <c r="B2898" s="885">
        <f>B2896-B2897</f>
        <v>2250</v>
      </c>
    </row>
    <row r="2899" spans="1:75" x14ac:dyDescent="0.3">
      <c r="A2899" s="177" t="s">
        <v>1644</v>
      </c>
      <c r="B2899" s="901">
        <f>Drivers!ES559</f>
        <v>402.36871309169203</v>
      </c>
    </row>
    <row r="2900" spans="1:75" x14ac:dyDescent="0.3">
      <c r="A2900" s="177" t="s">
        <v>1645</v>
      </c>
      <c r="B2900" s="885">
        <f>B2898-B2899</f>
        <v>1847.6312869083081</v>
      </c>
    </row>
    <row r="2901" spans="1:75" x14ac:dyDescent="0.3">
      <c r="A2901" s="177" t="s">
        <v>1646</v>
      </c>
      <c r="B2901" s="901">
        <v>1300</v>
      </c>
    </row>
    <row r="2902" spans="1:75" x14ac:dyDescent="0.3">
      <c r="A2902" s="298" t="s">
        <v>1647</v>
      </c>
      <c r="B2902" s="900">
        <f>B2900/B2901*1000</f>
        <v>1421.2548360833139</v>
      </c>
    </row>
    <row r="2908" spans="1:75" x14ac:dyDescent="0.3">
      <c r="A2908" s="1256" t="s">
        <v>1648</v>
      </c>
      <c r="B2908" s="1257"/>
      <c r="C2908" s="1257"/>
      <c r="D2908" s="1257"/>
      <c r="E2908" s="1257"/>
      <c r="F2908" s="1257"/>
      <c r="G2908" s="1257"/>
      <c r="H2908" s="1257"/>
      <c r="I2908" s="1257"/>
      <c r="J2908" s="1257"/>
      <c r="K2908" s="1257"/>
      <c r="L2908" s="1257"/>
      <c r="M2908" s="1257"/>
      <c r="N2908" s="1257"/>
      <c r="O2908" s="1257"/>
      <c r="P2908" s="1257"/>
      <c r="Q2908" s="1257"/>
      <c r="R2908" s="1257"/>
      <c r="S2908" s="1257"/>
      <c r="T2908" s="1257"/>
    </row>
    <row r="2909" spans="1:75" ht="12.75" customHeight="1" x14ac:dyDescent="0.3">
      <c r="A2909" s="1258"/>
      <c r="B2909" s="1259" t="s">
        <v>1649</v>
      </c>
      <c r="C2909" s="1259" t="s">
        <v>1650</v>
      </c>
      <c r="D2909" s="1259" t="s">
        <v>1651</v>
      </c>
      <c r="E2909" s="1259" t="s">
        <v>1652</v>
      </c>
      <c r="F2909" s="1259" t="s">
        <v>1653</v>
      </c>
      <c r="G2909" s="1258"/>
      <c r="H2909" s="1258"/>
      <c r="I2909" s="1258"/>
      <c r="J2909" s="1258"/>
      <c r="K2909" s="1258"/>
      <c r="L2909" s="1258"/>
      <c r="M2909" s="1258"/>
      <c r="N2909" s="1258"/>
      <c r="O2909" s="1258"/>
      <c r="P2909" s="1258"/>
      <c r="Q2909" s="1258"/>
      <c r="R2909" s="1258"/>
      <c r="S2909" s="1258"/>
      <c r="T2909" s="1258"/>
      <c r="U2909" s="1258"/>
      <c r="V2909" s="1258"/>
      <c r="W2909" s="1258"/>
      <c r="X2909" s="1258"/>
      <c r="Y2909" s="1258"/>
      <c r="Z2909" s="1258"/>
      <c r="AA2909" s="1258"/>
      <c r="AB2909" s="1258"/>
      <c r="AC2909" s="1258"/>
      <c r="AD2909" s="1258"/>
      <c r="AE2909" s="1258"/>
      <c r="AF2909" s="1258"/>
      <c r="AG2909" s="1258"/>
      <c r="AH2909" s="1258"/>
      <c r="AI2909" s="1258"/>
      <c r="AJ2909" s="1258"/>
      <c r="AK2909" s="108"/>
      <c r="AL2909" s="108"/>
      <c r="AM2909" s="108"/>
      <c r="AN2909" s="108"/>
      <c r="AO2909" s="108"/>
      <c r="AP2909" s="108"/>
      <c r="AQ2909" s="108"/>
      <c r="AR2909" s="108"/>
      <c r="AS2909" s="108"/>
      <c r="AT2909" s="108"/>
      <c r="AU2909" s="108"/>
      <c r="AV2909" s="108"/>
      <c r="AW2909" s="108"/>
      <c r="AX2909" s="108"/>
      <c r="AY2909" s="108"/>
      <c r="AZ2909" s="108"/>
      <c r="BA2909" s="108"/>
      <c r="BB2909" s="108"/>
      <c r="BC2909" s="108"/>
      <c r="BD2909" s="108"/>
      <c r="BE2909" s="108"/>
      <c r="BF2909" s="108"/>
      <c r="BG2909" s="108"/>
      <c r="BH2909" s="108"/>
      <c r="BI2909" s="108"/>
      <c r="BJ2909" s="108"/>
      <c r="BK2909" s="108"/>
      <c r="BL2909" s="108"/>
      <c r="BM2909" s="108"/>
      <c r="BN2909" s="108"/>
      <c r="BO2909" s="108"/>
      <c r="BP2909" s="108"/>
      <c r="BQ2909" s="108"/>
      <c r="BR2909" s="108"/>
      <c r="BS2909" s="108"/>
      <c r="BT2909" s="108"/>
      <c r="BU2909" s="108"/>
      <c r="BV2909" s="108"/>
      <c r="BW2909" s="108"/>
    </row>
    <row r="2910" spans="1:75" ht="12.75" customHeight="1" x14ac:dyDescent="0.3">
      <c r="A2910" s="1260"/>
      <c r="B2910" s="1259" t="s">
        <v>1285</v>
      </c>
      <c r="C2910" s="1259">
        <v>2023</v>
      </c>
      <c r="D2910" s="1259">
        <v>2024</v>
      </c>
      <c r="E2910" s="1259" t="s">
        <v>1654</v>
      </c>
      <c r="F2910" s="1259">
        <v>2026</v>
      </c>
      <c r="G2910" s="1259" t="s">
        <v>1655</v>
      </c>
      <c r="H2910" s="1258"/>
      <c r="I2910" s="1258"/>
      <c r="J2910" s="1258"/>
      <c r="K2910" s="1258"/>
      <c r="L2910" s="1258"/>
      <c r="M2910" s="1258"/>
      <c r="N2910" s="1258"/>
      <c r="O2910" s="1258"/>
      <c r="P2910" s="1258"/>
      <c r="Q2910" s="1258"/>
      <c r="R2910" s="1258"/>
      <c r="S2910" s="1258"/>
      <c r="T2910" s="1258"/>
      <c r="U2910" s="1258"/>
      <c r="V2910" s="1258"/>
      <c r="W2910" s="1258"/>
      <c r="X2910" s="1258"/>
      <c r="Y2910" s="1258"/>
      <c r="Z2910" s="1258"/>
      <c r="AA2910" s="1258"/>
      <c r="AB2910" s="1258"/>
      <c r="AC2910" s="1258"/>
      <c r="AD2910" s="1258"/>
      <c r="AE2910" s="1258"/>
      <c r="AF2910" s="1258"/>
      <c r="AG2910" s="1258"/>
      <c r="AH2910" s="1258"/>
      <c r="AI2910" s="1258"/>
      <c r="AJ2910" s="1258"/>
      <c r="AK2910" s="108"/>
      <c r="AL2910" s="108"/>
      <c r="AM2910" s="108"/>
      <c r="AN2910" s="108"/>
      <c r="AO2910" s="108"/>
      <c r="AP2910" s="108"/>
      <c r="AQ2910" s="108"/>
      <c r="AR2910" s="108"/>
      <c r="AS2910" s="108"/>
      <c r="AT2910" s="108"/>
      <c r="AU2910" s="108"/>
      <c r="AV2910" s="108"/>
      <c r="AW2910" s="108"/>
      <c r="AX2910" s="108"/>
      <c r="AY2910" s="108"/>
      <c r="AZ2910" s="108"/>
      <c r="BA2910" s="108"/>
      <c r="BB2910" s="108"/>
      <c r="BC2910" s="108"/>
      <c r="BD2910" s="108"/>
      <c r="BE2910" s="108"/>
      <c r="BF2910" s="108"/>
      <c r="BG2910" s="108"/>
      <c r="BH2910" s="108"/>
      <c r="BI2910" s="108"/>
      <c r="BJ2910" s="108"/>
      <c r="BK2910" s="108"/>
      <c r="BL2910" s="108"/>
      <c r="BM2910" s="108"/>
      <c r="BN2910" s="108"/>
      <c r="BO2910" s="108"/>
      <c r="BP2910" s="108"/>
      <c r="BQ2910" s="108"/>
      <c r="BR2910" s="108"/>
      <c r="BS2910" s="108"/>
      <c r="BT2910" s="108"/>
      <c r="BU2910" s="108"/>
      <c r="BV2910" s="108"/>
      <c r="BW2910" s="108"/>
    </row>
    <row r="2911" spans="1:75" ht="12.75" customHeight="1" x14ac:dyDescent="0.3">
      <c r="A2911" s="802" t="s">
        <v>1656</v>
      </c>
      <c r="B2911" s="1258"/>
      <c r="C2911" s="1258"/>
      <c r="D2911" s="1258"/>
      <c r="E2911" s="1258"/>
      <c r="F2911" s="1258"/>
      <c r="G2911" s="1258"/>
      <c r="H2911" s="1258"/>
      <c r="I2911" s="1258"/>
      <c r="J2911" s="1258"/>
      <c r="K2911" s="1258"/>
      <c r="L2911" s="1258"/>
      <c r="M2911" s="1258"/>
      <c r="N2911" s="1258"/>
      <c r="O2911" s="1258"/>
      <c r="P2911" s="1258"/>
      <c r="Q2911" s="1258"/>
      <c r="R2911" s="1258"/>
      <c r="S2911" s="1258"/>
      <c r="T2911" s="1258"/>
      <c r="U2911" s="1258"/>
      <c r="V2911" s="1258"/>
      <c r="W2911" s="1258"/>
      <c r="X2911" s="1258"/>
      <c r="Y2911" s="1258"/>
      <c r="Z2911" s="1258"/>
      <c r="AA2911" s="1258"/>
      <c r="AB2911" s="1258"/>
      <c r="AC2911" s="1258"/>
      <c r="AD2911" s="1258"/>
      <c r="AE2911" s="1258"/>
      <c r="AF2911" s="1258"/>
      <c r="AG2911" s="1258"/>
      <c r="AH2911" s="1258"/>
      <c r="AI2911" s="1258"/>
      <c r="AJ2911" s="1258"/>
      <c r="AK2911" s="108"/>
      <c r="AL2911" s="108"/>
      <c r="AM2911" s="108"/>
      <c r="AN2911" s="108"/>
      <c r="AO2911" s="108"/>
      <c r="AP2911" s="108"/>
      <c r="AQ2911" s="108"/>
      <c r="AR2911" s="108"/>
      <c r="AS2911" s="108"/>
      <c r="AT2911" s="108"/>
      <c r="AU2911" s="108"/>
      <c r="AV2911" s="108"/>
      <c r="AW2911" s="108"/>
      <c r="AX2911" s="108"/>
      <c r="AY2911" s="108"/>
      <c r="AZ2911" s="108"/>
      <c r="BA2911" s="108"/>
      <c r="BB2911" s="108"/>
      <c r="BC2911" s="108"/>
      <c r="BD2911" s="108"/>
      <c r="BE2911" s="108"/>
      <c r="BF2911" s="108"/>
      <c r="BG2911" s="108"/>
      <c r="BH2911" s="108"/>
      <c r="BI2911" s="108"/>
      <c r="BJ2911" s="108"/>
      <c r="BK2911" s="108"/>
      <c r="BL2911" s="108"/>
      <c r="BM2911" s="108"/>
      <c r="BN2911" s="108"/>
      <c r="BO2911" s="108"/>
      <c r="BP2911" s="108"/>
      <c r="BQ2911" s="108"/>
      <c r="BR2911" s="108"/>
      <c r="BS2911" s="108"/>
      <c r="BT2911" s="108"/>
      <c r="BU2911" s="108"/>
      <c r="BV2911" s="108"/>
      <c r="BW2911" s="108"/>
    </row>
    <row r="2912" spans="1:75" ht="12.75" customHeight="1" x14ac:dyDescent="0.3">
      <c r="A2912" s="1258" t="s">
        <v>722</v>
      </c>
      <c r="B2912" s="1258">
        <f>Drivers!EN117</f>
        <v>239</v>
      </c>
      <c r="C2912" s="1258">
        <f>Drivers!ES117</f>
        <v>303</v>
      </c>
      <c r="D2912" s="1258">
        <f>Drivers!EX117</f>
        <v>371</v>
      </c>
      <c r="E2912" s="1258">
        <f>Drivers!FC117</f>
        <v>453.23886102175584</v>
      </c>
      <c r="F2912" s="1258">
        <f>Drivers!FD117</f>
        <v>481.74665698489343</v>
      </c>
      <c r="G2912" s="1258"/>
      <c r="H2912" s="1258"/>
      <c r="I2912" s="1258"/>
      <c r="J2912" s="1258"/>
      <c r="K2912" s="1258"/>
      <c r="L2912" s="1258"/>
      <c r="M2912" s="1258"/>
      <c r="N2912" s="1258"/>
      <c r="O2912" s="1258"/>
      <c r="P2912" s="1258"/>
      <c r="Q2912" s="1258"/>
      <c r="R2912" s="1258"/>
      <c r="S2912" s="1258"/>
      <c r="T2912" s="1258"/>
      <c r="U2912" s="1258"/>
      <c r="V2912" s="1258"/>
      <c r="W2912" s="1258"/>
      <c r="X2912" s="1258"/>
      <c r="Y2912" s="1258"/>
      <c r="Z2912" s="1258"/>
      <c r="AA2912" s="1258"/>
      <c r="AB2912" s="1258"/>
      <c r="AC2912" s="1258"/>
      <c r="AD2912" s="1258"/>
      <c r="AE2912" s="1258"/>
      <c r="AF2912" s="1258"/>
      <c r="AG2912" s="1258"/>
      <c r="AH2912" s="1258"/>
      <c r="AI2912" s="1258"/>
      <c r="AJ2912" s="1258"/>
      <c r="AK2912" s="108"/>
      <c r="AL2912" s="108"/>
      <c r="AM2912" s="108"/>
      <c r="AN2912" s="108"/>
      <c r="AO2912" s="108"/>
      <c r="AP2912" s="108"/>
      <c r="AQ2912" s="108"/>
      <c r="AR2912" s="108"/>
      <c r="AS2912" s="108"/>
      <c r="AT2912" s="108"/>
      <c r="AU2912" s="108"/>
      <c r="AV2912" s="108"/>
      <c r="AW2912" s="108"/>
      <c r="AX2912" s="108"/>
      <c r="AY2912" s="108"/>
      <c r="AZ2912" s="108"/>
      <c r="BA2912" s="108"/>
      <c r="BB2912" s="108"/>
      <c r="BC2912" s="108"/>
      <c r="BD2912" s="108"/>
      <c r="BE2912" s="108"/>
      <c r="BF2912" s="108"/>
      <c r="BG2912" s="108"/>
      <c r="BH2912" s="108"/>
      <c r="BI2912" s="108"/>
      <c r="BJ2912" s="108"/>
      <c r="BK2912" s="108"/>
      <c r="BL2912" s="108"/>
      <c r="BM2912" s="108"/>
      <c r="BN2912" s="108"/>
      <c r="BO2912" s="108"/>
      <c r="BP2912" s="108"/>
      <c r="BQ2912" s="108"/>
      <c r="BR2912" s="108"/>
      <c r="BS2912" s="108"/>
      <c r="BT2912" s="108"/>
      <c r="BU2912" s="108"/>
      <c r="BV2912" s="108"/>
      <c r="BW2912" s="108"/>
    </row>
    <row r="2913" spans="1:75" ht="12.75" customHeight="1" x14ac:dyDescent="0.3">
      <c r="A2913" s="1258" t="s">
        <v>726</v>
      </c>
      <c r="B2913" s="1258">
        <f>_xll.VAData("FYBR_US",B2909,"Net adds - Consumer Fiber Broadband")</f>
        <v>239</v>
      </c>
      <c r="C2913" s="1258">
        <f>_xll.VAData("FYBR_US",C2909,"Net adds - Consumer Fiber Broadband")</f>
        <v>303</v>
      </c>
      <c r="D2913" s="1258">
        <f>_xll.VAData("FYBR_US",D2909,"Net adds - Consumer Fiber Broadband")</f>
        <v>376.68202467418922</v>
      </c>
      <c r="E2913" s="1258">
        <f>_xll.VAData("FYBR_US",E2909,"Net adds - Consumer Fiber Broadband")</f>
        <v>434.61067330761125</v>
      </c>
      <c r="F2913" s="1258">
        <f>_xll.VAData("FYBR_US",F2909,"Net adds - Consumer Fiber Broadband")</f>
        <v>467.12366465430915</v>
      </c>
      <c r="G2913" s="1258"/>
      <c r="H2913" s="1258"/>
      <c r="I2913" s="1258"/>
      <c r="J2913" s="1258"/>
      <c r="K2913" s="1258"/>
      <c r="L2913" s="1258"/>
      <c r="M2913" s="1258"/>
      <c r="N2913" s="1258"/>
      <c r="O2913" s="1258"/>
      <c r="P2913" s="1258"/>
      <c r="Q2913" s="1258"/>
      <c r="R2913" s="1258"/>
      <c r="S2913" s="1258"/>
      <c r="T2913" s="1258"/>
      <c r="U2913" s="1258"/>
      <c r="V2913" s="1258"/>
      <c r="W2913" s="1258"/>
      <c r="X2913" s="1258"/>
      <c r="Y2913" s="1258"/>
      <c r="Z2913" s="1258"/>
      <c r="AA2913" s="1258"/>
      <c r="AB2913" s="1258"/>
      <c r="AC2913" s="1258"/>
      <c r="AD2913" s="1258"/>
      <c r="AE2913" s="1258"/>
      <c r="AF2913" s="1258"/>
      <c r="AG2913" s="1258"/>
      <c r="AH2913" s="1258"/>
      <c r="AI2913" s="1258"/>
      <c r="AJ2913" s="1258"/>
      <c r="AK2913" s="108"/>
      <c r="AL2913" s="108"/>
      <c r="AM2913" s="108"/>
      <c r="AN2913" s="108"/>
      <c r="AO2913" s="108"/>
      <c r="AP2913" s="108"/>
      <c r="AQ2913" s="108"/>
      <c r="AR2913" s="108"/>
      <c r="AS2913" s="108"/>
      <c r="AT2913" s="108"/>
      <c r="AU2913" s="108"/>
      <c r="AV2913" s="108"/>
      <c r="AW2913" s="108"/>
      <c r="AX2913" s="108"/>
      <c r="AY2913" s="108"/>
      <c r="AZ2913" s="108"/>
      <c r="BA2913" s="108"/>
      <c r="BB2913" s="108"/>
      <c r="BC2913" s="108"/>
      <c r="BD2913" s="108"/>
      <c r="BE2913" s="108"/>
      <c r="BF2913" s="108"/>
      <c r="BG2913" s="108"/>
      <c r="BH2913" s="108"/>
      <c r="BI2913" s="108"/>
      <c r="BJ2913" s="108"/>
      <c r="BK2913" s="108"/>
      <c r="BL2913" s="108"/>
      <c r="BM2913" s="108"/>
      <c r="BN2913" s="108"/>
      <c r="BO2913" s="108"/>
      <c r="BP2913" s="108"/>
      <c r="BQ2913" s="108"/>
      <c r="BR2913" s="108"/>
      <c r="BS2913" s="108"/>
      <c r="BT2913" s="108"/>
      <c r="BU2913" s="108"/>
      <c r="BV2913" s="108"/>
      <c r="BW2913" s="108"/>
    </row>
    <row r="2914" spans="1:75" ht="12.75" customHeight="1" x14ac:dyDescent="0.3">
      <c r="A2914" s="1261" t="s">
        <v>652</v>
      </c>
      <c r="B2914" s="1262">
        <f>B2912/B2913-1</f>
        <v>0</v>
      </c>
      <c r="C2914" s="1262">
        <f t="shared" ref="C2914:F2914" si="897">C2912/C2913-1</f>
        <v>0</v>
      </c>
      <c r="D2914" s="1262">
        <f t="shared" si="897"/>
        <v>-1.5084406215305601E-2</v>
      </c>
      <c r="E2914" s="1262">
        <f t="shared" si="897"/>
        <v>4.2861781493709117E-2</v>
      </c>
      <c r="F2914" s="1262">
        <f t="shared" si="897"/>
        <v>3.13043278194991E-2</v>
      </c>
      <c r="G2914" s="1258"/>
      <c r="H2914" s="1258"/>
      <c r="I2914" s="1258"/>
      <c r="J2914" s="1258"/>
      <c r="K2914" s="1258"/>
      <c r="L2914" s="1258"/>
      <c r="M2914" s="1258"/>
      <c r="N2914" s="1258"/>
      <c r="O2914" s="1258"/>
      <c r="P2914" s="1258"/>
      <c r="Q2914" s="1258"/>
      <c r="R2914" s="1258"/>
      <c r="S2914" s="1258"/>
      <c r="T2914" s="1258"/>
      <c r="U2914" s="1258"/>
      <c r="V2914" s="1258"/>
      <c r="W2914" s="1258"/>
      <c r="X2914" s="1258"/>
      <c r="Y2914" s="1258"/>
      <c r="Z2914" s="1258"/>
      <c r="AA2914" s="1258"/>
      <c r="AB2914" s="1258"/>
      <c r="AC2914" s="1258"/>
      <c r="AD2914" s="1258"/>
      <c r="AE2914" s="1258"/>
      <c r="AF2914" s="1258"/>
      <c r="AG2914" s="1258"/>
      <c r="AH2914" s="1258"/>
      <c r="AI2914" s="1258"/>
      <c r="AJ2914" s="1258"/>
      <c r="AK2914" s="108"/>
      <c r="AL2914" s="108"/>
      <c r="AM2914" s="108"/>
      <c r="AN2914" s="108"/>
      <c r="AO2914" s="108"/>
      <c r="AP2914" s="108"/>
      <c r="AQ2914" s="108"/>
      <c r="AR2914" s="108"/>
      <c r="AS2914" s="108"/>
      <c r="AT2914" s="108"/>
      <c r="AU2914" s="108"/>
      <c r="AV2914" s="108"/>
      <c r="AW2914" s="108"/>
      <c r="AX2914" s="108"/>
      <c r="AY2914" s="108"/>
      <c r="AZ2914" s="108"/>
      <c r="BA2914" s="108"/>
      <c r="BB2914" s="108"/>
      <c r="BC2914" s="108"/>
      <c r="BD2914" s="108"/>
      <c r="BE2914" s="108"/>
      <c r="BF2914" s="108"/>
      <c r="BG2914" s="108"/>
      <c r="BH2914" s="108"/>
      <c r="BI2914" s="108"/>
      <c r="BJ2914" s="108"/>
      <c r="BK2914" s="108"/>
      <c r="BL2914" s="108"/>
      <c r="BM2914" s="108"/>
      <c r="BN2914" s="108"/>
      <c r="BO2914" s="108"/>
      <c r="BP2914" s="108"/>
      <c r="BQ2914" s="108"/>
      <c r="BR2914" s="108"/>
      <c r="BS2914" s="108"/>
      <c r="BT2914" s="108"/>
      <c r="BU2914" s="108"/>
      <c r="BV2914" s="108"/>
      <c r="BW2914" s="108"/>
    </row>
    <row r="2915" spans="1:75" ht="12.75" customHeight="1" x14ac:dyDescent="0.3">
      <c r="A2915" s="1258"/>
      <c r="B2915" s="1258"/>
      <c r="C2915" s="1258"/>
      <c r="D2915" s="1258"/>
      <c r="E2915" s="1258"/>
      <c r="F2915" s="1258"/>
      <c r="G2915" s="1258"/>
      <c r="H2915" s="1258"/>
      <c r="I2915" s="1258"/>
      <c r="J2915" s="1258"/>
      <c r="K2915" s="1258"/>
      <c r="L2915" s="1258"/>
      <c r="M2915" s="1258"/>
      <c r="N2915" s="1258"/>
      <c r="O2915" s="1258"/>
      <c r="P2915" s="1258"/>
      <c r="Q2915" s="1258"/>
      <c r="R2915" s="1258"/>
      <c r="S2915" s="1258"/>
      <c r="T2915" s="1258"/>
      <c r="U2915" s="1258"/>
      <c r="V2915" s="1258"/>
      <c r="W2915" s="1258"/>
      <c r="X2915" s="1258"/>
      <c r="Y2915" s="1258"/>
      <c r="Z2915" s="1258"/>
      <c r="AA2915" s="1258"/>
      <c r="AB2915" s="1258"/>
      <c r="AC2915" s="1258"/>
      <c r="AD2915" s="1258"/>
      <c r="AE2915" s="1258"/>
      <c r="AF2915" s="1258"/>
      <c r="AG2915" s="1258"/>
      <c r="AH2915" s="1258"/>
      <c r="AI2915" s="1258"/>
      <c r="AJ2915" s="1258"/>
      <c r="AK2915" s="108"/>
      <c r="AL2915" s="108"/>
      <c r="AM2915" s="108"/>
      <c r="AN2915" s="108"/>
      <c r="AO2915" s="108"/>
      <c r="AP2915" s="108"/>
      <c r="AQ2915" s="108"/>
      <c r="AR2915" s="108"/>
      <c r="AS2915" s="108"/>
      <c r="AT2915" s="108"/>
      <c r="AU2915" s="108"/>
      <c r="AV2915" s="108"/>
      <c r="AW2915" s="108"/>
      <c r="AX2915" s="108"/>
      <c r="AY2915" s="108"/>
      <c r="AZ2915" s="108"/>
      <c r="BA2915" s="108"/>
      <c r="BB2915" s="108"/>
      <c r="BC2915" s="108"/>
      <c r="BD2915" s="108"/>
      <c r="BE2915" s="108"/>
      <c r="BF2915" s="108"/>
      <c r="BG2915" s="108"/>
      <c r="BH2915" s="108"/>
      <c r="BI2915" s="108"/>
      <c r="BJ2915" s="108"/>
      <c r="BK2915" s="108"/>
      <c r="BL2915" s="108"/>
      <c r="BM2915" s="108"/>
      <c r="BN2915" s="108"/>
      <c r="BO2915" s="108"/>
      <c r="BP2915" s="108"/>
      <c r="BQ2915" s="108"/>
      <c r="BR2915" s="108"/>
      <c r="BS2915" s="108"/>
      <c r="BT2915" s="108"/>
      <c r="BU2915" s="108"/>
      <c r="BV2915" s="108"/>
      <c r="BW2915" s="108"/>
    </row>
    <row r="2916" spans="1:75" ht="12.75" customHeight="1" x14ac:dyDescent="0.3">
      <c r="A2916" s="802" t="s">
        <v>1657</v>
      </c>
      <c r="B2916" s="1258"/>
      <c r="C2916" s="1258"/>
      <c r="D2916" s="1258"/>
      <c r="E2916" s="1258"/>
      <c r="F2916" s="1258"/>
      <c r="G2916" s="1258"/>
      <c r="H2916" s="1258"/>
      <c r="I2916" s="1258"/>
      <c r="J2916" s="1258"/>
      <c r="K2916" s="1258"/>
      <c r="L2916" s="1258"/>
      <c r="M2916" s="1258"/>
      <c r="N2916" s="1258"/>
      <c r="O2916" s="1258"/>
      <c r="P2916" s="1258"/>
      <c r="Q2916" s="1258"/>
      <c r="R2916" s="1258"/>
      <c r="S2916" s="1258"/>
      <c r="T2916" s="1258"/>
      <c r="U2916" s="1258"/>
      <c r="V2916" s="1258"/>
      <c r="W2916" s="1258"/>
      <c r="X2916" s="1258"/>
      <c r="Y2916" s="1258"/>
      <c r="Z2916" s="1258"/>
      <c r="AA2916" s="1258"/>
      <c r="AB2916" s="1258"/>
      <c r="AC2916" s="1258"/>
      <c r="AD2916" s="1258"/>
      <c r="AE2916" s="1258"/>
      <c r="AF2916" s="1258"/>
      <c r="AG2916" s="1258"/>
      <c r="AH2916" s="1258"/>
      <c r="AI2916" s="1258"/>
      <c r="AJ2916" s="1258"/>
      <c r="AK2916" s="108"/>
      <c r="AL2916" s="108"/>
      <c r="AM2916" s="108"/>
      <c r="AN2916" s="108"/>
      <c r="AO2916" s="108"/>
      <c r="AP2916" s="108"/>
      <c r="AQ2916" s="108"/>
      <c r="AR2916" s="108"/>
      <c r="AS2916" s="108"/>
      <c r="AT2916" s="108"/>
      <c r="AU2916" s="108"/>
      <c r="AV2916" s="108"/>
      <c r="AW2916" s="108"/>
      <c r="AX2916" s="108"/>
      <c r="AY2916" s="108"/>
      <c r="AZ2916" s="108"/>
      <c r="BA2916" s="108"/>
      <c r="BB2916" s="108"/>
      <c r="BC2916" s="108"/>
      <c r="BD2916" s="108"/>
      <c r="BE2916" s="108"/>
      <c r="BF2916" s="108"/>
      <c r="BG2916" s="108"/>
      <c r="BH2916" s="108"/>
      <c r="BI2916" s="108"/>
      <c r="BJ2916" s="108"/>
      <c r="BK2916" s="108"/>
      <c r="BL2916" s="108"/>
      <c r="BM2916" s="108"/>
      <c r="BN2916" s="108"/>
      <c r="BO2916" s="108"/>
      <c r="BP2916" s="108"/>
      <c r="BQ2916" s="108"/>
      <c r="BR2916" s="108"/>
      <c r="BS2916" s="108"/>
      <c r="BT2916" s="108"/>
      <c r="BU2916" s="108"/>
      <c r="BV2916" s="108"/>
      <c r="BW2916" s="108"/>
    </row>
    <row r="2917" spans="1:75" ht="12.75" customHeight="1" x14ac:dyDescent="0.3">
      <c r="A2917" s="1258" t="s">
        <v>722</v>
      </c>
      <c r="B2917" s="1258">
        <f>Drivers!EN262</f>
        <v>-191</v>
      </c>
      <c r="C2917" s="1258">
        <f>Drivers!ES262</f>
        <v>-221</v>
      </c>
      <c r="D2917" s="1258">
        <f>Drivers!EX262</f>
        <v>-210</v>
      </c>
      <c r="E2917" s="1258">
        <f>Drivers!FC262</f>
        <v>-173.15533519328989</v>
      </c>
      <c r="F2917" s="1258">
        <f>Drivers!FD262</f>
        <v>-138.62965715196952</v>
      </c>
      <c r="G2917" s="1258"/>
      <c r="H2917" s="1258"/>
      <c r="I2917" s="1258"/>
      <c r="J2917" s="1258"/>
      <c r="K2917" s="1258"/>
      <c r="L2917" s="1258"/>
      <c r="M2917" s="1258"/>
      <c r="N2917" s="1258"/>
      <c r="O2917" s="1258"/>
      <c r="P2917" s="1258"/>
      <c r="Q2917" s="1258"/>
      <c r="R2917" s="1258"/>
      <c r="S2917" s="1258"/>
      <c r="T2917" s="1258"/>
      <c r="U2917" s="1258"/>
      <c r="V2917" s="1258"/>
      <c r="W2917" s="1258"/>
      <c r="X2917" s="1258"/>
      <c r="Y2917" s="1258"/>
      <c r="Z2917" s="1258"/>
      <c r="AA2917" s="1258"/>
      <c r="AB2917" s="1258"/>
      <c r="AC2917" s="1258"/>
      <c r="AD2917" s="1258"/>
      <c r="AE2917" s="1258"/>
      <c r="AF2917" s="1258"/>
      <c r="AG2917" s="1258"/>
      <c r="AH2917" s="1258"/>
      <c r="AI2917" s="1258"/>
      <c r="AJ2917" s="1258"/>
      <c r="AK2917" s="108"/>
      <c r="AL2917" s="108"/>
      <c r="AM2917" s="108"/>
      <c r="AN2917" s="108"/>
      <c r="AO2917" s="108"/>
      <c r="AP2917" s="108"/>
      <c r="AQ2917" s="108"/>
      <c r="AR2917" s="108"/>
      <c r="AS2917" s="108"/>
      <c r="AT2917" s="108"/>
      <c r="AU2917" s="108"/>
      <c r="AV2917" s="108"/>
      <c r="AW2917" s="108"/>
      <c r="AX2917" s="108"/>
      <c r="AY2917" s="108"/>
      <c r="AZ2917" s="108"/>
      <c r="BA2917" s="108"/>
      <c r="BB2917" s="108"/>
      <c r="BC2917" s="108"/>
      <c r="BD2917" s="108"/>
      <c r="BE2917" s="108"/>
      <c r="BF2917" s="108"/>
      <c r="BG2917" s="108"/>
      <c r="BH2917" s="108"/>
      <c r="BI2917" s="108"/>
      <c r="BJ2917" s="108"/>
      <c r="BK2917" s="108"/>
      <c r="BL2917" s="108"/>
      <c r="BM2917" s="108"/>
      <c r="BN2917" s="108"/>
      <c r="BO2917" s="108"/>
      <c r="BP2917" s="108"/>
      <c r="BQ2917" s="108"/>
      <c r="BR2917" s="108"/>
      <c r="BS2917" s="108"/>
      <c r="BT2917" s="108"/>
      <c r="BU2917" s="108"/>
      <c r="BV2917" s="108"/>
      <c r="BW2917" s="108"/>
    </row>
    <row r="2918" spans="1:75" ht="12.75" customHeight="1" x14ac:dyDescent="0.3">
      <c r="A2918" s="1258" t="s">
        <v>726</v>
      </c>
      <c r="B2918" s="1258">
        <f>_xll.VAData("FYBR_US",B2909,"Net adds - Consumer Copper Broadband")</f>
        <v>-190.18020000000001</v>
      </c>
      <c r="C2918" s="1258">
        <f>_xll.VAData("FYBR_US",C2909,"Net adds - Consumer Copper Broadband")</f>
        <v>-219.59280625</v>
      </c>
      <c r="D2918" s="1258">
        <f>_xll.VAData("FYBR_US",D2909,"Net adds - Consumer Copper Broadband")</f>
        <v>-199.78248075981901</v>
      </c>
      <c r="E2918" s="1258">
        <f>_xll.VAData("FYBR_US",E2909,"Net adds - Consumer Copper Broadband")</f>
        <v>-170.73959343202924</v>
      </c>
      <c r="F2918" s="1258">
        <f>_xll.VAData("FYBR_US",F2909,"Net adds - Consumer Copper Broadband")</f>
        <v>-125.21560379846228</v>
      </c>
      <c r="G2918" s="1258"/>
      <c r="H2918" s="1258"/>
      <c r="I2918" s="1258"/>
      <c r="J2918" s="1258"/>
      <c r="K2918" s="1258"/>
      <c r="L2918" s="1258"/>
      <c r="M2918" s="1258"/>
      <c r="N2918" s="1258"/>
      <c r="O2918" s="1258"/>
      <c r="P2918" s="1258"/>
      <c r="Q2918" s="1258"/>
      <c r="R2918" s="1258"/>
      <c r="S2918" s="1258"/>
      <c r="T2918" s="1258"/>
      <c r="U2918" s="1258"/>
      <c r="V2918" s="1258"/>
      <c r="W2918" s="1258"/>
      <c r="X2918" s="1258"/>
      <c r="Y2918" s="1258"/>
      <c r="Z2918" s="1258"/>
      <c r="AA2918" s="1258"/>
      <c r="AB2918" s="1258"/>
      <c r="AC2918" s="1258"/>
      <c r="AD2918" s="1258"/>
      <c r="AE2918" s="1258"/>
      <c r="AF2918" s="1258"/>
      <c r="AG2918" s="1258"/>
      <c r="AH2918" s="1258"/>
      <c r="AI2918" s="1258"/>
      <c r="AJ2918" s="1258"/>
      <c r="AK2918" s="108"/>
      <c r="AL2918" s="108"/>
      <c r="AM2918" s="108"/>
      <c r="AN2918" s="108"/>
      <c r="AO2918" s="108"/>
      <c r="AP2918" s="108"/>
      <c r="AQ2918" s="108"/>
      <c r="AR2918" s="108"/>
      <c r="AS2918" s="108"/>
      <c r="AT2918" s="108"/>
      <c r="AU2918" s="108"/>
      <c r="AV2918" s="108"/>
      <c r="AW2918" s="108"/>
      <c r="AX2918" s="108"/>
      <c r="AY2918" s="108"/>
      <c r="AZ2918" s="108"/>
      <c r="BA2918" s="108"/>
      <c r="BB2918" s="108"/>
      <c r="BC2918" s="108"/>
      <c r="BD2918" s="108"/>
      <c r="BE2918" s="108"/>
      <c r="BF2918" s="108"/>
      <c r="BG2918" s="108"/>
      <c r="BH2918" s="108"/>
      <c r="BI2918" s="108"/>
      <c r="BJ2918" s="108"/>
      <c r="BK2918" s="108"/>
      <c r="BL2918" s="108"/>
      <c r="BM2918" s="108"/>
      <c r="BN2918" s="108"/>
      <c r="BO2918" s="108"/>
      <c r="BP2918" s="108"/>
      <c r="BQ2918" s="108"/>
      <c r="BR2918" s="108"/>
      <c r="BS2918" s="108"/>
      <c r="BT2918" s="108"/>
      <c r="BU2918" s="108"/>
      <c r="BV2918" s="108"/>
      <c r="BW2918" s="108"/>
    </row>
    <row r="2919" spans="1:75" ht="12.75" customHeight="1" x14ac:dyDescent="0.3">
      <c r="A2919" s="1261" t="s">
        <v>652</v>
      </c>
      <c r="B2919" s="1262">
        <f>B2917/B2918-1</f>
        <v>4.3106485322865762E-3</v>
      </c>
      <c r="C2919" s="1262">
        <f t="shared" ref="C2919:F2919" si="898">C2917/C2918-1</f>
        <v>6.4081960335165E-3</v>
      </c>
      <c r="D2919" s="1262">
        <f t="shared" si="898"/>
        <v>5.1143219371996063E-2</v>
      </c>
      <c r="E2919" s="1262">
        <f t="shared" si="898"/>
        <v>1.4148691072187303E-2</v>
      </c>
      <c r="F2919" s="1262">
        <f t="shared" si="898"/>
        <v>0.10712764980231615</v>
      </c>
      <c r="G2919" s="1258"/>
      <c r="H2919" s="1258"/>
      <c r="I2919" s="1258"/>
      <c r="J2919" s="1258"/>
      <c r="K2919" s="1258"/>
      <c r="L2919" s="1258"/>
      <c r="M2919" s="1258"/>
      <c r="N2919" s="1258"/>
      <c r="O2919" s="1258"/>
      <c r="P2919" s="1258"/>
      <c r="Q2919" s="1258"/>
      <c r="R2919" s="1258"/>
      <c r="S2919" s="1258"/>
      <c r="T2919" s="1258"/>
      <c r="U2919" s="1258"/>
      <c r="V2919" s="1258"/>
      <c r="W2919" s="1258"/>
      <c r="X2919" s="1258"/>
      <c r="Y2919" s="1258"/>
      <c r="Z2919" s="1258"/>
      <c r="AA2919" s="1258"/>
      <c r="AB2919" s="1258"/>
      <c r="AC2919" s="1258"/>
      <c r="AD2919" s="1258"/>
      <c r="AE2919" s="1258"/>
      <c r="AF2919" s="1258"/>
      <c r="AG2919" s="1258"/>
      <c r="AH2919" s="1258"/>
      <c r="AI2919" s="1258"/>
      <c r="AJ2919" s="1258"/>
      <c r="AK2919" s="108"/>
      <c r="AL2919" s="108"/>
      <c r="AM2919" s="108"/>
      <c r="AN2919" s="108"/>
      <c r="AO2919" s="108"/>
      <c r="AP2919" s="108"/>
      <c r="AQ2919" s="108"/>
      <c r="AR2919" s="108"/>
      <c r="AS2919" s="108"/>
      <c r="AT2919" s="108"/>
      <c r="AU2919" s="108"/>
      <c r="AV2919" s="108"/>
      <c r="AW2919" s="108"/>
      <c r="AX2919" s="108"/>
      <c r="AY2919" s="108"/>
      <c r="AZ2919" s="108"/>
      <c r="BA2919" s="108"/>
      <c r="BB2919" s="108"/>
      <c r="BC2919" s="108"/>
      <c r="BD2919" s="108"/>
      <c r="BE2919" s="108"/>
      <c r="BF2919" s="108"/>
      <c r="BG2919" s="108"/>
      <c r="BH2919" s="108"/>
      <c r="BI2919" s="108"/>
      <c r="BJ2919" s="108"/>
      <c r="BK2919" s="108"/>
      <c r="BL2919" s="108"/>
      <c r="BM2919" s="108"/>
      <c r="BN2919" s="108"/>
      <c r="BO2919" s="108"/>
      <c r="BP2919" s="108"/>
      <c r="BQ2919" s="108"/>
      <c r="BR2919" s="108"/>
      <c r="BS2919" s="108"/>
      <c r="BT2919" s="108"/>
      <c r="BU2919" s="108"/>
      <c r="BV2919" s="108"/>
      <c r="BW2919" s="108"/>
    </row>
    <row r="2920" spans="1:75" ht="12.75" customHeight="1" x14ac:dyDescent="0.3">
      <c r="A2920" s="1258"/>
      <c r="B2920" s="1258"/>
      <c r="C2920" s="1258"/>
      <c r="D2920" s="1258"/>
      <c r="E2920" s="1258"/>
      <c r="F2920" s="1258"/>
      <c r="G2920" s="1258"/>
      <c r="H2920" s="1258"/>
      <c r="I2920" s="1258"/>
      <c r="J2920" s="1258"/>
      <c r="K2920" s="1258"/>
      <c r="L2920" s="1258"/>
      <c r="M2920" s="1258"/>
      <c r="N2920" s="1258"/>
      <c r="O2920" s="1258"/>
      <c r="P2920" s="1258"/>
      <c r="Q2920" s="1258"/>
      <c r="R2920" s="1258"/>
      <c r="S2920" s="1258"/>
      <c r="T2920" s="1258"/>
      <c r="U2920" s="1258"/>
      <c r="V2920" s="1258"/>
      <c r="W2920" s="1258"/>
      <c r="X2920" s="1258"/>
      <c r="Y2920" s="1258"/>
      <c r="Z2920" s="1258"/>
      <c r="AA2920" s="1258"/>
      <c r="AB2920" s="1258"/>
      <c r="AC2920" s="1258"/>
      <c r="AD2920" s="1258"/>
      <c r="AE2920" s="1258"/>
      <c r="AF2920" s="1258"/>
      <c r="AG2920" s="1258"/>
      <c r="AH2920" s="1258"/>
      <c r="AI2920" s="1258"/>
      <c r="AJ2920" s="1258"/>
      <c r="AK2920" s="108"/>
      <c r="AL2920" s="108"/>
      <c r="AM2920" s="108"/>
      <c r="AN2920" s="108"/>
      <c r="AO2920" s="108"/>
      <c r="AP2920" s="108"/>
      <c r="AQ2920" s="108"/>
      <c r="AR2920" s="108"/>
      <c r="AS2920" s="108"/>
      <c r="AT2920" s="108"/>
      <c r="AU2920" s="108"/>
      <c r="AV2920" s="108"/>
      <c r="AW2920" s="108"/>
      <c r="AX2920" s="108"/>
      <c r="AY2920" s="108"/>
      <c r="AZ2920" s="108"/>
      <c r="BA2920" s="108"/>
      <c r="BB2920" s="108"/>
      <c r="BC2920" s="108"/>
      <c r="BD2920" s="108"/>
      <c r="BE2920" s="108"/>
      <c r="BF2920" s="108"/>
      <c r="BG2920" s="108"/>
      <c r="BH2920" s="108"/>
      <c r="BI2920" s="108"/>
      <c r="BJ2920" s="108"/>
      <c r="BK2920" s="108"/>
      <c r="BL2920" s="108"/>
      <c r="BM2920" s="108"/>
      <c r="BN2920" s="108"/>
      <c r="BO2920" s="108"/>
      <c r="BP2920" s="108"/>
      <c r="BQ2920" s="108"/>
      <c r="BR2920" s="108"/>
      <c r="BS2920" s="108"/>
      <c r="BT2920" s="108"/>
      <c r="BU2920" s="108"/>
      <c r="BV2920" s="108"/>
      <c r="BW2920" s="108"/>
    </row>
    <row r="2921" spans="1:75" ht="12.75" customHeight="1" x14ac:dyDescent="0.3">
      <c r="A2921" s="802" t="s">
        <v>1658</v>
      </c>
      <c r="B2921" s="1258"/>
      <c r="C2921" s="1258"/>
      <c r="D2921" s="1258"/>
      <c r="E2921" s="1258"/>
      <c r="F2921" s="1258"/>
      <c r="G2921" s="1258"/>
      <c r="H2921" s="1258"/>
      <c r="I2921" s="1258"/>
      <c r="J2921" s="1258"/>
      <c r="K2921" s="1258"/>
      <c r="L2921" s="1258"/>
      <c r="M2921" s="1258"/>
      <c r="N2921" s="1258"/>
      <c r="O2921" s="1258"/>
      <c r="P2921" s="1258"/>
      <c r="Q2921" s="1258"/>
      <c r="R2921" s="1258"/>
      <c r="S2921" s="1258"/>
      <c r="T2921" s="1258"/>
      <c r="U2921" s="1258"/>
      <c r="V2921" s="1258"/>
      <c r="W2921" s="1258"/>
      <c r="X2921" s="1258"/>
      <c r="Y2921" s="1258"/>
      <c r="Z2921" s="1258"/>
      <c r="AA2921" s="1258"/>
      <c r="AB2921" s="1258"/>
      <c r="AC2921" s="1258"/>
      <c r="AD2921" s="1258"/>
      <c r="AE2921" s="1258"/>
      <c r="AF2921" s="1258"/>
      <c r="AG2921" s="1258"/>
      <c r="AH2921" s="1258"/>
      <c r="AI2921" s="1258"/>
      <c r="AJ2921" s="1258"/>
      <c r="AK2921" s="108"/>
      <c r="AL2921" s="108"/>
      <c r="AM2921" s="108"/>
      <c r="AN2921" s="108"/>
      <c r="AO2921" s="108"/>
      <c r="AP2921" s="108"/>
      <c r="AQ2921" s="108"/>
      <c r="AR2921" s="108"/>
      <c r="AS2921" s="108"/>
      <c r="AT2921" s="108"/>
      <c r="AU2921" s="108"/>
      <c r="AV2921" s="108"/>
      <c r="AW2921" s="108"/>
      <c r="AX2921" s="108"/>
      <c r="AY2921" s="108"/>
      <c r="AZ2921" s="108"/>
      <c r="BA2921" s="108"/>
      <c r="BB2921" s="108"/>
      <c r="BC2921" s="108"/>
      <c r="BD2921" s="108"/>
      <c r="BE2921" s="108"/>
      <c r="BF2921" s="108"/>
      <c r="BG2921" s="108"/>
      <c r="BH2921" s="108"/>
      <c r="BI2921" s="108"/>
      <c r="BJ2921" s="108"/>
      <c r="BK2921" s="108"/>
      <c r="BL2921" s="108"/>
      <c r="BM2921" s="108"/>
      <c r="BN2921" s="108"/>
      <c r="BO2921" s="108"/>
      <c r="BP2921" s="108"/>
      <c r="BQ2921" s="108"/>
      <c r="BR2921" s="108"/>
      <c r="BS2921" s="108"/>
      <c r="BT2921" s="108"/>
      <c r="BU2921" s="108"/>
      <c r="BV2921" s="108"/>
      <c r="BW2921" s="108"/>
    </row>
    <row r="2922" spans="1:75" ht="12.75" customHeight="1" x14ac:dyDescent="0.3">
      <c r="A2922" s="1258" t="s">
        <v>722</v>
      </c>
      <c r="B2922" s="1258">
        <f>Drivers!EN115</f>
        <v>1575</v>
      </c>
      <c r="C2922" s="1258">
        <f>Drivers!ES115</f>
        <v>1878</v>
      </c>
      <c r="D2922" s="1258">
        <f>Drivers!EX115</f>
        <v>2249</v>
      </c>
      <c r="E2922" s="1258">
        <f>Drivers!FC115</f>
        <v>2702.2388610217558</v>
      </c>
      <c r="F2922" s="1258">
        <f>Drivers!FD115</f>
        <v>3183.9855180066493</v>
      </c>
      <c r="G2922" s="1262">
        <f>(F2922/B2922)^(1/4)-1</f>
        <v>0.19240182319361332</v>
      </c>
      <c r="H2922" s="1258"/>
      <c r="I2922" s="1258"/>
      <c r="J2922" s="1258"/>
      <c r="K2922" s="1258"/>
      <c r="L2922" s="1258"/>
      <c r="M2922" s="1258"/>
      <c r="N2922" s="1258"/>
      <c r="O2922" s="1258"/>
      <c r="P2922" s="1258"/>
      <c r="Q2922" s="1258"/>
      <c r="R2922" s="1258"/>
      <c r="S2922" s="1258"/>
      <c r="T2922" s="1258"/>
      <c r="U2922" s="1258"/>
      <c r="V2922" s="1258"/>
      <c r="W2922" s="1258"/>
      <c r="X2922" s="1258"/>
      <c r="Y2922" s="1258"/>
      <c r="Z2922" s="1258"/>
      <c r="AA2922" s="1258"/>
      <c r="AB2922" s="1258"/>
      <c r="AC2922" s="1258"/>
      <c r="AD2922" s="1258"/>
      <c r="AE2922" s="1258"/>
      <c r="AF2922" s="1258"/>
      <c r="AG2922" s="1258"/>
      <c r="AH2922" s="1258"/>
      <c r="AI2922" s="1258"/>
      <c r="AJ2922" s="1258"/>
      <c r="AK2922" s="108"/>
      <c r="AL2922" s="108"/>
      <c r="AM2922" s="108"/>
      <c r="AN2922" s="108"/>
      <c r="AO2922" s="108"/>
      <c r="AP2922" s="108"/>
      <c r="AQ2922" s="108"/>
      <c r="AR2922" s="108"/>
      <c r="AS2922" s="108"/>
      <c r="AT2922" s="108"/>
      <c r="AU2922" s="108"/>
      <c r="AV2922" s="108"/>
      <c r="AW2922" s="108"/>
      <c r="AX2922" s="108"/>
      <c r="AY2922" s="108"/>
      <c r="AZ2922" s="108"/>
      <c r="BA2922" s="108"/>
      <c r="BB2922" s="108"/>
      <c r="BC2922" s="108"/>
      <c r="BD2922" s="108"/>
      <c r="BE2922" s="108"/>
      <c r="BF2922" s="108"/>
      <c r="BG2922" s="108"/>
      <c r="BH2922" s="108"/>
      <c r="BI2922" s="108"/>
      <c r="BJ2922" s="108"/>
      <c r="BK2922" s="108"/>
      <c r="BL2922" s="108"/>
      <c r="BM2922" s="108"/>
      <c r="BN2922" s="108"/>
      <c r="BO2922" s="108"/>
      <c r="BP2922" s="108"/>
      <c r="BQ2922" s="108"/>
      <c r="BR2922" s="108"/>
      <c r="BS2922" s="108"/>
      <c r="BT2922" s="108"/>
      <c r="BU2922" s="108"/>
      <c r="BV2922" s="108"/>
      <c r="BW2922" s="108"/>
    </row>
    <row r="2923" spans="1:75" ht="12.75" customHeight="1" x14ac:dyDescent="0.3">
      <c r="A2923" s="1258" t="s">
        <v>726</v>
      </c>
      <c r="B2923" s="1258">
        <f>B2922-B2912+B2913</f>
        <v>1575</v>
      </c>
      <c r="C2923" s="1258">
        <f t="shared" ref="C2923:F2923" si="899">C2922-C2912+C2913</f>
        <v>1878</v>
      </c>
      <c r="D2923" s="1258">
        <f t="shared" si="899"/>
        <v>2254.6820246741891</v>
      </c>
      <c r="E2923" s="1258">
        <f t="shared" si="899"/>
        <v>2683.6106733076113</v>
      </c>
      <c r="F2923" s="1258">
        <f t="shared" si="899"/>
        <v>3169.3625256760652</v>
      </c>
      <c r="G2923" s="1262">
        <f>(F2923/B2923)^(1/4)-1</f>
        <v>0.19103038217080703</v>
      </c>
      <c r="H2923" s="1258"/>
      <c r="I2923" s="1258"/>
      <c r="J2923" s="1258"/>
      <c r="K2923" s="1258"/>
      <c r="L2923" s="1258"/>
      <c r="M2923" s="1258"/>
      <c r="N2923" s="1258"/>
      <c r="O2923" s="1258"/>
      <c r="P2923" s="1258"/>
      <c r="Q2923" s="1258"/>
      <c r="R2923" s="1258"/>
      <c r="S2923" s="1258"/>
      <c r="T2923" s="1258"/>
      <c r="U2923" s="1258"/>
      <c r="V2923" s="1258"/>
      <c r="W2923" s="1258"/>
      <c r="X2923" s="1258"/>
      <c r="Y2923" s="1258"/>
      <c r="Z2923" s="1258"/>
      <c r="AA2923" s="1258"/>
      <c r="AB2923" s="1258"/>
      <c r="AC2923" s="1258"/>
      <c r="AD2923" s="1258"/>
      <c r="AE2923" s="1258"/>
      <c r="AF2923" s="1258"/>
      <c r="AG2923" s="1258"/>
      <c r="AH2923" s="1258"/>
      <c r="AI2923" s="1258"/>
      <c r="AJ2923" s="1258"/>
      <c r="AK2923" s="108"/>
      <c r="AL2923" s="108"/>
      <c r="AM2923" s="108"/>
      <c r="AN2923" s="108"/>
      <c r="AO2923" s="108"/>
      <c r="AP2923" s="108"/>
      <c r="AQ2923" s="108"/>
      <c r="AR2923" s="108"/>
      <c r="AS2923" s="108"/>
      <c r="AT2923" s="108"/>
      <c r="AU2923" s="108"/>
      <c r="AV2923" s="108"/>
      <c r="AW2923" s="108"/>
      <c r="AX2923" s="108"/>
      <c r="AY2923" s="108"/>
      <c r="AZ2923" s="108"/>
      <c r="BA2923" s="108"/>
      <c r="BB2923" s="108"/>
      <c r="BC2923" s="108"/>
      <c r="BD2923" s="108"/>
      <c r="BE2923" s="108"/>
      <c r="BF2923" s="108"/>
      <c r="BG2923" s="108"/>
      <c r="BH2923" s="108"/>
      <c r="BI2923" s="108"/>
      <c r="BJ2923" s="108"/>
      <c r="BK2923" s="108"/>
      <c r="BL2923" s="108"/>
      <c r="BM2923" s="108"/>
      <c r="BN2923" s="108"/>
      <c r="BO2923" s="108"/>
      <c r="BP2923" s="108"/>
      <c r="BQ2923" s="108"/>
      <c r="BR2923" s="108"/>
      <c r="BS2923" s="108"/>
      <c r="BT2923" s="108"/>
      <c r="BU2923" s="108"/>
      <c r="BV2923" s="108"/>
      <c r="BW2923" s="108"/>
    </row>
    <row r="2924" spans="1:75" ht="12.75" customHeight="1" x14ac:dyDescent="0.3">
      <c r="A2924" s="1261" t="s">
        <v>652</v>
      </c>
      <c r="B2924" s="1262">
        <f>B2922/B2923-1</f>
        <v>0</v>
      </c>
      <c r="C2924" s="1262">
        <f t="shared" ref="C2924:F2924" si="900">C2922/C2923-1</f>
        <v>0</v>
      </c>
      <c r="D2924" s="1262">
        <f t="shared" si="900"/>
        <v>-2.5201002234495062E-3</v>
      </c>
      <c r="E2924" s="1262">
        <f t="shared" si="900"/>
        <v>6.9414643112837293E-3</v>
      </c>
      <c r="F2924" s="1262">
        <f t="shared" si="900"/>
        <v>4.6138591631972314E-3</v>
      </c>
      <c r="G2924" s="1258"/>
      <c r="H2924" s="1258"/>
      <c r="I2924" s="1258"/>
      <c r="J2924" s="1258"/>
      <c r="K2924" s="1258"/>
      <c r="L2924" s="1258"/>
      <c r="M2924" s="1258"/>
      <c r="N2924" s="1258"/>
      <c r="O2924" s="1258"/>
      <c r="P2924" s="1258"/>
      <c r="Q2924" s="1258"/>
      <c r="R2924" s="1258"/>
      <c r="S2924" s="1258"/>
      <c r="T2924" s="1258"/>
      <c r="U2924" s="1258"/>
      <c r="V2924" s="1258"/>
      <c r="W2924" s="1258"/>
      <c r="X2924" s="1258"/>
      <c r="Y2924" s="1258"/>
      <c r="Z2924" s="1258"/>
      <c r="AA2924" s="1258"/>
      <c r="AB2924" s="1258"/>
      <c r="AC2924" s="1258"/>
      <c r="AD2924" s="1258"/>
      <c r="AE2924" s="1258"/>
      <c r="AF2924" s="1258"/>
      <c r="AG2924" s="1258"/>
      <c r="AH2924" s="1258"/>
      <c r="AI2924" s="1258"/>
      <c r="AJ2924" s="1258"/>
      <c r="AK2924" s="108"/>
      <c r="AL2924" s="108"/>
      <c r="AM2924" s="108"/>
      <c r="AN2924" s="108"/>
      <c r="AO2924" s="108"/>
      <c r="AP2924" s="108"/>
      <c r="AQ2924" s="108"/>
      <c r="AR2924" s="108"/>
      <c r="AS2924" s="108"/>
      <c r="AT2924" s="108"/>
      <c r="AU2924" s="108"/>
      <c r="AV2924" s="108"/>
      <c r="AW2924" s="108"/>
      <c r="AX2924" s="108"/>
      <c r="AY2924" s="108"/>
      <c r="AZ2924" s="108"/>
      <c r="BA2924" s="108"/>
      <c r="BB2924" s="108"/>
      <c r="BC2924" s="108"/>
      <c r="BD2924" s="108"/>
      <c r="BE2924" s="108"/>
      <c r="BF2924" s="108"/>
      <c r="BG2924" s="108"/>
      <c r="BH2924" s="108"/>
      <c r="BI2924" s="108"/>
      <c r="BJ2924" s="108"/>
      <c r="BK2924" s="108"/>
      <c r="BL2924" s="108"/>
      <c r="BM2924" s="108"/>
      <c r="BN2924" s="108"/>
      <c r="BO2924" s="108"/>
      <c r="BP2924" s="108"/>
      <c r="BQ2924" s="108"/>
      <c r="BR2924" s="108"/>
      <c r="BS2924" s="108"/>
      <c r="BT2924" s="108"/>
      <c r="BU2924" s="108"/>
      <c r="BV2924" s="108"/>
      <c r="BW2924" s="108"/>
    </row>
    <row r="2925" spans="1:75" ht="12.75" customHeight="1" x14ac:dyDescent="0.3">
      <c r="A2925" s="1258"/>
      <c r="B2925" s="1258"/>
      <c r="C2925" s="1258"/>
      <c r="D2925" s="1258"/>
      <c r="E2925" s="1258"/>
      <c r="F2925" s="1258"/>
      <c r="G2925" s="1258"/>
      <c r="H2925" s="1258"/>
      <c r="I2925" s="1258"/>
      <c r="J2925" s="1258"/>
      <c r="K2925" s="1258"/>
      <c r="L2925" s="1258"/>
      <c r="M2925" s="1258"/>
      <c r="N2925" s="1258"/>
      <c r="O2925" s="1258"/>
      <c r="P2925" s="1258"/>
      <c r="Q2925" s="1258"/>
      <c r="R2925" s="1258"/>
      <c r="S2925" s="1258"/>
      <c r="T2925" s="1258"/>
      <c r="U2925" s="1258"/>
      <c r="V2925" s="1258"/>
      <c r="W2925" s="1258"/>
      <c r="X2925" s="1258"/>
      <c r="Y2925" s="1258"/>
      <c r="Z2925" s="1258"/>
      <c r="AA2925" s="1258"/>
      <c r="AB2925" s="1258"/>
      <c r="AC2925" s="1258"/>
      <c r="AD2925" s="1258"/>
      <c r="AE2925" s="1258"/>
      <c r="AF2925" s="1258"/>
      <c r="AG2925" s="1258"/>
      <c r="AH2925" s="1258"/>
      <c r="AI2925" s="1258"/>
      <c r="AJ2925" s="1258"/>
      <c r="AK2925" s="108"/>
      <c r="AL2925" s="108"/>
      <c r="AM2925" s="108"/>
      <c r="AN2925" s="108"/>
      <c r="AO2925" s="108"/>
      <c r="AP2925" s="108"/>
      <c r="AQ2925" s="108"/>
      <c r="AR2925" s="108"/>
      <c r="AS2925" s="108"/>
      <c r="AT2925" s="108"/>
      <c r="AU2925" s="108"/>
      <c r="AV2925" s="108"/>
      <c r="AW2925" s="108"/>
      <c r="AX2925" s="108"/>
      <c r="AY2925" s="108"/>
      <c r="AZ2925" s="108"/>
      <c r="BA2925" s="108"/>
      <c r="BB2925" s="108"/>
      <c r="BC2925" s="108"/>
      <c r="BD2925" s="108"/>
      <c r="BE2925" s="108"/>
      <c r="BF2925" s="108"/>
      <c r="BG2925" s="108"/>
      <c r="BH2925" s="108"/>
      <c r="BI2925" s="108"/>
      <c r="BJ2925" s="108"/>
      <c r="BK2925" s="108"/>
      <c r="BL2925" s="108"/>
      <c r="BM2925" s="108"/>
      <c r="BN2925" s="108"/>
      <c r="BO2925" s="108"/>
      <c r="BP2925" s="108"/>
      <c r="BQ2925" s="108"/>
      <c r="BR2925" s="108"/>
      <c r="BS2925" s="108"/>
      <c r="BT2925" s="108"/>
      <c r="BU2925" s="108"/>
      <c r="BV2925" s="108"/>
      <c r="BW2925" s="108"/>
    </row>
    <row r="2926" spans="1:75" ht="12.75" customHeight="1" x14ac:dyDescent="0.3">
      <c r="A2926" s="802" t="s">
        <v>1659</v>
      </c>
      <c r="B2926" s="1258"/>
      <c r="C2926" s="1258"/>
      <c r="D2926" s="1258"/>
      <c r="E2926" s="1258"/>
      <c r="F2926" s="1258"/>
      <c r="G2926" s="1258"/>
      <c r="H2926" s="1258"/>
      <c r="I2926" s="1258"/>
      <c r="J2926" s="1258"/>
      <c r="K2926" s="1258"/>
      <c r="L2926" s="1258"/>
      <c r="M2926" s="1258"/>
      <c r="N2926" s="1258"/>
      <c r="O2926" s="1258"/>
      <c r="P2926" s="1258"/>
      <c r="Q2926" s="1258"/>
      <c r="R2926" s="1258"/>
      <c r="S2926" s="1258"/>
      <c r="T2926" s="1258"/>
      <c r="U2926" s="1258"/>
      <c r="V2926" s="1258"/>
      <c r="W2926" s="1258"/>
      <c r="X2926" s="1258"/>
      <c r="Y2926" s="1258"/>
      <c r="Z2926" s="1258"/>
      <c r="AA2926" s="1258"/>
      <c r="AB2926" s="1258"/>
      <c r="AC2926" s="1258"/>
      <c r="AD2926" s="1258"/>
      <c r="AE2926" s="1258"/>
      <c r="AF2926" s="1258"/>
      <c r="AG2926" s="1258"/>
      <c r="AH2926" s="1258"/>
      <c r="AI2926" s="1258"/>
      <c r="AJ2926" s="1258"/>
      <c r="AK2926" s="108"/>
      <c r="AL2926" s="108"/>
      <c r="AM2926" s="108"/>
      <c r="AN2926" s="108"/>
      <c r="AO2926" s="108"/>
      <c r="AP2926" s="108"/>
      <c r="AQ2926" s="108"/>
      <c r="AR2926" s="108"/>
      <c r="AS2926" s="108"/>
      <c r="AT2926" s="108"/>
      <c r="AU2926" s="108"/>
      <c r="AV2926" s="108"/>
      <c r="AW2926" s="108"/>
      <c r="AX2926" s="108"/>
      <c r="AY2926" s="108"/>
      <c r="AZ2926" s="108"/>
      <c r="BA2926" s="108"/>
      <c r="BB2926" s="108"/>
      <c r="BC2926" s="108"/>
      <c r="BD2926" s="108"/>
      <c r="BE2926" s="108"/>
      <c r="BF2926" s="108"/>
      <c r="BG2926" s="108"/>
      <c r="BH2926" s="108"/>
      <c r="BI2926" s="108"/>
      <c r="BJ2926" s="108"/>
      <c r="BK2926" s="108"/>
      <c r="BL2926" s="108"/>
      <c r="BM2926" s="108"/>
      <c r="BN2926" s="108"/>
      <c r="BO2926" s="108"/>
      <c r="BP2926" s="108"/>
      <c r="BQ2926" s="108"/>
      <c r="BR2926" s="108"/>
      <c r="BS2926" s="108"/>
      <c r="BT2926" s="108"/>
      <c r="BU2926" s="108"/>
      <c r="BV2926" s="108"/>
      <c r="BW2926" s="108"/>
    </row>
    <row r="2927" spans="1:75" ht="12.75" customHeight="1" x14ac:dyDescent="0.3">
      <c r="A2927" s="1258" t="s">
        <v>722</v>
      </c>
      <c r="B2927" s="1258">
        <f>Drivers!EN260</f>
        <v>1043</v>
      </c>
      <c r="C2927" s="1258">
        <f>Drivers!ES260</f>
        <v>822</v>
      </c>
      <c r="D2927" s="1258">
        <f>Drivers!EX260</f>
        <v>612</v>
      </c>
      <c r="E2927" s="1258">
        <f>Drivers!FC260</f>
        <v>438.84466480671011</v>
      </c>
      <c r="F2927" s="1258">
        <f>Drivers!FD260</f>
        <v>300.21500765474059</v>
      </c>
      <c r="G2927" s="1262">
        <f>(F2927/B2927)^(1/4)-1</f>
        <v>-0.26753475492696255</v>
      </c>
      <c r="H2927" s="1258"/>
      <c r="I2927" s="1258"/>
      <c r="J2927" s="1258"/>
      <c r="K2927" s="1258"/>
      <c r="L2927" s="1258"/>
      <c r="M2927" s="1258"/>
      <c r="N2927" s="1258"/>
      <c r="O2927" s="1258"/>
      <c r="P2927" s="1258"/>
      <c r="Q2927" s="1258"/>
      <c r="R2927" s="1258"/>
      <c r="S2927" s="1258"/>
      <c r="T2927" s="1258"/>
      <c r="U2927" s="1258"/>
      <c r="V2927" s="1258"/>
      <c r="W2927" s="1258"/>
      <c r="X2927" s="1258"/>
      <c r="Y2927" s="1258"/>
      <c r="Z2927" s="1258"/>
      <c r="AA2927" s="1258"/>
      <c r="AB2927" s="1258"/>
      <c r="AC2927" s="1258"/>
      <c r="AD2927" s="1258"/>
      <c r="AE2927" s="1258"/>
      <c r="AF2927" s="1258"/>
      <c r="AG2927" s="1258"/>
      <c r="AH2927" s="1258"/>
      <c r="AI2927" s="1258"/>
      <c r="AJ2927" s="1258"/>
      <c r="AK2927" s="108"/>
      <c r="AL2927" s="108"/>
      <c r="AM2927" s="108"/>
      <c r="AN2927" s="108"/>
      <c r="AO2927" s="108"/>
      <c r="AP2927" s="108"/>
      <c r="AQ2927" s="108"/>
      <c r="AR2927" s="108"/>
      <c r="AS2927" s="108"/>
      <c r="AT2927" s="108"/>
      <c r="AU2927" s="108"/>
      <c r="AV2927" s="108"/>
      <c r="AW2927" s="108"/>
      <c r="AX2927" s="108"/>
      <c r="AY2927" s="108"/>
      <c r="AZ2927" s="108"/>
      <c r="BA2927" s="108"/>
      <c r="BB2927" s="108"/>
      <c r="BC2927" s="108"/>
      <c r="BD2927" s="108"/>
      <c r="BE2927" s="108"/>
      <c r="BF2927" s="108"/>
      <c r="BG2927" s="108"/>
      <c r="BH2927" s="108"/>
      <c r="BI2927" s="108"/>
      <c r="BJ2927" s="108"/>
      <c r="BK2927" s="108"/>
      <c r="BL2927" s="108"/>
      <c r="BM2927" s="108"/>
      <c r="BN2927" s="108"/>
      <c r="BO2927" s="108"/>
      <c r="BP2927" s="108"/>
      <c r="BQ2927" s="108"/>
      <c r="BR2927" s="108"/>
      <c r="BS2927" s="108"/>
      <c r="BT2927" s="108"/>
      <c r="BU2927" s="108"/>
      <c r="BV2927" s="108"/>
      <c r="BW2927" s="108"/>
    </row>
    <row r="2928" spans="1:75" ht="12.75" customHeight="1" x14ac:dyDescent="0.3">
      <c r="A2928" s="1258" t="s">
        <v>726</v>
      </c>
      <c r="B2928" s="1258">
        <f>B2927-B2917+B2918</f>
        <v>1043.8198</v>
      </c>
      <c r="C2928" s="1258">
        <f t="shared" ref="C2928:F2928" si="901">C2927-C2917+C2918</f>
        <v>823.40719375000003</v>
      </c>
      <c r="D2928" s="1258">
        <f t="shared" si="901"/>
        <v>622.21751924018099</v>
      </c>
      <c r="E2928" s="1258">
        <f t="shared" si="901"/>
        <v>441.26040656797079</v>
      </c>
      <c r="F2928" s="1258">
        <f t="shared" si="901"/>
        <v>313.62906100824785</v>
      </c>
      <c r="G2928" s="1262">
        <f>(F2928/B2928)^(1/4)-1</f>
        <v>-0.25963191089201365</v>
      </c>
      <c r="H2928" s="1258"/>
      <c r="I2928" s="1258"/>
      <c r="J2928" s="1258"/>
      <c r="K2928" s="1258"/>
      <c r="L2928" s="1258"/>
      <c r="M2928" s="1258"/>
      <c r="N2928" s="1258"/>
      <c r="O2928" s="1258"/>
      <c r="P2928" s="1258"/>
      <c r="Q2928" s="1258"/>
      <c r="R2928" s="1258"/>
      <c r="S2928" s="1258"/>
      <c r="T2928" s="1258"/>
      <c r="U2928" s="1258"/>
      <c r="V2928" s="1258"/>
      <c r="W2928" s="1258"/>
      <c r="X2928" s="1258"/>
      <c r="Y2928" s="1258"/>
      <c r="Z2928" s="1258"/>
      <c r="AA2928" s="1258"/>
      <c r="AB2928" s="1258"/>
      <c r="AC2928" s="1258"/>
      <c r="AD2928" s="1258"/>
      <c r="AE2928" s="1258"/>
      <c r="AF2928" s="1258"/>
      <c r="AG2928" s="1258"/>
      <c r="AH2928" s="1258"/>
      <c r="AI2928" s="1258"/>
      <c r="AJ2928" s="1258"/>
      <c r="AK2928" s="108"/>
      <c r="AL2928" s="108"/>
      <c r="AM2928" s="108"/>
      <c r="AN2928" s="108"/>
      <c r="AO2928" s="108"/>
      <c r="AP2928" s="108"/>
      <c r="AQ2928" s="108"/>
      <c r="AR2928" s="108"/>
      <c r="AS2928" s="108"/>
      <c r="AT2928" s="108"/>
      <c r="AU2928" s="108"/>
      <c r="AV2928" s="108"/>
      <c r="AW2928" s="108"/>
      <c r="AX2928" s="108"/>
      <c r="AY2928" s="108"/>
      <c r="AZ2928" s="108"/>
      <c r="BA2928" s="108"/>
      <c r="BB2928" s="108"/>
      <c r="BC2928" s="108"/>
      <c r="BD2928" s="108"/>
      <c r="BE2928" s="108"/>
      <c r="BF2928" s="108"/>
      <c r="BG2928" s="108"/>
      <c r="BH2928" s="108"/>
      <c r="BI2928" s="108"/>
      <c r="BJ2928" s="108"/>
      <c r="BK2928" s="108"/>
      <c r="BL2928" s="108"/>
      <c r="BM2928" s="108"/>
      <c r="BN2928" s="108"/>
      <c r="BO2928" s="108"/>
      <c r="BP2928" s="108"/>
      <c r="BQ2928" s="108"/>
      <c r="BR2928" s="108"/>
      <c r="BS2928" s="108"/>
      <c r="BT2928" s="108"/>
      <c r="BU2928" s="108"/>
      <c r="BV2928" s="108"/>
      <c r="BW2928" s="108"/>
    </row>
    <row r="2929" spans="1:75" ht="12.75" customHeight="1" x14ac:dyDescent="0.3">
      <c r="A2929" s="1261" t="s">
        <v>652</v>
      </c>
      <c r="B2929" s="1262">
        <f>B2927/B2928-1</f>
        <v>-7.8538460374100172E-4</v>
      </c>
      <c r="C2929" s="1262">
        <f t="shared" ref="C2929:F2929" si="902">C2927/C2928-1</f>
        <v>-1.7089888947792176E-3</v>
      </c>
      <c r="D2929" s="1262">
        <f t="shared" si="902"/>
        <v>-1.6421137181508616E-2</v>
      </c>
      <c r="E2929" s="1262">
        <f t="shared" si="902"/>
        <v>-5.4746397485553322E-3</v>
      </c>
      <c r="F2929" s="1262">
        <f t="shared" si="902"/>
        <v>-4.2770441330864051E-2</v>
      </c>
      <c r="G2929" s="1258"/>
      <c r="H2929" s="1258"/>
      <c r="I2929" s="1258"/>
      <c r="J2929" s="1258"/>
      <c r="K2929" s="1258"/>
      <c r="L2929" s="1258"/>
      <c r="M2929" s="1258"/>
      <c r="N2929" s="1258"/>
      <c r="O2929" s="1258"/>
      <c r="P2929" s="1258"/>
      <c r="Q2929" s="1258"/>
      <c r="R2929" s="1258"/>
      <c r="S2929" s="1258"/>
      <c r="T2929" s="1258"/>
      <c r="U2929" s="1258"/>
      <c r="V2929" s="1258"/>
      <c r="W2929" s="1258"/>
      <c r="X2929" s="1258"/>
      <c r="Y2929" s="1258"/>
      <c r="Z2929" s="1258"/>
      <c r="AA2929" s="1258"/>
      <c r="AB2929" s="1258"/>
      <c r="AC2929" s="1258"/>
      <c r="AD2929" s="1258"/>
      <c r="AE2929" s="1258"/>
      <c r="AF2929" s="1258"/>
      <c r="AG2929" s="1258"/>
      <c r="AH2929" s="1258"/>
      <c r="AI2929" s="1258"/>
      <c r="AJ2929" s="1258"/>
      <c r="AK2929" s="108"/>
      <c r="AL2929" s="108"/>
      <c r="AM2929" s="108"/>
      <c r="AN2929" s="108"/>
      <c r="AO2929" s="108"/>
      <c r="AP2929" s="108"/>
      <c r="AQ2929" s="108"/>
      <c r="AR2929" s="108"/>
      <c r="AS2929" s="108"/>
      <c r="AT2929" s="108"/>
      <c r="AU2929" s="108"/>
      <c r="AV2929" s="108"/>
      <c r="AW2929" s="108"/>
      <c r="AX2929" s="108"/>
      <c r="AY2929" s="108"/>
      <c r="AZ2929" s="108"/>
      <c r="BA2929" s="108"/>
      <c r="BB2929" s="108"/>
      <c r="BC2929" s="108"/>
      <c r="BD2929" s="108"/>
      <c r="BE2929" s="108"/>
      <c r="BF2929" s="108"/>
      <c r="BG2929" s="108"/>
      <c r="BH2929" s="108"/>
      <c r="BI2929" s="108"/>
      <c r="BJ2929" s="108"/>
      <c r="BK2929" s="108"/>
      <c r="BL2929" s="108"/>
      <c r="BM2929" s="108"/>
      <c r="BN2929" s="108"/>
      <c r="BO2929" s="108"/>
      <c r="BP2929" s="108"/>
      <c r="BQ2929" s="108"/>
      <c r="BR2929" s="108"/>
      <c r="BS2929" s="108"/>
      <c r="BT2929" s="108"/>
      <c r="BU2929" s="108"/>
      <c r="BV2929" s="108"/>
      <c r="BW2929" s="108"/>
    </row>
    <row r="2930" spans="1:75" ht="12.75" customHeight="1" x14ac:dyDescent="0.3">
      <c r="A2930" s="1258"/>
      <c r="B2930" s="1258"/>
      <c r="C2930" s="1258"/>
      <c r="D2930" s="1258"/>
      <c r="E2930" s="1258"/>
      <c r="F2930" s="1258"/>
      <c r="G2930" s="1258"/>
      <c r="H2930" s="1258"/>
      <c r="I2930" s="1258"/>
      <c r="J2930" s="1258"/>
      <c r="K2930" s="1258"/>
      <c r="L2930" s="1258"/>
      <c r="M2930" s="1258"/>
      <c r="N2930" s="1258"/>
      <c r="O2930" s="1258"/>
      <c r="P2930" s="1258"/>
      <c r="Q2930" s="1258"/>
      <c r="R2930" s="1258"/>
      <c r="S2930" s="1258"/>
      <c r="T2930" s="1258"/>
      <c r="U2930" s="1258"/>
      <c r="V2930" s="1258"/>
      <c r="W2930" s="1258"/>
      <c r="X2930" s="1258"/>
      <c r="Y2930" s="1258"/>
      <c r="Z2930" s="1258"/>
      <c r="AA2930" s="1258"/>
      <c r="AB2930" s="1258"/>
      <c r="AC2930" s="1258"/>
      <c r="AD2930" s="1258"/>
      <c r="AE2930" s="1258"/>
      <c r="AF2930" s="1258"/>
      <c r="AG2930" s="1258"/>
      <c r="AH2930" s="1258"/>
      <c r="AI2930" s="1258"/>
      <c r="AJ2930" s="1258"/>
      <c r="AK2930" s="108"/>
      <c r="AL2930" s="108"/>
      <c r="AM2930" s="108"/>
      <c r="AN2930" s="108"/>
      <c r="AO2930" s="108"/>
      <c r="AP2930" s="108"/>
      <c r="AQ2930" s="108"/>
      <c r="AR2930" s="108"/>
      <c r="AS2930" s="108"/>
      <c r="AT2930" s="108"/>
      <c r="AU2930" s="108"/>
      <c r="AV2930" s="108"/>
      <c r="AW2930" s="108"/>
      <c r="AX2930" s="108"/>
      <c r="AY2930" s="108"/>
      <c r="AZ2930" s="108"/>
      <c r="BA2930" s="108"/>
      <c r="BB2930" s="108"/>
      <c r="BC2930" s="108"/>
      <c r="BD2930" s="108"/>
      <c r="BE2930" s="108"/>
      <c r="BF2930" s="108"/>
      <c r="BG2930" s="108"/>
      <c r="BH2930" s="108"/>
      <c r="BI2930" s="108"/>
      <c r="BJ2930" s="108"/>
      <c r="BK2930" s="108"/>
      <c r="BL2930" s="108"/>
      <c r="BM2930" s="108"/>
      <c r="BN2930" s="108"/>
      <c r="BO2930" s="108"/>
      <c r="BP2930" s="108"/>
      <c r="BQ2930" s="108"/>
      <c r="BR2930" s="108"/>
      <c r="BS2930" s="108"/>
      <c r="BT2930" s="108"/>
      <c r="BU2930" s="108"/>
      <c r="BV2930" s="108"/>
      <c r="BW2930" s="108"/>
    </row>
    <row r="2931" spans="1:75" ht="12.75" customHeight="1" x14ac:dyDescent="0.3">
      <c r="A2931" s="802" t="s">
        <v>1660</v>
      </c>
      <c r="B2931" s="1258"/>
      <c r="C2931" s="1258"/>
      <c r="D2931" s="1258"/>
      <c r="E2931" s="1258"/>
      <c r="F2931" s="1258"/>
      <c r="G2931" s="1258"/>
      <c r="H2931" s="1258"/>
      <c r="I2931" s="1258"/>
      <c r="J2931" s="1258"/>
      <c r="K2931" s="1258"/>
      <c r="L2931" s="1258"/>
      <c r="M2931" s="1258"/>
      <c r="N2931" s="1258"/>
      <c r="O2931" s="1258"/>
      <c r="P2931" s="1258"/>
      <c r="Q2931" s="1258"/>
      <c r="R2931" s="1258"/>
      <c r="S2931" s="1258"/>
      <c r="T2931" s="1258"/>
      <c r="U2931" s="1258"/>
      <c r="V2931" s="1258"/>
      <c r="W2931" s="1258"/>
      <c r="X2931" s="1258"/>
      <c r="Y2931" s="1258"/>
      <c r="Z2931" s="1258"/>
      <c r="AA2931" s="1258"/>
      <c r="AB2931" s="1258"/>
      <c r="AC2931" s="1258"/>
      <c r="AD2931" s="1258"/>
      <c r="AE2931" s="1258"/>
      <c r="AF2931" s="1258"/>
      <c r="AG2931" s="1258"/>
      <c r="AH2931" s="1258"/>
      <c r="AI2931" s="1258"/>
      <c r="AJ2931" s="1258"/>
      <c r="AK2931" s="108"/>
      <c r="AL2931" s="108"/>
      <c r="AM2931" s="108"/>
      <c r="AN2931" s="108"/>
      <c r="AO2931" s="108"/>
      <c r="AP2931" s="108"/>
      <c r="AQ2931" s="108"/>
      <c r="AR2931" s="108"/>
      <c r="AS2931" s="108"/>
      <c r="AT2931" s="108"/>
      <c r="AU2931" s="108"/>
      <c r="AV2931" s="108"/>
      <c r="AW2931" s="108"/>
      <c r="AX2931" s="108"/>
      <c r="AY2931" s="108"/>
      <c r="AZ2931" s="108"/>
      <c r="BA2931" s="108"/>
      <c r="BB2931" s="108"/>
      <c r="BC2931" s="108"/>
      <c r="BD2931" s="108"/>
      <c r="BE2931" s="108"/>
      <c r="BF2931" s="108"/>
      <c r="BG2931" s="108"/>
      <c r="BH2931" s="108"/>
      <c r="BI2931" s="108"/>
      <c r="BJ2931" s="108"/>
      <c r="BK2931" s="108"/>
      <c r="BL2931" s="108"/>
      <c r="BM2931" s="108"/>
      <c r="BN2931" s="108"/>
      <c r="BO2931" s="108"/>
      <c r="BP2931" s="108"/>
      <c r="BQ2931" s="108"/>
      <c r="BR2931" s="108"/>
      <c r="BS2931" s="108"/>
      <c r="BT2931" s="108"/>
      <c r="BU2931" s="108"/>
      <c r="BV2931" s="108"/>
      <c r="BW2931" s="108"/>
    </row>
    <row r="2932" spans="1:75" ht="12.75" customHeight="1" x14ac:dyDescent="0.3">
      <c r="A2932" s="1258" t="s">
        <v>722</v>
      </c>
      <c r="B2932" s="1264">
        <f>Drivers!EN186</f>
        <v>62.387109881559596</v>
      </c>
      <c r="C2932" s="1264">
        <f>Drivers!ES186</f>
        <v>63.39</v>
      </c>
      <c r="D2932" s="1264">
        <f>Drivers!EX186</f>
        <v>65.484330723001278</v>
      </c>
      <c r="E2932" s="1264">
        <f>Drivers!FC186</f>
        <v>67.776246846721165</v>
      </c>
      <c r="F2932" s="1264">
        <f>Drivers!FD186</f>
        <v>70.148378793984961</v>
      </c>
      <c r="G2932" s="1262">
        <f>(F2932/B2932)^(1/4)-1</f>
        <v>2.974737330583932E-2</v>
      </c>
      <c r="H2932" s="1258"/>
      <c r="I2932" s="1258"/>
      <c r="J2932" s="1258"/>
      <c r="K2932" s="1258"/>
      <c r="L2932" s="1258"/>
      <c r="M2932" s="1258"/>
      <c r="N2932" s="1258"/>
      <c r="O2932" s="1258"/>
      <c r="P2932" s="1258"/>
      <c r="Q2932" s="1258"/>
      <c r="R2932" s="1258"/>
      <c r="S2932" s="1258"/>
      <c r="T2932" s="1258"/>
      <c r="U2932" s="1258"/>
      <c r="V2932" s="1258"/>
      <c r="W2932" s="1258"/>
      <c r="X2932" s="1258"/>
      <c r="Y2932" s="1258"/>
      <c r="Z2932" s="1258"/>
      <c r="AA2932" s="1258"/>
      <c r="AB2932" s="1258"/>
      <c r="AC2932" s="1258"/>
      <c r="AD2932" s="1258"/>
      <c r="AE2932" s="1258"/>
      <c r="AF2932" s="1258"/>
      <c r="AG2932" s="1258"/>
      <c r="AH2932" s="1258"/>
      <c r="AI2932" s="1258"/>
      <c r="AJ2932" s="1258"/>
      <c r="AK2932" s="108"/>
      <c r="AL2932" s="108"/>
      <c r="AM2932" s="108"/>
      <c r="AN2932" s="108"/>
      <c r="AO2932" s="108"/>
      <c r="AP2932" s="108"/>
      <c r="AQ2932" s="108"/>
      <c r="AR2932" s="108"/>
      <c r="AS2932" s="108"/>
      <c r="AT2932" s="108"/>
      <c r="AU2932" s="108"/>
      <c r="AV2932" s="108"/>
      <c r="AW2932" s="108"/>
      <c r="AX2932" s="108"/>
      <c r="AY2932" s="108"/>
      <c r="AZ2932" s="108"/>
      <c r="BA2932" s="108"/>
      <c r="BB2932" s="108"/>
      <c r="BC2932" s="108"/>
      <c r="BD2932" s="108"/>
      <c r="BE2932" s="108"/>
      <c r="BF2932" s="108"/>
      <c r="BG2932" s="108"/>
      <c r="BH2932" s="108"/>
      <c r="BI2932" s="108"/>
      <c r="BJ2932" s="108"/>
      <c r="BK2932" s="108"/>
      <c r="BL2932" s="108"/>
      <c r="BM2932" s="108"/>
      <c r="BN2932" s="108"/>
      <c r="BO2932" s="108"/>
      <c r="BP2932" s="108"/>
      <c r="BQ2932" s="108"/>
      <c r="BR2932" s="108"/>
      <c r="BS2932" s="108"/>
      <c r="BT2932" s="108"/>
      <c r="BU2932" s="108"/>
      <c r="BV2932" s="108"/>
      <c r="BW2932" s="108"/>
    </row>
    <row r="2933" spans="1:75" ht="12.75" customHeight="1" x14ac:dyDescent="0.3">
      <c r="A2933" s="1258" t="s">
        <v>726</v>
      </c>
      <c r="B2933" s="1264">
        <f>_xll.VAData("FYBR_US",B2909,"ARPU - Consumer Fiber Broadband")</f>
        <v>62.485507443899444</v>
      </c>
      <c r="C2933" s="1264">
        <f>_xll.VAData("FYBR_US",C2909,"ARPU - Consumer Fiber Broadband")</f>
        <v>63.51690593573035</v>
      </c>
      <c r="D2933" s="1264">
        <f>_xll.VAData("FYBR_US",D2909,"ARPU - Consumer Fiber Broadband")</f>
        <v>65.410827575792922</v>
      </c>
      <c r="E2933" s="1264">
        <f>_xll.VAData("FYBR_US",E2909,"ARPU - Consumer Fiber Broadband")</f>
        <v>67.397835836904122</v>
      </c>
      <c r="F2933" s="1264">
        <f>_xll.VAData("FYBR_US",F2909,"ARPU - Consumer Fiber Broadband")</f>
        <v>69.376782505435301</v>
      </c>
      <c r="G2933" s="1262">
        <f>(F2933/B2933)^(1/4)-1</f>
        <v>2.6499431997914824E-2</v>
      </c>
      <c r="H2933" s="1258"/>
      <c r="I2933" s="1258"/>
      <c r="J2933" s="1258"/>
      <c r="K2933" s="1258"/>
      <c r="L2933" s="1258"/>
      <c r="M2933" s="1258"/>
      <c r="N2933" s="1258"/>
      <c r="O2933" s="1258"/>
      <c r="P2933" s="1258"/>
      <c r="Q2933" s="1258"/>
      <c r="R2933" s="1258"/>
      <c r="S2933" s="1258"/>
      <c r="T2933" s="1258"/>
      <c r="U2933" s="1258"/>
      <c r="V2933" s="1258"/>
      <c r="W2933" s="1258"/>
      <c r="X2933" s="1258"/>
      <c r="Y2933" s="1258"/>
      <c r="Z2933" s="1258"/>
      <c r="AA2933" s="1258"/>
      <c r="AB2933" s="1258"/>
      <c r="AC2933" s="1258"/>
      <c r="AD2933" s="1258"/>
      <c r="AE2933" s="1258"/>
      <c r="AF2933" s="1258"/>
      <c r="AG2933" s="1258"/>
      <c r="AH2933" s="1258"/>
      <c r="AI2933" s="1258"/>
      <c r="AJ2933" s="1258"/>
      <c r="AK2933" s="108"/>
      <c r="AL2933" s="108"/>
      <c r="AM2933" s="108"/>
      <c r="AN2933" s="108"/>
      <c r="AO2933" s="108"/>
      <c r="AP2933" s="108"/>
      <c r="AQ2933" s="108"/>
      <c r="AR2933" s="108"/>
      <c r="AS2933" s="108"/>
      <c r="AT2933" s="108"/>
      <c r="AU2933" s="108"/>
      <c r="AV2933" s="108"/>
      <c r="AW2933" s="108"/>
      <c r="AX2933" s="108"/>
      <c r="AY2933" s="108"/>
      <c r="AZ2933" s="108"/>
      <c r="BA2933" s="108"/>
      <c r="BB2933" s="108"/>
      <c r="BC2933" s="108"/>
      <c r="BD2933" s="108"/>
      <c r="BE2933" s="108"/>
      <c r="BF2933" s="108"/>
      <c r="BG2933" s="108"/>
      <c r="BH2933" s="108"/>
      <c r="BI2933" s="108"/>
      <c r="BJ2933" s="108"/>
      <c r="BK2933" s="108"/>
      <c r="BL2933" s="108"/>
      <c r="BM2933" s="108"/>
      <c r="BN2933" s="108"/>
      <c r="BO2933" s="108"/>
      <c r="BP2933" s="108"/>
      <c r="BQ2933" s="108"/>
      <c r="BR2933" s="108"/>
      <c r="BS2933" s="108"/>
      <c r="BT2933" s="108"/>
      <c r="BU2933" s="108"/>
      <c r="BV2933" s="108"/>
      <c r="BW2933" s="108"/>
    </row>
    <row r="2934" spans="1:75" ht="12.75" customHeight="1" x14ac:dyDescent="0.3">
      <c r="A2934" s="1261" t="s">
        <v>652</v>
      </c>
      <c r="B2934" s="1262">
        <f>B2932/B2933-1</f>
        <v>-1.5747261463499029E-3</v>
      </c>
      <c r="C2934" s="1262">
        <f t="shared" ref="C2934:F2934" si="903">C2932/C2933-1</f>
        <v>-1.9979867385032657E-3</v>
      </c>
      <c r="D2934" s="1262">
        <f t="shared" si="903"/>
        <v>1.1237152919856275E-3</v>
      </c>
      <c r="E2934" s="1262">
        <f t="shared" si="903"/>
        <v>5.6145869539900861E-3</v>
      </c>
      <c r="F2934" s="1262">
        <f t="shared" si="903"/>
        <v>1.1121822902196543E-2</v>
      </c>
      <c r="G2934" s="1258"/>
      <c r="H2934" s="1258"/>
      <c r="I2934" s="1258"/>
      <c r="J2934" s="1258"/>
      <c r="K2934" s="1258"/>
      <c r="L2934" s="1258"/>
      <c r="M2934" s="1258"/>
      <c r="N2934" s="1258"/>
      <c r="O2934" s="1258"/>
      <c r="P2934" s="1258"/>
      <c r="Q2934" s="1258"/>
      <c r="R2934" s="1258"/>
      <c r="S2934" s="1258"/>
      <c r="T2934" s="1258"/>
      <c r="U2934" s="1258"/>
      <c r="V2934" s="1258"/>
      <c r="W2934" s="1258"/>
      <c r="X2934" s="1258"/>
      <c r="Y2934" s="1258"/>
      <c r="Z2934" s="1258"/>
      <c r="AA2934" s="1258"/>
      <c r="AB2934" s="1258"/>
      <c r="AC2934" s="1258"/>
      <c r="AD2934" s="1258"/>
      <c r="AE2934" s="1258"/>
      <c r="AF2934" s="1258"/>
      <c r="AG2934" s="1258"/>
      <c r="AH2934" s="1258"/>
      <c r="AI2934" s="1258"/>
      <c r="AJ2934" s="1258"/>
      <c r="AK2934" s="108"/>
      <c r="AL2934" s="108"/>
      <c r="AM2934" s="108"/>
      <c r="AN2934" s="108"/>
      <c r="AO2934" s="108"/>
      <c r="AP2934" s="108"/>
      <c r="AQ2934" s="108"/>
      <c r="AR2934" s="108"/>
      <c r="AS2934" s="108"/>
      <c r="AT2934" s="108"/>
      <c r="AU2934" s="108"/>
      <c r="AV2934" s="108"/>
      <c r="AW2934" s="108"/>
      <c r="AX2934" s="108"/>
      <c r="AY2934" s="108"/>
      <c r="AZ2934" s="108"/>
      <c r="BA2934" s="108"/>
      <c r="BB2934" s="108"/>
      <c r="BC2934" s="108"/>
      <c r="BD2934" s="108"/>
      <c r="BE2934" s="108"/>
      <c r="BF2934" s="108"/>
      <c r="BG2934" s="108"/>
      <c r="BH2934" s="108"/>
      <c r="BI2934" s="108"/>
      <c r="BJ2934" s="108"/>
      <c r="BK2934" s="108"/>
      <c r="BL2934" s="108"/>
      <c r="BM2934" s="108"/>
      <c r="BN2934" s="108"/>
      <c r="BO2934" s="108"/>
      <c r="BP2934" s="108"/>
      <c r="BQ2934" s="108"/>
      <c r="BR2934" s="108"/>
      <c r="BS2934" s="108"/>
      <c r="BT2934" s="108"/>
      <c r="BU2934" s="108"/>
      <c r="BV2934" s="108"/>
      <c r="BW2934" s="108"/>
    </row>
    <row r="2935" spans="1:75" ht="12.75" customHeight="1" x14ac:dyDescent="0.3">
      <c r="A2935" s="1258"/>
      <c r="B2935" s="1258"/>
      <c r="C2935" s="1258"/>
      <c r="D2935" s="1258"/>
      <c r="E2935" s="1258"/>
      <c r="F2935" s="1258"/>
      <c r="G2935" s="1258"/>
      <c r="H2935" s="1258"/>
      <c r="I2935" s="1258"/>
      <c r="J2935" s="1258"/>
      <c r="K2935" s="1258"/>
      <c r="L2935" s="1258"/>
      <c r="M2935" s="1258"/>
      <c r="N2935" s="1258"/>
      <c r="O2935" s="1258"/>
      <c r="P2935" s="1258"/>
      <c r="Q2935" s="1258"/>
      <c r="R2935" s="1258"/>
      <c r="S2935" s="1258"/>
      <c r="T2935" s="1258"/>
      <c r="U2935" s="1258"/>
      <c r="V2935" s="1258"/>
      <c r="W2935" s="1258"/>
      <c r="X2935" s="1258"/>
      <c r="Y2935" s="1258"/>
      <c r="Z2935" s="1258"/>
      <c r="AA2935" s="1258"/>
      <c r="AB2935" s="1258"/>
      <c r="AC2935" s="1258"/>
      <c r="AD2935" s="1258"/>
      <c r="AE2935" s="1258"/>
      <c r="AF2935" s="1258"/>
      <c r="AG2935" s="1258"/>
      <c r="AH2935" s="1258"/>
      <c r="AI2935" s="1258"/>
      <c r="AJ2935" s="1258"/>
      <c r="AK2935" s="108"/>
      <c r="AL2935" s="108"/>
      <c r="AM2935" s="108"/>
      <c r="AN2935" s="108"/>
      <c r="AO2935" s="108"/>
      <c r="AP2935" s="108"/>
      <c r="AQ2935" s="108"/>
      <c r="AR2935" s="108"/>
      <c r="AS2935" s="108"/>
      <c r="AT2935" s="108"/>
      <c r="AU2935" s="108"/>
      <c r="AV2935" s="108"/>
      <c r="AW2935" s="108"/>
      <c r="AX2935" s="108"/>
      <c r="AY2935" s="108"/>
      <c r="AZ2935" s="108"/>
      <c r="BA2935" s="108"/>
      <c r="BB2935" s="108"/>
      <c r="BC2935" s="108"/>
      <c r="BD2935" s="108"/>
      <c r="BE2935" s="108"/>
      <c r="BF2935" s="108"/>
      <c r="BG2935" s="108"/>
      <c r="BH2935" s="108"/>
      <c r="BI2935" s="108"/>
      <c r="BJ2935" s="108"/>
      <c r="BK2935" s="108"/>
      <c r="BL2935" s="108"/>
      <c r="BM2935" s="108"/>
      <c r="BN2935" s="108"/>
      <c r="BO2935" s="108"/>
      <c r="BP2935" s="108"/>
      <c r="BQ2935" s="108"/>
      <c r="BR2935" s="108"/>
      <c r="BS2935" s="108"/>
      <c r="BT2935" s="108"/>
      <c r="BU2935" s="108"/>
      <c r="BV2935" s="108"/>
      <c r="BW2935" s="108"/>
    </row>
    <row r="2936" spans="1:75" ht="12.75" customHeight="1" x14ac:dyDescent="0.3">
      <c r="A2936" s="802" t="s">
        <v>1661</v>
      </c>
      <c r="B2936" s="1258"/>
      <c r="C2936" s="1258"/>
      <c r="D2936" s="1258"/>
      <c r="E2936" s="1258"/>
      <c r="F2936" s="1258"/>
      <c r="G2936" s="1258"/>
      <c r="H2936" s="1258"/>
      <c r="I2936" s="1258"/>
      <c r="J2936" s="1258"/>
      <c r="K2936" s="1258"/>
      <c r="L2936" s="1258"/>
      <c r="M2936" s="1258"/>
      <c r="N2936" s="1258"/>
      <c r="O2936" s="1258"/>
      <c r="P2936" s="1258"/>
      <c r="Q2936" s="1258"/>
      <c r="R2936" s="1258"/>
      <c r="S2936" s="1258"/>
      <c r="T2936" s="1258"/>
      <c r="U2936" s="1258"/>
      <c r="V2936" s="1258"/>
      <c r="W2936" s="1258"/>
      <c r="X2936" s="1258"/>
      <c r="Y2936" s="1258"/>
      <c r="Z2936" s="1258"/>
      <c r="AA2936" s="1258"/>
      <c r="AB2936" s="1258"/>
      <c r="AC2936" s="1258"/>
      <c r="AD2936" s="1258"/>
      <c r="AE2936" s="1258"/>
      <c r="AF2936" s="1258"/>
      <c r="AG2936" s="1258"/>
      <c r="AH2936" s="1258"/>
      <c r="AI2936" s="1258"/>
      <c r="AJ2936" s="1258"/>
      <c r="AK2936" s="108"/>
      <c r="AL2936" s="108"/>
      <c r="AM2936" s="108"/>
      <c r="AN2936" s="108"/>
      <c r="AO2936" s="108"/>
      <c r="AP2936" s="108"/>
      <c r="AQ2936" s="108"/>
      <c r="AR2936" s="108"/>
      <c r="AS2936" s="108"/>
      <c r="AT2936" s="108"/>
      <c r="AU2936" s="108"/>
      <c r="AV2936" s="108"/>
      <c r="AW2936" s="108"/>
      <c r="AX2936" s="108"/>
      <c r="AY2936" s="108"/>
      <c r="AZ2936" s="108"/>
      <c r="BA2936" s="108"/>
      <c r="BB2936" s="108"/>
      <c r="BC2936" s="108"/>
      <c r="BD2936" s="108"/>
      <c r="BE2936" s="108"/>
      <c r="BF2936" s="108"/>
      <c r="BG2936" s="108"/>
      <c r="BH2936" s="108"/>
      <c r="BI2936" s="108"/>
      <c r="BJ2936" s="108"/>
      <c r="BK2936" s="108"/>
      <c r="BL2936" s="108"/>
      <c r="BM2936" s="108"/>
      <c r="BN2936" s="108"/>
      <c r="BO2936" s="108"/>
      <c r="BP2936" s="108"/>
      <c r="BQ2936" s="108"/>
      <c r="BR2936" s="108"/>
      <c r="BS2936" s="108"/>
      <c r="BT2936" s="108"/>
      <c r="BU2936" s="108"/>
      <c r="BV2936" s="108"/>
      <c r="BW2936" s="108"/>
    </row>
    <row r="2937" spans="1:75" ht="12.75" customHeight="1" x14ac:dyDescent="0.3">
      <c r="A2937" s="1258" t="s">
        <v>722</v>
      </c>
      <c r="B2937" s="1264">
        <f>Drivers!EN323</f>
        <v>48.086720529226767</v>
      </c>
      <c r="C2937" s="1264">
        <f>Drivers!ES323</f>
        <v>52.261183591123064</v>
      </c>
      <c r="D2937" s="1264">
        <f>Drivers!EX323</f>
        <v>58.753231304347821</v>
      </c>
      <c r="E2937" s="1264">
        <f>Drivers!FC323</f>
        <v>63.109315958467334</v>
      </c>
      <c r="F2937" s="1264">
        <f>Drivers!FD323</f>
        <v>66.618606213771756</v>
      </c>
      <c r="G2937" s="1262">
        <f>(F2937/B2937)^(1/4)-1</f>
        <v>8.4907210595413618E-2</v>
      </c>
      <c r="H2937" s="1258"/>
      <c r="I2937" s="1258"/>
      <c r="J2937" s="1258"/>
      <c r="K2937" s="1258"/>
      <c r="L2937" s="1258"/>
      <c r="M2937" s="1258"/>
      <c r="N2937" s="1258"/>
      <c r="O2937" s="1258"/>
      <c r="P2937" s="1258"/>
      <c r="Q2937" s="1258"/>
      <c r="R2937" s="1258"/>
      <c r="S2937" s="1258"/>
      <c r="T2937" s="1258"/>
      <c r="U2937" s="1258"/>
      <c r="V2937" s="1258"/>
      <c r="W2937" s="1258"/>
      <c r="X2937" s="1258"/>
      <c r="Y2937" s="1258"/>
      <c r="Z2937" s="1258"/>
      <c r="AA2937" s="1258"/>
      <c r="AB2937" s="1258"/>
      <c r="AC2937" s="1258"/>
      <c r="AD2937" s="1258"/>
      <c r="AE2937" s="1258"/>
      <c r="AF2937" s="1258"/>
      <c r="AG2937" s="1258"/>
      <c r="AH2937" s="1258"/>
      <c r="AI2937" s="1258"/>
      <c r="AJ2937" s="1258"/>
      <c r="AK2937" s="108"/>
      <c r="AL2937" s="108"/>
      <c r="AM2937" s="108"/>
      <c r="AN2937" s="108"/>
      <c r="AO2937" s="108"/>
      <c r="AP2937" s="108"/>
      <c r="AQ2937" s="108"/>
      <c r="AR2937" s="108"/>
      <c r="AS2937" s="108"/>
      <c r="AT2937" s="108"/>
      <c r="AU2937" s="108"/>
      <c r="AV2937" s="108"/>
      <c r="AW2937" s="108"/>
      <c r="AX2937" s="108"/>
      <c r="AY2937" s="108"/>
      <c r="AZ2937" s="108"/>
      <c r="BA2937" s="108"/>
      <c r="BB2937" s="108"/>
      <c r="BC2937" s="108"/>
      <c r="BD2937" s="108"/>
      <c r="BE2937" s="108"/>
      <c r="BF2937" s="108"/>
      <c r="BG2937" s="108"/>
      <c r="BH2937" s="108"/>
      <c r="BI2937" s="108"/>
      <c r="BJ2937" s="108"/>
      <c r="BK2937" s="108"/>
      <c r="BL2937" s="108"/>
      <c r="BM2937" s="108"/>
      <c r="BN2937" s="108"/>
      <c r="BO2937" s="108"/>
      <c r="BP2937" s="108"/>
      <c r="BQ2937" s="108"/>
      <c r="BR2937" s="108"/>
      <c r="BS2937" s="108"/>
      <c r="BT2937" s="108"/>
      <c r="BU2937" s="108"/>
      <c r="BV2937" s="108"/>
      <c r="BW2937" s="108"/>
    </row>
    <row r="2938" spans="1:75" ht="12.75" customHeight="1" x14ac:dyDescent="0.3">
      <c r="A2938" s="1258" t="s">
        <v>726</v>
      </c>
      <c r="B2938" s="1264">
        <f>_xll.VAData("FYBR_US",B2909,"ARPU - Consumer Copper Broadband")</f>
        <v>48.096815999200544</v>
      </c>
      <c r="C2938" s="1264">
        <f>_xll.VAData("FYBR_US",C2909,"ARPU - Consumer Copper Broadband")</f>
        <v>52.086077866238035</v>
      </c>
      <c r="D2938" s="1264">
        <f>_xll.VAData("FYBR_US",D2909,"ARPU - Consumer Copper Broadband")</f>
        <v>58.039677803668553</v>
      </c>
      <c r="E2938" s="1264">
        <f>_xll.VAData("FYBR_US",E2909,"ARPU - Consumer Copper Broadband")</f>
        <v>60.905977191725135</v>
      </c>
      <c r="F2938" s="1264">
        <f>_xll.VAData("FYBR_US",F2909,"ARPU - Consumer Copper Broadband")</f>
        <v>64.039563067306347</v>
      </c>
      <c r="G2938" s="1262">
        <f>(F2938/B2938)^(1/4)-1</f>
        <v>7.4194707392412962E-2</v>
      </c>
      <c r="H2938" s="1258"/>
      <c r="I2938" s="1258"/>
      <c r="J2938" s="1258"/>
      <c r="K2938" s="1258"/>
      <c r="L2938" s="1258"/>
      <c r="M2938" s="1258"/>
      <c r="N2938" s="1258"/>
      <c r="O2938" s="1258"/>
      <c r="P2938" s="1258"/>
      <c r="Q2938" s="1258"/>
      <c r="R2938" s="1258"/>
      <c r="S2938" s="1258"/>
      <c r="T2938" s="1258"/>
      <c r="U2938" s="1258"/>
      <c r="V2938" s="1258"/>
      <c r="W2938" s="1258"/>
      <c r="X2938" s="1258"/>
      <c r="Y2938" s="1258"/>
      <c r="Z2938" s="1258"/>
      <c r="AA2938" s="1258"/>
      <c r="AB2938" s="1258"/>
      <c r="AC2938" s="1258"/>
      <c r="AD2938" s="1258"/>
      <c r="AE2938" s="1258"/>
      <c r="AF2938" s="1258"/>
      <c r="AG2938" s="1258"/>
      <c r="AH2938" s="1258"/>
      <c r="AI2938" s="1258"/>
      <c r="AJ2938" s="1258"/>
      <c r="AK2938" s="108"/>
      <c r="AL2938" s="108"/>
      <c r="AM2938" s="108"/>
      <c r="AN2938" s="108"/>
      <c r="AO2938" s="108"/>
      <c r="AP2938" s="108"/>
      <c r="AQ2938" s="108"/>
      <c r="AR2938" s="108"/>
      <c r="AS2938" s="108"/>
      <c r="AT2938" s="108"/>
      <c r="AU2938" s="108"/>
      <c r="AV2938" s="108"/>
      <c r="AW2938" s="108"/>
      <c r="AX2938" s="108"/>
      <c r="AY2938" s="108"/>
      <c r="AZ2938" s="108"/>
      <c r="BA2938" s="108"/>
      <c r="BB2938" s="108"/>
      <c r="BC2938" s="108"/>
      <c r="BD2938" s="108"/>
      <c r="BE2938" s="108"/>
      <c r="BF2938" s="108"/>
      <c r="BG2938" s="108"/>
      <c r="BH2938" s="108"/>
      <c r="BI2938" s="108"/>
      <c r="BJ2938" s="108"/>
      <c r="BK2938" s="108"/>
      <c r="BL2938" s="108"/>
      <c r="BM2938" s="108"/>
      <c r="BN2938" s="108"/>
      <c r="BO2938" s="108"/>
      <c r="BP2938" s="108"/>
      <c r="BQ2938" s="108"/>
      <c r="BR2938" s="108"/>
      <c r="BS2938" s="108"/>
      <c r="BT2938" s="108"/>
      <c r="BU2938" s="108"/>
      <c r="BV2938" s="108"/>
      <c r="BW2938" s="108"/>
    </row>
    <row r="2939" spans="1:75" ht="12.75" customHeight="1" x14ac:dyDescent="0.3">
      <c r="A2939" s="1261" t="s">
        <v>652</v>
      </c>
      <c r="B2939" s="1262">
        <f>B2937/B2938-1</f>
        <v>-2.0989892499212459E-4</v>
      </c>
      <c r="C2939" s="1262">
        <f t="shared" ref="C2939:F2939" si="904">C2937/C2938-1</f>
        <v>3.361852764854234E-3</v>
      </c>
      <c r="D2939" s="1262">
        <f t="shared" si="904"/>
        <v>1.2294236075758525E-2</v>
      </c>
      <c r="E2939" s="1262">
        <f t="shared" si="904"/>
        <v>3.6176067905557829E-2</v>
      </c>
      <c r="F2939" s="1262">
        <f t="shared" si="904"/>
        <v>4.0272653699320315E-2</v>
      </c>
      <c r="G2939" s="1258"/>
      <c r="H2939" s="1258"/>
      <c r="I2939" s="1258"/>
      <c r="J2939" s="1258"/>
      <c r="K2939" s="1258"/>
      <c r="L2939" s="1258"/>
      <c r="M2939" s="1258"/>
      <c r="N2939" s="1258"/>
      <c r="O2939" s="1258"/>
      <c r="P2939" s="1258"/>
      <c r="Q2939" s="1258"/>
      <c r="R2939" s="1258"/>
      <c r="S2939" s="1258"/>
      <c r="T2939" s="1258"/>
      <c r="U2939" s="1258"/>
      <c r="V2939" s="1258"/>
      <c r="W2939" s="1258"/>
      <c r="X2939" s="1258"/>
      <c r="Y2939" s="1258"/>
      <c r="Z2939" s="1258"/>
      <c r="AA2939" s="1258"/>
      <c r="AB2939" s="1258"/>
      <c r="AC2939" s="1258"/>
      <c r="AD2939" s="1258"/>
      <c r="AE2939" s="1258"/>
      <c r="AF2939" s="1258"/>
      <c r="AG2939" s="1258"/>
      <c r="AH2939" s="1258"/>
      <c r="AI2939" s="1258"/>
      <c r="AJ2939" s="1258"/>
      <c r="AK2939" s="108"/>
      <c r="AL2939" s="108"/>
      <c r="AM2939" s="108"/>
      <c r="AN2939" s="108"/>
      <c r="AO2939" s="108"/>
      <c r="AP2939" s="108"/>
      <c r="AQ2939" s="108"/>
      <c r="AR2939" s="108"/>
      <c r="AS2939" s="108"/>
      <c r="AT2939" s="108"/>
      <c r="AU2939" s="108"/>
      <c r="AV2939" s="108"/>
      <c r="AW2939" s="108"/>
      <c r="AX2939" s="108"/>
      <c r="AY2939" s="108"/>
      <c r="AZ2939" s="108"/>
      <c r="BA2939" s="108"/>
      <c r="BB2939" s="108"/>
      <c r="BC2939" s="108"/>
      <c r="BD2939" s="108"/>
      <c r="BE2939" s="108"/>
      <c r="BF2939" s="108"/>
      <c r="BG2939" s="108"/>
      <c r="BH2939" s="108"/>
      <c r="BI2939" s="108"/>
      <c r="BJ2939" s="108"/>
      <c r="BK2939" s="108"/>
      <c r="BL2939" s="108"/>
      <c r="BM2939" s="108"/>
      <c r="BN2939" s="108"/>
      <c r="BO2939" s="108"/>
      <c r="BP2939" s="108"/>
      <c r="BQ2939" s="108"/>
      <c r="BR2939" s="108"/>
      <c r="BS2939" s="108"/>
      <c r="BT2939" s="108"/>
      <c r="BU2939" s="108"/>
      <c r="BV2939" s="108"/>
      <c r="BW2939" s="108"/>
    </row>
    <row r="2940" spans="1:75" ht="12.75" customHeight="1" x14ac:dyDescent="0.3">
      <c r="A2940" s="1258"/>
      <c r="B2940" s="1258"/>
      <c r="C2940" s="1258"/>
      <c r="D2940" s="1258"/>
      <c r="E2940" s="1258"/>
      <c r="F2940" s="1258"/>
      <c r="G2940" s="1258"/>
      <c r="H2940" s="1258"/>
      <c r="I2940" s="1258"/>
      <c r="J2940" s="1258"/>
      <c r="K2940" s="1258"/>
      <c r="L2940" s="1258"/>
      <c r="M2940" s="1258"/>
      <c r="N2940" s="1258"/>
      <c r="O2940" s="1258"/>
      <c r="P2940" s="1258"/>
      <c r="Q2940" s="1258"/>
      <c r="R2940" s="1258"/>
      <c r="S2940" s="1258"/>
      <c r="T2940" s="1258"/>
      <c r="U2940" s="1258"/>
      <c r="V2940" s="1258"/>
      <c r="W2940" s="1258"/>
      <c r="X2940" s="1258"/>
      <c r="Y2940" s="1258"/>
      <c r="Z2940" s="1258"/>
      <c r="AA2940" s="1258"/>
      <c r="AB2940" s="1258"/>
      <c r="AC2940" s="1258"/>
      <c r="AD2940" s="1258"/>
      <c r="AE2940" s="1258"/>
      <c r="AF2940" s="1258"/>
      <c r="AG2940" s="1258"/>
      <c r="AH2940" s="1258"/>
      <c r="AI2940" s="1258"/>
      <c r="AJ2940" s="1258"/>
      <c r="AK2940" s="108"/>
      <c r="AL2940" s="108"/>
      <c r="AM2940" s="108"/>
      <c r="AN2940" s="108"/>
      <c r="AO2940" s="108"/>
      <c r="AP2940" s="108"/>
      <c r="AQ2940" s="108"/>
      <c r="AR2940" s="108"/>
      <c r="AS2940" s="108"/>
      <c r="AT2940" s="108"/>
      <c r="AU2940" s="108"/>
      <c r="AV2940" s="108"/>
      <c r="AW2940" s="108"/>
      <c r="AX2940" s="108"/>
      <c r="AY2940" s="108"/>
      <c r="AZ2940" s="108"/>
      <c r="BA2940" s="108"/>
      <c r="BB2940" s="108"/>
      <c r="BC2940" s="108"/>
      <c r="BD2940" s="108"/>
      <c r="BE2940" s="108"/>
      <c r="BF2940" s="108"/>
      <c r="BG2940" s="108"/>
      <c r="BH2940" s="108"/>
      <c r="BI2940" s="108"/>
      <c r="BJ2940" s="108"/>
      <c r="BK2940" s="108"/>
      <c r="BL2940" s="108"/>
      <c r="BM2940" s="108"/>
      <c r="BN2940" s="108"/>
      <c r="BO2940" s="108"/>
      <c r="BP2940" s="108"/>
      <c r="BQ2940" s="108"/>
      <c r="BR2940" s="108"/>
      <c r="BS2940" s="108"/>
      <c r="BT2940" s="108"/>
      <c r="BU2940" s="108"/>
      <c r="BV2940" s="108"/>
      <c r="BW2940" s="108"/>
    </row>
    <row r="2941" spans="1:75" ht="12.75" customHeight="1" x14ac:dyDescent="0.3">
      <c r="A2941" s="802" t="s">
        <v>284</v>
      </c>
      <c r="B2941" s="1258"/>
      <c r="C2941" s="1258"/>
      <c r="D2941" s="1258"/>
      <c r="E2941" s="1258"/>
      <c r="F2941" s="1258"/>
      <c r="G2941" s="1258"/>
      <c r="H2941" s="1258"/>
      <c r="I2941" s="1258"/>
      <c r="J2941" s="1258"/>
      <c r="K2941" s="1258"/>
      <c r="L2941" s="1258"/>
      <c r="M2941" s="1258"/>
      <c r="N2941" s="1258"/>
      <c r="O2941" s="1258"/>
      <c r="P2941" s="1258"/>
      <c r="Q2941" s="1258"/>
      <c r="R2941" s="1258"/>
      <c r="S2941" s="1258"/>
      <c r="T2941" s="1258"/>
      <c r="U2941" s="1258"/>
      <c r="V2941" s="1258"/>
      <c r="W2941" s="1258"/>
      <c r="X2941" s="1258"/>
      <c r="Y2941" s="1258"/>
      <c r="Z2941" s="1258"/>
      <c r="AA2941" s="1258"/>
      <c r="AB2941" s="1258"/>
      <c r="AC2941" s="1258"/>
      <c r="AD2941" s="1258"/>
      <c r="AE2941" s="1258"/>
      <c r="AF2941" s="1258"/>
      <c r="AG2941" s="1258"/>
      <c r="AH2941" s="1258"/>
      <c r="AI2941" s="1258"/>
      <c r="AJ2941" s="1258"/>
      <c r="AK2941" s="108"/>
      <c r="AL2941" s="108"/>
      <c r="AM2941" s="108"/>
      <c r="AN2941" s="108"/>
      <c r="AO2941" s="108"/>
      <c r="AP2941" s="108"/>
      <c r="AQ2941" s="108"/>
      <c r="AR2941" s="108"/>
      <c r="AS2941" s="108"/>
      <c r="AT2941" s="108"/>
      <c r="AU2941" s="108"/>
      <c r="AV2941" s="108"/>
      <c r="AW2941" s="108"/>
      <c r="AX2941" s="108"/>
      <c r="AY2941" s="108"/>
      <c r="AZ2941" s="108"/>
      <c r="BA2941" s="108"/>
      <c r="BB2941" s="108"/>
      <c r="BC2941" s="108"/>
      <c r="BD2941" s="108"/>
      <c r="BE2941" s="108"/>
      <c r="BF2941" s="108"/>
      <c r="BG2941" s="108"/>
      <c r="BH2941" s="108"/>
      <c r="BI2941" s="108"/>
      <c r="BJ2941" s="108"/>
      <c r="BK2941" s="108"/>
      <c r="BL2941" s="108"/>
      <c r="BM2941" s="108"/>
      <c r="BN2941" s="108"/>
      <c r="BO2941" s="108"/>
      <c r="BP2941" s="108"/>
      <c r="BQ2941" s="108"/>
      <c r="BR2941" s="108"/>
      <c r="BS2941" s="108"/>
      <c r="BT2941" s="108"/>
      <c r="BU2941" s="108"/>
      <c r="BV2941" s="108"/>
      <c r="BW2941" s="108"/>
    </row>
    <row r="2942" spans="1:75" ht="12.75" customHeight="1" x14ac:dyDescent="0.3">
      <c r="A2942" s="1258" t="s">
        <v>722</v>
      </c>
      <c r="B2942" s="1258">
        <f>'Model Main'!EN18</f>
        <v>5787</v>
      </c>
      <c r="C2942" s="1258">
        <f>'Model Main'!ES18</f>
        <v>5751</v>
      </c>
      <c r="D2942" s="1258">
        <f>'Model Main'!EX18</f>
        <v>5937</v>
      </c>
      <c r="E2942" s="1258">
        <f>'Model Main'!FC18</f>
        <v>6020.8233791249313</v>
      </c>
      <c r="F2942" s="1258">
        <f>'Model Main'!FD18</f>
        <v>6226.1974527353104</v>
      </c>
      <c r="G2942" s="1262">
        <f>(F2942/B2942)^(1/4)-1</f>
        <v>1.8456189249712596E-2</v>
      </c>
      <c r="H2942" s="1258"/>
      <c r="I2942" s="1258"/>
      <c r="J2942" s="1258"/>
      <c r="K2942" s="1258"/>
      <c r="L2942" s="1258"/>
      <c r="M2942" s="1258"/>
      <c r="N2942" s="1258"/>
      <c r="O2942" s="1258"/>
      <c r="P2942" s="1258"/>
      <c r="Q2942" s="1258"/>
      <c r="R2942" s="1258"/>
      <c r="S2942" s="1258"/>
      <c r="T2942" s="1258"/>
      <c r="U2942" s="1258"/>
      <c r="V2942" s="1258"/>
      <c r="W2942" s="1258"/>
      <c r="X2942" s="1258"/>
      <c r="Y2942" s="1258"/>
      <c r="Z2942" s="1258"/>
      <c r="AA2942" s="1258"/>
      <c r="AB2942" s="1258"/>
      <c r="AC2942" s="1258"/>
      <c r="AD2942" s="1258"/>
      <c r="AE2942" s="1258"/>
      <c r="AF2942" s="1258"/>
      <c r="AG2942" s="1258"/>
      <c r="AH2942" s="1258"/>
      <c r="AI2942" s="1258"/>
      <c r="AJ2942" s="1258"/>
      <c r="AK2942" s="108"/>
      <c r="AL2942" s="108"/>
      <c r="AM2942" s="108"/>
      <c r="AN2942" s="108"/>
      <c r="AO2942" s="108"/>
      <c r="AP2942" s="108"/>
      <c r="AQ2942" s="108"/>
      <c r="AR2942" s="108"/>
      <c r="AS2942" s="108"/>
      <c r="AT2942" s="108"/>
      <c r="AU2942" s="108"/>
      <c r="AV2942" s="108"/>
      <c r="AW2942" s="108"/>
      <c r="AX2942" s="108"/>
      <c r="AY2942" s="108"/>
      <c r="AZ2942" s="108"/>
      <c r="BA2942" s="108"/>
      <c r="BB2942" s="108"/>
      <c r="BC2942" s="108"/>
      <c r="BD2942" s="108"/>
      <c r="BE2942" s="108"/>
      <c r="BF2942" s="108"/>
      <c r="BG2942" s="108"/>
      <c r="BH2942" s="108"/>
      <c r="BI2942" s="108"/>
      <c r="BJ2942" s="108"/>
      <c r="BK2942" s="108"/>
      <c r="BL2942" s="108"/>
      <c r="BM2942" s="108"/>
      <c r="BN2942" s="108"/>
      <c r="BO2942" s="108"/>
      <c r="BP2942" s="108"/>
      <c r="BQ2942" s="108"/>
      <c r="BR2942" s="108"/>
      <c r="BS2942" s="108"/>
      <c r="BT2942" s="108"/>
      <c r="BU2942" s="108"/>
      <c r="BV2942" s="108"/>
      <c r="BW2942" s="108"/>
    </row>
    <row r="2943" spans="1:75" ht="12.75" customHeight="1" x14ac:dyDescent="0.3">
      <c r="A2943" s="1258" t="s">
        <v>726</v>
      </c>
      <c r="B2943" s="1258">
        <f>_xll.VAData("FYBR_US",B2909,"Total revenue")</f>
        <v>5787</v>
      </c>
      <c r="C2943" s="1258">
        <f>_xll.VAData("FYBR_US",C2909,"Total revenue")</f>
        <v>5751</v>
      </c>
      <c r="D2943" s="1258">
        <f>_xll.VAData("FYBR_US",D2909,"Total revenue")</f>
        <v>5896.8322119915192</v>
      </c>
      <c r="E2943" s="1258">
        <f>_xll.VAData("FYBR_US",E2909,"Total revenue")</f>
        <v>6005.9840364603479</v>
      </c>
      <c r="F2943" s="1258">
        <f>_xll.VAData("FYBR_US",F2909,"Total revenue")</f>
        <v>6235.3486690862264</v>
      </c>
      <c r="G2943" s="1262">
        <f>(F2943/B2943)^(1/4)-1</f>
        <v>1.8830212898032217E-2</v>
      </c>
      <c r="H2943" s="1258"/>
      <c r="I2943" s="1258"/>
      <c r="J2943" s="1258"/>
      <c r="K2943" s="1258"/>
      <c r="L2943" s="1258"/>
      <c r="M2943" s="1258"/>
      <c r="N2943" s="1258"/>
      <c r="O2943" s="1258"/>
      <c r="P2943" s="1258"/>
      <c r="Q2943" s="1258"/>
      <c r="R2943" s="1258"/>
      <c r="S2943" s="1258"/>
      <c r="T2943" s="1258"/>
      <c r="U2943" s="1258"/>
      <c r="V2943" s="1258"/>
      <c r="W2943" s="1258"/>
      <c r="X2943" s="1258"/>
      <c r="Y2943" s="1258"/>
      <c r="Z2943" s="1258"/>
      <c r="AA2943" s="1258"/>
      <c r="AB2943" s="1258"/>
      <c r="AC2943" s="1258"/>
      <c r="AD2943" s="1258"/>
      <c r="AE2943" s="1258"/>
      <c r="AF2943" s="1258"/>
      <c r="AG2943" s="1258"/>
      <c r="AH2943" s="1258"/>
      <c r="AI2943" s="1258"/>
      <c r="AJ2943" s="1258"/>
      <c r="AK2943" s="108"/>
      <c r="AL2943" s="108"/>
      <c r="AM2943" s="108"/>
      <c r="AN2943" s="108"/>
      <c r="AO2943" s="108"/>
      <c r="AP2943" s="108"/>
      <c r="AQ2943" s="108"/>
      <c r="AR2943" s="108"/>
      <c r="AS2943" s="108"/>
      <c r="AT2943" s="108"/>
      <c r="AU2943" s="108"/>
      <c r="AV2943" s="108"/>
      <c r="AW2943" s="108"/>
      <c r="AX2943" s="108"/>
      <c r="AY2943" s="108"/>
      <c r="AZ2943" s="108"/>
      <c r="BA2943" s="108"/>
      <c r="BB2943" s="108"/>
      <c r="BC2943" s="108"/>
      <c r="BD2943" s="108"/>
      <c r="BE2943" s="108"/>
      <c r="BF2943" s="108"/>
      <c r="BG2943" s="108"/>
      <c r="BH2943" s="108"/>
      <c r="BI2943" s="108"/>
      <c r="BJ2943" s="108"/>
      <c r="BK2943" s="108"/>
      <c r="BL2943" s="108"/>
      <c r="BM2943" s="108"/>
      <c r="BN2943" s="108"/>
      <c r="BO2943" s="108"/>
      <c r="BP2943" s="108"/>
      <c r="BQ2943" s="108"/>
      <c r="BR2943" s="108"/>
      <c r="BS2943" s="108"/>
      <c r="BT2943" s="108"/>
      <c r="BU2943" s="108"/>
      <c r="BV2943" s="108"/>
      <c r="BW2943" s="108"/>
    </row>
    <row r="2944" spans="1:75" ht="12.75" customHeight="1" x14ac:dyDescent="0.3">
      <c r="A2944" s="1261" t="s">
        <v>652</v>
      </c>
      <c r="B2944" s="1262">
        <f>B2942/B2943-1</f>
        <v>0</v>
      </c>
      <c r="C2944" s="1262">
        <f t="shared" ref="C2944:F2944" si="905">C2942/C2943-1</f>
        <v>0</v>
      </c>
      <c r="D2944" s="1262">
        <f t="shared" si="905"/>
        <v>6.8117569848431536E-3</v>
      </c>
      <c r="E2944" s="1262">
        <f t="shared" si="905"/>
        <v>2.4707595915172131E-3</v>
      </c>
      <c r="F2944" s="1262">
        <f t="shared" si="905"/>
        <v>-1.4676350652668146E-3</v>
      </c>
      <c r="G2944" s="1258"/>
      <c r="H2944" s="1258"/>
      <c r="I2944" s="1258"/>
      <c r="J2944" s="1258"/>
      <c r="K2944" s="1258"/>
      <c r="L2944" s="1258"/>
      <c r="M2944" s="1258"/>
      <c r="N2944" s="1258"/>
      <c r="O2944" s="1258"/>
      <c r="P2944" s="1258"/>
      <c r="Q2944" s="1258"/>
      <c r="R2944" s="1258"/>
      <c r="S2944" s="1258"/>
      <c r="T2944" s="1258"/>
      <c r="U2944" s="1258"/>
      <c r="V2944" s="1258"/>
      <c r="W2944" s="1258"/>
      <c r="X2944" s="1258"/>
      <c r="Y2944" s="1258"/>
      <c r="Z2944" s="1258"/>
      <c r="AA2944" s="1258"/>
      <c r="AB2944" s="1258"/>
      <c r="AC2944" s="1258"/>
      <c r="AD2944" s="1258"/>
      <c r="AE2944" s="1258"/>
      <c r="AF2944" s="1258"/>
      <c r="AG2944" s="1258"/>
      <c r="AH2944" s="1258"/>
      <c r="AI2944" s="1258"/>
      <c r="AJ2944" s="1258"/>
      <c r="AK2944" s="108"/>
      <c r="AL2944" s="108"/>
      <c r="AM2944" s="108"/>
      <c r="AN2944" s="108"/>
      <c r="AO2944" s="108"/>
      <c r="AP2944" s="108"/>
      <c r="AQ2944" s="108"/>
      <c r="AR2944" s="108"/>
      <c r="AS2944" s="108"/>
      <c r="AT2944" s="108"/>
      <c r="AU2944" s="108"/>
      <c r="AV2944" s="108"/>
      <c r="AW2944" s="108"/>
      <c r="AX2944" s="108"/>
      <c r="AY2944" s="108"/>
      <c r="AZ2944" s="108"/>
      <c r="BA2944" s="108"/>
      <c r="BB2944" s="108"/>
      <c r="BC2944" s="108"/>
      <c r="BD2944" s="108"/>
      <c r="BE2944" s="108"/>
      <c r="BF2944" s="108"/>
      <c r="BG2944" s="108"/>
      <c r="BH2944" s="108"/>
      <c r="BI2944" s="108"/>
      <c r="BJ2944" s="108"/>
      <c r="BK2944" s="108"/>
      <c r="BL2944" s="108"/>
      <c r="BM2944" s="108"/>
      <c r="BN2944" s="108"/>
      <c r="BO2944" s="108"/>
      <c r="BP2944" s="108"/>
      <c r="BQ2944" s="108"/>
      <c r="BR2944" s="108"/>
      <c r="BS2944" s="108"/>
      <c r="BT2944" s="108"/>
      <c r="BU2944" s="108"/>
      <c r="BV2944" s="108"/>
      <c r="BW2944" s="108"/>
    </row>
    <row r="2945" spans="1:75" ht="12.75" customHeight="1" x14ac:dyDescent="0.3">
      <c r="A2945" s="1258"/>
      <c r="B2945" s="1258"/>
      <c r="C2945" s="1258"/>
      <c r="D2945" s="1258"/>
      <c r="E2945" s="1258"/>
      <c r="F2945" s="1258"/>
      <c r="G2945" s="1258"/>
      <c r="H2945" s="1258"/>
      <c r="I2945" s="1258"/>
      <c r="J2945" s="1258"/>
      <c r="K2945" s="1258"/>
      <c r="L2945" s="1258"/>
      <c r="M2945" s="1258"/>
      <c r="N2945" s="1258"/>
      <c r="O2945" s="1258"/>
      <c r="P2945" s="1258"/>
      <c r="Q2945" s="1258"/>
      <c r="R2945" s="1258"/>
      <c r="S2945" s="1258"/>
      <c r="T2945" s="1258"/>
      <c r="U2945" s="1258"/>
      <c r="V2945" s="1258"/>
      <c r="W2945" s="1258"/>
      <c r="X2945" s="1258"/>
      <c r="Y2945" s="1258"/>
      <c r="Z2945" s="1258"/>
      <c r="AA2945" s="1258"/>
      <c r="AB2945" s="1258"/>
      <c r="AC2945" s="1258"/>
      <c r="AD2945" s="1258"/>
      <c r="AE2945" s="1258"/>
      <c r="AF2945" s="1258"/>
      <c r="AG2945" s="1258"/>
      <c r="AH2945" s="1258"/>
      <c r="AI2945" s="1258"/>
      <c r="AJ2945" s="1258"/>
      <c r="AK2945" s="108"/>
      <c r="AL2945" s="108"/>
      <c r="AM2945" s="108"/>
      <c r="AN2945" s="108"/>
      <c r="AO2945" s="108"/>
      <c r="AP2945" s="108"/>
      <c r="AQ2945" s="108"/>
      <c r="AR2945" s="108"/>
      <c r="AS2945" s="108"/>
      <c r="AT2945" s="108"/>
      <c r="AU2945" s="108"/>
      <c r="AV2945" s="108"/>
      <c r="AW2945" s="108"/>
      <c r="AX2945" s="108"/>
      <c r="AY2945" s="108"/>
      <c r="AZ2945" s="108"/>
      <c r="BA2945" s="108"/>
      <c r="BB2945" s="108"/>
      <c r="BC2945" s="108"/>
      <c r="BD2945" s="108"/>
      <c r="BE2945" s="108"/>
      <c r="BF2945" s="108"/>
      <c r="BG2945" s="108"/>
      <c r="BH2945" s="108"/>
      <c r="BI2945" s="108"/>
      <c r="BJ2945" s="108"/>
      <c r="BK2945" s="108"/>
      <c r="BL2945" s="108"/>
      <c r="BM2945" s="108"/>
      <c r="BN2945" s="108"/>
      <c r="BO2945" s="108"/>
      <c r="BP2945" s="108"/>
      <c r="BQ2945" s="108"/>
      <c r="BR2945" s="108"/>
      <c r="BS2945" s="108"/>
      <c r="BT2945" s="108"/>
      <c r="BU2945" s="108"/>
      <c r="BV2945" s="108"/>
      <c r="BW2945" s="108"/>
    </row>
    <row r="2946" spans="1:75" ht="12.75" customHeight="1" x14ac:dyDescent="0.3">
      <c r="A2946" s="802" t="s">
        <v>1596</v>
      </c>
      <c r="B2946" s="1258"/>
      <c r="C2946" s="1258"/>
      <c r="D2946" s="1258"/>
      <c r="E2946" s="1258"/>
      <c r="F2946" s="1258"/>
      <c r="G2946" s="1258"/>
      <c r="H2946" s="1258"/>
      <c r="I2946" s="1258"/>
      <c r="J2946" s="1258"/>
      <c r="K2946" s="1258"/>
      <c r="L2946" s="1258"/>
      <c r="M2946" s="1258"/>
      <c r="N2946" s="1258"/>
      <c r="O2946" s="1258"/>
      <c r="P2946" s="1258"/>
      <c r="Q2946" s="1258"/>
      <c r="R2946" s="1258"/>
      <c r="S2946" s="1258"/>
      <c r="T2946" s="1258"/>
      <c r="U2946" s="1258"/>
      <c r="V2946" s="1258"/>
      <c r="W2946" s="1258"/>
      <c r="X2946" s="1258"/>
      <c r="Y2946" s="1258"/>
      <c r="Z2946" s="1258"/>
      <c r="AA2946" s="1258"/>
      <c r="AB2946" s="1258"/>
      <c r="AC2946" s="1258"/>
      <c r="AD2946" s="1258"/>
      <c r="AE2946" s="1258"/>
      <c r="AF2946" s="1258"/>
      <c r="AG2946" s="1258"/>
      <c r="AH2946" s="1258"/>
      <c r="AI2946" s="1258"/>
      <c r="AJ2946" s="1258"/>
      <c r="AK2946" s="108"/>
      <c r="AL2946" s="108"/>
      <c r="AM2946" s="108"/>
      <c r="AN2946" s="108"/>
      <c r="AO2946" s="108"/>
      <c r="AP2946" s="108"/>
      <c r="AQ2946" s="108"/>
      <c r="AR2946" s="108"/>
      <c r="AS2946" s="108"/>
      <c r="AT2946" s="108"/>
      <c r="AU2946" s="108"/>
      <c r="AV2946" s="108"/>
      <c r="AW2946" s="108"/>
      <c r="AX2946" s="108"/>
      <c r="AY2946" s="108"/>
      <c r="AZ2946" s="108"/>
      <c r="BA2946" s="108"/>
      <c r="BB2946" s="108"/>
      <c r="BC2946" s="108"/>
      <c r="BD2946" s="108"/>
      <c r="BE2946" s="108"/>
      <c r="BF2946" s="108"/>
      <c r="BG2946" s="108"/>
      <c r="BH2946" s="108"/>
      <c r="BI2946" s="108"/>
      <c r="BJ2946" s="108"/>
      <c r="BK2946" s="108"/>
      <c r="BL2946" s="108"/>
      <c r="BM2946" s="108"/>
      <c r="BN2946" s="108"/>
      <c r="BO2946" s="108"/>
      <c r="BP2946" s="108"/>
      <c r="BQ2946" s="108"/>
      <c r="BR2946" s="108"/>
      <c r="BS2946" s="108"/>
      <c r="BT2946" s="108"/>
      <c r="BU2946" s="108"/>
      <c r="BV2946" s="108"/>
      <c r="BW2946" s="108"/>
    </row>
    <row r="2947" spans="1:75" ht="12.75" customHeight="1" x14ac:dyDescent="0.3">
      <c r="A2947" s="1258" t="s">
        <v>722</v>
      </c>
      <c r="B2947" s="1258">
        <f>B2942-B2952</f>
        <v>3707</v>
      </c>
      <c r="C2947" s="1258">
        <f t="shared" ref="C2947:F2948" si="906">C2942-C2952</f>
        <v>3624</v>
      </c>
      <c r="D2947" s="1258">
        <f t="shared" si="906"/>
        <v>3686</v>
      </c>
      <c r="E2947" s="1258">
        <f t="shared" si="906"/>
        <v>3604.368782213237</v>
      </c>
      <c r="F2947" s="1258">
        <f t="shared" si="906"/>
        <v>3549.1844137590506</v>
      </c>
      <c r="G2947" s="1262">
        <f>(F2947/B2947)^(1/4)-1</f>
        <v>-1.0817339618840016E-2</v>
      </c>
      <c r="H2947" s="1258"/>
      <c r="I2947" s="1258"/>
      <c r="J2947" s="1258"/>
      <c r="K2947" s="1258"/>
      <c r="L2947" s="1258"/>
      <c r="M2947" s="1258"/>
      <c r="N2947" s="1258"/>
      <c r="O2947" s="1258"/>
      <c r="P2947" s="1258"/>
      <c r="Q2947" s="1258"/>
      <c r="R2947" s="1258"/>
      <c r="S2947" s="1258"/>
      <c r="T2947" s="1258"/>
      <c r="U2947" s="1258"/>
      <c r="V2947" s="1258"/>
      <c r="W2947" s="1258"/>
      <c r="X2947" s="1258"/>
      <c r="Y2947" s="1258"/>
      <c r="Z2947" s="1258"/>
      <c r="AA2947" s="1258"/>
      <c r="AB2947" s="1258"/>
      <c r="AC2947" s="1258"/>
      <c r="AD2947" s="1258"/>
      <c r="AE2947" s="1258"/>
      <c r="AF2947" s="1258"/>
      <c r="AG2947" s="1258"/>
      <c r="AH2947" s="1258"/>
      <c r="AI2947" s="1258"/>
      <c r="AJ2947" s="1258"/>
      <c r="AK2947" s="108"/>
      <c r="AL2947" s="108"/>
      <c r="AM2947" s="108"/>
      <c r="AN2947" s="108"/>
      <c r="AO2947" s="108"/>
      <c r="AP2947" s="108"/>
      <c r="AQ2947" s="108"/>
      <c r="AR2947" s="108"/>
      <c r="AS2947" s="108"/>
      <c r="AT2947" s="108"/>
      <c r="AU2947" s="108"/>
      <c r="AV2947" s="108"/>
      <c r="AW2947" s="108"/>
      <c r="AX2947" s="108"/>
      <c r="AY2947" s="108"/>
      <c r="AZ2947" s="108"/>
      <c r="BA2947" s="108"/>
      <c r="BB2947" s="108"/>
      <c r="BC2947" s="108"/>
      <c r="BD2947" s="108"/>
      <c r="BE2947" s="108"/>
      <c r="BF2947" s="108"/>
      <c r="BG2947" s="108"/>
      <c r="BH2947" s="108"/>
      <c r="BI2947" s="108"/>
      <c r="BJ2947" s="108"/>
      <c r="BK2947" s="108"/>
      <c r="BL2947" s="108"/>
      <c r="BM2947" s="108"/>
      <c r="BN2947" s="108"/>
      <c r="BO2947" s="108"/>
      <c r="BP2947" s="108"/>
      <c r="BQ2947" s="108"/>
      <c r="BR2947" s="108"/>
      <c r="BS2947" s="108"/>
      <c r="BT2947" s="108"/>
      <c r="BU2947" s="108"/>
      <c r="BV2947" s="108"/>
      <c r="BW2947" s="108"/>
    </row>
    <row r="2948" spans="1:75" ht="12.75" customHeight="1" x14ac:dyDescent="0.3">
      <c r="A2948" s="1258" t="s">
        <v>726</v>
      </c>
      <c r="B2948" s="1258">
        <f>B2943-B2953</f>
        <v>3707</v>
      </c>
      <c r="C2948" s="1258">
        <f t="shared" si="906"/>
        <v>3624</v>
      </c>
      <c r="D2948" s="1258">
        <f t="shared" si="906"/>
        <v>3663.2020484484801</v>
      </c>
      <c r="E2948" s="1258">
        <f t="shared" si="906"/>
        <v>3638.051717180218</v>
      </c>
      <c r="F2948" s="1258">
        <f t="shared" si="906"/>
        <v>3670.2638390210441</v>
      </c>
      <c r="G2948" s="1262">
        <f>(F2948/B2948)^(1/4)-1</f>
        <v>-2.4867463968386572E-3</v>
      </c>
      <c r="H2948" s="1258"/>
      <c r="I2948" s="1258"/>
      <c r="J2948" s="1258"/>
      <c r="K2948" s="1258"/>
      <c r="L2948" s="1258"/>
      <c r="M2948" s="1258"/>
      <c r="N2948" s="1258"/>
      <c r="O2948" s="1258"/>
      <c r="P2948" s="1258"/>
      <c r="Q2948" s="1258"/>
      <c r="R2948" s="1258"/>
      <c r="S2948" s="1258"/>
      <c r="T2948" s="1258"/>
      <c r="U2948" s="1258"/>
      <c r="V2948" s="1258"/>
      <c r="W2948" s="1258"/>
      <c r="X2948" s="1258"/>
      <c r="Y2948" s="1258"/>
      <c r="Z2948" s="1258"/>
      <c r="AA2948" s="1258"/>
      <c r="AB2948" s="1258"/>
      <c r="AC2948" s="1258"/>
      <c r="AD2948" s="1258"/>
      <c r="AE2948" s="1258"/>
      <c r="AF2948" s="1258"/>
      <c r="AG2948" s="1258"/>
      <c r="AH2948" s="1258"/>
      <c r="AI2948" s="1258"/>
      <c r="AJ2948" s="1258"/>
      <c r="AK2948" s="108"/>
      <c r="AL2948" s="108"/>
      <c r="AM2948" s="108"/>
      <c r="AN2948" s="108"/>
      <c r="AO2948" s="108"/>
      <c r="AP2948" s="108"/>
      <c r="AQ2948" s="108"/>
      <c r="AR2948" s="108"/>
      <c r="AS2948" s="108"/>
      <c r="AT2948" s="108"/>
      <c r="AU2948" s="108"/>
      <c r="AV2948" s="108"/>
      <c r="AW2948" s="108"/>
      <c r="AX2948" s="108"/>
      <c r="AY2948" s="108"/>
      <c r="AZ2948" s="108"/>
      <c r="BA2948" s="108"/>
      <c r="BB2948" s="108"/>
      <c r="BC2948" s="108"/>
      <c r="BD2948" s="108"/>
      <c r="BE2948" s="108"/>
      <c r="BF2948" s="108"/>
      <c r="BG2948" s="108"/>
      <c r="BH2948" s="108"/>
      <c r="BI2948" s="108"/>
      <c r="BJ2948" s="108"/>
      <c r="BK2948" s="108"/>
      <c r="BL2948" s="108"/>
      <c r="BM2948" s="108"/>
      <c r="BN2948" s="108"/>
      <c r="BO2948" s="108"/>
      <c r="BP2948" s="108"/>
      <c r="BQ2948" s="108"/>
      <c r="BR2948" s="108"/>
      <c r="BS2948" s="108"/>
      <c r="BT2948" s="108"/>
      <c r="BU2948" s="108"/>
      <c r="BV2948" s="108"/>
      <c r="BW2948" s="108"/>
    </row>
    <row r="2949" spans="1:75" ht="12.75" customHeight="1" x14ac:dyDescent="0.3">
      <c r="A2949" s="1261" t="s">
        <v>652</v>
      </c>
      <c r="B2949" s="1262">
        <f>B2947/B2948-1</f>
        <v>0</v>
      </c>
      <c r="C2949" s="1262">
        <f t="shared" ref="C2949:F2949" si="907">C2947/C2948-1</f>
        <v>0</v>
      </c>
      <c r="D2949" s="1262">
        <f t="shared" si="907"/>
        <v>6.223503713418177E-3</v>
      </c>
      <c r="E2949" s="1262">
        <f t="shared" si="907"/>
        <v>-9.2585091102245221E-3</v>
      </c>
      <c r="F2949" s="1262">
        <f t="shared" si="907"/>
        <v>-3.2989297383669403E-2</v>
      </c>
      <c r="G2949" s="1258"/>
      <c r="H2949" s="1258"/>
      <c r="I2949" s="1258"/>
      <c r="J2949" s="1258"/>
      <c r="K2949" s="1258"/>
      <c r="L2949" s="1258"/>
      <c r="M2949" s="1258"/>
      <c r="N2949" s="1258"/>
      <c r="O2949" s="1258"/>
      <c r="P2949" s="1258"/>
      <c r="Q2949" s="1258"/>
      <c r="R2949" s="1258"/>
      <c r="S2949" s="1258"/>
      <c r="T2949" s="1258"/>
      <c r="U2949" s="1258"/>
      <c r="V2949" s="1258"/>
      <c r="W2949" s="1258"/>
      <c r="X2949" s="1258"/>
      <c r="Y2949" s="1258"/>
      <c r="Z2949" s="1258"/>
      <c r="AA2949" s="1258"/>
      <c r="AB2949" s="1258"/>
      <c r="AC2949" s="1258"/>
      <c r="AD2949" s="1258"/>
      <c r="AE2949" s="1258"/>
      <c r="AF2949" s="1258"/>
      <c r="AG2949" s="1258"/>
      <c r="AH2949" s="1258"/>
      <c r="AI2949" s="1258"/>
      <c r="AJ2949" s="1258"/>
      <c r="AK2949" s="108"/>
      <c r="AL2949" s="108"/>
      <c r="AM2949" s="108"/>
      <c r="AN2949" s="108"/>
      <c r="AO2949" s="108"/>
      <c r="AP2949" s="108"/>
      <c r="AQ2949" s="108"/>
      <c r="AR2949" s="108"/>
      <c r="AS2949" s="108"/>
      <c r="AT2949" s="108"/>
      <c r="AU2949" s="108"/>
      <c r="AV2949" s="108"/>
      <c r="AW2949" s="108"/>
      <c r="AX2949" s="108"/>
      <c r="AY2949" s="108"/>
      <c r="AZ2949" s="108"/>
      <c r="BA2949" s="108"/>
      <c r="BB2949" s="108"/>
      <c r="BC2949" s="108"/>
      <c r="BD2949" s="108"/>
      <c r="BE2949" s="108"/>
      <c r="BF2949" s="108"/>
      <c r="BG2949" s="108"/>
      <c r="BH2949" s="108"/>
      <c r="BI2949" s="108"/>
      <c r="BJ2949" s="108"/>
      <c r="BK2949" s="108"/>
      <c r="BL2949" s="108"/>
      <c r="BM2949" s="108"/>
      <c r="BN2949" s="108"/>
      <c r="BO2949" s="108"/>
      <c r="BP2949" s="108"/>
      <c r="BQ2949" s="108"/>
      <c r="BR2949" s="108"/>
      <c r="BS2949" s="108"/>
      <c r="BT2949" s="108"/>
      <c r="BU2949" s="108"/>
      <c r="BV2949" s="108"/>
      <c r="BW2949" s="108"/>
    </row>
    <row r="2950" spans="1:75" ht="12.75" customHeight="1" x14ac:dyDescent="0.3">
      <c r="A2950" s="1258"/>
      <c r="B2950" s="1258"/>
      <c r="C2950" s="1258"/>
      <c r="D2950" s="1258"/>
      <c r="E2950" s="1258"/>
      <c r="F2950" s="1258"/>
      <c r="G2950" s="1258"/>
      <c r="H2950" s="1258"/>
      <c r="I2950" s="1258"/>
      <c r="J2950" s="1258"/>
      <c r="K2950" s="1258"/>
      <c r="L2950" s="1258"/>
      <c r="M2950" s="1258"/>
      <c r="N2950" s="1258"/>
      <c r="O2950" s="1258"/>
      <c r="P2950" s="1258"/>
      <c r="Q2950" s="1258"/>
      <c r="R2950" s="1258"/>
      <c r="S2950" s="1258"/>
      <c r="T2950" s="1258"/>
      <c r="U2950" s="1258"/>
      <c r="V2950" s="1258"/>
      <c r="W2950" s="1258"/>
      <c r="X2950" s="1258"/>
      <c r="Y2950" s="1258"/>
      <c r="Z2950" s="1258"/>
      <c r="AA2950" s="1258"/>
      <c r="AB2950" s="1258"/>
      <c r="AC2950" s="1258"/>
      <c r="AD2950" s="1258"/>
      <c r="AE2950" s="1258"/>
      <c r="AF2950" s="1258"/>
      <c r="AG2950" s="1258"/>
      <c r="AH2950" s="1258"/>
      <c r="AI2950" s="1258"/>
      <c r="AJ2950" s="1258"/>
      <c r="AK2950" s="108"/>
      <c r="AL2950" s="108"/>
      <c r="AM2950" s="108"/>
      <c r="AN2950" s="108"/>
      <c r="AO2950" s="108"/>
      <c r="AP2950" s="108"/>
      <c r="AQ2950" s="108"/>
      <c r="AR2950" s="108"/>
      <c r="AS2950" s="108"/>
      <c r="AT2950" s="108"/>
      <c r="AU2950" s="108"/>
      <c r="AV2950" s="108"/>
      <c r="AW2950" s="108"/>
      <c r="AX2950" s="108"/>
      <c r="AY2950" s="108"/>
      <c r="AZ2950" s="108"/>
      <c r="BA2950" s="108"/>
      <c r="BB2950" s="108"/>
      <c r="BC2950" s="108"/>
      <c r="BD2950" s="108"/>
      <c r="BE2950" s="108"/>
      <c r="BF2950" s="108"/>
      <c r="BG2950" s="108"/>
      <c r="BH2950" s="108"/>
      <c r="BI2950" s="108"/>
      <c r="BJ2950" s="108"/>
      <c r="BK2950" s="108"/>
      <c r="BL2950" s="108"/>
      <c r="BM2950" s="108"/>
      <c r="BN2950" s="108"/>
      <c r="BO2950" s="108"/>
      <c r="BP2950" s="108"/>
      <c r="BQ2950" s="108"/>
      <c r="BR2950" s="108"/>
      <c r="BS2950" s="108"/>
      <c r="BT2950" s="108"/>
      <c r="BU2950" s="108"/>
      <c r="BV2950" s="108"/>
      <c r="BW2950" s="108"/>
    </row>
    <row r="2951" spans="1:75" ht="12.75" customHeight="1" x14ac:dyDescent="0.3">
      <c r="A2951" s="802" t="s">
        <v>44</v>
      </c>
      <c r="B2951" s="108"/>
      <c r="C2951" s="108"/>
      <c r="D2951" s="108"/>
      <c r="E2951" s="108"/>
      <c r="F2951" s="108"/>
      <c r="G2951" s="1258"/>
      <c r="H2951" s="1258"/>
      <c r="I2951" s="1258"/>
      <c r="J2951" s="1258"/>
      <c r="K2951" s="1258"/>
      <c r="L2951" s="1258"/>
      <c r="M2951" s="1258"/>
      <c r="N2951" s="1258"/>
      <c r="O2951" s="1258"/>
      <c r="P2951" s="1258"/>
      <c r="Q2951" s="1258"/>
      <c r="R2951" s="1258"/>
      <c r="S2951" s="1258"/>
      <c r="T2951" s="1258"/>
      <c r="U2951" s="1258"/>
      <c r="V2951" s="1258"/>
      <c r="W2951" s="1258"/>
      <c r="X2951" s="1258"/>
      <c r="Y2951" s="1258"/>
      <c r="Z2951" s="1258"/>
      <c r="AA2951" s="1258"/>
      <c r="AB2951" s="1258"/>
      <c r="AC2951" s="1258"/>
      <c r="AD2951" s="1258"/>
      <c r="AE2951" s="1258"/>
      <c r="AF2951" s="1258"/>
      <c r="AG2951" s="1258"/>
      <c r="AH2951" s="1258"/>
      <c r="AI2951" s="1258"/>
      <c r="AJ2951" s="1258"/>
      <c r="AK2951" s="108"/>
      <c r="AL2951" s="108"/>
      <c r="AM2951" s="108"/>
      <c r="AN2951" s="108"/>
      <c r="AO2951" s="108"/>
      <c r="AP2951" s="108"/>
      <c r="AQ2951" s="108"/>
      <c r="AR2951" s="108"/>
      <c r="AS2951" s="108"/>
      <c r="AT2951" s="108"/>
      <c r="AU2951" s="108"/>
      <c r="AV2951" s="108"/>
      <c r="AW2951" s="108"/>
      <c r="AX2951" s="108"/>
      <c r="AY2951" s="108"/>
      <c r="AZ2951" s="108"/>
      <c r="BA2951" s="108"/>
      <c r="BB2951" s="108"/>
      <c r="BC2951" s="108"/>
      <c r="BD2951" s="108"/>
      <c r="BE2951" s="108"/>
      <c r="BF2951" s="108"/>
      <c r="BG2951" s="108"/>
      <c r="BH2951" s="108"/>
      <c r="BI2951" s="108"/>
      <c r="BJ2951" s="108"/>
      <c r="BK2951" s="108"/>
      <c r="BL2951" s="108"/>
      <c r="BM2951" s="108"/>
      <c r="BN2951" s="108"/>
      <c r="BO2951" s="108"/>
      <c r="BP2951" s="108"/>
      <c r="BQ2951" s="108"/>
      <c r="BR2951" s="108"/>
      <c r="BS2951" s="108"/>
      <c r="BT2951" s="108"/>
      <c r="BU2951" s="108"/>
      <c r="BV2951" s="108"/>
      <c r="BW2951" s="108"/>
    </row>
    <row r="2952" spans="1:75" ht="12.75" customHeight="1" x14ac:dyDescent="0.3">
      <c r="A2952" s="1258" t="s">
        <v>722</v>
      </c>
      <c r="B2952" s="1258">
        <f>'Model Main'!EN48</f>
        <v>2080</v>
      </c>
      <c r="C2952" s="1258">
        <f>'Model Main'!ES48</f>
        <v>2127</v>
      </c>
      <c r="D2952" s="1258">
        <f>'Model Main'!EX48</f>
        <v>2251</v>
      </c>
      <c r="E2952" s="1258">
        <f>'Model Main'!FC48</f>
        <v>2416.4545969116944</v>
      </c>
      <c r="F2952" s="1258">
        <f>'Model Main'!FD48</f>
        <v>2677.0130389762598</v>
      </c>
      <c r="G2952" s="1262">
        <f>(F2952/B2952)^(1/4)-1</f>
        <v>6.511570386686838E-2</v>
      </c>
      <c r="H2952" s="1258"/>
      <c r="I2952" s="1258"/>
      <c r="J2952" s="1258"/>
      <c r="K2952" s="1258"/>
      <c r="L2952" s="1258"/>
      <c r="M2952" s="1258"/>
      <c r="N2952" s="1258"/>
      <c r="O2952" s="1258"/>
      <c r="P2952" s="1258"/>
      <c r="Q2952" s="1258"/>
      <c r="R2952" s="1258"/>
      <c r="S2952" s="1258"/>
      <c r="T2952" s="1258"/>
      <c r="U2952" s="1258"/>
      <c r="V2952" s="1258"/>
      <c r="W2952" s="1258"/>
      <c r="X2952" s="1258"/>
      <c r="Y2952" s="1258"/>
      <c r="Z2952" s="1258"/>
      <c r="AA2952" s="1258"/>
      <c r="AB2952" s="1258"/>
      <c r="AC2952" s="1258"/>
      <c r="AD2952" s="1258"/>
      <c r="AE2952" s="1258"/>
      <c r="AF2952" s="1258"/>
      <c r="AG2952" s="1258"/>
      <c r="AH2952" s="1258"/>
      <c r="AI2952" s="1258"/>
      <c r="AJ2952" s="1258"/>
      <c r="AK2952" s="108"/>
      <c r="AL2952" s="108"/>
      <c r="AM2952" s="108"/>
      <c r="AN2952" s="108"/>
      <c r="AO2952" s="108"/>
      <c r="AP2952" s="108"/>
      <c r="AQ2952" s="108"/>
      <c r="AR2952" s="108"/>
      <c r="AS2952" s="108"/>
      <c r="AT2952" s="108"/>
      <c r="AU2952" s="108"/>
      <c r="AV2952" s="108"/>
      <c r="AW2952" s="108"/>
      <c r="AX2952" s="108"/>
      <c r="AY2952" s="108"/>
      <c r="AZ2952" s="108"/>
      <c r="BA2952" s="108"/>
      <c r="BB2952" s="108"/>
      <c r="BC2952" s="108"/>
      <c r="BD2952" s="108"/>
      <c r="BE2952" s="108"/>
      <c r="BF2952" s="108"/>
      <c r="BG2952" s="108"/>
      <c r="BH2952" s="108"/>
      <c r="BI2952" s="108"/>
      <c r="BJ2952" s="108"/>
      <c r="BK2952" s="108"/>
      <c r="BL2952" s="108"/>
      <c r="BM2952" s="108"/>
      <c r="BN2952" s="108"/>
      <c r="BO2952" s="108"/>
      <c r="BP2952" s="108"/>
      <c r="BQ2952" s="108"/>
      <c r="BR2952" s="108"/>
      <c r="BS2952" s="108"/>
      <c r="BT2952" s="108"/>
      <c r="BU2952" s="108"/>
      <c r="BV2952" s="108"/>
      <c r="BW2952" s="108"/>
    </row>
    <row r="2953" spans="1:75" ht="12.75" customHeight="1" x14ac:dyDescent="0.3">
      <c r="A2953" s="1258" t="s">
        <v>726</v>
      </c>
      <c r="B2953" s="1258">
        <f>_xll.VAData("FYBR_US",B2909,"EBITDA - operating")</f>
        <v>2080</v>
      </c>
      <c r="C2953" s="1258">
        <f>_xll.VAData("FYBR_US",C2909,"EBITDA - operating")</f>
        <v>2127</v>
      </c>
      <c r="D2953" s="1258">
        <f>_xll.VAData("FYBR_US",D2909,"EBITDA - operating")</f>
        <v>2233.6301635430391</v>
      </c>
      <c r="E2953" s="1258">
        <f>_xll.VAData("FYBR_US",E2909,"EBITDA - operating")</f>
        <v>2367.9323192801298</v>
      </c>
      <c r="F2953" s="1258">
        <f>_xll.VAData("FYBR_US",F2909,"EBITDA - operating")</f>
        <v>2565.0848300651824</v>
      </c>
      <c r="G2953" s="1262">
        <f>(F2953/B2953)^(1/4)-1</f>
        <v>5.3803409401699032E-2</v>
      </c>
      <c r="H2953" s="1258"/>
      <c r="I2953" s="1258"/>
      <c r="J2953" s="1258"/>
      <c r="K2953" s="1258"/>
      <c r="L2953" s="1258"/>
      <c r="M2953" s="1258"/>
      <c r="N2953" s="1258"/>
      <c r="O2953" s="1258"/>
      <c r="P2953" s="1258"/>
      <c r="Q2953" s="1258"/>
      <c r="R2953" s="1258"/>
      <c r="S2953" s="1258"/>
      <c r="T2953" s="1258"/>
      <c r="U2953" s="1258"/>
      <c r="V2953" s="1258"/>
      <c r="W2953" s="1258"/>
      <c r="X2953" s="1258"/>
      <c r="Y2953" s="1258"/>
      <c r="Z2953" s="1258"/>
      <c r="AA2953" s="1258"/>
      <c r="AB2953" s="1258"/>
      <c r="AC2953" s="1258"/>
      <c r="AD2953" s="1258"/>
      <c r="AE2953" s="1258"/>
      <c r="AF2953" s="1258"/>
      <c r="AG2953" s="1258"/>
      <c r="AH2953" s="1258"/>
      <c r="AI2953" s="1258"/>
      <c r="AJ2953" s="1258"/>
      <c r="AK2953" s="108"/>
      <c r="AL2953" s="108"/>
      <c r="AM2953" s="108"/>
      <c r="AN2953" s="108"/>
      <c r="AO2953" s="108"/>
      <c r="AP2953" s="108"/>
      <c r="AQ2953" s="108"/>
      <c r="AR2953" s="108"/>
      <c r="AS2953" s="108"/>
      <c r="AT2953" s="108"/>
      <c r="AU2953" s="108"/>
      <c r="AV2953" s="108"/>
      <c r="AW2953" s="108"/>
      <c r="AX2953" s="108"/>
      <c r="AY2953" s="108"/>
      <c r="AZ2953" s="108"/>
      <c r="BA2953" s="108"/>
      <c r="BB2953" s="108"/>
      <c r="BC2953" s="108"/>
      <c r="BD2953" s="108"/>
      <c r="BE2953" s="108"/>
      <c r="BF2953" s="108"/>
      <c r="BG2953" s="108"/>
      <c r="BH2953" s="108"/>
      <c r="BI2953" s="108"/>
      <c r="BJ2953" s="108"/>
      <c r="BK2953" s="108"/>
      <c r="BL2953" s="108"/>
      <c r="BM2953" s="108"/>
      <c r="BN2953" s="108"/>
      <c r="BO2953" s="108"/>
      <c r="BP2953" s="108"/>
      <c r="BQ2953" s="108"/>
      <c r="BR2953" s="108"/>
      <c r="BS2953" s="108"/>
      <c r="BT2953" s="108"/>
      <c r="BU2953" s="108"/>
      <c r="BV2953" s="108"/>
      <c r="BW2953" s="108"/>
    </row>
    <row r="2954" spans="1:75" ht="12.75" customHeight="1" x14ac:dyDescent="0.3">
      <c r="A2954" s="1261" t="s">
        <v>652</v>
      </c>
      <c r="B2954" s="1262">
        <f>B2952/B2953-1</f>
        <v>0</v>
      </c>
      <c r="C2954" s="1262">
        <f t="shared" ref="C2954:F2954" si="908">C2952/C2953-1</f>
        <v>0</v>
      </c>
      <c r="D2954" s="1262">
        <f t="shared" si="908"/>
        <v>7.7765051441678334E-3</v>
      </c>
      <c r="E2954" s="1262">
        <f t="shared" si="908"/>
        <v>2.04914123754667E-2</v>
      </c>
      <c r="F2954" s="1262">
        <f t="shared" si="908"/>
        <v>4.3635285507588106E-2</v>
      </c>
      <c r="G2954" s="1258"/>
      <c r="H2954" s="1258"/>
      <c r="I2954" s="1258"/>
      <c r="J2954" s="1258"/>
      <c r="K2954" s="1258"/>
      <c r="L2954" s="1258"/>
      <c r="M2954" s="1258"/>
      <c r="N2954" s="1258"/>
      <c r="O2954" s="1258"/>
      <c r="P2954" s="1258"/>
      <c r="Q2954" s="1258"/>
      <c r="R2954" s="1258"/>
      <c r="S2954" s="1258"/>
      <c r="T2954" s="1258"/>
      <c r="U2954" s="1258"/>
      <c r="V2954" s="1258"/>
      <c r="W2954" s="1258"/>
      <c r="X2954" s="1258"/>
      <c r="Y2954" s="1258"/>
      <c r="Z2954" s="1258"/>
      <c r="AA2954" s="1258"/>
      <c r="AB2954" s="1258"/>
      <c r="AC2954" s="1258"/>
      <c r="AD2954" s="1258"/>
      <c r="AE2954" s="1258"/>
      <c r="AF2954" s="1258"/>
      <c r="AG2954" s="1258"/>
      <c r="AH2954" s="1258"/>
      <c r="AI2954" s="1258"/>
      <c r="AJ2954" s="1258"/>
      <c r="AK2954" s="108"/>
      <c r="AL2954" s="108"/>
      <c r="AM2954" s="108"/>
      <c r="AN2954" s="108"/>
      <c r="AO2954" s="108"/>
      <c r="AP2954" s="108"/>
      <c r="AQ2954" s="108"/>
      <c r="AR2954" s="108"/>
      <c r="AS2954" s="108"/>
      <c r="AT2954" s="108"/>
      <c r="AU2954" s="108"/>
      <c r="AV2954" s="108"/>
      <c r="AW2954" s="108"/>
      <c r="AX2954" s="108"/>
      <c r="AY2954" s="108"/>
      <c r="AZ2954" s="108"/>
      <c r="BA2954" s="108"/>
      <c r="BB2954" s="108"/>
      <c r="BC2954" s="108"/>
      <c r="BD2954" s="108"/>
      <c r="BE2954" s="108"/>
      <c r="BF2954" s="108"/>
      <c r="BG2954" s="108"/>
      <c r="BH2954" s="108"/>
      <c r="BI2954" s="108"/>
      <c r="BJ2954" s="108"/>
      <c r="BK2954" s="108"/>
      <c r="BL2954" s="108"/>
      <c r="BM2954" s="108"/>
      <c r="BN2954" s="108"/>
      <c r="BO2954" s="108"/>
      <c r="BP2954" s="108"/>
      <c r="BQ2954" s="108"/>
      <c r="BR2954" s="108"/>
      <c r="BS2954" s="108"/>
      <c r="BT2954" s="108"/>
      <c r="BU2954" s="108"/>
      <c r="BV2954" s="108"/>
      <c r="BW2954" s="108"/>
    </row>
    <row r="2955" spans="1:75" ht="12.75" customHeight="1" x14ac:dyDescent="0.3">
      <c r="A2955" s="1258"/>
      <c r="B2955" s="1258"/>
      <c r="C2955" s="1258"/>
      <c r="D2955" s="1258"/>
      <c r="E2955" s="1258"/>
      <c r="F2955" s="1258"/>
      <c r="G2955" s="1258"/>
      <c r="H2955" s="1258"/>
      <c r="I2955" s="1258"/>
      <c r="J2955" s="1258"/>
      <c r="K2955" s="1258"/>
      <c r="L2955" s="1258"/>
      <c r="M2955" s="1258"/>
      <c r="N2955" s="1258"/>
      <c r="O2955" s="1258"/>
      <c r="P2955" s="1258"/>
      <c r="Q2955" s="1258"/>
      <c r="R2955" s="1258"/>
      <c r="S2955" s="1258"/>
      <c r="T2955" s="1258"/>
      <c r="U2955" s="1258"/>
      <c r="V2955" s="1258"/>
      <c r="W2955" s="1258"/>
      <c r="X2955" s="1258"/>
      <c r="Y2955" s="1258"/>
      <c r="Z2955" s="1258"/>
      <c r="AA2955" s="1258"/>
      <c r="AB2955" s="1258"/>
      <c r="AC2955" s="1258"/>
      <c r="AD2955" s="1258"/>
      <c r="AE2955" s="1258"/>
      <c r="AF2955" s="1258"/>
      <c r="AG2955" s="1258"/>
      <c r="AH2955" s="1258"/>
      <c r="AI2955" s="1258"/>
      <c r="AJ2955" s="1258"/>
      <c r="AK2955" s="108"/>
      <c r="AL2955" s="108"/>
      <c r="AM2955" s="108"/>
      <c r="AN2955" s="108"/>
      <c r="AO2955" s="108"/>
      <c r="AP2955" s="108"/>
      <c r="AQ2955" s="108"/>
      <c r="AR2955" s="108"/>
      <c r="AS2955" s="108"/>
      <c r="AT2955" s="108"/>
      <c r="AU2955" s="108"/>
      <c r="AV2955" s="108"/>
      <c r="AW2955" s="108"/>
      <c r="AX2955" s="108"/>
      <c r="AY2955" s="108"/>
      <c r="AZ2955" s="108"/>
      <c r="BA2955" s="108"/>
      <c r="BB2955" s="108"/>
      <c r="BC2955" s="108"/>
      <c r="BD2955" s="108"/>
      <c r="BE2955" s="108"/>
      <c r="BF2955" s="108"/>
      <c r="BG2955" s="108"/>
      <c r="BH2955" s="108"/>
      <c r="BI2955" s="108"/>
      <c r="BJ2955" s="108"/>
      <c r="BK2955" s="108"/>
      <c r="BL2955" s="108"/>
      <c r="BM2955" s="108"/>
      <c r="BN2955" s="108"/>
      <c r="BO2955" s="108"/>
      <c r="BP2955" s="108"/>
      <c r="BQ2955" s="108"/>
      <c r="BR2955" s="108"/>
      <c r="BS2955" s="108"/>
      <c r="BT2955" s="108"/>
      <c r="BU2955" s="108"/>
      <c r="BV2955" s="108"/>
      <c r="BW2955" s="108"/>
    </row>
    <row r="2956" spans="1:75" ht="12.75" customHeight="1" x14ac:dyDescent="0.3">
      <c r="A2956" s="802" t="s">
        <v>198</v>
      </c>
      <c r="B2956" s="1258"/>
      <c r="C2956" s="1258"/>
      <c r="D2956" s="1258"/>
      <c r="E2956" s="1258"/>
      <c r="F2956" s="1258"/>
      <c r="G2956" s="1258"/>
      <c r="H2956" s="1258"/>
      <c r="I2956" s="1258"/>
      <c r="J2956" s="1258"/>
      <c r="K2956" s="1258"/>
      <c r="L2956" s="1258"/>
      <c r="M2956" s="1258"/>
      <c r="N2956" s="1258"/>
      <c r="O2956" s="1258"/>
      <c r="P2956" s="1258"/>
      <c r="Q2956" s="1258"/>
      <c r="R2956" s="1258"/>
      <c r="S2956" s="1258"/>
      <c r="T2956" s="1258"/>
      <c r="U2956" s="1258"/>
      <c r="V2956" s="1258"/>
      <c r="W2956" s="1258"/>
      <c r="X2956" s="1258"/>
      <c r="Y2956" s="1258"/>
      <c r="Z2956" s="1258"/>
      <c r="AA2956" s="1258"/>
      <c r="AB2956" s="1258"/>
      <c r="AC2956" s="1258"/>
      <c r="AD2956" s="1258"/>
      <c r="AE2956" s="1258"/>
      <c r="AF2956" s="1258"/>
      <c r="AG2956" s="1258"/>
      <c r="AH2956" s="1258"/>
      <c r="AI2956" s="1258"/>
      <c r="AJ2956" s="1258"/>
      <c r="AK2956" s="108"/>
      <c r="AL2956" s="108"/>
      <c r="AM2956" s="108"/>
      <c r="AN2956" s="108"/>
      <c r="AO2956" s="108"/>
      <c r="AP2956" s="108"/>
      <c r="AQ2956" s="108"/>
      <c r="AR2956" s="108"/>
      <c r="AS2956" s="108"/>
      <c r="AT2956" s="108"/>
      <c r="AU2956" s="108"/>
      <c r="AV2956" s="108"/>
      <c r="AW2956" s="108"/>
      <c r="AX2956" s="108"/>
      <c r="AY2956" s="108"/>
      <c r="AZ2956" s="108"/>
      <c r="BA2956" s="108"/>
      <c r="BB2956" s="108"/>
      <c r="BC2956" s="108"/>
      <c r="BD2956" s="108"/>
      <c r="BE2956" s="108"/>
      <c r="BF2956" s="108"/>
      <c r="BG2956" s="108"/>
      <c r="BH2956" s="108"/>
      <c r="BI2956" s="108"/>
      <c r="BJ2956" s="108"/>
      <c r="BK2956" s="108"/>
      <c r="BL2956" s="108"/>
      <c r="BM2956" s="108"/>
      <c r="BN2956" s="108"/>
      <c r="BO2956" s="108"/>
      <c r="BP2956" s="108"/>
      <c r="BQ2956" s="108"/>
      <c r="BR2956" s="108"/>
      <c r="BS2956" s="108"/>
      <c r="BT2956" s="108"/>
      <c r="BU2956" s="108"/>
      <c r="BV2956" s="108"/>
      <c r="BW2956" s="108"/>
    </row>
    <row r="2957" spans="1:75" ht="12.75" customHeight="1" x14ac:dyDescent="0.3">
      <c r="A2957" s="1258" t="s">
        <v>722</v>
      </c>
      <c r="B2957" s="1258">
        <f>-'Model Main'!EN107</f>
        <v>2738</v>
      </c>
      <c r="C2957" s="1258">
        <f>-'Model Main'!ES107</f>
        <v>3211</v>
      </c>
      <c r="D2957" s="1258">
        <f>-'Model Main'!EX107</f>
        <v>2783</v>
      </c>
      <c r="E2957" s="1258">
        <f>-'Model Main'!FC107</f>
        <v>3194.4479521510066</v>
      </c>
      <c r="F2957" s="1258">
        <f>-'Model Main'!FD107</f>
        <v>3082.4684202674325</v>
      </c>
      <c r="G2957" s="1262">
        <f>(F2957/B2957)^(1/4)-1</f>
        <v>3.0068954454751662E-2</v>
      </c>
      <c r="H2957" s="1258"/>
      <c r="I2957" s="1258"/>
      <c r="J2957" s="1258"/>
      <c r="K2957" s="1258"/>
      <c r="L2957" s="1258"/>
      <c r="M2957" s="1258"/>
      <c r="N2957" s="1258"/>
      <c r="O2957" s="1258"/>
      <c r="P2957" s="1258"/>
      <c r="Q2957" s="1258"/>
      <c r="R2957" s="1258"/>
      <c r="S2957" s="1258"/>
      <c r="T2957" s="1258"/>
      <c r="U2957" s="1258"/>
      <c r="V2957" s="1258"/>
      <c r="W2957" s="1258"/>
      <c r="X2957" s="1258"/>
      <c r="Y2957" s="1258"/>
      <c r="Z2957" s="1258"/>
      <c r="AA2957" s="1258"/>
      <c r="AB2957" s="1258"/>
      <c r="AC2957" s="1258"/>
      <c r="AD2957" s="1258"/>
      <c r="AE2957" s="1258"/>
      <c r="AF2957" s="1258"/>
      <c r="AG2957" s="1258"/>
      <c r="AH2957" s="1258"/>
      <c r="AI2957" s="1258"/>
      <c r="AJ2957" s="1258"/>
      <c r="AK2957" s="108"/>
      <c r="AL2957" s="108"/>
      <c r="AM2957" s="108"/>
      <c r="AN2957" s="108"/>
      <c r="AO2957" s="108"/>
      <c r="AP2957" s="108"/>
      <c r="AQ2957" s="108"/>
      <c r="AR2957" s="108"/>
      <c r="AS2957" s="108"/>
      <c r="AT2957" s="108"/>
      <c r="AU2957" s="108"/>
      <c r="AV2957" s="108"/>
      <c r="AW2957" s="108"/>
      <c r="AX2957" s="108"/>
      <c r="AY2957" s="108"/>
      <c r="AZ2957" s="108"/>
      <c r="BA2957" s="108"/>
      <c r="BB2957" s="108"/>
      <c r="BC2957" s="108"/>
      <c r="BD2957" s="108"/>
      <c r="BE2957" s="108"/>
      <c r="BF2957" s="108"/>
      <c r="BG2957" s="108"/>
      <c r="BH2957" s="108"/>
      <c r="BI2957" s="108"/>
      <c r="BJ2957" s="108"/>
      <c r="BK2957" s="108"/>
      <c r="BL2957" s="108"/>
      <c r="BM2957" s="108"/>
      <c r="BN2957" s="108"/>
      <c r="BO2957" s="108"/>
      <c r="BP2957" s="108"/>
      <c r="BQ2957" s="108"/>
      <c r="BR2957" s="108"/>
      <c r="BS2957" s="108"/>
      <c r="BT2957" s="108"/>
      <c r="BU2957" s="108"/>
      <c r="BV2957" s="108"/>
      <c r="BW2957" s="108"/>
    </row>
    <row r="2958" spans="1:75" ht="12.75" customHeight="1" x14ac:dyDescent="0.3">
      <c r="A2958" s="1258" t="s">
        <v>726</v>
      </c>
      <c r="B2958" s="1258">
        <f>_xll.VAData("FYBR_US",B2909,"Capital expenditures")</f>
        <v>2738</v>
      </c>
      <c r="C2958" s="1258">
        <f>_xll.VAData("FYBR_US",C2909,"Capital expenditures")</f>
        <v>3211.8888888888887</v>
      </c>
      <c r="D2958" s="1258">
        <f>_xll.VAData("FYBR_US",D2909,"Capital expenditures")</f>
        <v>2747.8317748045811</v>
      </c>
      <c r="E2958" s="1258">
        <f>_xll.VAData("FYBR_US",E2909,"Capital expenditures")</f>
        <v>2946.9082759673834</v>
      </c>
      <c r="F2958" s="1258">
        <f>_xll.VAData("FYBR_US",F2909,"Capital expenditures")</f>
        <v>2566.2674612688338</v>
      </c>
      <c r="G2958" s="1262">
        <f>(F2958/B2958)^(1/4)-1</f>
        <v>-1.6063393541012494E-2</v>
      </c>
      <c r="H2958" s="1258"/>
      <c r="I2958" s="1258"/>
      <c r="J2958" s="1258"/>
      <c r="K2958" s="1258"/>
      <c r="L2958" s="1258"/>
      <c r="M2958" s="1258"/>
      <c r="N2958" s="1258"/>
      <c r="O2958" s="1258"/>
      <c r="P2958" s="1258"/>
      <c r="Q2958" s="1258"/>
      <c r="R2958" s="1258"/>
      <c r="S2958" s="1258"/>
      <c r="T2958" s="1258"/>
      <c r="U2958" s="1258"/>
      <c r="V2958" s="1258"/>
      <c r="W2958" s="1258"/>
      <c r="X2958" s="1258"/>
      <c r="Y2958" s="1258"/>
      <c r="Z2958" s="1258"/>
      <c r="AA2958" s="1258"/>
      <c r="AB2958" s="1258"/>
      <c r="AC2958" s="1258"/>
      <c r="AD2958" s="1258"/>
      <c r="AE2958" s="1258"/>
      <c r="AF2958" s="1258"/>
      <c r="AG2958" s="1258"/>
      <c r="AH2958" s="1258"/>
      <c r="AI2958" s="1258"/>
      <c r="AJ2958" s="1258"/>
      <c r="AK2958" s="108"/>
      <c r="AL2958" s="108"/>
      <c r="AM2958" s="108"/>
      <c r="AN2958" s="108"/>
      <c r="AO2958" s="108"/>
      <c r="AP2958" s="108"/>
      <c r="AQ2958" s="108"/>
      <c r="AR2958" s="108"/>
      <c r="AS2958" s="108"/>
      <c r="AT2958" s="108"/>
      <c r="AU2958" s="108"/>
      <c r="AV2958" s="108"/>
      <c r="AW2958" s="108"/>
      <c r="AX2958" s="108"/>
      <c r="AY2958" s="108"/>
      <c r="AZ2958" s="108"/>
      <c r="BA2958" s="108"/>
      <c r="BB2958" s="108"/>
      <c r="BC2958" s="108"/>
      <c r="BD2958" s="108"/>
      <c r="BE2958" s="108"/>
      <c r="BF2958" s="108"/>
      <c r="BG2958" s="108"/>
      <c r="BH2958" s="108"/>
      <c r="BI2958" s="108"/>
      <c r="BJ2958" s="108"/>
      <c r="BK2958" s="108"/>
      <c r="BL2958" s="108"/>
      <c r="BM2958" s="108"/>
      <c r="BN2958" s="108"/>
      <c r="BO2958" s="108"/>
      <c r="BP2958" s="108"/>
      <c r="BQ2958" s="108"/>
      <c r="BR2958" s="108"/>
      <c r="BS2958" s="108"/>
      <c r="BT2958" s="108"/>
      <c r="BU2958" s="108"/>
      <c r="BV2958" s="108"/>
      <c r="BW2958" s="108"/>
    </row>
    <row r="2959" spans="1:75" ht="12.75" customHeight="1" x14ac:dyDescent="0.3">
      <c r="A2959" s="1261" t="s">
        <v>652</v>
      </c>
      <c r="B2959" s="1262">
        <f>B2957/B2958-1</f>
        <v>0</v>
      </c>
      <c r="C2959" s="1262">
        <f t="shared" ref="C2959:F2959" si="909">C2957/C2958-1</f>
        <v>-2.7674957622714214E-4</v>
      </c>
      <c r="D2959" s="1262">
        <f t="shared" si="909"/>
        <v>1.2798536474424527E-2</v>
      </c>
      <c r="E2959" s="1262">
        <f t="shared" si="909"/>
        <v>8.3999789950151449E-2</v>
      </c>
      <c r="F2959" s="1262">
        <f t="shared" si="909"/>
        <v>0.2011485423048518</v>
      </c>
      <c r="G2959" s="1258"/>
      <c r="H2959" s="1258"/>
      <c r="I2959" s="1258"/>
      <c r="J2959" s="1258"/>
      <c r="K2959" s="1258"/>
      <c r="L2959" s="1258"/>
      <c r="M2959" s="1258"/>
      <c r="N2959" s="1258"/>
      <c r="O2959" s="1258"/>
      <c r="P2959" s="1258"/>
      <c r="Q2959" s="1258"/>
      <c r="R2959" s="1258"/>
      <c r="S2959" s="1258"/>
      <c r="T2959" s="1258"/>
      <c r="U2959" s="1258"/>
      <c r="V2959" s="1258"/>
      <c r="W2959" s="1258"/>
      <c r="X2959" s="1258"/>
      <c r="Y2959" s="1258"/>
      <c r="Z2959" s="1258"/>
      <c r="AA2959" s="1258"/>
      <c r="AB2959" s="1258"/>
      <c r="AC2959" s="1258"/>
      <c r="AD2959" s="1258"/>
      <c r="AE2959" s="1258"/>
      <c r="AF2959" s="1258"/>
      <c r="AG2959" s="1258"/>
      <c r="AH2959" s="1258"/>
      <c r="AI2959" s="1258"/>
      <c r="AJ2959" s="1258"/>
      <c r="AK2959" s="108"/>
      <c r="AL2959" s="108"/>
      <c r="AM2959" s="108"/>
      <c r="AN2959" s="108"/>
      <c r="AO2959" s="108"/>
      <c r="AP2959" s="108"/>
      <c r="AQ2959" s="108"/>
      <c r="AR2959" s="108"/>
      <c r="AS2959" s="108"/>
      <c r="AT2959" s="108"/>
      <c r="AU2959" s="108"/>
      <c r="AV2959" s="108"/>
      <c r="AW2959" s="108"/>
      <c r="AX2959" s="108"/>
      <c r="AY2959" s="108"/>
      <c r="AZ2959" s="108"/>
      <c r="BA2959" s="108"/>
      <c r="BB2959" s="108"/>
      <c r="BC2959" s="108"/>
      <c r="BD2959" s="108"/>
      <c r="BE2959" s="108"/>
      <c r="BF2959" s="108"/>
      <c r="BG2959" s="108"/>
      <c r="BH2959" s="108"/>
      <c r="BI2959" s="108"/>
      <c r="BJ2959" s="108"/>
      <c r="BK2959" s="108"/>
      <c r="BL2959" s="108"/>
      <c r="BM2959" s="108"/>
      <c r="BN2959" s="108"/>
      <c r="BO2959" s="108"/>
      <c r="BP2959" s="108"/>
      <c r="BQ2959" s="108"/>
      <c r="BR2959" s="108"/>
      <c r="BS2959" s="108"/>
      <c r="BT2959" s="108"/>
      <c r="BU2959" s="108"/>
      <c r="BV2959" s="108"/>
      <c r="BW2959" s="108"/>
    </row>
    <row r="2960" spans="1:75" ht="12.75" customHeight="1" x14ac:dyDescent="0.3">
      <c r="A2960" s="1258"/>
      <c r="B2960" s="1258"/>
      <c r="C2960" s="1258"/>
      <c r="D2960" s="1258"/>
      <c r="E2960" s="1258"/>
      <c r="F2960" s="1258"/>
      <c r="G2960" s="1258"/>
      <c r="H2960" s="1258"/>
      <c r="I2960" s="1258"/>
      <c r="J2960" s="1258"/>
      <c r="K2960" s="1258"/>
      <c r="L2960" s="1258"/>
      <c r="M2960" s="1258"/>
      <c r="N2960" s="1258"/>
      <c r="O2960" s="1258"/>
      <c r="P2960" s="1258"/>
      <c r="Q2960" s="1258"/>
      <c r="R2960" s="1258"/>
      <c r="S2960" s="1258"/>
      <c r="T2960" s="1258"/>
      <c r="U2960" s="1258"/>
      <c r="V2960" s="1258"/>
      <c r="W2960" s="1258"/>
      <c r="X2960" s="1258"/>
      <c r="Y2960" s="1258"/>
      <c r="Z2960" s="1258"/>
      <c r="AA2960" s="1258"/>
      <c r="AB2960" s="1258"/>
      <c r="AC2960" s="1258"/>
      <c r="AD2960" s="1258"/>
      <c r="AE2960" s="1258"/>
      <c r="AF2960" s="1258"/>
      <c r="AG2960" s="1258"/>
      <c r="AH2960" s="1258"/>
      <c r="AI2960" s="1258"/>
      <c r="AJ2960" s="1258"/>
      <c r="AK2960" s="108"/>
      <c r="AL2960" s="108"/>
      <c r="AM2960" s="108"/>
      <c r="AN2960" s="108"/>
      <c r="AO2960" s="108"/>
      <c r="AP2960" s="108"/>
      <c r="AQ2960" s="108"/>
      <c r="AR2960" s="108"/>
      <c r="AS2960" s="108"/>
      <c r="AT2960" s="108"/>
      <c r="AU2960" s="108"/>
      <c r="AV2960" s="108"/>
      <c r="AW2960" s="108"/>
      <c r="AX2960" s="108"/>
      <c r="AY2960" s="108"/>
      <c r="AZ2960" s="108"/>
      <c r="BA2960" s="108"/>
      <c r="BB2960" s="108"/>
      <c r="BC2960" s="108"/>
      <c r="BD2960" s="108"/>
      <c r="BE2960" s="108"/>
      <c r="BF2960" s="108"/>
      <c r="BG2960" s="108"/>
      <c r="BH2960" s="108"/>
      <c r="BI2960" s="108"/>
      <c r="BJ2960" s="108"/>
      <c r="BK2960" s="108"/>
      <c r="BL2960" s="108"/>
      <c r="BM2960" s="108"/>
      <c r="BN2960" s="108"/>
      <c r="BO2960" s="108"/>
      <c r="BP2960" s="108"/>
      <c r="BQ2960" s="108"/>
      <c r="BR2960" s="108"/>
      <c r="BS2960" s="108"/>
      <c r="BT2960" s="108"/>
      <c r="BU2960" s="108"/>
      <c r="BV2960" s="108"/>
      <c r="BW2960" s="108"/>
    </row>
    <row r="2961" spans="1:75" ht="12.75" customHeight="1" x14ac:dyDescent="0.3">
      <c r="A2961" s="802" t="s">
        <v>199</v>
      </c>
      <c r="B2961" s="1258"/>
      <c r="C2961" s="1258"/>
      <c r="D2961" s="1258"/>
      <c r="E2961" s="1258"/>
      <c r="F2961" s="1258"/>
      <c r="G2961" s="1258"/>
      <c r="H2961" s="1258"/>
      <c r="I2961" s="1258"/>
      <c r="J2961" s="1258"/>
      <c r="K2961" s="1258"/>
      <c r="L2961" s="1258"/>
      <c r="M2961" s="1258"/>
      <c r="N2961" s="1258"/>
      <c r="O2961" s="1258"/>
      <c r="P2961" s="1258"/>
      <c r="Q2961" s="1258"/>
      <c r="R2961" s="1258"/>
      <c r="S2961" s="1258"/>
      <c r="T2961" s="1258"/>
      <c r="U2961" s="1258"/>
      <c r="V2961" s="1258"/>
      <c r="W2961" s="1258"/>
      <c r="X2961" s="1258"/>
      <c r="Y2961" s="1258"/>
      <c r="Z2961" s="1258"/>
      <c r="AA2961" s="1258"/>
      <c r="AB2961" s="1258"/>
      <c r="AC2961" s="1258"/>
      <c r="AD2961" s="1258"/>
      <c r="AE2961" s="1258"/>
      <c r="AF2961" s="1258"/>
      <c r="AG2961" s="1258"/>
      <c r="AH2961" s="1258"/>
      <c r="AI2961" s="1258"/>
      <c r="AJ2961" s="1258"/>
      <c r="AK2961" s="108"/>
      <c r="AL2961" s="108"/>
      <c r="AM2961" s="108"/>
      <c r="AN2961" s="108"/>
      <c r="AO2961" s="108"/>
      <c r="AP2961" s="108"/>
      <c r="AQ2961" s="108"/>
      <c r="AR2961" s="108"/>
      <c r="AS2961" s="108"/>
      <c r="AT2961" s="108"/>
      <c r="AU2961" s="108"/>
      <c r="AV2961" s="108"/>
      <c r="AW2961" s="108"/>
      <c r="AX2961" s="108"/>
      <c r="AY2961" s="108"/>
      <c r="AZ2961" s="108"/>
      <c r="BA2961" s="108"/>
      <c r="BB2961" s="108"/>
      <c r="BC2961" s="108"/>
      <c r="BD2961" s="108"/>
      <c r="BE2961" s="108"/>
      <c r="BF2961" s="108"/>
      <c r="BG2961" s="108"/>
      <c r="BH2961" s="108"/>
      <c r="BI2961" s="108"/>
      <c r="BJ2961" s="108"/>
      <c r="BK2961" s="108"/>
      <c r="BL2961" s="108"/>
      <c r="BM2961" s="108"/>
      <c r="BN2961" s="108"/>
      <c r="BO2961" s="108"/>
      <c r="BP2961" s="108"/>
      <c r="BQ2961" s="108"/>
      <c r="BR2961" s="108"/>
      <c r="BS2961" s="108"/>
      <c r="BT2961" s="108"/>
      <c r="BU2961" s="108"/>
      <c r="BV2961" s="108"/>
      <c r="BW2961" s="108"/>
    </row>
    <row r="2962" spans="1:75" ht="12.75" customHeight="1" x14ac:dyDescent="0.3">
      <c r="A2962" s="1258" t="s">
        <v>722</v>
      </c>
      <c r="B2962" s="1258">
        <f>'Model Main'!EN132</f>
        <v>-1337</v>
      </c>
      <c r="C2962" s="1258">
        <f>'Model Main'!ES132</f>
        <v>-1867</v>
      </c>
      <c r="D2962" s="1258">
        <f>'Model Main'!EX132</f>
        <v>-1651</v>
      </c>
      <c r="E2962" s="1258">
        <f>'Model Main'!FC132</f>
        <v>-1838.2067340418082</v>
      </c>
      <c r="F2962" s="1258">
        <f>'Model Main'!FD132</f>
        <v>-1579.7485151072758</v>
      </c>
      <c r="G2962" s="1258"/>
      <c r="H2962" s="1258"/>
      <c r="I2962" s="1258"/>
      <c r="J2962" s="1258"/>
      <c r="K2962" s="1258"/>
      <c r="L2962" s="1258"/>
      <c r="M2962" s="1258"/>
      <c r="N2962" s="1258"/>
      <c r="O2962" s="1258"/>
      <c r="P2962" s="1258"/>
      <c r="Q2962" s="1258"/>
      <c r="R2962" s="1258"/>
      <c r="S2962" s="1258"/>
      <c r="T2962" s="1258"/>
      <c r="U2962" s="1258"/>
      <c r="V2962" s="1258"/>
      <c r="W2962" s="1258"/>
      <c r="X2962" s="1258"/>
      <c r="Y2962" s="1258"/>
      <c r="Z2962" s="1258"/>
      <c r="AA2962" s="1258"/>
      <c r="AB2962" s="1258"/>
      <c r="AC2962" s="1258"/>
      <c r="AD2962" s="1258"/>
      <c r="AE2962" s="1258"/>
      <c r="AF2962" s="1258"/>
      <c r="AG2962" s="1258"/>
      <c r="AH2962" s="1258"/>
      <c r="AI2962" s="1258"/>
      <c r="AJ2962" s="1258"/>
      <c r="AK2962" s="108"/>
      <c r="AL2962" s="108"/>
      <c r="AM2962" s="108"/>
      <c r="AN2962" s="108"/>
      <c r="AO2962" s="108"/>
      <c r="AP2962" s="108"/>
      <c r="AQ2962" s="108"/>
      <c r="AR2962" s="108"/>
      <c r="AS2962" s="108"/>
      <c r="AT2962" s="108"/>
      <c r="AU2962" s="108"/>
      <c r="AV2962" s="108"/>
      <c r="AW2962" s="108"/>
      <c r="AX2962" s="108"/>
      <c r="AY2962" s="108"/>
      <c r="AZ2962" s="108"/>
      <c r="BA2962" s="108"/>
      <c r="BB2962" s="108"/>
      <c r="BC2962" s="108"/>
      <c r="BD2962" s="108"/>
      <c r="BE2962" s="108"/>
      <c r="BF2962" s="108"/>
      <c r="BG2962" s="108"/>
      <c r="BH2962" s="108"/>
      <c r="BI2962" s="108"/>
      <c r="BJ2962" s="108"/>
      <c r="BK2962" s="108"/>
      <c r="BL2962" s="108"/>
      <c r="BM2962" s="108"/>
      <c r="BN2962" s="108"/>
      <c r="BO2962" s="108"/>
      <c r="BP2962" s="108"/>
      <c r="BQ2962" s="108"/>
      <c r="BR2962" s="108"/>
      <c r="BS2962" s="108"/>
      <c r="BT2962" s="108"/>
      <c r="BU2962" s="108"/>
      <c r="BV2962" s="108"/>
      <c r="BW2962" s="108"/>
    </row>
    <row r="2963" spans="1:75" ht="12.75" customHeight="1" x14ac:dyDescent="0.3">
      <c r="A2963" s="1258" t="s">
        <v>726</v>
      </c>
      <c r="B2963" s="1258">
        <f>_xll.VAData("FYBR_US",B2909,"Free Cash flow (FCF)")</f>
        <v>-1508.3</v>
      </c>
      <c r="C2963" s="1258">
        <f>_xll.VAData("FYBR_US",C2909,"Free Cash flow (FCF)")</f>
        <v>-2020.1111111111111</v>
      </c>
      <c r="D2963" s="1258">
        <f>_xll.VAData("FYBR_US",D2909,"Free Cash flow (FCF)")</f>
        <v>-1639.6986120001523</v>
      </c>
      <c r="E2963" s="1258">
        <f>_xll.VAData("FYBR_US",E2909,"Free Cash flow (FCF)")</f>
        <v>-1740.8851660476089</v>
      </c>
      <c r="F2963" s="1258">
        <f>_xll.VAData("FYBR_US",F2909,"Free Cash flow (FCF)")</f>
        <v>-1014.8512465320381</v>
      </c>
      <c r="G2963" s="1258"/>
      <c r="H2963" s="1258"/>
      <c r="I2963" s="1258"/>
      <c r="J2963" s="1258"/>
      <c r="K2963" s="1258"/>
      <c r="L2963" s="1258"/>
      <c r="M2963" s="1258"/>
      <c r="N2963" s="1258"/>
      <c r="O2963" s="1258"/>
      <c r="P2963" s="1258"/>
      <c r="Q2963" s="1258"/>
      <c r="R2963" s="1258"/>
      <c r="S2963" s="1258"/>
      <c r="T2963" s="1258"/>
      <c r="U2963" s="1258"/>
      <c r="V2963" s="1258"/>
      <c r="W2963" s="1258"/>
      <c r="X2963" s="1258"/>
      <c r="Y2963" s="1258"/>
      <c r="Z2963" s="1258"/>
      <c r="AA2963" s="1258"/>
      <c r="AB2963" s="1258"/>
      <c r="AC2963" s="1258"/>
      <c r="AD2963" s="1258"/>
      <c r="AE2963" s="1258"/>
      <c r="AF2963" s="1258"/>
      <c r="AG2963" s="1258"/>
      <c r="AH2963" s="1258"/>
      <c r="AI2963" s="1258"/>
      <c r="AJ2963" s="1258"/>
      <c r="AK2963" s="108"/>
      <c r="AL2963" s="108"/>
      <c r="AM2963" s="108"/>
      <c r="AN2963" s="108"/>
      <c r="AO2963" s="108"/>
      <c r="AP2963" s="108"/>
      <c r="AQ2963" s="108"/>
      <c r="AR2963" s="108"/>
      <c r="AS2963" s="108"/>
      <c r="AT2963" s="108"/>
      <c r="AU2963" s="108"/>
      <c r="AV2963" s="108"/>
      <c r="AW2963" s="108"/>
      <c r="AX2963" s="108"/>
      <c r="AY2963" s="108"/>
      <c r="AZ2963" s="108"/>
      <c r="BA2963" s="108"/>
      <c r="BB2963" s="108"/>
      <c r="BC2963" s="108"/>
      <c r="BD2963" s="108"/>
      <c r="BE2963" s="108"/>
      <c r="BF2963" s="108"/>
      <c r="BG2963" s="108"/>
      <c r="BH2963" s="108"/>
      <c r="BI2963" s="108"/>
      <c r="BJ2963" s="108"/>
      <c r="BK2963" s="108"/>
      <c r="BL2963" s="108"/>
      <c r="BM2963" s="108"/>
      <c r="BN2963" s="108"/>
      <c r="BO2963" s="108"/>
      <c r="BP2963" s="108"/>
      <c r="BQ2963" s="108"/>
      <c r="BR2963" s="108"/>
      <c r="BS2963" s="108"/>
      <c r="BT2963" s="108"/>
      <c r="BU2963" s="108"/>
      <c r="BV2963" s="108"/>
      <c r="BW2963" s="108"/>
    </row>
    <row r="2964" spans="1:75" ht="12.75" customHeight="1" x14ac:dyDescent="0.3">
      <c r="A2964" s="1261" t="s">
        <v>652</v>
      </c>
      <c r="B2964" s="1262">
        <f>B2962/B2963-1</f>
        <v>-0.11357157064244516</v>
      </c>
      <c r="C2964" s="1262">
        <f t="shared" ref="C2964:F2964" si="910">C2962/C2963-1</f>
        <v>-7.5793410703481667E-2</v>
      </c>
      <c r="D2964" s="1262">
        <f t="shared" si="910"/>
        <v>6.8923568740855146E-3</v>
      </c>
      <c r="E2964" s="1262">
        <f t="shared" si="910"/>
        <v>5.5903496618993964E-2</v>
      </c>
      <c r="F2964" s="1262">
        <f t="shared" si="910"/>
        <v>0.55663061015652437</v>
      </c>
      <c r="G2964" s="1258"/>
      <c r="H2964" s="1258"/>
      <c r="I2964" s="1258"/>
      <c r="J2964" s="1258"/>
      <c r="K2964" s="1258"/>
      <c r="L2964" s="1258"/>
      <c r="M2964" s="1258"/>
      <c r="N2964" s="1258"/>
      <c r="O2964" s="1258"/>
      <c r="P2964" s="1258"/>
      <c r="Q2964" s="1258"/>
      <c r="R2964" s="1258"/>
      <c r="S2964" s="1258"/>
      <c r="T2964" s="1258"/>
      <c r="U2964" s="1258"/>
      <c r="V2964" s="1258"/>
      <c r="W2964" s="1258"/>
      <c r="X2964" s="1258"/>
      <c r="Y2964" s="1258"/>
      <c r="Z2964" s="1258"/>
      <c r="AA2964" s="1258"/>
      <c r="AB2964" s="1258"/>
      <c r="AC2964" s="1258"/>
      <c r="AD2964" s="1258"/>
      <c r="AE2964" s="1258"/>
      <c r="AF2964" s="1258"/>
      <c r="AG2964" s="1258"/>
      <c r="AH2964" s="1258"/>
      <c r="AI2964" s="1258"/>
      <c r="AJ2964" s="1258"/>
      <c r="AK2964" s="108"/>
      <c r="AL2964" s="108"/>
      <c r="AM2964" s="108"/>
      <c r="AN2964" s="108"/>
      <c r="AO2964" s="108"/>
      <c r="AP2964" s="108"/>
      <c r="AQ2964" s="108"/>
      <c r="AR2964" s="108"/>
      <c r="AS2964" s="108"/>
      <c r="AT2964" s="108"/>
      <c r="AU2964" s="108"/>
      <c r="AV2964" s="108"/>
      <c r="AW2964" s="108"/>
      <c r="AX2964" s="108"/>
      <c r="AY2964" s="108"/>
      <c r="AZ2964" s="108"/>
      <c r="BA2964" s="108"/>
      <c r="BB2964" s="108"/>
      <c r="BC2964" s="108"/>
      <c r="BD2964" s="108"/>
      <c r="BE2964" s="108"/>
      <c r="BF2964" s="108"/>
      <c r="BG2964" s="108"/>
      <c r="BH2964" s="108"/>
      <c r="BI2964" s="108"/>
      <c r="BJ2964" s="108"/>
      <c r="BK2964" s="108"/>
      <c r="BL2964" s="108"/>
      <c r="BM2964" s="108"/>
      <c r="BN2964" s="108"/>
      <c r="BO2964" s="108"/>
      <c r="BP2964" s="108"/>
      <c r="BQ2964" s="108"/>
      <c r="BR2964" s="108"/>
      <c r="BS2964" s="108"/>
      <c r="BT2964" s="108"/>
      <c r="BU2964" s="108"/>
      <c r="BV2964" s="108"/>
      <c r="BW2964" s="108"/>
    </row>
    <row r="2965" spans="1:75" ht="12.75" customHeight="1" x14ac:dyDescent="0.3">
      <c r="A2965" s="1263"/>
      <c r="B2965" s="1263"/>
      <c r="C2965" s="1263"/>
      <c r="D2965" s="1263"/>
      <c r="E2965" s="1263"/>
      <c r="F2965" s="1263"/>
      <c r="G2965" s="1258"/>
      <c r="H2965" s="1258"/>
      <c r="I2965" s="1258"/>
      <c r="J2965" s="1258"/>
      <c r="K2965" s="1258"/>
      <c r="L2965" s="1258"/>
      <c r="M2965" s="1258"/>
      <c r="N2965" s="1258"/>
      <c r="O2965" s="1258"/>
      <c r="P2965" s="1258"/>
      <c r="Q2965" s="1258"/>
      <c r="R2965" s="1258"/>
      <c r="S2965" s="1258"/>
      <c r="T2965" s="1258"/>
      <c r="U2965" s="1258"/>
      <c r="V2965" s="1258"/>
      <c r="W2965" s="1258"/>
      <c r="X2965" s="1258"/>
      <c r="Y2965" s="1258"/>
      <c r="Z2965" s="1258"/>
      <c r="AA2965" s="1258"/>
      <c r="AB2965" s="1258"/>
      <c r="AC2965" s="1258"/>
      <c r="AD2965" s="1258"/>
      <c r="AE2965" s="1258"/>
      <c r="AF2965" s="1258"/>
      <c r="AG2965" s="1258"/>
      <c r="AH2965" s="1258"/>
      <c r="AI2965" s="1258"/>
      <c r="AJ2965" s="1258"/>
      <c r="AK2965" s="108"/>
      <c r="AL2965" s="108"/>
      <c r="AM2965" s="108"/>
      <c r="AN2965" s="108"/>
      <c r="AO2965" s="108"/>
      <c r="AP2965" s="108"/>
      <c r="AQ2965" s="108"/>
      <c r="AR2965" s="108"/>
      <c r="AS2965" s="108"/>
      <c r="AT2965" s="108"/>
      <c r="AU2965" s="108"/>
      <c r="AV2965" s="108"/>
      <c r="AW2965" s="108"/>
      <c r="AX2965" s="108"/>
      <c r="AY2965" s="108"/>
      <c r="AZ2965" s="108"/>
      <c r="BA2965" s="108"/>
      <c r="BB2965" s="108"/>
      <c r="BC2965" s="108"/>
      <c r="BD2965" s="108"/>
      <c r="BE2965" s="108"/>
      <c r="BF2965" s="108"/>
      <c r="BG2965" s="108"/>
      <c r="BH2965" s="108"/>
      <c r="BI2965" s="108"/>
      <c r="BJ2965" s="108"/>
      <c r="BK2965" s="108"/>
      <c r="BL2965" s="108"/>
      <c r="BM2965" s="108"/>
      <c r="BN2965" s="108"/>
      <c r="BO2965" s="108"/>
      <c r="BP2965" s="108"/>
      <c r="BQ2965" s="108"/>
      <c r="BR2965" s="108"/>
      <c r="BS2965" s="108"/>
      <c r="BT2965" s="108"/>
      <c r="BU2965" s="108"/>
      <c r="BV2965" s="108"/>
      <c r="BW2965" s="108"/>
    </row>
    <row r="2966" spans="1:75" ht="12.75" customHeight="1" x14ac:dyDescent="0.3">
      <c r="A2966" s="1258"/>
      <c r="B2966" s="1258"/>
      <c r="C2966" s="1258"/>
      <c r="D2966" s="1258"/>
      <c r="E2966" s="1258"/>
      <c r="F2966" s="1258"/>
      <c r="G2966" s="1258"/>
      <c r="H2966" s="1258"/>
      <c r="I2966" s="1258"/>
      <c r="J2966" s="1258"/>
      <c r="K2966" s="1258"/>
      <c r="L2966" s="1258"/>
      <c r="M2966" s="1258"/>
      <c r="N2966" s="1258"/>
      <c r="O2966" s="1258"/>
      <c r="P2966" s="1258"/>
      <c r="Q2966" s="1258"/>
      <c r="R2966" s="1258"/>
      <c r="S2966" s="1258"/>
      <c r="T2966" s="1258"/>
      <c r="U2966" s="1258"/>
      <c r="V2966" s="1258"/>
      <c r="W2966" s="1258"/>
      <c r="X2966" s="1258"/>
      <c r="Y2966" s="1258"/>
      <c r="Z2966" s="1258"/>
      <c r="AA2966" s="1258"/>
      <c r="AB2966" s="1258"/>
      <c r="AC2966" s="1258"/>
      <c r="AD2966" s="1258"/>
      <c r="AE2966" s="1258"/>
      <c r="AF2966" s="1258"/>
      <c r="AG2966" s="1258"/>
      <c r="AH2966" s="1258"/>
      <c r="AI2966" s="1258"/>
      <c r="AJ2966" s="1258"/>
      <c r="AK2966" s="108"/>
      <c r="AL2966" s="108"/>
      <c r="AM2966" s="108"/>
      <c r="AN2966" s="108"/>
      <c r="AO2966" s="108"/>
      <c r="AP2966" s="108"/>
      <c r="AQ2966" s="108"/>
      <c r="AR2966" s="108"/>
      <c r="AS2966" s="108"/>
      <c r="AT2966" s="108"/>
      <c r="AU2966" s="108"/>
      <c r="AV2966" s="108"/>
      <c r="AW2966" s="108"/>
      <c r="AX2966" s="108"/>
      <c r="AY2966" s="108"/>
      <c r="AZ2966" s="108"/>
      <c r="BA2966" s="108"/>
      <c r="BB2966" s="108"/>
      <c r="BC2966" s="108"/>
      <c r="BD2966" s="108"/>
      <c r="BE2966" s="108"/>
      <c r="BF2966" s="108"/>
      <c r="BG2966" s="108"/>
      <c r="BH2966" s="108"/>
      <c r="BI2966" s="108"/>
      <c r="BJ2966" s="108"/>
      <c r="BK2966" s="108"/>
      <c r="BL2966" s="108"/>
      <c r="BM2966" s="108"/>
      <c r="BN2966" s="108"/>
      <c r="BO2966" s="108"/>
      <c r="BP2966" s="108"/>
      <c r="BQ2966" s="108"/>
      <c r="BR2966" s="108"/>
      <c r="BS2966" s="108"/>
      <c r="BT2966" s="108"/>
      <c r="BU2966" s="108"/>
      <c r="BV2966" s="108"/>
      <c r="BW2966" s="108"/>
    </row>
    <row r="2970" spans="1:75" x14ac:dyDescent="0.3">
      <c r="A2970" s="533" t="s">
        <v>1274</v>
      </c>
      <c r="B2970" s="534"/>
      <c r="C2970" s="534"/>
      <c r="D2970" s="534"/>
      <c r="E2970" s="534"/>
      <c r="F2970" s="534"/>
      <c r="G2970" s="534"/>
      <c r="H2970" s="534"/>
      <c r="I2970" s="534"/>
      <c r="J2970" s="534"/>
      <c r="K2970" s="534"/>
      <c r="L2970" s="534"/>
      <c r="M2970" s="534"/>
      <c r="N2970" s="534"/>
      <c r="O2970" s="534"/>
      <c r="P2970" s="534"/>
      <c r="Q2970" s="534"/>
      <c r="R2970" s="534"/>
      <c r="S2970" s="534"/>
    </row>
    <row r="2971" spans="1:75" x14ac:dyDescent="0.3">
      <c r="B2971" s="374" t="s">
        <v>922</v>
      </c>
      <c r="C2971" s="374" t="s">
        <v>923</v>
      </c>
      <c r="D2971" s="374" t="s">
        <v>924</v>
      </c>
    </row>
    <row r="2972" spans="1:75" x14ac:dyDescent="0.3">
      <c r="A2972" s="177" t="s">
        <v>1662</v>
      </c>
      <c r="B2972" s="76">
        <f>Drivers!EJ572</f>
        <v>447</v>
      </c>
      <c r="C2972" s="76">
        <f>Drivers!EK572</f>
        <v>641</v>
      </c>
      <c r="D2972" s="76">
        <f>Drivers!EL572</f>
        <v>772</v>
      </c>
    </row>
    <row r="2973" spans="1:75" x14ac:dyDescent="0.3">
      <c r="A2973" s="177" t="s">
        <v>1663</v>
      </c>
      <c r="B2973" s="634">
        <v>0.52</v>
      </c>
      <c r="C2973" s="634">
        <v>0.57999999999999996</v>
      </c>
      <c r="D2973" s="634">
        <v>0.56999999999999995</v>
      </c>
    </row>
    <row r="2974" spans="1:75" x14ac:dyDescent="0.3">
      <c r="A2974" s="177" t="s">
        <v>1664</v>
      </c>
      <c r="B2974" s="885">
        <f>B2972*B2973</f>
        <v>232.44</v>
      </c>
      <c r="C2974" s="885">
        <f t="shared" ref="C2974:D2974" si="911">C2972*C2973</f>
        <v>371.78</v>
      </c>
      <c r="D2974" s="885">
        <f t="shared" si="911"/>
        <v>440.03999999999996</v>
      </c>
    </row>
    <row r="2975" spans="1:75" x14ac:dyDescent="0.3">
      <c r="A2975" s="94"/>
      <c r="B2975" s="943"/>
      <c r="C2975" s="943"/>
      <c r="D2975" s="943"/>
    </row>
    <row r="2977" spans="1:5" x14ac:dyDescent="0.3">
      <c r="A2977" s="177" t="s">
        <v>1665</v>
      </c>
      <c r="B2977" s="887">
        <v>233</v>
      </c>
      <c r="C2977" s="887">
        <v>325</v>
      </c>
      <c r="D2977" s="887">
        <v>442</v>
      </c>
      <c r="E2977" s="887">
        <f>SUM(B2977:D2977)</f>
        <v>1000</v>
      </c>
    </row>
    <row r="2978" spans="1:5" x14ac:dyDescent="0.3">
      <c r="A2978" s="177" t="s">
        <v>1666</v>
      </c>
      <c r="B2978" s="104">
        <f>Drivers!EJ87</f>
        <v>211</v>
      </c>
      <c r="C2978" s="104">
        <f>Drivers!EK87</f>
        <v>281</v>
      </c>
      <c r="D2978" s="104">
        <f>Drivers!EL87</f>
        <v>351</v>
      </c>
      <c r="E2978" s="104">
        <f>SUM(B2978:D2978)</f>
        <v>843</v>
      </c>
    </row>
    <row r="2979" spans="1:5" x14ac:dyDescent="0.3">
      <c r="A2979" s="177" t="s">
        <v>1667</v>
      </c>
      <c r="B2979" s="885">
        <f>B2977/B2978*1000</f>
        <v>1104.2654028436018</v>
      </c>
      <c r="C2979" s="885">
        <f t="shared" ref="C2979:E2979" si="912">C2977/C2978*1000</f>
        <v>1156.5836298932384</v>
      </c>
      <c r="D2979" s="885">
        <f t="shared" si="912"/>
        <v>1259.2592592592594</v>
      </c>
      <c r="E2979" s="885">
        <f t="shared" si="912"/>
        <v>1186.2396204033214</v>
      </c>
    </row>
    <row r="2982" spans="1:5" x14ac:dyDescent="0.3">
      <c r="A2982" s="177" t="s">
        <v>1668</v>
      </c>
      <c r="B2982" s="887">
        <f>B2974</f>
        <v>232.44</v>
      </c>
      <c r="C2982" s="887">
        <f t="shared" ref="C2982:D2982" si="913">C2974</f>
        <v>371.78</v>
      </c>
      <c r="D2982" s="887">
        <f t="shared" si="913"/>
        <v>440.03999999999996</v>
      </c>
    </row>
    <row r="2983" spans="1:5" x14ac:dyDescent="0.3">
      <c r="A2983" s="177" t="s">
        <v>1669</v>
      </c>
      <c r="B2983" s="104">
        <f>B2978</f>
        <v>211</v>
      </c>
      <c r="C2983" s="104">
        <f>B2983+C2978</f>
        <v>492</v>
      </c>
      <c r="D2983" s="104">
        <f>C2983+D2978</f>
        <v>843</v>
      </c>
    </row>
    <row r="2984" spans="1:5" x14ac:dyDescent="0.3">
      <c r="A2984" s="177" t="s">
        <v>1667</v>
      </c>
      <c r="B2984" s="885">
        <f>B2982/B2983*1000</f>
        <v>1101.6113744075828</v>
      </c>
      <c r="C2984" s="885">
        <f t="shared" ref="C2984" si="914">C2982/C2983*1000</f>
        <v>755.65040650406502</v>
      </c>
      <c r="D2984" s="885">
        <f t="shared" ref="D2984" si="915">D2982/D2983*1000</f>
        <v>521.99288256227749</v>
      </c>
    </row>
    <row r="2987" spans="1:5" x14ac:dyDescent="0.3">
      <c r="A2987" s="177" t="s">
        <v>1668</v>
      </c>
      <c r="B2987" s="885">
        <f>E2977</f>
        <v>1000</v>
      </c>
    </row>
    <row r="2988" spans="1:5" x14ac:dyDescent="0.3">
      <c r="A2988" s="177" t="s">
        <v>1670</v>
      </c>
      <c r="B2988" s="901">
        <v>-157</v>
      </c>
    </row>
    <row r="2989" spans="1:5" x14ac:dyDescent="0.3">
      <c r="A2989" s="177" t="s">
        <v>1671</v>
      </c>
      <c r="B2989" s="885">
        <f>SUM(B2987:B2988)</f>
        <v>843</v>
      </c>
    </row>
    <row r="2990" spans="1:5" x14ac:dyDescent="0.3">
      <c r="A2990" s="177" t="s">
        <v>1669</v>
      </c>
      <c r="B2990" s="901">
        <f>D2983</f>
        <v>843</v>
      </c>
    </row>
    <row r="2991" spans="1:5" x14ac:dyDescent="0.3">
      <c r="A2991" s="298" t="s">
        <v>1667</v>
      </c>
      <c r="B2991" s="886">
        <f>B2989/B2990*1000</f>
        <v>1000</v>
      </c>
    </row>
    <row r="2994" spans="1:19" x14ac:dyDescent="0.3">
      <c r="A2994" s="533"/>
      <c r="B2994" s="534"/>
      <c r="C2994" s="534"/>
      <c r="D2994" s="534"/>
      <c r="E2994" s="534"/>
      <c r="F2994" s="534"/>
      <c r="G2994" s="534"/>
      <c r="H2994" s="534"/>
      <c r="I2994" s="534"/>
      <c r="J2994" s="534"/>
      <c r="K2994" s="534"/>
      <c r="L2994" s="534"/>
      <c r="M2994" s="534"/>
      <c r="N2994" s="534"/>
      <c r="O2994" s="534"/>
      <c r="P2994" s="534"/>
      <c r="Q2994" s="534"/>
      <c r="R2994" s="534"/>
      <c r="S2994" s="534"/>
    </row>
    <row r="2996" spans="1:19" x14ac:dyDescent="0.3">
      <c r="A2996" s="177" t="s">
        <v>1672</v>
      </c>
      <c r="B2996" s="76">
        <f>Drivers!EM117</f>
        <v>73</v>
      </c>
    </row>
    <row r="2997" spans="1:19" x14ac:dyDescent="0.3">
      <c r="A2997" s="177" t="s">
        <v>1673</v>
      </c>
      <c r="B2997">
        <v>64.63</v>
      </c>
    </row>
    <row r="2998" spans="1:19" x14ac:dyDescent="0.3">
      <c r="A2998" s="177" t="s">
        <v>1674</v>
      </c>
      <c r="B2998">
        <v>1.5</v>
      </c>
    </row>
    <row r="2999" spans="1:19" ht="12.5" thickBot="1" x14ac:dyDescent="0.35">
      <c r="A2999" s="298" t="s">
        <v>1675</v>
      </c>
      <c r="B2999" s="1251">
        <f>B2996*B2997*B2998/1000</f>
        <v>7.0769849999999996</v>
      </c>
    </row>
    <row r="3000" spans="1:19" ht="12.5" thickTop="1" x14ac:dyDescent="0.3">
      <c r="A3000" s="94" t="s">
        <v>1676</v>
      </c>
      <c r="B3000" s="1252">
        <f>B2999*0.75</f>
        <v>5.3077387499999995</v>
      </c>
    </row>
    <row r="3005" spans="1:19" x14ac:dyDescent="0.3">
      <c r="A3005" s="533" t="s">
        <v>1677</v>
      </c>
      <c r="B3005" s="534"/>
      <c r="C3005" s="534"/>
      <c r="D3005" s="534"/>
      <c r="E3005" s="534"/>
      <c r="F3005" s="534"/>
      <c r="G3005" s="534"/>
      <c r="H3005" s="534"/>
      <c r="I3005" s="534"/>
      <c r="J3005" s="534"/>
      <c r="K3005" s="534"/>
      <c r="L3005" s="534"/>
      <c r="M3005" s="534"/>
      <c r="N3005" s="534"/>
      <c r="O3005" s="534"/>
      <c r="P3005" s="534"/>
      <c r="Q3005" s="534"/>
      <c r="R3005" s="534"/>
      <c r="S3005" s="534"/>
    </row>
    <row r="3006" spans="1:19" x14ac:dyDescent="0.3">
      <c r="B3006" s="374" t="s">
        <v>923</v>
      </c>
      <c r="C3006" s="374" t="s">
        <v>924</v>
      </c>
      <c r="D3006" s="374" t="s">
        <v>553</v>
      </c>
    </row>
    <row r="3007" spans="1:19" x14ac:dyDescent="0.3">
      <c r="A3007" s="177" t="s">
        <v>975</v>
      </c>
      <c r="B3007" s="76">
        <f>Drivers!EK113</f>
        <v>109.54520000000002</v>
      </c>
      <c r="C3007" s="76">
        <f>Drivers!EL113</f>
        <v>133.02399999999989</v>
      </c>
      <c r="D3007" s="76">
        <f>C3007-B3007</f>
        <v>23.478799999999865</v>
      </c>
    </row>
    <row r="3008" spans="1:19" x14ac:dyDescent="0.3">
      <c r="A3008" s="177" t="s">
        <v>794</v>
      </c>
      <c r="B3008" s="866">
        <f>B3047</f>
        <v>425.91614562925099</v>
      </c>
      <c r="C3008" s="866">
        <f>B3008</f>
        <v>425.91614562925099</v>
      </c>
    </row>
    <row r="3009" spans="1:4" x14ac:dyDescent="0.3">
      <c r="A3009" s="177" t="s">
        <v>1678</v>
      </c>
      <c r="B3009" s="885">
        <f>B3007*B3008/1000</f>
        <v>46.657069356185438</v>
      </c>
      <c r="C3009" s="885">
        <f>C3007*C3008/1000</f>
        <v>56.657069356185438</v>
      </c>
      <c r="D3009" s="887">
        <f>C3009-B3009</f>
        <v>10</v>
      </c>
    </row>
    <row r="3010" spans="1:4" x14ac:dyDescent="0.3">
      <c r="A3010" s="177" t="s">
        <v>1679</v>
      </c>
      <c r="B3010" s="104">
        <f>Drivers!EK180</f>
        <v>1413</v>
      </c>
      <c r="C3010" s="104">
        <f>Drivers!EL180</f>
        <v>1470</v>
      </c>
      <c r="D3010" s="76">
        <f>C3010-B3010</f>
        <v>57</v>
      </c>
    </row>
    <row r="3011" spans="1:4" ht="12.5" thickBot="1" x14ac:dyDescent="0.35">
      <c r="A3011" s="298" t="s">
        <v>1680</v>
      </c>
      <c r="B3011" s="1248">
        <f>B3009/B3010*1000/3</f>
        <v>11.006621692895834</v>
      </c>
      <c r="C3011" s="1248">
        <f>C3009/C3010*1000/3</f>
        <v>12.84740801727561</v>
      </c>
      <c r="D3011" s="1224">
        <f>C3011-B3011</f>
        <v>1.840786324379776</v>
      </c>
    </row>
    <row r="3012" spans="1:4" ht="12.5" thickTop="1" x14ac:dyDescent="0.3"/>
    <row r="3013" spans="1:4" x14ac:dyDescent="0.3">
      <c r="A3013" s="90" t="s">
        <v>1681</v>
      </c>
      <c r="B3013" s="374" t="s">
        <v>923</v>
      </c>
      <c r="C3013" s="374" t="s">
        <v>924</v>
      </c>
      <c r="D3013" s="374" t="s">
        <v>553</v>
      </c>
    </row>
    <row r="3014" spans="1:4" x14ac:dyDescent="0.3">
      <c r="A3014" s="177" t="s">
        <v>975</v>
      </c>
      <c r="B3014" s="76">
        <f>B3007</f>
        <v>109.54520000000002</v>
      </c>
      <c r="C3014" s="76">
        <f>B3014+Drivers!EL117-Drivers!EK117</f>
        <v>123.54520000000002</v>
      </c>
      <c r="D3014" s="76">
        <f>C3014-B3014</f>
        <v>14</v>
      </c>
    </row>
    <row r="3015" spans="1:4" x14ac:dyDescent="0.3">
      <c r="A3015" s="177" t="s">
        <v>794</v>
      </c>
      <c r="B3015" s="866">
        <f>B3008</f>
        <v>425.91614562925099</v>
      </c>
      <c r="C3015" s="866">
        <f>C3008</f>
        <v>425.91614562925099</v>
      </c>
    </row>
    <row r="3016" spans="1:4" x14ac:dyDescent="0.3">
      <c r="A3016" s="177" t="s">
        <v>1678</v>
      </c>
      <c r="B3016" s="885">
        <f>B3014*B3015/1000</f>
        <v>46.657069356185438</v>
      </c>
      <c r="C3016" s="885">
        <f>C3014*C3015/1000</f>
        <v>52.619895394994948</v>
      </c>
      <c r="D3016" s="887">
        <f>C3016-B3016</f>
        <v>5.96282603880951</v>
      </c>
    </row>
    <row r="3017" spans="1:4" x14ac:dyDescent="0.3">
      <c r="A3017" s="177" t="s">
        <v>1679</v>
      </c>
      <c r="B3017" s="104">
        <f>B3010</f>
        <v>1413</v>
      </c>
      <c r="C3017" s="104">
        <f>C3010</f>
        <v>1470</v>
      </c>
      <c r="D3017" s="76">
        <f>C3017-B3017</f>
        <v>57</v>
      </c>
    </row>
    <row r="3018" spans="1:4" ht="12.5" thickBot="1" x14ac:dyDescent="0.35">
      <c r="A3018" s="298" t="s">
        <v>1680</v>
      </c>
      <c r="B3018" s="1248">
        <f>B3016/B3017*1000/3</f>
        <v>11.006621692895834</v>
      </c>
      <c r="C3018" s="1248">
        <f>C3016/C3017*1000/3</f>
        <v>11.931949069159854</v>
      </c>
      <c r="D3018" s="1224">
        <f>C3018-B3018</f>
        <v>0.92532737626402017</v>
      </c>
    </row>
    <row r="3019" spans="1:4" ht="12.5" thickTop="1" x14ac:dyDescent="0.3"/>
    <row r="3020" spans="1:4" x14ac:dyDescent="0.3">
      <c r="B3020" s="374" t="s">
        <v>924</v>
      </c>
      <c r="C3020" s="374" t="s">
        <v>925</v>
      </c>
      <c r="D3020" s="374" t="s">
        <v>553</v>
      </c>
    </row>
    <row r="3021" spans="1:4" x14ac:dyDescent="0.3">
      <c r="A3021" s="177" t="s">
        <v>975</v>
      </c>
      <c r="B3021" s="76">
        <f>Drivers!EL113</f>
        <v>133.02399999999989</v>
      </c>
      <c r="C3021" s="76">
        <f>Drivers!EM113</f>
        <v>132.47919999999999</v>
      </c>
      <c r="D3021" s="76">
        <f>C3021-B3021</f>
        <v>-0.54479999999989559</v>
      </c>
    </row>
    <row r="3022" spans="1:4" x14ac:dyDescent="0.3">
      <c r="A3022" s="177" t="s">
        <v>794</v>
      </c>
      <c r="B3022" s="866">
        <f>C3008</f>
        <v>425.91614562925099</v>
      </c>
      <c r="C3022" s="866">
        <f>B3022</f>
        <v>425.91614562925099</v>
      </c>
    </row>
    <row r="3023" spans="1:4" x14ac:dyDescent="0.3">
      <c r="A3023" s="177" t="s">
        <v>1678</v>
      </c>
      <c r="B3023" s="885">
        <f>B3021*B3022/1000</f>
        <v>56.657069356185438</v>
      </c>
      <c r="C3023" s="885">
        <f>C3021*C3022/1000</f>
        <v>56.425030240046659</v>
      </c>
      <c r="D3023" s="887">
        <f>C3023-B3023</f>
        <v>-0.23203911613877892</v>
      </c>
    </row>
    <row r="3024" spans="1:4" x14ac:dyDescent="0.3">
      <c r="A3024" s="177" t="s">
        <v>1679</v>
      </c>
      <c r="B3024" s="104">
        <f>Drivers!EL180</f>
        <v>1470</v>
      </c>
      <c r="C3024" s="104">
        <f>Drivers!EM180</f>
        <v>1538.5</v>
      </c>
      <c r="D3024" s="76">
        <f>C3024-B3024</f>
        <v>68.5</v>
      </c>
    </row>
    <row r="3025" spans="1:19" ht="12.5" thickBot="1" x14ac:dyDescent="0.35">
      <c r="A3025" s="298" t="s">
        <v>1680</v>
      </c>
      <c r="B3025" s="1248">
        <f>B3023/B3024*1000/3</f>
        <v>12.84740801727561</v>
      </c>
      <c r="C3025" s="1248">
        <f>C3023/C3024*1000/3</f>
        <v>12.225117590737009</v>
      </c>
      <c r="D3025" s="1224">
        <f>C3025-B3025</f>
        <v>-0.62229042653860134</v>
      </c>
    </row>
    <row r="3026" spans="1:19" ht="12.5" thickTop="1" x14ac:dyDescent="0.3"/>
    <row r="3027" spans="1:19" x14ac:dyDescent="0.3">
      <c r="A3027" s="177" t="s">
        <v>1673</v>
      </c>
      <c r="B3027">
        <v>64.63</v>
      </c>
    </row>
    <row r="3028" spans="1:19" x14ac:dyDescent="0.3">
      <c r="A3028" s="177" t="s">
        <v>1682</v>
      </c>
      <c r="B3028" s="104">
        <f>D3021</f>
        <v>-0.54479999999989559</v>
      </c>
    </row>
    <row r="3029" spans="1:19" ht="12.5" thickBot="1" x14ac:dyDescent="0.35">
      <c r="A3029" s="177" t="s">
        <v>214</v>
      </c>
      <c r="B3029" s="1246">
        <f>B3027*B3028*3/1000</f>
        <v>-0.10563127199997974</v>
      </c>
    </row>
    <row r="3030" spans="1:19" ht="12.5" thickTop="1" x14ac:dyDescent="0.3"/>
    <row r="3032" spans="1:19" x14ac:dyDescent="0.3">
      <c r="A3032" s="533" t="s">
        <v>1683</v>
      </c>
      <c r="B3032" s="534"/>
      <c r="C3032" s="534"/>
      <c r="D3032" s="534"/>
      <c r="E3032" s="534"/>
      <c r="F3032" s="534"/>
      <c r="G3032" s="534"/>
      <c r="H3032" s="534"/>
      <c r="I3032" s="534"/>
      <c r="J3032" s="534"/>
      <c r="K3032" s="534"/>
      <c r="L3032" s="534"/>
      <c r="M3032" s="534"/>
      <c r="N3032" s="534"/>
      <c r="O3032" s="534"/>
      <c r="P3032" s="534"/>
      <c r="Q3032" s="534"/>
      <c r="R3032" s="534"/>
      <c r="S3032" s="534"/>
    </row>
    <row r="3033" spans="1:19" x14ac:dyDescent="0.3">
      <c r="B3033" s="374" t="s">
        <v>1125</v>
      </c>
      <c r="C3033" s="374" t="s">
        <v>1126</v>
      </c>
      <c r="D3033" s="374" t="s">
        <v>1127</v>
      </c>
      <c r="E3033" s="374" t="s">
        <v>1128</v>
      </c>
      <c r="F3033" s="374" t="s">
        <v>922</v>
      </c>
      <c r="G3033" s="374" t="s">
        <v>923</v>
      </c>
      <c r="H3033" s="374" t="s">
        <v>924</v>
      </c>
    </row>
    <row r="3034" spans="1:19" x14ac:dyDescent="0.3">
      <c r="A3034" s="177" t="s">
        <v>1684</v>
      </c>
      <c r="B3034" s="1015">
        <v>60.73</v>
      </c>
      <c r="C3034" s="1015">
        <v>63.1</v>
      </c>
      <c r="D3034" s="1015">
        <v>63.59</v>
      </c>
      <c r="E3034" s="1015">
        <v>62.75</v>
      </c>
      <c r="F3034" s="1015">
        <v>63.21</v>
      </c>
      <c r="G3034" s="1015">
        <v>64.73</v>
      </c>
      <c r="H3034" s="1015">
        <v>64.63</v>
      </c>
    </row>
    <row r="3035" spans="1:19" x14ac:dyDescent="0.3">
      <c r="A3035" s="177" t="s">
        <v>1685</v>
      </c>
      <c r="B3035" s="1015">
        <f>Drivers!EE186</f>
        <v>60.73</v>
      </c>
      <c r="C3035" s="1015">
        <f>Drivers!EF186</f>
        <v>63.1</v>
      </c>
      <c r="D3035" s="1015">
        <f>Drivers!EG186</f>
        <v>63.35</v>
      </c>
      <c r="E3035" s="1015">
        <f>Drivers!EH186</f>
        <v>62.21</v>
      </c>
      <c r="F3035" s="1015">
        <f>Drivers!EJ186</f>
        <v>62.1</v>
      </c>
      <c r="G3035" s="1015">
        <f>Drivers!EK186</f>
        <v>63.35</v>
      </c>
      <c r="H3035" s="1015">
        <f>Drivers!EL186</f>
        <v>62.97</v>
      </c>
    </row>
    <row r="3036" spans="1:19" x14ac:dyDescent="0.3">
      <c r="A3036" s="298" t="s">
        <v>1686</v>
      </c>
      <c r="B3036" s="1249">
        <f>B3034-B3035</f>
        <v>0</v>
      </c>
      <c r="C3036" s="1249">
        <f t="shared" ref="C3036:H3036" si="916">C3034-C3035</f>
        <v>0</v>
      </c>
      <c r="D3036" s="1249">
        <f t="shared" si="916"/>
        <v>0.24000000000000199</v>
      </c>
      <c r="E3036" s="1249">
        <f t="shared" si="916"/>
        <v>0.53999999999999915</v>
      </c>
      <c r="F3036" s="1249">
        <f t="shared" si="916"/>
        <v>1.1099999999999994</v>
      </c>
      <c r="G3036" s="1249">
        <f t="shared" si="916"/>
        <v>1.3800000000000026</v>
      </c>
      <c r="H3036" s="1249">
        <f t="shared" si="916"/>
        <v>1.6599999999999966</v>
      </c>
    </row>
    <row r="3037" spans="1:19" x14ac:dyDescent="0.3">
      <c r="A3037" s="177" t="s">
        <v>1687</v>
      </c>
      <c r="B3037" s="901">
        <f>Drivers!EE180</f>
        <v>1244.5</v>
      </c>
      <c r="C3037" s="901">
        <f>Drivers!EF180</f>
        <v>1257</v>
      </c>
      <c r="D3037" s="901">
        <f>Drivers!EG180</f>
        <v>1277.5</v>
      </c>
      <c r="E3037" s="901">
        <f>Drivers!EH180</f>
        <v>1314</v>
      </c>
      <c r="F3037" s="901">
        <f>Drivers!EJ180</f>
        <v>1362</v>
      </c>
      <c r="G3037" s="901">
        <f>Drivers!EK180</f>
        <v>1413</v>
      </c>
      <c r="H3037" s="901">
        <f>Drivers!EL180</f>
        <v>1470</v>
      </c>
    </row>
    <row r="3038" spans="1:19" x14ac:dyDescent="0.3">
      <c r="A3038" s="298" t="s">
        <v>1688</v>
      </c>
      <c r="B3038" s="1079">
        <f>B3036*B3037*3/1000</f>
        <v>0</v>
      </c>
      <c r="C3038" s="1079">
        <f t="shared" ref="C3038:H3038" si="917">C3036*C3037*3/1000</f>
        <v>0</v>
      </c>
      <c r="D3038" s="1079">
        <f t="shared" si="917"/>
        <v>0.91980000000000761</v>
      </c>
      <c r="E3038" s="1079">
        <f t="shared" si="917"/>
        <v>2.1286799999999966</v>
      </c>
      <c r="F3038" s="1079">
        <f t="shared" si="917"/>
        <v>4.5354599999999969</v>
      </c>
      <c r="G3038" s="1079">
        <f t="shared" si="917"/>
        <v>5.8498200000000109</v>
      </c>
      <c r="H3038" s="1079">
        <f t="shared" si="917"/>
        <v>7.3205999999999838</v>
      </c>
    </row>
    <row r="3039" spans="1:19" x14ac:dyDescent="0.3">
      <c r="A3039" s="177" t="s">
        <v>1689</v>
      </c>
      <c r="B3039" s="104">
        <f>Drivers!EE113</f>
        <v>65.367400000000089</v>
      </c>
      <c r="C3039" s="104">
        <f>Drivers!EF113</f>
        <v>69.420900000000074</v>
      </c>
      <c r="D3039" s="104">
        <f>Drivers!EG113</f>
        <v>88.108400000000074</v>
      </c>
      <c r="E3039" s="104">
        <f>Drivers!EH113</f>
        <v>95.163199999999961</v>
      </c>
      <c r="F3039" s="104">
        <f>Drivers!EJ113</f>
        <v>99.695200000000114</v>
      </c>
      <c r="G3039" s="104">
        <f>Drivers!EK113</f>
        <v>109.54520000000002</v>
      </c>
      <c r="H3039" s="104">
        <f>Drivers!EL113</f>
        <v>133.02399999999989</v>
      </c>
    </row>
    <row r="3040" spans="1:19" ht="12.5" thickBot="1" x14ac:dyDescent="0.35">
      <c r="A3040" s="298" t="s">
        <v>1690</v>
      </c>
      <c r="B3040" s="1250">
        <f>B3038*1000/B3039</f>
        <v>0</v>
      </c>
      <c r="C3040" s="1250">
        <f t="shared" ref="C3040:H3040" si="918">C3038*1000/C3039</f>
        <v>0</v>
      </c>
      <c r="D3040" s="1250">
        <f t="shared" si="918"/>
        <v>10.43941326820152</v>
      </c>
      <c r="E3040" s="1250">
        <f t="shared" si="918"/>
        <v>22.368730769877406</v>
      </c>
      <c r="F3040" s="1250">
        <f t="shared" si="918"/>
        <v>45.493263467047484</v>
      </c>
      <c r="G3040" s="1250">
        <f t="shared" si="918"/>
        <v>53.400970558271922</v>
      </c>
      <c r="H3040" s="1250">
        <f t="shared" si="918"/>
        <v>55.032174645176738</v>
      </c>
    </row>
    <row r="3041" spans="1:19" ht="12.5" thickTop="1" x14ac:dyDescent="0.3"/>
    <row r="3043" spans="1:19" x14ac:dyDescent="0.3">
      <c r="A3043" s="533" t="s">
        <v>1691</v>
      </c>
      <c r="B3043" s="534"/>
      <c r="C3043" s="534"/>
      <c r="D3043" s="534"/>
      <c r="E3043" s="534"/>
      <c r="F3043" s="534"/>
      <c r="G3043" s="534"/>
      <c r="H3043" s="534"/>
      <c r="I3043" s="534"/>
      <c r="J3043" s="534"/>
      <c r="K3043" s="534"/>
      <c r="L3043" s="534"/>
      <c r="M3043" s="534"/>
      <c r="N3043" s="534"/>
      <c r="O3043" s="534"/>
      <c r="P3043" s="534"/>
      <c r="Q3043" s="534"/>
      <c r="R3043" s="534"/>
      <c r="S3043" s="534"/>
    </row>
    <row r="3045" spans="1:19" x14ac:dyDescent="0.3">
      <c r="A3045" s="177" t="s">
        <v>1692</v>
      </c>
      <c r="B3045" s="885">
        <v>10</v>
      </c>
    </row>
    <row r="3046" spans="1:19" x14ac:dyDescent="0.3">
      <c r="A3046" s="177" t="s">
        <v>1693</v>
      </c>
      <c r="B3046" s="901">
        <f>Drivers!EL113-Drivers!EK113</f>
        <v>23.478799999999865</v>
      </c>
    </row>
    <row r="3047" spans="1:19" ht="12.5" thickBot="1" x14ac:dyDescent="0.35">
      <c r="A3047" s="177" t="s">
        <v>1694</v>
      </c>
      <c r="B3047" s="1246">
        <f>B3045*1000/B3046</f>
        <v>425.91614562925099</v>
      </c>
    </row>
    <row r="3048" spans="1:19" ht="12.5" thickTop="1" x14ac:dyDescent="0.3"/>
    <row r="3053" spans="1:19" x14ac:dyDescent="0.3">
      <c r="A3053" s="533" t="s">
        <v>1695</v>
      </c>
      <c r="B3053" s="534"/>
      <c r="C3053" s="534"/>
      <c r="D3053" s="534"/>
      <c r="E3053" s="534"/>
      <c r="F3053" s="534"/>
      <c r="G3053" s="534"/>
      <c r="H3053" s="534"/>
      <c r="I3053" s="534"/>
      <c r="J3053" s="534"/>
      <c r="K3053" s="534"/>
      <c r="L3053" s="534"/>
      <c r="M3053" s="534"/>
      <c r="N3053" s="534"/>
      <c r="O3053" s="534"/>
      <c r="P3053" s="534"/>
      <c r="Q3053" s="534"/>
      <c r="R3053" s="534"/>
      <c r="S3053" s="534"/>
    </row>
    <row r="3055" spans="1:19" x14ac:dyDescent="0.3">
      <c r="A3055" t="s">
        <v>1696</v>
      </c>
      <c r="B3055" s="885">
        <f>Valuation!B32</f>
        <v>3842.4056800779617</v>
      </c>
    </row>
    <row r="3056" spans="1:19" x14ac:dyDescent="0.3">
      <c r="A3056" s="177" t="s">
        <v>1697</v>
      </c>
      <c r="B3056" s="885" t="e">
        <f>-Valuation!B37</f>
        <v>#REF!</v>
      </c>
    </row>
    <row r="3057" spans="1:19" x14ac:dyDescent="0.3">
      <c r="A3057" s="177" t="s">
        <v>1698</v>
      </c>
      <c r="B3057" s="901">
        <v>-1200</v>
      </c>
    </row>
    <row r="3058" spans="1:19" x14ac:dyDescent="0.3">
      <c r="A3058" s="177" t="s">
        <v>1699</v>
      </c>
      <c r="B3058" s="885" t="e">
        <f>SUM(B3055:B3057)</f>
        <v>#REF!</v>
      </c>
    </row>
    <row r="3059" spans="1:19" x14ac:dyDescent="0.3">
      <c r="A3059" s="177" t="s">
        <v>1700</v>
      </c>
      <c r="B3059" s="901">
        <v>260</v>
      </c>
    </row>
    <row r="3060" spans="1:19" x14ac:dyDescent="0.3">
      <c r="A3060" s="177" t="s">
        <v>873</v>
      </c>
      <c r="B3060" s="816" t="e">
        <f>B3058/B3059</f>
        <v>#REF!</v>
      </c>
    </row>
    <row r="3062" spans="1:19" x14ac:dyDescent="0.3">
      <c r="A3062" s="533" t="s">
        <v>1701</v>
      </c>
      <c r="B3062" s="534"/>
      <c r="C3062" s="534"/>
      <c r="D3062" s="534"/>
      <c r="E3062" s="534"/>
      <c r="F3062" s="534"/>
      <c r="G3062" s="534"/>
      <c r="H3062" s="534"/>
      <c r="I3062" s="534"/>
      <c r="J3062" s="534"/>
      <c r="K3062" s="534"/>
      <c r="L3062" s="534"/>
      <c r="M3062" s="534"/>
      <c r="N3062" s="534"/>
      <c r="O3062" s="534"/>
      <c r="P3062" s="534"/>
      <c r="Q3062" s="534"/>
      <c r="R3062" s="534"/>
      <c r="S3062" s="534"/>
    </row>
    <row r="3064" spans="1:19" x14ac:dyDescent="0.3">
      <c r="A3064" t="s">
        <v>284</v>
      </c>
      <c r="B3064" s="885">
        <f>'Model Main'!EL18</f>
        <v>1444</v>
      </c>
    </row>
    <row r="3065" spans="1:19" x14ac:dyDescent="0.3">
      <c r="A3065" s="177" t="s">
        <v>1702</v>
      </c>
      <c r="B3065" s="634">
        <v>0.06</v>
      </c>
    </row>
    <row r="3066" spans="1:19" x14ac:dyDescent="0.3">
      <c r="A3066" s="177" t="s">
        <v>1703</v>
      </c>
      <c r="B3066" s="885">
        <f>B3064*B3065</f>
        <v>86.64</v>
      </c>
    </row>
    <row r="3067" spans="1:19" x14ac:dyDescent="0.3">
      <c r="A3067" s="177" t="s">
        <v>1704</v>
      </c>
      <c r="B3067" s="634">
        <v>0.2</v>
      </c>
    </row>
    <row r="3068" spans="1:19" x14ac:dyDescent="0.3">
      <c r="A3068" s="177" t="s">
        <v>1705</v>
      </c>
      <c r="B3068" s="885">
        <f>B3066*B3067</f>
        <v>17.327999999999999</v>
      </c>
    </row>
    <row r="3071" spans="1:19" x14ac:dyDescent="0.3">
      <c r="A3071" s="533" t="s">
        <v>1706</v>
      </c>
      <c r="B3071" s="534"/>
      <c r="C3071" s="534"/>
      <c r="D3071" s="534"/>
      <c r="E3071" s="534"/>
      <c r="F3071" s="534"/>
      <c r="G3071" s="534"/>
      <c r="H3071" s="534"/>
      <c r="I3071" s="534"/>
      <c r="J3071" s="534"/>
      <c r="K3071" s="534"/>
      <c r="L3071" s="534"/>
      <c r="M3071" s="534"/>
      <c r="N3071" s="534"/>
      <c r="O3071" s="534"/>
      <c r="P3071" s="534"/>
      <c r="Q3071" s="534"/>
      <c r="R3071" s="534"/>
      <c r="S3071" s="534"/>
    </row>
    <row r="3072" spans="1:19" x14ac:dyDescent="0.3">
      <c r="B3072" s="374" t="s">
        <v>1707</v>
      </c>
      <c r="C3072" s="374" t="s">
        <v>1708</v>
      </c>
      <c r="D3072" s="374" t="s">
        <v>553</v>
      </c>
    </row>
    <row r="3073" spans="1:19" x14ac:dyDescent="0.3">
      <c r="A3073" t="s">
        <v>198</v>
      </c>
      <c r="B3073" s="885">
        <v>2450</v>
      </c>
      <c r="C3073" s="885">
        <v>2550</v>
      </c>
      <c r="D3073" s="885">
        <f>C3073-B3073</f>
        <v>100</v>
      </c>
    </row>
    <row r="3074" spans="1:19" x14ac:dyDescent="0.3">
      <c r="A3074" s="177" t="s">
        <v>671</v>
      </c>
      <c r="B3074" s="901">
        <v>1000</v>
      </c>
      <c r="C3074" s="901">
        <v>1150</v>
      </c>
      <c r="D3074" s="901">
        <f>C3074-B3074</f>
        <v>150</v>
      </c>
    </row>
    <row r="3075" spans="1:19" x14ac:dyDescent="0.3">
      <c r="A3075" s="177" t="s">
        <v>1182</v>
      </c>
      <c r="B3075" s="885"/>
      <c r="C3075" s="885"/>
      <c r="D3075" s="885">
        <f>D3073/D3074*1000</f>
        <v>666.66666666666663</v>
      </c>
    </row>
    <row r="3078" spans="1:19" x14ac:dyDescent="0.3">
      <c r="A3078" s="533" t="s">
        <v>1709</v>
      </c>
      <c r="B3078" s="534"/>
      <c r="C3078" s="534"/>
      <c r="D3078" s="534"/>
      <c r="E3078" s="534"/>
      <c r="F3078" s="534"/>
      <c r="G3078" s="534"/>
      <c r="H3078" s="534"/>
      <c r="I3078" s="534"/>
      <c r="J3078" s="534"/>
      <c r="K3078" s="534"/>
      <c r="L3078" s="534"/>
      <c r="M3078" s="534"/>
      <c r="N3078" s="534"/>
      <c r="O3078" s="534"/>
      <c r="P3078" s="534"/>
      <c r="Q3078" s="534"/>
      <c r="R3078" s="534"/>
      <c r="S3078" s="534"/>
    </row>
    <row r="3080" spans="1:19" x14ac:dyDescent="0.3">
      <c r="A3080" t="s">
        <v>1710</v>
      </c>
      <c r="B3080" s="885">
        <v>20000</v>
      </c>
    </row>
    <row r="3081" spans="1:19" x14ac:dyDescent="0.3">
      <c r="A3081" s="177" t="s">
        <v>1711</v>
      </c>
      <c r="B3081" s="901">
        <f>[11]Analysis!$F$1028</f>
        <v>0</v>
      </c>
    </row>
    <row r="3082" spans="1:19" x14ac:dyDescent="0.3">
      <c r="A3082" s="177" t="s">
        <v>1712</v>
      </c>
      <c r="B3082" s="885" t="e">
        <f>B3080/B3081*1000</f>
        <v>#DIV/0!</v>
      </c>
    </row>
    <row r="3084" spans="1:19" x14ac:dyDescent="0.3">
      <c r="A3084" s="90" t="s">
        <v>766</v>
      </c>
      <c r="B3084" s="692" t="s">
        <v>1290</v>
      </c>
      <c r="C3084" s="692" t="s">
        <v>1713</v>
      </c>
    </row>
    <row r="3085" spans="1:19" x14ac:dyDescent="0.3">
      <c r="A3085" t="s">
        <v>628</v>
      </c>
      <c r="B3085">
        <f>Drivers!EJ90</f>
        <v>4158</v>
      </c>
      <c r="C3085">
        <f>Drivers!FC90</f>
        <v>9123</v>
      </c>
    </row>
    <row r="3086" spans="1:19" x14ac:dyDescent="0.3">
      <c r="A3086" t="s">
        <v>1714</v>
      </c>
      <c r="B3086" s="901" t="e">
        <f>B3082</f>
        <v>#DIV/0!</v>
      </c>
      <c r="C3086" s="901" t="e">
        <f>B3086</f>
        <v>#DIV/0!</v>
      </c>
    </row>
    <row r="3087" spans="1:19" x14ac:dyDescent="0.3">
      <c r="A3087" s="177" t="s">
        <v>1715</v>
      </c>
      <c r="B3087" s="885" t="e">
        <f>B3085*B3086/1000</f>
        <v>#DIV/0!</v>
      </c>
      <c r="C3087" s="885" t="e">
        <f>C3085*C3086/1000</f>
        <v>#DIV/0!</v>
      </c>
    </row>
    <row r="3088" spans="1:19" x14ac:dyDescent="0.3">
      <c r="A3088" s="177"/>
      <c r="B3088" s="885"/>
      <c r="C3088" s="885"/>
    </row>
    <row r="3089" spans="1:19" x14ac:dyDescent="0.3">
      <c r="A3089" s="90" t="s">
        <v>629</v>
      </c>
      <c r="B3089" s="885">
        <f>Drivers!EJ94</f>
        <v>11142</v>
      </c>
      <c r="C3089" s="885">
        <f>Drivers!FC94</f>
        <v>6485.4999999999982</v>
      </c>
    </row>
    <row r="3090" spans="1:19" x14ac:dyDescent="0.3">
      <c r="A3090" t="s">
        <v>1714</v>
      </c>
      <c r="B3090" s="901">
        <v>1000</v>
      </c>
      <c r="C3090" s="901">
        <f>B3090</f>
        <v>1000</v>
      </c>
    </row>
    <row r="3091" spans="1:19" x14ac:dyDescent="0.3">
      <c r="A3091" s="177" t="s">
        <v>1716</v>
      </c>
      <c r="B3091" s="885">
        <f>B3089*B3090/1000</f>
        <v>11142</v>
      </c>
      <c r="C3091" s="885">
        <f>C3089*C3090/1000</f>
        <v>6485.4999999999982</v>
      </c>
    </row>
    <row r="3093" spans="1:19" x14ac:dyDescent="0.3">
      <c r="A3093" t="s">
        <v>1110</v>
      </c>
      <c r="B3093" s="887" t="e">
        <f>B3087+B3091</f>
        <v>#DIV/0!</v>
      </c>
      <c r="C3093" s="887" t="e">
        <f>C3087+C3091</f>
        <v>#DIV/0!</v>
      </c>
    </row>
    <row r="3094" spans="1:19" x14ac:dyDescent="0.3">
      <c r="A3094" s="177" t="s">
        <v>1717</v>
      </c>
      <c r="B3094" s="104">
        <f>-(Valuation!B9-Valuation!B10)</f>
        <v>-10811</v>
      </c>
      <c r="C3094" s="104">
        <f>B3094+Valuation!B46</f>
        <v>-20471.16198319089</v>
      </c>
    </row>
    <row r="3095" spans="1:19" x14ac:dyDescent="0.3">
      <c r="A3095" s="298" t="s">
        <v>787</v>
      </c>
      <c r="B3095" s="916" t="e">
        <f>SUM(B3093:B3094)</f>
        <v>#DIV/0!</v>
      </c>
      <c r="C3095" s="916" t="e">
        <f>SUM(C3093:C3094)</f>
        <v>#DIV/0!</v>
      </c>
    </row>
    <row r="3096" spans="1:19" x14ac:dyDescent="0.3">
      <c r="A3096" s="177" t="s">
        <v>1718</v>
      </c>
      <c r="B3096" s="104">
        <f>Valuation!B7</f>
        <v>260</v>
      </c>
      <c r="C3096" s="104">
        <f>B3096</f>
        <v>260</v>
      </c>
    </row>
    <row r="3097" spans="1:19" x14ac:dyDescent="0.3">
      <c r="A3097" s="298" t="s">
        <v>873</v>
      </c>
      <c r="B3097" s="1228" t="e">
        <f>B3095/B3096</f>
        <v>#DIV/0!</v>
      </c>
      <c r="C3097" s="1228" t="e">
        <f>C3095/C3096</f>
        <v>#DIV/0!</v>
      </c>
    </row>
    <row r="3098" spans="1:19" x14ac:dyDescent="0.3">
      <c r="A3098" s="94" t="s">
        <v>1719</v>
      </c>
      <c r="B3098" s="1239" t="e">
        <f>B3097/Valuation!$B$6-1</f>
        <v>#DIV/0!</v>
      </c>
      <c r="C3098" s="1239" t="e">
        <f>C3097/Valuation!$B$6-1</f>
        <v>#DIV/0!</v>
      </c>
    </row>
    <row r="3103" spans="1:19" x14ac:dyDescent="0.3">
      <c r="A3103" s="533" t="s">
        <v>1720</v>
      </c>
      <c r="B3103" s="534"/>
      <c r="C3103" s="534"/>
      <c r="D3103" s="534"/>
      <c r="E3103" s="534"/>
      <c r="F3103" s="534"/>
      <c r="G3103" s="534"/>
      <c r="H3103" s="534"/>
      <c r="I3103" s="534"/>
      <c r="J3103" s="534"/>
      <c r="K3103" s="534"/>
      <c r="L3103" s="534"/>
      <c r="M3103" s="534"/>
      <c r="N3103" s="534"/>
      <c r="O3103" s="534"/>
      <c r="P3103" s="534"/>
      <c r="Q3103" s="534"/>
      <c r="R3103" s="534"/>
      <c r="S3103" s="534"/>
    </row>
    <row r="3104" spans="1:19" x14ac:dyDescent="0.3">
      <c r="A3104" s="147" t="s">
        <v>766</v>
      </c>
      <c r="B3104" s="374" t="s">
        <v>1166</v>
      </c>
      <c r="C3104" s="374" t="s">
        <v>1167</v>
      </c>
      <c r="D3104" s="374" t="s">
        <v>1168</v>
      </c>
      <c r="E3104" s="374" t="s">
        <v>1169</v>
      </c>
      <c r="F3104" s="374" t="s">
        <v>1125</v>
      </c>
      <c r="G3104" s="374" t="s">
        <v>1126</v>
      </c>
      <c r="H3104" s="374" t="s">
        <v>1127</v>
      </c>
      <c r="I3104" s="374" t="s">
        <v>1128</v>
      </c>
      <c r="J3104" s="374" t="s">
        <v>922</v>
      </c>
      <c r="K3104" s="374" t="s">
        <v>923</v>
      </c>
      <c r="L3104" s="374" t="s">
        <v>924</v>
      </c>
      <c r="M3104" s="374" t="s">
        <v>925</v>
      </c>
      <c r="N3104" s="374" t="s">
        <v>883</v>
      </c>
      <c r="O3104" s="374" t="s">
        <v>884</v>
      </c>
      <c r="P3104" s="374" t="s">
        <v>885</v>
      </c>
      <c r="Q3104" s="374" t="s">
        <v>886</v>
      </c>
    </row>
    <row r="3105" spans="1:25" x14ac:dyDescent="0.3">
      <c r="A3105" t="s">
        <v>325</v>
      </c>
      <c r="B3105" s="885">
        <f>Drivers!DZ82</f>
        <v>3223</v>
      </c>
      <c r="C3105" s="885">
        <f>Drivers!EA82</f>
        <v>3223</v>
      </c>
      <c r="D3105" s="885">
        <f>Drivers!EB82</f>
        <v>3223</v>
      </c>
      <c r="E3105" s="885">
        <f>Drivers!EC82</f>
        <v>3223</v>
      </c>
      <c r="F3105" s="885">
        <f>Drivers!EE82</f>
        <v>3223</v>
      </c>
      <c r="G3105" s="885">
        <f>Drivers!EF82</f>
        <v>3223</v>
      </c>
      <c r="H3105" s="885">
        <f>Drivers!EG82</f>
        <v>3223</v>
      </c>
      <c r="I3105" s="885">
        <f>Drivers!EH82</f>
        <v>3223</v>
      </c>
      <c r="J3105" s="885">
        <f>Drivers!EJ82</f>
        <v>3223</v>
      </c>
      <c r="K3105" s="885">
        <f>Drivers!EK82</f>
        <v>3223</v>
      </c>
      <c r="L3105" s="885">
        <f>Drivers!EL82</f>
        <v>3223</v>
      </c>
      <c r="M3105" s="885">
        <f>Drivers!EM82</f>
        <v>3223</v>
      </c>
      <c r="N3105" s="885">
        <f>Drivers!EO82</f>
        <v>3223</v>
      </c>
      <c r="O3105" s="885">
        <f>Drivers!EP82</f>
        <v>3223</v>
      </c>
      <c r="P3105" s="885">
        <f>Drivers!EQ82</f>
        <v>3223</v>
      </c>
      <c r="Q3105" s="885">
        <f>Drivers!ER82</f>
        <v>3223</v>
      </c>
    </row>
    <row r="3106" spans="1:25" x14ac:dyDescent="0.3">
      <c r="A3106" t="s">
        <v>327</v>
      </c>
      <c r="B3106" s="901">
        <f>Drivers!DZ86</f>
        <v>9</v>
      </c>
      <c r="C3106" s="901">
        <f>Drivers!EA86</f>
        <v>17</v>
      </c>
      <c r="D3106" s="901">
        <f>Drivers!EB86</f>
        <v>26</v>
      </c>
      <c r="E3106" s="901">
        <f>Drivers!EC86</f>
        <v>86</v>
      </c>
      <c r="F3106" s="901">
        <f>Drivers!EE86</f>
        <v>190</v>
      </c>
      <c r="G3106" s="901">
        <f>Drivers!EF86</f>
        <v>347</v>
      </c>
      <c r="H3106" s="901">
        <f>Drivers!EG86</f>
        <v>532</v>
      </c>
      <c r="I3106" s="901">
        <f>Drivers!EH86</f>
        <v>724</v>
      </c>
      <c r="J3106" s="901">
        <f>Drivers!EJ86</f>
        <v>935</v>
      </c>
      <c r="K3106" s="901">
        <f>Drivers!EK86</f>
        <v>1216</v>
      </c>
      <c r="L3106" s="901">
        <f>L3107-L3105</f>
        <v>1567</v>
      </c>
      <c r="M3106" s="901">
        <f>Drivers!EM86</f>
        <v>1948</v>
      </c>
      <c r="N3106" s="901">
        <f>Drivers!EO86</f>
        <v>2287</v>
      </c>
      <c r="O3106" s="901">
        <f>Drivers!EP86</f>
        <v>2603</v>
      </c>
      <c r="P3106" s="901">
        <f>Drivers!EQ86</f>
        <v>2935</v>
      </c>
      <c r="Q3106" s="1157">
        <f>P3106+241</f>
        <v>3176</v>
      </c>
    </row>
    <row r="3107" spans="1:25" x14ac:dyDescent="0.3">
      <c r="A3107" s="90" t="s">
        <v>328</v>
      </c>
      <c r="B3107" s="900">
        <f t="shared" ref="B3107:M3107" si="919">SUM(B3105:B3106)</f>
        <v>3232</v>
      </c>
      <c r="C3107" s="900">
        <f t="shared" si="919"/>
        <v>3240</v>
      </c>
      <c r="D3107" s="900">
        <f t="shared" si="919"/>
        <v>3249</v>
      </c>
      <c r="E3107" s="900">
        <f t="shared" si="919"/>
        <v>3309</v>
      </c>
      <c r="F3107" s="900">
        <f t="shared" si="919"/>
        <v>3413</v>
      </c>
      <c r="G3107" s="900">
        <f t="shared" si="919"/>
        <v>3570</v>
      </c>
      <c r="H3107" s="900">
        <f t="shared" si="919"/>
        <v>3755</v>
      </c>
      <c r="I3107" s="900">
        <f t="shared" si="919"/>
        <v>3947</v>
      </c>
      <c r="J3107" s="900">
        <f t="shared" si="919"/>
        <v>4158</v>
      </c>
      <c r="K3107" s="900">
        <f t="shared" ref="K3107" si="920">SUM(K3105:K3106)</f>
        <v>4439</v>
      </c>
      <c r="L3107" s="900">
        <f>K3107+351</f>
        <v>4790</v>
      </c>
      <c r="M3107" s="900">
        <f t="shared" si="919"/>
        <v>5171</v>
      </c>
      <c r="N3107" s="900">
        <f t="shared" ref="N3107" si="921">SUM(N3105:N3106)</f>
        <v>5510</v>
      </c>
      <c r="O3107" s="900">
        <f t="shared" ref="O3107:P3107" si="922">SUM(O3105:O3106)</f>
        <v>5826</v>
      </c>
      <c r="P3107" s="900">
        <f t="shared" si="922"/>
        <v>6158</v>
      </c>
      <c r="Q3107" s="900">
        <f t="shared" ref="Q3107" si="923">SUM(Q3105:Q3106)</f>
        <v>6399</v>
      </c>
    </row>
    <row r="3108" spans="1:25" x14ac:dyDescent="0.3">
      <c r="A3108" t="s">
        <v>1721</v>
      </c>
      <c r="B3108" s="887">
        <f>B3106</f>
        <v>9</v>
      </c>
      <c r="C3108" s="887">
        <f>C3106-B3106</f>
        <v>8</v>
      </c>
      <c r="D3108" s="887">
        <f t="shared" ref="D3108:H3108" si="924">D3106-C3106</f>
        <v>9</v>
      </c>
      <c r="E3108" s="887">
        <f t="shared" si="924"/>
        <v>60</v>
      </c>
      <c r="F3108" s="887">
        <f t="shared" si="924"/>
        <v>104</v>
      </c>
      <c r="G3108" s="887">
        <f t="shared" si="924"/>
        <v>157</v>
      </c>
      <c r="H3108" s="887">
        <f t="shared" si="924"/>
        <v>185</v>
      </c>
    </row>
    <row r="3110" spans="1:25" x14ac:dyDescent="0.3">
      <c r="A3110" t="s">
        <v>1722</v>
      </c>
      <c r="B3110" s="887">
        <f>B3105</f>
        <v>3223</v>
      </c>
      <c r="C3110" s="887">
        <f>AVERAGE(B3105:C3105)</f>
        <v>3223</v>
      </c>
      <c r="D3110" s="887">
        <f t="shared" ref="D3110:Q3110" si="925">AVERAGE(C3105:D3105)</f>
        <v>3223</v>
      </c>
      <c r="E3110" s="887">
        <f t="shared" si="925"/>
        <v>3223</v>
      </c>
      <c r="F3110" s="887">
        <f t="shared" si="925"/>
        <v>3223</v>
      </c>
      <c r="G3110" s="887">
        <f t="shared" si="925"/>
        <v>3223</v>
      </c>
      <c r="H3110" s="887">
        <f t="shared" si="925"/>
        <v>3223</v>
      </c>
      <c r="I3110" s="887">
        <f t="shared" si="925"/>
        <v>3223</v>
      </c>
      <c r="J3110" s="887">
        <f t="shared" si="925"/>
        <v>3223</v>
      </c>
      <c r="K3110" s="887">
        <f t="shared" si="925"/>
        <v>3223</v>
      </c>
      <c r="L3110" s="887">
        <f t="shared" si="925"/>
        <v>3223</v>
      </c>
      <c r="M3110" s="887">
        <f t="shared" si="925"/>
        <v>3223</v>
      </c>
      <c r="N3110" s="887">
        <f t="shared" si="925"/>
        <v>3223</v>
      </c>
      <c r="O3110" s="887">
        <f t="shared" si="925"/>
        <v>3223</v>
      </c>
      <c r="P3110" s="887">
        <f t="shared" si="925"/>
        <v>3223</v>
      </c>
      <c r="Q3110" s="887">
        <f t="shared" si="925"/>
        <v>3223</v>
      </c>
    </row>
    <row r="3111" spans="1:25" x14ac:dyDescent="0.3">
      <c r="A3111" t="s">
        <v>1723</v>
      </c>
      <c r="B3111" s="866">
        <f>B3106/2</f>
        <v>4.5</v>
      </c>
      <c r="C3111" s="866">
        <f>AVERAGE(B3106:C3106)</f>
        <v>13</v>
      </c>
      <c r="D3111" s="866">
        <f t="shared" ref="D3111:Q3111" si="926">AVERAGE(C3106:D3106)</f>
        <v>21.5</v>
      </c>
      <c r="E3111" s="866">
        <f t="shared" si="926"/>
        <v>56</v>
      </c>
      <c r="F3111" s="866">
        <f t="shared" si="926"/>
        <v>138</v>
      </c>
      <c r="G3111" s="866">
        <f t="shared" si="926"/>
        <v>268.5</v>
      </c>
      <c r="H3111" s="866">
        <f t="shared" si="926"/>
        <v>439.5</v>
      </c>
      <c r="I3111" s="866">
        <f t="shared" si="926"/>
        <v>628</v>
      </c>
      <c r="J3111" s="866">
        <f t="shared" si="926"/>
        <v>829.5</v>
      </c>
      <c r="K3111" s="866">
        <f t="shared" si="926"/>
        <v>1075.5</v>
      </c>
      <c r="L3111" s="866">
        <f t="shared" si="926"/>
        <v>1391.5</v>
      </c>
      <c r="M3111" s="866">
        <f t="shared" si="926"/>
        <v>1757.5</v>
      </c>
      <c r="N3111" s="866">
        <f t="shared" si="926"/>
        <v>2117.5</v>
      </c>
      <c r="O3111" s="866">
        <f t="shared" si="926"/>
        <v>2445</v>
      </c>
      <c r="P3111" s="866">
        <f t="shared" si="926"/>
        <v>2769</v>
      </c>
      <c r="Q3111" s="866">
        <f t="shared" si="926"/>
        <v>3055.5</v>
      </c>
    </row>
    <row r="3112" spans="1:25" x14ac:dyDescent="0.3">
      <c r="A3112" s="90" t="s">
        <v>1724</v>
      </c>
      <c r="B3112" s="916">
        <f>SUM(B3110:B3111)</f>
        <v>3227.5</v>
      </c>
      <c r="C3112" s="916">
        <f>SUM(C3110:C3111)</f>
        <v>3236</v>
      </c>
      <c r="D3112" s="916">
        <f t="shared" ref="D3112:M3112" si="927">SUM(D3110:D3111)</f>
        <v>3244.5</v>
      </c>
      <c r="E3112" s="916">
        <f t="shared" si="927"/>
        <v>3279</v>
      </c>
      <c r="F3112" s="916">
        <f t="shared" si="927"/>
        <v>3361</v>
      </c>
      <c r="G3112" s="916">
        <f t="shared" si="927"/>
        <v>3491.5</v>
      </c>
      <c r="H3112" s="916">
        <f t="shared" si="927"/>
        <v>3662.5</v>
      </c>
      <c r="I3112" s="916">
        <f t="shared" si="927"/>
        <v>3851</v>
      </c>
      <c r="J3112" s="916">
        <f t="shared" si="927"/>
        <v>4052.5</v>
      </c>
      <c r="K3112" s="916">
        <f t="shared" si="927"/>
        <v>4298.5</v>
      </c>
      <c r="L3112" s="916">
        <f t="shared" si="927"/>
        <v>4614.5</v>
      </c>
      <c r="M3112" s="916">
        <f t="shared" si="927"/>
        <v>4980.5</v>
      </c>
      <c r="N3112" s="916">
        <f t="shared" ref="N3112" si="928">SUM(N3110:N3111)</f>
        <v>5340.5</v>
      </c>
      <c r="O3112" s="916">
        <f t="shared" ref="O3112" si="929">SUM(O3110:O3111)</f>
        <v>5668</v>
      </c>
      <c r="P3112" s="916">
        <f t="shared" ref="P3112:Q3112" si="930">SUM(P3110:P3111)</f>
        <v>5992</v>
      </c>
      <c r="Q3112" s="916">
        <f t="shared" si="930"/>
        <v>6278.5</v>
      </c>
    </row>
    <row r="3114" spans="1:25" x14ac:dyDescent="0.3">
      <c r="A3114" t="s">
        <v>1725</v>
      </c>
      <c r="B3114" s="898">
        <f>Inputs!DZ361</f>
        <v>0.40699999999999997</v>
      </c>
      <c r="C3114" s="898">
        <f>Inputs!EA361</f>
        <v>0.40799999999999997</v>
      </c>
      <c r="D3114" s="898">
        <f>Inputs!EB361</f>
        <v>0.41</v>
      </c>
      <c r="E3114" s="898">
        <f>Inputs!EC361</f>
        <v>0.41199999999999998</v>
      </c>
      <c r="F3114" s="898">
        <f>Inputs!EE361</f>
        <v>0.41299999999999998</v>
      </c>
      <c r="G3114" s="898">
        <f>Inputs!EF361</f>
        <v>0.41199999999999998</v>
      </c>
      <c r="H3114" s="898">
        <f>Inputs!EG361</f>
        <v>0.41499999999999998</v>
      </c>
      <c r="I3114" s="898">
        <f>Inputs!EH361</f>
        <v>0.41899999999999998</v>
      </c>
      <c r="J3114" s="898">
        <f>Inputs!EJ361</f>
        <v>0.42399999999999999</v>
      </c>
      <c r="K3114" s="898">
        <f>Inputs!EK361</f>
        <v>0.42599999999999999</v>
      </c>
      <c r="L3114" s="898">
        <f>Inputs!EL361</f>
        <v>0.42899999999999999</v>
      </c>
      <c r="M3114" s="898">
        <f>Inputs!EM361</f>
        <v>0.432</v>
      </c>
      <c r="N3114" s="898">
        <f>Inputs!EO361</f>
        <v>0.435</v>
      </c>
      <c r="O3114" s="898">
        <f>Inputs!EP361</f>
        <v>0.434</v>
      </c>
      <c r="P3114" s="898">
        <f>Inputs!EQ361</f>
        <v>0.439</v>
      </c>
      <c r="Q3114" s="948">
        <v>0.44500000000000001</v>
      </c>
    </row>
    <row r="3115" spans="1:25" x14ac:dyDescent="0.3">
      <c r="A3115" t="s">
        <v>1726</v>
      </c>
      <c r="B3115" s="898">
        <f>B3119/B3106</f>
        <v>9.4861284722229461E-2</v>
      </c>
      <c r="C3115" s="898">
        <f t="shared" ref="C3115:I3115" si="931">C3119/C3106</f>
        <v>0.277849264705885</v>
      </c>
      <c r="D3115" s="898">
        <f t="shared" si="931"/>
        <v>0.20663461538462202</v>
      </c>
      <c r="E3115" s="898">
        <f t="shared" si="931"/>
        <v>0.10493023255814087</v>
      </c>
      <c r="F3115" s="898">
        <f t="shared" si="931"/>
        <v>9.9478947368421403E-2</v>
      </c>
      <c r="G3115" s="898">
        <f t="shared" si="931"/>
        <v>0.10122190201729113</v>
      </c>
      <c r="H3115" s="898">
        <f t="shared" si="931"/>
        <v>0.10235902255639127</v>
      </c>
      <c r="I3115" s="898">
        <f t="shared" si="931"/>
        <v>0.11956215469613274</v>
      </c>
      <c r="J3115" s="898">
        <f t="shared" ref="J3115:N3116" si="932">J3119/J3106</f>
        <v>0.13416898395721935</v>
      </c>
      <c r="K3115" s="898">
        <f t="shared" ref="K3115:M3115" si="933">K3119/K3106</f>
        <v>0.14227138157894734</v>
      </c>
      <c r="L3115" s="898">
        <f t="shared" si="933"/>
        <v>0.14635162731333765</v>
      </c>
      <c r="M3115" s="898">
        <f t="shared" si="933"/>
        <v>0.15229158110882957</v>
      </c>
      <c r="N3115" s="898">
        <f t="shared" ref="N3115" si="934">N3119/N3106</f>
        <v>0.16396808045474426</v>
      </c>
      <c r="O3115" s="898">
        <f t="shared" ref="O3115:P3116" si="935">O3119/O3106</f>
        <v>0.17104033807145605</v>
      </c>
      <c r="P3115" s="898">
        <f t="shared" si="935"/>
        <v>0.17311856899488928</v>
      </c>
      <c r="Q3115" s="898" t="e">
        <f t="shared" ref="Q3115:Q3116" si="936">Q3119/Q3106</f>
        <v>#REF!</v>
      </c>
      <c r="U3115" s="374" t="s">
        <v>1169</v>
      </c>
      <c r="V3115" s="374" t="s">
        <v>1125</v>
      </c>
      <c r="W3115" s="374" t="s">
        <v>1126</v>
      </c>
      <c r="X3115" s="374" t="s">
        <v>1127</v>
      </c>
      <c r="Y3115" s="374" t="s">
        <v>1128</v>
      </c>
    </row>
    <row r="3116" spans="1:25" x14ac:dyDescent="0.3">
      <c r="A3116" t="s">
        <v>1727</v>
      </c>
      <c r="B3116" s="898">
        <f>Inputs!DZ362</f>
        <v>0.40600000000000003</v>
      </c>
      <c r="C3116" s="898">
        <f>Inputs!EA362</f>
        <v>0.40699999999999997</v>
      </c>
      <c r="D3116" s="898">
        <f>Inputs!EB362</f>
        <v>0.40799999999999997</v>
      </c>
      <c r="E3116" s="898">
        <f>Inputs!EC362</f>
        <v>0.40300000000000002</v>
      </c>
      <c r="F3116" s="898">
        <f>Inputs!EE362</f>
        <v>0.39500000000000002</v>
      </c>
      <c r="G3116" s="898">
        <f>Inputs!EF362</f>
        <v>0.38100000000000001</v>
      </c>
      <c r="H3116" s="898">
        <f>Inputs!EG362</f>
        <v>0.37</v>
      </c>
      <c r="I3116" s="898">
        <f>I3120/I3107</f>
        <v>0.36407398023815557</v>
      </c>
      <c r="J3116" s="898">
        <f t="shared" si="932"/>
        <v>0.35882635882635883</v>
      </c>
      <c r="K3116" s="898">
        <f t="shared" si="932"/>
        <v>0.34827663888263122</v>
      </c>
      <c r="L3116" s="898">
        <f t="shared" si="932"/>
        <v>0.33653444676409183</v>
      </c>
      <c r="M3116" s="898">
        <f t="shared" si="932"/>
        <v>0.32662927866950298</v>
      </c>
      <c r="N3116" s="898">
        <f t="shared" si="932"/>
        <v>0.32250453720508165</v>
      </c>
      <c r="O3116" s="898">
        <f t="shared" si="935"/>
        <v>0.31651218674905596</v>
      </c>
      <c r="P3116" s="898">
        <f t="shared" si="935"/>
        <v>0.31227671321857747</v>
      </c>
      <c r="Q3116" s="898" t="e">
        <f t="shared" si="936"/>
        <v>#REF!</v>
      </c>
      <c r="T3116" t="s">
        <v>1728</v>
      </c>
      <c r="U3116" s="623">
        <f t="shared" ref="U3116:Y3118" si="937">E3147</f>
        <v>2.1070133024696631E-2</v>
      </c>
      <c r="V3116" s="623">
        <f t="shared" si="937"/>
        <v>1.8327020719575125E-2</v>
      </c>
      <c r="W3116" s="623">
        <f t="shared" si="937"/>
        <v>1.7665948000000015E-2</v>
      </c>
      <c r="X3116" s="623">
        <f t="shared" si="937"/>
        <v>2.2018621276595703E-2</v>
      </c>
      <c r="Y3116" s="623">
        <f t="shared" si="937"/>
        <v>2.0398224137931052E-2</v>
      </c>
    </row>
    <row r="3117" spans="1:25" x14ac:dyDescent="0.3">
      <c r="T3117" t="s">
        <v>1729</v>
      </c>
      <c r="U3117" s="623">
        <f t="shared" si="937"/>
        <v>6.9667651989336318E-2</v>
      </c>
      <c r="V3117" s="623">
        <f t="shared" si="937"/>
        <v>7.4322552324705027E-2</v>
      </c>
      <c r="W3117" s="623">
        <f t="shared" si="937"/>
        <v>6.3602419351955153E-2</v>
      </c>
      <c r="X3117" s="623">
        <f t="shared" si="937"/>
        <v>4.7673227816910232E-2</v>
      </c>
      <c r="Y3117" s="623">
        <f t="shared" si="937"/>
        <v>5.4553700005490813E-2</v>
      </c>
    </row>
    <row r="3118" spans="1:25" x14ac:dyDescent="0.3">
      <c r="A3118" t="s">
        <v>1730</v>
      </c>
      <c r="B3118" s="899">
        <f>B3105*B3114</f>
        <v>1311.761</v>
      </c>
      <c r="C3118" s="899">
        <f t="shared" ref="C3118:J3118" si="938">C3105*C3114</f>
        <v>1314.9839999999999</v>
      </c>
      <c r="D3118" s="899">
        <f t="shared" si="938"/>
        <v>1321.4299999999998</v>
      </c>
      <c r="E3118" s="899">
        <f t="shared" si="938"/>
        <v>1327.876</v>
      </c>
      <c r="F3118" s="899">
        <f t="shared" si="938"/>
        <v>1331.0989999999999</v>
      </c>
      <c r="G3118" s="899">
        <f t="shared" si="938"/>
        <v>1327.876</v>
      </c>
      <c r="H3118" s="899">
        <f t="shared" si="938"/>
        <v>1337.5449999999998</v>
      </c>
      <c r="I3118" s="899">
        <f t="shared" si="938"/>
        <v>1350.4369999999999</v>
      </c>
      <c r="J3118" s="899">
        <f t="shared" si="938"/>
        <v>1366.5519999999999</v>
      </c>
      <c r="K3118" s="899">
        <f t="shared" ref="K3118:N3118" si="939">K3105*K3114</f>
        <v>1372.998</v>
      </c>
      <c r="L3118" s="899">
        <f t="shared" si="939"/>
        <v>1382.6669999999999</v>
      </c>
      <c r="M3118" s="899">
        <f t="shared" si="939"/>
        <v>1392.336</v>
      </c>
      <c r="N3118" s="899">
        <f t="shared" si="939"/>
        <v>1402.0049999999999</v>
      </c>
      <c r="O3118" s="899">
        <f t="shared" ref="O3118:P3118" si="940">O3105*O3114</f>
        <v>1398.7819999999999</v>
      </c>
      <c r="P3118" s="899">
        <f t="shared" si="940"/>
        <v>1414.8969999999999</v>
      </c>
      <c r="Q3118" s="899">
        <f t="shared" ref="Q3118" si="941">Q3105*Q3114</f>
        <v>1434.2350000000001</v>
      </c>
      <c r="T3118" t="s">
        <v>1731</v>
      </c>
      <c r="U3118" s="623">
        <f t="shared" si="937"/>
        <v>2.1900099801768838E-2</v>
      </c>
      <c r="V3118" s="623">
        <f t="shared" si="937"/>
        <v>2.062615293067542E-2</v>
      </c>
      <c r="W3118" s="623">
        <f t="shared" si="937"/>
        <v>2.1198510668767025E-2</v>
      </c>
      <c r="X3118" s="623">
        <f t="shared" si="937"/>
        <v>2.5097174061433469E-2</v>
      </c>
      <c r="Y3118" s="623">
        <f t="shared" si="937"/>
        <v>2.5968112178654884E-2</v>
      </c>
    </row>
    <row r="3119" spans="1:25" x14ac:dyDescent="0.3">
      <c r="A3119" t="s">
        <v>1732</v>
      </c>
      <c r="B3119" s="904">
        <f>B3120-B3118</f>
        <v>0.85375156250006512</v>
      </c>
      <c r="C3119" s="904">
        <f t="shared" ref="C3119:H3119" si="942">C3120-C3118</f>
        <v>4.7234375000000455</v>
      </c>
      <c r="D3119" s="904">
        <f t="shared" si="942"/>
        <v>5.3725000000001728</v>
      </c>
      <c r="E3119" s="904">
        <f t="shared" si="942"/>
        <v>9.0240000000001146</v>
      </c>
      <c r="F3119" s="904">
        <f t="shared" si="942"/>
        <v>18.901000000000067</v>
      </c>
      <c r="G3119" s="904">
        <f t="shared" si="942"/>
        <v>35.124000000000024</v>
      </c>
      <c r="H3119" s="904">
        <f t="shared" si="942"/>
        <v>54.455000000000155</v>
      </c>
      <c r="I3119" s="904">
        <f>I3120-I3118</f>
        <v>86.563000000000102</v>
      </c>
      <c r="J3119" s="904">
        <f>J3120-J3118</f>
        <v>125.44800000000009</v>
      </c>
      <c r="K3119" s="904">
        <f>K3120-K3118</f>
        <v>173.00199999999995</v>
      </c>
      <c r="L3119" s="904">
        <f t="shared" ref="L3119:N3119" si="943">L3120-L3118</f>
        <v>229.33300000000008</v>
      </c>
      <c r="M3119" s="904">
        <f t="shared" si="943"/>
        <v>296.66399999999999</v>
      </c>
      <c r="N3119" s="904">
        <f t="shared" si="943"/>
        <v>374.99500000000012</v>
      </c>
      <c r="O3119" s="904">
        <f t="shared" ref="O3119:P3119" si="944">O3120-O3118</f>
        <v>445.21800000000007</v>
      </c>
      <c r="P3119" s="904">
        <f t="shared" si="944"/>
        <v>508.10300000000007</v>
      </c>
      <c r="Q3119" s="904" t="e">
        <f t="shared" ref="Q3119" si="945">Q3120-Q3118</f>
        <v>#REF!</v>
      </c>
      <c r="T3119" t="s">
        <v>1733</v>
      </c>
      <c r="U3119" s="623">
        <f>E3238</f>
        <v>2.3256060090306396E-2</v>
      </c>
      <c r="V3119" s="623">
        <f>F3238</f>
        <v>2.2178680623083254E-2</v>
      </c>
      <c r="W3119" s="623">
        <f>G3238</f>
        <v>1.8455225833333339E-2</v>
      </c>
      <c r="X3119" s="623">
        <f>H3238</f>
        <v>1.7944680851063839E-2</v>
      </c>
      <c r="Y3119" s="623">
        <f>I3238</f>
        <v>1.5102745545976987E-2</v>
      </c>
    </row>
    <row r="3120" spans="1:25" x14ac:dyDescent="0.3">
      <c r="A3120" s="90" t="s">
        <v>1734</v>
      </c>
      <c r="B3120" s="905">
        <f>Drivers!DZ171</f>
        <v>1312.6147515625</v>
      </c>
      <c r="C3120" s="905">
        <f>Drivers!EA171</f>
        <v>1319.7074375</v>
      </c>
      <c r="D3120" s="905">
        <f>Drivers!EB171</f>
        <v>1326.8025</v>
      </c>
      <c r="E3120" s="905">
        <f>Drivers!EC171</f>
        <v>1336.9</v>
      </c>
      <c r="F3120" s="905">
        <f>Drivers!EE171</f>
        <v>1350</v>
      </c>
      <c r="G3120" s="905">
        <f>Drivers!EF171</f>
        <v>1363</v>
      </c>
      <c r="H3120" s="905">
        <f>Drivers!EG171</f>
        <v>1392</v>
      </c>
      <c r="I3120" s="905">
        <f>Drivers!EH171</f>
        <v>1437</v>
      </c>
      <c r="J3120" s="905">
        <f>Drivers!EJ171</f>
        <v>1492</v>
      </c>
      <c r="K3120" s="905">
        <f>Drivers!EK171</f>
        <v>1546</v>
      </c>
      <c r="L3120" s="905">
        <f>Drivers!EL171</f>
        <v>1612</v>
      </c>
      <c r="M3120" s="905">
        <f>Drivers!EM171</f>
        <v>1689</v>
      </c>
      <c r="N3120" s="905">
        <f>Drivers!EO171</f>
        <v>1777</v>
      </c>
      <c r="O3120" s="905">
        <f>Drivers!EP171</f>
        <v>1844</v>
      </c>
      <c r="P3120" s="905">
        <f>Drivers!EQ171</f>
        <v>1923</v>
      </c>
      <c r="Q3120" s="1340" t="e">
        <f>P3120+#REF!</f>
        <v>#REF!</v>
      </c>
      <c r="T3120" t="s">
        <v>1735</v>
      </c>
      <c r="V3120" s="623">
        <f t="shared" ref="V3120:Y3121" si="946">F3239</f>
        <v>0.31999999999999973</v>
      </c>
      <c r="W3120" s="623">
        <f t="shared" si="946"/>
        <v>0.13148757333333322</v>
      </c>
      <c r="X3120" s="623">
        <f t="shared" si="946"/>
        <v>8.0062638297872177E-2</v>
      </c>
      <c r="Y3120" s="623">
        <f t="shared" si="946"/>
        <v>6.8314390147783427E-2</v>
      </c>
    </row>
    <row r="3121" spans="1:25" x14ac:dyDescent="0.3">
      <c r="T3121" t="s">
        <v>1736</v>
      </c>
      <c r="U3121" s="623">
        <f>E3240</f>
        <v>2.3256060090306396E-2</v>
      </c>
      <c r="V3121" s="623">
        <f t="shared" si="946"/>
        <v>2.8256666732816245E-2</v>
      </c>
      <c r="W3121" s="623">
        <f t="shared" si="946"/>
        <v>2.5104187450980399E-2</v>
      </c>
      <c r="X3121" s="623">
        <f t="shared" si="946"/>
        <v>2.3804865515857084E-2</v>
      </c>
      <c r="Y3121" s="623">
        <f t="shared" si="946"/>
        <v>2.1875136677115988E-2</v>
      </c>
    </row>
    <row r="3122" spans="1:25" x14ac:dyDescent="0.3">
      <c r="A3122" t="s">
        <v>1737</v>
      </c>
      <c r="B3122" s="887">
        <f>B3124-B3123</f>
        <v>1307.6426913867185</v>
      </c>
      <c r="C3122" s="887">
        <f>AVERAGE(B3118:C3118)</f>
        <v>1313.3724999999999</v>
      </c>
      <c r="D3122" s="887">
        <f t="shared" ref="D3122:Q3122" si="947">AVERAGE(C3118:D3118)</f>
        <v>1318.2069999999999</v>
      </c>
      <c r="E3122" s="887">
        <f t="shared" si="947"/>
        <v>1324.6529999999998</v>
      </c>
      <c r="F3122" s="887">
        <f t="shared" si="947"/>
        <v>1329.4875</v>
      </c>
      <c r="G3122" s="887">
        <f t="shared" si="947"/>
        <v>1329.4875</v>
      </c>
      <c r="H3122" s="887">
        <f t="shared" si="947"/>
        <v>1332.7104999999999</v>
      </c>
      <c r="I3122" s="887">
        <f t="shared" si="947"/>
        <v>1343.991</v>
      </c>
      <c r="J3122" s="887">
        <f t="shared" si="947"/>
        <v>1358.4944999999998</v>
      </c>
      <c r="K3122" s="887">
        <f t="shared" si="947"/>
        <v>1369.7750000000001</v>
      </c>
      <c r="L3122" s="887">
        <f t="shared" si="947"/>
        <v>1377.8325</v>
      </c>
      <c r="M3122" s="887">
        <f t="shared" si="947"/>
        <v>1387.5014999999999</v>
      </c>
      <c r="N3122" s="887">
        <f t="shared" si="947"/>
        <v>1397.1704999999999</v>
      </c>
      <c r="O3122" s="887">
        <f t="shared" si="947"/>
        <v>1400.3934999999999</v>
      </c>
      <c r="P3122" s="887">
        <f t="shared" si="947"/>
        <v>1406.8395</v>
      </c>
      <c r="Q3122" s="887">
        <f t="shared" si="947"/>
        <v>1424.566</v>
      </c>
    </row>
    <row r="3123" spans="1:25" x14ac:dyDescent="0.3">
      <c r="A3123" t="s">
        <v>1738</v>
      </c>
      <c r="B3123" s="866">
        <f>B3119/2</f>
        <v>0.42687578125003256</v>
      </c>
      <c r="C3123" s="866">
        <f>AVERAGE(B3119:C3119)</f>
        <v>2.7885945312500553</v>
      </c>
      <c r="D3123" s="866">
        <f t="shared" ref="D3123:Q3123" si="948">AVERAGE(C3119:D3119)</f>
        <v>5.0479687500001091</v>
      </c>
      <c r="E3123" s="866">
        <f t="shared" si="948"/>
        <v>7.1982500000001437</v>
      </c>
      <c r="F3123" s="866">
        <f t="shared" si="948"/>
        <v>13.962500000000091</v>
      </c>
      <c r="G3123" s="866">
        <f t="shared" si="948"/>
        <v>27.012500000000045</v>
      </c>
      <c r="H3123" s="866">
        <f t="shared" si="948"/>
        <v>44.789500000000089</v>
      </c>
      <c r="I3123" s="866">
        <f t="shared" si="948"/>
        <v>70.509000000000128</v>
      </c>
      <c r="J3123" s="866">
        <f t="shared" si="948"/>
        <v>106.0055000000001</v>
      </c>
      <c r="K3123" s="866">
        <f t="shared" si="948"/>
        <v>149.22500000000002</v>
      </c>
      <c r="L3123" s="866">
        <f t="shared" si="948"/>
        <v>201.16750000000002</v>
      </c>
      <c r="M3123" s="866">
        <f t="shared" si="948"/>
        <v>262.99850000000004</v>
      </c>
      <c r="N3123" s="866">
        <f t="shared" si="948"/>
        <v>335.82950000000005</v>
      </c>
      <c r="O3123" s="866">
        <f t="shared" si="948"/>
        <v>410.1065000000001</v>
      </c>
      <c r="P3123" s="866">
        <f t="shared" si="948"/>
        <v>476.66050000000007</v>
      </c>
      <c r="Q3123" s="866" t="e">
        <f t="shared" si="948"/>
        <v>#REF!</v>
      </c>
    </row>
    <row r="3124" spans="1:25" x14ac:dyDescent="0.3">
      <c r="A3124" s="90" t="s">
        <v>1739</v>
      </c>
      <c r="B3124" s="916">
        <f>AVERAGE(B3120,Drivers!DY171)</f>
        <v>1308.0695671679687</v>
      </c>
      <c r="C3124" s="916">
        <f>SUM(C3122:C3123)</f>
        <v>1316.16109453125</v>
      </c>
      <c r="D3124" s="916">
        <f t="shared" ref="D3124" si="949">SUM(D3122:D3123)</f>
        <v>1323.25496875</v>
      </c>
      <c r="E3124" s="916">
        <f t="shared" ref="E3124" si="950">SUM(E3122:E3123)</f>
        <v>1331.8512499999999</v>
      </c>
      <c r="F3124" s="916">
        <f t="shared" ref="F3124" si="951">SUM(F3122:F3123)</f>
        <v>1343.45</v>
      </c>
      <c r="G3124" s="916">
        <f t="shared" ref="G3124" si="952">SUM(G3122:G3123)</f>
        <v>1356.5</v>
      </c>
      <c r="H3124" s="916">
        <f t="shared" ref="H3124" si="953">SUM(H3122:H3123)</f>
        <v>1377.5</v>
      </c>
      <c r="I3124" s="916">
        <f t="shared" ref="I3124:J3124" si="954">SUM(I3122:I3123)</f>
        <v>1414.5</v>
      </c>
      <c r="J3124" s="916">
        <f t="shared" si="954"/>
        <v>1464.5</v>
      </c>
      <c r="K3124" s="916">
        <f t="shared" ref="K3124" si="955">SUM(K3122:K3123)</f>
        <v>1519</v>
      </c>
      <c r="L3124" s="916">
        <f t="shared" ref="L3124:M3124" si="956">SUM(L3122:L3123)</f>
        <v>1579</v>
      </c>
      <c r="M3124" s="916">
        <f t="shared" si="956"/>
        <v>1650.5</v>
      </c>
      <c r="N3124" s="916">
        <f t="shared" ref="N3124" si="957">SUM(N3122:N3123)</f>
        <v>1733</v>
      </c>
      <c r="O3124" s="916">
        <f t="shared" ref="O3124" si="958">SUM(O3122:O3123)</f>
        <v>1810.5</v>
      </c>
      <c r="P3124" s="916">
        <f t="shared" ref="P3124:Q3124" si="959">SUM(P3122:P3123)</f>
        <v>1883.5</v>
      </c>
      <c r="Q3124" s="916" t="e">
        <f t="shared" si="959"/>
        <v>#REF!</v>
      </c>
    </row>
    <row r="3126" spans="1:25" x14ac:dyDescent="0.3">
      <c r="A3126" s="90" t="s">
        <v>1740</v>
      </c>
    </row>
    <row r="3127" spans="1:25" x14ac:dyDescent="0.3">
      <c r="A3127" t="s">
        <v>1741</v>
      </c>
      <c r="B3127" s="899">
        <f>B3129-B3128</f>
        <v>8.23661722656243</v>
      </c>
      <c r="C3127" s="899">
        <f>C3118-B3118</f>
        <v>3.2229999999999563</v>
      </c>
      <c r="D3127" s="899">
        <f t="shared" ref="D3127:L3127" si="960">D3118-C3118</f>
        <v>6.4459999999999127</v>
      </c>
      <c r="E3127" s="899">
        <f t="shared" si="960"/>
        <v>6.4460000000001401</v>
      </c>
      <c r="F3127" s="899">
        <f t="shared" si="960"/>
        <v>3.2229999999999563</v>
      </c>
      <c r="G3127" s="899">
        <f t="shared" si="960"/>
        <v>-3.2229999999999563</v>
      </c>
      <c r="H3127" s="899">
        <f t="shared" si="960"/>
        <v>9.668999999999869</v>
      </c>
      <c r="I3127" s="899">
        <f t="shared" si="960"/>
        <v>12.892000000000053</v>
      </c>
      <c r="J3127" s="899">
        <f t="shared" si="960"/>
        <v>16.115000000000009</v>
      </c>
      <c r="K3127" s="899">
        <f t="shared" si="960"/>
        <v>6.4460000000001401</v>
      </c>
      <c r="L3127" s="899">
        <f t="shared" si="960"/>
        <v>9.668999999999869</v>
      </c>
      <c r="M3127" s="899">
        <f t="shared" ref="M3127:M3128" si="961">M3118-L3118</f>
        <v>9.6690000000000964</v>
      </c>
      <c r="N3127" s="899">
        <f t="shared" ref="N3127:Q3128" si="962">N3118-M3118</f>
        <v>9.668999999999869</v>
      </c>
      <c r="O3127" s="899">
        <f t="shared" si="962"/>
        <v>-3.2229999999999563</v>
      </c>
      <c r="P3127" s="899">
        <f t="shared" si="962"/>
        <v>16.115000000000009</v>
      </c>
      <c r="Q3127" s="899">
        <f t="shared" si="962"/>
        <v>19.338000000000193</v>
      </c>
    </row>
    <row r="3128" spans="1:25" x14ac:dyDescent="0.3">
      <c r="A3128" t="s">
        <v>1742</v>
      </c>
      <c r="B3128" s="904">
        <f>B3119</f>
        <v>0.85375156250006512</v>
      </c>
      <c r="C3128" s="904">
        <f>C3119-B3119</f>
        <v>3.8696859374999804</v>
      </c>
      <c r="D3128" s="904">
        <f t="shared" ref="D3128:L3128" si="963">D3119-C3119</f>
        <v>0.64906250000012733</v>
      </c>
      <c r="E3128" s="904">
        <f t="shared" si="963"/>
        <v>3.6514999999999418</v>
      </c>
      <c r="F3128" s="904">
        <f t="shared" si="963"/>
        <v>9.8769999999999527</v>
      </c>
      <c r="G3128" s="904">
        <f t="shared" si="963"/>
        <v>16.222999999999956</v>
      </c>
      <c r="H3128" s="904">
        <f t="shared" si="963"/>
        <v>19.331000000000131</v>
      </c>
      <c r="I3128" s="904">
        <f t="shared" si="963"/>
        <v>32.107999999999947</v>
      </c>
      <c r="J3128" s="904">
        <f t="shared" si="963"/>
        <v>38.884999999999991</v>
      </c>
      <c r="K3128" s="904">
        <f t="shared" si="963"/>
        <v>47.55399999999986</v>
      </c>
      <c r="L3128" s="904">
        <f t="shared" si="963"/>
        <v>56.331000000000131</v>
      </c>
      <c r="M3128" s="904">
        <f t="shared" si="961"/>
        <v>67.330999999999904</v>
      </c>
      <c r="N3128" s="904">
        <f t="shared" si="962"/>
        <v>78.331000000000131</v>
      </c>
      <c r="O3128" s="904">
        <f t="shared" si="962"/>
        <v>70.222999999999956</v>
      </c>
      <c r="P3128" s="904">
        <f t="shared" si="962"/>
        <v>62.884999999999991</v>
      </c>
      <c r="Q3128" s="904" t="e">
        <f t="shared" si="962"/>
        <v>#REF!</v>
      </c>
    </row>
    <row r="3129" spans="1:25" x14ac:dyDescent="0.3">
      <c r="A3129" s="90" t="s">
        <v>1743</v>
      </c>
      <c r="B3129" s="905">
        <f>B3120-Drivers!DY171</f>
        <v>9.0903687890624951</v>
      </c>
      <c r="C3129" s="905">
        <f>SUM(C3127:C3128)</f>
        <v>7.0926859374999367</v>
      </c>
      <c r="D3129" s="905">
        <f t="shared" ref="D3129:H3129" si="964">SUM(D3127:D3128)</f>
        <v>7.09506250000004</v>
      </c>
      <c r="E3129" s="905">
        <f t="shared" si="964"/>
        <v>10.097500000000082</v>
      </c>
      <c r="F3129" s="905">
        <f t="shared" si="964"/>
        <v>13.099999999999909</v>
      </c>
      <c r="G3129" s="905">
        <f t="shared" si="964"/>
        <v>13</v>
      </c>
      <c r="H3129" s="905">
        <f t="shared" si="964"/>
        <v>29</v>
      </c>
      <c r="I3129" s="905">
        <f>SUM(I3127:I3128)</f>
        <v>45</v>
      </c>
      <c r="J3129" s="905">
        <f>SUM(J3127:J3128)</f>
        <v>55</v>
      </c>
      <c r="K3129" s="905">
        <f>SUM(K3127:K3128)</f>
        <v>54</v>
      </c>
      <c r="L3129" s="905">
        <f>SUM(L3127:L3128)</f>
        <v>66</v>
      </c>
      <c r="M3129" s="905">
        <f t="shared" ref="M3129:N3129" si="965">SUM(M3127:M3128)</f>
        <v>77</v>
      </c>
      <c r="N3129" s="905">
        <f t="shared" si="965"/>
        <v>88</v>
      </c>
      <c r="O3129" s="905">
        <f t="shared" ref="O3129" si="966">SUM(O3127:O3128)</f>
        <v>67</v>
      </c>
      <c r="P3129" s="905">
        <f t="shared" ref="P3129:Q3129" si="967">SUM(P3127:P3128)</f>
        <v>79</v>
      </c>
      <c r="Q3129" s="905" t="e">
        <f t="shared" si="967"/>
        <v>#REF!</v>
      </c>
    </row>
    <row r="3131" spans="1:25" x14ac:dyDescent="0.3">
      <c r="A3131" s="90" t="s">
        <v>1744</v>
      </c>
    </row>
    <row r="3132" spans="1:25" x14ac:dyDescent="0.3">
      <c r="A3132" t="s">
        <v>1741</v>
      </c>
      <c r="C3132" s="898">
        <f>C3118/B3118-1</f>
        <v>2.4570024570025328E-3</v>
      </c>
      <c r="D3132" s="898">
        <f>D3118/C3118-1</f>
        <v>4.9019607843137081E-3</v>
      </c>
      <c r="E3132" s="898">
        <f>E3118/D3118-1</f>
        <v>4.8780487804878092E-3</v>
      </c>
      <c r="F3132" s="898">
        <f>F3118/E3118-1</f>
        <v>2.4271844660193054E-3</v>
      </c>
      <c r="G3132" s="898">
        <f t="shared" ref="G3132:J3132" si="968">G3118/F3118-1</f>
        <v>-2.421307506053183E-3</v>
      </c>
      <c r="H3132" s="898">
        <f t="shared" si="968"/>
        <v>7.2815533980581382E-3</v>
      </c>
      <c r="I3132" s="898">
        <f t="shared" si="968"/>
        <v>9.6385542168675453E-3</v>
      </c>
      <c r="J3132" s="898">
        <f t="shared" si="968"/>
        <v>1.193317422434359E-2</v>
      </c>
      <c r="K3132" s="898">
        <f t="shared" ref="K3132:K3134" si="969">K3118/J3118-1</f>
        <v>4.7169811320755262E-3</v>
      </c>
      <c r="L3132" s="898">
        <f t="shared" ref="L3132:L3134" si="970">L3118/K3118-1</f>
        <v>7.0422535211267512E-3</v>
      </c>
      <c r="M3132" s="898">
        <f t="shared" ref="M3132:M3134" si="971">M3118/L3118-1</f>
        <v>6.9930069930070893E-3</v>
      </c>
      <c r="N3132" s="898">
        <f t="shared" ref="N3132:Q3134" si="972">N3118/M3118-1</f>
        <v>6.9444444444444198E-3</v>
      </c>
      <c r="O3132" s="898">
        <f t="shared" si="972"/>
        <v>-2.2988505747125743E-3</v>
      </c>
      <c r="P3132" s="898">
        <f t="shared" si="972"/>
        <v>1.1520737327189057E-2</v>
      </c>
      <c r="Q3132" s="898">
        <f t="shared" si="972"/>
        <v>1.3667425968109548E-2</v>
      </c>
    </row>
    <row r="3133" spans="1:25" x14ac:dyDescent="0.3">
      <c r="A3133" t="s">
        <v>1742</v>
      </c>
      <c r="C3133" s="898">
        <f t="shared" ref="C3133" si="973">C3119/B3119-1</f>
        <v>4.5325667412757271</v>
      </c>
      <c r="D3133" s="898">
        <f t="shared" ref="D3133" si="974">D3119/C3119-1</f>
        <v>0.13741316572943352</v>
      </c>
      <c r="E3133" s="898">
        <f t="shared" ref="E3133" si="975">E3119/D3119-1</f>
        <v>0.67966496044668667</v>
      </c>
      <c r="F3133" s="898">
        <f t="shared" ref="F3133:J3133" si="976">F3119/E3119-1</f>
        <v>1.0945257092198388</v>
      </c>
      <c r="G3133" s="898">
        <f t="shared" si="976"/>
        <v>0.85831437490079354</v>
      </c>
      <c r="H3133" s="898">
        <f t="shared" si="976"/>
        <v>0.55036442318642864</v>
      </c>
      <c r="I3133" s="898">
        <f t="shared" si="976"/>
        <v>0.5896244605637655</v>
      </c>
      <c r="J3133" s="898">
        <f t="shared" si="976"/>
        <v>0.44921040167276938</v>
      </c>
      <c r="K3133" s="898">
        <f t="shared" si="969"/>
        <v>0.37907340093106168</v>
      </c>
      <c r="L3133" s="898">
        <f t="shared" si="970"/>
        <v>0.32560895249765975</v>
      </c>
      <c r="M3133" s="898">
        <f t="shared" si="971"/>
        <v>0.29359490348096373</v>
      </c>
      <c r="N3133" s="898">
        <f t="shared" si="972"/>
        <v>0.26403945204001888</v>
      </c>
      <c r="O3133" s="898">
        <f t="shared" si="972"/>
        <v>0.18726383018440229</v>
      </c>
      <c r="P3133" s="898">
        <f t="shared" si="972"/>
        <v>0.14124541235978771</v>
      </c>
      <c r="Q3133" s="898" t="e">
        <f t="shared" si="972"/>
        <v>#REF!</v>
      </c>
    </row>
    <row r="3134" spans="1:25" x14ac:dyDescent="0.3">
      <c r="A3134" s="90" t="s">
        <v>1743</v>
      </c>
      <c r="C3134" s="898">
        <f t="shared" ref="C3134" si="977">C3120/B3120-1</f>
        <v>5.4034787656143113E-3</v>
      </c>
      <c r="D3134" s="898">
        <f t="shared" ref="D3134" si="978">D3120/C3120-1</f>
        <v>5.3762389287133061E-3</v>
      </c>
      <c r="E3134" s="898">
        <f t="shared" ref="E3134" si="979">E3120/D3120-1</f>
        <v>7.6104016988209899E-3</v>
      </c>
      <c r="F3134" s="898">
        <f t="shared" ref="F3134:J3134" si="980">F3120/E3120-1</f>
        <v>9.7987882414540817E-3</v>
      </c>
      <c r="G3134" s="898">
        <f t="shared" si="980"/>
        <v>9.6296296296296546E-3</v>
      </c>
      <c r="H3134" s="898">
        <f t="shared" si="980"/>
        <v>2.1276595744680771E-2</v>
      </c>
      <c r="I3134" s="898">
        <f t="shared" si="980"/>
        <v>3.2327586206896575E-2</v>
      </c>
      <c r="J3134" s="898">
        <f t="shared" si="980"/>
        <v>3.8274182324286699E-2</v>
      </c>
      <c r="K3134" s="898">
        <f t="shared" si="969"/>
        <v>3.6193029490616535E-2</v>
      </c>
      <c r="L3134" s="898">
        <f t="shared" si="970"/>
        <v>4.2690815006468208E-2</v>
      </c>
      <c r="M3134" s="898">
        <f t="shared" si="971"/>
        <v>4.7766749379652529E-2</v>
      </c>
      <c r="N3134" s="898">
        <f t="shared" si="972"/>
        <v>5.2101835405565344E-2</v>
      </c>
      <c r="O3134" s="898">
        <f t="shared" si="972"/>
        <v>3.7703995498030496E-2</v>
      </c>
      <c r="P3134" s="898">
        <f t="shared" si="972"/>
        <v>4.2841648590021597E-2</v>
      </c>
      <c r="Q3134" s="898" t="e">
        <f t="shared" si="972"/>
        <v>#REF!</v>
      </c>
    </row>
    <row r="3136" spans="1:25" x14ac:dyDescent="0.3">
      <c r="A3136" s="90" t="s">
        <v>336</v>
      </c>
    </row>
    <row r="3137" spans="1:9" x14ac:dyDescent="0.3">
      <c r="A3137" t="s">
        <v>1741</v>
      </c>
      <c r="B3137" s="899">
        <f>B3139-B3138</f>
        <v>85.018013063769558</v>
      </c>
      <c r="C3137" s="899">
        <f>C3127-C3142</f>
        <v>64.414774379049959</v>
      </c>
      <c r="D3137" s="899">
        <f t="shared" ref="D3137:H3137" si="981">D3127-D3142</f>
        <v>76.934784944416137</v>
      </c>
      <c r="E3137" s="899">
        <f t="shared" si="981"/>
        <v>67.909038738597246</v>
      </c>
      <c r="F3137" s="899">
        <f t="shared" si="981"/>
        <v>59.067987779190624</v>
      </c>
      <c r="G3137" s="899">
        <f t="shared" si="981"/>
        <v>56.937350404000043</v>
      </c>
      <c r="H3137" s="899">
        <f t="shared" si="981"/>
        <v>70.966016374467955</v>
      </c>
      <c r="I3137" s="899">
        <f t="shared" ref="I3137" si="982">I3127-I3142</f>
        <v>65.743476396551785</v>
      </c>
    </row>
    <row r="3138" spans="1:9" x14ac:dyDescent="0.3">
      <c r="A3138" t="s">
        <v>1742</v>
      </c>
      <c r="B3138" s="904">
        <f>B3119</f>
        <v>0.85375156250006512</v>
      </c>
      <c r="C3138" s="904">
        <f>C3128-C3143</f>
        <v>3.9095122267312239</v>
      </c>
      <c r="D3138" s="904">
        <f t="shared" ref="D3138:H3138" si="983">D3128-D3143</f>
        <v>0.90225901808391706</v>
      </c>
      <c r="E3138" s="904">
        <f t="shared" si="983"/>
        <v>3.9013885114028337</v>
      </c>
      <c r="F3138" s="904">
        <f t="shared" si="983"/>
        <v>10.256512220809293</v>
      </c>
      <c r="G3138" s="904">
        <f t="shared" si="983"/>
        <v>17.077249595999959</v>
      </c>
      <c r="H3138" s="904">
        <f t="shared" si="983"/>
        <v>20.952383625532047</v>
      </c>
      <c r="I3138" s="904">
        <f t="shared" ref="I3138" si="984">I3128-I3143</f>
        <v>34.259723603448229</v>
      </c>
    </row>
    <row r="3139" spans="1:9" x14ac:dyDescent="0.3">
      <c r="A3139" s="90" t="s">
        <v>1743</v>
      </c>
      <c r="B3139" s="905">
        <f>Drivers!DZ169</f>
        <v>85.871764626269623</v>
      </c>
      <c r="C3139" s="905">
        <f>Drivers!EA169</f>
        <v>68.324286605781239</v>
      </c>
      <c r="D3139" s="905">
        <f>Drivers!EB169</f>
        <v>77.837043962499919</v>
      </c>
      <c r="E3139" s="905">
        <f>Drivers!EC169</f>
        <v>71.810427250000018</v>
      </c>
      <c r="F3139" s="905">
        <f>Drivers!EE169</f>
        <v>69.324500000000086</v>
      </c>
      <c r="G3139" s="905">
        <f>Drivers!EF169</f>
        <v>74.014600000000073</v>
      </c>
      <c r="H3139" s="905">
        <f>Drivers!EG169</f>
        <v>91.918400000000076</v>
      </c>
      <c r="I3139" s="905">
        <f>Drivers!EH169</f>
        <v>100.00319999999996</v>
      </c>
    </row>
    <row r="3141" spans="1:9" x14ac:dyDescent="0.3">
      <c r="A3141" s="90" t="s">
        <v>337</v>
      </c>
    </row>
    <row r="3142" spans="1:9" x14ac:dyDescent="0.3">
      <c r="A3142" t="s">
        <v>1741</v>
      </c>
      <c r="B3142" s="899">
        <f>B3144-B3143</f>
        <v>-76.781395837207128</v>
      </c>
      <c r="C3142" s="899">
        <f>C3144-C3143</f>
        <v>-61.191774379050003</v>
      </c>
      <c r="D3142" s="899">
        <f t="shared" ref="D3142:H3142" si="985">D3144-D3143</f>
        <v>-70.488784944416224</v>
      </c>
      <c r="E3142" s="899">
        <f t="shared" si="985"/>
        <v>-61.463038738597106</v>
      </c>
      <c r="F3142" s="899">
        <f t="shared" si="985"/>
        <v>-55.844987779190667</v>
      </c>
      <c r="G3142" s="899">
        <f t="shared" si="985"/>
        <v>-60.160350403999999</v>
      </c>
      <c r="H3142" s="899">
        <f t="shared" si="985"/>
        <v>-61.297016374468086</v>
      </c>
      <c r="I3142" s="899">
        <f t="shared" ref="I3142" si="986">I3144-I3143</f>
        <v>-52.851476396551725</v>
      </c>
    </row>
    <row r="3143" spans="1:9" x14ac:dyDescent="0.3">
      <c r="A3143" t="s">
        <v>1742</v>
      </c>
      <c r="B3143" s="904">
        <v>0</v>
      </c>
      <c r="C3143" s="904">
        <f>-C3153*3*B3119</f>
        <v>-3.9826289231243643E-2</v>
      </c>
      <c r="D3143" s="904">
        <f t="shared" ref="D3143:I3143" si="987">-D3153*3*C3119</f>
        <v>-0.25319651808378973</v>
      </c>
      <c r="E3143" s="904">
        <f t="shared" si="987"/>
        <v>-0.24988851140289203</v>
      </c>
      <c r="F3143" s="904">
        <f t="shared" si="987"/>
        <v>-0.37951222080933988</v>
      </c>
      <c r="G3143" s="904">
        <f t="shared" si="987"/>
        <v>-0.85424959600000305</v>
      </c>
      <c r="H3143" s="904">
        <f t="shared" si="987"/>
        <v>-1.6213836255319161</v>
      </c>
      <c r="I3143" s="904">
        <f t="shared" si="987"/>
        <v>-2.1517236034482825</v>
      </c>
    </row>
    <row r="3144" spans="1:9" x14ac:dyDescent="0.3">
      <c r="A3144" s="90" t="s">
        <v>1743</v>
      </c>
      <c r="B3144" s="905">
        <f>B3129-B3139</f>
        <v>-76.781395837207128</v>
      </c>
      <c r="C3144" s="905">
        <f>Drivers!EA170</f>
        <v>-61.231600668281246</v>
      </c>
      <c r="D3144" s="905">
        <f>Drivers!EB170</f>
        <v>-70.741981462500007</v>
      </c>
      <c r="E3144" s="905">
        <f>Drivers!EC170</f>
        <v>-61.71292725</v>
      </c>
      <c r="F3144" s="905">
        <f>Drivers!EE170</f>
        <v>-56.224500000000006</v>
      </c>
      <c r="G3144" s="905">
        <f>Drivers!EF170</f>
        <v>-61.014600000000002</v>
      </c>
      <c r="H3144" s="905">
        <f>Drivers!EG170</f>
        <v>-62.918400000000005</v>
      </c>
      <c r="I3144" s="905">
        <f>Drivers!EH170</f>
        <v>-55.003200000000007</v>
      </c>
    </row>
    <row r="3146" spans="1:9" x14ac:dyDescent="0.3">
      <c r="A3146" s="90" t="s">
        <v>1745</v>
      </c>
    </row>
    <row r="3147" spans="1:9" x14ac:dyDescent="0.3">
      <c r="A3147" t="s">
        <v>1741</v>
      </c>
      <c r="B3147" s="902">
        <f>B3137/B3110</f>
        <v>2.6378533373803772E-2</v>
      </c>
      <c r="C3147" s="902">
        <f t="shared" ref="C3147:H3147" si="988">C3137/C3110</f>
        <v>1.9985967849534582E-2</v>
      </c>
      <c r="D3147" s="902">
        <f t="shared" si="988"/>
        <v>2.3870550711888344E-2</v>
      </c>
      <c r="E3147" s="902">
        <f t="shared" si="988"/>
        <v>2.1070133024696631E-2</v>
      </c>
      <c r="F3147" s="902">
        <f t="shared" si="988"/>
        <v>1.8327020719575125E-2</v>
      </c>
      <c r="G3147" s="902">
        <f t="shared" si="988"/>
        <v>1.7665948000000015E-2</v>
      </c>
      <c r="H3147" s="902">
        <f t="shared" si="988"/>
        <v>2.2018621276595703E-2</v>
      </c>
      <c r="I3147" s="902">
        <f t="shared" ref="I3147" si="989">I3137/I3110</f>
        <v>2.0398224137931052E-2</v>
      </c>
    </row>
    <row r="3148" spans="1:9" x14ac:dyDescent="0.3">
      <c r="A3148" t="s">
        <v>1742</v>
      </c>
      <c r="B3148" s="1225">
        <f>B3138/B3111</f>
        <v>0.18972256944445892</v>
      </c>
      <c r="C3148" s="1225">
        <f t="shared" ref="C3148:H3148" si="990">C3138/C3111</f>
        <v>0.30073170974855568</v>
      </c>
      <c r="D3148" s="1225">
        <f t="shared" si="990"/>
        <v>4.1965535724833351E-2</v>
      </c>
      <c r="E3148" s="1225">
        <f t="shared" si="990"/>
        <v>6.9667651989336318E-2</v>
      </c>
      <c r="F3148" s="1225">
        <f t="shared" si="990"/>
        <v>7.4322552324705027E-2</v>
      </c>
      <c r="G3148" s="1225">
        <f t="shared" si="990"/>
        <v>6.3602419351955153E-2</v>
      </c>
      <c r="H3148" s="1225">
        <f t="shared" si="990"/>
        <v>4.7673227816910232E-2</v>
      </c>
      <c r="I3148" s="1225">
        <f t="shared" ref="I3148" si="991">I3138/I3111</f>
        <v>5.4553700005490813E-2</v>
      </c>
    </row>
    <row r="3149" spans="1:9" x14ac:dyDescent="0.3">
      <c r="A3149" s="90" t="s">
        <v>1743</v>
      </c>
      <c r="B3149" s="903">
        <f>B3139/B3112</f>
        <v>2.6606278737806233E-2</v>
      </c>
      <c r="C3149" s="903">
        <f t="shared" ref="C3149:H3149" si="992">C3139/C3112</f>
        <v>2.1113809210686414E-2</v>
      </c>
      <c r="D3149" s="903">
        <f t="shared" si="992"/>
        <v>2.3990458918939719E-2</v>
      </c>
      <c r="E3149" s="903">
        <f t="shared" si="992"/>
        <v>2.1900099801768838E-2</v>
      </c>
      <c r="F3149" s="903">
        <f t="shared" si="992"/>
        <v>2.062615293067542E-2</v>
      </c>
      <c r="G3149" s="903">
        <f t="shared" si="992"/>
        <v>2.1198510668767025E-2</v>
      </c>
      <c r="H3149" s="903">
        <f t="shared" si="992"/>
        <v>2.5097174061433469E-2</v>
      </c>
      <c r="I3149" s="903">
        <f t="shared" ref="I3149" si="993">I3139/I3112</f>
        <v>2.5968112178654884E-2</v>
      </c>
    </row>
    <row r="3150" spans="1:9" x14ac:dyDescent="0.3">
      <c r="A3150" t="s">
        <v>1746</v>
      </c>
      <c r="E3150" s="902">
        <f>E3138/SUM(B3108:E3108)</f>
        <v>4.5364982690730624E-2</v>
      </c>
      <c r="F3150" s="902">
        <f>F3138/SUM(C3108:F3108)</f>
        <v>5.6665813374636977E-2</v>
      </c>
      <c r="G3150" s="902">
        <f>G3138/SUM(D3108:G3108)</f>
        <v>5.1749241199999872E-2</v>
      </c>
      <c r="H3150" s="902">
        <f>H3138/SUM(E3108:H3108)</f>
        <v>4.1407872777731315E-2</v>
      </c>
      <c r="I3150" s="902">
        <f>I3138/SUM(F3108:I3108)</f>
        <v>7.6815523774547603E-2</v>
      </c>
    </row>
    <row r="3152" spans="1:9" x14ac:dyDescent="0.3">
      <c r="A3152" t="s">
        <v>1747</v>
      </c>
      <c r="B3152" s="902">
        <f>-B3142/Drivers!DY171/3</f>
        <v>1.9634307536271666E-2</v>
      </c>
      <c r="C3152" s="902">
        <f>-C3142/B3118/3</f>
        <v>1.5549523218292054E-2</v>
      </c>
      <c r="D3152" s="902">
        <f t="shared" ref="D3152:I3152" si="994">-D3142/C3118/3</f>
        <v>1.7868096986836907E-2</v>
      </c>
      <c r="E3152" s="902">
        <f t="shared" si="994"/>
        <v>1.5504173190810237E-2</v>
      </c>
      <c r="F3152" s="902">
        <f t="shared" si="994"/>
        <v>1.4018625177649789E-2</v>
      </c>
      <c r="G3152" s="902">
        <f t="shared" si="994"/>
        <v>1.5065333333333333E-2</v>
      </c>
      <c r="H3152" s="902">
        <f t="shared" si="994"/>
        <v>1.5387234042553192E-2</v>
      </c>
      <c r="I3152" s="902">
        <f t="shared" si="994"/>
        <v>1.3171264367816094E-2</v>
      </c>
    </row>
    <row r="3153" spans="1:13" x14ac:dyDescent="0.3">
      <c r="A3153" t="s">
        <v>1748</v>
      </c>
      <c r="B3153" s="1225">
        <v>0</v>
      </c>
      <c r="C3153" s="1225">
        <f>C3154*C3156</f>
        <v>1.5549523218292054E-2</v>
      </c>
      <c r="D3153" s="1225">
        <f t="shared" ref="D3153:H3153" si="995">D3154*D3156</f>
        <v>1.7868096986836904E-2</v>
      </c>
      <c r="E3153" s="1225">
        <f t="shared" si="995"/>
        <v>1.5504173190810237E-2</v>
      </c>
      <c r="F3153" s="1225">
        <f t="shared" si="995"/>
        <v>1.4018625177649789E-2</v>
      </c>
      <c r="G3153" s="1225">
        <f t="shared" si="995"/>
        <v>1.5065333333333333E-2</v>
      </c>
      <c r="H3153" s="1225">
        <f t="shared" si="995"/>
        <v>1.5387234042553192E-2</v>
      </c>
      <c r="I3153" s="1225">
        <f t="shared" ref="I3153" si="996">I3154*I3156</f>
        <v>1.3171264367816094E-2</v>
      </c>
    </row>
    <row r="3154" spans="1:13" x14ac:dyDescent="0.3">
      <c r="A3154" s="90" t="s">
        <v>1749</v>
      </c>
      <c r="B3154" s="903">
        <f>Drivers!DZ175</f>
        <v>1.9634307536271638E-2</v>
      </c>
      <c r="C3154" s="903">
        <f>Drivers!EA175</f>
        <v>1.5549523218292054E-2</v>
      </c>
      <c r="D3154" s="903">
        <f>Drivers!EB175</f>
        <v>1.7868096986836904E-2</v>
      </c>
      <c r="E3154" s="903">
        <f>Drivers!EC175</f>
        <v>1.5504173190810237E-2</v>
      </c>
      <c r="F3154" s="903">
        <f>Drivers!EE175</f>
        <v>1.4018625177649789E-2</v>
      </c>
      <c r="G3154" s="903">
        <f>Drivers!EF175</f>
        <v>1.5065333333333333E-2</v>
      </c>
      <c r="H3154" s="903">
        <f>Drivers!EG175</f>
        <v>1.5387234042553192E-2</v>
      </c>
      <c r="I3154" s="903">
        <f>Drivers!EH175</f>
        <v>1.3171264367816094E-2</v>
      </c>
    </row>
    <row r="3156" spans="1:13" x14ac:dyDescent="0.3">
      <c r="A3156" t="s">
        <v>1750</v>
      </c>
      <c r="C3156" s="1226">
        <v>1</v>
      </c>
      <c r="D3156" s="1226">
        <v>1</v>
      </c>
      <c r="E3156" s="1226">
        <v>1</v>
      </c>
      <c r="F3156" s="1226">
        <v>1</v>
      </c>
      <c r="G3156" s="1226">
        <v>1</v>
      </c>
      <c r="H3156" s="1226">
        <v>1</v>
      </c>
      <c r="I3156" s="1226">
        <v>1</v>
      </c>
    </row>
    <row r="3158" spans="1:13" x14ac:dyDescent="0.3">
      <c r="A3158" s="147" t="s">
        <v>1751</v>
      </c>
      <c r="B3158" s="374" t="s">
        <v>1166</v>
      </c>
      <c r="C3158" s="374" t="s">
        <v>1167</v>
      </c>
      <c r="D3158" s="374" t="s">
        <v>1168</v>
      </c>
      <c r="E3158" s="374" t="s">
        <v>1169</v>
      </c>
      <c r="F3158" s="374" t="s">
        <v>1125</v>
      </c>
      <c r="G3158" s="374" t="s">
        <v>1126</v>
      </c>
      <c r="H3158" s="374" t="s">
        <v>1127</v>
      </c>
      <c r="I3158" s="374" t="s">
        <v>1128</v>
      </c>
      <c r="J3158" s="374" t="s">
        <v>922</v>
      </c>
      <c r="K3158" s="374" t="s">
        <v>923</v>
      </c>
      <c r="L3158" s="374" t="s">
        <v>924</v>
      </c>
      <c r="M3158" s="374" t="s">
        <v>925</v>
      </c>
    </row>
    <row r="3159" spans="1:13" x14ac:dyDescent="0.3">
      <c r="A3159" t="s">
        <v>328</v>
      </c>
      <c r="D3159" s="899">
        <f>E3159</f>
        <v>2.4</v>
      </c>
      <c r="E3159" s="899">
        <v>2.4</v>
      </c>
      <c r="F3159" s="899">
        <v>2.5</v>
      </c>
      <c r="G3159" s="899">
        <v>2.6</v>
      </c>
      <c r="H3159" s="899">
        <v>2.7</v>
      </c>
      <c r="I3159" s="899">
        <v>2.8</v>
      </c>
    </row>
    <row r="3160" spans="1:13" x14ac:dyDescent="0.3">
      <c r="A3160" t="s">
        <v>1721</v>
      </c>
      <c r="D3160" s="904">
        <f>E3160</f>
        <v>0</v>
      </c>
      <c r="E3160" s="904">
        <v>0</v>
      </c>
      <c r="F3160" s="904">
        <f>F3159-E3159</f>
        <v>0.10000000000000009</v>
      </c>
      <c r="G3160" s="904">
        <f t="shared" ref="G3160:I3160" si="997">G3159-F3159</f>
        <v>0.10000000000000009</v>
      </c>
      <c r="H3160" s="904">
        <f t="shared" si="997"/>
        <v>0.10000000000000009</v>
      </c>
      <c r="I3160" s="904">
        <f t="shared" si="997"/>
        <v>9.9999999999999645E-2</v>
      </c>
    </row>
    <row r="3161" spans="1:13" x14ac:dyDescent="0.3">
      <c r="A3161" t="s">
        <v>1724</v>
      </c>
      <c r="D3161" s="899">
        <f>AVERAGE(C3159:D3159)</f>
        <v>2.4</v>
      </c>
      <c r="E3161" s="899">
        <f>AVERAGE(D3159:E3159)</f>
        <v>2.4</v>
      </c>
      <c r="F3161" s="899">
        <f>AVERAGE(E3159:F3159)</f>
        <v>2.4500000000000002</v>
      </c>
      <c r="G3161" s="899">
        <f t="shared" ref="G3161:I3161" si="998">AVERAGE(F3159:G3159)</f>
        <v>2.5499999999999998</v>
      </c>
      <c r="H3161" s="899">
        <f t="shared" si="998"/>
        <v>2.6500000000000004</v>
      </c>
      <c r="I3161" s="899">
        <f t="shared" si="998"/>
        <v>2.75</v>
      </c>
    </row>
    <row r="3163" spans="1:13" hidden="1" x14ac:dyDescent="0.3">
      <c r="A3163" t="s">
        <v>325</v>
      </c>
      <c r="D3163" s="899">
        <f>D3159</f>
        <v>2.4</v>
      </c>
      <c r="E3163" s="899">
        <f>E3159</f>
        <v>2.4</v>
      </c>
      <c r="F3163" s="899">
        <f>E3163</f>
        <v>2.4</v>
      </c>
      <c r="G3163" s="899">
        <f t="shared" ref="G3163:I3163" si="999">F3163</f>
        <v>2.4</v>
      </c>
      <c r="H3163" s="899">
        <f t="shared" si="999"/>
        <v>2.4</v>
      </c>
      <c r="I3163" s="899">
        <f t="shared" si="999"/>
        <v>2.4</v>
      </c>
    </row>
    <row r="3164" spans="1:13" hidden="1" x14ac:dyDescent="0.3">
      <c r="A3164" t="s">
        <v>327</v>
      </c>
      <c r="D3164" s="904">
        <v>0</v>
      </c>
      <c r="E3164" s="904">
        <v>0</v>
      </c>
      <c r="F3164" s="904">
        <f>F3160</f>
        <v>0.10000000000000009</v>
      </c>
      <c r="G3164" s="904">
        <f>F3164+G3160</f>
        <v>0.20000000000000018</v>
      </c>
      <c r="H3164" s="904">
        <f t="shared" ref="H3164:I3164" si="1000">G3164+H3160</f>
        <v>0.30000000000000027</v>
      </c>
      <c r="I3164" s="904">
        <f t="shared" si="1000"/>
        <v>0.39999999999999991</v>
      </c>
    </row>
    <row r="3165" spans="1:13" hidden="1" x14ac:dyDescent="0.3">
      <c r="A3165" s="90" t="s">
        <v>328</v>
      </c>
      <c r="D3165" s="905">
        <f>SUM(D3163:D3164)</f>
        <v>2.4</v>
      </c>
      <c r="E3165" s="905">
        <f>SUM(E3163:E3164)</f>
        <v>2.4</v>
      </c>
      <c r="F3165" s="905">
        <f t="shared" ref="F3165:I3165" si="1001">SUM(F3163:F3164)</f>
        <v>2.5</v>
      </c>
      <c r="G3165" s="905">
        <f t="shared" si="1001"/>
        <v>2.6</v>
      </c>
      <c r="H3165" s="905">
        <f t="shared" si="1001"/>
        <v>2.7</v>
      </c>
      <c r="I3165" s="905">
        <f t="shared" si="1001"/>
        <v>2.8</v>
      </c>
    </row>
    <row r="3166" spans="1:13" hidden="1" x14ac:dyDescent="0.3"/>
    <row r="3167" spans="1:13" hidden="1" x14ac:dyDescent="0.3">
      <c r="A3167" t="s">
        <v>1722</v>
      </c>
      <c r="D3167" s="1015">
        <f>AVERAGE(C3163:D3163)</f>
        <v>2.4</v>
      </c>
      <c r="E3167" s="1015">
        <f>AVERAGE(D3163:E3163)</f>
        <v>2.4</v>
      </c>
      <c r="F3167" s="1015">
        <f t="shared" ref="F3167:I3167" si="1002">AVERAGE(E3163:F3163)</f>
        <v>2.4</v>
      </c>
      <c r="G3167" s="1015">
        <f t="shared" si="1002"/>
        <v>2.4</v>
      </c>
      <c r="H3167" s="1015">
        <f t="shared" si="1002"/>
        <v>2.4</v>
      </c>
      <c r="I3167" s="1015">
        <f t="shared" si="1002"/>
        <v>2.4</v>
      </c>
    </row>
    <row r="3168" spans="1:13" hidden="1" x14ac:dyDescent="0.3">
      <c r="A3168" t="s">
        <v>1723</v>
      </c>
      <c r="D3168" s="1227">
        <f>D3164</f>
        <v>0</v>
      </c>
      <c r="E3168" s="1227">
        <f>E3164</f>
        <v>0</v>
      </c>
      <c r="F3168" s="1227">
        <f>AVERAGE(E3164:F3164)</f>
        <v>5.0000000000000044E-2</v>
      </c>
      <c r="G3168" s="1227">
        <f t="shared" ref="G3168:I3168" si="1003">AVERAGE(F3164:G3164)</f>
        <v>0.15000000000000013</v>
      </c>
      <c r="H3168" s="1227">
        <f t="shared" si="1003"/>
        <v>0.25000000000000022</v>
      </c>
      <c r="I3168" s="1227">
        <f t="shared" si="1003"/>
        <v>0.35000000000000009</v>
      </c>
    </row>
    <row r="3169" spans="1:13" x14ac:dyDescent="0.3">
      <c r="A3169" s="90" t="s">
        <v>1724</v>
      </c>
      <c r="D3169" s="1228">
        <f>SUM(D3167:D3168)</f>
        <v>2.4</v>
      </c>
      <c r="E3169" s="1228">
        <f>SUM(E3167:E3168)</f>
        <v>2.4</v>
      </c>
      <c r="F3169" s="1228">
        <f t="shared" ref="F3169:I3169" si="1004">SUM(F3167:F3168)</f>
        <v>2.4500000000000002</v>
      </c>
      <c r="G3169" s="1228">
        <f t="shared" si="1004"/>
        <v>2.5499999999999998</v>
      </c>
      <c r="H3169" s="1228">
        <f t="shared" si="1004"/>
        <v>2.6500000000000004</v>
      </c>
      <c r="I3169" s="1228">
        <f t="shared" si="1004"/>
        <v>2.75</v>
      </c>
    </row>
    <row r="3171" spans="1:13" x14ac:dyDescent="0.3">
      <c r="A3171" t="s">
        <v>1727</v>
      </c>
      <c r="D3171" s="231">
        <f>D3173/D3165/1000</f>
        <v>0.27083333333333337</v>
      </c>
      <c r="E3171" s="231">
        <f>E3255</f>
        <v>0.28000000000000003</v>
      </c>
      <c r="F3171" s="231">
        <f t="shared" ref="F3171:I3171" si="1005">F3255</f>
        <v>0.28000000000000003</v>
      </c>
      <c r="G3171" s="231">
        <f t="shared" si="1005"/>
        <v>0.28999999999999998</v>
      </c>
      <c r="H3171" s="231">
        <f t="shared" si="1005"/>
        <v>0.28999999999999998</v>
      </c>
      <c r="I3171" s="231">
        <f t="shared" si="1005"/>
        <v>0.28999999999999998</v>
      </c>
    </row>
    <row r="3173" spans="1:13" x14ac:dyDescent="0.3">
      <c r="A3173" t="s">
        <v>1734</v>
      </c>
      <c r="D3173" s="887">
        <f>E3173-E3177</f>
        <v>650</v>
      </c>
      <c r="E3173" s="1062">
        <f>E3251</f>
        <v>675</v>
      </c>
      <c r="F3173" s="1062">
        <f t="shared" ref="F3173:I3173" si="1006">F3251</f>
        <v>715</v>
      </c>
      <c r="G3173" s="1062">
        <f t="shared" si="1006"/>
        <v>746</v>
      </c>
      <c r="H3173" s="1062">
        <f t="shared" si="1006"/>
        <v>774</v>
      </c>
      <c r="I3173" s="1062">
        <f t="shared" si="1006"/>
        <v>803</v>
      </c>
    </row>
    <row r="3175" spans="1:13" x14ac:dyDescent="0.3">
      <c r="A3175" t="s">
        <v>1739</v>
      </c>
      <c r="B3175" s="887"/>
      <c r="C3175" s="887"/>
      <c r="D3175" s="887">
        <f>D3173</f>
        <v>650</v>
      </c>
      <c r="E3175" s="887">
        <f>AVERAGE(D3173:E3173)</f>
        <v>662.5</v>
      </c>
      <c r="F3175" s="887">
        <f t="shared" ref="F3175:I3175" si="1007">AVERAGE(E3173:F3173)</f>
        <v>695</v>
      </c>
      <c r="G3175" s="887">
        <f t="shared" si="1007"/>
        <v>730.5</v>
      </c>
      <c r="H3175" s="887">
        <f t="shared" si="1007"/>
        <v>760</v>
      </c>
      <c r="I3175" s="887">
        <f t="shared" si="1007"/>
        <v>788.5</v>
      </c>
      <c r="J3175" s="916"/>
      <c r="K3175" s="916"/>
      <c r="L3175" s="916"/>
      <c r="M3175" s="916"/>
    </row>
    <row r="3177" spans="1:13" x14ac:dyDescent="0.3">
      <c r="A3177" t="s">
        <v>1752</v>
      </c>
      <c r="B3177" s="1229"/>
      <c r="C3177" s="1229"/>
      <c r="D3177" s="1229"/>
      <c r="E3177" s="1229">
        <v>25</v>
      </c>
      <c r="F3177" s="1229">
        <f>F3173-E3173</f>
        <v>40</v>
      </c>
      <c r="G3177" s="1229">
        <f>G3173-F3173</f>
        <v>31</v>
      </c>
      <c r="H3177" s="1229">
        <f>H3173-G3173</f>
        <v>28</v>
      </c>
      <c r="I3177" s="1229">
        <f>I3173-H3173</f>
        <v>29</v>
      </c>
    </row>
    <row r="3179" spans="1:13" x14ac:dyDescent="0.3">
      <c r="A3179" t="s">
        <v>1753</v>
      </c>
      <c r="C3179" s="1230"/>
      <c r="D3179" s="1230"/>
      <c r="E3179" s="1230"/>
      <c r="F3179" s="1230">
        <f>F3173/E3173-1</f>
        <v>5.9259259259259345E-2</v>
      </c>
      <c r="G3179" s="1230">
        <f>G3173/F3173-1</f>
        <v>4.3356643356643465E-2</v>
      </c>
      <c r="H3179" s="1230">
        <f>H3173/G3173-1</f>
        <v>3.7533512064343189E-2</v>
      </c>
      <c r="I3179" s="1230">
        <f>I3173/H3173-1</f>
        <v>3.7467700258397851E-2</v>
      </c>
    </row>
    <row r="3181" spans="1:13" x14ac:dyDescent="0.3">
      <c r="A3181" t="s">
        <v>1754</v>
      </c>
      <c r="B3181" s="1229"/>
      <c r="C3181" s="1229"/>
      <c r="D3181" s="1229"/>
      <c r="E3181" s="1229">
        <f>E3177-E3183</f>
        <v>55.814544216735342</v>
      </c>
      <c r="F3181" s="1229">
        <f>F3177-F3183</f>
        <v>69.228833495399812</v>
      </c>
      <c r="G3181" s="1229">
        <f>G3177-G3183</f>
        <v>64.015678000000008</v>
      </c>
      <c r="H3181" s="1229">
        <f>H3177-H3183</f>
        <v>63.082893617021277</v>
      </c>
      <c r="I3181" s="1229">
        <f>I3177-I3183</f>
        <v>60.156625862068971</v>
      </c>
    </row>
    <row r="3183" spans="1:13" x14ac:dyDescent="0.3">
      <c r="A3183" t="s">
        <v>1755</v>
      </c>
      <c r="B3183" s="1229"/>
      <c r="C3183" s="1229"/>
      <c r="D3183" s="1229"/>
      <c r="E3183" s="1229">
        <f>-E3188*3*E3175</f>
        <v>-30.814544216735346</v>
      </c>
      <c r="F3183" s="1229">
        <f>-F3188*3*F3175</f>
        <v>-29.228833495399808</v>
      </c>
      <c r="G3183" s="1229">
        <f>-G3188*3*G3175</f>
        <v>-33.015678000000001</v>
      </c>
      <c r="H3183" s="1229">
        <f>-H3188*3*H3175</f>
        <v>-35.082893617021277</v>
      </c>
      <c r="I3183" s="1229">
        <f>-I3188*3*I3175</f>
        <v>-31.156625862068971</v>
      </c>
    </row>
    <row r="3185" spans="1:13" x14ac:dyDescent="0.3">
      <c r="A3185" s="90" t="s">
        <v>1756</v>
      </c>
      <c r="B3185" s="903"/>
      <c r="C3185" s="903"/>
      <c r="D3185" s="903"/>
      <c r="E3185" s="903">
        <f>E3181/E3169/1000</f>
        <v>2.3256060090306396E-2</v>
      </c>
      <c r="F3185" s="903">
        <f>F3181/F3169/1000</f>
        <v>2.8256666732816245E-2</v>
      </c>
      <c r="G3185" s="903">
        <f>G3181/G3169/1000</f>
        <v>2.5104187450980399E-2</v>
      </c>
      <c r="H3185" s="903">
        <f>H3181/H3169/1000</f>
        <v>2.3804865515857081E-2</v>
      </c>
      <c r="I3185" s="903">
        <f>I3181/I3169/1000</f>
        <v>2.1875136677115988E-2</v>
      </c>
    </row>
    <row r="3186" spans="1:13" x14ac:dyDescent="0.3">
      <c r="A3186" t="s">
        <v>1746</v>
      </c>
      <c r="I3186" s="902">
        <f>I3181/SUM(F3160:I3160)/1000</f>
        <v>0.15039156465517245</v>
      </c>
    </row>
    <row r="3188" spans="1:13" x14ac:dyDescent="0.3">
      <c r="A3188" t="s">
        <v>1749</v>
      </c>
      <c r="B3188" s="1231"/>
      <c r="C3188" s="1231"/>
      <c r="D3188" s="1231"/>
      <c r="E3188" s="1231">
        <f>E3257</f>
        <v>1.5504173190810237E-2</v>
      </c>
      <c r="F3188" s="1231">
        <f t="shared" ref="F3188:I3188" si="1008">F3257</f>
        <v>1.4018625177649789E-2</v>
      </c>
      <c r="G3188" s="1231">
        <f t="shared" si="1008"/>
        <v>1.5065333333333333E-2</v>
      </c>
      <c r="H3188" s="1231">
        <f t="shared" si="1008"/>
        <v>1.5387234042553192E-2</v>
      </c>
      <c r="I3188" s="1231">
        <f t="shared" si="1008"/>
        <v>1.3171264367816094E-2</v>
      </c>
    </row>
    <row r="3190" spans="1:13" x14ac:dyDescent="0.3">
      <c r="A3190" t="s">
        <v>1750</v>
      </c>
      <c r="C3190" s="1226"/>
      <c r="D3190" s="1226"/>
      <c r="E3190" s="1226">
        <v>1</v>
      </c>
      <c r="F3190" s="1226">
        <v>1</v>
      </c>
      <c r="G3190" s="1226">
        <v>1</v>
      </c>
      <c r="H3190" s="1226">
        <v>1</v>
      </c>
      <c r="I3190" s="1226">
        <v>1</v>
      </c>
    </row>
    <row r="3192" spans="1:13" x14ac:dyDescent="0.3">
      <c r="A3192" s="147" t="s">
        <v>1757</v>
      </c>
      <c r="B3192" s="374" t="s">
        <v>1166</v>
      </c>
      <c r="C3192" s="374" t="s">
        <v>1167</v>
      </c>
      <c r="D3192" s="374" t="s">
        <v>1168</v>
      </c>
      <c r="E3192" s="374" t="s">
        <v>1169</v>
      </c>
      <c r="F3192" s="374" t="s">
        <v>1125</v>
      </c>
      <c r="G3192" s="374" t="s">
        <v>1126</v>
      </c>
      <c r="H3192" s="374" t="s">
        <v>1127</v>
      </c>
      <c r="I3192" s="374" t="s">
        <v>1128</v>
      </c>
      <c r="J3192" s="374" t="s">
        <v>922</v>
      </c>
      <c r="K3192" s="374" t="s">
        <v>923</v>
      </c>
      <c r="L3192" s="374" t="s">
        <v>924</v>
      </c>
      <c r="M3192" s="374" t="s">
        <v>925</v>
      </c>
    </row>
    <row r="3193" spans="1:13" x14ac:dyDescent="0.3">
      <c r="A3193" t="s">
        <v>328</v>
      </c>
      <c r="D3193" s="899">
        <f>E3193</f>
        <v>2.4</v>
      </c>
      <c r="E3193" s="899">
        <v>2.4</v>
      </c>
      <c r="F3193" s="899">
        <v>2.5</v>
      </c>
      <c r="G3193" s="899">
        <v>2.6</v>
      </c>
      <c r="H3193" s="899">
        <v>2.7</v>
      </c>
      <c r="I3193" s="899">
        <v>2.8</v>
      </c>
    </row>
    <row r="3194" spans="1:13" x14ac:dyDescent="0.3">
      <c r="A3194" t="s">
        <v>1721</v>
      </c>
      <c r="D3194" s="904">
        <f>E3194</f>
        <v>0</v>
      </c>
      <c r="E3194" s="904">
        <v>0</v>
      </c>
      <c r="F3194" s="904">
        <f>F3193-E3193</f>
        <v>0.10000000000000009</v>
      </c>
      <c r="G3194" s="904">
        <f t="shared" ref="G3194" si="1009">G3193-F3193</f>
        <v>0.10000000000000009</v>
      </c>
      <c r="H3194" s="904">
        <f t="shared" ref="H3194" si="1010">H3193-G3193</f>
        <v>0.10000000000000009</v>
      </c>
      <c r="I3194" s="904">
        <f t="shared" ref="I3194" si="1011">I3193-H3193</f>
        <v>9.9999999999999645E-2</v>
      </c>
    </row>
    <row r="3195" spans="1:13" x14ac:dyDescent="0.3">
      <c r="A3195" t="s">
        <v>1724</v>
      </c>
      <c r="D3195" s="899">
        <f>AVERAGE(C3193:D3193)</f>
        <v>2.4</v>
      </c>
      <c r="E3195" s="899">
        <f>AVERAGE(D3193:E3193)</f>
        <v>2.4</v>
      </c>
      <c r="F3195" s="899">
        <f>AVERAGE(E3193:F3193)</f>
        <v>2.4500000000000002</v>
      </c>
      <c r="G3195" s="899">
        <f t="shared" ref="G3195" si="1012">AVERAGE(F3193:G3193)</f>
        <v>2.5499999999999998</v>
      </c>
      <c r="H3195" s="899">
        <f t="shared" ref="H3195" si="1013">AVERAGE(G3193:H3193)</f>
        <v>2.6500000000000004</v>
      </c>
      <c r="I3195" s="899">
        <f t="shared" ref="I3195" si="1014">AVERAGE(H3193:I3193)</f>
        <v>2.75</v>
      </c>
    </row>
    <row r="3197" spans="1:13" x14ac:dyDescent="0.3">
      <c r="A3197" t="s">
        <v>325</v>
      </c>
      <c r="D3197" s="899">
        <f>D3193</f>
        <v>2.4</v>
      </c>
      <c r="E3197" s="899">
        <f>E3193</f>
        <v>2.4</v>
      </c>
      <c r="F3197" s="899">
        <f>E3197</f>
        <v>2.4</v>
      </c>
      <c r="G3197" s="899">
        <f t="shared" ref="G3197" si="1015">F3197</f>
        <v>2.4</v>
      </c>
      <c r="H3197" s="899">
        <f t="shared" ref="H3197" si="1016">G3197</f>
        <v>2.4</v>
      </c>
      <c r="I3197" s="899">
        <f t="shared" ref="I3197" si="1017">H3197</f>
        <v>2.4</v>
      </c>
    </row>
    <row r="3198" spans="1:13" x14ac:dyDescent="0.3">
      <c r="A3198" t="s">
        <v>327</v>
      </c>
      <c r="D3198" s="904">
        <v>0</v>
      </c>
      <c r="E3198" s="904">
        <v>0</v>
      </c>
      <c r="F3198" s="904">
        <f>F3194</f>
        <v>0.10000000000000009</v>
      </c>
      <c r="G3198" s="904">
        <f>F3198+G3194</f>
        <v>0.20000000000000018</v>
      </c>
      <c r="H3198" s="904">
        <f t="shared" ref="H3198" si="1018">G3198+H3194</f>
        <v>0.30000000000000027</v>
      </c>
      <c r="I3198" s="904">
        <f t="shared" ref="I3198" si="1019">H3198+I3194</f>
        <v>0.39999999999999991</v>
      </c>
    </row>
    <row r="3199" spans="1:13" x14ac:dyDescent="0.3">
      <c r="A3199" s="90" t="s">
        <v>328</v>
      </c>
      <c r="D3199" s="905">
        <f>SUM(D3197:D3198)</f>
        <v>2.4</v>
      </c>
      <c r="E3199" s="905">
        <f>SUM(E3197:E3198)</f>
        <v>2.4</v>
      </c>
      <c r="F3199" s="905">
        <f t="shared" ref="F3199:I3199" si="1020">SUM(F3197:F3198)</f>
        <v>2.5</v>
      </c>
      <c r="G3199" s="905">
        <f t="shared" si="1020"/>
        <v>2.6</v>
      </c>
      <c r="H3199" s="905">
        <f t="shared" si="1020"/>
        <v>2.7</v>
      </c>
      <c r="I3199" s="905">
        <f t="shared" si="1020"/>
        <v>2.8</v>
      </c>
    </row>
    <row r="3201" spans="1:13" x14ac:dyDescent="0.3">
      <c r="A3201" t="s">
        <v>1722</v>
      </c>
      <c r="D3201" s="899">
        <f>AVERAGE(C3197:D3197)</f>
        <v>2.4</v>
      </c>
      <c r="E3201" s="899">
        <f>AVERAGE(D3197:E3197)</f>
        <v>2.4</v>
      </c>
      <c r="F3201" s="899">
        <f t="shared" ref="F3201" si="1021">AVERAGE(E3197:F3197)</f>
        <v>2.4</v>
      </c>
      <c r="G3201" s="899">
        <f t="shared" ref="G3201:G3202" si="1022">AVERAGE(F3197:G3197)</f>
        <v>2.4</v>
      </c>
      <c r="H3201" s="899">
        <f t="shared" ref="H3201:H3202" si="1023">AVERAGE(G3197:H3197)</f>
        <v>2.4</v>
      </c>
      <c r="I3201" s="899">
        <f t="shared" ref="I3201:I3202" si="1024">AVERAGE(H3197:I3197)</f>
        <v>2.4</v>
      </c>
    </row>
    <row r="3202" spans="1:13" x14ac:dyDescent="0.3">
      <c r="A3202" t="s">
        <v>1723</v>
      </c>
      <c r="D3202" s="904">
        <f>D3198</f>
        <v>0</v>
      </c>
      <c r="E3202" s="904">
        <f>E3198</f>
        <v>0</v>
      </c>
      <c r="F3202" s="904">
        <f>AVERAGE(E3198:F3198)</f>
        <v>5.0000000000000044E-2</v>
      </c>
      <c r="G3202" s="904">
        <f t="shared" si="1022"/>
        <v>0.15000000000000013</v>
      </c>
      <c r="H3202" s="904">
        <f t="shared" si="1023"/>
        <v>0.25000000000000022</v>
      </c>
      <c r="I3202" s="904">
        <f t="shared" si="1024"/>
        <v>0.35000000000000009</v>
      </c>
    </row>
    <row r="3203" spans="1:13" x14ac:dyDescent="0.3">
      <c r="A3203" s="90" t="s">
        <v>1724</v>
      </c>
      <c r="D3203" s="905">
        <f>SUM(D3201:D3202)</f>
        <v>2.4</v>
      </c>
      <c r="E3203" s="905">
        <f>SUM(E3201:E3202)</f>
        <v>2.4</v>
      </c>
      <c r="F3203" s="905">
        <f t="shared" ref="F3203:I3203" si="1025">SUM(F3201:F3202)</f>
        <v>2.4500000000000002</v>
      </c>
      <c r="G3203" s="905">
        <f t="shared" si="1025"/>
        <v>2.5499999999999998</v>
      </c>
      <c r="H3203" s="905">
        <f t="shared" si="1025"/>
        <v>2.6500000000000004</v>
      </c>
      <c r="I3203" s="905">
        <f t="shared" si="1025"/>
        <v>2.75</v>
      </c>
    </row>
    <row r="3205" spans="1:13" x14ac:dyDescent="0.3">
      <c r="A3205" t="s">
        <v>1725</v>
      </c>
      <c r="D3205" s="231">
        <f>D3209/D3197/1000</f>
        <v>0.27083333333333337</v>
      </c>
      <c r="E3205" s="231">
        <f>E3209/E3197/1000</f>
        <v>0.28125</v>
      </c>
      <c r="F3205" s="231">
        <f>E3205+1%</f>
        <v>0.29125000000000001</v>
      </c>
      <c r="G3205" s="231">
        <f>F3205+0.5%</f>
        <v>0.29625000000000001</v>
      </c>
      <c r="H3205" s="231">
        <f>G3205+0.4%</f>
        <v>0.30025000000000002</v>
      </c>
      <c r="I3205" s="231">
        <f>H3205+0.3%</f>
        <v>0.30325000000000002</v>
      </c>
    </row>
    <row r="3206" spans="1:13" x14ac:dyDescent="0.3">
      <c r="A3206" t="s">
        <v>1726</v>
      </c>
      <c r="D3206" s="231"/>
      <c r="E3206" s="231"/>
      <c r="F3206" s="231">
        <f>F3210/F3198/1000</f>
        <v>0.15999999999999986</v>
      </c>
      <c r="G3206" s="231">
        <f t="shared" ref="G3206:I3206" si="1026">G3210/G3198/1000</f>
        <v>0.17499999999999985</v>
      </c>
      <c r="H3206" s="231">
        <f t="shared" si="1026"/>
        <v>0.17799999999999977</v>
      </c>
      <c r="I3206" s="231">
        <f t="shared" si="1026"/>
        <v>0.18800000000000014</v>
      </c>
    </row>
    <row r="3207" spans="1:13" x14ac:dyDescent="0.3">
      <c r="A3207" t="s">
        <v>1727</v>
      </c>
      <c r="D3207" s="231">
        <f>D3211/D3199/1000</f>
        <v>0.27083333333333337</v>
      </c>
      <c r="E3207" s="231">
        <f>E3255</f>
        <v>0.28000000000000003</v>
      </c>
      <c r="F3207" s="231">
        <f t="shared" ref="F3207:I3207" si="1027">F3255</f>
        <v>0.28000000000000003</v>
      </c>
      <c r="G3207" s="231">
        <f t="shared" si="1027"/>
        <v>0.28999999999999998</v>
      </c>
      <c r="H3207" s="231">
        <f t="shared" si="1027"/>
        <v>0.28999999999999998</v>
      </c>
      <c r="I3207" s="231">
        <f t="shared" si="1027"/>
        <v>0.28999999999999998</v>
      </c>
    </row>
    <row r="3209" spans="1:13" x14ac:dyDescent="0.3">
      <c r="A3209" t="s">
        <v>1730</v>
      </c>
      <c r="D3209" s="885">
        <f>D3211-D3210</f>
        <v>650</v>
      </c>
      <c r="E3209" s="885">
        <f>E3251</f>
        <v>675</v>
      </c>
      <c r="F3209" s="887">
        <f>F3205*F3197*1000</f>
        <v>699</v>
      </c>
      <c r="G3209" s="887">
        <f t="shared" ref="G3209:I3209" si="1028">G3205*G3197*1000</f>
        <v>711</v>
      </c>
      <c r="H3209" s="887">
        <f t="shared" si="1028"/>
        <v>720.6</v>
      </c>
      <c r="I3209" s="887">
        <f t="shared" si="1028"/>
        <v>727.8</v>
      </c>
    </row>
    <row r="3210" spans="1:13" x14ac:dyDescent="0.3">
      <c r="A3210" t="s">
        <v>1732</v>
      </c>
      <c r="D3210" s="901">
        <v>0</v>
      </c>
      <c r="E3210" s="901">
        <v>0</v>
      </c>
      <c r="F3210" s="866">
        <f>F3211-F3209</f>
        <v>16</v>
      </c>
      <c r="G3210" s="866">
        <f t="shared" ref="G3210:I3210" si="1029">G3211-G3209</f>
        <v>35</v>
      </c>
      <c r="H3210" s="866">
        <f t="shared" si="1029"/>
        <v>53.399999999999977</v>
      </c>
      <c r="I3210" s="866">
        <f t="shared" si="1029"/>
        <v>75.200000000000045</v>
      </c>
    </row>
    <row r="3211" spans="1:13" x14ac:dyDescent="0.3">
      <c r="A3211" s="90" t="s">
        <v>1734</v>
      </c>
      <c r="D3211" s="916">
        <f>E3211-E3220</f>
        <v>650</v>
      </c>
      <c r="E3211" s="900">
        <f>E3251</f>
        <v>675</v>
      </c>
      <c r="F3211" s="900">
        <f t="shared" ref="F3211:I3211" si="1030">F3251</f>
        <v>715</v>
      </c>
      <c r="G3211" s="900">
        <f t="shared" si="1030"/>
        <v>746</v>
      </c>
      <c r="H3211" s="900">
        <f t="shared" si="1030"/>
        <v>774</v>
      </c>
      <c r="I3211" s="900">
        <f t="shared" si="1030"/>
        <v>803</v>
      </c>
    </row>
    <row r="3213" spans="1:13" x14ac:dyDescent="0.3">
      <c r="A3213" t="s">
        <v>1737</v>
      </c>
      <c r="B3213" s="887"/>
      <c r="C3213" s="887"/>
      <c r="D3213" s="887"/>
      <c r="E3213" s="887">
        <f t="shared" ref="E3213:E3214" si="1031">AVERAGE(D3209:E3209)</f>
        <v>662.5</v>
      </c>
      <c r="F3213" s="887">
        <f t="shared" ref="F3213:F3214" si="1032">AVERAGE(E3209:F3209)</f>
        <v>687</v>
      </c>
      <c r="G3213" s="887">
        <f t="shared" ref="G3213:G3214" si="1033">AVERAGE(F3209:G3209)</f>
        <v>705</v>
      </c>
      <c r="H3213" s="887">
        <f t="shared" ref="H3213:H3214" si="1034">AVERAGE(G3209:H3209)</f>
        <v>715.8</v>
      </c>
      <c r="I3213" s="887">
        <f t="shared" ref="I3213:I3214" si="1035">AVERAGE(H3209:I3209)</f>
        <v>724.2</v>
      </c>
      <c r="J3213" s="887"/>
      <c r="K3213" s="887"/>
      <c r="L3213" s="887"/>
      <c r="M3213" s="887"/>
    </row>
    <row r="3214" spans="1:13" x14ac:dyDescent="0.3">
      <c r="A3214" t="s">
        <v>1738</v>
      </c>
      <c r="B3214" s="866"/>
      <c r="C3214" s="866"/>
      <c r="D3214" s="866"/>
      <c r="E3214" s="866">
        <f t="shared" si="1031"/>
        <v>0</v>
      </c>
      <c r="F3214" s="866">
        <f t="shared" si="1032"/>
        <v>8</v>
      </c>
      <c r="G3214" s="866">
        <f t="shared" si="1033"/>
        <v>25.5</v>
      </c>
      <c r="H3214" s="866">
        <f t="shared" si="1034"/>
        <v>44.199999999999989</v>
      </c>
      <c r="I3214" s="866">
        <f t="shared" si="1035"/>
        <v>64.300000000000011</v>
      </c>
      <c r="J3214" s="866"/>
      <c r="K3214" s="866"/>
      <c r="L3214" s="866"/>
      <c r="M3214" s="866"/>
    </row>
    <row r="3215" spans="1:13" x14ac:dyDescent="0.3">
      <c r="A3215" s="90" t="s">
        <v>1739</v>
      </c>
      <c r="B3215" s="916"/>
      <c r="C3215" s="916"/>
      <c r="D3215" s="916"/>
      <c r="E3215" s="916">
        <f t="shared" ref="E3215:I3215" si="1036">SUM(E3213:E3214)</f>
        <v>662.5</v>
      </c>
      <c r="F3215" s="916">
        <f t="shared" si="1036"/>
        <v>695</v>
      </c>
      <c r="G3215" s="916">
        <f t="shared" si="1036"/>
        <v>730.5</v>
      </c>
      <c r="H3215" s="916">
        <f t="shared" si="1036"/>
        <v>760</v>
      </c>
      <c r="I3215" s="916">
        <f t="shared" si="1036"/>
        <v>788.5</v>
      </c>
      <c r="J3215" s="916"/>
      <c r="K3215" s="916"/>
      <c r="L3215" s="916"/>
      <c r="M3215" s="916"/>
    </row>
    <row r="3217" spans="1:9" x14ac:dyDescent="0.3">
      <c r="A3217" s="90" t="s">
        <v>1740</v>
      </c>
    </row>
    <row r="3218" spans="1:9" x14ac:dyDescent="0.3">
      <c r="A3218" t="s">
        <v>1741</v>
      </c>
      <c r="B3218" s="899"/>
      <c r="C3218" s="899"/>
      <c r="D3218" s="899"/>
      <c r="E3218" s="899">
        <f>E3220-E3219</f>
        <v>25</v>
      </c>
      <c r="F3218" s="899">
        <f t="shared" ref="F3218:F3219" si="1037">F3209-E3209</f>
        <v>24</v>
      </c>
      <c r="G3218" s="899">
        <f t="shared" ref="G3218:G3219" si="1038">G3209-F3209</f>
        <v>12</v>
      </c>
      <c r="H3218" s="899">
        <f t="shared" ref="H3218:H3219" si="1039">H3209-G3209</f>
        <v>9.6000000000000227</v>
      </c>
      <c r="I3218" s="899">
        <f t="shared" ref="I3218:I3219" si="1040">I3209-H3209</f>
        <v>7.1999999999999318</v>
      </c>
    </row>
    <row r="3219" spans="1:9" x14ac:dyDescent="0.3">
      <c r="A3219" t="s">
        <v>1742</v>
      </c>
      <c r="B3219" s="904"/>
      <c r="C3219" s="904"/>
      <c r="D3219" s="904"/>
      <c r="E3219" s="904">
        <f t="shared" ref="E3219" si="1041">E3210-D3210</f>
        <v>0</v>
      </c>
      <c r="F3219" s="904">
        <f t="shared" si="1037"/>
        <v>16</v>
      </c>
      <c r="G3219" s="904">
        <f t="shared" si="1038"/>
        <v>19</v>
      </c>
      <c r="H3219" s="904">
        <f t="shared" si="1039"/>
        <v>18.399999999999977</v>
      </c>
      <c r="I3219" s="904">
        <f t="shared" si="1040"/>
        <v>21.800000000000068</v>
      </c>
    </row>
    <row r="3220" spans="1:9" x14ac:dyDescent="0.3">
      <c r="A3220" s="90" t="s">
        <v>1743</v>
      </c>
      <c r="B3220" s="905"/>
      <c r="C3220" s="905"/>
      <c r="D3220" s="905"/>
      <c r="E3220" s="905">
        <v>25</v>
      </c>
      <c r="F3220" s="905">
        <f t="shared" ref="F3220:I3220" si="1042">SUM(F3218:F3219)</f>
        <v>40</v>
      </c>
      <c r="G3220" s="905">
        <f t="shared" si="1042"/>
        <v>31</v>
      </c>
      <c r="H3220" s="905">
        <f t="shared" si="1042"/>
        <v>28</v>
      </c>
      <c r="I3220" s="905">
        <f t="shared" si="1042"/>
        <v>29</v>
      </c>
    </row>
    <row r="3222" spans="1:9" x14ac:dyDescent="0.3">
      <c r="A3222" s="90" t="s">
        <v>1744</v>
      </c>
    </row>
    <row r="3223" spans="1:9" x14ac:dyDescent="0.3">
      <c r="A3223" t="s">
        <v>1741</v>
      </c>
      <c r="C3223" s="898"/>
      <c r="D3223" s="898"/>
      <c r="E3223" s="898"/>
      <c r="F3223" s="898">
        <f>F3209/E3209-1</f>
        <v>3.5555555555555562E-2</v>
      </c>
      <c r="G3223" s="898">
        <f t="shared" ref="G3223:G3225" si="1043">G3209/F3209-1</f>
        <v>1.716738197424883E-2</v>
      </c>
      <c r="H3223" s="898">
        <f t="shared" ref="H3223:H3225" si="1044">H3209/G3209-1</f>
        <v>1.3502109704641274E-2</v>
      </c>
      <c r="I3223" s="898">
        <f t="shared" ref="I3223:I3225" si="1045">I3209/H3209-1</f>
        <v>9.9916736053287103E-3</v>
      </c>
    </row>
    <row r="3224" spans="1:9" x14ac:dyDescent="0.3">
      <c r="A3224" t="s">
        <v>1742</v>
      </c>
      <c r="C3224" s="898"/>
      <c r="D3224" s="898"/>
      <c r="E3224" s="898"/>
      <c r="F3224" s="898"/>
      <c r="G3224" s="898">
        <f t="shared" si="1043"/>
        <v>1.1875</v>
      </c>
      <c r="H3224" s="898">
        <f t="shared" si="1044"/>
        <v>0.52571428571428513</v>
      </c>
      <c r="I3224" s="898">
        <f t="shared" si="1045"/>
        <v>0.40823970037453328</v>
      </c>
    </row>
    <row r="3225" spans="1:9" x14ac:dyDescent="0.3">
      <c r="A3225" s="90" t="s">
        <v>1743</v>
      </c>
      <c r="B3225" s="90"/>
      <c r="C3225" s="911"/>
      <c r="D3225" s="911"/>
      <c r="E3225" s="911"/>
      <c r="F3225" s="911">
        <f t="shared" ref="F3225" si="1046">F3211/E3211-1</f>
        <v>5.9259259259259345E-2</v>
      </c>
      <c r="G3225" s="911">
        <f t="shared" si="1043"/>
        <v>4.3356643356643465E-2</v>
      </c>
      <c r="H3225" s="911">
        <f t="shared" si="1044"/>
        <v>3.7533512064343189E-2</v>
      </c>
      <c r="I3225" s="911">
        <f t="shared" si="1045"/>
        <v>3.7467700258397851E-2</v>
      </c>
    </row>
    <row r="3227" spans="1:9" x14ac:dyDescent="0.3">
      <c r="A3227" s="90" t="s">
        <v>336</v>
      </c>
    </row>
    <row r="3228" spans="1:9" x14ac:dyDescent="0.3">
      <c r="A3228" t="s">
        <v>1741</v>
      </c>
      <c r="B3228" s="899"/>
      <c r="C3228" s="899"/>
      <c r="D3228" s="899"/>
      <c r="E3228" s="899">
        <f t="shared" ref="E3228:I3229" si="1047">E3218-E3233</f>
        <v>55.814544216735342</v>
      </c>
      <c r="F3228" s="899">
        <f t="shared" si="1047"/>
        <v>53.228833495399812</v>
      </c>
      <c r="G3228" s="899">
        <f t="shared" si="1047"/>
        <v>44.292542000000005</v>
      </c>
      <c r="H3228" s="899">
        <f t="shared" si="1047"/>
        <v>43.067234042553217</v>
      </c>
      <c r="I3228" s="899">
        <f t="shared" si="1047"/>
        <v>36.246589310344767</v>
      </c>
    </row>
    <row r="3229" spans="1:9" x14ac:dyDescent="0.3">
      <c r="A3229" t="s">
        <v>1742</v>
      </c>
      <c r="B3229" s="904"/>
      <c r="C3229" s="904"/>
      <c r="D3229" s="904"/>
      <c r="E3229" s="904">
        <f t="shared" ref="E3229:H3229" si="1048">E3219-E3234</f>
        <v>0</v>
      </c>
      <c r="F3229" s="904">
        <f t="shared" si="1048"/>
        <v>16</v>
      </c>
      <c r="G3229" s="904">
        <f t="shared" si="1048"/>
        <v>19.723136</v>
      </c>
      <c r="H3229" s="904">
        <f t="shared" si="1048"/>
        <v>20.015659574468064</v>
      </c>
      <c r="I3229" s="904">
        <f t="shared" si="1047"/>
        <v>23.910036551724204</v>
      </c>
    </row>
    <row r="3230" spans="1:9" x14ac:dyDescent="0.3">
      <c r="A3230" s="90" t="s">
        <v>1743</v>
      </c>
      <c r="B3230" s="905"/>
      <c r="C3230" s="905"/>
      <c r="D3230" s="905"/>
      <c r="E3230" s="905">
        <f>SUM(E3228:E3229)</f>
        <v>55.814544216735342</v>
      </c>
      <c r="F3230" s="905">
        <f t="shared" ref="F3230:I3230" si="1049">SUM(F3228:F3229)</f>
        <v>69.228833495399812</v>
      </c>
      <c r="G3230" s="905">
        <f t="shared" si="1049"/>
        <v>64.015678000000008</v>
      </c>
      <c r="H3230" s="905">
        <f t="shared" si="1049"/>
        <v>63.082893617021284</v>
      </c>
      <c r="I3230" s="905">
        <f t="shared" si="1049"/>
        <v>60.156625862068971</v>
      </c>
    </row>
    <row r="3232" spans="1:9" x14ac:dyDescent="0.3">
      <c r="A3232" s="90" t="s">
        <v>337</v>
      </c>
    </row>
    <row r="3233" spans="1:9" x14ac:dyDescent="0.3">
      <c r="A3233" t="s">
        <v>1741</v>
      </c>
      <c r="B3233" s="899"/>
      <c r="C3233" s="899"/>
      <c r="D3233" s="899"/>
      <c r="E3233" s="899">
        <f t="shared" ref="E3233:I3233" si="1050">E3235-E3234</f>
        <v>-30.814544216735346</v>
      </c>
      <c r="F3233" s="899">
        <f t="shared" si="1050"/>
        <v>-29.228833495399808</v>
      </c>
      <c r="G3233" s="899">
        <f t="shared" si="1050"/>
        <v>-32.292542000000005</v>
      </c>
      <c r="H3233" s="899">
        <f t="shared" si="1050"/>
        <v>-33.467234042553194</v>
      </c>
      <c r="I3233" s="899">
        <f t="shared" si="1050"/>
        <v>-29.046589310344835</v>
      </c>
    </row>
    <row r="3234" spans="1:9" x14ac:dyDescent="0.3">
      <c r="A3234" t="s">
        <v>1742</v>
      </c>
      <c r="B3234" s="904"/>
      <c r="C3234" s="904"/>
      <c r="D3234" s="904"/>
      <c r="E3234" s="904">
        <f t="shared" ref="E3234" si="1051">-E3244*3*D3210</f>
        <v>0</v>
      </c>
      <c r="F3234" s="904">
        <f t="shared" ref="F3234" si="1052">-F3244*3*E3210</f>
        <v>0</v>
      </c>
      <c r="G3234" s="904">
        <f t="shared" ref="G3234" si="1053">-G3244*3*F3210</f>
        <v>-0.723136</v>
      </c>
      <c r="H3234" s="904">
        <f t="shared" ref="H3234" si="1054">-H3244*3*G3210</f>
        <v>-1.6156595744680851</v>
      </c>
      <c r="I3234" s="904">
        <f t="shared" ref="I3234" si="1055">-I3244*3*H3210</f>
        <v>-2.1100365517241375</v>
      </c>
    </row>
    <row r="3235" spans="1:9" x14ac:dyDescent="0.3">
      <c r="A3235" s="90" t="s">
        <v>1743</v>
      </c>
      <c r="B3235" s="905"/>
      <c r="C3235" s="905"/>
      <c r="D3235" s="905"/>
      <c r="E3235" s="905">
        <f>-E3245*3*E3215</f>
        <v>-30.814544216735346</v>
      </c>
      <c r="F3235" s="905">
        <f t="shared" ref="F3235:I3235" si="1056">-F3245*3*F3215</f>
        <v>-29.228833495399808</v>
      </c>
      <c r="G3235" s="905">
        <f t="shared" si="1056"/>
        <v>-33.015678000000001</v>
      </c>
      <c r="H3235" s="905">
        <f t="shared" si="1056"/>
        <v>-35.082893617021277</v>
      </c>
      <c r="I3235" s="905">
        <f t="shared" si="1056"/>
        <v>-31.156625862068971</v>
      </c>
    </row>
    <row r="3237" spans="1:9" x14ac:dyDescent="0.3">
      <c r="A3237" s="90" t="s">
        <v>1745</v>
      </c>
    </row>
    <row r="3238" spans="1:9" x14ac:dyDescent="0.3">
      <c r="A3238" t="s">
        <v>1741</v>
      </c>
      <c r="B3238" s="902"/>
      <c r="C3238" s="902"/>
      <c r="D3238" s="902"/>
      <c r="E3238" s="902">
        <f>E3228/E3201/1000</f>
        <v>2.3256060090306396E-2</v>
      </c>
      <c r="F3238" s="902">
        <f t="shared" ref="F3238:I3238" si="1057">F3228/F3201/1000</f>
        <v>2.2178680623083254E-2</v>
      </c>
      <c r="G3238" s="902">
        <f t="shared" si="1057"/>
        <v>1.8455225833333339E-2</v>
      </c>
      <c r="H3238" s="902">
        <f t="shared" si="1057"/>
        <v>1.7944680851063839E-2</v>
      </c>
      <c r="I3238" s="902">
        <f t="shared" si="1057"/>
        <v>1.5102745545976987E-2</v>
      </c>
    </row>
    <row r="3239" spans="1:9" x14ac:dyDescent="0.3">
      <c r="A3239" t="s">
        <v>1742</v>
      </c>
      <c r="B3239" s="1225"/>
      <c r="C3239" s="1225"/>
      <c r="D3239" s="1225"/>
      <c r="E3239" s="1225">
        <v>0</v>
      </c>
      <c r="F3239" s="1225">
        <f>F3229/F3202/1000</f>
        <v>0.31999999999999973</v>
      </c>
      <c r="G3239" s="1225">
        <f t="shared" ref="G3239:I3239" si="1058">G3229/G3202/1000</f>
        <v>0.13148757333333322</v>
      </c>
      <c r="H3239" s="1225">
        <f t="shared" si="1058"/>
        <v>8.0062638297872177E-2</v>
      </c>
      <c r="I3239" s="1225">
        <f t="shared" si="1058"/>
        <v>6.8314390147783427E-2</v>
      </c>
    </row>
    <row r="3240" spans="1:9" x14ac:dyDescent="0.3">
      <c r="A3240" s="90" t="s">
        <v>1743</v>
      </c>
      <c r="B3240" s="903"/>
      <c r="C3240" s="903"/>
      <c r="D3240" s="903"/>
      <c r="E3240" s="903">
        <f>E3230/E3203/1000</f>
        <v>2.3256060090306396E-2</v>
      </c>
      <c r="F3240" s="903">
        <f t="shared" ref="F3240:I3240" si="1059">F3230/F3203/1000</f>
        <v>2.8256666732816245E-2</v>
      </c>
      <c r="G3240" s="903">
        <f t="shared" si="1059"/>
        <v>2.5104187450980399E-2</v>
      </c>
      <c r="H3240" s="903">
        <f t="shared" si="1059"/>
        <v>2.3804865515857084E-2</v>
      </c>
      <c r="I3240" s="903">
        <f t="shared" si="1059"/>
        <v>2.1875136677115988E-2</v>
      </c>
    </row>
    <row r="3241" spans="1:9" x14ac:dyDescent="0.3">
      <c r="A3241" t="s">
        <v>1746</v>
      </c>
      <c r="I3241" s="902">
        <f>I3229/SUM(F3194:I3194)/1000</f>
        <v>5.9775091379310523E-2</v>
      </c>
    </row>
    <row r="3243" spans="1:9" x14ac:dyDescent="0.3">
      <c r="A3243" t="s">
        <v>1747</v>
      </c>
      <c r="B3243" s="902"/>
      <c r="C3243" s="902"/>
      <c r="D3243" s="902"/>
      <c r="E3243" s="902">
        <f t="shared" ref="E3243" si="1060">-E3233/D3209/3</f>
        <v>1.5802330367556589E-2</v>
      </c>
      <c r="F3243" s="902">
        <f t="shared" ref="F3243" si="1061">-F3233/E3209/3</f>
        <v>1.4433991849580151E-2</v>
      </c>
      <c r="G3243" s="902">
        <f t="shared" ref="G3243" si="1062">-G3233/F3209/3</f>
        <v>1.5399400095374346E-2</v>
      </c>
      <c r="H3243" s="902">
        <f t="shared" ref="H3243" si="1063">-H3233/G3209/3</f>
        <v>1.5690217553939612E-2</v>
      </c>
      <c r="I3243" s="902">
        <f t="shared" ref="I3243" si="1064">-I3233/H3209/3</f>
        <v>1.3436298135972261E-2</v>
      </c>
    </row>
    <row r="3244" spans="1:9" x14ac:dyDescent="0.3">
      <c r="A3244" t="s">
        <v>1748</v>
      </c>
      <c r="B3244" s="1225"/>
      <c r="C3244" s="1225"/>
      <c r="D3244" s="1225"/>
      <c r="E3244" s="1225">
        <f t="shared" ref="E3244:I3244" si="1065">E3245*E3247</f>
        <v>1.5504173190810237E-2</v>
      </c>
      <c r="F3244" s="1225">
        <f t="shared" si="1065"/>
        <v>1.4018625177649789E-2</v>
      </c>
      <c r="G3244" s="1225">
        <f t="shared" si="1065"/>
        <v>1.5065333333333333E-2</v>
      </c>
      <c r="H3244" s="1225">
        <f t="shared" si="1065"/>
        <v>1.5387234042553192E-2</v>
      </c>
      <c r="I3244" s="1225">
        <f t="shared" si="1065"/>
        <v>1.3171264367816094E-2</v>
      </c>
    </row>
    <row r="3245" spans="1:9" x14ac:dyDescent="0.3">
      <c r="A3245" s="90" t="s">
        <v>1749</v>
      </c>
      <c r="B3245" s="903"/>
      <c r="C3245" s="903"/>
      <c r="D3245" s="903"/>
      <c r="E3245" s="903">
        <f>E3257</f>
        <v>1.5504173190810237E-2</v>
      </c>
      <c r="F3245" s="903">
        <f t="shared" ref="F3245:I3245" si="1066">F3257</f>
        <v>1.4018625177649789E-2</v>
      </c>
      <c r="G3245" s="903">
        <f t="shared" si="1066"/>
        <v>1.5065333333333333E-2</v>
      </c>
      <c r="H3245" s="903">
        <f t="shared" si="1066"/>
        <v>1.5387234042553192E-2</v>
      </c>
      <c r="I3245" s="903">
        <f t="shared" si="1066"/>
        <v>1.3171264367816094E-2</v>
      </c>
    </row>
    <row r="3247" spans="1:9" x14ac:dyDescent="0.3">
      <c r="A3247" t="s">
        <v>1750</v>
      </c>
      <c r="C3247" s="1226"/>
      <c r="D3247" s="1226"/>
      <c r="E3247" s="1226">
        <v>1</v>
      </c>
      <c r="F3247" s="1226">
        <v>1</v>
      </c>
      <c r="G3247" s="1226">
        <v>1</v>
      </c>
      <c r="H3247" s="1226">
        <v>1</v>
      </c>
      <c r="I3247" s="1226">
        <v>1</v>
      </c>
    </row>
    <row r="3251" spans="1:9" x14ac:dyDescent="0.3">
      <c r="A3251" t="s">
        <v>1734</v>
      </c>
      <c r="E3251">
        <v>675</v>
      </c>
      <c r="F3251">
        <v>715</v>
      </c>
      <c r="G3251">
        <v>746</v>
      </c>
      <c r="H3251">
        <v>774</v>
      </c>
      <c r="I3251">
        <v>803</v>
      </c>
    </row>
    <row r="3252" spans="1:9" x14ac:dyDescent="0.3">
      <c r="A3252" t="s">
        <v>1758</v>
      </c>
      <c r="F3252">
        <f>F3251-E3251</f>
        <v>40</v>
      </c>
      <c r="G3252">
        <f t="shared" ref="G3252:I3252" si="1067">G3251-F3251</f>
        <v>31</v>
      </c>
      <c r="H3252">
        <f t="shared" si="1067"/>
        <v>28</v>
      </c>
      <c r="I3252">
        <f t="shared" si="1067"/>
        <v>29</v>
      </c>
    </row>
    <row r="3253" spans="1:9" x14ac:dyDescent="0.3">
      <c r="A3253" t="s">
        <v>1744</v>
      </c>
      <c r="F3253" s="898">
        <f>F3251/E3251-1</f>
        <v>5.9259259259259345E-2</v>
      </c>
      <c r="G3253" s="898">
        <f t="shared" ref="G3253:I3253" si="1068">G3251/F3251-1</f>
        <v>4.3356643356643465E-2</v>
      </c>
      <c r="H3253" s="898">
        <f t="shared" si="1068"/>
        <v>3.7533512064343189E-2</v>
      </c>
      <c r="I3253" s="898">
        <f t="shared" si="1068"/>
        <v>3.7467700258397851E-2</v>
      </c>
    </row>
    <row r="3255" spans="1:9" x14ac:dyDescent="0.3">
      <c r="A3255" t="s">
        <v>1727</v>
      </c>
      <c r="B3255" s="146"/>
      <c r="C3255" s="146"/>
      <c r="D3255" s="146"/>
      <c r="E3255" s="146">
        <v>0.28000000000000003</v>
      </c>
      <c r="F3255" s="146">
        <v>0.28000000000000003</v>
      </c>
      <c r="G3255" s="146">
        <v>0.28999999999999998</v>
      </c>
      <c r="H3255" s="146">
        <v>0.28999999999999998</v>
      </c>
      <c r="I3255" s="146">
        <v>0.28999999999999998</v>
      </c>
    </row>
    <row r="3257" spans="1:9" x14ac:dyDescent="0.3">
      <c r="A3257" t="s">
        <v>1759</v>
      </c>
      <c r="B3257" s="623"/>
      <c r="C3257" s="623"/>
      <c r="D3257" s="623"/>
      <c r="E3257" s="623">
        <f>E3154</f>
        <v>1.5504173190810237E-2</v>
      </c>
      <c r="F3257" s="623">
        <f>F3154</f>
        <v>1.4018625177649789E-2</v>
      </c>
      <c r="G3257" s="623">
        <f>G3154</f>
        <v>1.5065333333333333E-2</v>
      </c>
      <c r="H3257" s="623">
        <f>H3154</f>
        <v>1.5387234042553192E-2</v>
      </c>
      <c r="I3257" s="623">
        <f>I3154</f>
        <v>1.3171264367816094E-2</v>
      </c>
    </row>
    <row r="3259" spans="1:9" x14ac:dyDescent="0.3">
      <c r="A3259" t="s">
        <v>337</v>
      </c>
      <c r="F3259" s="885">
        <f>F3257*3*E3251</f>
        <v>28.387715984740822</v>
      </c>
      <c r="G3259" s="885">
        <f t="shared" ref="G3259:I3259" si="1069">G3257*3*F3251</f>
        <v>32.31514</v>
      </c>
      <c r="H3259" s="885">
        <f t="shared" si="1069"/>
        <v>34.436629787234047</v>
      </c>
      <c r="I3259" s="885">
        <f t="shared" si="1069"/>
        <v>30.583675862068972</v>
      </c>
    </row>
    <row r="3260" spans="1:9" x14ac:dyDescent="0.3">
      <c r="A3260" t="s">
        <v>336</v>
      </c>
      <c r="F3260" s="887">
        <f>F3259+F3252</f>
        <v>68.387715984740822</v>
      </c>
      <c r="G3260" s="887">
        <f t="shared" ref="G3260:I3260" si="1070">G3259+G3252</f>
        <v>63.31514</v>
      </c>
      <c r="H3260" s="887">
        <f t="shared" si="1070"/>
        <v>62.436629787234047</v>
      </c>
      <c r="I3260" s="887">
        <f t="shared" si="1070"/>
        <v>59.583675862068972</v>
      </c>
    </row>
    <row r="3262" spans="1:9" x14ac:dyDescent="0.3">
      <c r="A3262" t="s">
        <v>1760</v>
      </c>
      <c r="F3262" s="902">
        <f>F3260/F3161/1000</f>
        <v>2.7913353463159516E-2</v>
      </c>
      <c r="G3262" s="902">
        <f>G3260/G3161/1000</f>
        <v>2.4829466666666668E-2</v>
      </c>
      <c r="H3262" s="902">
        <f>H3260/H3161/1000</f>
        <v>2.3560992372541147E-2</v>
      </c>
      <c r="I3262" s="902">
        <f>I3260/I3161/1000</f>
        <v>2.1666791222570533E-2</v>
      </c>
    </row>
    <row r="3274" spans="1:19" x14ac:dyDescent="0.3">
      <c r="A3274" s="533"/>
      <c r="B3274" s="534"/>
      <c r="C3274" s="534"/>
      <c r="D3274" s="534"/>
      <c r="E3274" s="534"/>
      <c r="F3274" s="534"/>
      <c r="G3274" s="534"/>
      <c r="H3274" s="534"/>
      <c r="I3274" s="534"/>
      <c r="J3274" s="534"/>
      <c r="K3274" s="534"/>
      <c r="L3274" s="534"/>
      <c r="M3274" s="534"/>
      <c r="N3274" s="534"/>
      <c r="O3274" s="534"/>
      <c r="P3274" s="534"/>
      <c r="Q3274" s="534"/>
      <c r="R3274" s="534"/>
      <c r="S3274" s="534"/>
    </row>
    <row r="3275" spans="1:19" x14ac:dyDescent="0.3">
      <c r="B3275" s="374" t="s">
        <v>922</v>
      </c>
      <c r="C3275" s="374" t="s">
        <v>923</v>
      </c>
      <c r="D3275" s="374" t="s">
        <v>924</v>
      </c>
      <c r="E3275" s="374" t="s">
        <v>925</v>
      </c>
      <c r="F3275" s="374" t="s">
        <v>883</v>
      </c>
      <c r="G3275" s="374" t="s">
        <v>884</v>
      </c>
      <c r="H3275" s="374" t="s">
        <v>885</v>
      </c>
      <c r="I3275" s="374" t="s">
        <v>886</v>
      </c>
    </row>
    <row r="3276" spans="1:19" x14ac:dyDescent="0.3">
      <c r="A3276" s="64" t="s">
        <v>1761</v>
      </c>
      <c r="B3276" s="76">
        <f>Drivers!EJ115</f>
        <v>1388</v>
      </c>
      <c r="C3276" s="76">
        <f>Drivers!EK115</f>
        <v>1438</v>
      </c>
      <c r="D3276" s="76">
        <f>Drivers!EL115</f>
        <v>1502</v>
      </c>
      <c r="E3276" s="76">
        <f>Drivers!EM115</f>
        <v>1575</v>
      </c>
      <c r="F3276" s="885">
        <f>E3276+Drivers!EJ117/Drivers!$EN$117*Drivers!$ES$117</f>
        <v>1640.9246861924687</v>
      </c>
      <c r="G3276" s="885">
        <f>F3276+Drivers!EK117/Drivers!$EN$117*Drivers!$ES$117</f>
        <v>1704.3138075313809</v>
      </c>
      <c r="H3276" s="885">
        <f>G3276+Drivers!EL117/Drivers!$EN$117*Drivers!$ES$117</f>
        <v>1785.4518828451885</v>
      </c>
      <c r="I3276" s="885">
        <f>H3276+Drivers!EM117/Drivers!$EN$117*Drivers!$ES$117</f>
        <v>1878.0000000000002</v>
      </c>
    </row>
    <row r="3277" spans="1:19" x14ac:dyDescent="0.3">
      <c r="A3277" s="64" t="s">
        <v>1762</v>
      </c>
      <c r="B3277" s="76">
        <f>Drivers!EJ138</f>
        <v>104</v>
      </c>
      <c r="C3277" s="76">
        <f>Drivers!EK138</f>
        <v>108</v>
      </c>
      <c r="D3277" s="76">
        <f>Drivers!EL138</f>
        <v>110</v>
      </c>
      <c r="E3277" s="76">
        <f>Drivers!EM138</f>
        <v>114</v>
      </c>
      <c r="F3277" s="885">
        <f>E3277+Drivers!EJ140/Drivers!$EN$140*Drivers!$ES$140</f>
        <v>117.46153846153847</v>
      </c>
      <c r="G3277" s="885">
        <f>F3277+Drivers!EK140/Drivers!$EN$140*Drivers!$ES$140</f>
        <v>122.07692307692308</v>
      </c>
      <c r="H3277" s="885">
        <f>G3277+Drivers!EL140/Drivers!$EN$140*Drivers!$ES$140</f>
        <v>124.38461538461539</v>
      </c>
      <c r="I3277" s="885">
        <f>H3277+Drivers!EM140/Drivers!$EN$140*Drivers!$ES$140</f>
        <v>129</v>
      </c>
    </row>
    <row r="3279" spans="1:19" x14ac:dyDescent="0.3">
      <c r="A3279" s="56" t="s">
        <v>362</v>
      </c>
      <c r="B3279" s="101">
        <f>Drivers!EJ186</f>
        <v>62.1</v>
      </c>
      <c r="C3279" s="101">
        <f>Drivers!EK186</f>
        <v>63.35</v>
      </c>
      <c r="D3279" s="101">
        <f>Drivers!EL186</f>
        <v>62.97</v>
      </c>
      <c r="E3279" s="101">
        <f>Drivers!EM186</f>
        <v>61.2</v>
      </c>
      <c r="F3279" s="101">
        <f>B3279*(1+F3280)</f>
        <v>63.098274747353827</v>
      </c>
      <c r="G3279" s="101">
        <f t="shared" ref="G3279:I3279" si="1071">C3279*(1+G3280)</f>
        <v>64.368368844522777</v>
      </c>
      <c r="H3279" s="101">
        <f t="shared" si="1071"/>
        <v>63.982260238983422</v>
      </c>
      <c r="I3279" s="101">
        <f t="shared" si="1071"/>
        <v>62.183806997392175</v>
      </c>
    </row>
    <row r="3280" spans="1:19" x14ac:dyDescent="0.3">
      <c r="A3280" s="70" t="s">
        <v>363</v>
      </c>
      <c r="F3280" s="898">
        <f>Drivers!ES187</f>
        <v>1.607527773516626E-2</v>
      </c>
      <c r="G3280" s="898">
        <f>F3280</f>
        <v>1.607527773516626E-2</v>
      </c>
      <c r="H3280" s="898">
        <f t="shared" ref="H3280:I3284" si="1072">G3280</f>
        <v>1.607527773516626E-2</v>
      </c>
      <c r="I3280" s="898">
        <f t="shared" si="1072"/>
        <v>1.607527773516626E-2</v>
      </c>
    </row>
    <row r="3281" spans="1:9" x14ac:dyDescent="0.3">
      <c r="A3281" s="56" t="s">
        <v>1763</v>
      </c>
      <c r="B3281" s="101">
        <f>Drivers!EJ190</f>
        <v>10.81705335291239</v>
      </c>
      <c r="C3281" s="101">
        <f>Drivers!EK190</f>
        <v>10.80425218211842</v>
      </c>
      <c r="D3281" s="101">
        <f>Drivers!EL190</f>
        <v>10.297100907029494</v>
      </c>
      <c r="E3281" s="101">
        <f>Drivers!EM190</f>
        <v>12.255595276784733</v>
      </c>
      <c r="F3281" s="101">
        <f>B3281*(1+F3282)</f>
        <v>9.4541557917524184</v>
      </c>
      <c r="G3281" s="101">
        <f t="shared" ref="G3281" si="1073">C3281*(1+G3282)</f>
        <v>9.4429675079329201</v>
      </c>
      <c r="H3281" s="101">
        <f t="shared" ref="H3281" si="1074">D3281*(1+H3282)</f>
        <v>8.9997148948369823</v>
      </c>
      <c r="I3281" s="101">
        <f t="shared" ref="I3281" si="1075">E3281*(1+I3282)</f>
        <v>10.71144823707392</v>
      </c>
    </row>
    <row r="3282" spans="1:9" x14ac:dyDescent="0.3">
      <c r="A3282" s="70" t="s">
        <v>363</v>
      </c>
      <c r="F3282" s="898">
        <f>Drivers!ES191</f>
        <v>-0.12599527031019264</v>
      </c>
      <c r="G3282" s="898">
        <f>F3282</f>
        <v>-0.12599527031019264</v>
      </c>
      <c r="H3282" s="898">
        <f t="shared" si="1072"/>
        <v>-0.12599527031019264</v>
      </c>
      <c r="I3282" s="898">
        <f t="shared" si="1072"/>
        <v>-0.12599527031019264</v>
      </c>
    </row>
    <row r="3283" spans="1:9" x14ac:dyDescent="0.3">
      <c r="A3283" s="56" t="s">
        <v>367</v>
      </c>
      <c r="B3283" s="101">
        <f>Drivers!EJ194</f>
        <v>103.84</v>
      </c>
      <c r="C3283" s="101">
        <f>Drivers!EK194</f>
        <v>105.03</v>
      </c>
      <c r="D3283" s="101">
        <f>Drivers!EL194</f>
        <v>105.21</v>
      </c>
      <c r="E3283" s="101">
        <f>Drivers!EM194</f>
        <v>105.34</v>
      </c>
      <c r="F3283" s="101">
        <f>B3283*(1+F3284)</f>
        <v>98.878002841911012</v>
      </c>
      <c r="G3283" s="101">
        <f t="shared" ref="G3283" si="1076">C3283*(1+G3284)</f>
        <v>100.01113866030349</v>
      </c>
      <c r="H3283" s="101">
        <f t="shared" ref="H3283" si="1077">D3283*(1+H3284)</f>
        <v>100.18253735552251</v>
      </c>
      <c r="I3283" s="101">
        <f t="shared" ref="I3283" si="1078">E3283*(1+I3284)</f>
        <v>100.3063253020696</v>
      </c>
    </row>
    <row r="3284" spans="1:9" x14ac:dyDescent="0.3">
      <c r="A3284" s="70" t="s">
        <v>363</v>
      </c>
      <c r="F3284" s="898">
        <f>Drivers!ES195</f>
        <v>-4.7785026560949406E-2</v>
      </c>
      <c r="G3284" s="898">
        <f>F3284</f>
        <v>-4.7785026560949406E-2</v>
      </c>
      <c r="H3284" s="898">
        <f t="shared" si="1072"/>
        <v>-4.7785026560949406E-2</v>
      </c>
      <c r="I3284" s="898">
        <f t="shared" si="1072"/>
        <v>-4.7785026560949406E-2</v>
      </c>
    </row>
    <row r="3286" spans="1:9" x14ac:dyDescent="0.3">
      <c r="A3286" s="90" t="s">
        <v>284</v>
      </c>
    </row>
    <row r="3287" spans="1:9" x14ac:dyDescent="0.3">
      <c r="A3287" t="s">
        <v>368</v>
      </c>
      <c r="B3287" s="885">
        <f>Drivers!EJ199</f>
        <v>253.74059999999997</v>
      </c>
      <c r="C3287" s="885">
        <f>Drivers!EK199</f>
        <v>268.54065000000003</v>
      </c>
      <c r="D3287" s="885">
        <f>Drivers!EL199</f>
        <v>277.69769999999994</v>
      </c>
      <c r="E3287" s="885">
        <f>Drivers!EM199</f>
        <v>282.46860000000004</v>
      </c>
    </row>
    <row r="3288" spans="1:9" x14ac:dyDescent="0.3">
      <c r="A3288" t="s">
        <v>369</v>
      </c>
      <c r="B3288" s="885">
        <f>Drivers!EJ200</f>
        <v>109.06092</v>
      </c>
      <c r="C3288" s="885">
        <f>Drivers!EK200</f>
        <v>106.66012499999999</v>
      </c>
      <c r="D3288" s="885">
        <f>Drivers!EL200</f>
        <v>100.89208499999999</v>
      </c>
      <c r="E3288" s="885">
        <f>Drivers!EM200</f>
        <v>96.965700000000012</v>
      </c>
    </row>
    <row r="3289" spans="1:9" x14ac:dyDescent="0.3">
      <c r="A3289" t="s">
        <v>370</v>
      </c>
      <c r="B3289" s="885">
        <f>Drivers!EJ201</f>
        <v>44.198480000000032</v>
      </c>
      <c r="C3289" s="885">
        <f>Drivers!EK201</f>
        <v>45.799224999999979</v>
      </c>
      <c r="D3289" s="885">
        <f>Drivers!EL201</f>
        <v>45.410215000000065</v>
      </c>
      <c r="E3289" s="885">
        <f>Drivers!EM201</f>
        <v>56.56569999999995</v>
      </c>
    </row>
    <row r="3290" spans="1:9" x14ac:dyDescent="0.3">
      <c r="A3290" s="90" t="s">
        <v>371</v>
      </c>
      <c r="B3290" s="885">
        <f>SUM(B3287:B3289)</f>
        <v>407</v>
      </c>
      <c r="C3290" s="885">
        <f>SUM(C3287:C3289)</f>
        <v>421</v>
      </c>
      <c r="D3290" s="885">
        <f>SUM(D3287:D3289)</f>
        <v>424</v>
      </c>
      <c r="E3290" s="885">
        <f>SUM(E3287:E3289)</f>
        <v>436</v>
      </c>
    </row>
    <row r="3291" spans="1:9" x14ac:dyDescent="0.3">
      <c r="A3291" t="s">
        <v>372</v>
      </c>
      <c r="B3291" s="885">
        <f>Drivers!EJ203</f>
        <v>31.930800000000001</v>
      </c>
      <c r="C3291" s="885">
        <f>Drivers!EK203</f>
        <v>33.399540000000002</v>
      </c>
      <c r="D3291" s="885">
        <f>Drivers!EL203</f>
        <v>34.403669999999998</v>
      </c>
      <c r="E3291" s="885">
        <f>Drivers!EM203</f>
        <v>35.394239999999996</v>
      </c>
    </row>
    <row r="3292" spans="1:9" x14ac:dyDescent="0.3">
      <c r="A3292" t="s">
        <v>373</v>
      </c>
      <c r="B3292" s="885">
        <f>Drivers!EJ204</f>
        <v>233.0692</v>
      </c>
      <c r="C3292" s="885">
        <f>Drivers!EK204</f>
        <v>230.60046</v>
      </c>
      <c r="D3292" s="885">
        <f>Drivers!EL204</f>
        <v>232.59632999999999</v>
      </c>
      <c r="E3292" s="885">
        <f>Drivers!EM204</f>
        <v>249.60576</v>
      </c>
    </row>
    <row r="3293" spans="1:9" x14ac:dyDescent="0.3">
      <c r="A3293" t="s">
        <v>374</v>
      </c>
      <c r="B3293" s="885">
        <f>SUM(B3291:B3292)</f>
        <v>265</v>
      </c>
      <c r="C3293" s="885">
        <f>SUM(C3291:C3292)</f>
        <v>264</v>
      </c>
      <c r="D3293" s="885">
        <f>SUM(D3291:D3292)</f>
        <v>267</v>
      </c>
      <c r="E3293" s="885">
        <f>SUM(E3291:E3292)</f>
        <v>285</v>
      </c>
    </row>
    <row r="3294" spans="1:9" x14ac:dyDescent="0.3">
      <c r="A3294" s="90" t="s">
        <v>375</v>
      </c>
      <c r="B3294" s="887">
        <f>B3290+B3293</f>
        <v>672</v>
      </c>
      <c r="C3294" s="887">
        <f t="shared" ref="C3294:E3294" si="1079">C3290+C3293</f>
        <v>685</v>
      </c>
      <c r="D3294" s="887">
        <f t="shared" si="1079"/>
        <v>691</v>
      </c>
      <c r="E3294" s="887">
        <f t="shared" si="1079"/>
        <v>721</v>
      </c>
    </row>
    <row r="3329" spans="1:19" x14ac:dyDescent="0.3">
      <c r="A3329" s="533" t="s">
        <v>1764</v>
      </c>
      <c r="B3329" s="534"/>
      <c r="C3329" s="534"/>
      <c r="D3329" s="534"/>
      <c r="E3329" s="534"/>
      <c r="F3329" s="534"/>
      <c r="G3329" s="534"/>
      <c r="H3329" s="534"/>
      <c r="I3329" s="534"/>
      <c r="J3329" s="534"/>
      <c r="K3329" s="534"/>
      <c r="L3329" s="534"/>
      <c r="M3329" s="534"/>
      <c r="N3329" s="534"/>
      <c r="O3329" s="534"/>
      <c r="P3329" s="534"/>
      <c r="Q3329" s="534"/>
      <c r="R3329" s="534"/>
      <c r="S3329" s="534"/>
    </row>
    <row r="3330" spans="1:19" x14ac:dyDescent="0.3">
      <c r="A3330" s="90" t="s">
        <v>1765</v>
      </c>
    </row>
    <row r="3331" spans="1:19" x14ac:dyDescent="0.3">
      <c r="A3331" s="56" t="s">
        <v>628</v>
      </c>
      <c r="B3331" s="76">
        <f>Drivers!EI106</f>
        <v>3591.5</v>
      </c>
    </row>
    <row r="3332" spans="1:19" x14ac:dyDescent="0.3">
      <c r="A3332" s="56" t="s">
        <v>1766</v>
      </c>
      <c r="B3332" s="76">
        <f>Drivers!EI107</f>
        <v>11671</v>
      </c>
    </row>
    <row r="3333" spans="1:19" x14ac:dyDescent="0.3">
      <c r="A3333" s="60" t="s">
        <v>266</v>
      </c>
      <c r="B3333" s="381">
        <f>SUM(B3331:B3332)</f>
        <v>15262.5</v>
      </c>
    </row>
    <row r="3335" spans="1:19" x14ac:dyDescent="0.3">
      <c r="A3335" s="618" t="s">
        <v>1767</v>
      </c>
      <c r="B3335" s="494"/>
    </row>
    <row r="3336" spans="1:19" x14ac:dyDescent="0.3">
      <c r="A3336" s="144"/>
      <c r="B3336" s="144"/>
    </row>
    <row r="3337" spans="1:19" x14ac:dyDescent="0.3">
      <c r="A3337" s="144" t="s">
        <v>298</v>
      </c>
      <c r="B3337" s="365">
        <f>Drivers!EI27</f>
        <v>1104</v>
      </c>
    </row>
    <row r="3338" spans="1:19" x14ac:dyDescent="0.3">
      <c r="A3338" s="708" t="s">
        <v>1768</v>
      </c>
      <c r="B3338" s="869">
        <v>12.5</v>
      </c>
    </row>
    <row r="3339" spans="1:19" x14ac:dyDescent="0.3">
      <c r="A3339" s="708" t="s">
        <v>872</v>
      </c>
      <c r="B3339" s="870">
        <f>B3337*B3338</f>
        <v>13800</v>
      </c>
    </row>
    <row r="3340" spans="1:19" x14ac:dyDescent="0.3">
      <c r="A3340" s="708" t="s">
        <v>1769</v>
      </c>
      <c r="B3340" s="656">
        <f>B3331</f>
        <v>3591.5</v>
      </c>
    </row>
    <row r="3341" spans="1:19" x14ac:dyDescent="0.3">
      <c r="A3341" s="709" t="s">
        <v>1770</v>
      </c>
      <c r="B3341" s="871">
        <f>B3339/B3340*1000</f>
        <v>3842.4056800779617</v>
      </c>
    </row>
    <row r="3342" spans="1:19" x14ac:dyDescent="0.3">
      <c r="A3342" s="494"/>
      <c r="B3342" s="494"/>
    </row>
    <row r="3344" spans="1:19" x14ac:dyDescent="0.3">
      <c r="A3344" s="618" t="s">
        <v>1771</v>
      </c>
      <c r="B3344" s="494"/>
    </row>
    <row r="3345" spans="1:3" x14ac:dyDescent="0.3">
      <c r="A3345" s="144"/>
      <c r="B3345" s="144"/>
    </row>
    <row r="3346" spans="1:3" x14ac:dyDescent="0.3">
      <c r="A3346" s="144" t="s">
        <v>301</v>
      </c>
      <c r="B3346" s="365">
        <f>Drivers!EI30</f>
        <v>2475</v>
      </c>
    </row>
    <row r="3347" spans="1:3" x14ac:dyDescent="0.3">
      <c r="A3347" s="708" t="s">
        <v>1772</v>
      </c>
      <c r="B3347" s="869">
        <f>B3348/B3346</f>
        <v>8.12678787878788</v>
      </c>
    </row>
    <row r="3348" spans="1:3" x14ac:dyDescent="0.3">
      <c r="A3348" s="708" t="s">
        <v>872</v>
      </c>
      <c r="B3348" s="870">
        <f>Valuation!B13</f>
        <v>20113.800000000003</v>
      </c>
    </row>
    <row r="3349" spans="1:3" x14ac:dyDescent="0.3">
      <c r="A3349" s="708" t="s">
        <v>1773</v>
      </c>
      <c r="B3349" s="656">
        <f>B3333</f>
        <v>15262.5</v>
      </c>
    </row>
    <row r="3350" spans="1:3" x14ac:dyDescent="0.3">
      <c r="A3350" s="709" t="s">
        <v>1774</v>
      </c>
      <c r="B3350" s="871">
        <f>B3348/B3349*1000</f>
        <v>1317.8574938574941</v>
      </c>
    </row>
    <row r="3351" spans="1:3" x14ac:dyDescent="0.3">
      <c r="A3351" s="765"/>
      <c r="B3351" s="878"/>
    </row>
    <row r="3352" spans="1:3" x14ac:dyDescent="0.3">
      <c r="A3352" s="709"/>
      <c r="B3352" s="874"/>
    </row>
    <row r="3353" spans="1:3" x14ac:dyDescent="0.3">
      <c r="A3353" s="618" t="s">
        <v>1775</v>
      </c>
      <c r="B3353" s="494"/>
    </row>
    <row r="3354" spans="1:3" x14ac:dyDescent="0.3">
      <c r="A3354" s="144"/>
      <c r="B3354" s="144"/>
    </row>
    <row r="3355" spans="1:3" x14ac:dyDescent="0.3">
      <c r="A3355" s="708" t="s">
        <v>1632</v>
      </c>
      <c r="B3355" s="870">
        <f>B3348</f>
        <v>20113.800000000003</v>
      </c>
    </row>
    <row r="3356" spans="1:3" x14ac:dyDescent="0.3">
      <c r="A3356" s="708" t="s">
        <v>1776</v>
      </c>
      <c r="B3356" s="879">
        <f>-B3339</f>
        <v>-13800</v>
      </c>
    </row>
    <row r="3357" spans="1:3" x14ac:dyDescent="0.3">
      <c r="A3357" s="708" t="s">
        <v>1777</v>
      </c>
      <c r="B3357" s="870">
        <f>SUM(B3355:B3356)</f>
        <v>6313.8000000000029</v>
      </c>
    </row>
    <row r="3358" spans="1:3" x14ac:dyDescent="0.3">
      <c r="A3358" s="708" t="s">
        <v>1778</v>
      </c>
      <c r="B3358" s="656">
        <f>B3332</f>
        <v>11671</v>
      </c>
    </row>
    <row r="3359" spans="1:3" x14ac:dyDescent="0.3">
      <c r="A3359" s="709" t="s">
        <v>1779</v>
      </c>
      <c r="B3359" s="871">
        <f>B3357/B3358*1000</f>
        <v>540.98192100077131</v>
      </c>
    </row>
    <row r="3360" spans="1:3" x14ac:dyDescent="0.3">
      <c r="A3360" s="494"/>
      <c r="B3360" s="494"/>
      <c r="C3360" s="494"/>
    </row>
    <row r="3362" spans="1:19" x14ac:dyDescent="0.3">
      <c r="A3362" s="533" t="s">
        <v>1780</v>
      </c>
      <c r="B3362" s="534"/>
      <c r="C3362" s="534"/>
      <c r="D3362" s="534"/>
      <c r="E3362" s="534"/>
      <c r="F3362" s="534"/>
      <c r="G3362" s="534"/>
      <c r="H3362" s="534"/>
      <c r="I3362" s="534"/>
      <c r="J3362" s="534"/>
      <c r="K3362" s="534"/>
      <c r="L3362" s="534"/>
      <c r="M3362" s="534"/>
      <c r="N3362" s="534"/>
      <c r="O3362" s="534"/>
      <c r="P3362" s="534"/>
      <c r="Q3362" s="534"/>
      <c r="R3362" s="534"/>
      <c r="S3362" s="534"/>
    </row>
    <row r="3363" spans="1:19" x14ac:dyDescent="0.3">
      <c r="B3363" s="374" t="s">
        <v>1166</v>
      </c>
      <c r="C3363" s="374" t="s">
        <v>1167</v>
      </c>
      <c r="D3363" s="374" t="s">
        <v>1168</v>
      </c>
      <c r="E3363" s="374" t="s">
        <v>1169</v>
      </c>
      <c r="F3363" s="374" t="s">
        <v>1125</v>
      </c>
      <c r="G3363" s="374" t="s">
        <v>1126</v>
      </c>
      <c r="H3363" s="374" t="s">
        <v>1127</v>
      </c>
      <c r="I3363" s="374" t="s">
        <v>1128</v>
      </c>
      <c r="J3363" s="374" t="s">
        <v>922</v>
      </c>
      <c r="K3363" s="374" t="s">
        <v>923</v>
      </c>
      <c r="L3363" s="374" t="s">
        <v>924</v>
      </c>
      <c r="M3363" s="374" t="s">
        <v>925</v>
      </c>
    </row>
    <row r="3364" spans="1:19" x14ac:dyDescent="0.3">
      <c r="A3364" t="s">
        <v>1781</v>
      </c>
      <c r="B3364" s="885">
        <f>Drivers!DZ91</f>
        <v>9</v>
      </c>
      <c r="C3364" s="885">
        <f>Drivers!EA91</f>
        <v>8</v>
      </c>
      <c r="D3364" s="885">
        <f>Drivers!EB91</f>
        <v>9</v>
      </c>
      <c r="E3364" s="885">
        <f>Drivers!EC91</f>
        <v>60</v>
      </c>
      <c r="F3364" s="885">
        <f>Drivers!EE91</f>
        <v>104</v>
      </c>
      <c r="G3364" s="885">
        <f>Drivers!EF91</f>
        <v>157</v>
      </c>
      <c r="H3364" s="885">
        <f>Drivers!EG91</f>
        <v>185</v>
      </c>
      <c r="I3364" s="885">
        <f>Drivers!EH91</f>
        <v>192</v>
      </c>
      <c r="J3364" s="885">
        <f>Drivers!EJ91</f>
        <v>211</v>
      </c>
      <c r="K3364" s="885">
        <f>Drivers!EK91</f>
        <v>281</v>
      </c>
      <c r="L3364" s="885">
        <f>Drivers!EL91</f>
        <v>351</v>
      </c>
      <c r="M3364" s="885">
        <f>Drivers!EM91</f>
        <v>381</v>
      </c>
    </row>
    <row r="3365" spans="1:19" x14ac:dyDescent="0.3">
      <c r="A3365" t="s">
        <v>1782</v>
      </c>
      <c r="B3365" s="885">
        <f>B3364</f>
        <v>9</v>
      </c>
      <c r="C3365" s="885">
        <f>B3365+C3364</f>
        <v>17</v>
      </c>
      <c r="D3365" s="885">
        <f t="shared" ref="D3365:M3365" si="1080">C3365+D3364</f>
        <v>26</v>
      </c>
      <c r="E3365" s="885">
        <f t="shared" si="1080"/>
        <v>86</v>
      </c>
      <c r="F3365" s="885">
        <f t="shared" si="1080"/>
        <v>190</v>
      </c>
      <c r="G3365" s="885">
        <f t="shared" si="1080"/>
        <v>347</v>
      </c>
      <c r="H3365" s="885">
        <f t="shared" si="1080"/>
        <v>532</v>
      </c>
      <c r="I3365" s="885">
        <f t="shared" si="1080"/>
        <v>724</v>
      </c>
      <c r="J3365" s="885">
        <f t="shared" si="1080"/>
        <v>935</v>
      </c>
      <c r="K3365" s="885">
        <f t="shared" si="1080"/>
        <v>1216</v>
      </c>
      <c r="L3365" s="885">
        <f t="shared" si="1080"/>
        <v>1567</v>
      </c>
      <c r="M3365" s="885">
        <f t="shared" si="1080"/>
        <v>1948</v>
      </c>
    </row>
    <row r="3367" spans="1:19" x14ac:dyDescent="0.3">
      <c r="A3367" s="63" t="s">
        <v>335</v>
      </c>
      <c r="B3367" s="899">
        <v>0</v>
      </c>
      <c r="C3367" s="1179">
        <f>B3370</f>
        <v>0.27</v>
      </c>
      <c r="D3367" s="1179">
        <f t="shared" ref="D3367:M3367" si="1081">C3370</f>
        <v>0.76663500000000007</v>
      </c>
      <c r="E3367" s="1179">
        <f t="shared" si="1081"/>
        <v>1.5086865675000003</v>
      </c>
      <c r="F3367" s="1179">
        <f t="shared" si="1081"/>
        <v>4.0140065824087499</v>
      </c>
      <c r="G3367" s="1179">
        <f t="shared" si="1081"/>
        <v>9.5153132565795175</v>
      </c>
      <c r="H3367" s="1179">
        <f t="shared" si="1081"/>
        <v>19.45430525037883</v>
      </c>
      <c r="I3367" s="1179">
        <f t="shared" si="1081"/>
        <v>34.451317140485081</v>
      </c>
      <c r="J3367" s="1179">
        <f t="shared" si="1081"/>
        <v>54.46597694203107</v>
      </c>
      <c r="K3367" s="1179">
        <f t="shared" si="1081"/>
        <v>79.819911083400541</v>
      </c>
      <c r="L3367" s="1179">
        <f t="shared" si="1081"/>
        <v>112.34882548477221</v>
      </c>
      <c r="M3367" s="1179">
        <f t="shared" si="1081"/>
        <v>153.79755862327599</v>
      </c>
    </row>
    <row r="3368" spans="1:19" x14ac:dyDescent="0.3">
      <c r="A3368" s="63" t="s">
        <v>336</v>
      </c>
      <c r="B3368" s="899">
        <f>B3365*B3373</f>
        <v>0.27</v>
      </c>
      <c r="C3368" s="899">
        <f t="shared" ref="C3368:M3368" si="1082">C3365*C3373</f>
        <v>0.51</v>
      </c>
      <c r="D3368" s="899">
        <f t="shared" si="1082"/>
        <v>0.78</v>
      </c>
      <c r="E3368" s="899">
        <f t="shared" si="1082"/>
        <v>2.58</v>
      </c>
      <c r="F3368" s="899">
        <f t="shared" si="1082"/>
        <v>5.7</v>
      </c>
      <c r="G3368" s="899">
        <f t="shared" si="1082"/>
        <v>10.41</v>
      </c>
      <c r="H3368" s="899">
        <f t="shared" si="1082"/>
        <v>15.959999999999999</v>
      </c>
      <c r="I3368" s="899">
        <f t="shared" si="1082"/>
        <v>21.72</v>
      </c>
      <c r="J3368" s="899">
        <f t="shared" si="1082"/>
        <v>28.05</v>
      </c>
      <c r="K3368" s="899">
        <f t="shared" si="1082"/>
        <v>36.479999999999997</v>
      </c>
      <c r="L3368" s="899">
        <f t="shared" si="1082"/>
        <v>47.01</v>
      </c>
      <c r="M3368" s="899">
        <f t="shared" si="1082"/>
        <v>58.44</v>
      </c>
    </row>
    <row r="3369" spans="1:19" x14ac:dyDescent="0.3">
      <c r="A3369" s="63" t="s">
        <v>337</v>
      </c>
      <c r="B3369" s="904">
        <f>-B3367*B3374*3</f>
        <v>0</v>
      </c>
      <c r="C3369" s="904">
        <f t="shared" ref="C3369:M3369" si="1083">-C3367*C3374*3</f>
        <v>-1.3365000000000002E-2</v>
      </c>
      <c r="D3369" s="904">
        <f t="shared" si="1083"/>
        <v>-3.7948432500000004E-2</v>
      </c>
      <c r="E3369" s="904">
        <f t="shared" si="1083"/>
        <v>-7.4679985091250012E-2</v>
      </c>
      <c r="F3369" s="904">
        <f t="shared" si="1083"/>
        <v>-0.19869332582923313</v>
      </c>
      <c r="G3369" s="904">
        <f t="shared" si="1083"/>
        <v>-0.47100800620068617</v>
      </c>
      <c r="H3369" s="904">
        <f t="shared" si="1083"/>
        <v>-0.96298810989375205</v>
      </c>
      <c r="I3369" s="904">
        <f t="shared" si="1083"/>
        <v>-1.7053401984540115</v>
      </c>
      <c r="J3369" s="904">
        <f t="shared" si="1083"/>
        <v>-2.6960658586305382</v>
      </c>
      <c r="K3369" s="904">
        <f t="shared" si="1083"/>
        <v>-3.9510855986283264</v>
      </c>
      <c r="L3369" s="904">
        <f t="shared" si="1083"/>
        <v>-5.5612668614962244</v>
      </c>
      <c r="M3369" s="904">
        <f t="shared" si="1083"/>
        <v>-7.6129791518521621</v>
      </c>
    </row>
    <row r="3370" spans="1:19" x14ac:dyDescent="0.3">
      <c r="A3370" s="64" t="s">
        <v>338</v>
      </c>
      <c r="B3370" s="905">
        <f>SUM(B3367:B3369)</f>
        <v>0.27</v>
      </c>
      <c r="C3370" s="905">
        <f>SUM(C3367:C3369)</f>
        <v>0.76663500000000007</v>
      </c>
      <c r="D3370" s="905">
        <f t="shared" ref="D3370:M3370" si="1084">SUM(D3367:D3369)</f>
        <v>1.5086865675000003</v>
      </c>
      <c r="E3370" s="905">
        <f t="shared" si="1084"/>
        <v>4.0140065824087499</v>
      </c>
      <c r="F3370" s="905">
        <f t="shared" si="1084"/>
        <v>9.5153132565795175</v>
      </c>
      <c r="G3370" s="905">
        <f t="shared" si="1084"/>
        <v>19.45430525037883</v>
      </c>
      <c r="H3370" s="905">
        <f t="shared" si="1084"/>
        <v>34.451317140485081</v>
      </c>
      <c r="I3370" s="905">
        <f t="shared" si="1084"/>
        <v>54.46597694203107</v>
      </c>
      <c r="J3370" s="905">
        <f t="shared" si="1084"/>
        <v>79.819911083400541</v>
      </c>
      <c r="K3370" s="905">
        <f t="shared" si="1084"/>
        <v>112.34882548477221</v>
      </c>
      <c r="L3370" s="905">
        <f t="shared" si="1084"/>
        <v>153.79755862327599</v>
      </c>
      <c r="M3370" s="905">
        <f t="shared" si="1084"/>
        <v>204.62457947142383</v>
      </c>
    </row>
    <row r="3371" spans="1:19" x14ac:dyDescent="0.3">
      <c r="A3371" s="61" t="s">
        <v>339</v>
      </c>
    </row>
    <row r="3372" spans="1:19" x14ac:dyDescent="0.3">
      <c r="A3372" s="65" t="s">
        <v>340</v>
      </c>
    </row>
    <row r="3373" spans="1:19" x14ac:dyDescent="0.3">
      <c r="A3373" s="65" t="s">
        <v>341</v>
      </c>
      <c r="B3373" s="948">
        <v>0.03</v>
      </c>
      <c r="C3373" s="948">
        <v>0.03</v>
      </c>
      <c r="D3373" s="948">
        <v>0.03</v>
      </c>
      <c r="E3373" s="948">
        <v>0.03</v>
      </c>
      <c r="F3373" s="948">
        <v>0.03</v>
      </c>
      <c r="G3373" s="948">
        <v>0.03</v>
      </c>
      <c r="H3373" s="948">
        <v>0.03</v>
      </c>
      <c r="I3373" s="948">
        <v>0.03</v>
      </c>
      <c r="J3373" s="948">
        <v>0.03</v>
      </c>
      <c r="K3373" s="948">
        <v>0.03</v>
      </c>
      <c r="L3373" s="948">
        <v>0.03</v>
      </c>
      <c r="M3373" s="948">
        <v>0.03</v>
      </c>
    </row>
    <row r="3374" spans="1:19" x14ac:dyDescent="0.3">
      <c r="A3374" s="65" t="s">
        <v>342</v>
      </c>
      <c r="B3374" s="948">
        <v>1.6500000000000001E-2</v>
      </c>
      <c r="C3374" s="948">
        <v>1.6500000000000001E-2</v>
      </c>
      <c r="D3374" s="948">
        <v>1.6500000000000001E-2</v>
      </c>
      <c r="E3374" s="948">
        <v>1.6500000000000001E-2</v>
      </c>
      <c r="F3374" s="948">
        <v>1.6500000000000001E-2</v>
      </c>
      <c r="G3374" s="948">
        <v>1.6500000000000001E-2</v>
      </c>
      <c r="H3374" s="948">
        <v>1.6500000000000001E-2</v>
      </c>
      <c r="I3374" s="948">
        <v>1.6500000000000001E-2</v>
      </c>
      <c r="J3374" s="948">
        <v>1.6500000000000001E-2</v>
      </c>
      <c r="K3374" s="948">
        <v>1.6500000000000001E-2</v>
      </c>
      <c r="L3374" s="948">
        <v>1.6500000000000001E-2</v>
      </c>
      <c r="M3374" s="948">
        <v>1.6500000000000001E-2</v>
      </c>
    </row>
    <row r="3375" spans="1:19" x14ac:dyDescent="0.3">
      <c r="A3375" s="65" t="s">
        <v>210</v>
      </c>
      <c r="B3375" s="898">
        <f>B3370/B3365</f>
        <v>3.0000000000000002E-2</v>
      </c>
      <c r="C3375" s="898">
        <f t="shared" ref="C3375:M3375" si="1085">C3370/C3365</f>
        <v>4.5096176470588237E-2</v>
      </c>
      <c r="D3375" s="898">
        <f t="shared" si="1085"/>
        <v>5.8026406442307707E-2</v>
      </c>
      <c r="E3375" s="898">
        <f t="shared" si="1085"/>
        <v>4.6674495144287786E-2</v>
      </c>
      <c r="F3375" s="898">
        <f t="shared" si="1085"/>
        <v>5.008059608726062E-2</v>
      </c>
      <c r="G3375" s="898">
        <f t="shared" si="1085"/>
        <v>5.6064280260457726E-2</v>
      </c>
      <c r="H3375" s="898">
        <f t="shared" si="1085"/>
        <v>6.4758114925723836E-2</v>
      </c>
      <c r="I3375" s="898">
        <f t="shared" si="1085"/>
        <v>7.522924991993242E-2</v>
      </c>
      <c r="J3375" s="898">
        <f t="shared" si="1085"/>
        <v>8.536888885925191E-2</v>
      </c>
      <c r="K3375" s="898">
        <f t="shared" si="1085"/>
        <v>9.2392126221029769E-2</v>
      </c>
      <c r="L3375" s="898">
        <f t="shared" si="1085"/>
        <v>9.8147771935721759E-2</v>
      </c>
      <c r="M3375" s="898">
        <f t="shared" si="1085"/>
        <v>0.10504341861982743</v>
      </c>
    </row>
    <row r="3377" spans="1:25" x14ac:dyDescent="0.3">
      <c r="A3377" s="68" t="s">
        <v>1783</v>
      </c>
      <c r="B3377" s="374" t="s">
        <v>1166</v>
      </c>
      <c r="C3377" s="374" t="s">
        <v>1167</v>
      </c>
      <c r="D3377" s="374" t="s">
        <v>1168</v>
      </c>
      <c r="E3377" s="374" t="s">
        <v>1169</v>
      </c>
      <c r="F3377" s="374" t="s">
        <v>1125</v>
      </c>
      <c r="G3377" s="374" t="s">
        <v>1126</v>
      </c>
      <c r="H3377" s="374" t="s">
        <v>1127</v>
      </c>
      <c r="I3377" s="374" t="s">
        <v>1128</v>
      </c>
      <c r="J3377" s="374" t="s">
        <v>922</v>
      </c>
      <c r="K3377" s="374" t="s">
        <v>923</v>
      </c>
      <c r="L3377" s="374" t="s">
        <v>924</v>
      </c>
      <c r="M3377" s="374" t="s">
        <v>925</v>
      </c>
      <c r="N3377" s="374" t="s">
        <v>883</v>
      </c>
      <c r="O3377" s="374" t="s">
        <v>884</v>
      </c>
      <c r="P3377" s="374" t="s">
        <v>885</v>
      </c>
      <c r="Q3377" s="374" t="s">
        <v>886</v>
      </c>
      <c r="R3377" s="374" t="s">
        <v>887</v>
      </c>
      <c r="S3377" s="374" t="s">
        <v>888</v>
      </c>
      <c r="T3377" s="374" t="s">
        <v>1027</v>
      </c>
      <c r="U3377" s="374" t="s">
        <v>1028</v>
      </c>
      <c r="V3377" s="374" t="s">
        <v>1047</v>
      </c>
      <c r="W3377" s="374" t="s">
        <v>1048</v>
      </c>
      <c r="X3377" s="374" t="s">
        <v>1049</v>
      </c>
      <c r="Y3377" s="374" t="s">
        <v>1050</v>
      </c>
    </row>
    <row r="3378" spans="1:25" x14ac:dyDescent="0.3">
      <c r="A3378" t="s">
        <v>1781</v>
      </c>
      <c r="B3378" s="885">
        <f>Drivers!DZ91</f>
        <v>9</v>
      </c>
      <c r="C3378" s="885">
        <f>Drivers!EA91</f>
        <v>8</v>
      </c>
      <c r="D3378" s="885">
        <f>Drivers!EB91</f>
        <v>9</v>
      </c>
      <c r="E3378" s="885">
        <f>Drivers!EC91</f>
        <v>60</v>
      </c>
      <c r="F3378" s="885">
        <v>0</v>
      </c>
      <c r="G3378" s="885">
        <v>0</v>
      </c>
      <c r="H3378" s="885">
        <v>0</v>
      </c>
      <c r="I3378" s="885">
        <v>0</v>
      </c>
      <c r="J3378" s="885">
        <v>0</v>
      </c>
      <c r="K3378" s="885">
        <v>0</v>
      </c>
      <c r="L3378" s="885">
        <v>0</v>
      </c>
      <c r="M3378" s="885">
        <v>0</v>
      </c>
      <c r="N3378" s="885">
        <v>0</v>
      </c>
      <c r="O3378" s="885">
        <v>0</v>
      </c>
      <c r="P3378" s="885">
        <v>0</v>
      </c>
      <c r="Q3378" s="885">
        <v>0</v>
      </c>
      <c r="R3378" s="885">
        <v>0</v>
      </c>
      <c r="S3378" s="885">
        <v>0</v>
      </c>
      <c r="T3378" s="885">
        <v>0</v>
      </c>
      <c r="U3378" s="885">
        <v>0</v>
      </c>
      <c r="V3378" s="885">
        <v>0</v>
      </c>
      <c r="W3378" s="885">
        <v>0</v>
      </c>
      <c r="X3378" s="885">
        <v>0</v>
      </c>
      <c r="Y3378" s="885">
        <v>0</v>
      </c>
    </row>
    <row r="3379" spans="1:25" x14ac:dyDescent="0.3">
      <c r="A3379" t="s">
        <v>1782</v>
      </c>
      <c r="B3379" s="885">
        <f>B3378</f>
        <v>9</v>
      </c>
      <c r="C3379" s="885">
        <f t="shared" ref="C3379:Y3379" si="1086">B3379+C3378</f>
        <v>17</v>
      </c>
      <c r="D3379" s="885">
        <f t="shared" si="1086"/>
        <v>26</v>
      </c>
      <c r="E3379" s="885">
        <f t="shared" si="1086"/>
        <v>86</v>
      </c>
      <c r="F3379" s="885">
        <f t="shared" si="1086"/>
        <v>86</v>
      </c>
      <c r="G3379" s="885">
        <f t="shared" si="1086"/>
        <v>86</v>
      </c>
      <c r="H3379" s="885">
        <f t="shared" si="1086"/>
        <v>86</v>
      </c>
      <c r="I3379" s="885">
        <f t="shared" si="1086"/>
        <v>86</v>
      </c>
      <c r="J3379" s="885">
        <f t="shared" si="1086"/>
        <v>86</v>
      </c>
      <c r="K3379" s="885">
        <f t="shared" si="1086"/>
        <v>86</v>
      </c>
      <c r="L3379" s="885">
        <f t="shared" si="1086"/>
        <v>86</v>
      </c>
      <c r="M3379" s="885">
        <f t="shared" si="1086"/>
        <v>86</v>
      </c>
      <c r="N3379" s="885">
        <f t="shared" si="1086"/>
        <v>86</v>
      </c>
      <c r="O3379" s="885">
        <f t="shared" si="1086"/>
        <v>86</v>
      </c>
      <c r="P3379" s="885">
        <f t="shared" si="1086"/>
        <v>86</v>
      </c>
      <c r="Q3379" s="885">
        <f t="shared" si="1086"/>
        <v>86</v>
      </c>
      <c r="R3379" s="885">
        <f t="shared" si="1086"/>
        <v>86</v>
      </c>
      <c r="S3379" s="885">
        <f t="shared" si="1086"/>
        <v>86</v>
      </c>
      <c r="T3379" s="885">
        <f t="shared" si="1086"/>
        <v>86</v>
      </c>
      <c r="U3379" s="885">
        <f t="shared" si="1086"/>
        <v>86</v>
      </c>
      <c r="V3379" s="885">
        <f t="shared" si="1086"/>
        <v>86</v>
      </c>
      <c r="W3379" s="885">
        <f t="shared" si="1086"/>
        <v>86</v>
      </c>
      <c r="X3379" s="885">
        <f t="shared" si="1086"/>
        <v>86</v>
      </c>
      <c r="Y3379" s="885">
        <f t="shared" si="1086"/>
        <v>86</v>
      </c>
    </row>
    <row r="3381" spans="1:25" x14ac:dyDescent="0.3">
      <c r="A3381" s="63" t="s">
        <v>335</v>
      </c>
      <c r="B3381" s="899">
        <v>0</v>
      </c>
      <c r="C3381" s="1179">
        <f>B3384</f>
        <v>0.27</v>
      </c>
      <c r="D3381" s="1179">
        <f>C3384</f>
        <v>0.76663500000000007</v>
      </c>
      <c r="E3381" s="1179">
        <f>D3384</f>
        <v>1.5086865675000003</v>
      </c>
      <c r="F3381" s="1179">
        <f t="shared" ref="F3381:M3381" si="1087">E3384</f>
        <v>4.0140065824087499</v>
      </c>
      <c r="G3381" s="1179">
        <f t="shared" si="1087"/>
        <v>6.3953132565795165</v>
      </c>
      <c r="H3381" s="1179">
        <f t="shared" si="1087"/>
        <v>8.6587452503788302</v>
      </c>
      <c r="I3381" s="1179">
        <f t="shared" si="1087"/>
        <v>10.810137360485077</v>
      </c>
      <c r="J3381" s="1179">
        <f t="shared" si="1087"/>
        <v>12.855035561141067</v>
      </c>
      <c r="K3381" s="1179">
        <f t="shared" si="1087"/>
        <v>14.798711300864584</v>
      </c>
      <c r="L3381" s="1179">
        <f t="shared" si="1087"/>
        <v>16.646175091471786</v>
      </c>
      <c r="M3381" s="1179">
        <f t="shared" si="1087"/>
        <v>18.402189424443936</v>
      </c>
      <c r="N3381" s="1179">
        <f t="shared" ref="N3381:Y3381" si="1088">M3384</f>
        <v>20.071281047933962</v>
      </c>
      <c r="O3381" s="1179">
        <f t="shared" si="1088"/>
        <v>21.657752636061232</v>
      </c>
      <c r="P3381" s="1179">
        <f t="shared" si="1088"/>
        <v>23.1656938805762</v>
      </c>
      <c r="Q3381" s="1179">
        <f t="shared" si="1088"/>
        <v>24.598992033487676</v>
      </c>
      <c r="R3381" s="1179">
        <f t="shared" si="1088"/>
        <v>25.961341927830034</v>
      </c>
      <c r="S3381" s="1179">
        <f t="shared" si="1088"/>
        <v>27.256255502402446</v>
      </c>
      <c r="T3381" s="1179">
        <f t="shared" si="1088"/>
        <v>28.487070855033522</v>
      </c>
      <c r="U3381" s="1179">
        <f t="shared" si="1088"/>
        <v>29.65696084770936</v>
      </c>
      <c r="V3381" s="1179">
        <f t="shared" si="1088"/>
        <v>30.768941285747747</v>
      </c>
      <c r="W3381" s="1179">
        <f t="shared" si="1088"/>
        <v>31.825878692103235</v>
      </c>
      <c r="X3381" s="1179">
        <f t="shared" si="1088"/>
        <v>32.830497696844127</v>
      </c>
      <c r="Y3381" s="1179">
        <f t="shared" si="1088"/>
        <v>33.785388060850337</v>
      </c>
    </row>
    <row r="3382" spans="1:25" x14ac:dyDescent="0.3">
      <c r="A3382" s="63" t="s">
        <v>336</v>
      </c>
      <c r="B3382" s="899">
        <f>B3379*B3387</f>
        <v>0.27</v>
      </c>
      <c r="C3382" s="899">
        <f t="shared" ref="C3382:M3382" si="1089">C3379*C3387</f>
        <v>0.51</v>
      </c>
      <c r="D3382" s="899">
        <f t="shared" si="1089"/>
        <v>0.78</v>
      </c>
      <c r="E3382" s="899">
        <f t="shared" si="1089"/>
        <v>2.58</v>
      </c>
      <c r="F3382" s="899">
        <f t="shared" si="1089"/>
        <v>2.58</v>
      </c>
      <c r="G3382" s="899">
        <f t="shared" si="1089"/>
        <v>2.58</v>
      </c>
      <c r="H3382" s="899">
        <f t="shared" si="1089"/>
        <v>2.58</v>
      </c>
      <c r="I3382" s="899">
        <f t="shared" si="1089"/>
        <v>2.58</v>
      </c>
      <c r="J3382" s="899">
        <f t="shared" si="1089"/>
        <v>2.58</v>
      </c>
      <c r="K3382" s="899">
        <f t="shared" si="1089"/>
        <v>2.58</v>
      </c>
      <c r="L3382" s="899">
        <f t="shared" si="1089"/>
        <v>2.58</v>
      </c>
      <c r="M3382" s="899">
        <f t="shared" si="1089"/>
        <v>2.58</v>
      </c>
      <c r="N3382" s="899">
        <f t="shared" ref="N3382:Y3382" si="1090">N3379*N3387</f>
        <v>2.58</v>
      </c>
      <c r="O3382" s="899">
        <f t="shared" si="1090"/>
        <v>2.58</v>
      </c>
      <c r="P3382" s="899">
        <f t="shared" si="1090"/>
        <v>2.58</v>
      </c>
      <c r="Q3382" s="899">
        <f t="shared" si="1090"/>
        <v>2.58</v>
      </c>
      <c r="R3382" s="899">
        <f t="shared" si="1090"/>
        <v>2.58</v>
      </c>
      <c r="S3382" s="899">
        <f t="shared" si="1090"/>
        <v>2.58</v>
      </c>
      <c r="T3382" s="899">
        <f t="shared" si="1090"/>
        <v>2.58</v>
      </c>
      <c r="U3382" s="899">
        <f t="shared" si="1090"/>
        <v>2.58</v>
      </c>
      <c r="V3382" s="899">
        <f t="shared" si="1090"/>
        <v>2.58</v>
      </c>
      <c r="W3382" s="899">
        <f t="shared" si="1090"/>
        <v>2.58</v>
      </c>
      <c r="X3382" s="899">
        <f t="shared" si="1090"/>
        <v>2.58</v>
      </c>
      <c r="Y3382" s="899">
        <f t="shared" si="1090"/>
        <v>2.58</v>
      </c>
    </row>
    <row r="3383" spans="1:25" x14ac:dyDescent="0.3">
      <c r="A3383" s="63" t="s">
        <v>337</v>
      </c>
      <c r="B3383" s="904">
        <f>-B3381*B3388*3</f>
        <v>0</v>
      </c>
      <c r="C3383" s="904">
        <f t="shared" ref="C3383:M3383" si="1091">-C3381*C3388*3</f>
        <v>-1.3365000000000002E-2</v>
      </c>
      <c r="D3383" s="904">
        <f t="shared" si="1091"/>
        <v>-3.7948432500000004E-2</v>
      </c>
      <c r="E3383" s="904">
        <f t="shared" si="1091"/>
        <v>-7.4679985091250012E-2</v>
      </c>
      <c r="F3383" s="904">
        <f t="shared" si="1091"/>
        <v>-0.19869332582923313</v>
      </c>
      <c r="G3383" s="904">
        <f t="shared" si="1091"/>
        <v>-0.31656800620068609</v>
      </c>
      <c r="H3383" s="904">
        <f t="shared" si="1091"/>
        <v>-0.42860788989375209</v>
      </c>
      <c r="I3383" s="904">
        <f t="shared" si="1091"/>
        <v>-0.53510179934401136</v>
      </c>
      <c r="J3383" s="904">
        <f t="shared" si="1091"/>
        <v>-0.63632426027648281</v>
      </c>
      <c r="K3383" s="904">
        <f t="shared" si="1091"/>
        <v>-0.73253620939279696</v>
      </c>
      <c r="L3383" s="904">
        <f t="shared" si="1091"/>
        <v>-0.82398566702785359</v>
      </c>
      <c r="M3383" s="904">
        <f t="shared" si="1091"/>
        <v>-0.91090837650997492</v>
      </c>
      <c r="N3383" s="904">
        <f t="shared" ref="N3383:Y3383" si="1092">-N3381*N3388*3</f>
        <v>-0.99352841187273122</v>
      </c>
      <c r="O3383" s="904">
        <f t="shared" si="1092"/>
        <v>-1.0720587554850309</v>
      </c>
      <c r="P3383" s="904">
        <f t="shared" si="1092"/>
        <v>-1.146701847088522</v>
      </c>
      <c r="Q3383" s="904">
        <f t="shared" si="1092"/>
        <v>-1.2176501056576399</v>
      </c>
      <c r="R3383" s="904">
        <f t="shared" si="1092"/>
        <v>-1.2850864254275867</v>
      </c>
      <c r="S3383" s="904">
        <f t="shared" si="1092"/>
        <v>-1.3491846473689213</v>
      </c>
      <c r="T3383" s="904">
        <f t="shared" si="1092"/>
        <v>-1.4101100073241595</v>
      </c>
      <c r="U3383" s="904">
        <f t="shared" si="1092"/>
        <v>-1.4680195619616134</v>
      </c>
      <c r="V3383" s="904">
        <f t="shared" si="1092"/>
        <v>-1.5230625936445137</v>
      </c>
      <c r="W3383" s="904">
        <f t="shared" si="1092"/>
        <v>-1.5753809952591102</v>
      </c>
      <c r="X3383" s="904">
        <f t="shared" si="1092"/>
        <v>-1.6251096359937844</v>
      </c>
      <c r="Y3383" s="904">
        <f t="shared" si="1092"/>
        <v>-1.6723767090120916</v>
      </c>
    </row>
    <row r="3384" spans="1:25" x14ac:dyDescent="0.3">
      <c r="A3384" s="64" t="s">
        <v>338</v>
      </c>
      <c r="B3384" s="905">
        <f t="shared" ref="B3384:Y3384" si="1093">SUM(B3381:B3383)</f>
        <v>0.27</v>
      </c>
      <c r="C3384" s="905">
        <f t="shared" si="1093"/>
        <v>0.76663500000000007</v>
      </c>
      <c r="D3384" s="905">
        <f t="shared" si="1093"/>
        <v>1.5086865675000003</v>
      </c>
      <c r="E3384" s="905">
        <f t="shared" si="1093"/>
        <v>4.0140065824087499</v>
      </c>
      <c r="F3384" s="905">
        <f t="shared" si="1093"/>
        <v>6.3953132565795165</v>
      </c>
      <c r="G3384" s="905">
        <f t="shared" si="1093"/>
        <v>8.6587452503788302</v>
      </c>
      <c r="H3384" s="905">
        <f t="shared" si="1093"/>
        <v>10.810137360485077</v>
      </c>
      <c r="I3384" s="905">
        <f t="shared" si="1093"/>
        <v>12.855035561141067</v>
      </c>
      <c r="J3384" s="905">
        <f t="shared" si="1093"/>
        <v>14.798711300864584</v>
      </c>
      <c r="K3384" s="905">
        <f t="shared" si="1093"/>
        <v>16.646175091471786</v>
      </c>
      <c r="L3384" s="905">
        <f t="shared" si="1093"/>
        <v>18.402189424443936</v>
      </c>
      <c r="M3384" s="905">
        <f t="shared" si="1093"/>
        <v>20.071281047933962</v>
      </c>
      <c r="N3384" s="905">
        <f t="shared" si="1093"/>
        <v>21.657752636061232</v>
      </c>
      <c r="O3384" s="905">
        <f t="shared" si="1093"/>
        <v>23.1656938805762</v>
      </c>
      <c r="P3384" s="905">
        <f t="shared" si="1093"/>
        <v>24.598992033487676</v>
      </c>
      <c r="Q3384" s="905">
        <f t="shared" si="1093"/>
        <v>25.961341927830034</v>
      </c>
      <c r="R3384" s="905">
        <f t="shared" si="1093"/>
        <v>27.256255502402446</v>
      </c>
      <c r="S3384" s="905">
        <f t="shared" si="1093"/>
        <v>28.487070855033522</v>
      </c>
      <c r="T3384" s="905">
        <f t="shared" si="1093"/>
        <v>29.65696084770936</v>
      </c>
      <c r="U3384" s="905">
        <f t="shared" si="1093"/>
        <v>30.768941285747747</v>
      </c>
      <c r="V3384" s="905">
        <f t="shared" si="1093"/>
        <v>31.825878692103235</v>
      </c>
      <c r="W3384" s="905">
        <f t="shared" si="1093"/>
        <v>32.830497696844127</v>
      </c>
      <c r="X3384" s="905">
        <f t="shared" si="1093"/>
        <v>33.785388060850337</v>
      </c>
      <c r="Y3384" s="905">
        <f t="shared" si="1093"/>
        <v>34.693011351838244</v>
      </c>
    </row>
    <row r="3385" spans="1:25" x14ac:dyDescent="0.3">
      <c r="A3385" s="61" t="s">
        <v>339</v>
      </c>
    </row>
    <row r="3386" spans="1:25" x14ac:dyDescent="0.3">
      <c r="A3386" s="65" t="s">
        <v>340</v>
      </c>
    </row>
    <row r="3387" spans="1:25" x14ac:dyDescent="0.3">
      <c r="A3387" s="65" t="s">
        <v>341</v>
      </c>
      <c r="B3387" s="948">
        <v>0.03</v>
      </c>
      <c r="C3387" s="948">
        <v>0.03</v>
      </c>
      <c r="D3387" s="948">
        <v>0.03</v>
      </c>
      <c r="E3387" s="948">
        <v>0.03</v>
      </c>
      <c r="F3387" s="948">
        <v>0.03</v>
      </c>
      <c r="G3387" s="948">
        <v>0.03</v>
      </c>
      <c r="H3387" s="948">
        <v>0.03</v>
      </c>
      <c r="I3387" s="948">
        <v>0.03</v>
      </c>
      <c r="J3387" s="948">
        <v>0.03</v>
      </c>
      <c r="K3387" s="948">
        <v>0.03</v>
      </c>
      <c r="L3387" s="948">
        <v>0.03</v>
      </c>
      <c r="M3387" s="948">
        <v>0.03</v>
      </c>
      <c r="N3387" s="948">
        <v>0.03</v>
      </c>
      <c r="O3387" s="948">
        <v>0.03</v>
      </c>
      <c r="P3387" s="948">
        <v>0.03</v>
      </c>
      <c r="Q3387" s="948">
        <v>0.03</v>
      </c>
      <c r="R3387" s="948">
        <v>0.03</v>
      </c>
      <c r="S3387" s="948">
        <v>0.03</v>
      </c>
      <c r="T3387" s="948">
        <v>0.03</v>
      </c>
      <c r="U3387" s="948">
        <v>0.03</v>
      </c>
      <c r="V3387" s="948">
        <v>0.03</v>
      </c>
      <c r="W3387" s="948">
        <v>0.03</v>
      </c>
      <c r="X3387" s="948">
        <v>0.03</v>
      </c>
      <c r="Y3387" s="948">
        <v>0.03</v>
      </c>
    </row>
    <row r="3388" spans="1:25" x14ac:dyDescent="0.3">
      <c r="A3388" s="65" t="s">
        <v>342</v>
      </c>
      <c r="B3388" s="948">
        <v>1.6500000000000001E-2</v>
      </c>
      <c r="C3388" s="948">
        <v>1.6500000000000001E-2</v>
      </c>
      <c r="D3388" s="948">
        <v>1.6500000000000001E-2</v>
      </c>
      <c r="E3388" s="948">
        <v>1.6500000000000001E-2</v>
      </c>
      <c r="F3388" s="948">
        <v>1.6500000000000001E-2</v>
      </c>
      <c r="G3388" s="948">
        <v>1.6500000000000001E-2</v>
      </c>
      <c r="H3388" s="948">
        <v>1.6500000000000001E-2</v>
      </c>
      <c r="I3388" s="948">
        <v>1.6500000000000001E-2</v>
      </c>
      <c r="J3388" s="948">
        <v>1.6500000000000001E-2</v>
      </c>
      <c r="K3388" s="948">
        <v>1.6500000000000001E-2</v>
      </c>
      <c r="L3388" s="948">
        <v>1.6500000000000001E-2</v>
      </c>
      <c r="M3388" s="948">
        <v>1.6500000000000001E-2</v>
      </c>
      <c r="N3388" s="948">
        <v>1.6500000000000001E-2</v>
      </c>
      <c r="O3388" s="948">
        <v>1.6500000000000001E-2</v>
      </c>
      <c r="P3388" s="948">
        <v>1.6500000000000001E-2</v>
      </c>
      <c r="Q3388" s="948">
        <v>1.6500000000000001E-2</v>
      </c>
      <c r="R3388" s="948">
        <v>1.6500000000000001E-2</v>
      </c>
      <c r="S3388" s="948">
        <v>1.6500000000000001E-2</v>
      </c>
      <c r="T3388" s="948">
        <v>1.6500000000000001E-2</v>
      </c>
      <c r="U3388" s="948">
        <v>1.6500000000000001E-2</v>
      </c>
      <c r="V3388" s="948">
        <v>1.6500000000000001E-2</v>
      </c>
      <c r="W3388" s="948">
        <v>1.6500000000000001E-2</v>
      </c>
      <c r="X3388" s="948">
        <v>1.6500000000000001E-2</v>
      </c>
      <c r="Y3388" s="948">
        <v>1.6500000000000001E-2</v>
      </c>
    </row>
    <row r="3389" spans="1:25" x14ac:dyDescent="0.3">
      <c r="A3389" s="65" t="s">
        <v>210</v>
      </c>
      <c r="B3389" s="898">
        <f>B3384/B3379</f>
        <v>3.0000000000000002E-2</v>
      </c>
      <c r="C3389" s="898">
        <f t="shared" ref="C3389:M3389" si="1094">C3384/C3379</f>
        <v>4.5096176470588237E-2</v>
      </c>
      <c r="D3389" s="898">
        <f t="shared" si="1094"/>
        <v>5.8026406442307707E-2</v>
      </c>
      <c r="E3389" s="898">
        <f t="shared" si="1094"/>
        <v>4.6674495144287786E-2</v>
      </c>
      <c r="F3389" s="898">
        <f t="shared" si="1094"/>
        <v>7.4364107634645543E-2</v>
      </c>
      <c r="G3389" s="898">
        <f t="shared" si="1094"/>
        <v>0.10068308430673058</v>
      </c>
      <c r="H3389" s="898">
        <f t="shared" si="1094"/>
        <v>0.12569927163354741</v>
      </c>
      <c r="I3389" s="898">
        <f t="shared" si="1094"/>
        <v>0.14947715768768682</v>
      </c>
      <c r="J3389" s="898">
        <f t="shared" si="1094"/>
        <v>0.17207803838214633</v>
      </c>
      <c r="K3389" s="898">
        <f t="shared" si="1094"/>
        <v>0.19356017548223006</v>
      </c>
      <c r="L3389" s="898">
        <f t="shared" si="1094"/>
        <v>0.21397894679585971</v>
      </c>
      <c r="M3389" s="898">
        <f t="shared" si="1094"/>
        <v>0.23338698892946466</v>
      </c>
      <c r="N3389" s="898">
        <f t="shared" ref="N3389:Y3389" si="1095">N3384/N3379</f>
        <v>0.25183433297745617</v>
      </c>
      <c r="O3389" s="898">
        <f t="shared" si="1095"/>
        <v>0.26936853349507212</v>
      </c>
      <c r="P3389" s="898">
        <f t="shared" si="1095"/>
        <v>0.28603479108706598</v>
      </c>
      <c r="Q3389" s="898">
        <f t="shared" si="1095"/>
        <v>0.30187606892825619</v>
      </c>
      <c r="R3389" s="898">
        <f t="shared" si="1095"/>
        <v>0.31693320351630749</v>
      </c>
      <c r="S3389" s="898">
        <f t="shared" si="1095"/>
        <v>0.33124500994225026</v>
      </c>
      <c r="T3389" s="898">
        <f t="shared" si="1095"/>
        <v>0.34484838195010886</v>
      </c>
      <c r="U3389" s="898">
        <f t="shared" si="1095"/>
        <v>0.35777838704357845</v>
      </c>
      <c r="V3389" s="898">
        <f t="shared" si="1095"/>
        <v>0.37006835688492135</v>
      </c>
      <c r="W3389" s="898">
        <f t="shared" si="1095"/>
        <v>0.38174997321911774</v>
      </c>
      <c r="X3389" s="898">
        <f t="shared" si="1095"/>
        <v>0.39285334954477136</v>
      </c>
      <c r="Y3389" s="898">
        <f t="shared" si="1095"/>
        <v>0.40340710874230518</v>
      </c>
    </row>
    <row r="3392" spans="1:25" x14ac:dyDescent="0.3">
      <c r="A3392" s="68" t="s">
        <v>1784</v>
      </c>
      <c r="B3392" s="374" t="s">
        <v>1125</v>
      </c>
      <c r="C3392" s="374" t="s">
        <v>1126</v>
      </c>
      <c r="D3392" s="374" t="s">
        <v>1127</v>
      </c>
      <c r="E3392" s="374" t="s">
        <v>1128</v>
      </c>
      <c r="F3392" s="374" t="s">
        <v>922</v>
      </c>
      <c r="G3392" s="374" t="s">
        <v>923</v>
      </c>
      <c r="H3392" s="374" t="s">
        <v>924</v>
      </c>
      <c r="I3392" s="374" t="s">
        <v>925</v>
      </c>
      <c r="J3392" s="374" t="s">
        <v>883</v>
      </c>
      <c r="K3392" s="374" t="s">
        <v>884</v>
      </c>
      <c r="L3392" s="374" t="s">
        <v>885</v>
      </c>
      <c r="M3392" s="374" t="s">
        <v>886</v>
      </c>
      <c r="N3392" s="374" t="s">
        <v>887</v>
      </c>
      <c r="O3392" s="374" t="s">
        <v>888</v>
      </c>
      <c r="P3392" s="374" t="s">
        <v>1027</v>
      </c>
      <c r="Q3392" s="374" t="s">
        <v>1028</v>
      </c>
      <c r="R3392" s="374" t="s">
        <v>1047</v>
      </c>
      <c r="S3392" s="374" t="s">
        <v>1048</v>
      </c>
      <c r="T3392" s="374" t="s">
        <v>1049</v>
      </c>
      <c r="U3392" s="374" t="s">
        <v>1050</v>
      </c>
    </row>
    <row r="3393" spans="1:21" x14ac:dyDescent="0.3">
      <c r="A3393" t="s">
        <v>1781</v>
      </c>
      <c r="B3393" s="76">
        <f>Drivers!EE91</f>
        <v>104</v>
      </c>
      <c r="C3393" s="76">
        <f>Drivers!EF91</f>
        <v>157</v>
      </c>
      <c r="D3393" s="76">
        <f>Drivers!EG91</f>
        <v>185</v>
      </c>
      <c r="E3393" s="76">
        <f>Drivers!EH91</f>
        <v>192</v>
      </c>
      <c r="F3393" s="885">
        <v>0</v>
      </c>
      <c r="G3393" s="885">
        <v>0</v>
      </c>
      <c r="H3393" s="885">
        <v>0</v>
      </c>
      <c r="I3393" s="885">
        <v>0</v>
      </c>
      <c r="J3393" s="885">
        <v>0</v>
      </c>
      <c r="K3393" s="885">
        <v>0</v>
      </c>
      <c r="L3393" s="885">
        <v>0</v>
      </c>
      <c r="M3393" s="885">
        <v>0</v>
      </c>
      <c r="N3393" s="885">
        <v>0</v>
      </c>
      <c r="O3393" s="885">
        <v>0</v>
      </c>
      <c r="P3393" s="885">
        <v>0</v>
      </c>
      <c r="Q3393" s="885">
        <v>0</v>
      </c>
      <c r="R3393" s="885">
        <v>0</v>
      </c>
      <c r="S3393" s="885">
        <v>0</v>
      </c>
      <c r="T3393" s="885">
        <v>0</v>
      </c>
      <c r="U3393" s="885">
        <v>0</v>
      </c>
    </row>
    <row r="3394" spans="1:21" x14ac:dyDescent="0.3">
      <c r="A3394" t="s">
        <v>1782</v>
      </c>
      <c r="B3394" s="885">
        <f>B3393</f>
        <v>104</v>
      </c>
      <c r="C3394" s="885">
        <f t="shared" ref="C3394:U3394" si="1096">B3394+C3393</f>
        <v>261</v>
      </c>
      <c r="D3394" s="885">
        <f t="shared" si="1096"/>
        <v>446</v>
      </c>
      <c r="E3394" s="885">
        <f t="shared" si="1096"/>
        <v>638</v>
      </c>
      <c r="F3394" s="885">
        <f t="shared" si="1096"/>
        <v>638</v>
      </c>
      <c r="G3394" s="885">
        <f t="shared" si="1096"/>
        <v>638</v>
      </c>
      <c r="H3394" s="885">
        <f t="shared" si="1096"/>
        <v>638</v>
      </c>
      <c r="I3394" s="885">
        <f t="shared" si="1096"/>
        <v>638</v>
      </c>
      <c r="J3394" s="885">
        <f t="shared" si="1096"/>
        <v>638</v>
      </c>
      <c r="K3394" s="885">
        <f t="shared" si="1096"/>
        <v>638</v>
      </c>
      <c r="L3394" s="885">
        <f t="shared" si="1096"/>
        <v>638</v>
      </c>
      <c r="M3394" s="885">
        <f t="shared" si="1096"/>
        <v>638</v>
      </c>
      <c r="N3394" s="885">
        <f t="shared" si="1096"/>
        <v>638</v>
      </c>
      <c r="O3394" s="885">
        <f t="shared" si="1096"/>
        <v>638</v>
      </c>
      <c r="P3394" s="885">
        <f t="shared" si="1096"/>
        <v>638</v>
      </c>
      <c r="Q3394" s="885">
        <f t="shared" si="1096"/>
        <v>638</v>
      </c>
      <c r="R3394" s="885">
        <f t="shared" si="1096"/>
        <v>638</v>
      </c>
      <c r="S3394" s="885">
        <f t="shared" si="1096"/>
        <v>638</v>
      </c>
      <c r="T3394" s="885">
        <f t="shared" si="1096"/>
        <v>638</v>
      </c>
      <c r="U3394" s="885">
        <f t="shared" si="1096"/>
        <v>638</v>
      </c>
    </row>
    <row r="3396" spans="1:21" x14ac:dyDescent="0.3">
      <c r="A3396" s="63" t="s">
        <v>335</v>
      </c>
      <c r="B3396" s="899">
        <v>0</v>
      </c>
      <c r="C3396" s="1179">
        <f t="shared" ref="C3396:I3396" si="1097">B3399</f>
        <v>3.12</v>
      </c>
      <c r="D3396" s="1179">
        <f t="shared" si="1097"/>
        <v>10.79556</v>
      </c>
      <c r="E3396" s="1179">
        <f t="shared" si="1097"/>
        <v>23.641179779999998</v>
      </c>
      <c r="F3396" s="1179">
        <f t="shared" si="1097"/>
        <v>41.610941380890004</v>
      </c>
      <c r="G3396" s="1179">
        <f t="shared" si="1097"/>
        <v>58.691199782535946</v>
      </c>
      <c r="H3396" s="1179">
        <f t="shared" si="1097"/>
        <v>74.925985393300422</v>
      </c>
      <c r="I3396" s="1179">
        <f t="shared" si="1097"/>
        <v>90.357149116332053</v>
      </c>
      <c r="J3396" s="1179">
        <f t="shared" ref="J3396:U3396" si="1098">I3399</f>
        <v>105.02447023507362</v>
      </c>
      <c r="K3396" s="1179">
        <f t="shared" si="1098"/>
        <v>118.96575895843748</v>
      </c>
      <c r="L3396" s="1179">
        <f t="shared" si="1098"/>
        <v>132.21695388999484</v>
      </c>
      <c r="M3396" s="1179">
        <f t="shared" si="1098"/>
        <v>144.81221467244009</v>
      </c>
      <c r="N3396" s="1179">
        <f t="shared" si="1098"/>
        <v>156.78401004615432</v>
      </c>
      <c r="O3396" s="1179">
        <f t="shared" si="1098"/>
        <v>168.16320154886967</v>
      </c>
      <c r="P3396" s="1179">
        <f t="shared" si="1098"/>
        <v>178.97912307220059</v>
      </c>
      <c r="Q3396" s="1179">
        <f t="shared" si="1098"/>
        <v>189.25965648012664</v>
      </c>
      <c r="R3396" s="1179">
        <f t="shared" si="1098"/>
        <v>199.03130348436036</v>
      </c>
      <c r="S3396" s="1179">
        <f t="shared" si="1098"/>
        <v>208.3192539618845</v>
      </c>
      <c r="T3396" s="1179">
        <f t="shared" si="1098"/>
        <v>217.14745089077121</v>
      </c>
      <c r="U3396" s="1179">
        <f t="shared" si="1098"/>
        <v>225.53865207167803</v>
      </c>
    </row>
    <row r="3397" spans="1:21" x14ac:dyDescent="0.3">
      <c r="A3397" s="63" t="s">
        <v>336</v>
      </c>
      <c r="B3397" s="899">
        <f>B3394*B3402</f>
        <v>3.12</v>
      </c>
      <c r="C3397" s="899">
        <f t="shared" ref="C3397:I3397" si="1099">C3394*C3402</f>
        <v>7.83</v>
      </c>
      <c r="D3397" s="899">
        <f t="shared" si="1099"/>
        <v>13.379999999999999</v>
      </c>
      <c r="E3397" s="899">
        <f t="shared" si="1099"/>
        <v>19.14</v>
      </c>
      <c r="F3397" s="899">
        <f t="shared" si="1099"/>
        <v>19.14</v>
      </c>
      <c r="G3397" s="899">
        <f t="shared" si="1099"/>
        <v>19.14</v>
      </c>
      <c r="H3397" s="899">
        <f t="shared" si="1099"/>
        <v>19.14</v>
      </c>
      <c r="I3397" s="899">
        <f t="shared" si="1099"/>
        <v>19.14</v>
      </c>
      <c r="J3397" s="899">
        <f t="shared" ref="J3397:U3397" si="1100">J3394*J3402</f>
        <v>19.14</v>
      </c>
      <c r="K3397" s="899">
        <f t="shared" si="1100"/>
        <v>19.14</v>
      </c>
      <c r="L3397" s="899">
        <f t="shared" si="1100"/>
        <v>19.14</v>
      </c>
      <c r="M3397" s="899">
        <f t="shared" si="1100"/>
        <v>19.14</v>
      </c>
      <c r="N3397" s="899">
        <f t="shared" si="1100"/>
        <v>19.14</v>
      </c>
      <c r="O3397" s="899">
        <f t="shared" si="1100"/>
        <v>19.14</v>
      </c>
      <c r="P3397" s="899">
        <f t="shared" si="1100"/>
        <v>19.14</v>
      </c>
      <c r="Q3397" s="899">
        <f t="shared" si="1100"/>
        <v>19.14</v>
      </c>
      <c r="R3397" s="899">
        <f t="shared" si="1100"/>
        <v>19.14</v>
      </c>
      <c r="S3397" s="899">
        <f t="shared" si="1100"/>
        <v>19.14</v>
      </c>
      <c r="T3397" s="899">
        <f t="shared" si="1100"/>
        <v>19.14</v>
      </c>
      <c r="U3397" s="899">
        <f t="shared" si="1100"/>
        <v>19.14</v>
      </c>
    </row>
    <row r="3398" spans="1:21" x14ac:dyDescent="0.3">
      <c r="A3398" s="63" t="s">
        <v>337</v>
      </c>
      <c r="B3398" s="904">
        <f>-B3396*B3403*3</f>
        <v>0</v>
      </c>
      <c r="C3398" s="904">
        <f t="shared" ref="C3398:I3398" si="1101">-C3396*C3403*3</f>
        <v>-0.15444000000000002</v>
      </c>
      <c r="D3398" s="904">
        <f t="shared" si="1101"/>
        <v>-0.53438022000000007</v>
      </c>
      <c r="E3398" s="904">
        <f t="shared" si="1101"/>
        <v>-1.1702383991099998</v>
      </c>
      <c r="F3398" s="904">
        <f t="shared" si="1101"/>
        <v>-2.0597415983540555</v>
      </c>
      <c r="G3398" s="904">
        <f t="shared" si="1101"/>
        <v>-2.9052143892355295</v>
      </c>
      <c r="H3398" s="904">
        <f t="shared" si="1101"/>
        <v>-3.7088362769683711</v>
      </c>
      <c r="I3398" s="904">
        <f t="shared" si="1101"/>
        <v>-4.472678881258437</v>
      </c>
      <c r="J3398" s="904">
        <f t="shared" ref="J3398:U3398" si="1102">-J3396*J3403*3</f>
        <v>-5.1987112766361445</v>
      </c>
      <c r="K3398" s="904">
        <f t="shared" si="1102"/>
        <v>-5.8888050684426556</v>
      </c>
      <c r="L3398" s="904">
        <f t="shared" si="1102"/>
        <v>-6.5447392175547439</v>
      </c>
      <c r="M3398" s="904">
        <f t="shared" si="1102"/>
        <v>-7.1682046262857844</v>
      </c>
      <c r="N3398" s="904">
        <f t="shared" si="1102"/>
        <v>-7.7608084972846392</v>
      </c>
      <c r="O3398" s="904">
        <f t="shared" si="1102"/>
        <v>-8.3240784766690474</v>
      </c>
      <c r="P3398" s="904">
        <f t="shared" si="1102"/>
        <v>-8.8594665920739288</v>
      </c>
      <c r="Q3398" s="904">
        <f t="shared" si="1102"/>
        <v>-9.3683529957662692</v>
      </c>
      <c r="R3398" s="904">
        <f t="shared" si="1102"/>
        <v>-9.8520495224758378</v>
      </c>
      <c r="S3398" s="904">
        <f t="shared" si="1102"/>
        <v>-10.311803071113284</v>
      </c>
      <c r="T3398" s="904">
        <f t="shared" si="1102"/>
        <v>-10.748798819093174</v>
      </c>
      <c r="U3398" s="904">
        <f t="shared" si="1102"/>
        <v>-11.164163277548063</v>
      </c>
    </row>
    <row r="3399" spans="1:21" x14ac:dyDescent="0.3">
      <c r="A3399" s="64" t="s">
        <v>338</v>
      </c>
      <c r="B3399" s="905">
        <f t="shared" ref="B3399:U3399" si="1103">SUM(B3396:B3398)</f>
        <v>3.12</v>
      </c>
      <c r="C3399" s="905">
        <f t="shared" si="1103"/>
        <v>10.79556</v>
      </c>
      <c r="D3399" s="905">
        <f t="shared" si="1103"/>
        <v>23.641179779999998</v>
      </c>
      <c r="E3399" s="905">
        <f t="shared" si="1103"/>
        <v>41.610941380890004</v>
      </c>
      <c r="F3399" s="905">
        <f t="shared" si="1103"/>
        <v>58.691199782535946</v>
      </c>
      <c r="G3399" s="905">
        <f t="shared" si="1103"/>
        <v>74.925985393300422</v>
      </c>
      <c r="H3399" s="905">
        <f t="shared" si="1103"/>
        <v>90.357149116332053</v>
      </c>
      <c r="I3399" s="905">
        <f t="shared" si="1103"/>
        <v>105.02447023507362</v>
      </c>
      <c r="J3399" s="905">
        <f t="shared" si="1103"/>
        <v>118.96575895843748</v>
      </c>
      <c r="K3399" s="905">
        <f t="shared" si="1103"/>
        <v>132.21695388999484</v>
      </c>
      <c r="L3399" s="905">
        <f t="shared" si="1103"/>
        <v>144.81221467244009</v>
      </c>
      <c r="M3399" s="905">
        <f t="shared" si="1103"/>
        <v>156.78401004615432</v>
      </c>
      <c r="N3399" s="905">
        <f t="shared" si="1103"/>
        <v>168.16320154886967</v>
      </c>
      <c r="O3399" s="905">
        <f t="shared" si="1103"/>
        <v>178.97912307220059</v>
      </c>
      <c r="P3399" s="905">
        <f t="shared" si="1103"/>
        <v>189.25965648012664</v>
      </c>
      <c r="Q3399" s="905">
        <f t="shared" si="1103"/>
        <v>199.03130348436036</v>
      </c>
      <c r="R3399" s="905">
        <f t="shared" si="1103"/>
        <v>208.3192539618845</v>
      </c>
      <c r="S3399" s="905">
        <f t="shared" si="1103"/>
        <v>217.14745089077121</v>
      </c>
      <c r="T3399" s="905">
        <f t="shared" si="1103"/>
        <v>225.53865207167803</v>
      </c>
      <c r="U3399" s="905">
        <f t="shared" si="1103"/>
        <v>233.51448879412996</v>
      </c>
    </row>
    <row r="3400" spans="1:21" x14ac:dyDescent="0.3">
      <c r="A3400" s="61" t="s">
        <v>339</v>
      </c>
    </row>
    <row r="3401" spans="1:21" x14ac:dyDescent="0.3">
      <c r="A3401" s="65" t="s">
        <v>340</v>
      </c>
    </row>
    <row r="3402" spans="1:21" x14ac:dyDescent="0.3">
      <c r="A3402" s="65" t="s">
        <v>341</v>
      </c>
      <c r="B3402" s="948">
        <v>0.03</v>
      </c>
      <c r="C3402" s="948">
        <v>0.03</v>
      </c>
      <c r="D3402" s="948">
        <v>0.03</v>
      </c>
      <c r="E3402" s="948">
        <v>0.03</v>
      </c>
      <c r="F3402" s="948">
        <v>0.03</v>
      </c>
      <c r="G3402" s="948">
        <v>0.03</v>
      </c>
      <c r="H3402" s="948">
        <v>0.03</v>
      </c>
      <c r="I3402" s="948">
        <v>0.03</v>
      </c>
      <c r="J3402" s="948">
        <v>0.03</v>
      </c>
      <c r="K3402" s="948">
        <v>0.03</v>
      </c>
      <c r="L3402" s="948">
        <v>0.03</v>
      </c>
      <c r="M3402" s="948">
        <v>0.03</v>
      </c>
      <c r="N3402" s="948">
        <v>0.03</v>
      </c>
      <c r="O3402" s="948">
        <v>0.03</v>
      </c>
      <c r="P3402" s="948">
        <v>0.03</v>
      </c>
      <c r="Q3402" s="948">
        <v>0.03</v>
      </c>
      <c r="R3402" s="948">
        <v>0.03</v>
      </c>
      <c r="S3402" s="948">
        <v>0.03</v>
      </c>
      <c r="T3402" s="948">
        <v>0.03</v>
      </c>
      <c r="U3402" s="948">
        <v>0.03</v>
      </c>
    </row>
    <row r="3403" spans="1:21" x14ac:dyDescent="0.3">
      <c r="A3403" s="65" t="s">
        <v>342</v>
      </c>
      <c r="B3403" s="948">
        <v>1.6500000000000001E-2</v>
      </c>
      <c r="C3403" s="948">
        <v>1.6500000000000001E-2</v>
      </c>
      <c r="D3403" s="948">
        <v>1.6500000000000001E-2</v>
      </c>
      <c r="E3403" s="948">
        <v>1.6500000000000001E-2</v>
      </c>
      <c r="F3403" s="948">
        <v>1.6500000000000001E-2</v>
      </c>
      <c r="G3403" s="948">
        <v>1.6500000000000001E-2</v>
      </c>
      <c r="H3403" s="948">
        <v>1.6500000000000001E-2</v>
      </c>
      <c r="I3403" s="948">
        <v>1.6500000000000001E-2</v>
      </c>
      <c r="J3403" s="948">
        <v>1.6500000000000001E-2</v>
      </c>
      <c r="K3403" s="948">
        <v>1.6500000000000001E-2</v>
      </c>
      <c r="L3403" s="948">
        <v>1.6500000000000001E-2</v>
      </c>
      <c r="M3403" s="948">
        <v>1.6500000000000001E-2</v>
      </c>
      <c r="N3403" s="948">
        <v>1.6500000000000001E-2</v>
      </c>
      <c r="O3403" s="948">
        <v>1.6500000000000001E-2</v>
      </c>
      <c r="P3403" s="948">
        <v>1.6500000000000001E-2</v>
      </c>
      <c r="Q3403" s="948">
        <v>1.6500000000000001E-2</v>
      </c>
      <c r="R3403" s="948">
        <v>1.6500000000000001E-2</v>
      </c>
      <c r="S3403" s="948">
        <v>1.6500000000000001E-2</v>
      </c>
      <c r="T3403" s="948">
        <v>1.6500000000000001E-2</v>
      </c>
      <c r="U3403" s="948">
        <v>1.6500000000000001E-2</v>
      </c>
    </row>
    <row r="3404" spans="1:21" x14ac:dyDescent="0.3">
      <c r="A3404" s="65" t="s">
        <v>210</v>
      </c>
      <c r="B3404" s="898">
        <f t="shared" ref="B3404:I3404" si="1104">B3399/B3394</f>
        <v>3.0000000000000002E-2</v>
      </c>
      <c r="C3404" s="898">
        <f t="shared" si="1104"/>
        <v>4.1362298850574714E-2</v>
      </c>
      <c r="D3404" s="898">
        <f t="shared" si="1104"/>
        <v>5.3007129551569505E-2</v>
      </c>
      <c r="E3404" s="898">
        <f t="shared" si="1104"/>
        <v>6.5220911255313485E-2</v>
      </c>
      <c r="F3404" s="898">
        <f t="shared" si="1104"/>
        <v>9.1992476148175462E-2</v>
      </c>
      <c r="G3404" s="898">
        <f t="shared" si="1104"/>
        <v>0.11743884857884079</v>
      </c>
      <c r="H3404" s="898">
        <f t="shared" si="1104"/>
        <v>0.14162562557418817</v>
      </c>
      <c r="I3404" s="898">
        <f t="shared" si="1104"/>
        <v>0.16461515710826585</v>
      </c>
      <c r="J3404" s="898">
        <f t="shared" ref="J3404:U3404" si="1105">J3399/J3394</f>
        <v>0.1864667068314067</v>
      </c>
      <c r="K3404" s="898">
        <f t="shared" si="1105"/>
        <v>0.2072366048432521</v>
      </c>
      <c r="L3404" s="898">
        <f t="shared" si="1105"/>
        <v>0.22697839290351113</v>
      </c>
      <c r="M3404" s="898">
        <f t="shared" si="1105"/>
        <v>0.24574296245478733</v>
      </c>
      <c r="N3404" s="898">
        <f t="shared" si="1105"/>
        <v>0.26357868581327532</v>
      </c>
      <c r="O3404" s="898">
        <f t="shared" si="1105"/>
        <v>0.28053154086551818</v>
      </c>
      <c r="P3404" s="898">
        <f t="shared" si="1105"/>
        <v>0.29664522959267497</v>
      </c>
      <c r="Q3404" s="898">
        <f t="shared" si="1105"/>
        <v>0.31196129072783757</v>
      </c>
      <c r="R3404" s="898">
        <f t="shared" si="1105"/>
        <v>0.32651920683680957</v>
      </c>
      <c r="S3404" s="898">
        <f t="shared" si="1105"/>
        <v>0.34035650609838747</v>
      </c>
      <c r="T3404" s="898">
        <f t="shared" si="1105"/>
        <v>0.3535088590465173</v>
      </c>
      <c r="U3404" s="898">
        <f t="shared" si="1105"/>
        <v>0.36601017052371465</v>
      </c>
    </row>
    <row r="3408" spans="1:21" x14ac:dyDescent="0.3">
      <c r="A3408" s="68" t="s">
        <v>1785</v>
      </c>
      <c r="B3408" s="374" t="s">
        <v>922</v>
      </c>
      <c r="C3408" s="374" t="s">
        <v>923</v>
      </c>
      <c r="D3408" s="374" t="s">
        <v>924</v>
      </c>
      <c r="E3408" s="374" t="s">
        <v>925</v>
      </c>
      <c r="F3408" s="374" t="s">
        <v>883</v>
      </c>
      <c r="G3408" s="374" t="s">
        <v>884</v>
      </c>
      <c r="H3408" s="374" t="s">
        <v>885</v>
      </c>
      <c r="I3408" s="374" t="s">
        <v>886</v>
      </c>
      <c r="J3408" s="374" t="s">
        <v>887</v>
      </c>
      <c r="K3408" s="374" t="s">
        <v>888</v>
      </c>
      <c r="L3408" s="374" t="s">
        <v>1027</v>
      </c>
      <c r="M3408" s="374" t="s">
        <v>1028</v>
      </c>
      <c r="N3408" s="374" t="s">
        <v>1047</v>
      </c>
      <c r="O3408" s="374" t="s">
        <v>1048</v>
      </c>
      <c r="P3408" s="374" t="s">
        <v>1049</v>
      </c>
      <c r="Q3408" s="374" t="s">
        <v>1050</v>
      </c>
    </row>
    <row r="3409" spans="1:19" x14ac:dyDescent="0.3">
      <c r="A3409" t="s">
        <v>1781</v>
      </c>
      <c r="B3409" s="885">
        <f>Drivers!EJ91</f>
        <v>211</v>
      </c>
      <c r="C3409" s="885">
        <f>Drivers!EK91</f>
        <v>281</v>
      </c>
      <c r="D3409" s="885">
        <f>Drivers!EL91</f>
        <v>351</v>
      </c>
      <c r="E3409" s="885">
        <f>Drivers!EM91</f>
        <v>381</v>
      </c>
      <c r="F3409" s="885">
        <v>0</v>
      </c>
      <c r="G3409" s="885">
        <v>0</v>
      </c>
      <c r="H3409" s="885">
        <v>0</v>
      </c>
      <c r="I3409" s="885">
        <v>0</v>
      </c>
      <c r="J3409" s="885">
        <v>0</v>
      </c>
      <c r="K3409" s="885">
        <v>0</v>
      </c>
      <c r="L3409" s="885">
        <v>0</v>
      </c>
      <c r="M3409" s="885">
        <v>0</v>
      </c>
      <c r="N3409" s="885">
        <v>0</v>
      </c>
      <c r="O3409" s="885">
        <v>0</v>
      </c>
      <c r="P3409" s="885">
        <v>0</v>
      </c>
      <c r="Q3409" s="885">
        <v>0</v>
      </c>
    </row>
    <row r="3410" spans="1:19" x14ac:dyDescent="0.3">
      <c r="A3410" t="s">
        <v>1782</v>
      </c>
      <c r="B3410" s="885">
        <f>B3409</f>
        <v>211</v>
      </c>
      <c r="C3410" s="885">
        <f t="shared" ref="C3410:Q3410" si="1106">B3410+C3409</f>
        <v>492</v>
      </c>
      <c r="D3410" s="885">
        <f t="shared" si="1106"/>
        <v>843</v>
      </c>
      <c r="E3410" s="885">
        <f t="shared" si="1106"/>
        <v>1224</v>
      </c>
      <c r="F3410" s="885">
        <f t="shared" si="1106"/>
        <v>1224</v>
      </c>
      <c r="G3410" s="885">
        <f t="shared" si="1106"/>
        <v>1224</v>
      </c>
      <c r="H3410" s="885">
        <f t="shared" si="1106"/>
        <v>1224</v>
      </c>
      <c r="I3410" s="885">
        <f t="shared" si="1106"/>
        <v>1224</v>
      </c>
      <c r="J3410" s="885">
        <f t="shared" si="1106"/>
        <v>1224</v>
      </c>
      <c r="K3410" s="885">
        <f t="shared" si="1106"/>
        <v>1224</v>
      </c>
      <c r="L3410" s="885">
        <f t="shared" si="1106"/>
        <v>1224</v>
      </c>
      <c r="M3410" s="885">
        <f t="shared" si="1106"/>
        <v>1224</v>
      </c>
      <c r="N3410" s="885">
        <f t="shared" si="1106"/>
        <v>1224</v>
      </c>
      <c r="O3410" s="885">
        <f t="shared" si="1106"/>
        <v>1224</v>
      </c>
      <c r="P3410" s="885">
        <f t="shared" si="1106"/>
        <v>1224</v>
      </c>
      <c r="Q3410" s="885">
        <f t="shared" si="1106"/>
        <v>1224</v>
      </c>
    </row>
    <row r="3412" spans="1:19" x14ac:dyDescent="0.3">
      <c r="A3412" s="63" t="s">
        <v>335</v>
      </c>
      <c r="B3412" s="899">
        <v>0</v>
      </c>
      <c r="C3412" s="1179">
        <f>B3415</f>
        <v>6.33</v>
      </c>
      <c r="D3412" s="1179">
        <f>C3415</f>
        <v>20.776665000000001</v>
      </c>
      <c r="E3412" s="1179">
        <f>D3415</f>
        <v>45.038220082499997</v>
      </c>
      <c r="F3412" s="1179">
        <f t="shared" ref="F3412:Q3412" si="1107">E3415</f>
        <v>79.528828188416256</v>
      </c>
      <c r="G3412" s="1179">
        <f t="shared" si="1107"/>
        <v>112.31215119308965</v>
      </c>
      <c r="H3412" s="1179">
        <f t="shared" si="1107"/>
        <v>143.4726997090317</v>
      </c>
      <c r="I3412" s="1179">
        <f t="shared" si="1107"/>
        <v>173.09080107343462</v>
      </c>
      <c r="J3412" s="1179">
        <f t="shared" si="1107"/>
        <v>201.24280642029962</v>
      </c>
      <c r="K3412" s="1179">
        <f t="shared" si="1107"/>
        <v>228.00128750249479</v>
      </c>
      <c r="L3412" s="1179">
        <f t="shared" si="1107"/>
        <v>253.43522377112126</v>
      </c>
      <c r="M3412" s="1179">
        <f t="shared" si="1107"/>
        <v>277.61018019445078</v>
      </c>
      <c r="N3412" s="1179">
        <f t="shared" si="1107"/>
        <v>300.5884762748255</v>
      </c>
      <c r="O3412" s="1179">
        <f t="shared" si="1107"/>
        <v>322.42934669922158</v>
      </c>
      <c r="P3412" s="1179">
        <f t="shared" si="1107"/>
        <v>343.18909403761012</v>
      </c>
      <c r="Q3412" s="1179">
        <f t="shared" si="1107"/>
        <v>362.92123388274837</v>
      </c>
    </row>
    <row r="3413" spans="1:19" x14ac:dyDescent="0.3">
      <c r="A3413" s="63" t="s">
        <v>336</v>
      </c>
      <c r="B3413" s="899">
        <f>B3410*B3418</f>
        <v>6.33</v>
      </c>
      <c r="C3413" s="899">
        <f>C3410*C3418</f>
        <v>14.76</v>
      </c>
      <c r="D3413" s="899">
        <f>D3410*D3418</f>
        <v>25.29</v>
      </c>
      <c r="E3413" s="899">
        <f>E3410*E3418</f>
        <v>36.72</v>
      </c>
      <c r="F3413" s="899">
        <f t="shared" ref="F3413:Q3413" si="1108">F3410*F3418</f>
        <v>36.72</v>
      </c>
      <c r="G3413" s="899">
        <f t="shared" si="1108"/>
        <v>36.72</v>
      </c>
      <c r="H3413" s="899">
        <f t="shared" si="1108"/>
        <v>36.72</v>
      </c>
      <c r="I3413" s="899">
        <f t="shared" si="1108"/>
        <v>36.72</v>
      </c>
      <c r="J3413" s="899">
        <f t="shared" si="1108"/>
        <v>36.72</v>
      </c>
      <c r="K3413" s="899">
        <f t="shared" si="1108"/>
        <v>36.72</v>
      </c>
      <c r="L3413" s="899">
        <f t="shared" si="1108"/>
        <v>36.72</v>
      </c>
      <c r="M3413" s="899">
        <f t="shared" si="1108"/>
        <v>36.72</v>
      </c>
      <c r="N3413" s="899">
        <f t="shared" si="1108"/>
        <v>36.72</v>
      </c>
      <c r="O3413" s="899">
        <f t="shared" si="1108"/>
        <v>36.72</v>
      </c>
      <c r="P3413" s="899">
        <f t="shared" si="1108"/>
        <v>36.72</v>
      </c>
      <c r="Q3413" s="899">
        <f t="shared" si="1108"/>
        <v>36.72</v>
      </c>
    </row>
    <row r="3414" spans="1:19" x14ac:dyDescent="0.3">
      <c r="A3414" s="63" t="s">
        <v>337</v>
      </c>
      <c r="B3414" s="904">
        <f>-B3412*B3419*3</f>
        <v>0</v>
      </c>
      <c r="C3414" s="904">
        <f>-C3412*C3419*3</f>
        <v>-0.31333500000000003</v>
      </c>
      <c r="D3414" s="904">
        <f>-D3412*D3419*3</f>
        <v>-1.0284449175000001</v>
      </c>
      <c r="E3414" s="904">
        <f>-E3412*E3419*3</f>
        <v>-2.2293918940837498</v>
      </c>
      <c r="F3414" s="904">
        <f t="shared" ref="F3414:Q3414" si="1109">-F3412*F3419*3</f>
        <v>-3.9366769953266045</v>
      </c>
      <c r="G3414" s="904">
        <f t="shared" si="1109"/>
        <v>-5.5594514840579379</v>
      </c>
      <c r="H3414" s="904">
        <f t="shared" si="1109"/>
        <v>-7.1018986355970704</v>
      </c>
      <c r="I3414" s="904">
        <f t="shared" si="1109"/>
        <v>-8.5679946531350133</v>
      </c>
      <c r="J3414" s="904">
        <f t="shared" si="1109"/>
        <v>-9.9615189178048311</v>
      </c>
      <c r="K3414" s="904">
        <f t="shared" si="1109"/>
        <v>-11.286063731373494</v>
      </c>
      <c r="L3414" s="904">
        <f t="shared" si="1109"/>
        <v>-12.545043576670505</v>
      </c>
      <c r="M3414" s="904">
        <f t="shared" si="1109"/>
        <v>-13.741703919625312</v>
      </c>
      <c r="N3414" s="904">
        <f t="shared" si="1109"/>
        <v>-14.879129575603864</v>
      </c>
      <c r="O3414" s="904">
        <f t="shared" si="1109"/>
        <v>-15.960252661611468</v>
      </c>
      <c r="P3414" s="904">
        <f t="shared" si="1109"/>
        <v>-16.9878601548617</v>
      </c>
      <c r="Q3414" s="904">
        <f t="shared" si="1109"/>
        <v>-17.964601077196043</v>
      </c>
    </row>
    <row r="3415" spans="1:19" x14ac:dyDescent="0.3">
      <c r="A3415" s="64" t="s">
        <v>338</v>
      </c>
      <c r="B3415" s="905">
        <f t="shared" ref="B3415:Q3415" si="1110">SUM(B3412:B3414)</f>
        <v>6.33</v>
      </c>
      <c r="C3415" s="905">
        <f t="shared" si="1110"/>
        <v>20.776665000000001</v>
      </c>
      <c r="D3415" s="905">
        <f t="shared" si="1110"/>
        <v>45.038220082499997</v>
      </c>
      <c r="E3415" s="905">
        <f t="shared" si="1110"/>
        <v>79.528828188416256</v>
      </c>
      <c r="F3415" s="905">
        <f t="shared" si="1110"/>
        <v>112.31215119308965</v>
      </c>
      <c r="G3415" s="905">
        <f t="shared" si="1110"/>
        <v>143.4726997090317</v>
      </c>
      <c r="H3415" s="905">
        <f t="shared" si="1110"/>
        <v>173.09080107343462</v>
      </c>
      <c r="I3415" s="905">
        <f t="shared" si="1110"/>
        <v>201.24280642029962</v>
      </c>
      <c r="J3415" s="905">
        <f t="shared" si="1110"/>
        <v>228.00128750249479</v>
      </c>
      <c r="K3415" s="905">
        <f t="shared" si="1110"/>
        <v>253.43522377112126</v>
      </c>
      <c r="L3415" s="905">
        <f t="shared" si="1110"/>
        <v>277.61018019445078</v>
      </c>
      <c r="M3415" s="905">
        <f t="shared" si="1110"/>
        <v>300.5884762748255</v>
      </c>
      <c r="N3415" s="905">
        <f t="shared" si="1110"/>
        <v>322.42934669922158</v>
      </c>
      <c r="O3415" s="905">
        <f t="shared" si="1110"/>
        <v>343.18909403761012</v>
      </c>
      <c r="P3415" s="905">
        <f t="shared" si="1110"/>
        <v>362.92123388274837</v>
      </c>
      <c r="Q3415" s="905">
        <f t="shared" si="1110"/>
        <v>381.67663280555229</v>
      </c>
    </row>
    <row r="3416" spans="1:19" x14ac:dyDescent="0.3">
      <c r="A3416" s="61" t="s">
        <v>339</v>
      </c>
    </row>
    <row r="3417" spans="1:19" x14ac:dyDescent="0.3">
      <c r="A3417" s="65" t="s">
        <v>340</v>
      </c>
    </row>
    <row r="3418" spans="1:19" x14ac:dyDescent="0.3">
      <c r="A3418" s="65" t="s">
        <v>341</v>
      </c>
      <c r="B3418" s="948">
        <v>0.03</v>
      </c>
      <c r="C3418" s="948">
        <v>0.03</v>
      </c>
      <c r="D3418" s="948">
        <v>0.03</v>
      </c>
      <c r="E3418" s="948">
        <v>0.03</v>
      </c>
      <c r="F3418" s="948">
        <v>0.03</v>
      </c>
      <c r="G3418" s="948">
        <v>0.03</v>
      </c>
      <c r="H3418" s="948">
        <v>0.03</v>
      </c>
      <c r="I3418" s="948">
        <v>0.03</v>
      </c>
      <c r="J3418" s="948">
        <v>0.03</v>
      </c>
      <c r="K3418" s="948">
        <v>0.03</v>
      </c>
      <c r="L3418" s="948">
        <v>0.03</v>
      </c>
      <c r="M3418" s="948">
        <v>0.03</v>
      </c>
      <c r="N3418" s="948">
        <v>0.03</v>
      </c>
      <c r="O3418" s="948">
        <v>0.03</v>
      </c>
      <c r="P3418" s="948">
        <v>0.03</v>
      </c>
      <c r="Q3418" s="948">
        <v>0.03</v>
      </c>
    </row>
    <row r="3419" spans="1:19" x14ac:dyDescent="0.3">
      <c r="A3419" s="65" t="s">
        <v>342</v>
      </c>
      <c r="B3419" s="948">
        <v>1.6500000000000001E-2</v>
      </c>
      <c r="C3419" s="948">
        <v>1.6500000000000001E-2</v>
      </c>
      <c r="D3419" s="948">
        <v>1.6500000000000001E-2</v>
      </c>
      <c r="E3419" s="948">
        <v>1.6500000000000001E-2</v>
      </c>
      <c r="F3419" s="948">
        <v>1.6500000000000001E-2</v>
      </c>
      <c r="G3419" s="948">
        <v>1.6500000000000001E-2</v>
      </c>
      <c r="H3419" s="948">
        <v>1.6500000000000001E-2</v>
      </c>
      <c r="I3419" s="948">
        <v>1.6500000000000001E-2</v>
      </c>
      <c r="J3419" s="948">
        <v>1.6500000000000001E-2</v>
      </c>
      <c r="K3419" s="948">
        <v>1.6500000000000001E-2</v>
      </c>
      <c r="L3419" s="948">
        <v>1.6500000000000001E-2</v>
      </c>
      <c r="M3419" s="948">
        <v>1.6500000000000001E-2</v>
      </c>
      <c r="N3419" s="948">
        <v>1.6500000000000001E-2</v>
      </c>
      <c r="O3419" s="948">
        <v>1.6500000000000001E-2</v>
      </c>
      <c r="P3419" s="948">
        <v>1.6500000000000001E-2</v>
      </c>
      <c r="Q3419" s="948">
        <v>1.6500000000000001E-2</v>
      </c>
    </row>
    <row r="3420" spans="1:19" x14ac:dyDescent="0.3">
      <c r="A3420" s="65" t="s">
        <v>210</v>
      </c>
      <c r="B3420" s="898">
        <f>B3415/B3410</f>
        <v>0.03</v>
      </c>
      <c r="C3420" s="898">
        <f>C3415/C3410</f>
        <v>4.2228993902439026E-2</v>
      </c>
      <c r="D3420" s="898">
        <f>D3415/D3410</f>
        <v>5.3426121094306049E-2</v>
      </c>
      <c r="E3420" s="898">
        <f>E3415/E3410</f>
        <v>6.497453283367341E-2</v>
      </c>
      <c r="F3420" s="898">
        <f t="shared" ref="F3420:Q3420" si="1111">F3415/F3410</f>
        <v>9.1758293458406581E-2</v>
      </c>
      <c r="G3420" s="898">
        <f t="shared" si="1111"/>
        <v>0.11721625793221545</v>
      </c>
      <c r="H3420" s="898">
        <f t="shared" si="1111"/>
        <v>0.14141405316457076</v>
      </c>
      <c r="I3420" s="898">
        <f t="shared" si="1111"/>
        <v>0.16441405753292451</v>
      </c>
      <c r="J3420" s="898">
        <f t="shared" si="1111"/>
        <v>0.18627556168504478</v>
      </c>
      <c r="K3420" s="898">
        <f t="shared" si="1111"/>
        <v>0.207054921381635</v>
      </c>
      <c r="L3420" s="898">
        <f t="shared" si="1111"/>
        <v>0.22680570277324411</v>
      </c>
      <c r="M3420" s="898">
        <f t="shared" si="1111"/>
        <v>0.24557882048596855</v>
      </c>
      <c r="N3420" s="898">
        <f t="shared" si="1111"/>
        <v>0.26342266887191307</v>
      </c>
      <c r="O3420" s="898">
        <f t="shared" si="1111"/>
        <v>0.28038324676275339</v>
      </c>
      <c r="P3420" s="898">
        <f t="shared" si="1111"/>
        <v>0.29650427604799701</v>
      </c>
      <c r="Q3420" s="898">
        <f t="shared" si="1111"/>
        <v>0.31182731438362116</v>
      </c>
    </row>
    <row r="3423" spans="1:19" x14ac:dyDescent="0.3">
      <c r="A3423" s="533"/>
      <c r="B3423" s="534"/>
      <c r="C3423" s="534"/>
      <c r="D3423" s="534"/>
      <c r="E3423" s="534"/>
      <c r="F3423" s="534"/>
      <c r="G3423" s="534"/>
      <c r="H3423" s="534"/>
      <c r="I3423" s="534"/>
      <c r="J3423" s="534"/>
      <c r="K3423" s="534"/>
      <c r="L3423" s="534"/>
      <c r="M3423" s="534"/>
      <c r="N3423" s="534"/>
      <c r="O3423" s="534"/>
      <c r="P3423" s="534"/>
      <c r="Q3423" s="534"/>
      <c r="R3423" s="534"/>
      <c r="S3423" s="534"/>
    </row>
    <row r="3424" spans="1:19" x14ac:dyDescent="0.3">
      <c r="B3424" s="374" t="s">
        <v>1125</v>
      </c>
      <c r="C3424" s="374" t="s">
        <v>1126</v>
      </c>
      <c r="D3424" s="374" t="s">
        <v>1127</v>
      </c>
      <c r="E3424" s="374" t="s">
        <v>1128</v>
      </c>
      <c r="F3424" s="374" t="s">
        <v>922</v>
      </c>
      <c r="G3424" s="374" t="s">
        <v>923</v>
      </c>
      <c r="H3424" s="374" t="s">
        <v>924</v>
      </c>
      <c r="I3424" s="374" t="s">
        <v>925</v>
      </c>
    </row>
    <row r="3425" spans="1:24" x14ac:dyDescent="0.3">
      <c r="A3425" t="s">
        <v>1786</v>
      </c>
      <c r="B3425" s="885">
        <f>Drivers!EE202</f>
        <v>411</v>
      </c>
      <c r="C3425" s="885">
        <f>Drivers!EF202</f>
        <v>413</v>
      </c>
      <c r="D3425" s="885">
        <f>Drivers!EG202</f>
        <v>409</v>
      </c>
      <c r="E3425" s="885">
        <f>Drivers!EH202</f>
        <v>405</v>
      </c>
      <c r="F3425" s="885">
        <f>Drivers!EJ202</f>
        <v>407</v>
      </c>
      <c r="G3425" s="885">
        <f>Drivers!EK202</f>
        <v>421</v>
      </c>
      <c r="H3425" s="885">
        <f>Drivers!EL202</f>
        <v>424</v>
      </c>
      <c r="I3425" s="885">
        <f>Drivers!EM202</f>
        <v>436</v>
      </c>
    </row>
    <row r="3426" spans="1:24" x14ac:dyDescent="0.3">
      <c r="A3426" t="s">
        <v>1787</v>
      </c>
      <c r="B3426" s="901">
        <f>Drivers!EE340</f>
        <v>409</v>
      </c>
      <c r="C3426" s="901">
        <f>Drivers!EF340</f>
        <v>403</v>
      </c>
      <c r="D3426" s="901">
        <f>Drivers!EG340</f>
        <v>391</v>
      </c>
      <c r="E3426" s="901">
        <f>Drivers!EH340</f>
        <v>377</v>
      </c>
      <c r="F3426" s="901">
        <f>Drivers!EJ340</f>
        <v>369</v>
      </c>
      <c r="G3426" s="901">
        <f>Drivers!EK340</f>
        <v>370</v>
      </c>
      <c r="H3426" s="901">
        <f>Drivers!EL340</f>
        <v>361</v>
      </c>
      <c r="I3426" s="901">
        <f>Drivers!EM340</f>
        <v>328</v>
      </c>
    </row>
    <row r="3427" spans="1:24" x14ac:dyDescent="0.3">
      <c r="A3427" t="s">
        <v>1788</v>
      </c>
      <c r="B3427" s="916">
        <f t="shared" ref="B3427:I3427" si="1112">SUM(B3425:B3426)</f>
        <v>820</v>
      </c>
      <c r="C3427" s="916">
        <f t="shared" si="1112"/>
        <v>816</v>
      </c>
      <c r="D3427" s="916">
        <f t="shared" si="1112"/>
        <v>800</v>
      </c>
      <c r="E3427" s="916">
        <f t="shared" si="1112"/>
        <v>782</v>
      </c>
      <c r="F3427" s="916">
        <f t="shared" si="1112"/>
        <v>776</v>
      </c>
      <c r="G3427" s="916">
        <f t="shared" si="1112"/>
        <v>791</v>
      </c>
      <c r="H3427" s="916">
        <f t="shared" si="1112"/>
        <v>785</v>
      </c>
      <c r="I3427" s="916">
        <f t="shared" si="1112"/>
        <v>764</v>
      </c>
    </row>
    <row r="3429" spans="1:24" x14ac:dyDescent="0.3">
      <c r="B3429" s="374">
        <v>2020</v>
      </c>
      <c r="C3429" s="374">
        <v>2021</v>
      </c>
      <c r="D3429" s="374">
        <v>2022</v>
      </c>
      <c r="E3429" s="374">
        <v>2023</v>
      </c>
      <c r="F3429" s="374">
        <v>2024</v>
      </c>
      <c r="G3429" s="374">
        <v>2025</v>
      </c>
    </row>
    <row r="3430" spans="1:24" x14ac:dyDescent="0.3">
      <c r="A3430" t="s">
        <v>1786</v>
      </c>
      <c r="B3430" s="885">
        <f>Drivers!ED202</f>
        <v>1680</v>
      </c>
      <c r="C3430" s="885">
        <f>Drivers!EI202</f>
        <v>1638</v>
      </c>
      <c r="D3430" s="885">
        <f>Drivers!EN202</f>
        <v>1688</v>
      </c>
      <c r="E3430" s="885">
        <f>Drivers!ES202</f>
        <v>1873</v>
      </c>
      <c r="F3430" s="885">
        <f>Drivers!EX202</f>
        <v>2122</v>
      </c>
      <c r="G3430" s="885">
        <f>Drivers!FC202</f>
        <v>2461.7408877429939</v>
      </c>
    </row>
    <row r="3431" spans="1:24" x14ac:dyDescent="0.3">
      <c r="A3431" t="s">
        <v>1787</v>
      </c>
      <c r="B3431" s="901">
        <f>Drivers!ED340</f>
        <v>1736</v>
      </c>
      <c r="C3431" s="901">
        <f>Drivers!EI340</f>
        <v>1580</v>
      </c>
      <c r="D3431" s="901">
        <f>Drivers!EN340</f>
        <v>1428</v>
      </c>
      <c r="E3431" s="901">
        <f>Drivers!ES340</f>
        <v>1224</v>
      </c>
      <c r="F3431" s="901">
        <f>Drivers!EX340</f>
        <v>1041</v>
      </c>
      <c r="G3431" s="901">
        <f>Drivers!FC340</f>
        <v>792.79429138054729</v>
      </c>
    </row>
    <row r="3432" spans="1:24" x14ac:dyDescent="0.3">
      <c r="A3432" t="s">
        <v>1788</v>
      </c>
      <c r="B3432" s="916">
        <f t="shared" ref="B3432:G3432" si="1113">SUM(B3430:B3431)</f>
        <v>3416</v>
      </c>
      <c r="C3432" s="916">
        <f t="shared" si="1113"/>
        <v>3218</v>
      </c>
      <c r="D3432" s="916">
        <f t="shared" si="1113"/>
        <v>3116</v>
      </c>
      <c r="E3432" s="916">
        <f t="shared" si="1113"/>
        <v>3097</v>
      </c>
      <c r="F3432" s="916">
        <f t="shared" si="1113"/>
        <v>3163</v>
      </c>
      <c r="G3432" s="916">
        <f t="shared" si="1113"/>
        <v>3254.5351791235412</v>
      </c>
    </row>
    <row r="3437" spans="1:24" x14ac:dyDescent="0.3">
      <c r="A3437" s="533"/>
      <c r="B3437" s="534"/>
      <c r="C3437" s="534"/>
      <c r="D3437" s="534"/>
      <c r="E3437" s="534"/>
      <c r="F3437" s="534"/>
      <c r="G3437" s="534"/>
      <c r="H3437" s="534"/>
      <c r="I3437" s="534"/>
      <c r="J3437" s="534"/>
      <c r="K3437" s="534"/>
      <c r="L3437" s="534"/>
      <c r="M3437" s="534"/>
      <c r="N3437" s="534"/>
      <c r="O3437" s="534"/>
      <c r="P3437" s="534"/>
      <c r="Q3437" s="534"/>
      <c r="R3437" s="534"/>
      <c r="S3437" s="534"/>
    </row>
    <row r="3438" spans="1:24" x14ac:dyDescent="0.3">
      <c r="B3438" s="147">
        <v>2019</v>
      </c>
      <c r="C3438" s="374" t="s">
        <v>1166</v>
      </c>
      <c r="D3438" s="374" t="s">
        <v>1167</v>
      </c>
      <c r="E3438" s="374" t="s">
        <v>1168</v>
      </c>
      <c r="F3438" s="374" t="s">
        <v>1169</v>
      </c>
      <c r="G3438" s="374" t="s">
        <v>1125</v>
      </c>
      <c r="H3438" s="374" t="s">
        <v>1126</v>
      </c>
      <c r="I3438" s="374" t="s">
        <v>1127</v>
      </c>
      <c r="J3438" s="374" t="s">
        <v>1128</v>
      </c>
      <c r="K3438" s="374" t="s">
        <v>922</v>
      </c>
      <c r="L3438" s="374" t="s">
        <v>923</v>
      </c>
      <c r="M3438" s="374" t="s">
        <v>924</v>
      </c>
      <c r="N3438" s="374" t="s">
        <v>925</v>
      </c>
    </row>
    <row r="3439" spans="1:24" x14ac:dyDescent="0.3">
      <c r="A3439" t="s">
        <v>271</v>
      </c>
      <c r="B3439" s="76">
        <f>Drivers!DY90</f>
        <v>3223</v>
      </c>
      <c r="C3439" s="76">
        <f>Drivers!DZ90</f>
        <v>3232</v>
      </c>
      <c r="D3439" s="76">
        <f>Drivers!EA90</f>
        <v>3240</v>
      </c>
      <c r="E3439" s="76">
        <f>Drivers!EB90</f>
        <v>3249</v>
      </c>
      <c r="F3439" s="76">
        <f>Drivers!EC90</f>
        <v>3309</v>
      </c>
      <c r="G3439" s="76">
        <f>Drivers!EE90</f>
        <v>3413</v>
      </c>
      <c r="H3439" s="76">
        <f>Drivers!EF90</f>
        <v>3570</v>
      </c>
      <c r="I3439" s="76">
        <f>Drivers!EG90</f>
        <v>3755</v>
      </c>
      <c r="J3439" s="76">
        <f>Drivers!EH90</f>
        <v>3947</v>
      </c>
      <c r="K3439" s="76">
        <f>Drivers!EJ90</f>
        <v>4158</v>
      </c>
      <c r="L3439" s="76">
        <f>Drivers!EK90</f>
        <v>4439</v>
      </c>
      <c r="M3439" s="76">
        <f>Drivers!EL90</f>
        <v>4790</v>
      </c>
      <c r="N3439" s="76">
        <f>Drivers!EM90</f>
        <v>5171</v>
      </c>
      <c r="V3439" t="s">
        <v>1789</v>
      </c>
      <c r="W3439" s="146">
        <v>0.15</v>
      </c>
      <c r="X3439" s="146">
        <v>0.2</v>
      </c>
    </row>
    <row r="3440" spans="1:24" x14ac:dyDescent="0.3">
      <c r="A3440" t="s">
        <v>1790</v>
      </c>
      <c r="C3440" s="76">
        <f>C3439-B3439</f>
        <v>9</v>
      </c>
      <c r="D3440" s="76">
        <f t="shared" ref="D3440:N3440" si="1114">D3439-C3439</f>
        <v>8</v>
      </c>
      <c r="E3440" s="76">
        <f t="shared" si="1114"/>
        <v>9</v>
      </c>
      <c r="F3440" s="76">
        <f t="shared" si="1114"/>
        <v>60</v>
      </c>
      <c r="G3440" s="76">
        <f t="shared" si="1114"/>
        <v>104</v>
      </c>
      <c r="H3440" s="76">
        <f t="shared" si="1114"/>
        <v>157</v>
      </c>
      <c r="I3440" s="76">
        <f t="shared" si="1114"/>
        <v>185</v>
      </c>
      <c r="J3440" s="76">
        <f t="shared" si="1114"/>
        <v>192</v>
      </c>
      <c r="K3440" s="76">
        <f t="shared" si="1114"/>
        <v>211</v>
      </c>
      <c r="L3440" s="76">
        <f t="shared" si="1114"/>
        <v>281</v>
      </c>
      <c r="M3440" s="76">
        <f t="shared" si="1114"/>
        <v>351</v>
      </c>
      <c r="N3440" s="76">
        <f t="shared" si="1114"/>
        <v>381</v>
      </c>
      <c r="V3440" t="s">
        <v>1791</v>
      </c>
      <c r="W3440" s="146">
        <v>0.25</v>
      </c>
      <c r="X3440" s="146">
        <v>0.3</v>
      </c>
    </row>
    <row r="3441" spans="1:23" x14ac:dyDescent="0.3">
      <c r="A3441" t="s">
        <v>1792</v>
      </c>
      <c r="B3441" s="898">
        <f>Drivers!DY120</f>
        <v>0.37387527148619298</v>
      </c>
      <c r="C3441" s="898">
        <f>C3456/$B$3439</f>
        <v>0.37689419795221846</v>
      </c>
      <c r="D3441" s="898">
        <f t="shared" ref="D3441:I3441" si="1115">D3456/$B$3439</f>
        <v>0.37920066708035988</v>
      </c>
      <c r="E3441" s="898">
        <f t="shared" si="1115"/>
        <v>0.38078730995966487</v>
      </c>
      <c r="F3441" s="898">
        <f t="shared" si="1115"/>
        <v>0.38272882407694697</v>
      </c>
      <c r="G3441" s="898">
        <f t="shared" si="1115"/>
        <v>0.38482702451132483</v>
      </c>
      <c r="H3441" s="898">
        <f t="shared" si="1115"/>
        <v>0.38498332299100219</v>
      </c>
      <c r="I3441" s="898">
        <f t="shared" si="1115"/>
        <v>0.38841568414520633</v>
      </c>
      <c r="J3441" s="898">
        <f>I3441+0.125%</f>
        <v>0.3896656841452063</v>
      </c>
      <c r="K3441" s="898">
        <f>J3441+0.125%</f>
        <v>0.39091568414520628</v>
      </c>
      <c r="L3441" s="898">
        <f>K3441+0.125%</f>
        <v>0.39216568414520625</v>
      </c>
      <c r="M3441" s="898">
        <f>L3441+0.125%</f>
        <v>0.39341568414520622</v>
      </c>
      <c r="N3441" s="898">
        <f>M3441+0.125%</f>
        <v>0.3946656841452062</v>
      </c>
      <c r="V3441" t="s">
        <v>1793</v>
      </c>
      <c r="W3441" s="146">
        <v>0.4</v>
      </c>
    </row>
    <row r="3442" spans="1:23" x14ac:dyDescent="0.3">
      <c r="A3442" t="s">
        <v>1794</v>
      </c>
      <c r="B3442" s="898"/>
      <c r="C3442" s="948">
        <v>0.03</v>
      </c>
      <c r="D3442" s="898">
        <f>C3442+($G3442-$C3442)/4</f>
        <v>6.6250000000000003E-2</v>
      </c>
      <c r="E3442" s="898">
        <f>D3442+($G3442-$C3442)/4</f>
        <v>0.10250000000000001</v>
      </c>
      <c r="F3442" s="898">
        <f>E3442+($G3442-$C3442)/4</f>
        <v>0.13875000000000001</v>
      </c>
      <c r="G3442" s="948">
        <v>0.17499999999999999</v>
      </c>
      <c r="H3442" s="898">
        <f>G3442+($K3442-$G3442)/4</f>
        <v>0.2</v>
      </c>
      <c r="I3442" s="898">
        <f>H3442+($K3442-$G3442)/4</f>
        <v>0.22500000000000003</v>
      </c>
      <c r="J3442" s="898">
        <f>I3442+($K3442-$G3442)/4</f>
        <v>0.25000000000000006</v>
      </c>
      <c r="K3442" s="948">
        <v>0.27500000000000002</v>
      </c>
      <c r="L3442" s="898">
        <f>MIN(K3442+2.5%,45%)</f>
        <v>0.30000000000000004</v>
      </c>
      <c r="M3442" s="898">
        <f>MIN(L3442+2.5%,45%)</f>
        <v>0.32500000000000007</v>
      </c>
      <c r="N3442" s="898">
        <f>MIN(M3442+2.5%,45%)</f>
        <v>0.35000000000000009</v>
      </c>
    </row>
    <row r="3443" spans="1:23" x14ac:dyDescent="0.3">
      <c r="A3443" t="s">
        <v>1795</v>
      </c>
      <c r="B3443" s="898"/>
      <c r="C3443" s="898"/>
      <c r="D3443" s="898">
        <f t="shared" ref="D3443:L3443" si="1116">C3442</f>
        <v>0.03</v>
      </c>
      <c r="E3443" s="898">
        <f t="shared" si="1116"/>
        <v>6.6250000000000003E-2</v>
      </c>
      <c r="F3443" s="898">
        <f t="shared" si="1116"/>
        <v>0.10250000000000001</v>
      </c>
      <c r="G3443" s="898">
        <f t="shared" si="1116"/>
        <v>0.13875000000000001</v>
      </c>
      <c r="H3443" s="898">
        <f t="shared" si="1116"/>
        <v>0.17499999999999999</v>
      </c>
      <c r="I3443" s="898">
        <f t="shared" si="1116"/>
        <v>0.2</v>
      </c>
      <c r="J3443" s="898">
        <f t="shared" si="1116"/>
        <v>0.22500000000000003</v>
      </c>
      <c r="K3443" s="898">
        <f t="shared" si="1116"/>
        <v>0.25000000000000006</v>
      </c>
      <c r="L3443" s="898">
        <f t="shared" si="1116"/>
        <v>0.27500000000000002</v>
      </c>
      <c r="M3443" s="898">
        <f>MIN(L3443+2.5%,45%)</f>
        <v>0.30000000000000004</v>
      </c>
      <c r="N3443" s="898">
        <f>MIN(M3443+2.5%,45%)</f>
        <v>0.32500000000000007</v>
      </c>
    </row>
    <row r="3444" spans="1:23" x14ac:dyDescent="0.3">
      <c r="A3444" t="s">
        <v>1796</v>
      </c>
      <c r="B3444" s="898"/>
      <c r="C3444" s="898"/>
      <c r="D3444" s="898"/>
      <c r="E3444" s="898">
        <f t="shared" ref="E3444:M3444" si="1117">D3443</f>
        <v>0.03</v>
      </c>
      <c r="F3444" s="898">
        <f t="shared" si="1117"/>
        <v>6.6250000000000003E-2</v>
      </c>
      <c r="G3444" s="898">
        <f t="shared" si="1117"/>
        <v>0.10250000000000001</v>
      </c>
      <c r="H3444" s="898">
        <f t="shared" si="1117"/>
        <v>0.13875000000000001</v>
      </c>
      <c r="I3444" s="898">
        <f t="shared" si="1117"/>
        <v>0.17499999999999999</v>
      </c>
      <c r="J3444" s="898">
        <f t="shared" si="1117"/>
        <v>0.2</v>
      </c>
      <c r="K3444" s="898">
        <f t="shared" si="1117"/>
        <v>0.22500000000000003</v>
      </c>
      <c r="L3444" s="898">
        <f t="shared" si="1117"/>
        <v>0.25000000000000006</v>
      </c>
      <c r="M3444" s="898">
        <f t="shared" si="1117"/>
        <v>0.27500000000000002</v>
      </c>
      <c r="N3444" s="898">
        <f>MIN(M3444+2.5%,45%)</f>
        <v>0.30000000000000004</v>
      </c>
    </row>
    <row r="3445" spans="1:23" x14ac:dyDescent="0.3">
      <c r="A3445" t="s">
        <v>1797</v>
      </c>
      <c r="B3445" s="898"/>
      <c r="C3445" s="898"/>
      <c r="D3445" s="898"/>
      <c r="E3445" s="898"/>
      <c r="F3445" s="898">
        <f t="shared" ref="F3445:N3445" si="1118">E3444</f>
        <v>0.03</v>
      </c>
      <c r="G3445" s="898">
        <f t="shared" si="1118"/>
        <v>6.6250000000000003E-2</v>
      </c>
      <c r="H3445" s="898">
        <f t="shared" si="1118"/>
        <v>0.10250000000000001</v>
      </c>
      <c r="I3445" s="898">
        <f t="shared" si="1118"/>
        <v>0.13875000000000001</v>
      </c>
      <c r="J3445" s="898">
        <f t="shared" si="1118"/>
        <v>0.17499999999999999</v>
      </c>
      <c r="K3445" s="898">
        <f t="shared" si="1118"/>
        <v>0.2</v>
      </c>
      <c r="L3445" s="898">
        <f t="shared" si="1118"/>
        <v>0.22500000000000003</v>
      </c>
      <c r="M3445" s="898">
        <f t="shared" si="1118"/>
        <v>0.25000000000000006</v>
      </c>
      <c r="N3445" s="898">
        <f t="shared" si="1118"/>
        <v>0.27500000000000002</v>
      </c>
    </row>
    <row r="3446" spans="1:23" x14ac:dyDescent="0.3">
      <c r="A3446" t="s">
        <v>1798</v>
      </c>
      <c r="B3446" s="898"/>
      <c r="C3446" s="898"/>
      <c r="D3446" s="898"/>
      <c r="E3446" s="898"/>
      <c r="F3446" s="898"/>
      <c r="G3446" s="898">
        <f t="shared" ref="G3446:N3446" si="1119">F3445</f>
        <v>0.03</v>
      </c>
      <c r="H3446" s="898">
        <f t="shared" si="1119"/>
        <v>6.6250000000000003E-2</v>
      </c>
      <c r="I3446" s="898">
        <f t="shared" si="1119"/>
        <v>0.10250000000000001</v>
      </c>
      <c r="J3446" s="898">
        <f t="shared" si="1119"/>
        <v>0.13875000000000001</v>
      </c>
      <c r="K3446" s="898">
        <f t="shared" si="1119"/>
        <v>0.17499999999999999</v>
      </c>
      <c r="L3446" s="898">
        <f t="shared" si="1119"/>
        <v>0.2</v>
      </c>
      <c r="M3446" s="898">
        <f t="shared" si="1119"/>
        <v>0.22500000000000003</v>
      </c>
      <c r="N3446" s="898">
        <f t="shared" si="1119"/>
        <v>0.25000000000000006</v>
      </c>
    </row>
    <row r="3447" spans="1:23" x14ac:dyDescent="0.3">
      <c r="A3447" t="s">
        <v>1799</v>
      </c>
      <c r="B3447" s="898"/>
      <c r="C3447" s="898"/>
      <c r="D3447" s="898"/>
      <c r="E3447" s="898"/>
      <c r="F3447" s="898"/>
      <c r="G3447" s="898"/>
      <c r="H3447" s="898">
        <f t="shared" ref="H3447:N3447" si="1120">G3446</f>
        <v>0.03</v>
      </c>
      <c r="I3447" s="898">
        <f t="shared" si="1120"/>
        <v>6.6250000000000003E-2</v>
      </c>
      <c r="J3447" s="898">
        <f t="shared" si="1120"/>
        <v>0.10250000000000001</v>
      </c>
      <c r="K3447" s="898">
        <f t="shared" si="1120"/>
        <v>0.13875000000000001</v>
      </c>
      <c r="L3447" s="898">
        <f t="shared" si="1120"/>
        <v>0.17499999999999999</v>
      </c>
      <c r="M3447" s="898">
        <f t="shared" si="1120"/>
        <v>0.2</v>
      </c>
      <c r="N3447" s="898">
        <f t="shared" si="1120"/>
        <v>0.22500000000000003</v>
      </c>
    </row>
    <row r="3448" spans="1:23" x14ac:dyDescent="0.3">
      <c r="A3448" t="s">
        <v>1800</v>
      </c>
      <c r="B3448" s="898"/>
      <c r="C3448" s="898"/>
      <c r="D3448" s="898"/>
      <c r="E3448" s="898"/>
      <c r="F3448" s="898"/>
      <c r="G3448" s="898"/>
      <c r="H3448" s="898"/>
      <c r="I3448" s="898">
        <f t="shared" ref="I3448:N3448" si="1121">H3447</f>
        <v>0.03</v>
      </c>
      <c r="J3448" s="898">
        <f t="shared" si="1121"/>
        <v>6.6250000000000003E-2</v>
      </c>
      <c r="K3448" s="898">
        <f t="shared" si="1121"/>
        <v>0.10250000000000001</v>
      </c>
      <c r="L3448" s="898">
        <f t="shared" si="1121"/>
        <v>0.13875000000000001</v>
      </c>
      <c r="M3448" s="898">
        <f t="shared" si="1121"/>
        <v>0.17499999999999999</v>
      </c>
      <c r="N3448" s="898">
        <f t="shared" si="1121"/>
        <v>0.2</v>
      </c>
    </row>
    <row r="3449" spans="1:23" x14ac:dyDescent="0.3">
      <c r="A3449" t="s">
        <v>1801</v>
      </c>
      <c r="B3449" s="898"/>
      <c r="C3449" s="898"/>
      <c r="D3449" s="898"/>
      <c r="E3449" s="898"/>
      <c r="F3449" s="898"/>
      <c r="G3449" s="898"/>
      <c r="H3449" s="898"/>
      <c r="I3449" s="898"/>
      <c r="J3449" s="898">
        <f>I3448</f>
        <v>0.03</v>
      </c>
      <c r="K3449" s="898">
        <f>J3448</f>
        <v>6.6250000000000003E-2</v>
      </c>
      <c r="L3449" s="898">
        <f>K3448</f>
        <v>0.10250000000000001</v>
      </c>
      <c r="M3449" s="898">
        <f>L3448</f>
        <v>0.13875000000000001</v>
      </c>
      <c r="N3449" s="898">
        <f>M3448</f>
        <v>0.17499999999999999</v>
      </c>
    </row>
    <row r="3450" spans="1:23" x14ac:dyDescent="0.3">
      <c r="A3450" t="s">
        <v>1802</v>
      </c>
      <c r="B3450" s="898"/>
      <c r="C3450" s="898"/>
      <c r="D3450" s="898"/>
      <c r="E3450" s="898"/>
      <c r="F3450" s="898"/>
      <c r="G3450" s="898"/>
      <c r="H3450" s="898"/>
      <c r="I3450" s="898"/>
      <c r="J3450" s="898"/>
      <c r="K3450" s="898">
        <f>J3449</f>
        <v>0.03</v>
      </c>
      <c r="L3450" s="898">
        <f>K3449</f>
        <v>6.6250000000000003E-2</v>
      </c>
      <c r="M3450" s="898">
        <f>L3449</f>
        <v>0.10250000000000001</v>
      </c>
      <c r="N3450" s="898">
        <f>M3449</f>
        <v>0.13875000000000001</v>
      </c>
    </row>
    <row r="3451" spans="1:23" x14ac:dyDescent="0.3">
      <c r="A3451" t="s">
        <v>1803</v>
      </c>
      <c r="B3451" s="898"/>
      <c r="C3451" s="898"/>
      <c r="D3451" s="898"/>
      <c r="E3451" s="898"/>
      <c r="F3451" s="898"/>
      <c r="G3451" s="898"/>
      <c r="H3451" s="898"/>
      <c r="I3451" s="898"/>
      <c r="J3451" s="898"/>
      <c r="K3451" s="898"/>
      <c r="L3451" s="898">
        <f>K3450</f>
        <v>0.03</v>
      </c>
      <c r="M3451" s="898">
        <f>L3450</f>
        <v>6.6250000000000003E-2</v>
      </c>
      <c r="N3451" s="898">
        <f>M3450</f>
        <v>0.10250000000000001</v>
      </c>
      <c r="O3451" s="898"/>
    </row>
    <row r="3452" spans="1:23" x14ac:dyDescent="0.3">
      <c r="A3452" t="s">
        <v>1804</v>
      </c>
      <c r="B3452" s="898"/>
      <c r="C3452" s="898"/>
      <c r="D3452" s="898"/>
      <c r="E3452" s="898"/>
      <c r="F3452" s="898"/>
      <c r="G3452" s="898"/>
      <c r="H3452" s="898"/>
      <c r="I3452" s="898"/>
      <c r="J3452" s="898"/>
      <c r="K3452" s="898"/>
      <c r="L3452" s="898"/>
      <c r="M3452" s="898">
        <f>L3451</f>
        <v>0.03</v>
      </c>
      <c r="N3452" s="898">
        <f>M3451</f>
        <v>6.6250000000000003E-2</v>
      </c>
    </row>
    <row r="3453" spans="1:23" x14ac:dyDescent="0.3">
      <c r="A3453" t="s">
        <v>1805</v>
      </c>
      <c r="B3453" s="898"/>
      <c r="C3453" s="898"/>
      <c r="D3453" s="898"/>
      <c r="E3453" s="898"/>
      <c r="F3453" s="898"/>
      <c r="G3453" s="898"/>
      <c r="H3453" s="898"/>
      <c r="I3453" s="898"/>
      <c r="J3453" s="898"/>
      <c r="K3453" s="898"/>
      <c r="L3453" s="898"/>
      <c r="M3453" s="898"/>
      <c r="N3453" s="898">
        <f>M3452</f>
        <v>0.03</v>
      </c>
    </row>
    <row r="3454" spans="1:23" x14ac:dyDescent="0.3">
      <c r="A3454" t="s">
        <v>1806</v>
      </c>
      <c r="B3454" s="898">
        <f>B3469/B3439</f>
        <v>0.37387527148619298</v>
      </c>
      <c r="C3454" s="898">
        <f t="shared" ref="C3454:N3454" si="1122">C3469/C3439</f>
        <v>0.37592821782178215</v>
      </c>
      <c r="D3454" s="898">
        <f t="shared" si="1122"/>
        <v>0.37746913580246916</v>
      </c>
      <c r="E3454" s="898">
        <f t="shared" si="1122"/>
        <v>0.37827023699599877</v>
      </c>
      <c r="F3454" s="898">
        <f t="shared" si="1122"/>
        <v>0.37413115744938047</v>
      </c>
      <c r="G3454" s="898">
        <f t="shared" si="1122"/>
        <v>0.36653970114268969</v>
      </c>
      <c r="H3454" s="898">
        <f t="shared" si="1122"/>
        <v>0.35378151260504204</v>
      </c>
      <c r="I3454" s="898">
        <f t="shared" si="1122"/>
        <v>0.34407456724367508</v>
      </c>
      <c r="J3454" s="898">
        <f t="shared" si="1122"/>
        <v>0.33462914872054722</v>
      </c>
      <c r="K3454" s="898">
        <f t="shared" si="1122"/>
        <v>0.32621873496873499</v>
      </c>
      <c r="L3454" s="898">
        <f t="shared" si="1122"/>
        <v>0.31552883532327097</v>
      </c>
      <c r="M3454" s="898">
        <f t="shared" si="1122"/>
        <v>0.3038345511482255</v>
      </c>
      <c r="N3454" s="898">
        <f t="shared" si="1122"/>
        <v>0.29426513246954156</v>
      </c>
    </row>
    <row r="3456" spans="1:23" x14ac:dyDescent="0.3">
      <c r="A3456" t="s">
        <v>1807</v>
      </c>
      <c r="B3456" s="899">
        <f>$B$3439*B3441</f>
        <v>1205</v>
      </c>
      <c r="C3456" s="899">
        <f>C3469-SUM(C3457:C3468)</f>
        <v>1214.73</v>
      </c>
      <c r="D3456" s="899">
        <f t="shared" ref="D3456:I3456" si="1123">D3469-SUM(D3457:D3468)</f>
        <v>1222.1637499999999</v>
      </c>
      <c r="E3456" s="899">
        <f t="shared" si="1123"/>
        <v>1227.2774999999999</v>
      </c>
      <c r="F3456" s="899">
        <f t="shared" si="1123"/>
        <v>1233.5350000000001</v>
      </c>
      <c r="G3456" s="899">
        <f t="shared" si="1123"/>
        <v>1240.2974999999999</v>
      </c>
      <c r="H3456" s="899">
        <f t="shared" si="1123"/>
        <v>1240.80125</v>
      </c>
      <c r="I3456" s="899">
        <f t="shared" si="1123"/>
        <v>1251.86375</v>
      </c>
      <c r="J3456" s="899">
        <f>$B$3439*J3441</f>
        <v>1255.8924999999999</v>
      </c>
      <c r="K3456" s="899">
        <f>$B$3439*K3441</f>
        <v>1259.9212499999999</v>
      </c>
      <c r="L3456" s="899">
        <f>$B$3439*L3441</f>
        <v>1263.9499999999998</v>
      </c>
      <c r="M3456" s="899">
        <f>$B$3439*M3441</f>
        <v>1267.9787499999998</v>
      </c>
      <c r="N3456" s="899">
        <f>$B$3439*N3441</f>
        <v>1272.0074999999995</v>
      </c>
    </row>
    <row r="3457" spans="1:14" x14ac:dyDescent="0.3">
      <c r="A3457" t="s">
        <v>1808</v>
      </c>
      <c r="B3457" s="899"/>
      <c r="C3457" s="899">
        <f>$C$3440*C3442</f>
        <v>0.27</v>
      </c>
      <c r="D3457" s="899">
        <f t="shared" ref="D3457:N3457" si="1124">$C$3440*D3442</f>
        <v>0.59625000000000006</v>
      </c>
      <c r="E3457" s="899">
        <f t="shared" si="1124"/>
        <v>0.9225000000000001</v>
      </c>
      <c r="F3457" s="899">
        <f t="shared" si="1124"/>
        <v>1.24875</v>
      </c>
      <c r="G3457" s="899">
        <f t="shared" si="1124"/>
        <v>1.575</v>
      </c>
      <c r="H3457" s="899">
        <f t="shared" si="1124"/>
        <v>1.8</v>
      </c>
      <c r="I3457" s="899">
        <f t="shared" si="1124"/>
        <v>2.0250000000000004</v>
      </c>
      <c r="J3457" s="899">
        <f t="shared" si="1124"/>
        <v>2.2500000000000004</v>
      </c>
      <c r="K3457" s="899">
        <f>$C$3440*K3442</f>
        <v>2.4750000000000001</v>
      </c>
      <c r="L3457" s="899">
        <f t="shared" si="1124"/>
        <v>2.7</v>
      </c>
      <c r="M3457" s="899">
        <f t="shared" si="1124"/>
        <v>2.9250000000000007</v>
      </c>
      <c r="N3457" s="899">
        <f t="shared" si="1124"/>
        <v>3.1500000000000008</v>
      </c>
    </row>
    <row r="3458" spans="1:14" x14ac:dyDescent="0.3">
      <c r="A3458" t="s">
        <v>1809</v>
      </c>
      <c r="B3458" s="899"/>
      <c r="C3458" s="899"/>
      <c r="D3458" s="899">
        <f>$D$3440*D3443</f>
        <v>0.24</v>
      </c>
      <c r="E3458" s="899">
        <f t="shared" ref="E3458:N3458" si="1125">$D$3440*E3443</f>
        <v>0.53</v>
      </c>
      <c r="F3458" s="899">
        <f t="shared" si="1125"/>
        <v>0.82000000000000006</v>
      </c>
      <c r="G3458" s="899">
        <f t="shared" si="1125"/>
        <v>1.1100000000000001</v>
      </c>
      <c r="H3458" s="899">
        <f t="shared" si="1125"/>
        <v>1.4</v>
      </c>
      <c r="I3458" s="899">
        <f t="shared" si="1125"/>
        <v>1.6</v>
      </c>
      <c r="J3458" s="899">
        <f t="shared" si="1125"/>
        <v>1.8000000000000003</v>
      </c>
      <c r="K3458" s="899">
        <f t="shared" si="1125"/>
        <v>2.0000000000000004</v>
      </c>
      <c r="L3458" s="899">
        <f t="shared" si="1125"/>
        <v>2.2000000000000002</v>
      </c>
      <c r="M3458" s="899">
        <f t="shared" si="1125"/>
        <v>2.4000000000000004</v>
      </c>
      <c r="N3458" s="899">
        <f t="shared" si="1125"/>
        <v>2.6000000000000005</v>
      </c>
    </row>
    <row r="3459" spans="1:14" x14ac:dyDescent="0.3">
      <c r="A3459" t="s">
        <v>1810</v>
      </c>
      <c r="B3459" s="899"/>
      <c r="C3459" s="899"/>
      <c r="D3459" s="899"/>
      <c r="E3459" s="899">
        <f>$E$3440*E3444</f>
        <v>0.27</v>
      </c>
      <c r="F3459" s="899">
        <f t="shared" ref="F3459:N3459" si="1126">$E$3440*F3444</f>
        <v>0.59625000000000006</v>
      </c>
      <c r="G3459" s="899">
        <f t="shared" si="1126"/>
        <v>0.9225000000000001</v>
      </c>
      <c r="H3459" s="899">
        <f t="shared" si="1126"/>
        <v>1.24875</v>
      </c>
      <c r="I3459" s="899">
        <f t="shared" si="1126"/>
        <v>1.575</v>
      </c>
      <c r="J3459" s="899">
        <f t="shared" si="1126"/>
        <v>1.8</v>
      </c>
      <c r="K3459" s="899">
        <f t="shared" si="1126"/>
        <v>2.0250000000000004</v>
      </c>
      <c r="L3459" s="899">
        <f t="shared" si="1126"/>
        <v>2.2500000000000004</v>
      </c>
      <c r="M3459" s="899">
        <f t="shared" si="1126"/>
        <v>2.4750000000000001</v>
      </c>
      <c r="N3459" s="899">
        <f t="shared" si="1126"/>
        <v>2.7</v>
      </c>
    </row>
    <row r="3460" spans="1:14" x14ac:dyDescent="0.3">
      <c r="A3460" t="s">
        <v>1811</v>
      </c>
      <c r="B3460" s="899"/>
      <c r="C3460" s="899"/>
      <c r="D3460" s="899"/>
      <c r="E3460" s="899"/>
      <c r="F3460" s="899">
        <f>$F$3440*F3445</f>
        <v>1.7999999999999998</v>
      </c>
      <c r="G3460" s="899">
        <f t="shared" ref="G3460:N3460" si="1127">$F$3440*G3445</f>
        <v>3.9750000000000001</v>
      </c>
      <c r="H3460" s="899">
        <f t="shared" si="1127"/>
        <v>6.15</v>
      </c>
      <c r="I3460" s="899">
        <f t="shared" si="1127"/>
        <v>8.3250000000000011</v>
      </c>
      <c r="J3460" s="899">
        <f t="shared" si="1127"/>
        <v>10.5</v>
      </c>
      <c r="K3460" s="899">
        <f t="shared" si="1127"/>
        <v>12</v>
      </c>
      <c r="L3460" s="899">
        <f t="shared" si="1127"/>
        <v>13.500000000000002</v>
      </c>
      <c r="M3460" s="899">
        <f t="shared" si="1127"/>
        <v>15.000000000000004</v>
      </c>
      <c r="N3460" s="899">
        <f t="shared" si="1127"/>
        <v>16.5</v>
      </c>
    </row>
    <row r="3461" spans="1:14" x14ac:dyDescent="0.3">
      <c r="A3461" t="s">
        <v>1812</v>
      </c>
      <c r="B3461" s="899"/>
      <c r="C3461" s="899"/>
      <c r="D3461" s="899"/>
      <c r="E3461" s="899"/>
      <c r="F3461" s="899"/>
      <c r="G3461" s="899">
        <f>$G$3440*G3446</f>
        <v>3.12</v>
      </c>
      <c r="H3461" s="899">
        <f t="shared" ref="H3461:N3461" si="1128">$G$3440*H3446</f>
        <v>6.8900000000000006</v>
      </c>
      <c r="I3461" s="899">
        <f t="shared" si="1128"/>
        <v>10.66</v>
      </c>
      <c r="J3461" s="899">
        <f t="shared" si="1128"/>
        <v>14.430000000000001</v>
      </c>
      <c r="K3461" s="899">
        <f t="shared" si="1128"/>
        <v>18.2</v>
      </c>
      <c r="L3461" s="899">
        <f t="shared" si="1128"/>
        <v>20.8</v>
      </c>
      <c r="M3461" s="899">
        <f t="shared" si="1128"/>
        <v>23.400000000000002</v>
      </c>
      <c r="N3461" s="899">
        <f t="shared" si="1128"/>
        <v>26.000000000000007</v>
      </c>
    </row>
    <row r="3462" spans="1:14" x14ac:dyDescent="0.3">
      <c r="A3462" t="s">
        <v>1813</v>
      </c>
      <c r="B3462" s="899"/>
      <c r="C3462" s="899"/>
      <c r="D3462" s="899"/>
      <c r="E3462" s="899"/>
      <c r="F3462" s="899"/>
      <c r="G3462" s="899"/>
      <c r="H3462" s="899">
        <f>$H$3440*H3447</f>
        <v>4.71</v>
      </c>
      <c r="I3462" s="899">
        <f t="shared" ref="I3462:N3462" si="1129">$H$3440*I3447</f>
        <v>10.401250000000001</v>
      </c>
      <c r="J3462" s="899">
        <f t="shared" si="1129"/>
        <v>16.092500000000001</v>
      </c>
      <c r="K3462" s="899">
        <f t="shared" si="1129"/>
        <v>21.783750000000001</v>
      </c>
      <c r="L3462" s="899">
        <f t="shared" si="1129"/>
        <v>27.474999999999998</v>
      </c>
      <c r="M3462" s="899">
        <f t="shared" si="1129"/>
        <v>31.400000000000002</v>
      </c>
      <c r="N3462" s="899">
        <f t="shared" si="1129"/>
        <v>35.325000000000003</v>
      </c>
    </row>
    <row r="3463" spans="1:14" x14ac:dyDescent="0.3">
      <c r="A3463" t="s">
        <v>1814</v>
      </c>
      <c r="B3463" s="899"/>
      <c r="C3463" s="899"/>
      <c r="D3463" s="899"/>
      <c r="E3463" s="899"/>
      <c r="F3463" s="899"/>
      <c r="G3463" s="899"/>
      <c r="H3463" s="899"/>
      <c r="I3463" s="899">
        <f t="shared" ref="I3463:N3463" si="1130">$I$3440*I3448</f>
        <v>5.55</v>
      </c>
      <c r="J3463" s="899">
        <f t="shared" si="1130"/>
        <v>12.256250000000001</v>
      </c>
      <c r="K3463" s="899">
        <f t="shared" si="1130"/>
        <v>18.962500000000002</v>
      </c>
      <c r="L3463" s="899">
        <f t="shared" si="1130"/>
        <v>25.668750000000003</v>
      </c>
      <c r="M3463" s="899">
        <f t="shared" si="1130"/>
        <v>32.375</v>
      </c>
      <c r="N3463" s="899">
        <f t="shared" si="1130"/>
        <v>37</v>
      </c>
    </row>
    <row r="3464" spans="1:14" x14ac:dyDescent="0.3">
      <c r="A3464" t="s">
        <v>1815</v>
      </c>
      <c r="B3464" s="899"/>
      <c r="C3464" s="899"/>
      <c r="D3464" s="899"/>
      <c r="E3464" s="899"/>
      <c r="F3464" s="899"/>
      <c r="G3464" s="899"/>
      <c r="H3464" s="899"/>
      <c r="I3464" s="899"/>
      <c r="J3464" s="899">
        <f>$J$3440*J3449</f>
        <v>5.76</v>
      </c>
      <c r="K3464" s="899">
        <f>$J$3440*K3449</f>
        <v>12.72</v>
      </c>
      <c r="L3464" s="899">
        <f>$J$3440*L3449</f>
        <v>19.68</v>
      </c>
      <c r="M3464" s="899">
        <f>$J$3440*M3449</f>
        <v>26.64</v>
      </c>
      <c r="N3464" s="899">
        <f>$J$3440*N3449</f>
        <v>33.599999999999994</v>
      </c>
    </row>
    <row r="3465" spans="1:14" x14ac:dyDescent="0.3">
      <c r="A3465" t="s">
        <v>1816</v>
      </c>
      <c r="B3465" s="899"/>
      <c r="C3465" s="899"/>
      <c r="D3465" s="899"/>
      <c r="E3465" s="899"/>
      <c r="F3465" s="899"/>
      <c r="G3465" s="899"/>
      <c r="H3465" s="899"/>
      <c r="I3465" s="899"/>
      <c r="J3465" s="899"/>
      <c r="K3465" s="899">
        <f>$K$3440*K3450</f>
        <v>6.33</v>
      </c>
      <c r="L3465" s="899">
        <f>$K$3440*L3450</f>
        <v>13.978750000000002</v>
      </c>
      <c r="M3465" s="899">
        <f>$K$3440*M3450</f>
        <v>21.627500000000001</v>
      </c>
      <c r="N3465" s="899">
        <f>$K$3440*N3450</f>
        <v>29.276250000000001</v>
      </c>
    </row>
    <row r="3466" spans="1:14" x14ac:dyDescent="0.3">
      <c r="A3466" t="s">
        <v>1817</v>
      </c>
      <c r="B3466" s="899"/>
      <c r="C3466" s="899"/>
      <c r="D3466" s="899"/>
      <c r="E3466" s="899"/>
      <c r="F3466" s="899"/>
      <c r="G3466" s="899"/>
      <c r="H3466" s="899"/>
      <c r="I3466" s="899"/>
      <c r="J3466" s="899"/>
      <c r="K3466" s="899"/>
      <c r="L3466" s="899">
        <f>$L$3440*L3451</f>
        <v>8.43</v>
      </c>
      <c r="M3466" s="899">
        <f>$L$3440*M3451</f>
        <v>18.616250000000001</v>
      </c>
      <c r="N3466" s="899">
        <f>$L$3440*N3451</f>
        <v>28.802500000000002</v>
      </c>
    </row>
    <row r="3467" spans="1:14" x14ac:dyDescent="0.3">
      <c r="A3467" t="s">
        <v>1818</v>
      </c>
      <c r="B3467" s="899"/>
      <c r="C3467" s="899"/>
      <c r="D3467" s="899"/>
      <c r="E3467" s="899"/>
      <c r="F3467" s="899"/>
      <c r="G3467" s="899"/>
      <c r="H3467" s="899"/>
      <c r="I3467" s="899"/>
      <c r="J3467" s="899"/>
      <c r="K3467" s="899"/>
      <c r="L3467" s="899"/>
      <c r="M3467" s="899">
        <f>$M$3440*M3452</f>
        <v>10.53</v>
      </c>
      <c r="N3467" s="899">
        <f>$M$3440*N3452</f>
        <v>23.25375</v>
      </c>
    </row>
    <row r="3468" spans="1:14" x14ac:dyDescent="0.3">
      <c r="A3468" t="s">
        <v>1819</v>
      </c>
      <c r="B3468" s="904"/>
      <c r="C3468" s="904"/>
      <c r="D3468" s="904"/>
      <c r="E3468" s="904"/>
      <c r="F3468" s="904"/>
      <c r="G3468" s="904"/>
      <c r="H3468" s="904"/>
      <c r="I3468" s="904"/>
      <c r="J3468" s="904"/>
      <c r="K3468" s="904"/>
      <c r="L3468" s="904"/>
      <c r="M3468" s="904"/>
      <c r="N3468" s="904">
        <f>$N$3440*N3453</f>
        <v>11.43</v>
      </c>
    </row>
    <row r="3469" spans="1:14" x14ac:dyDescent="0.3">
      <c r="A3469" t="s">
        <v>1734</v>
      </c>
      <c r="B3469" s="899">
        <f>Drivers!DY115</f>
        <v>1205</v>
      </c>
      <c r="C3469" s="899">
        <f>Drivers!DZ115</f>
        <v>1215</v>
      </c>
      <c r="D3469" s="899">
        <f>Drivers!EA115</f>
        <v>1223</v>
      </c>
      <c r="E3469" s="899">
        <f>Drivers!EB115</f>
        <v>1229</v>
      </c>
      <c r="F3469" s="899">
        <f>Drivers!EC115</f>
        <v>1238</v>
      </c>
      <c r="G3469" s="899">
        <f>Drivers!EE115</f>
        <v>1251</v>
      </c>
      <c r="H3469" s="899">
        <f>Drivers!EF115</f>
        <v>1263</v>
      </c>
      <c r="I3469" s="899">
        <f>Drivers!EG115</f>
        <v>1292</v>
      </c>
      <c r="J3469" s="899">
        <f>SUM(J3456:J3468)</f>
        <v>1320.7812499999998</v>
      </c>
      <c r="K3469" s="899">
        <f>SUM(K3456:K3468)</f>
        <v>1356.4175</v>
      </c>
      <c r="L3469" s="899">
        <f>SUM(L3456:L3468)</f>
        <v>1400.6324999999999</v>
      </c>
      <c r="M3469" s="899">
        <f>SUM(M3456:M3468)</f>
        <v>1455.3675000000001</v>
      </c>
      <c r="N3469" s="899">
        <f>SUM(N3456:N3468)</f>
        <v>1521.6449999999995</v>
      </c>
    </row>
    <row r="3470" spans="1:14" x14ac:dyDescent="0.3">
      <c r="A3470" s="90" t="s">
        <v>1740</v>
      </c>
      <c r="B3470" s="90"/>
      <c r="C3470" s="905">
        <f>C3469-B3469</f>
        <v>10</v>
      </c>
      <c r="D3470" s="905">
        <f t="shared" ref="D3470:N3470" si="1131">D3469-C3469</f>
        <v>8</v>
      </c>
      <c r="E3470" s="905">
        <f t="shared" si="1131"/>
        <v>6</v>
      </c>
      <c r="F3470" s="905">
        <f t="shared" si="1131"/>
        <v>9</v>
      </c>
      <c r="G3470" s="905">
        <f t="shared" si="1131"/>
        <v>13</v>
      </c>
      <c r="H3470" s="905">
        <f t="shared" si="1131"/>
        <v>12</v>
      </c>
      <c r="I3470" s="905">
        <f t="shared" si="1131"/>
        <v>29</v>
      </c>
      <c r="J3470" s="905">
        <f t="shared" si="1131"/>
        <v>28.781249999999773</v>
      </c>
      <c r="K3470" s="905">
        <f t="shared" si="1131"/>
        <v>35.636250000000246</v>
      </c>
      <c r="L3470" s="905">
        <f t="shared" si="1131"/>
        <v>44.214999999999918</v>
      </c>
      <c r="M3470" s="905">
        <f t="shared" si="1131"/>
        <v>54.735000000000127</v>
      </c>
      <c r="N3470" s="905">
        <f t="shared" si="1131"/>
        <v>66.277499999999463</v>
      </c>
    </row>
    <row r="3475" spans="1:19" x14ac:dyDescent="0.3">
      <c r="A3475" s="533"/>
      <c r="B3475" s="534"/>
      <c r="C3475" s="534"/>
      <c r="D3475" s="534"/>
      <c r="E3475" s="534"/>
      <c r="F3475" s="534"/>
      <c r="G3475" s="534"/>
      <c r="H3475" s="534"/>
      <c r="I3475" s="534"/>
      <c r="J3475" s="534"/>
      <c r="K3475" s="534"/>
      <c r="L3475" s="534"/>
      <c r="M3475" s="534"/>
      <c r="N3475" s="534"/>
      <c r="O3475" s="534"/>
      <c r="P3475" s="534"/>
      <c r="Q3475" s="534"/>
      <c r="R3475" s="534"/>
      <c r="S3475" s="534"/>
    </row>
    <row r="3476" spans="1:19" x14ac:dyDescent="0.3">
      <c r="B3476" s="147">
        <v>2020</v>
      </c>
      <c r="C3476" s="147">
        <v>2021</v>
      </c>
      <c r="D3476" s="147">
        <v>2022</v>
      </c>
    </row>
    <row r="3477" spans="1:19" x14ac:dyDescent="0.3">
      <c r="A3477" t="s">
        <v>271</v>
      </c>
      <c r="B3477" s="885">
        <f>Drivers!ED90</f>
        <v>3309</v>
      </c>
      <c r="C3477" s="885">
        <f>Drivers!EI90</f>
        <v>3947</v>
      </c>
      <c r="D3477" s="885">
        <f>Drivers!EN90</f>
        <v>5171</v>
      </c>
    </row>
    <row r="3478" spans="1:19" x14ac:dyDescent="0.3">
      <c r="A3478" t="s">
        <v>1790</v>
      </c>
      <c r="B3478" s="885">
        <v>0</v>
      </c>
      <c r="C3478" s="885">
        <f>C3477-B3477</f>
        <v>638</v>
      </c>
      <c r="D3478" s="885">
        <f>D3477-C3477</f>
        <v>1224</v>
      </c>
    </row>
    <row r="3479" spans="1:19" x14ac:dyDescent="0.3">
      <c r="A3479" t="s">
        <v>1820</v>
      </c>
      <c r="B3479" s="898">
        <f>Drivers!ED120</f>
        <v>0.37413115744938047</v>
      </c>
      <c r="C3479" s="898">
        <f>B3479+0.5%</f>
        <v>0.37913115744938047</v>
      </c>
      <c r="D3479" s="898">
        <f>C3479+0.5%</f>
        <v>0.38413115744938048</v>
      </c>
    </row>
    <row r="3480" spans="1:19" x14ac:dyDescent="0.3">
      <c r="A3480" t="s">
        <v>1821</v>
      </c>
      <c r="B3480" s="898"/>
      <c r="C3480" s="898">
        <f>C3484/C3478</f>
        <v>0.12767241379310335</v>
      </c>
      <c r="D3480" s="898">
        <f>0.175+0.1/2</f>
        <v>0.22499999999999998</v>
      </c>
    </row>
    <row r="3481" spans="1:19" x14ac:dyDescent="0.3">
      <c r="A3481" t="s">
        <v>1822</v>
      </c>
      <c r="B3481" s="898"/>
      <c r="C3481" s="898"/>
      <c r="D3481" s="898">
        <f>0.175/2</f>
        <v>8.7499999999999994E-2</v>
      </c>
    </row>
    <row r="3483" spans="1:19" x14ac:dyDescent="0.3">
      <c r="A3483" t="s">
        <v>1823</v>
      </c>
      <c r="B3483" s="885">
        <f>$B3477*B3479</f>
        <v>1238</v>
      </c>
      <c r="C3483" s="885">
        <f>$B3477*C3479</f>
        <v>1254.5450000000001</v>
      </c>
      <c r="D3483" s="885">
        <f>$B3477*D3479</f>
        <v>1271.0899999999999</v>
      </c>
    </row>
    <row r="3484" spans="1:19" x14ac:dyDescent="0.3">
      <c r="A3484" t="s">
        <v>1824</v>
      </c>
      <c r="B3484" s="885"/>
      <c r="C3484" s="885">
        <f>C3486-C3483</f>
        <v>81.454999999999927</v>
      </c>
      <c r="D3484" s="885">
        <f>$C3478*D3480</f>
        <v>143.54999999999998</v>
      </c>
    </row>
    <row r="3485" spans="1:19" x14ac:dyDescent="0.3">
      <c r="A3485" t="s">
        <v>1825</v>
      </c>
      <c r="B3485" s="901"/>
      <c r="C3485" s="901"/>
      <c r="D3485" s="901">
        <f>$D3478*D3481</f>
        <v>107.1</v>
      </c>
    </row>
    <row r="3486" spans="1:19" ht="12.5" thickBot="1" x14ac:dyDescent="0.35">
      <c r="A3486" t="s">
        <v>1734</v>
      </c>
      <c r="B3486" s="885">
        <f>SUM(B3483:B3485)</f>
        <v>1238</v>
      </c>
      <c r="C3486" s="885">
        <f>Drivers!EI115</f>
        <v>1336</v>
      </c>
      <c r="D3486" s="885">
        <f>SUM(D3483:D3485)</f>
        <v>1521.7399999999998</v>
      </c>
    </row>
    <row r="3487" spans="1:19" ht="12.5" thickBot="1" x14ac:dyDescent="0.35">
      <c r="A3487" s="1126" t="s">
        <v>1740</v>
      </c>
      <c r="B3487" s="1127"/>
      <c r="C3487" s="1127">
        <f>C3486-B3486</f>
        <v>98</v>
      </c>
      <c r="D3487" s="1128">
        <f>D3486-C3486</f>
        <v>185.73999999999978</v>
      </c>
    </row>
    <row r="3489" spans="1:19" x14ac:dyDescent="0.3">
      <c r="A3489" s="533"/>
      <c r="B3489" s="534"/>
      <c r="C3489" s="534"/>
      <c r="D3489" s="534"/>
      <c r="E3489" s="534"/>
      <c r="F3489" s="534"/>
      <c r="G3489" s="534"/>
      <c r="H3489" s="534"/>
      <c r="I3489" s="534"/>
      <c r="J3489" s="534"/>
      <c r="K3489" s="534"/>
      <c r="L3489" s="534"/>
      <c r="M3489" s="534"/>
      <c r="N3489" s="534"/>
      <c r="O3489" s="534"/>
      <c r="P3489" s="534"/>
      <c r="Q3489" s="534"/>
      <c r="R3489" s="534"/>
      <c r="S3489" s="534"/>
    </row>
    <row r="3490" spans="1:19" x14ac:dyDescent="0.3">
      <c r="B3490" s="374" t="s">
        <v>1126</v>
      </c>
      <c r="C3490" s="374" t="s">
        <v>1127</v>
      </c>
    </row>
    <row r="3491" spans="1:19" x14ac:dyDescent="0.3">
      <c r="A3491" t="s">
        <v>324</v>
      </c>
      <c r="B3491">
        <v>3.2</v>
      </c>
      <c r="C3491">
        <f>B3491</f>
        <v>3.2</v>
      </c>
    </row>
    <row r="3492" spans="1:19" ht="12.5" thickBot="1" x14ac:dyDescent="0.35">
      <c r="A3492" t="s">
        <v>270</v>
      </c>
      <c r="B3492" s="1102">
        <v>0.41199999999999998</v>
      </c>
      <c r="C3492" s="1102">
        <v>0.41499999999999998</v>
      </c>
    </row>
    <row r="3493" spans="1:19" ht="12.5" thickBot="1" x14ac:dyDescent="0.35">
      <c r="A3493" s="90" t="s">
        <v>1398</v>
      </c>
      <c r="B3493" s="90">
        <f>B3491*B3492*1000</f>
        <v>1318.4</v>
      </c>
      <c r="C3493" s="90">
        <f>C3491*C3492*1000</f>
        <v>1328</v>
      </c>
      <c r="D3493" s="1101">
        <f>C3493-B3493</f>
        <v>9.5999999999999091</v>
      </c>
    </row>
    <row r="3500" spans="1:19" x14ac:dyDescent="0.3">
      <c r="A3500" s="533" t="s">
        <v>1826</v>
      </c>
      <c r="B3500" s="534"/>
      <c r="C3500" s="534"/>
      <c r="D3500" s="534"/>
      <c r="E3500" s="534"/>
      <c r="F3500" s="534"/>
      <c r="G3500" s="534"/>
      <c r="H3500" s="534"/>
      <c r="I3500" s="534"/>
      <c r="J3500" s="534"/>
      <c r="K3500" s="534"/>
      <c r="L3500" s="534"/>
      <c r="M3500" s="534"/>
      <c r="N3500" s="534"/>
      <c r="O3500" s="534"/>
      <c r="P3500" s="534"/>
      <c r="Q3500" s="534"/>
      <c r="R3500" s="534"/>
      <c r="S3500" s="534"/>
    </row>
    <row r="3501" spans="1:19" x14ac:dyDescent="0.3">
      <c r="B3501" s="42">
        <v>2021</v>
      </c>
      <c r="C3501" s="42">
        <v>2022</v>
      </c>
      <c r="D3501" s="42">
        <v>2023</v>
      </c>
      <c r="E3501" s="42">
        <v>2024</v>
      </c>
      <c r="F3501" s="42">
        <v>2025</v>
      </c>
      <c r="G3501" s="42" t="s">
        <v>266</v>
      </c>
    </row>
    <row r="3502" spans="1:19" x14ac:dyDescent="0.3">
      <c r="A3502" t="s">
        <v>1827</v>
      </c>
      <c r="B3502" s="76">
        <f>Drivers!EI542</f>
        <v>638</v>
      </c>
      <c r="C3502" s="76">
        <f>Drivers!EN542</f>
        <v>1224</v>
      </c>
      <c r="D3502" s="76">
        <f>Drivers!ES542</f>
        <v>1320</v>
      </c>
      <c r="E3502" s="76">
        <f>Drivers!EX542</f>
        <v>1332</v>
      </c>
      <c r="F3502" s="76">
        <f>Drivers!FC542</f>
        <v>1300</v>
      </c>
      <c r="G3502" s="76">
        <f>SUM(B3502:F3502)</f>
        <v>5814</v>
      </c>
    </row>
    <row r="3503" spans="1:19" x14ac:dyDescent="0.3">
      <c r="A3503" s="177" t="s">
        <v>1828</v>
      </c>
      <c r="B3503" s="1086">
        <f>Drivers!EI543</f>
        <v>549.99999999999989</v>
      </c>
      <c r="C3503" s="1086">
        <f>Drivers!EN543</f>
        <v>965.56372549019602</v>
      </c>
      <c r="D3503" s="1086">
        <f>Drivers!ES543</f>
        <v>1074.3181818181818</v>
      </c>
      <c r="E3503" s="1086">
        <f>Drivers!EX543</f>
        <v>1075.0000000000002</v>
      </c>
      <c r="F3503" s="1086">
        <f>Drivers!FC543</f>
        <v>1074.9999999999998</v>
      </c>
      <c r="G3503" s="1086">
        <f>G3504/G3502*1000</f>
        <v>994.19504643962853</v>
      </c>
    </row>
    <row r="3504" spans="1:19" x14ac:dyDescent="0.3">
      <c r="A3504" s="177" t="s">
        <v>1829</v>
      </c>
      <c r="B3504" s="474">
        <f>B3502*B3503/1000</f>
        <v>350.89999999999992</v>
      </c>
      <c r="C3504" s="474">
        <f>C3502*C3503/1000</f>
        <v>1181.8499999999999</v>
      </c>
      <c r="D3504" s="474">
        <f>D3502*D3503/1000</f>
        <v>1418.1</v>
      </c>
      <c r="E3504" s="474">
        <f>E3502*E3503/1000</f>
        <v>1431.9000000000003</v>
      </c>
      <c r="F3504" s="474">
        <f>F3502*F3503/1000</f>
        <v>1397.4999999999998</v>
      </c>
      <c r="G3504" s="474">
        <f>SUM(B3504:F3504)</f>
        <v>5780.25</v>
      </c>
    </row>
    <row r="3516" spans="1:19" x14ac:dyDescent="0.3">
      <c r="A3516" s="533" t="s">
        <v>1830</v>
      </c>
      <c r="B3516" s="534"/>
      <c r="C3516" s="534"/>
      <c r="D3516" s="534"/>
      <c r="E3516" s="534"/>
      <c r="F3516" s="534"/>
      <c r="G3516" s="534"/>
      <c r="H3516" s="534"/>
      <c r="I3516" s="534"/>
      <c r="J3516" s="534"/>
      <c r="K3516" s="534"/>
      <c r="L3516" s="534"/>
      <c r="M3516" s="534"/>
      <c r="N3516" s="534"/>
      <c r="O3516" s="534"/>
      <c r="P3516" s="534"/>
      <c r="Q3516" s="534"/>
      <c r="R3516" s="534"/>
      <c r="S3516" s="534"/>
    </row>
    <row r="3518" spans="1:19" x14ac:dyDescent="0.3">
      <c r="B3518">
        <v>1750</v>
      </c>
      <c r="C3518">
        <v>4750</v>
      </c>
      <c r="D3518">
        <v>8750</v>
      </c>
      <c r="G3518">
        <v>700</v>
      </c>
      <c r="H3518">
        <v>6000</v>
      </c>
      <c r="I3518">
        <f>SUM(G3518:H3518)</f>
        <v>6700</v>
      </c>
      <c r="J3518">
        <v>700</v>
      </c>
      <c r="K3518">
        <f>I3518-J3518</f>
        <v>6000</v>
      </c>
    </row>
    <row r="3519" spans="1:19" x14ac:dyDescent="0.3">
      <c r="B3519">
        <v>2.75</v>
      </c>
      <c r="C3519">
        <v>5.75</v>
      </c>
      <c r="D3519">
        <v>8.75</v>
      </c>
      <c r="G3519">
        <v>550</v>
      </c>
      <c r="H3519">
        <v>950</v>
      </c>
      <c r="I3519" s="885">
        <f>I3520/I3518*1000</f>
        <v>908.20895522388059</v>
      </c>
      <c r="J3519">
        <v>1000</v>
      </c>
      <c r="K3519" s="885">
        <f>K3520/K3518*1000</f>
        <v>897.5</v>
      </c>
    </row>
    <row r="3520" spans="1:19" x14ac:dyDescent="0.3">
      <c r="B3520" s="885">
        <f>B3518/B3519</f>
        <v>636.36363636363637</v>
      </c>
      <c r="C3520" s="885">
        <f>C3518/C3519</f>
        <v>826.08695652173913</v>
      </c>
      <c r="D3520" s="885">
        <f>D3518/D3519</f>
        <v>1000</v>
      </c>
      <c r="G3520">
        <f>G3518*G3519/1000</f>
        <v>385</v>
      </c>
      <c r="H3520">
        <f>H3518*H3519/1000</f>
        <v>5700</v>
      </c>
      <c r="I3520">
        <f>SUM(G3520:H3520)</f>
        <v>6085</v>
      </c>
      <c r="J3520">
        <f>J3518*J3519/1000</f>
        <v>700</v>
      </c>
      <c r="K3520">
        <f>I3520-J3520</f>
        <v>5385</v>
      </c>
    </row>
    <row r="3522" spans="1:19" x14ac:dyDescent="0.3">
      <c r="C3522">
        <f>C3518-B3518</f>
        <v>3000</v>
      </c>
      <c r="D3522">
        <f>D3518-C3518</f>
        <v>4000</v>
      </c>
    </row>
    <row r="3523" spans="1:19" x14ac:dyDescent="0.3">
      <c r="C3523">
        <f>C3519-B3519</f>
        <v>3</v>
      </c>
      <c r="D3523">
        <f>D3519-C3519</f>
        <v>3</v>
      </c>
    </row>
    <row r="3524" spans="1:19" x14ac:dyDescent="0.3">
      <c r="C3524" s="885">
        <f>C3522/C3523</f>
        <v>1000</v>
      </c>
      <c r="D3524" s="885">
        <f>D3522/D3523</f>
        <v>1333.3333333333333</v>
      </c>
    </row>
    <row r="3532" spans="1:19" x14ac:dyDescent="0.3">
      <c r="A3532" s="533" t="s">
        <v>1336</v>
      </c>
      <c r="B3532" s="534"/>
      <c r="C3532" s="534"/>
      <c r="D3532" s="534"/>
      <c r="E3532" s="534"/>
      <c r="F3532" s="534"/>
      <c r="G3532" s="534"/>
      <c r="H3532" s="534"/>
      <c r="I3532" s="534"/>
      <c r="J3532" s="534"/>
      <c r="K3532" s="534"/>
      <c r="L3532" s="534"/>
      <c r="M3532" s="534"/>
      <c r="N3532" s="534"/>
      <c r="O3532" s="534"/>
      <c r="P3532" s="534"/>
      <c r="Q3532" s="534"/>
      <c r="R3532" s="534"/>
      <c r="S3532" s="534"/>
    </row>
    <row r="3534" spans="1:19" x14ac:dyDescent="0.3">
      <c r="A3534" s="618" t="s">
        <v>1831</v>
      </c>
      <c r="B3534" s="494"/>
      <c r="C3534" s="494"/>
      <c r="D3534" s="494"/>
    </row>
    <row r="3535" spans="1:19" x14ac:dyDescent="0.3">
      <c r="A3535" s="144"/>
      <c r="B3535" s="144"/>
      <c r="C3535" s="144"/>
      <c r="D3535" s="144"/>
    </row>
    <row r="3536" spans="1:19" x14ac:dyDescent="0.3">
      <c r="A3536" s="144"/>
      <c r="B3536" s="704" t="s">
        <v>1707</v>
      </c>
      <c r="C3536" s="704" t="s">
        <v>1832</v>
      </c>
      <c r="D3536" s="704" t="s">
        <v>553</v>
      </c>
    </row>
    <row r="3537" spans="1:6" x14ac:dyDescent="0.3">
      <c r="A3537" s="144" t="s">
        <v>271</v>
      </c>
      <c r="B3537" s="999">
        <v>3600</v>
      </c>
      <c r="C3537" s="999">
        <v>10000</v>
      </c>
      <c r="D3537" s="877">
        <f>C3537-B3537</f>
        <v>6400</v>
      </c>
      <c r="F3537">
        <f>D3537*C3542/1000</f>
        <v>6054.4</v>
      </c>
    </row>
    <row r="3538" spans="1:6" x14ac:dyDescent="0.3">
      <c r="A3538" s="708" t="s">
        <v>1833</v>
      </c>
      <c r="B3538" s="873">
        <v>3873</v>
      </c>
      <c r="C3538" s="873">
        <f>B3538</f>
        <v>3873</v>
      </c>
      <c r="D3538" s="144"/>
    </row>
    <row r="3539" spans="1:6" x14ac:dyDescent="0.3">
      <c r="A3539" s="709" t="s">
        <v>1834</v>
      </c>
      <c r="B3539" s="1064">
        <f>B3537*B3538/1000</f>
        <v>13942.8</v>
      </c>
      <c r="C3539" s="1064">
        <f>C3537*C3538/1000</f>
        <v>38730</v>
      </c>
      <c r="D3539" s="1065">
        <f>C3539-B3539</f>
        <v>24787.200000000001</v>
      </c>
    </row>
    <row r="3540" spans="1:6" x14ac:dyDescent="0.3">
      <c r="A3540" s="144"/>
      <c r="B3540" s="999"/>
      <c r="C3540" s="999"/>
      <c r="D3540" s="144"/>
    </row>
    <row r="3541" spans="1:6" x14ac:dyDescent="0.3">
      <c r="A3541" s="144" t="s">
        <v>329</v>
      </c>
      <c r="B3541" s="999">
        <f>14000-B3537</f>
        <v>10400</v>
      </c>
      <c r="C3541" s="999">
        <f>14000-C3537</f>
        <v>4000</v>
      </c>
      <c r="D3541" s="877">
        <f>C3541-B3541</f>
        <v>-6400</v>
      </c>
    </row>
    <row r="3542" spans="1:6" x14ac:dyDescent="0.3">
      <c r="A3542" s="708" t="s">
        <v>1835</v>
      </c>
      <c r="B3542" s="873">
        <v>946</v>
      </c>
      <c r="C3542" s="873">
        <f>B3542</f>
        <v>946</v>
      </c>
      <c r="D3542" s="144"/>
    </row>
    <row r="3543" spans="1:6" x14ac:dyDescent="0.3">
      <c r="A3543" s="709" t="s">
        <v>1263</v>
      </c>
      <c r="B3543" s="1064">
        <f>B3541*B3542/1000</f>
        <v>9838.4</v>
      </c>
      <c r="C3543" s="1064">
        <f>C3541*C3542/1000</f>
        <v>3784</v>
      </c>
      <c r="D3543" s="1065">
        <f>C3543-B3543</f>
        <v>-6054.4</v>
      </c>
    </row>
    <row r="3544" spans="1:6" x14ac:dyDescent="0.3">
      <c r="A3544" s="144"/>
      <c r="B3544" s="144"/>
      <c r="C3544" s="144"/>
      <c r="D3544" s="144"/>
    </row>
    <row r="3545" spans="1:6" x14ac:dyDescent="0.3">
      <c r="A3545" s="708" t="s">
        <v>1836</v>
      </c>
      <c r="B3545" s="877">
        <f>B3539</f>
        <v>13942.8</v>
      </c>
      <c r="C3545" s="877">
        <f>C3539</f>
        <v>38730</v>
      </c>
      <c r="D3545" s="877">
        <f>C3545-B3545</f>
        <v>24787.200000000001</v>
      </c>
    </row>
    <row r="3546" spans="1:6" x14ac:dyDescent="0.3">
      <c r="A3546" s="708" t="s">
        <v>1837</v>
      </c>
      <c r="B3546" s="880">
        <f>B3543</f>
        <v>9838.4</v>
      </c>
      <c r="C3546" s="880">
        <f>C3543</f>
        <v>3784</v>
      </c>
      <c r="D3546" s="144"/>
    </row>
    <row r="3547" spans="1:6" x14ac:dyDescent="0.3">
      <c r="A3547" s="709" t="s">
        <v>1266</v>
      </c>
      <c r="B3547" s="1065">
        <f>SUM(B3545:B3546)</f>
        <v>23781.199999999997</v>
      </c>
      <c r="C3547" s="1065">
        <f>SUM(C3545:C3546)</f>
        <v>42514</v>
      </c>
      <c r="D3547" s="1065">
        <f>C3547-B3547</f>
        <v>18732.800000000003</v>
      </c>
    </row>
    <row r="3548" spans="1:6" x14ac:dyDescent="0.3">
      <c r="A3548" s="144"/>
      <c r="B3548" s="144"/>
      <c r="C3548" s="144"/>
      <c r="D3548" s="144"/>
    </row>
    <row r="3549" spans="1:6" x14ac:dyDescent="0.3">
      <c r="A3549" s="708" t="s">
        <v>1267</v>
      </c>
      <c r="B3549" s="999">
        <f>-'Model Main'!EF198</f>
        <v>-6029</v>
      </c>
      <c r="C3549" s="999">
        <f>B3549</f>
        <v>-6029</v>
      </c>
      <c r="D3549" s="877">
        <f>C3549-B3549</f>
        <v>0</v>
      </c>
    </row>
    <row r="3550" spans="1:6" x14ac:dyDescent="0.3">
      <c r="A3550" s="708" t="s">
        <v>1838</v>
      </c>
      <c r="B3550" s="999">
        <v>0</v>
      </c>
      <c r="C3550" s="999">
        <f>-D3537*B3879/1000</f>
        <v>-8183.883530482256</v>
      </c>
      <c r="D3550" s="877">
        <f>C3550-B3550</f>
        <v>-8183.883530482256</v>
      </c>
      <c r="F3550" s="885">
        <f>-C3550/D3537*1000</f>
        <v>1278.7318016378526</v>
      </c>
    </row>
    <row r="3551" spans="1:6" x14ac:dyDescent="0.3">
      <c r="A3551" s="144"/>
      <c r="B3551" s="144"/>
      <c r="C3551" s="144"/>
      <c r="D3551" s="144"/>
    </row>
    <row r="3552" spans="1:6" x14ac:dyDescent="0.3">
      <c r="A3552" s="493" t="s">
        <v>1269</v>
      </c>
      <c r="B3552" s="892">
        <f>B3547+B3549+B3550</f>
        <v>17752.199999999997</v>
      </c>
      <c r="C3552" s="892">
        <f>C3547+C3549+C3550</f>
        <v>28301.116469517743</v>
      </c>
      <c r="D3552" s="1065">
        <f>C3552-B3552</f>
        <v>10548.916469517746</v>
      </c>
    </row>
    <row r="3553" spans="1:19" x14ac:dyDescent="0.3">
      <c r="A3553" s="144"/>
      <c r="B3553" s="144"/>
      <c r="C3553" s="144"/>
      <c r="D3553" s="144"/>
    </row>
    <row r="3554" spans="1:19" x14ac:dyDescent="0.3">
      <c r="A3554" s="493" t="s">
        <v>1839</v>
      </c>
      <c r="B3554" s="1066">
        <f>B3552/260</f>
        <v>68.277692307692291</v>
      </c>
      <c r="C3554" s="1066">
        <f>C3552/260</f>
        <v>108.85044795968362</v>
      </c>
      <c r="D3554" s="1067">
        <f>C3554-B3554</f>
        <v>40.572755651991329</v>
      </c>
    </row>
    <row r="3555" spans="1:19" x14ac:dyDescent="0.3">
      <c r="A3555" s="494"/>
      <c r="B3555" s="494"/>
      <c r="C3555" s="494"/>
      <c r="D3555" s="494"/>
    </row>
    <row r="3559" spans="1:19" x14ac:dyDescent="0.3">
      <c r="A3559" s="533" t="s">
        <v>1840</v>
      </c>
      <c r="B3559" s="534"/>
      <c r="C3559" s="534"/>
      <c r="D3559" s="534"/>
      <c r="E3559" s="534"/>
      <c r="F3559" s="534"/>
      <c r="G3559" s="534"/>
      <c r="H3559" s="534"/>
      <c r="I3559" s="534"/>
      <c r="J3559" s="534"/>
      <c r="K3559" s="534"/>
      <c r="L3559" s="534"/>
      <c r="M3559" s="534"/>
      <c r="N3559" s="534"/>
      <c r="O3559" s="534"/>
      <c r="P3559" s="534"/>
      <c r="Q3559" s="534"/>
      <c r="R3559" s="534"/>
      <c r="S3559" s="534"/>
    </row>
    <row r="3562" spans="1:19" x14ac:dyDescent="0.3">
      <c r="A3562" t="s">
        <v>1841</v>
      </c>
      <c r="C3562" s="885">
        <f>Drivers!EI180</f>
        <v>1273.25</v>
      </c>
    </row>
    <row r="3563" spans="1:19" x14ac:dyDescent="0.3">
      <c r="A3563" s="177" t="s">
        <v>1842</v>
      </c>
      <c r="C3563" s="885">
        <v>3</v>
      </c>
    </row>
    <row r="3564" spans="1:19" x14ac:dyDescent="0.3">
      <c r="A3564" s="177" t="s">
        <v>1843</v>
      </c>
      <c r="C3564" s="901">
        <v>12</v>
      </c>
    </row>
    <row r="3565" spans="1:19" x14ac:dyDescent="0.3">
      <c r="A3565" s="177" t="s">
        <v>1844</v>
      </c>
      <c r="C3565" s="885">
        <f>C3562*C3563*C3564/1000</f>
        <v>45.837000000000003</v>
      </c>
    </row>
    <row r="3568" spans="1:19" x14ac:dyDescent="0.3">
      <c r="A3568" s="533"/>
      <c r="B3568" s="534"/>
      <c r="C3568" s="534"/>
      <c r="D3568" s="534"/>
      <c r="E3568" s="534"/>
      <c r="F3568" s="534"/>
      <c r="G3568" s="534"/>
      <c r="H3568" s="534"/>
      <c r="I3568" s="534"/>
      <c r="J3568" s="534"/>
      <c r="K3568" s="534"/>
      <c r="L3568" s="534"/>
      <c r="M3568" s="534"/>
      <c r="N3568" s="534"/>
      <c r="O3568" s="534"/>
      <c r="P3568" s="534"/>
      <c r="Q3568" s="534"/>
      <c r="R3568" s="534"/>
      <c r="S3568" s="534"/>
    </row>
    <row r="3570" spans="1:4" x14ac:dyDescent="0.3">
      <c r="B3570" s="374" t="s">
        <v>1845</v>
      </c>
      <c r="C3570" s="374" t="s">
        <v>1846</v>
      </c>
      <c r="D3570" s="374" t="s">
        <v>643</v>
      </c>
    </row>
    <row r="3571" spans="1:4" x14ac:dyDescent="0.3">
      <c r="A3571" t="s">
        <v>198</v>
      </c>
      <c r="B3571" s="76">
        <f>D4532</f>
        <v>337.13971845100633</v>
      </c>
      <c r="C3571" s="76">
        <f>D4518</f>
        <v>6377.5672383119108</v>
      </c>
      <c r="D3571" s="76">
        <f>C3571-B3571</f>
        <v>6040.4275198609048</v>
      </c>
    </row>
    <row r="3572" spans="1:4" x14ac:dyDescent="0.3">
      <c r="A3572" s="177" t="s">
        <v>1847</v>
      </c>
      <c r="B3572" s="104">
        <f>B4532</f>
        <v>653.79399999999998</v>
      </c>
      <c r="C3572" s="104">
        <f>B4518</f>
        <v>6734.7280000000001</v>
      </c>
      <c r="D3572" s="104">
        <f>C3572-B3572</f>
        <v>6080.9340000000002</v>
      </c>
    </row>
    <row r="3573" spans="1:4" x14ac:dyDescent="0.3">
      <c r="A3573" s="298" t="s">
        <v>1848</v>
      </c>
      <c r="B3573" s="900">
        <f>B3571/B3572*1000</f>
        <v>515.66658374198346</v>
      </c>
      <c r="C3573" s="900">
        <f>C3571/C3572*1000</f>
        <v>946.96730711498833</v>
      </c>
      <c r="D3573" s="900">
        <f>D3571/D3572*1000</f>
        <v>993.33877326425591</v>
      </c>
    </row>
    <row r="3576" spans="1:4" x14ac:dyDescent="0.3">
      <c r="B3576" s="374" t="s">
        <v>1849</v>
      </c>
      <c r="C3576" s="374" t="s">
        <v>1850</v>
      </c>
      <c r="D3576" s="374" t="s">
        <v>1846</v>
      </c>
    </row>
    <row r="3577" spans="1:4" x14ac:dyDescent="0.3">
      <c r="A3577" s="177" t="s">
        <v>1851</v>
      </c>
      <c r="B3577" s="885">
        <v>550</v>
      </c>
      <c r="C3577" s="885">
        <v>950</v>
      </c>
      <c r="D3577" s="885">
        <f>D3579/D3578*1000</f>
        <v>908.20895522388059</v>
      </c>
    </row>
    <row r="3578" spans="1:4" x14ac:dyDescent="0.3">
      <c r="A3578" s="177" t="s">
        <v>1852</v>
      </c>
      <c r="B3578" s="901">
        <v>700</v>
      </c>
      <c r="C3578" s="901">
        <v>6000</v>
      </c>
      <c r="D3578" s="901">
        <f>SUM(B3578:C3578)</f>
        <v>6700</v>
      </c>
    </row>
    <row r="3579" spans="1:4" x14ac:dyDescent="0.3">
      <c r="A3579" s="298" t="s">
        <v>1853</v>
      </c>
      <c r="B3579" s="900">
        <f>B3577*B3578/1000</f>
        <v>385</v>
      </c>
      <c r="C3579" s="900">
        <f>C3577*C3578/1000</f>
        <v>5700</v>
      </c>
      <c r="D3579" s="900">
        <f>SUM(B3579:C3579)</f>
        <v>6085</v>
      </c>
    </row>
    <row r="3588" spans="1:19" x14ac:dyDescent="0.3">
      <c r="A3588" s="533"/>
      <c r="B3588" s="534"/>
      <c r="C3588" s="534"/>
      <c r="D3588" s="534"/>
      <c r="E3588" s="534"/>
      <c r="F3588" s="534"/>
      <c r="G3588" s="534"/>
      <c r="H3588" s="534"/>
      <c r="I3588" s="534"/>
      <c r="J3588" s="534"/>
      <c r="K3588" s="534"/>
      <c r="L3588" s="534"/>
      <c r="M3588" s="534"/>
      <c r="N3588" s="534"/>
      <c r="O3588" s="534"/>
      <c r="P3588" s="534"/>
      <c r="Q3588" s="534"/>
      <c r="R3588" s="534"/>
      <c r="S3588" s="534"/>
    </row>
    <row r="3590" spans="1:19" x14ac:dyDescent="0.3">
      <c r="B3590" s="939">
        <v>2021</v>
      </c>
      <c r="C3590" s="939">
        <v>2022</v>
      </c>
      <c r="D3590" s="939">
        <v>2023</v>
      </c>
      <c r="E3590" s="939">
        <v>2024</v>
      </c>
      <c r="F3590" s="939">
        <v>2025</v>
      </c>
    </row>
    <row r="3591" spans="1:19" x14ac:dyDescent="0.3">
      <c r="A3591" t="s">
        <v>99</v>
      </c>
      <c r="B3591" s="76">
        <v>305.92353495920327</v>
      </c>
      <c r="C3591" s="76">
        <v>-477.11713835529531</v>
      </c>
      <c r="D3591" s="76">
        <v>-962.71503184759786</v>
      </c>
      <c r="E3591" s="76">
        <v>-1254.6458747133772</v>
      </c>
      <c r="F3591" s="76">
        <v>-1589.0751834754487</v>
      </c>
    </row>
    <row r="3598" spans="1:19" x14ac:dyDescent="0.3">
      <c r="B3598" s="939">
        <v>2021</v>
      </c>
      <c r="C3598" s="939">
        <v>2022</v>
      </c>
      <c r="D3598" s="939">
        <v>2023</v>
      </c>
      <c r="E3598" s="939">
        <v>2024</v>
      </c>
      <c r="F3598" s="939">
        <v>2025</v>
      </c>
    </row>
    <row r="3599" spans="1:19" x14ac:dyDescent="0.3">
      <c r="A3599" t="s">
        <v>99</v>
      </c>
      <c r="B3599" s="76">
        <v>305.92353495920327</v>
      </c>
      <c r="C3599" s="76">
        <v>-648.88448862834775</v>
      </c>
      <c r="D3599" s="76">
        <v>-1385.2589659473188</v>
      </c>
      <c r="E3599" s="76">
        <v>-1725.8537294569978</v>
      </c>
      <c r="F3599" s="76">
        <v>-90.434307505885499</v>
      </c>
    </row>
    <row r="3610" spans="1:19" x14ac:dyDescent="0.3">
      <c r="A3610" s="533" t="s">
        <v>1854</v>
      </c>
      <c r="B3610" s="534"/>
      <c r="C3610" s="534"/>
      <c r="D3610" s="534"/>
      <c r="E3610" s="534"/>
      <c r="F3610" s="534"/>
      <c r="G3610" s="534"/>
      <c r="H3610" s="534"/>
      <c r="I3610" s="534"/>
      <c r="J3610" s="534"/>
      <c r="K3610" s="534"/>
      <c r="L3610" s="534"/>
      <c r="M3610" s="534"/>
      <c r="N3610" s="534"/>
      <c r="O3610" s="534"/>
      <c r="P3610" s="534"/>
      <c r="Q3610" s="534"/>
      <c r="R3610" s="534"/>
      <c r="S3610" s="534"/>
    </row>
    <row r="3612" spans="1:19" x14ac:dyDescent="0.3">
      <c r="B3612" s="374">
        <v>2019</v>
      </c>
      <c r="C3612" s="374">
        <v>2020</v>
      </c>
    </row>
    <row r="3613" spans="1:19" x14ac:dyDescent="0.3">
      <c r="A3613" t="s">
        <v>1855</v>
      </c>
      <c r="B3613" s="885">
        <v>1521</v>
      </c>
    </row>
    <row r="3614" spans="1:19" x14ac:dyDescent="0.3">
      <c r="A3614" t="s">
        <v>1856</v>
      </c>
      <c r="B3614" s="885">
        <v>180</v>
      </c>
    </row>
    <row r="3615" spans="1:19" x14ac:dyDescent="0.3">
      <c r="A3615" t="s">
        <v>1857</v>
      </c>
      <c r="B3615" s="885">
        <v>894</v>
      </c>
    </row>
    <row r="3616" spans="1:19" x14ac:dyDescent="0.3">
      <c r="A3616" s="90" t="s">
        <v>1743</v>
      </c>
      <c r="B3616" s="900">
        <f>SUM(B3613:B3615)</f>
        <v>2595</v>
      </c>
      <c r="C3616" s="90">
        <v>2600</v>
      </c>
    </row>
    <row r="3617" spans="1:3" x14ac:dyDescent="0.3">
      <c r="B3617" s="885"/>
    </row>
    <row r="3618" spans="1:3" x14ac:dyDescent="0.3">
      <c r="A3618" t="s">
        <v>1858</v>
      </c>
      <c r="B3618" s="885">
        <v>1883</v>
      </c>
    </row>
    <row r="3619" spans="1:3" x14ac:dyDescent="0.3">
      <c r="A3619" t="s">
        <v>1859</v>
      </c>
      <c r="B3619" s="885">
        <v>2139</v>
      </c>
    </row>
    <row r="3620" spans="1:3" x14ac:dyDescent="0.3">
      <c r="A3620" t="s">
        <v>1860</v>
      </c>
      <c r="B3620" s="885">
        <v>591</v>
      </c>
    </row>
    <row r="3621" spans="1:3" x14ac:dyDescent="0.3">
      <c r="A3621" s="90" t="s">
        <v>1861</v>
      </c>
      <c r="B3621" s="900">
        <f>SUM(B3618:B3620)</f>
        <v>4613</v>
      </c>
      <c r="C3621" s="90">
        <f>3400+400</f>
        <v>3800</v>
      </c>
    </row>
    <row r="3622" spans="1:3" x14ac:dyDescent="0.3">
      <c r="B3622" s="885"/>
    </row>
    <row r="3623" spans="1:3" x14ac:dyDescent="0.3">
      <c r="A3623" t="s">
        <v>1862</v>
      </c>
      <c r="B3623" s="885">
        <v>341</v>
      </c>
      <c r="C3623" s="90">
        <f>500</f>
        <v>500</v>
      </c>
    </row>
    <row r="3624" spans="1:3" x14ac:dyDescent="0.3">
      <c r="B3624" s="885"/>
    </row>
    <row r="3625" spans="1:3" x14ac:dyDescent="0.3">
      <c r="A3625" s="90" t="s">
        <v>19</v>
      </c>
      <c r="B3625" s="886">
        <f>B3616+B3621+B3623</f>
        <v>7549</v>
      </c>
      <c r="C3625" s="886">
        <f>C3616+C3621+C3623</f>
        <v>6900</v>
      </c>
    </row>
    <row r="3628" spans="1:3" x14ac:dyDescent="0.3">
      <c r="A3628" t="s">
        <v>1855</v>
      </c>
      <c r="B3628" s="885">
        <v>745</v>
      </c>
    </row>
    <row r="3629" spans="1:3" x14ac:dyDescent="0.3">
      <c r="A3629" t="s">
        <v>1858</v>
      </c>
      <c r="B3629" s="885">
        <v>1172</v>
      </c>
    </row>
    <row r="3630" spans="1:3" x14ac:dyDescent="0.3">
      <c r="A3630" s="90" t="s">
        <v>1863</v>
      </c>
      <c r="B3630" s="886">
        <f>SUM(B3628:B3629)</f>
        <v>1917</v>
      </c>
    </row>
    <row r="3633" spans="1:2" x14ac:dyDescent="0.3">
      <c r="A3633" t="s">
        <v>38</v>
      </c>
      <c r="B3633" s="885">
        <v>3800</v>
      </c>
    </row>
    <row r="3634" spans="1:2" x14ac:dyDescent="0.3">
      <c r="A3634" t="s">
        <v>1864</v>
      </c>
      <c r="B3634" s="885">
        <v>2100</v>
      </c>
    </row>
    <row r="3635" spans="1:2" x14ac:dyDescent="0.3">
      <c r="A3635" t="s">
        <v>1865</v>
      </c>
      <c r="B3635" s="885">
        <v>1600</v>
      </c>
    </row>
    <row r="3636" spans="1:2" x14ac:dyDescent="0.3">
      <c r="A3636" s="90" t="s">
        <v>19</v>
      </c>
      <c r="B3636" s="886">
        <f>SUM(B3633:B3635)</f>
        <v>7500</v>
      </c>
    </row>
    <row r="3639" spans="1:2" x14ac:dyDescent="0.3">
      <c r="A3639" t="s">
        <v>1866</v>
      </c>
      <c r="B3639" s="885">
        <v>1800</v>
      </c>
    </row>
    <row r="3640" spans="1:2" x14ac:dyDescent="0.3">
      <c r="A3640" t="s">
        <v>1867</v>
      </c>
      <c r="B3640" s="885">
        <v>2100</v>
      </c>
    </row>
    <row r="3641" spans="1:2" x14ac:dyDescent="0.3">
      <c r="A3641" s="90" t="s">
        <v>23</v>
      </c>
      <c r="B3641" s="886">
        <f>SUM(B3639:B3640)</f>
        <v>3900</v>
      </c>
    </row>
    <row r="3642" spans="1:2" x14ac:dyDescent="0.3">
      <c r="B3642" s="885"/>
    </row>
    <row r="3643" spans="1:2" x14ac:dyDescent="0.3">
      <c r="A3643" t="s">
        <v>1868</v>
      </c>
      <c r="B3643" s="885">
        <v>300</v>
      </c>
    </row>
    <row r="3644" spans="1:2" x14ac:dyDescent="0.3">
      <c r="A3644" t="s">
        <v>1869</v>
      </c>
      <c r="B3644" s="885">
        <v>1400</v>
      </c>
    </row>
    <row r="3645" spans="1:2" x14ac:dyDescent="0.3">
      <c r="A3645" s="90" t="s">
        <v>1870</v>
      </c>
      <c r="B3645" s="886">
        <f>SUM(B3643:B3644)</f>
        <v>1700</v>
      </c>
    </row>
    <row r="3646" spans="1:2" x14ac:dyDescent="0.3">
      <c r="B3646" s="885"/>
    </row>
    <row r="3647" spans="1:2" x14ac:dyDescent="0.3">
      <c r="A3647" t="s">
        <v>1871</v>
      </c>
      <c r="B3647" s="885">
        <v>500</v>
      </c>
    </row>
    <row r="3648" spans="1:2" x14ac:dyDescent="0.3">
      <c r="A3648" t="s">
        <v>1872</v>
      </c>
      <c r="B3648" s="885">
        <v>1500</v>
      </c>
    </row>
    <row r="3649" spans="1:19" x14ac:dyDescent="0.3">
      <c r="A3649" s="90" t="s">
        <v>1873</v>
      </c>
      <c r="B3649" s="886">
        <f>SUM(B3647:B3648)</f>
        <v>2000</v>
      </c>
    </row>
    <row r="3660" spans="1:19" x14ac:dyDescent="0.3">
      <c r="A3660" s="533" t="s">
        <v>1874</v>
      </c>
      <c r="B3660" s="534"/>
      <c r="C3660" s="534"/>
      <c r="D3660" s="534"/>
      <c r="E3660" s="534"/>
      <c r="F3660" s="534"/>
      <c r="G3660" s="534"/>
      <c r="H3660" s="534"/>
      <c r="I3660" s="534"/>
      <c r="J3660" s="534"/>
      <c r="K3660" s="534"/>
      <c r="L3660" s="534"/>
      <c r="M3660" s="534"/>
      <c r="N3660" s="534"/>
      <c r="O3660" s="534"/>
      <c r="P3660" s="534"/>
      <c r="Q3660" s="534"/>
      <c r="R3660" s="534"/>
      <c r="S3660" s="534"/>
    </row>
    <row r="3662" spans="1:19" x14ac:dyDescent="0.3">
      <c r="A3662" s="141" t="s">
        <v>1875</v>
      </c>
    </row>
    <row r="3663" spans="1:19" x14ac:dyDescent="0.3">
      <c r="A3663" s="374"/>
      <c r="B3663" s="374" t="s">
        <v>1876</v>
      </c>
      <c r="C3663" s="374" t="s">
        <v>1877</v>
      </c>
      <c r="D3663" s="374" t="s">
        <v>1878</v>
      </c>
      <c r="E3663" s="374" t="s">
        <v>1879</v>
      </c>
      <c r="F3663" s="374" t="s">
        <v>1166</v>
      </c>
      <c r="G3663" s="374" t="s">
        <v>1167</v>
      </c>
      <c r="H3663" s="374" t="s">
        <v>1168</v>
      </c>
      <c r="I3663" s="374" t="s">
        <v>1169</v>
      </c>
      <c r="J3663" s="374" t="s">
        <v>1125</v>
      </c>
    </row>
    <row r="3664" spans="1:19" x14ac:dyDescent="0.3">
      <c r="A3664" s="90" t="s">
        <v>1880</v>
      </c>
    </row>
    <row r="3665" spans="1:10" x14ac:dyDescent="0.3">
      <c r="A3665" s="177" t="s">
        <v>1881</v>
      </c>
      <c r="F3665">
        <v>3.2</v>
      </c>
      <c r="G3665">
        <v>3.2</v>
      </c>
      <c r="H3665">
        <v>3.2</v>
      </c>
      <c r="I3665">
        <v>3.2</v>
      </c>
      <c r="J3665">
        <v>3.2</v>
      </c>
    </row>
    <row r="3666" spans="1:10" x14ac:dyDescent="0.3">
      <c r="A3666" s="177" t="s">
        <v>1882</v>
      </c>
      <c r="F3666">
        <v>3.2</v>
      </c>
      <c r="G3666">
        <v>3.2</v>
      </c>
      <c r="H3666">
        <v>3.2</v>
      </c>
      <c r="I3666">
        <v>3.3</v>
      </c>
      <c r="J3666">
        <v>3.4</v>
      </c>
    </row>
    <row r="3668" spans="1:10" x14ac:dyDescent="0.3">
      <c r="A3668" s="90" t="s">
        <v>1883</v>
      </c>
    </row>
    <row r="3669" spans="1:10" x14ac:dyDescent="0.3">
      <c r="A3669" s="177" t="s">
        <v>1881</v>
      </c>
      <c r="F3669" s="898">
        <v>0.40899999999999997</v>
      </c>
      <c r="G3669" s="898">
        <v>0.41099999999999998</v>
      </c>
      <c r="H3669" s="898">
        <v>0.41199999999999998</v>
      </c>
      <c r="I3669" s="898">
        <v>0.41399999999999998</v>
      </c>
      <c r="J3669" s="898">
        <v>0.41499999999999998</v>
      </c>
    </row>
    <row r="3670" spans="1:10" x14ac:dyDescent="0.3">
      <c r="A3670" s="177" t="s">
        <v>1882</v>
      </c>
      <c r="F3670" s="898">
        <v>0.41</v>
      </c>
      <c r="G3670" s="898">
        <v>0.41099999999999998</v>
      </c>
      <c r="H3670" s="898">
        <v>0.41199999999999998</v>
      </c>
      <c r="I3670" s="898">
        <v>0.40699999999999997</v>
      </c>
      <c r="J3670" s="898">
        <v>0.39900000000000002</v>
      </c>
    </row>
    <row r="3672" spans="1:10" x14ac:dyDescent="0.3">
      <c r="A3672" s="90" t="s">
        <v>1884</v>
      </c>
    </row>
    <row r="3673" spans="1:10" x14ac:dyDescent="0.3">
      <c r="A3673" s="177" t="s">
        <v>1885</v>
      </c>
    </row>
    <row r="3674" spans="1:10" x14ac:dyDescent="0.3">
      <c r="A3674" s="177" t="s">
        <v>1886</v>
      </c>
      <c r="B3674" s="885">
        <v>1195</v>
      </c>
      <c r="C3674" s="885">
        <v>1186</v>
      </c>
      <c r="D3674" s="885">
        <v>1186</v>
      </c>
      <c r="E3674" s="885">
        <v>1190</v>
      </c>
      <c r="F3674" s="885">
        <v>1200</v>
      </c>
      <c r="G3674" s="885">
        <v>1207</v>
      </c>
      <c r="H3674" s="885">
        <v>1214</v>
      </c>
      <c r="I3674" s="885">
        <v>1223</v>
      </c>
      <c r="J3674" s="885">
        <v>1234</v>
      </c>
    </row>
    <row r="3675" spans="1:10" x14ac:dyDescent="0.3">
      <c r="A3675" s="177" t="s">
        <v>1887</v>
      </c>
      <c r="B3675" s="901">
        <v>1565</v>
      </c>
      <c r="C3675" s="901">
        <v>1523</v>
      </c>
      <c r="D3675" s="901">
        <v>1474</v>
      </c>
      <c r="E3675" s="901">
        <v>1441</v>
      </c>
      <c r="F3675" s="901">
        <v>1418</v>
      </c>
      <c r="G3675" s="901">
        <v>1401</v>
      </c>
      <c r="H3675" s="901">
        <v>1380</v>
      </c>
      <c r="I3675" s="901">
        <v>1348</v>
      </c>
      <c r="J3675" s="901">
        <v>1326</v>
      </c>
    </row>
    <row r="3676" spans="1:10" x14ac:dyDescent="0.3">
      <c r="A3676" s="298" t="s">
        <v>1888</v>
      </c>
      <c r="B3676" s="900">
        <f t="shared" ref="B3676:J3676" si="1132">SUM(B3674:B3675)</f>
        <v>2760</v>
      </c>
      <c r="C3676" s="900">
        <f t="shared" si="1132"/>
        <v>2709</v>
      </c>
      <c r="D3676" s="900">
        <f t="shared" si="1132"/>
        <v>2660</v>
      </c>
      <c r="E3676" s="900">
        <f t="shared" si="1132"/>
        <v>2631</v>
      </c>
      <c r="F3676" s="900">
        <f t="shared" si="1132"/>
        <v>2618</v>
      </c>
      <c r="G3676" s="900">
        <f t="shared" si="1132"/>
        <v>2608</v>
      </c>
      <c r="H3676" s="900">
        <f t="shared" si="1132"/>
        <v>2594</v>
      </c>
      <c r="I3676" s="900">
        <f t="shared" si="1132"/>
        <v>2571</v>
      </c>
      <c r="J3676" s="900">
        <f t="shared" si="1132"/>
        <v>2560</v>
      </c>
    </row>
    <row r="3678" spans="1:10" x14ac:dyDescent="0.3">
      <c r="A3678" s="177" t="s">
        <v>1889</v>
      </c>
    </row>
    <row r="3679" spans="1:10" x14ac:dyDescent="0.3">
      <c r="A3679" s="177" t="s">
        <v>1886</v>
      </c>
      <c r="B3679" s="885">
        <v>117</v>
      </c>
      <c r="C3679" s="885">
        <v>117</v>
      </c>
      <c r="D3679" s="885">
        <v>117</v>
      </c>
      <c r="E3679" s="885">
        <v>118</v>
      </c>
      <c r="F3679" s="885">
        <v>118</v>
      </c>
      <c r="G3679" s="885">
        <v>116</v>
      </c>
      <c r="H3679" s="885">
        <v>117</v>
      </c>
      <c r="I3679" s="885">
        <v>117</v>
      </c>
      <c r="J3679" s="885">
        <v>120</v>
      </c>
    </row>
    <row r="3680" spans="1:10" x14ac:dyDescent="0.3">
      <c r="A3680" s="177" t="s">
        <v>1887</v>
      </c>
      <c r="B3680" s="901">
        <v>198</v>
      </c>
      <c r="C3680" s="901">
        <v>192</v>
      </c>
      <c r="D3680" s="901">
        <v>185</v>
      </c>
      <c r="E3680" s="901">
        <v>179</v>
      </c>
      <c r="F3680" s="901">
        <v>171</v>
      </c>
      <c r="G3680" s="901">
        <v>166</v>
      </c>
      <c r="H3680" s="901">
        <v>160</v>
      </c>
      <c r="I3680" s="901">
        <v>154</v>
      </c>
      <c r="J3680" s="901">
        <v>149</v>
      </c>
    </row>
    <row r="3681" spans="1:10" x14ac:dyDescent="0.3">
      <c r="A3681" s="298" t="s">
        <v>1888</v>
      </c>
      <c r="B3681" s="900">
        <f t="shared" ref="B3681:J3681" si="1133">SUM(B3679:B3680)</f>
        <v>315</v>
      </c>
      <c r="C3681" s="900">
        <f t="shared" si="1133"/>
        <v>309</v>
      </c>
      <c r="D3681" s="900">
        <f t="shared" si="1133"/>
        <v>302</v>
      </c>
      <c r="E3681" s="900">
        <f t="shared" si="1133"/>
        <v>297</v>
      </c>
      <c r="F3681" s="900">
        <f t="shared" si="1133"/>
        <v>289</v>
      </c>
      <c r="G3681" s="900">
        <f t="shared" si="1133"/>
        <v>282</v>
      </c>
      <c r="H3681" s="900">
        <f t="shared" si="1133"/>
        <v>277</v>
      </c>
      <c r="I3681" s="900">
        <f t="shared" si="1133"/>
        <v>271</v>
      </c>
      <c r="J3681" s="900">
        <f t="shared" si="1133"/>
        <v>269</v>
      </c>
    </row>
    <row r="3683" spans="1:10" x14ac:dyDescent="0.3">
      <c r="A3683" s="90" t="s">
        <v>1890</v>
      </c>
    </row>
    <row r="3684" spans="1:10" x14ac:dyDescent="0.3">
      <c r="A3684" s="177" t="s">
        <v>1885</v>
      </c>
    </row>
    <row r="3685" spans="1:10" x14ac:dyDescent="0.3">
      <c r="A3685" s="177" t="s">
        <v>1886</v>
      </c>
      <c r="B3685" s="885">
        <v>-7</v>
      </c>
      <c r="C3685" s="885">
        <v>-9</v>
      </c>
      <c r="D3685" s="885">
        <v>0</v>
      </c>
      <c r="E3685" s="885">
        <v>4</v>
      </c>
      <c r="F3685" s="885">
        <v>10</v>
      </c>
      <c r="G3685" s="885">
        <v>7</v>
      </c>
      <c r="H3685" s="885">
        <v>7</v>
      </c>
      <c r="I3685" s="885">
        <v>9</v>
      </c>
      <c r="J3685" s="885">
        <v>11</v>
      </c>
    </row>
    <row r="3686" spans="1:10" x14ac:dyDescent="0.3">
      <c r="A3686" s="177" t="s">
        <v>1887</v>
      </c>
      <c r="B3686" s="901">
        <v>-19</v>
      </c>
      <c r="C3686" s="901">
        <v>-42</v>
      </c>
      <c r="D3686" s="901">
        <v>-49</v>
      </c>
      <c r="E3686" s="901">
        <v>-33</v>
      </c>
      <c r="F3686" s="901">
        <v>-23</v>
      </c>
      <c r="G3686" s="901">
        <v>-17</v>
      </c>
      <c r="H3686" s="901">
        <v>-21</v>
      </c>
      <c r="I3686" s="901">
        <v>-31</v>
      </c>
      <c r="J3686" s="901">
        <v>-22</v>
      </c>
    </row>
    <row r="3687" spans="1:10" x14ac:dyDescent="0.3">
      <c r="A3687" s="298" t="s">
        <v>1888</v>
      </c>
      <c r="B3687" s="900">
        <f t="shared" ref="B3687:J3687" si="1134">SUM(B3685:B3686)</f>
        <v>-26</v>
      </c>
      <c r="C3687" s="900">
        <f t="shared" si="1134"/>
        <v>-51</v>
      </c>
      <c r="D3687" s="900">
        <f t="shared" si="1134"/>
        <v>-49</v>
      </c>
      <c r="E3687" s="900">
        <f t="shared" si="1134"/>
        <v>-29</v>
      </c>
      <c r="F3687" s="900">
        <f t="shared" si="1134"/>
        <v>-13</v>
      </c>
      <c r="G3687" s="900">
        <f t="shared" si="1134"/>
        <v>-10</v>
      </c>
      <c r="H3687" s="900">
        <f t="shared" si="1134"/>
        <v>-14</v>
      </c>
      <c r="I3687" s="900">
        <f t="shared" si="1134"/>
        <v>-22</v>
      </c>
      <c r="J3687" s="900">
        <f t="shared" si="1134"/>
        <v>-11</v>
      </c>
    </row>
    <row r="3689" spans="1:10" x14ac:dyDescent="0.3">
      <c r="A3689" s="177" t="s">
        <v>1889</v>
      </c>
    </row>
    <row r="3690" spans="1:10" x14ac:dyDescent="0.3">
      <c r="A3690" s="177" t="s">
        <v>1886</v>
      </c>
      <c r="B3690" s="885">
        <v>0</v>
      </c>
      <c r="C3690" s="885">
        <v>0</v>
      </c>
      <c r="D3690" s="885">
        <v>0</v>
      </c>
      <c r="E3690" s="885">
        <v>1</v>
      </c>
      <c r="F3690" s="885">
        <v>0</v>
      </c>
      <c r="G3690" s="885">
        <v>-2</v>
      </c>
      <c r="H3690" s="885">
        <v>1</v>
      </c>
      <c r="I3690" s="885">
        <v>0</v>
      </c>
      <c r="J3690" s="885">
        <v>3</v>
      </c>
    </row>
    <row r="3691" spans="1:10" x14ac:dyDescent="0.3">
      <c r="A3691" s="177" t="s">
        <v>1887</v>
      </c>
      <c r="B3691" s="901">
        <v>-7</v>
      </c>
      <c r="C3691" s="901">
        <v>-6</v>
      </c>
      <c r="D3691" s="901">
        <v>-7</v>
      </c>
      <c r="E3691" s="901">
        <v>-6</v>
      </c>
      <c r="F3691" s="901">
        <v>-8</v>
      </c>
      <c r="G3691" s="901">
        <v>-5</v>
      </c>
      <c r="H3691" s="901">
        <v>-6</v>
      </c>
      <c r="I3691" s="901">
        <v>-6</v>
      </c>
      <c r="J3691" s="901">
        <v>-5</v>
      </c>
    </row>
    <row r="3692" spans="1:10" x14ac:dyDescent="0.3">
      <c r="A3692" s="298" t="s">
        <v>1888</v>
      </c>
      <c r="B3692" s="900">
        <f t="shared" ref="B3692:J3692" si="1135">SUM(B3690:B3691)</f>
        <v>-7</v>
      </c>
      <c r="C3692" s="900">
        <f t="shared" si="1135"/>
        <v>-6</v>
      </c>
      <c r="D3692" s="900">
        <f t="shared" si="1135"/>
        <v>-7</v>
      </c>
      <c r="E3692" s="900">
        <f t="shared" si="1135"/>
        <v>-5</v>
      </c>
      <c r="F3692" s="900">
        <f t="shared" si="1135"/>
        <v>-8</v>
      </c>
      <c r="G3692" s="900">
        <f t="shared" si="1135"/>
        <v>-7</v>
      </c>
      <c r="H3692" s="900">
        <f t="shared" si="1135"/>
        <v>-5</v>
      </c>
      <c r="I3692" s="900">
        <f t="shared" si="1135"/>
        <v>-6</v>
      </c>
      <c r="J3692" s="900">
        <f t="shared" si="1135"/>
        <v>-2</v>
      </c>
    </row>
    <row r="3694" spans="1:10" x14ac:dyDescent="0.3">
      <c r="A3694" s="90" t="s">
        <v>1891</v>
      </c>
    </row>
    <row r="3695" spans="1:10" x14ac:dyDescent="0.3">
      <c r="A3695" s="177" t="s">
        <v>1885</v>
      </c>
    </row>
    <row r="3696" spans="1:10" x14ac:dyDescent="0.3">
      <c r="A3696" s="177" t="s">
        <v>1886</v>
      </c>
      <c r="B3696" s="902">
        <v>2.75E-2</v>
      </c>
      <c r="C3696" s="902">
        <v>2.81E-2</v>
      </c>
      <c r="D3696" s="902">
        <v>2.69E-2</v>
      </c>
      <c r="E3696" s="902">
        <v>2.24E-2</v>
      </c>
      <c r="F3696" s="902">
        <v>1.9699999999999999E-2</v>
      </c>
      <c r="G3696" s="902">
        <v>1.54E-2</v>
      </c>
      <c r="H3696" s="902">
        <v>1.8100000000000002E-2</v>
      </c>
      <c r="I3696" s="902">
        <v>1.5599999999999999E-2</v>
      </c>
      <c r="J3696" s="902">
        <v>1.4E-2</v>
      </c>
    </row>
    <row r="3697" spans="1:10" x14ac:dyDescent="0.3">
      <c r="A3697" s="177" t="s">
        <v>1887</v>
      </c>
      <c r="B3697" s="902">
        <v>2.3800000000000002E-2</v>
      </c>
      <c r="C3697" s="902">
        <v>2.64E-2</v>
      </c>
      <c r="D3697" s="902">
        <v>2.9100000000000001E-2</v>
      </c>
      <c r="E3697" s="902">
        <v>2.53E-2</v>
      </c>
      <c r="F3697" s="902">
        <v>2.3599999999999999E-2</v>
      </c>
      <c r="G3697" s="902">
        <v>2.0299999999999999E-2</v>
      </c>
      <c r="H3697" s="902">
        <v>2.1100000000000001E-2</v>
      </c>
      <c r="I3697" s="902">
        <v>1.9599999999999999E-2</v>
      </c>
      <c r="J3697" s="902">
        <v>1.6299999999999999E-2</v>
      </c>
    </row>
    <row r="3698" spans="1:10" x14ac:dyDescent="0.3">
      <c r="A3698" s="298" t="s">
        <v>1888</v>
      </c>
      <c r="B3698" s="903">
        <v>2.5399999999999999E-2</v>
      </c>
      <c r="C3698" s="903">
        <v>2.7099999999999999E-2</v>
      </c>
      <c r="D3698" s="903">
        <v>2.81E-2</v>
      </c>
      <c r="E3698" s="903">
        <v>2.4E-2</v>
      </c>
      <c r="F3698" s="903">
        <v>2.18E-2</v>
      </c>
      <c r="G3698" s="903">
        <v>1.8100000000000002E-2</v>
      </c>
      <c r="H3698" s="903">
        <v>1.9699999999999999E-2</v>
      </c>
      <c r="I3698" s="903">
        <v>1.77E-2</v>
      </c>
      <c r="J3698" s="903">
        <v>1.52E-2</v>
      </c>
    </row>
    <row r="3699" spans="1:10" x14ac:dyDescent="0.3">
      <c r="B3699" s="902"/>
      <c r="C3699" s="902"/>
      <c r="D3699" s="902"/>
      <c r="E3699" s="902"/>
      <c r="F3699" s="902"/>
      <c r="G3699" s="902"/>
      <c r="H3699" s="902"/>
      <c r="I3699" s="902"/>
      <c r="J3699" s="902"/>
    </row>
    <row r="3700" spans="1:10" x14ac:dyDescent="0.3">
      <c r="A3700" s="177" t="s">
        <v>1889</v>
      </c>
      <c r="B3700" s="902"/>
      <c r="C3700" s="902"/>
      <c r="D3700" s="902"/>
      <c r="E3700" s="902"/>
      <c r="F3700" s="902"/>
      <c r="G3700" s="902"/>
      <c r="H3700" s="902"/>
      <c r="I3700" s="902"/>
      <c r="J3700" s="902"/>
    </row>
    <row r="3701" spans="1:10" x14ac:dyDescent="0.3">
      <c r="A3701" s="177" t="s">
        <v>1886</v>
      </c>
      <c r="B3701" s="902">
        <v>2.1399999999999999E-2</v>
      </c>
      <c r="C3701" s="902">
        <v>1.9599999999999999E-2</v>
      </c>
      <c r="D3701" s="902">
        <v>0.02</v>
      </c>
      <c r="E3701" s="902">
        <v>1.7999999999999999E-2</v>
      </c>
      <c r="F3701" s="902">
        <v>1.8800000000000001E-2</v>
      </c>
      <c r="G3701" s="902">
        <v>1.7399999999999999E-2</v>
      </c>
      <c r="H3701" s="902">
        <v>1.67E-2</v>
      </c>
      <c r="I3701" s="902">
        <v>1.49E-2</v>
      </c>
      <c r="J3701" s="902">
        <v>1.44E-2</v>
      </c>
    </row>
    <row r="3702" spans="1:10" x14ac:dyDescent="0.3">
      <c r="A3702" s="177" t="s">
        <v>1887</v>
      </c>
      <c r="B3702" s="902">
        <v>2.23E-2</v>
      </c>
      <c r="C3702" s="902">
        <v>2.18E-2</v>
      </c>
      <c r="D3702" s="902">
        <v>2.2599999999999999E-2</v>
      </c>
      <c r="E3702" s="902">
        <v>2.1600000000000001E-2</v>
      </c>
      <c r="F3702" s="902">
        <v>2.1399999999999999E-2</v>
      </c>
      <c r="G3702" s="902">
        <v>1.8800000000000001E-2</v>
      </c>
      <c r="H3702" s="902">
        <v>2.01E-2</v>
      </c>
      <c r="I3702" s="902">
        <v>1.7600000000000001E-2</v>
      </c>
      <c r="J3702" s="902">
        <v>1.7000000000000001E-2</v>
      </c>
    </row>
    <row r="3703" spans="1:10" x14ac:dyDescent="0.3">
      <c r="A3703" s="298" t="s">
        <v>1888</v>
      </c>
      <c r="B3703" s="903">
        <v>2.1999999999999999E-2</v>
      </c>
      <c r="C3703" s="903">
        <v>2.0899999999999998E-2</v>
      </c>
      <c r="D3703" s="903">
        <v>2.1600000000000001E-2</v>
      </c>
      <c r="E3703" s="903">
        <v>2.0199999999999999E-2</v>
      </c>
      <c r="F3703" s="903">
        <v>2.0299999999999999E-2</v>
      </c>
      <c r="G3703" s="903">
        <v>1.8200000000000001E-2</v>
      </c>
      <c r="H3703" s="903">
        <v>1.8700000000000001E-2</v>
      </c>
      <c r="I3703" s="903">
        <v>1.6500000000000001E-2</v>
      </c>
      <c r="J3703" s="903">
        <v>1.5900000000000001E-2</v>
      </c>
    </row>
    <row r="3705" spans="1:10" x14ac:dyDescent="0.3">
      <c r="A3705" s="90" t="s">
        <v>645</v>
      </c>
    </row>
    <row r="3706" spans="1:10" x14ac:dyDescent="0.3">
      <c r="A3706" s="177" t="s">
        <v>1885</v>
      </c>
    </row>
    <row r="3707" spans="1:10" x14ac:dyDescent="0.3">
      <c r="A3707" s="177" t="s">
        <v>1886</v>
      </c>
      <c r="B3707" s="899">
        <v>55.1</v>
      </c>
      <c r="C3707" s="899">
        <v>53.5</v>
      </c>
      <c r="D3707" s="899">
        <v>52.9</v>
      </c>
      <c r="E3707" s="899">
        <v>52.7</v>
      </c>
      <c r="F3707" s="899">
        <v>52.5</v>
      </c>
      <c r="G3707" s="899">
        <v>52.4</v>
      </c>
      <c r="H3707" s="899">
        <v>52.8</v>
      </c>
      <c r="I3707" s="899">
        <v>54.5</v>
      </c>
      <c r="J3707" s="899">
        <v>56</v>
      </c>
    </row>
    <row r="3708" spans="1:10" x14ac:dyDescent="0.3">
      <c r="A3708" s="177" t="s">
        <v>1887</v>
      </c>
      <c r="B3708" s="904">
        <v>38.1</v>
      </c>
      <c r="C3708" s="904">
        <v>38.5</v>
      </c>
      <c r="D3708" s="904">
        <v>38.9</v>
      </c>
      <c r="E3708" s="904">
        <v>38.799999999999997</v>
      </c>
      <c r="F3708" s="904">
        <v>38.700000000000003</v>
      </c>
      <c r="G3708" s="904">
        <v>39.1</v>
      </c>
      <c r="H3708" s="904">
        <v>39.1</v>
      </c>
      <c r="I3708" s="904">
        <v>39.299999999999997</v>
      </c>
      <c r="J3708" s="904">
        <v>40.1</v>
      </c>
    </row>
    <row r="3709" spans="1:10" x14ac:dyDescent="0.3">
      <c r="A3709" s="298" t="s">
        <v>1888</v>
      </c>
      <c r="B3709" s="905">
        <v>45.4</v>
      </c>
      <c r="C3709" s="905">
        <v>45</v>
      </c>
      <c r="D3709" s="905">
        <v>45.1</v>
      </c>
      <c r="E3709" s="905">
        <v>45</v>
      </c>
      <c r="F3709" s="905">
        <v>44.9</v>
      </c>
      <c r="G3709" s="905">
        <v>45.2</v>
      </c>
      <c r="H3709" s="905">
        <v>45.5</v>
      </c>
      <c r="I3709" s="905">
        <v>6.5</v>
      </c>
      <c r="J3709" s="905">
        <v>47.7</v>
      </c>
    </row>
    <row r="3710" spans="1:10" x14ac:dyDescent="0.3">
      <c r="B3710" s="899"/>
      <c r="C3710" s="899"/>
      <c r="D3710" s="899"/>
      <c r="E3710" s="899"/>
      <c r="F3710" s="899"/>
      <c r="G3710" s="899"/>
      <c r="H3710" s="899"/>
      <c r="I3710" s="899"/>
      <c r="J3710" s="899"/>
    </row>
    <row r="3711" spans="1:10" x14ac:dyDescent="0.3">
      <c r="A3711" s="177" t="s">
        <v>1889</v>
      </c>
      <c r="B3711" s="899"/>
      <c r="C3711" s="899"/>
      <c r="D3711" s="899"/>
      <c r="E3711" s="899"/>
      <c r="F3711" s="899"/>
      <c r="G3711" s="899"/>
      <c r="H3711" s="899"/>
      <c r="I3711" s="899"/>
      <c r="J3711" s="899"/>
    </row>
    <row r="3712" spans="1:10" x14ac:dyDescent="0.3">
      <c r="A3712" s="177" t="s">
        <v>1886</v>
      </c>
      <c r="B3712" s="899">
        <v>84.8</v>
      </c>
      <c r="C3712" s="899">
        <v>87.6</v>
      </c>
      <c r="D3712" s="899">
        <v>87.8</v>
      </c>
      <c r="E3712" s="899">
        <v>87.1</v>
      </c>
      <c r="F3712" s="899">
        <v>87.1</v>
      </c>
      <c r="G3712" s="899">
        <v>86.1</v>
      </c>
      <c r="H3712" s="899">
        <v>86.2</v>
      </c>
      <c r="I3712" s="899">
        <v>87.1</v>
      </c>
      <c r="J3712" s="899">
        <v>86.6</v>
      </c>
    </row>
    <row r="3713" spans="1:10" x14ac:dyDescent="0.3">
      <c r="A3713" s="177" t="s">
        <v>1887</v>
      </c>
      <c r="B3713" s="904">
        <v>61.9</v>
      </c>
      <c r="C3713" s="904">
        <v>64.2</v>
      </c>
      <c r="D3713" s="904">
        <v>63.8</v>
      </c>
      <c r="E3713" s="904">
        <v>64.400000000000006</v>
      </c>
      <c r="F3713" s="904">
        <v>65.2</v>
      </c>
      <c r="G3713" s="904">
        <v>64</v>
      </c>
      <c r="H3713" s="904">
        <v>64.2</v>
      </c>
      <c r="I3713" s="904">
        <v>65.2</v>
      </c>
      <c r="J3713" s="904">
        <v>64.900000000000006</v>
      </c>
    </row>
    <row r="3714" spans="1:10" x14ac:dyDescent="0.3">
      <c r="A3714" s="298" t="s">
        <v>1888</v>
      </c>
      <c r="B3714" s="905">
        <v>70.400000000000006</v>
      </c>
      <c r="C3714" s="905">
        <v>73</v>
      </c>
      <c r="D3714" s="905">
        <v>73.099999999999994</v>
      </c>
      <c r="E3714" s="905">
        <v>73.3</v>
      </c>
      <c r="F3714" s="905">
        <v>74</v>
      </c>
      <c r="G3714" s="905">
        <v>73</v>
      </c>
      <c r="H3714" s="905">
        <v>73.599999999999994</v>
      </c>
      <c r="I3714" s="905">
        <v>74.599999999999994</v>
      </c>
      <c r="J3714" s="905">
        <v>74.400000000000006</v>
      </c>
    </row>
    <row r="3716" spans="1:10" x14ac:dyDescent="0.3">
      <c r="A3716" s="374"/>
      <c r="B3716" s="374" t="s">
        <v>1876</v>
      </c>
      <c r="C3716" s="374" t="s">
        <v>1877</v>
      </c>
      <c r="D3716" s="374" t="s">
        <v>1878</v>
      </c>
      <c r="E3716" s="374" t="s">
        <v>1879</v>
      </c>
      <c r="F3716" s="374" t="s">
        <v>1166</v>
      </c>
      <c r="G3716" s="374" t="s">
        <v>1167</v>
      </c>
      <c r="H3716" s="374" t="s">
        <v>1168</v>
      </c>
      <c r="I3716" s="374" t="s">
        <v>1169</v>
      </c>
      <c r="J3716" s="374" t="s">
        <v>1125</v>
      </c>
    </row>
    <row r="3717" spans="1:10" x14ac:dyDescent="0.3">
      <c r="A3717" s="4" t="s">
        <v>1892</v>
      </c>
    </row>
    <row r="3718" spans="1:10" x14ac:dyDescent="0.3">
      <c r="A3718" s="4" t="s">
        <v>1893</v>
      </c>
    </row>
    <row r="3719" spans="1:10" x14ac:dyDescent="0.3">
      <c r="A3719" s="1" t="s">
        <v>31</v>
      </c>
      <c r="B3719" s="79">
        <f>Inputs!DU510</f>
        <v>888</v>
      </c>
      <c r="C3719" s="79">
        <f>Inputs!DV510</f>
        <v>885</v>
      </c>
      <c r="D3719" s="79">
        <f>Inputs!DW510</f>
        <v>851</v>
      </c>
      <c r="E3719" s="79">
        <f>Inputs!DX510</f>
        <v>822</v>
      </c>
      <c r="F3719" s="79">
        <f>Inputs!DZ510</f>
        <v>855</v>
      </c>
      <c r="G3719" s="79">
        <f>Inputs!EA510</f>
        <v>849</v>
      </c>
      <c r="H3719" s="79">
        <f>Inputs!EB510</f>
        <v>838</v>
      </c>
      <c r="I3719" s="79">
        <f>Inputs!EC510</f>
        <v>834</v>
      </c>
      <c r="J3719" s="79">
        <f>Inputs!EE510</f>
        <v>842</v>
      </c>
    </row>
    <row r="3720" spans="1:10" x14ac:dyDescent="0.3">
      <c r="A3720" s="1" t="s">
        <v>32</v>
      </c>
      <c r="B3720" s="79">
        <f>Inputs!DU511</f>
        <v>604</v>
      </c>
      <c r="C3720" s="79">
        <f>Inputs!DV511</f>
        <v>582</v>
      </c>
      <c r="D3720" s="79">
        <f>Inputs!DW511</f>
        <v>574</v>
      </c>
      <c r="E3720" s="79">
        <f>Inputs!DX511</f>
        <v>555</v>
      </c>
      <c r="F3720" s="79">
        <f>Inputs!DZ511</f>
        <v>529</v>
      </c>
      <c r="G3720" s="79">
        <f>Inputs!EA511</f>
        <v>509</v>
      </c>
      <c r="H3720" s="79">
        <f>Inputs!EB511</f>
        <v>500</v>
      </c>
      <c r="I3720" s="79">
        <f>Inputs!EC511</f>
        <v>490</v>
      </c>
      <c r="J3720" s="79">
        <f>Inputs!EE511</f>
        <v>487</v>
      </c>
    </row>
    <row r="3721" spans="1:10" x14ac:dyDescent="0.3">
      <c r="A3721" s="1" t="s">
        <v>33</v>
      </c>
      <c r="B3721" s="79">
        <f>Inputs!DU512</f>
        <v>255</v>
      </c>
      <c r="C3721" s="79">
        <f>Inputs!DV512</f>
        <v>248</v>
      </c>
      <c r="D3721" s="79">
        <f>Inputs!DW512</f>
        <v>233</v>
      </c>
      <c r="E3721" s="79">
        <f>Inputs!DX512</f>
        <v>222</v>
      </c>
      <c r="F3721" s="79">
        <f>Inputs!DZ512</f>
        <v>212</v>
      </c>
      <c r="G3721" s="79">
        <f>Inputs!EA512</f>
        <v>197</v>
      </c>
      <c r="H3721" s="79">
        <f>Inputs!EB512</f>
        <v>186</v>
      </c>
      <c r="I3721" s="79">
        <f>Inputs!EC512</f>
        <v>181</v>
      </c>
      <c r="J3721" s="79">
        <f>Inputs!EE512</f>
        <v>169</v>
      </c>
    </row>
    <row r="3722" spans="1:10" x14ac:dyDescent="0.3">
      <c r="A3722" s="1" t="s">
        <v>34</v>
      </c>
      <c r="B3722" s="908">
        <f>Inputs!DU513</f>
        <v>113</v>
      </c>
      <c r="C3722" s="908">
        <f>Inputs!DV513</f>
        <v>111</v>
      </c>
      <c r="D3722" s="908">
        <f>Inputs!DW513</f>
        <v>106</v>
      </c>
      <c r="E3722" s="908">
        <f>Inputs!DX513</f>
        <v>108</v>
      </c>
      <c r="F3722" s="908">
        <f>Inputs!DZ513</f>
        <v>108</v>
      </c>
      <c r="G3722" s="908">
        <f>Inputs!EA513</f>
        <v>105</v>
      </c>
      <c r="H3722" s="908">
        <f>Inputs!EB513</f>
        <v>103</v>
      </c>
      <c r="I3722" s="908">
        <f>Inputs!EC513</f>
        <v>101</v>
      </c>
      <c r="J3722" s="908">
        <f>Inputs!EE513</f>
        <v>95</v>
      </c>
    </row>
    <row r="3723" spans="1:10" x14ac:dyDescent="0.3">
      <c r="A3723" s="4" t="s">
        <v>1894</v>
      </c>
      <c r="B3723" s="85">
        <f t="shared" ref="B3723:J3723" si="1136">SUM(B3719:B3722)</f>
        <v>1860</v>
      </c>
      <c r="C3723" s="85">
        <f t="shared" si="1136"/>
        <v>1826</v>
      </c>
      <c r="D3723" s="85">
        <f t="shared" si="1136"/>
        <v>1764</v>
      </c>
      <c r="E3723" s="85">
        <f t="shared" si="1136"/>
        <v>1707</v>
      </c>
      <c r="F3723" s="85">
        <f t="shared" si="1136"/>
        <v>1704</v>
      </c>
      <c r="G3723" s="85">
        <f t="shared" si="1136"/>
        <v>1660</v>
      </c>
      <c r="H3723" s="85">
        <f t="shared" si="1136"/>
        <v>1627</v>
      </c>
      <c r="I3723" s="85">
        <f t="shared" si="1136"/>
        <v>1606</v>
      </c>
      <c r="J3723" s="85">
        <f t="shared" si="1136"/>
        <v>1593</v>
      </c>
    </row>
    <row r="3724" spans="1:10" x14ac:dyDescent="0.3">
      <c r="A3724" s="1" t="s">
        <v>465</v>
      </c>
      <c r="B3724" s="908">
        <f>Inputs!DU515</f>
        <v>86</v>
      </c>
      <c r="C3724" s="908">
        <f>Inputs!DV515</f>
        <v>89</v>
      </c>
      <c r="D3724" s="908">
        <f>Inputs!DW515</f>
        <v>85</v>
      </c>
      <c r="E3724" s="908">
        <f>Inputs!DX515</f>
        <v>85</v>
      </c>
      <c r="F3724" s="908">
        <f>Inputs!DZ515</f>
        <v>84</v>
      </c>
      <c r="G3724" s="908">
        <f>Inputs!EA515</f>
        <v>94</v>
      </c>
      <c r="H3724" s="908">
        <f>Inputs!EB515</f>
        <v>99</v>
      </c>
      <c r="I3724" s="908">
        <f>Inputs!EC515</f>
        <v>89</v>
      </c>
      <c r="J3724" s="908">
        <f>Inputs!EE515</f>
        <v>83</v>
      </c>
    </row>
    <row r="3725" spans="1:10" x14ac:dyDescent="0.3">
      <c r="A3725" s="4" t="s">
        <v>19</v>
      </c>
      <c r="B3725" s="85">
        <f t="shared" ref="B3725:J3725" si="1137">SUM(B3723:B3724)</f>
        <v>1946</v>
      </c>
      <c r="C3725" s="85">
        <f t="shared" si="1137"/>
        <v>1915</v>
      </c>
      <c r="D3725" s="85">
        <f t="shared" si="1137"/>
        <v>1849</v>
      </c>
      <c r="E3725" s="85">
        <f t="shared" si="1137"/>
        <v>1792</v>
      </c>
      <c r="F3725" s="85">
        <f t="shared" si="1137"/>
        <v>1788</v>
      </c>
      <c r="G3725" s="85">
        <f t="shared" si="1137"/>
        <v>1754</v>
      </c>
      <c r="H3725" s="85">
        <f t="shared" si="1137"/>
        <v>1726</v>
      </c>
      <c r="I3725" s="85">
        <f t="shared" si="1137"/>
        <v>1695</v>
      </c>
      <c r="J3725" s="85">
        <f t="shared" si="1137"/>
        <v>1676</v>
      </c>
    </row>
    <row r="3726" spans="1:10" x14ac:dyDescent="0.3">
      <c r="A3726" s="4"/>
    </row>
    <row r="3727" spans="1:10" x14ac:dyDescent="0.3">
      <c r="A3727" s="4" t="s">
        <v>1895</v>
      </c>
    </row>
    <row r="3728" spans="1:10" x14ac:dyDescent="0.3">
      <c r="A3728" s="1" t="s">
        <v>38</v>
      </c>
      <c r="B3728" s="79">
        <f>Inputs!DU519</f>
        <v>996</v>
      </c>
      <c r="C3728" s="79">
        <f>Inputs!DV519</f>
        <v>969</v>
      </c>
      <c r="D3728" s="79">
        <f>Inputs!DW519</f>
        <v>943</v>
      </c>
      <c r="E3728" s="79">
        <f>Inputs!DX519</f>
        <v>923</v>
      </c>
      <c r="F3728" s="79">
        <f>Inputs!DZ519</f>
        <v>894</v>
      </c>
      <c r="G3728" s="79">
        <f>Inputs!EA519</f>
        <v>874</v>
      </c>
      <c r="H3728" s="79">
        <f>Inputs!EB519</f>
        <v>859</v>
      </c>
      <c r="I3728" s="79">
        <f>Inputs!EC519</f>
        <v>857</v>
      </c>
      <c r="J3728" s="79">
        <f>Inputs!EE519</f>
        <v>844</v>
      </c>
    </row>
    <row r="3729" spans="1:10" x14ac:dyDescent="0.3">
      <c r="A3729" s="1" t="s">
        <v>1865</v>
      </c>
      <c r="B3729" s="908">
        <f>Inputs!DU520</f>
        <v>864</v>
      </c>
      <c r="C3729" s="908">
        <f>Inputs!DV520</f>
        <v>857</v>
      </c>
      <c r="D3729" s="908">
        <f>Inputs!DW520</f>
        <v>821</v>
      </c>
      <c r="E3729" s="908">
        <f>Inputs!DX520</f>
        <v>784</v>
      </c>
      <c r="F3729" s="908">
        <f>Inputs!DZ520</f>
        <v>810</v>
      </c>
      <c r="G3729" s="908">
        <f>Inputs!EA520</f>
        <v>786</v>
      </c>
      <c r="H3729" s="908">
        <f>Inputs!EB520</f>
        <v>768</v>
      </c>
      <c r="I3729" s="908">
        <f>Inputs!EC520</f>
        <v>749</v>
      </c>
      <c r="J3729" s="908">
        <f>Inputs!EE520</f>
        <v>749</v>
      </c>
    </row>
    <row r="3730" spans="1:10" x14ac:dyDescent="0.3">
      <c r="A3730" s="4" t="s">
        <v>1894</v>
      </c>
      <c r="B3730" s="85">
        <f t="shared" ref="B3730:J3730" si="1138">SUM(B3728:B3729)</f>
        <v>1860</v>
      </c>
      <c r="C3730" s="85">
        <f t="shared" si="1138"/>
        <v>1826</v>
      </c>
      <c r="D3730" s="85">
        <f t="shared" si="1138"/>
        <v>1764</v>
      </c>
      <c r="E3730" s="85">
        <f t="shared" si="1138"/>
        <v>1707</v>
      </c>
      <c r="F3730" s="85">
        <f t="shared" si="1138"/>
        <v>1704</v>
      </c>
      <c r="G3730" s="85">
        <f t="shared" si="1138"/>
        <v>1660</v>
      </c>
      <c r="H3730" s="85">
        <f t="shared" si="1138"/>
        <v>1627</v>
      </c>
      <c r="I3730" s="85">
        <f t="shared" si="1138"/>
        <v>1606</v>
      </c>
      <c r="J3730" s="85">
        <f t="shared" si="1138"/>
        <v>1593</v>
      </c>
    </row>
    <row r="3731" spans="1:10" x14ac:dyDescent="0.3">
      <c r="A3731" s="1" t="s">
        <v>465</v>
      </c>
      <c r="B3731" s="908">
        <f>Inputs!DU522</f>
        <v>86</v>
      </c>
      <c r="C3731" s="908">
        <f>Inputs!DV522</f>
        <v>89</v>
      </c>
      <c r="D3731" s="908">
        <f>Inputs!DW522</f>
        <v>85</v>
      </c>
      <c r="E3731" s="908">
        <f>Inputs!DX522</f>
        <v>85</v>
      </c>
      <c r="F3731" s="908">
        <f>Inputs!DZ522</f>
        <v>84</v>
      </c>
      <c r="G3731" s="908">
        <f>Inputs!EA522</f>
        <v>94</v>
      </c>
      <c r="H3731" s="908">
        <f>Inputs!EB522</f>
        <v>99</v>
      </c>
      <c r="I3731" s="908">
        <f>Inputs!EC522</f>
        <v>89</v>
      </c>
      <c r="J3731" s="908">
        <f>Inputs!EE522</f>
        <v>83</v>
      </c>
    </row>
    <row r="3732" spans="1:10" x14ac:dyDescent="0.3">
      <c r="A3732" s="4" t="s">
        <v>19</v>
      </c>
      <c r="B3732" s="85">
        <f t="shared" ref="B3732:J3732" si="1139">SUM(B3730:B3731)</f>
        <v>1946</v>
      </c>
      <c r="C3732" s="85">
        <f t="shared" si="1139"/>
        <v>1915</v>
      </c>
      <c r="D3732" s="85">
        <f t="shared" si="1139"/>
        <v>1849</v>
      </c>
      <c r="E3732" s="85">
        <f t="shared" si="1139"/>
        <v>1792</v>
      </c>
      <c r="F3732" s="85">
        <f t="shared" si="1139"/>
        <v>1788</v>
      </c>
      <c r="G3732" s="85">
        <f t="shared" si="1139"/>
        <v>1754</v>
      </c>
      <c r="H3732" s="85">
        <f t="shared" si="1139"/>
        <v>1726</v>
      </c>
      <c r="I3732" s="85">
        <f t="shared" si="1139"/>
        <v>1695</v>
      </c>
      <c r="J3732" s="85">
        <f t="shared" si="1139"/>
        <v>1676</v>
      </c>
    </row>
    <row r="3733" spans="1:10" x14ac:dyDescent="0.3">
      <c r="A3733" s="1"/>
    </row>
    <row r="3734" spans="1:10" x14ac:dyDescent="0.3">
      <c r="A3734" s="13" t="s">
        <v>1896</v>
      </c>
    </row>
    <row r="3735" spans="1:10" x14ac:dyDescent="0.3">
      <c r="A3735" s="1" t="s">
        <v>1866</v>
      </c>
      <c r="B3735" s="15">
        <f>B3707*AVERAGE(B3674,B3674-B3685)*3/1000</f>
        <v>198.11205000000001</v>
      </c>
      <c r="C3735" s="15">
        <f t="shared" ref="C3735:J3736" si="1140">C3707*AVERAGE(B3674:C3674)*3/1000</f>
        <v>191.07525000000001</v>
      </c>
      <c r="D3735" s="15">
        <f t="shared" si="1140"/>
        <v>188.21820000000002</v>
      </c>
      <c r="E3735" s="15">
        <f t="shared" si="1140"/>
        <v>187.82280000000003</v>
      </c>
      <c r="F3735" s="15">
        <f t="shared" si="1140"/>
        <v>188.21250000000001</v>
      </c>
      <c r="G3735" s="15">
        <f t="shared" si="1140"/>
        <v>189.1902</v>
      </c>
      <c r="H3735" s="15">
        <f t="shared" si="1140"/>
        <v>191.74319999999997</v>
      </c>
      <c r="I3735" s="15">
        <f t="shared" si="1140"/>
        <v>199.22475</v>
      </c>
      <c r="J3735" s="15">
        <f t="shared" si="1140"/>
        <v>206.38800000000001</v>
      </c>
    </row>
    <row r="3736" spans="1:10" x14ac:dyDescent="0.3">
      <c r="A3736" s="1" t="s">
        <v>1897</v>
      </c>
      <c r="B3736" s="906">
        <f>B3708*AVERAGE(B3675,B3675-B3686)*3/1000</f>
        <v>179.96535</v>
      </c>
      <c r="C3736" s="906">
        <f t="shared" si="1140"/>
        <v>178.33199999999999</v>
      </c>
      <c r="D3736" s="906">
        <f t="shared" si="1140"/>
        <v>174.87495000000001</v>
      </c>
      <c r="E3736" s="906">
        <f t="shared" si="1140"/>
        <v>169.65299999999996</v>
      </c>
      <c r="F3736" s="906">
        <f t="shared" si="1140"/>
        <v>165.96495000000002</v>
      </c>
      <c r="G3736" s="906">
        <f t="shared" si="1140"/>
        <v>165.33435</v>
      </c>
      <c r="H3736" s="906">
        <f t="shared" si="1140"/>
        <v>163.10565000000003</v>
      </c>
      <c r="I3736" s="906">
        <f t="shared" si="1140"/>
        <v>160.81559999999999</v>
      </c>
      <c r="J3736" s="906">
        <f t="shared" si="1140"/>
        <v>160.84110000000001</v>
      </c>
    </row>
    <row r="3737" spans="1:10" x14ac:dyDescent="0.3">
      <c r="A3737" s="1" t="s">
        <v>31</v>
      </c>
      <c r="B3737" s="15">
        <f>SUM(B3735:B3736)</f>
        <v>378.07740000000001</v>
      </c>
      <c r="C3737" s="15">
        <f t="shared" ref="C3737:J3737" si="1141">SUM(C3735:C3736)</f>
        <v>369.40724999999998</v>
      </c>
      <c r="D3737" s="15">
        <f t="shared" si="1141"/>
        <v>363.09315000000004</v>
      </c>
      <c r="E3737" s="15">
        <f t="shared" si="1141"/>
        <v>357.47579999999999</v>
      </c>
      <c r="F3737" s="15">
        <f t="shared" si="1141"/>
        <v>354.17745000000002</v>
      </c>
      <c r="G3737" s="15">
        <f t="shared" si="1141"/>
        <v>354.52454999999998</v>
      </c>
      <c r="H3737" s="15">
        <f t="shared" si="1141"/>
        <v>354.84884999999997</v>
      </c>
      <c r="I3737" s="15">
        <f t="shared" si="1141"/>
        <v>360.04034999999999</v>
      </c>
      <c r="J3737" s="15">
        <f t="shared" si="1141"/>
        <v>367.22910000000002</v>
      </c>
    </row>
    <row r="3738" spans="1:10" x14ac:dyDescent="0.3">
      <c r="A3738" s="1" t="s">
        <v>32</v>
      </c>
      <c r="B3738" s="15">
        <f t="shared" ref="B3738:J3738" si="1142">B3720/B3723*B3728</f>
        <v>323.43225806451613</v>
      </c>
      <c r="C3738" s="15">
        <f t="shared" si="1142"/>
        <v>308.84884994523549</v>
      </c>
      <c r="D3738" s="15">
        <f t="shared" si="1142"/>
        <v>306.84920634920638</v>
      </c>
      <c r="E3738" s="15">
        <f t="shared" si="1142"/>
        <v>300.09666080843584</v>
      </c>
      <c r="F3738" s="15">
        <f t="shared" si="1142"/>
        <v>277.53873239436621</v>
      </c>
      <c r="G3738" s="15">
        <f t="shared" si="1142"/>
        <v>267.99156626506027</v>
      </c>
      <c r="H3738" s="15">
        <f t="shared" si="1142"/>
        <v>263.98279041180086</v>
      </c>
      <c r="I3738" s="15">
        <f t="shared" si="1142"/>
        <v>261.47571606475714</v>
      </c>
      <c r="J3738" s="15">
        <f t="shared" si="1142"/>
        <v>258.02134337727563</v>
      </c>
    </row>
    <row r="3739" spans="1:10" x14ac:dyDescent="0.3">
      <c r="A3739" s="1" t="s">
        <v>33</v>
      </c>
      <c r="B3739" s="15">
        <f t="shared" ref="B3739:J3739" si="1143">B3721</f>
        <v>255</v>
      </c>
      <c r="C3739" s="15">
        <f t="shared" si="1143"/>
        <v>248</v>
      </c>
      <c r="D3739" s="15">
        <f t="shared" si="1143"/>
        <v>233</v>
      </c>
      <c r="E3739" s="15">
        <f t="shared" si="1143"/>
        <v>222</v>
      </c>
      <c r="F3739" s="15">
        <f t="shared" si="1143"/>
        <v>212</v>
      </c>
      <c r="G3739" s="15">
        <f t="shared" si="1143"/>
        <v>197</v>
      </c>
      <c r="H3739" s="15">
        <f t="shared" si="1143"/>
        <v>186</v>
      </c>
      <c r="I3739" s="15">
        <f t="shared" si="1143"/>
        <v>181</v>
      </c>
      <c r="J3739" s="15">
        <f t="shared" si="1143"/>
        <v>169</v>
      </c>
    </row>
    <row r="3740" spans="1:10" x14ac:dyDescent="0.3">
      <c r="A3740" s="1" t="s">
        <v>34</v>
      </c>
      <c r="B3740" s="15">
        <f>B3741-SUM(B3737:B3739)</f>
        <v>39.490341935483912</v>
      </c>
      <c r="C3740" s="15">
        <f t="shared" ref="C3740:J3740" si="1144">C3741-SUM(C3737:C3739)</f>
        <v>42.743900054764481</v>
      </c>
      <c r="D3740" s="15">
        <f t="shared" si="1144"/>
        <v>40.05764365079358</v>
      </c>
      <c r="E3740" s="15">
        <f t="shared" si="1144"/>
        <v>43.427539191564165</v>
      </c>
      <c r="F3740" s="15">
        <f t="shared" si="1144"/>
        <v>50.283817605633772</v>
      </c>
      <c r="G3740" s="15">
        <f t="shared" si="1144"/>
        <v>54.483883734939809</v>
      </c>
      <c r="H3740" s="15">
        <f t="shared" si="1144"/>
        <v>54.16835958819911</v>
      </c>
      <c r="I3740" s="15">
        <f t="shared" si="1144"/>
        <v>54.483933935242931</v>
      </c>
      <c r="J3740" s="15">
        <f t="shared" si="1144"/>
        <v>49.749556622724413</v>
      </c>
    </row>
    <row r="3741" spans="1:10" x14ac:dyDescent="0.3">
      <c r="A3741" s="4" t="s">
        <v>1586</v>
      </c>
      <c r="B3741" s="1288">
        <f t="shared" ref="B3741:J3741" si="1145">+B3728</f>
        <v>996</v>
      </c>
      <c r="C3741" s="1288">
        <f t="shared" si="1145"/>
        <v>969</v>
      </c>
      <c r="D3741" s="1288">
        <f t="shared" si="1145"/>
        <v>943</v>
      </c>
      <c r="E3741" s="1288">
        <f t="shared" si="1145"/>
        <v>923</v>
      </c>
      <c r="F3741" s="1288">
        <f t="shared" si="1145"/>
        <v>894</v>
      </c>
      <c r="G3741" s="1288">
        <f t="shared" si="1145"/>
        <v>874</v>
      </c>
      <c r="H3741" s="1288">
        <f t="shared" si="1145"/>
        <v>859</v>
      </c>
      <c r="I3741" s="1288">
        <f t="shared" si="1145"/>
        <v>857</v>
      </c>
      <c r="J3741" s="1288">
        <f t="shared" si="1145"/>
        <v>844</v>
      </c>
    </row>
    <row r="3753" spans="1:19" x14ac:dyDescent="0.3">
      <c r="A3753" s="533" t="s">
        <v>1898</v>
      </c>
      <c r="B3753" s="534"/>
      <c r="C3753" s="534"/>
      <c r="D3753" s="534"/>
      <c r="E3753" s="534"/>
      <c r="F3753" s="534"/>
      <c r="G3753" s="534"/>
      <c r="H3753" s="534"/>
      <c r="I3753" s="534"/>
      <c r="J3753" s="534"/>
      <c r="K3753" s="534"/>
      <c r="L3753" s="534"/>
      <c r="M3753" s="534"/>
      <c r="N3753" s="534"/>
      <c r="O3753" s="534"/>
      <c r="P3753" s="534"/>
      <c r="Q3753" s="534"/>
      <c r="R3753" s="534"/>
      <c r="S3753" s="534"/>
    </row>
    <row r="3754" spans="1:19" x14ac:dyDescent="0.3">
      <c r="B3754" s="147">
        <v>2020</v>
      </c>
    </row>
    <row r="3755" spans="1:19" x14ac:dyDescent="0.3">
      <c r="A3755" s="846" t="s">
        <v>284</v>
      </c>
      <c r="B3755" s="76"/>
      <c r="C3755" s="76"/>
      <c r="D3755" s="76"/>
      <c r="E3755" s="76"/>
      <c r="F3755" s="76"/>
      <c r="G3755" s="76"/>
    </row>
    <row r="3756" spans="1:19" x14ac:dyDescent="0.3">
      <c r="A3756" s="67" t="s">
        <v>1899</v>
      </c>
      <c r="B3756" s="76">
        <f>'Segment Model'!ED522</f>
        <v>767.46249715116278</v>
      </c>
      <c r="C3756" s="76"/>
      <c r="D3756" s="76"/>
      <c r="E3756" s="76"/>
      <c r="F3756" s="76"/>
      <c r="G3756" s="76"/>
    </row>
    <row r="3757" spans="1:19" x14ac:dyDescent="0.3">
      <c r="A3757" s="67" t="s">
        <v>1900</v>
      </c>
      <c r="B3757" s="76">
        <f>'Segment Model'!ED523</f>
        <v>620.80000000000007</v>
      </c>
      <c r="C3757" s="76"/>
      <c r="D3757" s="76"/>
      <c r="E3757" s="76"/>
      <c r="F3757" s="76"/>
      <c r="G3757" s="76"/>
    </row>
    <row r="3758" spans="1:19" x14ac:dyDescent="0.3">
      <c r="A3758" s="67" t="s">
        <v>1901</v>
      </c>
      <c r="B3758" s="76">
        <f>'Segment Model'!ED524</f>
        <v>176.1504792269871</v>
      </c>
      <c r="C3758" s="76"/>
      <c r="D3758" s="76"/>
      <c r="E3758" s="76"/>
      <c r="F3758" s="76"/>
      <c r="G3758" s="76"/>
    </row>
    <row r="3759" spans="1:19" x14ac:dyDescent="0.3">
      <c r="A3759" s="67" t="s">
        <v>1902</v>
      </c>
      <c r="B3759" s="104">
        <f>'Segment Model'!ED525</f>
        <v>126.54488450214592</v>
      </c>
      <c r="C3759" s="76"/>
      <c r="D3759" s="76"/>
      <c r="E3759" s="76"/>
      <c r="F3759" s="76"/>
      <c r="G3759" s="76"/>
    </row>
    <row r="3760" spans="1:19" x14ac:dyDescent="0.3">
      <c r="A3760" s="64" t="s">
        <v>1903</v>
      </c>
      <c r="B3760" s="85">
        <f>SUM(B3756:B3759)</f>
        <v>1690.9578608802958</v>
      </c>
      <c r="C3760" s="76"/>
      <c r="D3760" s="76"/>
      <c r="E3760" s="76"/>
      <c r="F3760" s="76"/>
      <c r="G3760" s="76"/>
    </row>
    <row r="3761" spans="1:7" x14ac:dyDescent="0.3">
      <c r="A3761" s="67" t="s">
        <v>1904</v>
      </c>
      <c r="B3761" s="76">
        <f>'Segment Model'!ED527</f>
        <v>0.90815284883720926</v>
      </c>
      <c r="C3761" s="85"/>
      <c r="D3761" s="85"/>
      <c r="E3761" s="85"/>
      <c r="F3761" s="85"/>
      <c r="G3761" s="85"/>
    </row>
    <row r="3762" spans="1:7" x14ac:dyDescent="0.3">
      <c r="A3762" s="67" t="s">
        <v>1905</v>
      </c>
      <c r="B3762" s="76">
        <f>'Segment Model'!ED528</f>
        <v>655.22055</v>
      </c>
      <c r="C3762" s="76"/>
      <c r="D3762" s="76"/>
      <c r="E3762" s="76"/>
      <c r="F3762" s="76"/>
      <c r="G3762" s="76"/>
    </row>
    <row r="3763" spans="1:7" x14ac:dyDescent="0.3">
      <c r="A3763" s="67" t="s">
        <v>1906</v>
      </c>
      <c r="B3763" s="76">
        <f>'Segment Model'!ED529</f>
        <v>155.19999999999993</v>
      </c>
      <c r="C3763" s="85"/>
      <c r="D3763" s="85"/>
      <c r="E3763" s="85"/>
      <c r="F3763" s="85"/>
      <c r="G3763" s="85"/>
    </row>
    <row r="3764" spans="1:7" x14ac:dyDescent="0.3">
      <c r="A3764" s="67" t="s">
        <v>1907</v>
      </c>
      <c r="B3764" s="76">
        <f>'Segment Model'!ED530</f>
        <v>869.25080253518809</v>
      </c>
      <c r="C3764" s="76"/>
      <c r="D3764" s="76"/>
      <c r="E3764" s="76"/>
      <c r="F3764" s="76"/>
      <c r="G3764" s="76"/>
    </row>
    <row r="3765" spans="1:7" x14ac:dyDescent="0.3">
      <c r="A3765" s="67" t="s">
        <v>1908</v>
      </c>
      <c r="B3765" s="104">
        <f>'Segment Model'!ED531</f>
        <v>112.46263373567899</v>
      </c>
      <c r="C3765" s="85"/>
      <c r="D3765" s="85"/>
      <c r="E3765" s="85"/>
      <c r="F3765" s="85"/>
      <c r="G3765" s="85"/>
    </row>
    <row r="3766" spans="1:7" x14ac:dyDescent="0.3">
      <c r="A3766" s="64" t="s">
        <v>1909</v>
      </c>
      <c r="B3766" s="85">
        <f>SUM(B3761:B3765)</f>
        <v>1793.0421391197042</v>
      </c>
    </row>
    <row r="3768" spans="1:7" x14ac:dyDescent="0.3">
      <c r="A3768" s="60" t="s">
        <v>23</v>
      </c>
      <c r="B3768" s="381">
        <f>B3760+B3766</f>
        <v>3484</v>
      </c>
      <c r="C3768" s="76"/>
      <c r="D3768" s="76"/>
      <c r="E3768" s="76"/>
      <c r="F3768" s="76"/>
      <c r="G3768" s="76"/>
    </row>
    <row r="3769" spans="1:7" x14ac:dyDescent="0.3">
      <c r="B3769" s="76"/>
      <c r="C3769" s="76"/>
      <c r="D3769" s="76"/>
      <c r="E3769" s="76"/>
      <c r="F3769" s="76"/>
      <c r="G3769" s="76"/>
    </row>
    <row r="3770" spans="1:7" x14ac:dyDescent="0.3">
      <c r="A3770" s="67" t="s">
        <v>1910</v>
      </c>
      <c r="B3770" s="76">
        <f>'Segment Model'!ED560</f>
        <v>121.7535</v>
      </c>
      <c r="C3770" s="76"/>
      <c r="D3770" s="76"/>
      <c r="E3770" s="76"/>
      <c r="F3770" s="76"/>
      <c r="G3770" s="76"/>
    </row>
    <row r="3771" spans="1:7" x14ac:dyDescent="0.3">
      <c r="A3771" s="67" t="s">
        <v>1911</v>
      </c>
      <c r="B3771" s="104">
        <f>'Segment Model'!ED561</f>
        <v>637.96704999999997</v>
      </c>
      <c r="C3771" s="76"/>
      <c r="D3771" s="76"/>
      <c r="E3771" s="76"/>
      <c r="F3771" s="76"/>
      <c r="G3771" s="76"/>
    </row>
    <row r="3772" spans="1:7" x14ac:dyDescent="0.3">
      <c r="A3772" s="64" t="s">
        <v>1912</v>
      </c>
      <c r="B3772" s="85">
        <f>SUM(B3770:B3771)</f>
        <v>759.72055</v>
      </c>
      <c r="C3772" s="76"/>
      <c r="D3772" s="895">
        <f>B3772/SUM(B3772,B3760)</f>
        <v>0.31000417950681036</v>
      </c>
      <c r="E3772" s="76"/>
      <c r="F3772" s="76"/>
      <c r="G3772" s="76"/>
    </row>
    <row r="3773" spans="1:7" x14ac:dyDescent="0.3">
      <c r="A3773" s="67" t="s">
        <v>1913</v>
      </c>
      <c r="B3773" s="76">
        <f>'Segment Model'!ED563</f>
        <v>128.685</v>
      </c>
      <c r="C3773" s="76"/>
      <c r="D3773" s="76"/>
      <c r="E3773" s="76"/>
      <c r="F3773" s="76"/>
      <c r="G3773" s="76"/>
    </row>
    <row r="3774" spans="1:7" x14ac:dyDescent="0.3">
      <c r="A3774" s="67" t="s">
        <v>1914</v>
      </c>
      <c r="B3774" s="76">
        <f>'Segment Model'!ED564</f>
        <v>982.59871823782464</v>
      </c>
      <c r="C3774" s="76"/>
      <c r="D3774" s="76"/>
      <c r="E3774" s="76"/>
      <c r="F3774" s="76"/>
      <c r="G3774" s="76"/>
    </row>
    <row r="3775" spans="1:7" x14ac:dyDescent="0.3">
      <c r="A3775" s="67" t="s">
        <v>1915</v>
      </c>
      <c r="B3775" s="76" t="e">
        <f>'Segment Model'!ED565</f>
        <v>#REF!</v>
      </c>
      <c r="C3775" s="76"/>
      <c r="D3775" s="76"/>
      <c r="E3775" s="76"/>
      <c r="F3775" s="76"/>
      <c r="G3775" s="76"/>
    </row>
    <row r="3776" spans="1:7" x14ac:dyDescent="0.3">
      <c r="A3776" s="67" t="s">
        <v>1916</v>
      </c>
      <c r="B3776" s="104">
        <f>'Segment Model'!ED566</f>
        <v>177.99248176217512</v>
      </c>
      <c r="C3776" s="76"/>
      <c r="D3776" s="76"/>
      <c r="E3776" s="76"/>
      <c r="F3776" s="76"/>
      <c r="G3776" s="76"/>
    </row>
    <row r="3777" spans="1:7" x14ac:dyDescent="0.3">
      <c r="A3777" s="64" t="s">
        <v>1917</v>
      </c>
      <c r="B3777" s="85" t="e">
        <f>SUM(B3773:B3776)</f>
        <v>#REF!</v>
      </c>
      <c r="C3777" s="76"/>
      <c r="D3777" s="76"/>
      <c r="E3777" s="76"/>
      <c r="F3777" s="76"/>
      <c r="G3777" s="76"/>
    </row>
    <row r="3778" spans="1:7" x14ac:dyDescent="0.3">
      <c r="A3778" s="67"/>
      <c r="B3778" s="76"/>
      <c r="C3778" s="76"/>
      <c r="D3778" s="76"/>
      <c r="E3778" s="76"/>
      <c r="F3778" s="76"/>
      <c r="G3778" s="76"/>
    </row>
    <row r="3779" spans="1:7" x14ac:dyDescent="0.3">
      <c r="A3779" s="60" t="s">
        <v>1870</v>
      </c>
      <c r="B3779" s="381" t="e">
        <f>B3777+B3772</f>
        <v>#REF!</v>
      </c>
      <c r="C3779" s="76"/>
      <c r="D3779" s="76"/>
      <c r="E3779" s="76"/>
      <c r="F3779" s="76"/>
      <c r="G3779" s="76"/>
    </row>
    <row r="3780" spans="1:7" x14ac:dyDescent="0.3">
      <c r="B3780" s="76"/>
      <c r="C3780" s="76"/>
      <c r="D3780" s="76"/>
      <c r="E3780" s="76"/>
      <c r="F3780" s="76"/>
      <c r="G3780" s="76"/>
    </row>
    <row r="3781" spans="1:7" x14ac:dyDescent="0.3">
      <c r="B3781" s="76"/>
      <c r="C3781" s="76"/>
      <c r="D3781" s="76"/>
      <c r="E3781" s="76"/>
      <c r="F3781" s="76"/>
      <c r="G3781" s="76"/>
    </row>
    <row r="3782" spans="1:7" x14ac:dyDescent="0.3">
      <c r="A3782" t="s">
        <v>38</v>
      </c>
      <c r="B3782" s="76">
        <f>B3768</f>
        <v>3484</v>
      </c>
      <c r="C3782" s="76"/>
      <c r="D3782" s="76"/>
      <c r="E3782" s="76"/>
      <c r="F3782" s="76"/>
      <c r="G3782" s="76"/>
    </row>
    <row r="3783" spans="1:7" x14ac:dyDescent="0.3">
      <c r="A3783" t="s">
        <v>1865</v>
      </c>
      <c r="B3783" s="76" t="e">
        <f>B3779</f>
        <v>#REF!</v>
      </c>
      <c r="C3783" s="76"/>
      <c r="D3783" s="76"/>
      <c r="E3783" s="76"/>
      <c r="F3783" s="76"/>
      <c r="G3783" s="76"/>
    </row>
    <row r="3784" spans="1:7" x14ac:dyDescent="0.3">
      <c r="A3784" t="s">
        <v>1918</v>
      </c>
      <c r="B3784" s="76" t="e">
        <f>'Segment Model'!ED575</f>
        <v>#REF!</v>
      </c>
      <c r="C3784" s="76"/>
      <c r="D3784" s="76"/>
      <c r="E3784" s="76"/>
      <c r="F3784" s="76"/>
      <c r="G3784" s="76"/>
    </row>
    <row r="3785" spans="1:7" x14ac:dyDescent="0.3">
      <c r="A3785" s="90" t="s">
        <v>19</v>
      </c>
      <c r="B3785" s="381" t="e">
        <f>SUM(B3782:B3784)</f>
        <v>#REF!</v>
      </c>
      <c r="C3785" s="76"/>
      <c r="D3785" s="76"/>
      <c r="E3785" s="76"/>
      <c r="F3785" s="76"/>
      <c r="G3785" s="76"/>
    </row>
    <row r="3786" spans="1:7" x14ac:dyDescent="0.3">
      <c r="B3786" s="76"/>
      <c r="C3786" s="76"/>
      <c r="D3786" s="76"/>
      <c r="E3786" s="76"/>
      <c r="F3786" s="76"/>
      <c r="G3786" s="76"/>
    </row>
    <row r="3787" spans="1:7" x14ac:dyDescent="0.3">
      <c r="A3787" t="s">
        <v>628</v>
      </c>
      <c r="B3787" s="76">
        <f>B3760+B3772</f>
        <v>2450.6784108802958</v>
      </c>
      <c r="C3787" s="76"/>
      <c r="D3787" s="76"/>
      <c r="E3787" s="76"/>
      <c r="F3787" s="76"/>
      <c r="G3787" s="76"/>
    </row>
    <row r="3788" spans="1:7" x14ac:dyDescent="0.3">
      <c r="A3788" t="s">
        <v>629</v>
      </c>
      <c r="B3788" s="76" t="e">
        <f>B3766+B3777</f>
        <v>#REF!</v>
      </c>
      <c r="C3788" s="76"/>
      <c r="D3788" s="76"/>
      <c r="E3788" s="76"/>
      <c r="F3788" s="76"/>
      <c r="G3788" s="76"/>
    </row>
    <row r="3789" spans="1:7" x14ac:dyDescent="0.3">
      <c r="A3789" t="s">
        <v>1918</v>
      </c>
      <c r="B3789" s="76" t="e">
        <f>B3784</f>
        <v>#REF!</v>
      </c>
      <c r="C3789" s="76"/>
      <c r="D3789" s="76"/>
      <c r="E3789" s="76"/>
      <c r="F3789" s="76"/>
      <c r="G3789" s="76"/>
    </row>
    <row r="3790" spans="1:7" x14ac:dyDescent="0.3">
      <c r="A3790" s="90" t="s">
        <v>19</v>
      </c>
      <c r="B3790" s="381" t="e">
        <f>SUM(B3787:B3789)</f>
        <v>#REF!</v>
      </c>
      <c r="C3790" s="76"/>
      <c r="D3790" s="76"/>
      <c r="E3790" s="76"/>
      <c r="F3790" s="76"/>
      <c r="G3790" s="76"/>
    </row>
    <row r="3791" spans="1:7" x14ac:dyDescent="0.3">
      <c r="B3791" s="76"/>
      <c r="C3791" s="76"/>
      <c r="D3791" s="76"/>
      <c r="E3791" s="76"/>
      <c r="F3791" s="76"/>
      <c r="G3791" s="76"/>
    </row>
    <row r="3792" spans="1:7" x14ac:dyDescent="0.3">
      <c r="A3792" s="4" t="s">
        <v>298</v>
      </c>
      <c r="B3792" s="85"/>
      <c r="C3792" s="85"/>
      <c r="D3792" s="85"/>
      <c r="E3792" s="85"/>
      <c r="F3792" s="85"/>
      <c r="G3792" s="85"/>
    </row>
    <row r="3793" spans="1:7" x14ac:dyDescent="0.3">
      <c r="A3793" s="1" t="s">
        <v>20</v>
      </c>
      <c r="B3793" s="76">
        <f>B3797-SUM(B3794:B3796)</f>
        <v>346.25181765706088</v>
      </c>
      <c r="C3793" s="85"/>
      <c r="D3793" s="85"/>
      <c r="E3793" s="85"/>
      <c r="F3793" s="85"/>
      <c r="G3793" s="85"/>
    </row>
    <row r="3794" spans="1:7" x14ac:dyDescent="0.3">
      <c r="A3794" s="109" t="s">
        <v>1919</v>
      </c>
      <c r="B3794" s="76">
        <f>B3757*B3800</f>
        <v>124.16000000000003</v>
      </c>
      <c r="C3794" s="85"/>
      <c r="D3794" s="85"/>
      <c r="E3794" s="85"/>
      <c r="F3794" s="85"/>
      <c r="G3794" s="85"/>
    </row>
    <row r="3795" spans="1:7" x14ac:dyDescent="0.3">
      <c r="A3795" s="109" t="s">
        <v>1920</v>
      </c>
      <c r="B3795" s="76">
        <f>B3758*B3801</f>
        <v>149.72790734293903</v>
      </c>
      <c r="C3795" s="85"/>
      <c r="D3795" s="85"/>
      <c r="E3795" s="85"/>
      <c r="F3795" s="85"/>
      <c r="G3795" s="85"/>
    </row>
    <row r="3796" spans="1:7" x14ac:dyDescent="0.3">
      <c r="A3796" t="s">
        <v>1865</v>
      </c>
      <c r="B3796" s="76">
        <f>B3772*B3802</f>
        <v>379.860275</v>
      </c>
      <c r="C3796" s="85"/>
      <c r="D3796" s="85"/>
      <c r="E3796" s="85"/>
      <c r="F3796" s="85"/>
      <c r="G3796" s="85"/>
    </row>
    <row r="3797" spans="1:7" x14ac:dyDescent="0.3">
      <c r="A3797" s="110" t="s">
        <v>301</v>
      </c>
      <c r="B3797" s="381">
        <v>1000</v>
      </c>
      <c r="C3797" s="85"/>
      <c r="D3797" s="85"/>
      <c r="E3797" s="85"/>
      <c r="F3797" s="85"/>
      <c r="G3797" s="85"/>
    </row>
    <row r="3798" spans="1:7" x14ac:dyDescent="0.3">
      <c r="A3798" s="94" t="s">
        <v>1921</v>
      </c>
      <c r="B3798" s="867">
        <f>B3797/B3787</f>
        <v>0.4080502752055481</v>
      </c>
      <c r="C3798" s="85"/>
      <c r="D3798" s="85"/>
      <c r="E3798" s="85"/>
      <c r="F3798" s="85"/>
      <c r="G3798" s="85"/>
    </row>
    <row r="3799" spans="1:7" x14ac:dyDescent="0.3">
      <c r="A3799" s="94" t="s">
        <v>1922</v>
      </c>
      <c r="B3799" s="867">
        <f>B3793/B3756</f>
        <v>0.45116447897109635</v>
      </c>
      <c r="C3799" s="85"/>
      <c r="D3799" s="85"/>
      <c r="E3799" s="85"/>
      <c r="F3799" s="85"/>
      <c r="G3799" s="85"/>
    </row>
    <row r="3800" spans="1:7" x14ac:dyDescent="0.3">
      <c r="A3800" s="94" t="s">
        <v>1923</v>
      </c>
      <c r="B3800" s="868">
        <v>0.2</v>
      </c>
      <c r="C3800" s="85"/>
      <c r="D3800" s="85"/>
      <c r="E3800" s="85"/>
      <c r="F3800" s="85"/>
      <c r="G3800" s="85"/>
    </row>
    <row r="3801" spans="1:7" x14ac:dyDescent="0.3">
      <c r="A3801" s="94" t="s">
        <v>1924</v>
      </c>
      <c r="B3801" s="868">
        <v>0.85</v>
      </c>
      <c r="C3801" s="85"/>
      <c r="D3801" s="85"/>
      <c r="E3801" s="85"/>
      <c r="F3801" s="85"/>
      <c r="G3801" s="85"/>
    </row>
    <row r="3802" spans="1:7" x14ac:dyDescent="0.3">
      <c r="A3802" s="94" t="s">
        <v>1925</v>
      </c>
      <c r="B3802" s="868">
        <v>0.5</v>
      </c>
      <c r="C3802" s="85"/>
      <c r="D3802" s="85"/>
      <c r="E3802" s="85"/>
      <c r="F3802" s="85"/>
      <c r="G3802" s="85"/>
    </row>
    <row r="3804" spans="1:7" x14ac:dyDescent="0.3">
      <c r="A3804" s="806"/>
      <c r="B3804" s="806"/>
    </row>
    <row r="3805" spans="1:7" x14ac:dyDescent="0.3">
      <c r="A3805" s="90" t="s">
        <v>1926</v>
      </c>
    </row>
    <row r="3806" spans="1:7" x14ac:dyDescent="0.3">
      <c r="A3806" s="56" t="s">
        <v>628</v>
      </c>
      <c r="B3806" s="76">
        <f>AVERAGE(Drivers!DY90:EC90)</f>
        <v>3250.6</v>
      </c>
      <c r="C3806" s="76">
        <f>Drivers!EI90</f>
        <v>3947</v>
      </c>
    </row>
    <row r="3807" spans="1:7" x14ac:dyDescent="0.3">
      <c r="A3807" s="56" t="s">
        <v>1766</v>
      </c>
      <c r="B3807" s="76">
        <f>AVERAGE(Drivers!DY94:EC94)</f>
        <v>11949.4</v>
      </c>
      <c r="C3807" s="76">
        <f>C3808-C3806</f>
        <v>11453</v>
      </c>
    </row>
    <row r="3808" spans="1:7" x14ac:dyDescent="0.3">
      <c r="A3808" s="60" t="s">
        <v>266</v>
      </c>
      <c r="B3808" s="381">
        <f>SUM(B3806:B3807)</f>
        <v>15200</v>
      </c>
      <c r="C3808" s="381">
        <f>Drivers!EN99</f>
        <v>15400</v>
      </c>
    </row>
    <row r="3810" spans="1:3" x14ac:dyDescent="0.3">
      <c r="A3810" s="618" t="s">
        <v>1767</v>
      </c>
      <c r="B3810" s="494"/>
      <c r="C3810" s="494"/>
    </row>
    <row r="3811" spans="1:3" x14ac:dyDescent="0.3">
      <c r="A3811" s="144"/>
      <c r="B3811" s="144"/>
      <c r="C3811" s="144"/>
    </row>
    <row r="3812" spans="1:3" x14ac:dyDescent="0.3">
      <c r="A3812" s="144" t="s">
        <v>298</v>
      </c>
      <c r="B3812" s="365">
        <f>Drivers!ED27</f>
        <v>1112</v>
      </c>
      <c r="C3812" s="365">
        <f>Valuation!C94</f>
        <v>1090.4748694100408</v>
      </c>
    </row>
    <row r="3813" spans="1:3" x14ac:dyDescent="0.3">
      <c r="A3813" s="708" t="s">
        <v>1768</v>
      </c>
      <c r="B3813" s="869">
        <v>12.5</v>
      </c>
      <c r="C3813" s="869">
        <f>B3813</f>
        <v>12.5</v>
      </c>
    </row>
    <row r="3814" spans="1:3" x14ac:dyDescent="0.3">
      <c r="A3814" s="708" t="s">
        <v>872</v>
      </c>
      <c r="B3814" s="870">
        <f>B3812*B3813</f>
        <v>13900</v>
      </c>
      <c r="C3814" s="870">
        <f>C3812*C3813</f>
        <v>13630.935867625511</v>
      </c>
    </row>
    <row r="3815" spans="1:3" x14ac:dyDescent="0.3">
      <c r="A3815" s="708" t="s">
        <v>1769</v>
      </c>
      <c r="B3815" s="656">
        <f>B3806</f>
        <v>3250.6</v>
      </c>
      <c r="C3815" s="656">
        <f>C3806</f>
        <v>3947</v>
      </c>
    </row>
    <row r="3816" spans="1:3" x14ac:dyDescent="0.3">
      <c r="A3816" s="709" t="s">
        <v>1770</v>
      </c>
      <c r="B3816" s="871">
        <f>B3814/B3815*1000</f>
        <v>4276.13363686704</v>
      </c>
      <c r="C3816" s="871">
        <f>C3814/C3815*1000</f>
        <v>3453.4927457880699</v>
      </c>
    </row>
    <row r="3817" spans="1:3" x14ac:dyDescent="0.3">
      <c r="A3817" s="494"/>
      <c r="B3817" s="494"/>
    </row>
    <row r="3819" spans="1:3" x14ac:dyDescent="0.3">
      <c r="A3819" s="618" t="s">
        <v>1771</v>
      </c>
      <c r="B3819" s="494"/>
      <c r="C3819" s="494"/>
    </row>
    <row r="3820" spans="1:3" x14ac:dyDescent="0.3">
      <c r="A3820" s="144"/>
      <c r="B3820" s="144"/>
      <c r="C3820" s="144"/>
    </row>
    <row r="3821" spans="1:3" x14ac:dyDescent="0.3">
      <c r="A3821" s="144" t="s">
        <v>301</v>
      </c>
      <c r="B3821" s="365">
        <f>'Model Main'!ED48</f>
        <v>2775</v>
      </c>
      <c r="C3821" s="365">
        <f>'Model Main'!EN48</f>
        <v>2080</v>
      </c>
    </row>
    <row r="3822" spans="1:3" x14ac:dyDescent="0.3">
      <c r="A3822" s="708" t="s">
        <v>1772</v>
      </c>
      <c r="B3822" s="869">
        <f>B3823/B3821</f>
        <v>7.2482162162162176</v>
      </c>
      <c r="C3822" s="869">
        <f>C3823/C3821</f>
        <v>9.6700961538461545</v>
      </c>
    </row>
    <row r="3823" spans="1:3" x14ac:dyDescent="0.3">
      <c r="A3823" s="708" t="s">
        <v>872</v>
      </c>
      <c r="B3823" s="870">
        <f>Valuation!B13</f>
        <v>20113.800000000003</v>
      </c>
      <c r="C3823" s="870">
        <f>B3823</f>
        <v>20113.800000000003</v>
      </c>
    </row>
    <row r="3824" spans="1:3" x14ac:dyDescent="0.3">
      <c r="A3824" s="708" t="s">
        <v>1773</v>
      </c>
      <c r="B3824" s="656">
        <f>B3808</f>
        <v>15200</v>
      </c>
      <c r="C3824" s="656">
        <f>C3808</f>
        <v>15400</v>
      </c>
    </row>
    <row r="3825" spans="1:3" x14ac:dyDescent="0.3">
      <c r="A3825" s="709" t="s">
        <v>1774</v>
      </c>
      <c r="B3825" s="871">
        <f>B3823/B3824*1000</f>
        <v>1323.2763157894738</v>
      </c>
      <c r="C3825" s="871">
        <f>C3823/C3824*1000</f>
        <v>1306.0909090909092</v>
      </c>
    </row>
    <row r="3826" spans="1:3" x14ac:dyDescent="0.3">
      <c r="A3826" s="765"/>
      <c r="B3826" s="878"/>
      <c r="C3826" s="878"/>
    </row>
    <row r="3827" spans="1:3" x14ac:dyDescent="0.3">
      <c r="A3827" s="709"/>
      <c r="B3827" s="874"/>
      <c r="C3827" s="874"/>
    </row>
    <row r="3828" spans="1:3" x14ac:dyDescent="0.3">
      <c r="A3828" s="618" t="s">
        <v>1775</v>
      </c>
      <c r="B3828" s="494"/>
      <c r="C3828" s="494"/>
    </row>
    <row r="3829" spans="1:3" x14ac:dyDescent="0.3">
      <c r="A3829" s="144"/>
      <c r="B3829" s="144"/>
      <c r="C3829" s="144"/>
    </row>
    <row r="3830" spans="1:3" x14ac:dyDescent="0.3">
      <c r="A3830" s="708" t="s">
        <v>1632</v>
      </c>
      <c r="B3830" s="870">
        <f>B3823</f>
        <v>20113.800000000003</v>
      </c>
      <c r="C3830" s="870">
        <f>C3823</f>
        <v>20113.800000000003</v>
      </c>
    </row>
    <row r="3831" spans="1:3" x14ac:dyDescent="0.3">
      <c r="A3831" s="708" t="s">
        <v>1776</v>
      </c>
      <c r="B3831" s="879">
        <f>-B3814</f>
        <v>-13900</v>
      </c>
      <c r="C3831" s="879">
        <f>-C3814</f>
        <v>-13630.935867625511</v>
      </c>
    </row>
    <row r="3832" spans="1:3" x14ac:dyDescent="0.3">
      <c r="A3832" s="708" t="s">
        <v>1777</v>
      </c>
      <c r="B3832" s="870">
        <f>SUM(B3830:B3831)</f>
        <v>6213.8000000000029</v>
      </c>
      <c r="C3832" s="870">
        <f>SUM(C3830:C3831)</f>
        <v>6482.8641323744923</v>
      </c>
    </row>
    <row r="3833" spans="1:3" x14ac:dyDescent="0.3">
      <c r="A3833" s="708" t="s">
        <v>1778</v>
      </c>
      <c r="B3833" s="656">
        <f>B3807</f>
        <v>11949.4</v>
      </c>
      <c r="C3833" s="656">
        <f>C3807</f>
        <v>11453</v>
      </c>
    </row>
    <row r="3834" spans="1:3" x14ac:dyDescent="0.3">
      <c r="A3834" s="709" t="s">
        <v>1779</v>
      </c>
      <c r="B3834" s="871">
        <f>B3832/B3833*1000</f>
        <v>520.00937285554119</v>
      </c>
      <c r="C3834" s="871">
        <f>C3832/C3833*1000</f>
        <v>566.04069958740001</v>
      </c>
    </row>
    <row r="3835" spans="1:3" x14ac:dyDescent="0.3">
      <c r="A3835" s="494"/>
      <c r="B3835" s="494"/>
      <c r="C3835" s="494"/>
    </row>
    <row r="3837" spans="1:3" x14ac:dyDescent="0.3">
      <c r="A3837" s="618" t="s">
        <v>1927</v>
      </c>
      <c r="B3837" s="494"/>
      <c r="C3837" s="494"/>
    </row>
    <row r="3838" spans="1:3" x14ac:dyDescent="0.3">
      <c r="A3838" s="144"/>
      <c r="B3838" s="144"/>
      <c r="C3838" s="144"/>
    </row>
    <row r="3839" spans="1:3" x14ac:dyDescent="0.3">
      <c r="A3839" s="708" t="s">
        <v>1928</v>
      </c>
      <c r="B3839" s="877">
        <f>B3816</f>
        <v>4276.13363686704</v>
      </c>
      <c r="C3839" s="877">
        <f>B3816</f>
        <v>4276.13363686704</v>
      </c>
    </row>
    <row r="3840" spans="1:3" x14ac:dyDescent="0.3">
      <c r="A3840" s="708" t="s">
        <v>1929</v>
      </c>
      <c r="B3840" s="877">
        <f>-B3825</f>
        <v>-1323.2763157894738</v>
      </c>
      <c r="C3840" s="877">
        <f>-B3834</f>
        <v>-520.00937285554119</v>
      </c>
    </row>
    <row r="3841" spans="1:3" x14ac:dyDescent="0.3">
      <c r="A3841" s="708" t="s">
        <v>1930</v>
      </c>
      <c r="B3841" s="880">
        <f>B3842-B3840-B3839</f>
        <v>-1263.0869068767388</v>
      </c>
      <c r="C3841" s="880">
        <f>-B3879</f>
        <v>-1278.7318016378524</v>
      </c>
    </row>
    <row r="3842" spans="1:3" x14ac:dyDescent="0.3">
      <c r="A3842" s="708" t="s">
        <v>1931</v>
      </c>
      <c r="B3842" s="877">
        <f>B3844/B3843*1000</f>
        <v>1689.7704142008272</v>
      </c>
      <c r="C3842" s="877">
        <f>SUM(C3839:C3841)</f>
        <v>2477.3924623736466</v>
      </c>
    </row>
    <row r="3843" spans="1:3" x14ac:dyDescent="0.3">
      <c r="A3843" s="708" t="s">
        <v>1932</v>
      </c>
      <c r="B3843" s="656">
        <f>C3843+B3806</f>
        <v>10224.462299999999</v>
      </c>
      <c r="C3843" s="656">
        <f>Drivers!FF90-B3806</f>
        <v>6973.8622999999989</v>
      </c>
    </row>
    <row r="3844" spans="1:3" x14ac:dyDescent="0.3">
      <c r="A3844" s="708" t="s">
        <v>1933</v>
      </c>
      <c r="B3844" s="876">
        <f>C3844</f>
        <v>17276.99389565174</v>
      </c>
      <c r="C3844" s="876">
        <f>C3842*C3843/1000</f>
        <v>17276.99389565174</v>
      </c>
    </row>
    <row r="3845" spans="1:3" x14ac:dyDescent="0.3">
      <c r="A3845" s="708" t="s">
        <v>1718</v>
      </c>
      <c r="B3845" s="365">
        <f>Valuation!B7</f>
        <v>260</v>
      </c>
      <c r="C3845" s="365">
        <f>Valuation!B7</f>
        <v>260</v>
      </c>
    </row>
    <row r="3846" spans="1:3" x14ac:dyDescent="0.3">
      <c r="A3846" s="709" t="s">
        <v>1934</v>
      </c>
      <c r="B3846" s="881">
        <f>B3844/B3845</f>
        <v>66.449976521737455</v>
      </c>
      <c r="C3846" s="881">
        <f>C3844/C3845</f>
        <v>66.449976521737455</v>
      </c>
    </row>
    <row r="3847" spans="1:3" x14ac:dyDescent="0.3">
      <c r="A3847" s="494"/>
      <c r="B3847" s="494"/>
      <c r="C3847" s="494"/>
    </row>
    <row r="3849" spans="1:3" x14ac:dyDescent="0.3">
      <c r="A3849" s="618" t="s">
        <v>1935</v>
      </c>
      <c r="B3849" s="880"/>
    </row>
    <row r="3850" spans="1:3" x14ac:dyDescent="0.3">
      <c r="A3850" s="708"/>
      <c r="B3850" s="877"/>
    </row>
    <row r="3851" spans="1:3" x14ac:dyDescent="0.3">
      <c r="A3851" s="708" t="s">
        <v>1936</v>
      </c>
      <c r="B3851" s="882">
        <f>Valuation!B6</f>
        <v>35.78</v>
      </c>
    </row>
    <row r="3852" spans="1:3" x14ac:dyDescent="0.3">
      <c r="A3852" s="708" t="s">
        <v>1937</v>
      </c>
      <c r="B3852" s="883">
        <f>C3846</f>
        <v>66.449976521737455</v>
      </c>
    </row>
    <row r="3853" spans="1:3" x14ac:dyDescent="0.3">
      <c r="A3853" s="709" t="s">
        <v>1938</v>
      </c>
      <c r="B3853" s="889">
        <f>SUM(B3851:B3852)</f>
        <v>102.22997652173746</v>
      </c>
    </row>
    <row r="3854" spans="1:3" x14ac:dyDescent="0.3">
      <c r="A3854" s="614" t="s">
        <v>1939</v>
      </c>
      <c r="B3854" s="884">
        <f>B3853/B3851-1</f>
        <v>1.8571821274940596</v>
      </c>
    </row>
    <row r="3855" spans="1:3" x14ac:dyDescent="0.3">
      <c r="A3855" s="494"/>
      <c r="B3855" s="494"/>
    </row>
    <row r="3856" spans="1:3" x14ac:dyDescent="0.3">
      <c r="A3856" s="177"/>
      <c r="B3856" s="887"/>
    </row>
    <row r="3857" spans="1:5" x14ac:dyDescent="0.3">
      <c r="C3857" s="374" t="s">
        <v>1707</v>
      </c>
      <c r="D3857" s="374" t="s">
        <v>1708</v>
      </c>
      <c r="E3857" s="374" t="s">
        <v>643</v>
      </c>
    </row>
    <row r="3858" spans="1:5" x14ac:dyDescent="0.3">
      <c r="A3858" s="177" t="s">
        <v>1940</v>
      </c>
      <c r="C3858" s="76" t="e">
        <f>SUM(D4540:K4540)</f>
        <v>#REF!</v>
      </c>
      <c r="D3858" s="76">
        <v>1787.9751233898194</v>
      </c>
      <c r="E3858" s="76" t="e">
        <f t="shared" ref="E3858:E3863" si="1146">C3858-D3858</f>
        <v>#REF!</v>
      </c>
    </row>
    <row r="3859" spans="1:5" x14ac:dyDescent="0.3">
      <c r="A3859" s="177" t="s">
        <v>1941</v>
      </c>
      <c r="C3859" s="76" t="e">
        <f>SUM(D4541:K4541)</f>
        <v>#REF!</v>
      </c>
      <c r="D3859" s="76">
        <v>1800.5601970199375</v>
      </c>
      <c r="E3859" s="76" t="e">
        <f t="shared" si="1146"/>
        <v>#REF!</v>
      </c>
    </row>
    <row r="3860" spans="1:5" x14ac:dyDescent="0.3">
      <c r="A3860" s="177" t="s">
        <v>1942</v>
      </c>
      <c r="C3860" s="76" t="e">
        <f>SUM(D4542:K4542)</f>
        <v>#REF!</v>
      </c>
      <c r="D3860" s="76">
        <v>1651.0652832832834</v>
      </c>
      <c r="E3860" s="76" t="e">
        <f t="shared" si="1146"/>
        <v>#REF!</v>
      </c>
    </row>
    <row r="3861" spans="1:5" x14ac:dyDescent="0.3">
      <c r="A3861" s="177" t="s">
        <v>1943</v>
      </c>
      <c r="C3861" s="76">
        <f>SUM(D4543:K4543)</f>
        <v>488.12400000000014</v>
      </c>
      <c r="D3861" s="76">
        <v>460.64200000000005</v>
      </c>
      <c r="E3861" s="76">
        <f t="shared" si="1146"/>
        <v>27.482000000000085</v>
      </c>
    </row>
    <row r="3862" spans="1:5" x14ac:dyDescent="0.3">
      <c r="A3862" s="177" t="s">
        <v>1944</v>
      </c>
      <c r="C3862" s="76">
        <f>SUM(D4544:K4544)</f>
        <v>8890.2434340828968</v>
      </c>
      <c r="D3862" s="76">
        <v>6777.6531010573181</v>
      </c>
      <c r="E3862" s="76">
        <f t="shared" si="1146"/>
        <v>2112.5903330255787</v>
      </c>
    </row>
    <row r="3863" spans="1:5" x14ac:dyDescent="0.3">
      <c r="A3863" s="298" t="s">
        <v>1945</v>
      </c>
      <c r="B3863" s="90"/>
      <c r="C3863" s="381" t="e">
        <f>C3858+C3859-C3860-C3861-C3862</f>
        <v>#REF!</v>
      </c>
      <c r="D3863" s="381">
        <f>D3858+D3859-D3860-D3861-D3862</f>
        <v>-5300.8250639308444</v>
      </c>
      <c r="E3863" s="381" t="e">
        <f t="shared" si="1146"/>
        <v>#REF!</v>
      </c>
    </row>
    <row r="3865" spans="1:5" x14ac:dyDescent="0.3">
      <c r="A3865" s="618" t="s">
        <v>1946</v>
      </c>
      <c r="B3865" s="144"/>
    </row>
    <row r="3866" spans="1:5" x14ac:dyDescent="0.3">
      <c r="A3866" s="872"/>
      <c r="B3866" s="872"/>
    </row>
    <row r="3867" spans="1:5" x14ac:dyDescent="0.3">
      <c r="A3867" s="708" t="s">
        <v>1947</v>
      </c>
      <c r="B3867" s="365">
        <f>C3843</f>
        <v>6973.8622999999989</v>
      </c>
    </row>
    <row r="3868" spans="1:5" x14ac:dyDescent="0.3">
      <c r="A3868" s="708" t="s">
        <v>1948</v>
      </c>
      <c r="B3868" s="873">
        <f>SUM(Drivers!EI540:FC540)/SUM(Drivers!EI542:FC542)*1000</f>
        <v>1019.9818016378525</v>
      </c>
    </row>
    <row r="3869" spans="1:5" x14ac:dyDescent="0.3">
      <c r="A3869" s="709" t="s">
        <v>1195</v>
      </c>
      <c r="B3869" s="874">
        <f>B3867*B3868/1000</f>
        <v>7113.2126331282961</v>
      </c>
    </row>
    <row r="3870" spans="1:5" x14ac:dyDescent="0.3">
      <c r="A3870" s="144"/>
      <c r="B3870" s="144"/>
    </row>
    <row r="3871" spans="1:5" x14ac:dyDescent="0.3">
      <c r="A3871" s="708" t="s">
        <v>1947</v>
      </c>
      <c r="B3871" s="365">
        <f>B3867</f>
        <v>6973.8622999999989</v>
      </c>
    </row>
    <row r="3872" spans="1:5" x14ac:dyDescent="0.3">
      <c r="A3872" s="708" t="s">
        <v>1949</v>
      </c>
      <c r="B3872" s="875">
        <v>0.45</v>
      </c>
    </row>
    <row r="3873" spans="1:2" x14ac:dyDescent="0.3">
      <c r="A3873" s="708" t="s">
        <v>1950</v>
      </c>
      <c r="B3873" s="876">
        <f>B3871*B3872</f>
        <v>3138.2380349999994</v>
      </c>
    </row>
    <row r="3874" spans="1:2" x14ac:dyDescent="0.3">
      <c r="A3874" s="708" t="s">
        <v>1951</v>
      </c>
      <c r="B3874" s="873">
        <v>575</v>
      </c>
    </row>
    <row r="3875" spans="1:2" x14ac:dyDescent="0.3">
      <c r="A3875" s="709" t="s">
        <v>1278</v>
      </c>
      <c r="B3875" s="874">
        <f>B3873*B3874/1000</f>
        <v>1804.4868701249998</v>
      </c>
    </row>
    <row r="3876" spans="1:2" x14ac:dyDescent="0.3">
      <c r="A3876" s="144"/>
      <c r="B3876" s="144"/>
    </row>
    <row r="3877" spans="1:2" x14ac:dyDescent="0.3">
      <c r="A3877" s="144" t="s">
        <v>1952</v>
      </c>
      <c r="B3877" s="877">
        <f>B3869+B3875</f>
        <v>8917.6995032532959</v>
      </c>
    </row>
    <row r="3878" spans="1:2" x14ac:dyDescent="0.3">
      <c r="A3878" s="708" t="s">
        <v>1953</v>
      </c>
      <c r="B3878" s="365">
        <f>B3867</f>
        <v>6973.8622999999989</v>
      </c>
    </row>
    <row r="3879" spans="1:2" x14ac:dyDescent="0.3">
      <c r="A3879" s="709" t="s">
        <v>1954</v>
      </c>
      <c r="B3879" s="871">
        <f>B3877*1000/B3878</f>
        <v>1278.7318016378524</v>
      </c>
    </row>
    <row r="3880" spans="1:2" x14ac:dyDescent="0.3">
      <c r="A3880" s="494"/>
      <c r="B3880" s="494"/>
    </row>
    <row r="3882" spans="1:2" x14ac:dyDescent="0.3">
      <c r="A3882" s="618" t="s">
        <v>1955</v>
      </c>
      <c r="B3882" s="494"/>
    </row>
    <row r="3883" spans="1:2" x14ac:dyDescent="0.3">
      <c r="A3883" s="144"/>
      <c r="B3883" s="144"/>
    </row>
    <row r="3884" spans="1:2" x14ac:dyDescent="0.3">
      <c r="A3884" s="708" t="s">
        <v>1928</v>
      </c>
      <c r="B3884" s="877">
        <f>B3816</f>
        <v>4276.13363686704</v>
      </c>
    </row>
    <row r="3885" spans="1:2" x14ac:dyDescent="0.3">
      <c r="A3885" s="708" t="s">
        <v>1956</v>
      </c>
      <c r="B3885" s="877">
        <f>-B3825</f>
        <v>-1323.2763157894738</v>
      </c>
    </row>
    <row r="3886" spans="1:2" x14ac:dyDescent="0.3">
      <c r="A3886" s="708" t="s">
        <v>1930</v>
      </c>
      <c r="B3886" s="877">
        <f>-B3879</f>
        <v>-1278.7318016378524</v>
      </c>
    </row>
    <row r="3887" spans="1:2" x14ac:dyDescent="0.3">
      <c r="A3887" s="708" t="s">
        <v>1931</v>
      </c>
      <c r="B3887" s="891">
        <f>SUM(B3884:B3886)</f>
        <v>1674.1255194397138</v>
      </c>
    </row>
    <row r="3888" spans="1:2" x14ac:dyDescent="0.3">
      <c r="A3888" s="708" t="s">
        <v>1932</v>
      </c>
      <c r="B3888" s="880">
        <f>B3871</f>
        <v>6973.8622999999989</v>
      </c>
    </row>
    <row r="3889" spans="1:2" x14ac:dyDescent="0.3">
      <c r="A3889" s="708" t="s">
        <v>1957</v>
      </c>
      <c r="B3889" s="877">
        <f>B3887*B3888/1000</f>
        <v>11675.120845488535</v>
      </c>
    </row>
    <row r="3890" spans="1:2" x14ac:dyDescent="0.3">
      <c r="A3890" s="708" t="s">
        <v>1718</v>
      </c>
      <c r="B3890" s="880">
        <f>B3845</f>
        <v>260</v>
      </c>
    </row>
    <row r="3891" spans="1:2" x14ac:dyDescent="0.3">
      <c r="A3891" s="709" t="s">
        <v>1934</v>
      </c>
      <c r="B3891" s="892">
        <f>B3889/B3890</f>
        <v>44.904310944186669</v>
      </c>
    </row>
    <row r="3892" spans="1:2" x14ac:dyDescent="0.3">
      <c r="A3892" s="893"/>
      <c r="B3892" s="880"/>
    </row>
    <row r="3893" spans="1:2" x14ac:dyDescent="0.3">
      <c r="A3893" s="177"/>
      <c r="B3893" s="887"/>
    </row>
    <row r="3894" spans="1:2" x14ac:dyDescent="0.3">
      <c r="A3894" s="618" t="s">
        <v>1958</v>
      </c>
      <c r="B3894" s="880"/>
    </row>
    <row r="3895" spans="1:2" x14ac:dyDescent="0.3">
      <c r="A3895" s="708"/>
      <c r="B3895" s="877"/>
    </row>
    <row r="3896" spans="1:2" x14ac:dyDescent="0.3">
      <c r="A3896" s="708" t="s">
        <v>1936</v>
      </c>
      <c r="B3896" s="882">
        <f>Valuation!B6</f>
        <v>35.78</v>
      </c>
    </row>
    <row r="3897" spans="1:2" x14ac:dyDescent="0.3">
      <c r="A3897" s="708" t="s">
        <v>1937</v>
      </c>
      <c r="B3897" s="883">
        <f>B3891</f>
        <v>44.904310944186669</v>
      </c>
    </row>
    <row r="3898" spans="1:2" x14ac:dyDescent="0.3">
      <c r="A3898" s="709" t="s">
        <v>1938</v>
      </c>
      <c r="B3898" s="889">
        <f>SUM(B3896:B3897)</f>
        <v>80.684310944186677</v>
      </c>
    </row>
    <row r="3899" spans="1:2" x14ac:dyDescent="0.3">
      <c r="A3899" s="614" t="s">
        <v>1939</v>
      </c>
      <c r="B3899" s="884">
        <f>B3898/B3896-1</f>
        <v>1.2550114853042671</v>
      </c>
    </row>
    <row r="3900" spans="1:2" x14ac:dyDescent="0.3">
      <c r="A3900" s="494"/>
      <c r="B3900" s="494"/>
    </row>
    <row r="3901" spans="1:2" x14ac:dyDescent="0.3">
      <c r="A3901" s="177"/>
      <c r="B3901" s="887"/>
    </row>
    <row r="3902" spans="1:2" x14ac:dyDescent="0.3">
      <c r="A3902" s="177"/>
      <c r="B3902" s="887"/>
    </row>
    <row r="3904" spans="1:2" x14ac:dyDescent="0.3">
      <c r="A3904" s="618" t="s">
        <v>1959</v>
      </c>
      <c r="B3904" s="494"/>
    </row>
    <row r="3905" spans="1:2" x14ac:dyDescent="0.3">
      <c r="A3905" s="708" t="s">
        <v>1960</v>
      </c>
      <c r="B3905" s="365">
        <v>1233</v>
      </c>
    </row>
    <row r="3906" spans="1:2" x14ac:dyDescent="0.3">
      <c r="A3906" s="708" t="s">
        <v>1768</v>
      </c>
      <c r="B3906" s="869">
        <v>12.5</v>
      </c>
    </row>
    <row r="3907" spans="1:2" x14ac:dyDescent="0.3">
      <c r="A3907" s="708" t="s">
        <v>872</v>
      </c>
      <c r="B3907" s="870">
        <f>B3905*B3906</f>
        <v>15412.5</v>
      </c>
    </row>
    <row r="3908" spans="1:2" x14ac:dyDescent="0.3">
      <c r="A3908" s="708" t="s">
        <v>1769</v>
      </c>
      <c r="B3908" s="656">
        <f>B3815</f>
        <v>3250.6</v>
      </c>
    </row>
    <row r="3909" spans="1:2" x14ac:dyDescent="0.3">
      <c r="A3909" s="709" t="s">
        <v>1770</v>
      </c>
      <c r="B3909" s="871">
        <f>B3907/B3908*1000</f>
        <v>4741.4323509505939</v>
      </c>
    </row>
    <row r="3910" spans="1:2" x14ac:dyDescent="0.3">
      <c r="A3910" s="494"/>
      <c r="B3910" s="494"/>
    </row>
    <row r="3913" spans="1:2" x14ac:dyDescent="0.3">
      <c r="A3913" s="618" t="s">
        <v>1961</v>
      </c>
      <c r="B3913" s="494"/>
    </row>
    <row r="3914" spans="1:2" x14ac:dyDescent="0.3">
      <c r="A3914" s="708" t="s">
        <v>1960</v>
      </c>
      <c r="B3914" s="365">
        <v>1334</v>
      </c>
    </row>
    <row r="3915" spans="1:2" x14ac:dyDescent="0.3">
      <c r="A3915" s="708" t="s">
        <v>1962</v>
      </c>
      <c r="B3915" s="869">
        <v>12</v>
      </c>
    </row>
    <row r="3916" spans="1:2" x14ac:dyDescent="0.3">
      <c r="A3916" s="708" t="s">
        <v>872</v>
      </c>
      <c r="B3916" s="870">
        <f>B3914*B3915</f>
        <v>16008</v>
      </c>
    </row>
    <row r="3917" spans="1:2" x14ac:dyDescent="0.3">
      <c r="A3917" s="708" t="s">
        <v>1769</v>
      </c>
      <c r="B3917" s="656">
        <f>B3908</f>
        <v>3250.6</v>
      </c>
    </row>
    <row r="3918" spans="1:2" x14ac:dyDescent="0.3">
      <c r="A3918" s="709" t="s">
        <v>1770</v>
      </c>
      <c r="B3918" s="871">
        <f>B3916/B3917*1000</f>
        <v>4924.6292992062999</v>
      </c>
    </row>
    <row r="3919" spans="1:2" x14ac:dyDescent="0.3">
      <c r="A3919" s="494"/>
      <c r="B3919" s="494"/>
    </row>
    <row r="3921" spans="1:3" x14ac:dyDescent="0.3">
      <c r="A3921" s="618" t="s">
        <v>1961</v>
      </c>
      <c r="B3921" s="494"/>
    </row>
    <row r="3922" spans="1:3" x14ac:dyDescent="0.3">
      <c r="A3922" s="708" t="s">
        <v>1960</v>
      </c>
      <c r="B3922" s="365">
        <v>1287</v>
      </c>
    </row>
    <row r="3923" spans="1:3" x14ac:dyDescent="0.3">
      <c r="A3923" s="708" t="s">
        <v>1962</v>
      </c>
      <c r="B3923" s="869">
        <v>9</v>
      </c>
    </row>
    <row r="3924" spans="1:3" x14ac:dyDescent="0.3">
      <c r="A3924" s="708" t="s">
        <v>872</v>
      </c>
      <c r="B3924" s="870">
        <f>B3922*B3923</f>
        <v>11583</v>
      </c>
    </row>
    <row r="3925" spans="1:3" x14ac:dyDescent="0.3">
      <c r="A3925" s="708" t="s">
        <v>1769</v>
      </c>
      <c r="B3925" s="656">
        <f>B3917</f>
        <v>3250.6</v>
      </c>
    </row>
    <row r="3926" spans="1:3" x14ac:dyDescent="0.3">
      <c r="A3926" s="709" t="s">
        <v>1770</v>
      </c>
      <c r="B3926" s="871">
        <f>B3924/B3925*1000</f>
        <v>3563.342152218052</v>
      </c>
    </row>
    <row r="3927" spans="1:3" x14ac:dyDescent="0.3">
      <c r="A3927" s="494"/>
      <c r="B3927" s="494"/>
    </row>
    <row r="3930" spans="1:3" x14ac:dyDescent="0.3">
      <c r="A3930" s="618" t="s">
        <v>1963</v>
      </c>
      <c r="B3930" s="494"/>
      <c r="C3930" s="494"/>
    </row>
    <row r="3931" spans="1:3" x14ac:dyDescent="0.3">
      <c r="A3931" s="144"/>
      <c r="B3931" s="144"/>
      <c r="C3931" s="144"/>
    </row>
    <row r="3932" spans="1:3" x14ac:dyDescent="0.3">
      <c r="A3932" s="708" t="s">
        <v>1964</v>
      </c>
      <c r="B3932" s="877">
        <f>B3909</f>
        <v>4741.4323509505939</v>
      </c>
    </row>
    <row r="3933" spans="1:3" x14ac:dyDescent="0.3">
      <c r="A3933" s="708" t="s">
        <v>1929</v>
      </c>
      <c r="B3933" s="877">
        <f>C3840</f>
        <v>-520.00937285554119</v>
      </c>
    </row>
    <row r="3934" spans="1:3" x14ac:dyDescent="0.3">
      <c r="A3934" s="708" t="s">
        <v>1930</v>
      </c>
      <c r="B3934" s="880">
        <f>-B3879</f>
        <v>-1278.7318016378524</v>
      </c>
    </row>
    <row r="3935" spans="1:3" x14ac:dyDescent="0.3">
      <c r="A3935" s="708" t="s">
        <v>1931</v>
      </c>
      <c r="B3935" s="877">
        <f>SUM(B3932:B3934)</f>
        <v>2942.6911764572005</v>
      </c>
    </row>
    <row r="3936" spans="1:3" x14ac:dyDescent="0.3">
      <c r="A3936" s="708" t="s">
        <v>1932</v>
      </c>
      <c r="B3936" s="656">
        <f>C3843</f>
        <v>6973.8622999999989</v>
      </c>
    </row>
    <row r="3937" spans="1:5" x14ac:dyDescent="0.3">
      <c r="A3937" s="708" t="s">
        <v>1933</v>
      </c>
      <c r="B3937" s="876">
        <f>B3935*B3936/1000</f>
        <v>20521.923056037514</v>
      </c>
      <c r="E3937" s="887"/>
    </row>
    <row r="3938" spans="1:5" x14ac:dyDescent="0.3">
      <c r="A3938" s="708" t="s">
        <v>1718</v>
      </c>
      <c r="B3938" s="365">
        <f>C3845</f>
        <v>260</v>
      </c>
    </row>
    <row r="3939" spans="1:5" x14ac:dyDescent="0.3">
      <c r="A3939" s="709" t="s">
        <v>1965</v>
      </c>
      <c r="B3939" s="881">
        <f>B3937/B3938</f>
        <v>78.930473292451978</v>
      </c>
    </row>
    <row r="3940" spans="1:5" x14ac:dyDescent="0.3">
      <c r="A3940" s="494"/>
      <c r="B3940" s="494"/>
    </row>
    <row r="3941" spans="1:5" x14ac:dyDescent="0.3">
      <c r="A3941" s="144"/>
      <c r="B3941" s="144"/>
    </row>
    <row r="3942" spans="1:5" x14ac:dyDescent="0.3">
      <c r="A3942" s="618" t="s">
        <v>1966</v>
      </c>
      <c r="B3942" s="494"/>
    </row>
    <row r="3943" spans="1:5" x14ac:dyDescent="0.3">
      <c r="A3943" s="144"/>
      <c r="B3943" s="144"/>
    </row>
    <row r="3944" spans="1:5" x14ac:dyDescent="0.3">
      <c r="A3944" s="708" t="s">
        <v>1936</v>
      </c>
      <c r="B3944" s="882">
        <f>Valuation!C6</f>
        <v>24.22</v>
      </c>
    </row>
    <row r="3945" spans="1:5" x14ac:dyDescent="0.3">
      <c r="A3945" s="708" t="s">
        <v>1967</v>
      </c>
      <c r="B3945" s="883">
        <f>B3939</f>
        <v>78.930473292451978</v>
      </c>
    </row>
    <row r="3946" spans="1:5" x14ac:dyDescent="0.3">
      <c r="A3946" s="709" t="s">
        <v>1938</v>
      </c>
      <c r="B3946" s="889">
        <f>SUM(B3944:B3945)</f>
        <v>103.15047329245198</v>
      </c>
    </row>
    <row r="3947" spans="1:5" x14ac:dyDescent="0.3">
      <c r="A3947" s="614" t="s">
        <v>1939</v>
      </c>
      <c r="B3947" s="884">
        <f>B3946/B3944-1</f>
        <v>3.258896502578529</v>
      </c>
    </row>
    <row r="3948" spans="1:5" x14ac:dyDescent="0.3">
      <c r="A3948" s="494"/>
      <c r="B3948" s="494"/>
      <c r="C3948" s="494"/>
    </row>
    <row r="3950" spans="1:5" x14ac:dyDescent="0.3">
      <c r="A3950" s="618" t="s">
        <v>1963</v>
      </c>
      <c r="B3950" s="494"/>
      <c r="C3950" s="494"/>
    </row>
    <row r="3951" spans="1:5" x14ac:dyDescent="0.3">
      <c r="A3951" s="144"/>
      <c r="B3951" s="144"/>
      <c r="C3951" s="144"/>
    </row>
    <row r="3952" spans="1:5" x14ac:dyDescent="0.3">
      <c r="A3952" s="144"/>
      <c r="B3952" s="704" t="s">
        <v>1968</v>
      </c>
      <c r="C3952" s="704" t="s">
        <v>1969</v>
      </c>
    </row>
    <row r="3953" spans="1:3" x14ac:dyDescent="0.3">
      <c r="A3953" s="708" t="s">
        <v>1970</v>
      </c>
      <c r="B3953" s="877">
        <f>B3936</f>
        <v>6973.8622999999989</v>
      </c>
      <c r="C3953" s="877">
        <f>B3953</f>
        <v>6973.8622999999989</v>
      </c>
    </row>
    <row r="3954" spans="1:3" x14ac:dyDescent="0.3">
      <c r="A3954" s="708" t="s">
        <v>1292</v>
      </c>
      <c r="B3954" s="894">
        <v>0.48</v>
      </c>
      <c r="C3954" s="894">
        <v>0.51</v>
      </c>
    </row>
    <row r="3955" spans="1:3" x14ac:dyDescent="0.3">
      <c r="A3955" s="708" t="s">
        <v>1950</v>
      </c>
      <c r="B3955" s="877">
        <f>B3953*B3954</f>
        <v>3347.4539039999995</v>
      </c>
      <c r="C3955" s="877">
        <f>C3953*C3954</f>
        <v>3556.6697729999996</v>
      </c>
    </row>
    <row r="3956" spans="1:3" x14ac:dyDescent="0.3">
      <c r="A3956" s="708" t="s">
        <v>213</v>
      </c>
      <c r="B3956" s="880">
        <v>63</v>
      </c>
      <c r="C3956" s="880">
        <f>B3956</f>
        <v>63</v>
      </c>
    </row>
    <row r="3957" spans="1:3" x14ac:dyDescent="0.3">
      <c r="A3957" s="708" t="s">
        <v>214</v>
      </c>
      <c r="B3957" s="877">
        <f>B3955*B3956*12/1000</f>
        <v>2530.6751514239995</v>
      </c>
      <c r="C3957" s="877">
        <f>C3955*C3956*12/1000</f>
        <v>2688.8423483879997</v>
      </c>
    </row>
    <row r="3958" spans="1:3" x14ac:dyDescent="0.3">
      <c r="A3958" s="708" t="s">
        <v>1971</v>
      </c>
      <c r="B3958" s="894">
        <f>B3959/B3957</f>
        <v>0.50855993874828653</v>
      </c>
      <c r="C3958" s="894">
        <f>C3959/C3957</f>
        <v>0.49612428962216865</v>
      </c>
    </row>
    <row r="3959" spans="1:3" x14ac:dyDescent="0.3">
      <c r="A3959" s="708" t="s">
        <v>218</v>
      </c>
      <c r="B3959" s="877">
        <v>1287</v>
      </c>
      <c r="C3959" s="877">
        <v>1334</v>
      </c>
    </row>
    <row r="3960" spans="1:3" x14ac:dyDescent="0.3">
      <c r="A3960" s="708" t="s">
        <v>1972</v>
      </c>
      <c r="B3960" s="869">
        <v>9</v>
      </c>
      <c r="C3960" s="869">
        <v>12</v>
      </c>
    </row>
    <row r="3961" spans="1:3" x14ac:dyDescent="0.3">
      <c r="A3961" s="708" t="s">
        <v>872</v>
      </c>
      <c r="B3961" s="877">
        <f>B3959*B3960</f>
        <v>11583</v>
      </c>
      <c r="C3961" s="877">
        <f>C3959*C3960</f>
        <v>16008</v>
      </c>
    </row>
    <row r="3962" spans="1:3" x14ac:dyDescent="0.3">
      <c r="A3962" s="708" t="s">
        <v>1973</v>
      </c>
      <c r="B3962" s="880">
        <f>B3925</f>
        <v>3250.6</v>
      </c>
      <c r="C3962" s="880">
        <f>B3962</f>
        <v>3250.6</v>
      </c>
    </row>
    <row r="3963" spans="1:3" x14ac:dyDescent="0.3">
      <c r="A3963" s="708" t="s">
        <v>1974</v>
      </c>
      <c r="B3963" s="877">
        <f>B3961/B3962*1000</f>
        <v>3563.342152218052</v>
      </c>
      <c r="C3963" s="877">
        <f>C3961/C3962*1000</f>
        <v>4924.6292992062999</v>
      </c>
    </row>
    <row r="3964" spans="1:3" x14ac:dyDescent="0.3">
      <c r="A3964" s="708" t="s">
        <v>1929</v>
      </c>
      <c r="B3964" s="877">
        <f>C3964</f>
        <v>-520.00937285554119</v>
      </c>
      <c r="C3964" s="877">
        <f>B3933</f>
        <v>-520.00937285554119</v>
      </c>
    </row>
    <row r="3965" spans="1:3" x14ac:dyDescent="0.3">
      <c r="A3965" s="708" t="s">
        <v>1930</v>
      </c>
      <c r="B3965" s="880">
        <f>B3886</f>
        <v>-1278.7318016378524</v>
      </c>
      <c r="C3965" s="866">
        <f>B3965</f>
        <v>-1278.7318016378524</v>
      </c>
    </row>
    <row r="3966" spans="1:3" x14ac:dyDescent="0.3">
      <c r="A3966" s="708" t="s">
        <v>1975</v>
      </c>
      <c r="B3966" s="877">
        <f>SUM(B3963:B3965)</f>
        <v>1764.6009777246584</v>
      </c>
      <c r="C3966" s="877">
        <f>SUM(C3963:C3965)</f>
        <v>3125.8881247129066</v>
      </c>
    </row>
    <row r="3967" spans="1:3" x14ac:dyDescent="0.3">
      <c r="A3967" s="708" t="s">
        <v>1976</v>
      </c>
      <c r="B3967" s="656">
        <f>C3967</f>
        <v>6973.8622999999989</v>
      </c>
      <c r="C3967" s="656">
        <f>B3936</f>
        <v>6973.8622999999989</v>
      </c>
    </row>
    <row r="3968" spans="1:3" x14ac:dyDescent="0.3">
      <c r="A3968" s="708" t="s">
        <v>1933</v>
      </c>
      <c r="B3968" s="876">
        <f>B3966*B3967/1000</f>
        <v>12306.084233097132</v>
      </c>
      <c r="C3968" s="876">
        <f>C3966*C3967/1000</f>
        <v>21799.513346953034</v>
      </c>
    </row>
    <row r="3969" spans="1:3" x14ac:dyDescent="0.3">
      <c r="A3969" s="708" t="s">
        <v>1718</v>
      </c>
      <c r="B3969" s="365">
        <f>C3969</f>
        <v>260</v>
      </c>
      <c r="C3969" s="365">
        <f>B3938</f>
        <v>260</v>
      </c>
    </row>
    <row r="3970" spans="1:3" x14ac:dyDescent="0.3">
      <c r="A3970" s="709" t="s">
        <v>1965</v>
      </c>
      <c r="B3970" s="881">
        <f>B3968/B3969</f>
        <v>47.331093204219741</v>
      </c>
      <c r="C3970" s="881">
        <f>C3968/C3969</f>
        <v>83.84428210366552</v>
      </c>
    </row>
    <row r="3971" spans="1:3" x14ac:dyDescent="0.3">
      <c r="A3971" s="494"/>
      <c r="B3971" s="494"/>
      <c r="C3971" s="494"/>
    </row>
    <row r="3972" spans="1:3" x14ac:dyDescent="0.3">
      <c r="A3972" s="144"/>
      <c r="B3972" s="144"/>
      <c r="C3972" s="144"/>
    </row>
    <row r="3973" spans="1:3" x14ac:dyDescent="0.3">
      <c r="A3973" s="618" t="s">
        <v>1977</v>
      </c>
      <c r="B3973" s="494"/>
      <c r="C3973" s="494"/>
    </row>
    <row r="3974" spans="1:3" x14ac:dyDescent="0.3">
      <c r="A3974" s="144"/>
      <c r="B3974" s="144"/>
      <c r="C3974" s="144"/>
    </row>
    <row r="3975" spans="1:3" x14ac:dyDescent="0.3">
      <c r="A3975" s="144"/>
      <c r="B3975" s="704" t="s">
        <v>1968</v>
      </c>
      <c r="C3975" s="704" t="s">
        <v>1969</v>
      </c>
    </row>
    <row r="3976" spans="1:3" x14ac:dyDescent="0.3">
      <c r="A3976" s="708" t="s">
        <v>1978</v>
      </c>
      <c r="B3976" s="896">
        <v>0.48199999999999998</v>
      </c>
      <c r="C3976" s="896">
        <v>0.51</v>
      </c>
    </row>
    <row r="3977" spans="1:3" x14ac:dyDescent="0.3">
      <c r="A3977" s="708" t="s">
        <v>1979</v>
      </c>
      <c r="B3977" s="894">
        <f>-'Segment Model'!EE390</f>
        <v>-0.41496623270951993</v>
      </c>
      <c r="C3977" s="894">
        <f>B3977</f>
        <v>-0.41496623270951993</v>
      </c>
    </row>
    <row r="3978" spans="1:3" x14ac:dyDescent="0.3">
      <c r="A3978" s="708" t="s">
        <v>1980</v>
      </c>
      <c r="B3978" s="896">
        <f>B3976+B3977</f>
        <v>6.7033767290480051E-2</v>
      </c>
      <c r="C3978" s="896">
        <f>C3976+C3977</f>
        <v>9.5033767290480076E-2</v>
      </c>
    </row>
    <row r="3979" spans="1:3" x14ac:dyDescent="0.3">
      <c r="A3979" s="708" t="s">
        <v>1981</v>
      </c>
      <c r="B3979" s="880">
        <f>C3843</f>
        <v>6973.8622999999989</v>
      </c>
      <c r="C3979" s="880">
        <f>B3979</f>
        <v>6973.8622999999989</v>
      </c>
    </row>
    <row r="3980" spans="1:3" x14ac:dyDescent="0.3">
      <c r="A3980" s="708" t="s">
        <v>1982</v>
      </c>
      <c r="B3980" s="877">
        <f>B3978*B3979</f>
        <v>467.48426253405188</v>
      </c>
      <c r="C3980" s="877">
        <f>C3978*C3979</f>
        <v>662.75240693405203</v>
      </c>
    </row>
    <row r="3981" spans="1:3" x14ac:dyDescent="0.3">
      <c r="A3981" s="708" t="s">
        <v>1983</v>
      </c>
      <c r="B3981" s="897">
        <f>'Segment Model'!ED498</f>
        <v>53.054319132440519</v>
      </c>
      <c r="C3981" s="897">
        <f>B3981</f>
        <v>53.054319132440519</v>
      </c>
    </row>
    <row r="3982" spans="1:3" x14ac:dyDescent="0.3">
      <c r="A3982" s="708" t="s">
        <v>1984</v>
      </c>
      <c r="B3982" s="873">
        <v>12</v>
      </c>
      <c r="C3982" s="873">
        <v>12</v>
      </c>
    </row>
    <row r="3983" spans="1:3" x14ac:dyDescent="0.3">
      <c r="A3983" s="708" t="s">
        <v>1985</v>
      </c>
      <c r="B3983" s="877">
        <f>B3980*B3981*B3982/1000</f>
        <v>297.62471104650234</v>
      </c>
      <c r="C3983" s="877">
        <f>C3980*C3981*C3982/1000</f>
        <v>421.94253243926738</v>
      </c>
    </row>
    <row r="3984" spans="1:3" x14ac:dyDescent="0.3">
      <c r="A3984" s="708" t="s">
        <v>1986</v>
      </c>
      <c r="B3984" s="894">
        <v>0.75</v>
      </c>
      <c r="C3984" s="894">
        <f>B3984</f>
        <v>0.75</v>
      </c>
    </row>
    <row r="3985" spans="1:3" x14ac:dyDescent="0.3">
      <c r="A3985" s="708" t="s">
        <v>1987</v>
      </c>
      <c r="B3985" s="876">
        <f>B3983*B3984</f>
        <v>223.21853328487674</v>
      </c>
      <c r="C3985" s="876">
        <f>C3983*C3984</f>
        <v>316.45689932945055</v>
      </c>
    </row>
    <row r="3986" spans="1:3" x14ac:dyDescent="0.3">
      <c r="A3986" s="708" t="s">
        <v>1988</v>
      </c>
      <c r="B3986" s="873">
        <f>B3812</f>
        <v>1112</v>
      </c>
      <c r="C3986" s="873">
        <f>B3986</f>
        <v>1112</v>
      </c>
    </row>
    <row r="3987" spans="1:3" x14ac:dyDescent="0.3">
      <c r="A3987" s="708" t="s">
        <v>1989</v>
      </c>
      <c r="B3987" s="876">
        <f>SUM(B3985:B3986)</f>
        <v>1335.2185332848767</v>
      </c>
      <c r="C3987" s="876">
        <f>SUM(C3985:C3986)</f>
        <v>1428.4568993294506</v>
      </c>
    </row>
    <row r="3988" spans="1:3" x14ac:dyDescent="0.3">
      <c r="A3988" s="708" t="s">
        <v>1990</v>
      </c>
      <c r="B3988" s="869">
        <v>9</v>
      </c>
      <c r="C3988" s="869">
        <v>12</v>
      </c>
    </row>
    <row r="3989" spans="1:3" x14ac:dyDescent="0.3">
      <c r="A3989" s="708" t="s">
        <v>872</v>
      </c>
      <c r="B3989" s="877">
        <f>B3987*B3988</f>
        <v>12016.96679956389</v>
      </c>
      <c r="C3989" s="877">
        <f>C3987*C3988</f>
        <v>17141.482791953407</v>
      </c>
    </row>
    <row r="3990" spans="1:3" x14ac:dyDescent="0.3">
      <c r="A3990" s="708" t="s">
        <v>1973</v>
      </c>
      <c r="B3990" s="880">
        <f>B3806</f>
        <v>3250.6</v>
      </c>
      <c r="C3990" s="880">
        <f>B3990</f>
        <v>3250.6</v>
      </c>
    </row>
    <row r="3991" spans="1:3" x14ac:dyDescent="0.3">
      <c r="A3991" s="708" t="s">
        <v>1991</v>
      </c>
      <c r="B3991" s="877">
        <f>B3989/B3990*1000</f>
        <v>3696.8457514193965</v>
      </c>
      <c r="C3991" s="877">
        <f>C3989/C3990*1000</f>
        <v>5273.3288598884537</v>
      </c>
    </row>
    <row r="3992" spans="1:3" x14ac:dyDescent="0.3">
      <c r="A3992" s="494"/>
      <c r="B3992" s="494"/>
      <c r="C3992" s="494"/>
    </row>
    <row r="3993" spans="1:3" x14ac:dyDescent="0.3">
      <c r="A3993" s="708"/>
      <c r="B3993" s="877"/>
      <c r="C3993" s="877"/>
    </row>
    <row r="3994" spans="1:3" x14ac:dyDescent="0.3">
      <c r="A3994" s="618" t="s">
        <v>1992</v>
      </c>
      <c r="B3994" s="494"/>
      <c r="C3994" s="494"/>
    </row>
    <row r="3995" spans="1:3" x14ac:dyDescent="0.3">
      <c r="A3995" s="144"/>
      <c r="B3995" s="704" t="s">
        <v>1968</v>
      </c>
      <c r="C3995" s="704" t="s">
        <v>1969</v>
      </c>
    </row>
    <row r="3996" spans="1:3" x14ac:dyDescent="0.3">
      <c r="A3996" s="708" t="s">
        <v>1974</v>
      </c>
      <c r="B3996" s="877">
        <f>B3991</f>
        <v>3696.8457514193965</v>
      </c>
      <c r="C3996" s="877">
        <f>C3991</f>
        <v>5273.3288598884537</v>
      </c>
    </row>
    <row r="3997" spans="1:3" x14ac:dyDescent="0.3">
      <c r="A3997" s="708" t="s">
        <v>1929</v>
      </c>
      <c r="B3997" s="877">
        <f>-B3834</f>
        <v>-520.00937285554119</v>
      </c>
      <c r="C3997" s="877">
        <f>B3997</f>
        <v>-520.00937285554119</v>
      </c>
    </row>
    <row r="3998" spans="1:3" x14ac:dyDescent="0.3">
      <c r="A3998" s="708" t="s">
        <v>1930</v>
      </c>
      <c r="B3998" s="880">
        <f>-B3879</f>
        <v>-1278.7318016378524</v>
      </c>
      <c r="C3998" s="880">
        <f>B3998</f>
        <v>-1278.7318016378524</v>
      </c>
    </row>
    <row r="3999" spans="1:3" x14ac:dyDescent="0.3">
      <c r="A3999" s="708" t="s">
        <v>1975</v>
      </c>
      <c r="B3999" s="877">
        <f>SUM(B3996:B3998)</f>
        <v>1898.1045769260029</v>
      </c>
      <c r="C3999" s="877">
        <f>SUM(C3996:C3998)</f>
        <v>3474.5876853950604</v>
      </c>
    </row>
    <row r="4000" spans="1:3" x14ac:dyDescent="0.3">
      <c r="A4000" s="708" t="s">
        <v>1932</v>
      </c>
      <c r="B4000" s="656">
        <f>B3979</f>
        <v>6973.8622999999989</v>
      </c>
      <c r="C4000" s="656">
        <f>B4000</f>
        <v>6973.8622999999989</v>
      </c>
    </row>
    <row r="4001" spans="1:14" x14ac:dyDescent="0.3">
      <c r="A4001" s="708" t="s">
        <v>1933</v>
      </c>
      <c r="B4001" s="876">
        <f>B3999*B4000/1000</f>
        <v>13237.1199504817</v>
      </c>
      <c r="C4001" s="876">
        <f>C3999*C4000/1000</f>
        <v>24231.296067220868</v>
      </c>
    </row>
    <row r="4002" spans="1:14" x14ac:dyDescent="0.3">
      <c r="A4002" s="708" t="s">
        <v>1718</v>
      </c>
      <c r="B4002" s="365">
        <f>B3969</f>
        <v>260</v>
      </c>
      <c r="C4002" s="365">
        <f>C3969</f>
        <v>260</v>
      </c>
    </row>
    <row r="4003" spans="1:14" x14ac:dyDescent="0.3">
      <c r="A4003" s="709" t="s">
        <v>1965</v>
      </c>
      <c r="B4003" s="881">
        <f>B4001/B4002</f>
        <v>50.911999809545001</v>
      </c>
      <c r="C4003" s="881">
        <f>C4001/C4002</f>
        <v>93.197292566234111</v>
      </c>
    </row>
    <row r="4004" spans="1:14" x14ac:dyDescent="0.3">
      <c r="A4004" s="494"/>
      <c r="B4004" s="494"/>
      <c r="C4004" s="494"/>
    </row>
    <row r="4005" spans="1:14" x14ac:dyDescent="0.3">
      <c r="A4005" s="144"/>
      <c r="B4005" s="144"/>
      <c r="C4005" s="144"/>
    </row>
    <row r="4006" spans="1:14" x14ac:dyDescent="0.3">
      <c r="A4006" s="618" t="s">
        <v>1993</v>
      </c>
      <c r="B4006" s="494"/>
      <c r="C4006" s="494"/>
    </row>
    <row r="4007" spans="1:14" x14ac:dyDescent="0.3">
      <c r="A4007" s="144"/>
      <c r="B4007" s="704" t="s">
        <v>1968</v>
      </c>
      <c r="C4007" s="704" t="s">
        <v>1969</v>
      </c>
    </row>
    <row r="4008" spans="1:14" x14ac:dyDescent="0.3">
      <c r="A4008" s="708" t="s">
        <v>1936</v>
      </c>
      <c r="B4008" s="882">
        <f>C4008</f>
        <v>24.22</v>
      </c>
      <c r="C4008" s="882">
        <f>B3944</f>
        <v>24.22</v>
      </c>
    </row>
    <row r="4009" spans="1:14" x14ac:dyDescent="0.3">
      <c r="A4009" s="708" t="s">
        <v>1967</v>
      </c>
      <c r="B4009" s="883">
        <f>B4003</f>
        <v>50.911999809545001</v>
      </c>
      <c r="C4009" s="883">
        <f>C4003</f>
        <v>93.197292566234111</v>
      </c>
    </row>
    <row r="4010" spans="1:14" x14ac:dyDescent="0.3">
      <c r="A4010" s="709" t="s">
        <v>1938</v>
      </c>
      <c r="B4010" s="889">
        <f>SUM(B4008:B4009)</f>
        <v>75.131999809544993</v>
      </c>
      <c r="C4010" s="889">
        <f>SUM(C4008:C4009)</f>
        <v>117.41729256623411</v>
      </c>
    </row>
    <row r="4011" spans="1:14" x14ac:dyDescent="0.3">
      <c r="A4011" s="614" t="s">
        <v>1939</v>
      </c>
      <c r="B4011" s="884">
        <f>B4010/B4008-1</f>
        <v>2.1020644017153178</v>
      </c>
      <c r="C4011" s="884">
        <f>C4010/C4008-1</f>
        <v>3.8479476699518624</v>
      </c>
    </row>
    <row r="4012" spans="1:14" x14ac:dyDescent="0.3">
      <c r="A4012" s="494"/>
      <c r="B4012" s="494"/>
      <c r="C4012" s="494"/>
    </row>
    <row r="4014" spans="1:14" x14ac:dyDescent="0.3">
      <c r="A4014" s="177"/>
      <c r="B4014" s="85"/>
      <c r="C4014" s="76"/>
      <c r="D4014" s="76"/>
      <c r="E4014" s="76"/>
      <c r="F4014" s="76"/>
      <c r="G4014" s="76"/>
      <c r="H4014" s="76"/>
      <c r="I4014" s="76"/>
      <c r="J4014" s="76"/>
      <c r="K4014" s="76"/>
      <c r="L4014" s="76"/>
      <c r="M4014" s="76"/>
      <c r="N4014" s="76"/>
    </row>
    <row r="4015" spans="1:14" x14ac:dyDescent="0.3">
      <c r="A4015" s="177" t="s">
        <v>1994</v>
      </c>
      <c r="B4015" s="85"/>
      <c r="C4015" s="76">
        <v>258346.94294435511</v>
      </c>
      <c r="D4015" s="76"/>
      <c r="E4015" s="76"/>
      <c r="F4015" s="76"/>
      <c r="G4015" s="76"/>
      <c r="H4015" s="76"/>
      <c r="I4015" s="76"/>
      <c r="J4015" s="76"/>
      <c r="K4015" s="76"/>
      <c r="L4015" s="76"/>
      <c r="M4015" s="76"/>
      <c r="N4015" s="76"/>
    </row>
    <row r="4016" spans="1:14" x14ac:dyDescent="0.3">
      <c r="A4016" s="177" t="s">
        <v>1847</v>
      </c>
      <c r="B4016" s="85"/>
      <c r="C4016" s="76">
        <v>53592</v>
      </c>
      <c r="D4016" s="76"/>
      <c r="E4016" s="76"/>
      <c r="F4016" s="76"/>
      <c r="G4016" s="76"/>
      <c r="H4016" s="76"/>
      <c r="I4016" s="76"/>
      <c r="J4016" s="76"/>
      <c r="K4016" s="76"/>
      <c r="L4016" s="76"/>
      <c r="M4016" s="76"/>
      <c r="N4016" s="76"/>
    </row>
    <row r="4017" spans="1:14" x14ac:dyDescent="0.3">
      <c r="A4017" s="177" t="s">
        <v>1995</v>
      </c>
      <c r="B4017" s="85"/>
      <c r="C4017" s="257">
        <f>C4015*1000/C4016</f>
        <v>4820.6251482377056</v>
      </c>
      <c r="D4017" s="76"/>
      <c r="E4017" s="76"/>
      <c r="F4017" s="76"/>
      <c r="G4017" s="76"/>
      <c r="H4017" s="76"/>
      <c r="I4017" s="76"/>
      <c r="J4017" s="76"/>
      <c r="K4017" s="76"/>
      <c r="L4017" s="76"/>
      <c r="M4017" s="76"/>
      <c r="N4017" s="76"/>
    </row>
    <row r="4018" spans="1:14" x14ac:dyDescent="0.3">
      <c r="A4018" s="177"/>
      <c r="B4018" s="85"/>
      <c r="C4018" s="76"/>
      <c r="D4018" s="76"/>
      <c r="E4018" s="76"/>
      <c r="F4018" s="76"/>
      <c r="G4018" s="76"/>
      <c r="H4018" s="76"/>
      <c r="I4018" s="76"/>
      <c r="J4018" s="76"/>
      <c r="K4018" s="76"/>
      <c r="L4018" s="76"/>
      <c r="M4018" s="76"/>
      <c r="N4018" s="76"/>
    </row>
    <row r="4019" spans="1:14" x14ac:dyDescent="0.3">
      <c r="A4019" s="177" t="s">
        <v>1996</v>
      </c>
      <c r="B4019" s="85"/>
      <c r="C4019" s="76">
        <v>36759.002265499999</v>
      </c>
      <c r="D4019" s="76"/>
      <c r="E4019" s="76"/>
      <c r="F4019" s="76"/>
      <c r="G4019" s="76"/>
      <c r="H4019" s="76"/>
      <c r="I4019" s="76"/>
      <c r="J4019" s="76"/>
      <c r="K4019" s="76"/>
      <c r="L4019" s="76"/>
      <c r="M4019" s="76"/>
      <c r="N4019" s="76"/>
    </row>
    <row r="4020" spans="1:14" x14ac:dyDescent="0.3">
      <c r="A4020" s="177" t="s">
        <v>1847</v>
      </c>
      <c r="B4020" s="85"/>
      <c r="C4020" s="76">
        <v>9067.6</v>
      </c>
      <c r="D4020" s="76"/>
      <c r="E4020" s="76"/>
      <c r="F4020" s="76"/>
      <c r="G4020" s="76"/>
      <c r="H4020" s="76"/>
      <c r="I4020" s="76"/>
      <c r="J4020" s="76"/>
      <c r="K4020" s="76"/>
      <c r="L4020" s="76"/>
      <c r="M4020" s="76"/>
      <c r="N4020" s="76"/>
    </row>
    <row r="4021" spans="1:14" x14ac:dyDescent="0.3">
      <c r="A4021" s="177" t="s">
        <v>1997</v>
      </c>
      <c r="B4021" s="85"/>
      <c r="C4021" s="257">
        <f>C4019/C4020*1000</f>
        <v>4053.8844088292381</v>
      </c>
      <c r="D4021" s="76"/>
      <c r="E4021" s="76"/>
      <c r="F4021" s="76"/>
      <c r="G4021" s="76"/>
      <c r="H4021" s="76"/>
      <c r="I4021" s="76"/>
      <c r="J4021" s="76"/>
      <c r="K4021" s="76"/>
      <c r="L4021" s="76"/>
      <c r="M4021" s="76"/>
      <c r="N4021" s="76"/>
    </row>
    <row r="4022" spans="1:14" x14ac:dyDescent="0.3">
      <c r="A4022" s="177"/>
      <c r="B4022" s="85"/>
      <c r="C4022" s="76"/>
      <c r="D4022" s="76"/>
      <c r="E4022" s="76"/>
      <c r="F4022" s="76"/>
      <c r="G4022" s="76"/>
      <c r="H4022" s="76"/>
      <c r="I4022" s="76"/>
      <c r="J4022" s="76"/>
      <c r="K4022" s="76"/>
      <c r="L4022" s="76"/>
      <c r="M4022" s="76"/>
      <c r="N4022" s="76"/>
    </row>
    <row r="4023" spans="1:14" x14ac:dyDescent="0.3">
      <c r="A4023" s="177"/>
      <c r="B4023" s="85"/>
      <c r="C4023" s="76"/>
      <c r="D4023" s="76"/>
      <c r="E4023" s="76"/>
      <c r="F4023" s="76"/>
      <c r="G4023" s="76"/>
      <c r="H4023" s="76"/>
      <c r="I4023" s="76"/>
      <c r="J4023" s="76"/>
      <c r="K4023" s="76"/>
      <c r="L4023" s="76"/>
      <c r="M4023" s="76"/>
      <c r="N4023" s="76"/>
    </row>
    <row r="4024" spans="1:14" x14ac:dyDescent="0.3">
      <c r="A4024" s="177"/>
      <c r="B4024" s="85"/>
      <c r="C4024" s="76"/>
      <c r="D4024" s="76"/>
      <c r="E4024" s="76"/>
      <c r="F4024" s="76"/>
      <c r="G4024" s="76"/>
      <c r="H4024" s="76"/>
      <c r="I4024" s="76"/>
      <c r="J4024" s="76"/>
      <c r="K4024" s="76"/>
      <c r="L4024" s="76"/>
      <c r="M4024" s="76"/>
      <c r="N4024" s="76"/>
    </row>
    <row r="4025" spans="1:14" x14ac:dyDescent="0.3">
      <c r="A4025" s="177" t="s">
        <v>1998</v>
      </c>
      <c r="C4025" s="885">
        <v>642.89200000000005</v>
      </c>
    </row>
    <row r="4026" spans="1:14" x14ac:dyDescent="0.3">
      <c r="A4026" s="177" t="s">
        <v>1999</v>
      </c>
      <c r="C4026" s="885">
        <v>1520.0840000000001</v>
      </c>
    </row>
    <row r="4027" spans="1:14" x14ac:dyDescent="0.3">
      <c r="A4027" s="177" t="s">
        <v>2000</v>
      </c>
      <c r="C4027" s="885">
        <v>460.584</v>
      </c>
    </row>
    <row r="4028" spans="1:14" x14ac:dyDescent="0.3">
      <c r="A4028" s="298" t="s">
        <v>2001</v>
      </c>
      <c r="B4028" s="90"/>
      <c r="C4028" s="886">
        <f>SUM(C4025:C4027)</f>
        <v>2623.56</v>
      </c>
      <c r="D4028" s="890">
        <f>(C4026+C4027)/C4028</f>
        <v>0.75495433685526547</v>
      </c>
    </row>
    <row r="4030" spans="1:14" x14ac:dyDescent="0.3">
      <c r="A4030" s="177" t="s">
        <v>2002</v>
      </c>
      <c r="C4030" s="885">
        <v>8100</v>
      </c>
    </row>
    <row r="4031" spans="1:14" x14ac:dyDescent="0.3">
      <c r="A4031" s="177" t="s">
        <v>1847</v>
      </c>
      <c r="C4031" s="887">
        <f>C4028</f>
        <v>2623.56</v>
      </c>
    </row>
    <row r="4032" spans="1:14" x14ac:dyDescent="0.3">
      <c r="A4032" s="298" t="s">
        <v>2003</v>
      </c>
      <c r="B4032" s="90"/>
      <c r="C4032" s="886">
        <f>C4030/C4031*1000</f>
        <v>3087.4079495037277</v>
      </c>
    </row>
    <row r="4035" spans="1:3" x14ac:dyDescent="0.3">
      <c r="A4035" s="177" t="s">
        <v>2002</v>
      </c>
      <c r="C4035" s="885">
        <v>1800</v>
      </c>
    </row>
    <row r="4036" spans="1:3" x14ac:dyDescent="0.3">
      <c r="A4036" s="177" t="s">
        <v>1847</v>
      </c>
      <c r="C4036" s="885">
        <f>3252-1900</f>
        <v>1352</v>
      </c>
    </row>
    <row r="4037" spans="1:3" x14ac:dyDescent="0.3">
      <c r="A4037" s="298" t="s">
        <v>2003</v>
      </c>
      <c r="B4037" s="90"/>
      <c r="C4037" s="886">
        <f>C4035/C4036*1000</f>
        <v>1331.3609467455622</v>
      </c>
    </row>
    <row r="4039" spans="1:3" x14ac:dyDescent="0.3">
      <c r="A4039" s="618" t="s">
        <v>2004</v>
      </c>
      <c r="B4039" s="144"/>
      <c r="C4039" s="144"/>
    </row>
    <row r="4040" spans="1:3" x14ac:dyDescent="0.3">
      <c r="A4040" s="872"/>
      <c r="B4040" s="872"/>
      <c r="C4040" s="872"/>
    </row>
    <row r="4041" spans="1:3" x14ac:dyDescent="0.3">
      <c r="A4041" s="144" t="s">
        <v>1969</v>
      </c>
      <c r="B4041" s="144"/>
      <c r="C4041" s="365">
        <f>C4017</f>
        <v>4820.6251482377056</v>
      </c>
    </row>
    <row r="4042" spans="1:3" x14ac:dyDescent="0.3">
      <c r="A4042" s="144" t="s">
        <v>2005</v>
      </c>
      <c r="B4042" s="144"/>
      <c r="C4042" s="365">
        <f>C4021</f>
        <v>4053.8844088292381</v>
      </c>
    </row>
    <row r="4043" spans="1:3" hidden="1" outlineLevel="1" x14ac:dyDescent="0.3">
      <c r="A4043" s="144" t="s">
        <v>2006</v>
      </c>
      <c r="B4043" s="144"/>
      <c r="C4043" s="877">
        <f>C4032</f>
        <v>3087.4079495037277</v>
      </c>
    </row>
    <row r="4044" spans="1:3" hidden="1" outlineLevel="1" x14ac:dyDescent="0.3">
      <c r="A4044" s="144" t="s">
        <v>2007</v>
      </c>
      <c r="B4044" s="144"/>
      <c r="C4044" s="877">
        <f>C4037</f>
        <v>1331.3609467455622</v>
      </c>
    </row>
    <row r="4045" spans="1:3" collapsed="1" x14ac:dyDescent="0.3">
      <c r="A4045" s="144" t="s">
        <v>766</v>
      </c>
      <c r="B4045" s="144"/>
      <c r="C4045" s="877">
        <f>B3825</f>
        <v>1323.2763157894738</v>
      </c>
    </row>
    <row r="4046" spans="1:3" x14ac:dyDescent="0.3">
      <c r="A4046" s="494"/>
      <c r="B4046" s="494"/>
      <c r="C4046" s="494"/>
    </row>
    <row r="4049" spans="1:19" x14ac:dyDescent="0.3">
      <c r="A4049" s="90" t="s">
        <v>2008</v>
      </c>
    </row>
    <row r="4050" spans="1:19" x14ac:dyDescent="0.3">
      <c r="A4050" t="s">
        <v>865</v>
      </c>
      <c r="B4050" s="885">
        <v>2584</v>
      </c>
    </row>
    <row r="4051" spans="1:19" x14ac:dyDescent="0.3">
      <c r="A4051" s="177" t="s">
        <v>1847</v>
      </c>
      <c r="B4051" s="885">
        <v>2742</v>
      </c>
    </row>
    <row r="4052" spans="1:19" x14ac:dyDescent="0.3">
      <c r="A4052" s="177" t="s">
        <v>2009</v>
      </c>
      <c r="B4052" s="888">
        <f>B4050/B4051*1000</f>
        <v>942.37782640408466</v>
      </c>
    </row>
    <row r="4059" spans="1:19" x14ac:dyDescent="0.3">
      <c r="A4059" s="533" t="s">
        <v>1898</v>
      </c>
      <c r="B4059" s="534"/>
      <c r="C4059" s="534"/>
      <c r="D4059" s="534"/>
      <c r="E4059" s="534"/>
      <c r="F4059" s="534"/>
      <c r="G4059" s="534"/>
      <c r="H4059" s="534"/>
      <c r="I4059" s="534"/>
      <c r="J4059" s="534"/>
      <c r="K4059" s="534"/>
      <c r="L4059" s="534"/>
      <c r="M4059" s="534"/>
      <c r="N4059" s="534"/>
      <c r="O4059" s="534"/>
      <c r="P4059" s="534"/>
      <c r="Q4059" s="534"/>
      <c r="R4059" s="534"/>
      <c r="S4059" s="534"/>
    </row>
    <row r="4061" spans="1:19" x14ac:dyDescent="0.3">
      <c r="A4061" s="147"/>
      <c r="B4061" s="147">
        <v>2018</v>
      </c>
      <c r="C4061" s="147">
        <f>+B4061+1</f>
        <v>2019</v>
      </c>
      <c r="D4061" s="90"/>
      <c r="E4061" s="90"/>
      <c r="F4061" s="90"/>
      <c r="G4061" s="90"/>
      <c r="H4061" s="90"/>
      <c r="I4061" s="90"/>
    </row>
    <row r="4062" spans="1:19" x14ac:dyDescent="0.3">
      <c r="A4062" s="141" t="s">
        <v>38</v>
      </c>
    </row>
    <row r="4063" spans="1:19" x14ac:dyDescent="0.3">
      <c r="A4063" t="s">
        <v>1855</v>
      </c>
      <c r="B4063" s="95">
        <v>749</v>
      </c>
      <c r="C4063" s="95">
        <v>777</v>
      </c>
    </row>
    <row r="4064" spans="1:19" x14ac:dyDescent="0.3">
      <c r="A4064" t="s">
        <v>2010</v>
      </c>
      <c r="B4064" s="95">
        <v>739</v>
      </c>
      <c r="C4064" s="95">
        <v>711</v>
      </c>
    </row>
    <row r="4065" spans="1:3" x14ac:dyDescent="0.3">
      <c r="A4065" t="s">
        <v>2011</v>
      </c>
      <c r="B4065" s="95">
        <v>1093</v>
      </c>
      <c r="C4065" s="95">
        <v>1013</v>
      </c>
    </row>
    <row r="4066" spans="1:3" x14ac:dyDescent="0.3">
      <c r="A4066" t="s">
        <v>2012</v>
      </c>
      <c r="B4066" s="95">
        <v>226</v>
      </c>
      <c r="C4066" s="95">
        <v>174</v>
      </c>
    </row>
    <row r="4067" spans="1:3" x14ac:dyDescent="0.3">
      <c r="A4067" t="s">
        <v>2013</v>
      </c>
      <c r="B4067" s="95">
        <v>953</v>
      </c>
      <c r="C4067" s="95">
        <v>884</v>
      </c>
    </row>
    <row r="4068" spans="1:3" x14ac:dyDescent="0.3">
      <c r="A4068" t="s">
        <v>34</v>
      </c>
      <c r="B4068" s="95">
        <v>293</v>
      </c>
      <c r="C4068" s="95">
        <v>287</v>
      </c>
    </row>
    <row r="4069" spans="1:3" x14ac:dyDescent="0.3">
      <c r="A4069" s="90" t="s">
        <v>266</v>
      </c>
      <c r="B4069" s="803">
        <f>+SUM(B4063:B4068)</f>
        <v>4053</v>
      </c>
      <c r="C4069" s="803">
        <f>+SUM(C4063:C4068)</f>
        <v>3846</v>
      </c>
    </row>
    <row r="4071" spans="1:3" x14ac:dyDescent="0.3">
      <c r="A4071" s="141" t="s">
        <v>1865</v>
      </c>
    </row>
    <row r="4072" spans="1:3" x14ac:dyDescent="0.3">
      <c r="A4072" t="s">
        <v>2014</v>
      </c>
      <c r="B4072" s="95">
        <v>127</v>
      </c>
      <c r="C4072" s="95">
        <v>122</v>
      </c>
    </row>
    <row r="4073" spans="1:3" x14ac:dyDescent="0.3">
      <c r="A4073" t="s">
        <v>2015</v>
      </c>
      <c r="B4073" s="95">
        <v>150</v>
      </c>
      <c r="C4073" s="95">
        <v>146</v>
      </c>
    </row>
    <row r="4074" spans="1:3" x14ac:dyDescent="0.3">
      <c r="A4074" t="s">
        <v>2016</v>
      </c>
      <c r="B4074" s="95">
        <v>332</v>
      </c>
      <c r="C4074" s="95">
        <v>307</v>
      </c>
    </row>
    <row r="4075" spans="1:3" x14ac:dyDescent="0.3">
      <c r="A4075" t="s">
        <v>2017</v>
      </c>
      <c r="B4075" s="95">
        <v>931</v>
      </c>
      <c r="C4075" s="95">
        <v>875</v>
      </c>
    </row>
    <row r="4076" spans="1:3" x14ac:dyDescent="0.3">
      <c r="A4076" t="s">
        <v>34</v>
      </c>
      <c r="B4076" s="95">
        <v>205</v>
      </c>
      <c r="C4076" s="95">
        <v>185</v>
      </c>
    </row>
    <row r="4077" spans="1:3" x14ac:dyDescent="0.3">
      <c r="A4077" t="s">
        <v>2018</v>
      </c>
      <c r="B4077" s="95">
        <v>3</v>
      </c>
      <c r="C4077" s="95">
        <v>5</v>
      </c>
    </row>
    <row r="4078" spans="1:3" x14ac:dyDescent="0.3">
      <c r="A4078" s="90" t="s">
        <v>266</v>
      </c>
      <c r="B4078" s="803">
        <f>+SUM(B4072:B4077)</f>
        <v>1748</v>
      </c>
      <c r="C4078" s="803">
        <f>+SUM(C4072:C4077)</f>
        <v>1640</v>
      </c>
    </row>
    <row r="4080" spans="1:3" x14ac:dyDescent="0.3">
      <c r="A4080" s="90" t="s">
        <v>2019</v>
      </c>
      <c r="B4080" s="95">
        <v>1830</v>
      </c>
      <c r="C4080" s="95">
        <v>1721</v>
      </c>
    </row>
    <row r="4082" spans="1:19" x14ac:dyDescent="0.3">
      <c r="A4082" s="90" t="s">
        <v>266</v>
      </c>
      <c r="B4082" s="803">
        <f>+SUM(B4080,B4078,B4069)</f>
        <v>7631</v>
      </c>
      <c r="C4082" s="803">
        <f>+SUM(C4080,C4078,C4069)</f>
        <v>7207</v>
      </c>
    </row>
    <row r="4084" spans="1:19" x14ac:dyDescent="0.3">
      <c r="A4084" s="533" t="s">
        <v>2020</v>
      </c>
      <c r="B4084" s="534"/>
      <c r="C4084" s="534"/>
      <c r="D4084" s="534"/>
      <c r="E4084" s="534"/>
      <c r="F4084" s="534"/>
      <c r="G4084" s="534"/>
      <c r="H4084" s="534"/>
      <c r="I4084" s="534"/>
      <c r="J4084" s="534"/>
      <c r="K4084" s="534"/>
      <c r="L4084" s="534"/>
      <c r="M4084" s="534"/>
      <c r="N4084" s="534"/>
      <c r="O4084" s="534"/>
      <c r="P4084" s="534"/>
      <c r="Q4084" s="534"/>
      <c r="R4084" s="534"/>
      <c r="S4084" s="534"/>
    </row>
    <row r="4085" spans="1:19" x14ac:dyDescent="0.3">
      <c r="A4085" s="147"/>
      <c r="B4085" s="147">
        <v>2018</v>
      </c>
      <c r="C4085" s="147">
        <f>+B4085+1</f>
        <v>2019</v>
      </c>
    </row>
    <row r="4086" spans="1:19" x14ac:dyDescent="0.3">
      <c r="A4086" t="s">
        <v>2021</v>
      </c>
      <c r="B4086" s="95">
        <v>932</v>
      </c>
      <c r="C4086" s="95">
        <v>795</v>
      </c>
    </row>
    <row r="4087" spans="1:19" x14ac:dyDescent="0.3">
      <c r="A4087" t="s">
        <v>2022</v>
      </c>
      <c r="B4087" s="95">
        <v>502</v>
      </c>
      <c r="C4087" s="95">
        <v>493</v>
      </c>
    </row>
    <row r="4088" spans="1:19" x14ac:dyDescent="0.3">
      <c r="A4088" t="s">
        <v>2023</v>
      </c>
      <c r="B4088" s="95">
        <v>1094</v>
      </c>
      <c r="C4088" s="95">
        <v>985</v>
      </c>
    </row>
    <row r="4089" spans="1:19" x14ac:dyDescent="0.3">
      <c r="A4089" t="s">
        <v>2024</v>
      </c>
      <c r="B4089" s="95">
        <v>771</v>
      </c>
      <c r="C4089" s="95">
        <v>754</v>
      </c>
    </row>
    <row r="4090" spans="1:19" x14ac:dyDescent="0.3">
      <c r="A4090" t="s">
        <v>2025</v>
      </c>
      <c r="B4090" s="95">
        <v>659</v>
      </c>
      <c r="C4090" s="95">
        <v>625</v>
      </c>
    </row>
    <row r="4091" spans="1:19" x14ac:dyDescent="0.3">
      <c r="A4091" t="s">
        <v>2026</v>
      </c>
      <c r="B4091" s="95">
        <v>275</v>
      </c>
      <c r="C4091" s="95">
        <v>276</v>
      </c>
    </row>
    <row r="4092" spans="1:19" x14ac:dyDescent="0.3">
      <c r="A4092" t="s">
        <v>2027</v>
      </c>
      <c r="B4092" s="95">
        <v>187</v>
      </c>
      <c r="C4092" s="95">
        <v>178</v>
      </c>
    </row>
    <row r="4093" spans="1:19" x14ac:dyDescent="0.3">
      <c r="A4093" t="s">
        <v>2028</v>
      </c>
      <c r="B4093" s="95">
        <v>178</v>
      </c>
      <c r="C4093" s="95">
        <v>181</v>
      </c>
    </row>
    <row r="4094" spans="1:19" x14ac:dyDescent="0.3">
      <c r="A4094" t="s">
        <v>2029</v>
      </c>
      <c r="B4094" s="76">
        <f>+(B4098-SUM(B4097,B4086:B4093))*0.05</f>
        <v>5.25</v>
      </c>
      <c r="C4094" s="76">
        <f>+(C4098-SUM(C4097,C4086:C4093))*0.05</f>
        <v>7.2</v>
      </c>
    </row>
    <row r="4095" spans="1:19" x14ac:dyDescent="0.3">
      <c r="A4095" t="s">
        <v>2030</v>
      </c>
      <c r="B4095" s="76">
        <f>+(B4098-SUM(B4097,B4086:B4093))*0.9</f>
        <v>94.5</v>
      </c>
      <c r="C4095" s="76">
        <f>+(C4098-SUM(C4097,C4086:C4093))*0.9</f>
        <v>129.6</v>
      </c>
    </row>
    <row r="4096" spans="1:19" x14ac:dyDescent="0.3">
      <c r="A4096" t="s">
        <v>2031</v>
      </c>
      <c r="B4096" s="76">
        <f>+B4098-SUM(B4097,B4086:B4095)</f>
        <v>5.25</v>
      </c>
      <c r="C4096" s="76">
        <f>+C4098-SUM(C4097,C4086:C4095)</f>
        <v>7.1999999999998181</v>
      </c>
    </row>
    <row r="4097" spans="1:19" x14ac:dyDescent="0.3">
      <c r="A4097" t="s">
        <v>34</v>
      </c>
      <c r="B4097" s="95">
        <v>128</v>
      </c>
      <c r="C4097" s="95">
        <v>163</v>
      </c>
    </row>
    <row r="4098" spans="1:19" x14ac:dyDescent="0.3">
      <c r="A4098" s="90" t="s">
        <v>266</v>
      </c>
      <c r="B4098" s="854">
        <v>4831</v>
      </c>
      <c r="C4098" s="854">
        <v>4594</v>
      </c>
    </row>
    <row r="4099" spans="1:19" x14ac:dyDescent="0.3">
      <c r="A4099" t="s">
        <v>2032</v>
      </c>
      <c r="B4099" s="76">
        <f>+Drivers!ED71</f>
        <v>4191</v>
      </c>
      <c r="C4099" s="76">
        <f>+Drivers!EE71</f>
        <v>1006</v>
      </c>
    </row>
    <row r="4110" spans="1:19" x14ac:dyDescent="0.3">
      <c r="A4110" s="533" t="s">
        <v>2033</v>
      </c>
      <c r="B4110" s="534"/>
      <c r="C4110" s="534"/>
      <c r="D4110" s="534"/>
      <c r="E4110" s="534"/>
      <c r="F4110" s="534"/>
      <c r="G4110" s="534"/>
      <c r="H4110" s="534"/>
      <c r="I4110" s="534"/>
      <c r="J4110" s="534"/>
      <c r="K4110" s="534"/>
      <c r="L4110" s="534"/>
      <c r="M4110" s="534"/>
      <c r="N4110" s="534"/>
      <c r="O4110" s="534"/>
      <c r="P4110" s="534"/>
      <c r="Q4110" s="534"/>
      <c r="R4110" s="534"/>
      <c r="S4110" s="534"/>
    </row>
    <row r="4112" spans="1:19" x14ac:dyDescent="0.3">
      <c r="A4112" s="851" t="s">
        <v>2034</v>
      </c>
      <c r="B4112" s="374" t="s">
        <v>2035</v>
      </c>
      <c r="C4112" s="374" t="s">
        <v>2036</v>
      </c>
      <c r="D4112" s="374"/>
      <c r="E4112" s="374"/>
      <c r="F4112" s="374"/>
      <c r="G4112" s="374"/>
      <c r="H4112" s="374"/>
      <c r="I4112" s="374"/>
      <c r="J4112" s="374"/>
    </row>
    <row r="4114" spans="1:11" x14ac:dyDescent="0.3">
      <c r="A4114" t="s">
        <v>2037</v>
      </c>
      <c r="B4114" s="852">
        <v>164578</v>
      </c>
      <c r="C4114" t="s">
        <v>2038</v>
      </c>
    </row>
    <row r="4115" spans="1:11" x14ac:dyDescent="0.3">
      <c r="A4115" t="s">
        <v>2039</v>
      </c>
      <c r="B4115" s="852">
        <v>6308</v>
      </c>
      <c r="C4115" t="s">
        <v>2040</v>
      </c>
      <c r="K4115">
        <v>244.4</v>
      </c>
    </row>
    <row r="4116" spans="1:11" x14ac:dyDescent="0.3">
      <c r="A4116" t="s">
        <v>2041</v>
      </c>
      <c r="B4116" s="620">
        <f>+B4117-B4114-B4115</f>
        <v>12958</v>
      </c>
      <c r="C4116" t="s">
        <v>2042</v>
      </c>
      <c r="K4116">
        <v>260</v>
      </c>
    </row>
    <row r="4117" spans="1:11" x14ac:dyDescent="0.3">
      <c r="A4117" t="s">
        <v>2043</v>
      </c>
      <c r="B4117" s="853">
        <v>183844</v>
      </c>
      <c r="E4117" s="76"/>
    </row>
    <row r="4119" spans="1:11" x14ac:dyDescent="0.3">
      <c r="A4119" t="s">
        <v>2044</v>
      </c>
      <c r="B4119" s="852">
        <v>15600000</v>
      </c>
    </row>
    <row r="4120" spans="1:11" x14ac:dyDescent="0.3">
      <c r="A4120" t="s">
        <v>2045</v>
      </c>
      <c r="B4120" s="852">
        <v>1000000</v>
      </c>
    </row>
    <row r="4121" spans="1:11" x14ac:dyDescent="0.3">
      <c r="A4121" t="s">
        <v>2046</v>
      </c>
      <c r="B4121" s="852">
        <v>6200000</v>
      </c>
      <c r="C4121" t="s">
        <v>2047</v>
      </c>
    </row>
    <row r="4122" spans="1:11" x14ac:dyDescent="0.3">
      <c r="A4122" s="114"/>
      <c r="B4122" s="114"/>
      <c r="C4122" s="114"/>
      <c r="D4122" s="114"/>
      <c r="E4122" s="114"/>
      <c r="F4122" s="114"/>
      <c r="G4122" s="114"/>
      <c r="H4122" s="114"/>
      <c r="I4122" s="114"/>
      <c r="J4122" s="114"/>
    </row>
    <row r="4124" spans="1:11" x14ac:dyDescent="0.3">
      <c r="A4124" s="620">
        <f>+B4114*25</f>
        <v>4114450</v>
      </c>
    </row>
    <row r="4126" spans="1:11" x14ac:dyDescent="0.3">
      <c r="A4126" s="141" t="s">
        <v>1875</v>
      </c>
    </row>
    <row r="4127" spans="1:11" x14ac:dyDescent="0.3">
      <c r="A4127" s="374"/>
      <c r="B4127" s="374" t="s">
        <v>1876</v>
      </c>
      <c r="C4127" s="374" t="s">
        <v>1877</v>
      </c>
      <c r="D4127" s="374" t="s">
        <v>1878</v>
      </c>
      <c r="E4127" s="374" t="s">
        <v>1879</v>
      </c>
      <c r="F4127" s="374" t="s">
        <v>1166</v>
      </c>
      <c r="G4127" s="374" t="s">
        <v>1167</v>
      </c>
      <c r="H4127" s="374" t="s">
        <v>1168</v>
      </c>
      <c r="I4127" s="374" t="s">
        <v>1169</v>
      </c>
    </row>
    <row r="4128" spans="1:11" x14ac:dyDescent="0.3">
      <c r="A4128" s="141" t="s">
        <v>2048</v>
      </c>
    </row>
    <row r="4129" spans="1:17" x14ac:dyDescent="0.3">
      <c r="A4129" s="1" t="s">
        <v>541</v>
      </c>
      <c r="B4129" s="79">
        <f>+Drivers!DU619</f>
        <v>396.80416500000001</v>
      </c>
      <c r="C4129" s="79">
        <f>+Drivers!DV619</f>
        <v>390.96492000000001</v>
      </c>
      <c r="D4129" s="79">
        <f>+Drivers!DW619</f>
        <v>386.35385999999994</v>
      </c>
      <c r="E4129" s="79">
        <f>+Drivers!DX619</f>
        <v>383.85844499999996</v>
      </c>
      <c r="F4129" s="79">
        <f>+Drivers!DZ619</f>
        <v>382.779225</v>
      </c>
      <c r="G4129" s="79">
        <f>+Drivers!EA619</f>
        <v>385.52034000000003</v>
      </c>
      <c r="H4129" s="79">
        <f>+Drivers!EB619</f>
        <v>387.71291999999994</v>
      </c>
      <c r="I4129" s="79">
        <f>+Drivers!EC619</f>
        <v>395.48181</v>
      </c>
    </row>
    <row r="4130" spans="1:17" x14ac:dyDescent="0.3">
      <c r="A4130" s="109" t="s">
        <v>32</v>
      </c>
      <c r="B4130" s="79">
        <f>+Drivers!DU630</f>
        <v>231.39473684210529</v>
      </c>
      <c r="C4130" s="79">
        <f>+Drivers!DV630</f>
        <v>227.27368421052631</v>
      </c>
      <c r="D4130" s="79">
        <f>+Drivers!DW630</f>
        <v>221.87368421052631</v>
      </c>
      <c r="E4130" s="79">
        <f>+Drivers!DX630</f>
        <v>217.38947368421057</v>
      </c>
      <c r="F4130" s="79">
        <f>+Drivers!DZ630</f>
        <v>203.61</v>
      </c>
      <c r="G4130" s="79">
        <f>+Drivers!EA630</f>
        <v>201.48</v>
      </c>
      <c r="H4130" s="79">
        <f>+Drivers!EB630</f>
        <v>199.44</v>
      </c>
      <c r="I4130" s="79">
        <f>+Drivers!EC630</f>
        <v>197.1</v>
      </c>
    </row>
    <row r="4131" spans="1:17" x14ac:dyDescent="0.3">
      <c r="A4131" s="109" t="s">
        <v>33</v>
      </c>
      <c r="B4131" s="79" t="e">
        <f>+Drivers!DU629</f>
        <v>#REF!</v>
      </c>
      <c r="C4131" s="79" t="e">
        <f>+Drivers!DV629</f>
        <v>#REF!</v>
      </c>
      <c r="D4131" s="79" t="e">
        <f>+Drivers!DW629</f>
        <v>#REF!</v>
      </c>
      <c r="E4131" s="79" t="e">
        <f>+Drivers!DX629</f>
        <v>#REF!</v>
      </c>
      <c r="F4131" s="79" t="e">
        <f>+Drivers!DZ629</f>
        <v>#REF!</v>
      </c>
      <c r="G4131" s="79" t="e">
        <f>+Drivers!EA629</f>
        <v>#REF!</v>
      </c>
      <c r="H4131" s="79" t="e">
        <f>+Drivers!EB629</f>
        <v>#REF!</v>
      </c>
      <c r="I4131" s="79" t="e">
        <f>+Drivers!EC629</f>
        <v>#REF!</v>
      </c>
    </row>
    <row r="4132" spans="1:17" x14ac:dyDescent="0.3">
      <c r="A4132" s="109" t="s">
        <v>34</v>
      </c>
      <c r="B4132" s="79" t="e">
        <f>+Drivers!DU631</f>
        <v>#REF!</v>
      </c>
      <c r="C4132" s="79" t="e">
        <f>+Drivers!DV631</f>
        <v>#REF!</v>
      </c>
      <c r="D4132" s="79" t="e">
        <f>+Drivers!DW631</f>
        <v>#REF!</v>
      </c>
      <c r="E4132" s="79" t="e">
        <f>+Drivers!DX631</f>
        <v>#REF!</v>
      </c>
      <c r="F4132" s="79" t="e">
        <f>+Drivers!DZ631</f>
        <v>#REF!</v>
      </c>
      <c r="G4132" s="79" t="e">
        <f>+Drivers!EA631</f>
        <v>#REF!</v>
      </c>
      <c r="H4132" s="79" t="e">
        <f>+Drivers!EB631</f>
        <v>#REF!</v>
      </c>
      <c r="I4132" s="79" t="e">
        <f>+Drivers!EC631</f>
        <v>#REF!</v>
      </c>
    </row>
    <row r="4133" spans="1:17" x14ac:dyDescent="0.3">
      <c r="A4133" s="110" t="s">
        <v>266</v>
      </c>
      <c r="B4133" s="803" t="e">
        <f t="shared" ref="B4133:I4133" si="1147">+SUM(B4129:B4132)</f>
        <v>#REF!</v>
      </c>
      <c r="C4133" s="803" t="e">
        <f t="shared" si="1147"/>
        <v>#REF!</v>
      </c>
      <c r="D4133" s="803" t="e">
        <f t="shared" si="1147"/>
        <v>#REF!</v>
      </c>
      <c r="E4133" s="803" t="e">
        <f t="shared" si="1147"/>
        <v>#REF!</v>
      </c>
      <c r="F4133" s="803" t="e">
        <f t="shared" si="1147"/>
        <v>#REF!</v>
      </c>
      <c r="G4133" s="803" t="e">
        <f t="shared" si="1147"/>
        <v>#REF!</v>
      </c>
      <c r="H4133" s="803" t="e">
        <f t="shared" si="1147"/>
        <v>#REF!</v>
      </c>
      <c r="I4133" s="803" t="e">
        <f t="shared" si="1147"/>
        <v>#REF!</v>
      </c>
    </row>
    <row r="4134" spans="1:17" x14ac:dyDescent="0.3">
      <c r="A4134" s="110"/>
      <c r="B4134" s="85"/>
      <c r="C4134" s="85"/>
      <c r="D4134" s="85"/>
      <c r="E4134" s="85"/>
      <c r="F4134" s="85"/>
      <c r="G4134" s="85"/>
      <c r="H4134" s="85"/>
      <c r="I4134" s="85"/>
    </row>
    <row r="4135" spans="1:17" x14ac:dyDescent="0.3">
      <c r="A4135" s="141" t="s">
        <v>2049</v>
      </c>
      <c r="B4135" s="85"/>
      <c r="C4135" s="85"/>
      <c r="D4135" s="85"/>
      <c r="E4135" s="85"/>
      <c r="F4135" s="85"/>
      <c r="G4135" s="85"/>
      <c r="H4135" s="85"/>
      <c r="I4135" s="85"/>
    </row>
    <row r="4136" spans="1:17" x14ac:dyDescent="0.3">
      <c r="A4136" s="1" t="s">
        <v>541</v>
      </c>
      <c r="B4136" s="146" t="e">
        <f t="shared" ref="B4136:I4136" si="1148">+B4129/B$4133</f>
        <v>#REF!</v>
      </c>
      <c r="C4136" s="146" t="e">
        <f t="shared" si="1148"/>
        <v>#REF!</v>
      </c>
      <c r="D4136" s="146" t="e">
        <f t="shared" si="1148"/>
        <v>#REF!</v>
      </c>
      <c r="E4136" s="146" t="e">
        <f t="shared" si="1148"/>
        <v>#REF!</v>
      </c>
      <c r="F4136" s="146" t="e">
        <f t="shared" si="1148"/>
        <v>#REF!</v>
      </c>
      <c r="G4136" s="146" t="e">
        <f t="shared" si="1148"/>
        <v>#REF!</v>
      </c>
      <c r="H4136" s="146" t="e">
        <f t="shared" si="1148"/>
        <v>#REF!</v>
      </c>
      <c r="I4136" s="146" t="e">
        <f t="shared" si="1148"/>
        <v>#REF!</v>
      </c>
    </row>
    <row r="4137" spans="1:17" x14ac:dyDescent="0.3">
      <c r="A4137" s="109" t="s">
        <v>32</v>
      </c>
      <c r="B4137" s="146" t="e">
        <f t="shared" ref="B4137:G4139" si="1149">+B4130/B$4133</f>
        <v>#REF!</v>
      </c>
      <c r="C4137" s="146" t="e">
        <f t="shared" si="1149"/>
        <v>#REF!</v>
      </c>
      <c r="D4137" s="146" t="e">
        <f t="shared" si="1149"/>
        <v>#REF!</v>
      </c>
      <c r="E4137" s="146" t="e">
        <f t="shared" si="1149"/>
        <v>#REF!</v>
      </c>
      <c r="F4137" s="146" t="e">
        <f t="shared" si="1149"/>
        <v>#REF!</v>
      </c>
      <c r="G4137" s="146" t="e">
        <f t="shared" si="1149"/>
        <v>#REF!</v>
      </c>
      <c r="H4137" s="146" t="e">
        <f t="shared" ref="H4137:I4139" si="1150">+H4130/H$4133</f>
        <v>#REF!</v>
      </c>
      <c r="I4137" s="146" t="e">
        <f t="shared" si="1150"/>
        <v>#REF!</v>
      </c>
    </row>
    <row r="4138" spans="1:17" x14ac:dyDescent="0.3">
      <c r="A4138" s="109" t="s">
        <v>33</v>
      </c>
      <c r="B4138" s="146" t="e">
        <f t="shared" si="1149"/>
        <v>#REF!</v>
      </c>
      <c r="C4138" s="146" t="e">
        <f t="shared" si="1149"/>
        <v>#REF!</v>
      </c>
      <c r="D4138" s="146" t="e">
        <f t="shared" si="1149"/>
        <v>#REF!</v>
      </c>
      <c r="E4138" s="146" t="e">
        <f t="shared" si="1149"/>
        <v>#REF!</v>
      </c>
      <c r="F4138" s="146" t="e">
        <f t="shared" si="1149"/>
        <v>#REF!</v>
      </c>
      <c r="G4138" s="146" t="e">
        <f t="shared" si="1149"/>
        <v>#REF!</v>
      </c>
      <c r="H4138" s="146" t="e">
        <f t="shared" si="1150"/>
        <v>#REF!</v>
      </c>
      <c r="I4138" s="146" t="e">
        <f t="shared" si="1150"/>
        <v>#REF!</v>
      </c>
    </row>
    <row r="4139" spans="1:17" x14ac:dyDescent="0.3">
      <c r="A4139" s="109" t="s">
        <v>34</v>
      </c>
      <c r="B4139" s="146" t="e">
        <f t="shared" si="1149"/>
        <v>#REF!</v>
      </c>
      <c r="C4139" s="146" t="e">
        <f t="shared" si="1149"/>
        <v>#REF!</v>
      </c>
      <c r="D4139" s="146" t="e">
        <f t="shared" si="1149"/>
        <v>#REF!</v>
      </c>
      <c r="E4139" s="146" t="e">
        <f t="shared" si="1149"/>
        <v>#REF!</v>
      </c>
      <c r="F4139" s="146" t="e">
        <f t="shared" si="1149"/>
        <v>#REF!</v>
      </c>
      <c r="G4139" s="146" t="e">
        <f t="shared" si="1149"/>
        <v>#REF!</v>
      </c>
      <c r="H4139" s="146" t="e">
        <f t="shared" si="1150"/>
        <v>#REF!</v>
      </c>
      <c r="I4139" s="146" t="e">
        <f t="shared" si="1150"/>
        <v>#REF!</v>
      </c>
    </row>
    <row r="4140" spans="1:17" x14ac:dyDescent="0.3">
      <c r="A4140" s="110" t="s">
        <v>266</v>
      </c>
      <c r="B4140" s="1801" t="e">
        <f t="shared" ref="B4140:I4140" si="1151">+SUM(B4136:B4139)</f>
        <v>#REF!</v>
      </c>
      <c r="C4140" s="1801" t="e">
        <f t="shared" si="1151"/>
        <v>#REF!</v>
      </c>
      <c r="D4140" s="1801" t="e">
        <f t="shared" si="1151"/>
        <v>#REF!</v>
      </c>
      <c r="E4140" s="1801" t="e">
        <f t="shared" si="1151"/>
        <v>#REF!</v>
      </c>
      <c r="F4140" s="1801" t="e">
        <f t="shared" si="1151"/>
        <v>#REF!</v>
      </c>
      <c r="G4140" s="1801" t="e">
        <f t="shared" si="1151"/>
        <v>#REF!</v>
      </c>
      <c r="H4140" s="1801" t="e">
        <f t="shared" si="1151"/>
        <v>#REF!</v>
      </c>
      <c r="I4140" s="1801" t="e">
        <f t="shared" si="1151"/>
        <v>#REF!</v>
      </c>
    </row>
    <row r="4141" spans="1:17" x14ac:dyDescent="0.3">
      <c r="A4141" s="110"/>
      <c r="B4141" s="85"/>
      <c r="C4141" s="85"/>
      <c r="D4141" s="85"/>
      <c r="E4141" s="85"/>
      <c r="F4141" s="85"/>
      <c r="G4141" s="85"/>
      <c r="H4141" s="85"/>
      <c r="I4141" s="85"/>
    </row>
    <row r="4142" spans="1:17" x14ac:dyDescent="0.3">
      <c r="A4142" s="141" t="s">
        <v>2050</v>
      </c>
    </row>
    <row r="4143" spans="1:17" x14ac:dyDescent="0.3">
      <c r="A4143" s="1" t="s">
        <v>541</v>
      </c>
      <c r="B4143" s="79">
        <f>+Inputs!DU510</f>
        <v>888</v>
      </c>
      <c r="C4143" s="79">
        <f>+Inputs!DV510</f>
        <v>885</v>
      </c>
      <c r="D4143" s="79">
        <f>+Inputs!DW510</f>
        <v>851</v>
      </c>
      <c r="E4143" s="79">
        <f>+Inputs!DX510</f>
        <v>822</v>
      </c>
      <c r="F4143" s="79">
        <f>+Inputs!DZ510</f>
        <v>855</v>
      </c>
      <c r="G4143" s="79">
        <f>+Inputs!EA510</f>
        <v>849</v>
      </c>
      <c r="H4143" s="79">
        <f>+Inputs!EB510</f>
        <v>838</v>
      </c>
      <c r="I4143" s="79">
        <f>+Inputs!EC510</f>
        <v>834</v>
      </c>
      <c r="L4143" s="76"/>
      <c r="M4143" s="76"/>
      <c r="N4143" s="76"/>
      <c r="O4143" s="76"/>
      <c r="P4143" s="85"/>
      <c r="Q4143" s="76"/>
    </row>
    <row r="4144" spans="1:17" x14ac:dyDescent="0.3">
      <c r="A4144" s="109" t="s">
        <v>32</v>
      </c>
      <c r="B4144" s="79">
        <f>+Inputs!DU511</f>
        <v>604</v>
      </c>
      <c r="C4144" s="79">
        <f>+Inputs!DV511</f>
        <v>582</v>
      </c>
      <c r="D4144" s="79">
        <f>+Inputs!DW511</f>
        <v>574</v>
      </c>
      <c r="E4144" s="79">
        <f>+Inputs!DX511</f>
        <v>555</v>
      </c>
      <c r="F4144" s="79">
        <f>+Inputs!DZ511</f>
        <v>529</v>
      </c>
      <c r="G4144" s="79">
        <f>+Inputs!EA511</f>
        <v>509</v>
      </c>
      <c r="H4144" s="79">
        <f>+Inputs!EB511</f>
        <v>500</v>
      </c>
      <c r="I4144" s="79">
        <f>+Inputs!EC511</f>
        <v>490</v>
      </c>
      <c r="L4144" s="76"/>
      <c r="M4144" s="76"/>
      <c r="N4144" s="76"/>
      <c r="O4144" s="76"/>
      <c r="P4144" s="85"/>
    </row>
    <row r="4145" spans="1:16" x14ac:dyDescent="0.3">
      <c r="A4145" s="109" t="s">
        <v>33</v>
      </c>
      <c r="B4145" s="79">
        <f>+Inputs!DU512</f>
        <v>255</v>
      </c>
      <c r="C4145" s="79">
        <f>+Inputs!DV512</f>
        <v>248</v>
      </c>
      <c r="D4145" s="79">
        <f>+Inputs!DW512</f>
        <v>233</v>
      </c>
      <c r="E4145" s="79">
        <f>+Inputs!DX512</f>
        <v>222</v>
      </c>
      <c r="F4145" s="79">
        <f>+Inputs!DZ512</f>
        <v>212</v>
      </c>
      <c r="G4145" s="79">
        <f>+Inputs!EA512</f>
        <v>197</v>
      </c>
      <c r="H4145" s="79">
        <f>+Inputs!EB512</f>
        <v>186</v>
      </c>
      <c r="I4145" s="79">
        <f>+Inputs!EC512</f>
        <v>181</v>
      </c>
      <c r="L4145" s="76"/>
      <c r="M4145" s="76"/>
      <c r="N4145" s="76"/>
      <c r="O4145" s="76"/>
      <c r="P4145" s="85"/>
    </row>
    <row r="4146" spans="1:16" x14ac:dyDescent="0.3">
      <c r="A4146" s="109" t="s">
        <v>34</v>
      </c>
      <c r="B4146" s="79">
        <f>+Inputs!DU513</f>
        <v>113</v>
      </c>
      <c r="C4146" s="79">
        <f>+Inputs!DV513</f>
        <v>111</v>
      </c>
      <c r="D4146" s="79">
        <f>+Inputs!DW513</f>
        <v>106</v>
      </c>
      <c r="E4146" s="79">
        <f>+Inputs!DX513</f>
        <v>108</v>
      </c>
      <c r="F4146" s="79">
        <f>+Inputs!DZ513</f>
        <v>108</v>
      </c>
      <c r="G4146" s="79">
        <f>+Inputs!EA513</f>
        <v>105</v>
      </c>
      <c r="H4146" s="79">
        <f>+Inputs!EB513</f>
        <v>103</v>
      </c>
      <c r="I4146" s="79">
        <f>+Inputs!EC513</f>
        <v>101</v>
      </c>
      <c r="L4146" s="76"/>
      <c r="M4146" s="76"/>
      <c r="N4146" s="76"/>
      <c r="O4146" s="76"/>
      <c r="P4146" s="85"/>
    </row>
    <row r="4147" spans="1:16" x14ac:dyDescent="0.3">
      <c r="A4147" s="110" t="s">
        <v>266</v>
      </c>
      <c r="B4147" s="803">
        <f t="shared" ref="B4147:I4147" si="1152">+SUM(B4143:B4146)</f>
        <v>1860</v>
      </c>
      <c r="C4147" s="803">
        <f t="shared" si="1152"/>
        <v>1826</v>
      </c>
      <c r="D4147" s="803">
        <f t="shared" si="1152"/>
        <v>1764</v>
      </c>
      <c r="E4147" s="803">
        <f t="shared" si="1152"/>
        <v>1707</v>
      </c>
      <c r="F4147" s="803">
        <f t="shared" si="1152"/>
        <v>1704</v>
      </c>
      <c r="G4147" s="803">
        <f t="shared" si="1152"/>
        <v>1660</v>
      </c>
      <c r="H4147" s="803">
        <f t="shared" si="1152"/>
        <v>1627</v>
      </c>
      <c r="I4147" s="803">
        <f t="shared" si="1152"/>
        <v>1606</v>
      </c>
      <c r="L4147" s="85"/>
      <c r="M4147" s="85"/>
      <c r="N4147" s="85"/>
      <c r="O4147" s="85"/>
      <c r="P4147" s="85"/>
    </row>
    <row r="4149" spans="1:16" x14ac:dyDescent="0.3">
      <c r="A4149" s="141" t="s">
        <v>2049</v>
      </c>
    </row>
    <row r="4150" spans="1:16" x14ac:dyDescent="0.3">
      <c r="A4150" s="1" t="s">
        <v>541</v>
      </c>
      <c r="B4150" s="146">
        <f t="shared" ref="B4150:I4150" si="1153">+B4143/B$4147</f>
        <v>0.47741935483870968</v>
      </c>
      <c r="C4150" s="146">
        <f t="shared" si="1153"/>
        <v>0.48466593647316542</v>
      </c>
      <c r="D4150" s="146">
        <f t="shared" si="1153"/>
        <v>0.48242630385487528</v>
      </c>
      <c r="E4150" s="146">
        <f t="shared" si="1153"/>
        <v>0.48154657293497366</v>
      </c>
      <c r="F4150" s="146">
        <f t="shared" si="1153"/>
        <v>0.50176056338028174</v>
      </c>
      <c r="G4150" s="146">
        <f t="shared" si="1153"/>
        <v>0.51144578313253009</v>
      </c>
      <c r="H4150" s="146">
        <f t="shared" si="1153"/>
        <v>0.51505838967424711</v>
      </c>
      <c r="I4150" s="146">
        <f t="shared" si="1153"/>
        <v>0.51930261519302612</v>
      </c>
    </row>
    <row r="4151" spans="1:16" x14ac:dyDescent="0.3">
      <c r="A4151" s="109" t="s">
        <v>32</v>
      </c>
      <c r="B4151" s="146">
        <f t="shared" ref="B4151:G4153" si="1154">+B4144/B$4147</f>
        <v>0.3247311827956989</v>
      </c>
      <c r="C4151" s="146">
        <f t="shared" si="1154"/>
        <v>0.31872946330777657</v>
      </c>
      <c r="D4151" s="146">
        <f t="shared" si="1154"/>
        <v>0.32539682539682541</v>
      </c>
      <c r="E4151" s="146">
        <f t="shared" si="1154"/>
        <v>0.3251318101933216</v>
      </c>
      <c r="F4151" s="146">
        <f t="shared" si="1154"/>
        <v>0.31044600938967137</v>
      </c>
      <c r="G4151" s="146">
        <f t="shared" si="1154"/>
        <v>0.30662650602409641</v>
      </c>
      <c r="H4151" s="146">
        <f t="shared" ref="H4151:I4153" si="1155">+H4144/H$4147</f>
        <v>0.30731407498463431</v>
      </c>
      <c r="I4151" s="146">
        <f t="shared" si="1155"/>
        <v>0.30510585305105853</v>
      </c>
    </row>
    <row r="4152" spans="1:16" x14ac:dyDescent="0.3">
      <c r="A4152" s="109" t="s">
        <v>33</v>
      </c>
      <c r="B4152" s="146">
        <f t="shared" si="1154"/>
        <v>0.13709677419354838</v>
      </c>
      <c r="C4152" s="146">
        <f t="shared" si="1154"/>
        <v>0.13581599123767799</v>
      </c>
      <c r="D4152" s="146">
        <f t="shared" si="1154"/>
        <v>0.13208616780045351</v>
      </c>
      <c r="E4152" s="146">
        <f t="shared" si="1154"/>
        <v>0.13005272407732865</v>
      </c>
      <c r="F4152" s="146">
        <f t="shared" si="1154"/>
        <v>0.12441314553990611</v>
      </c>
      <c r="G4152" s="146">
        <f t="shared" si="1154"/>
        <v>0.11867469879518072</v>
      </c>
      <c r="H4152" s="146">
        <f t="shared" si="1155"/>
        <v>0.11432083589428396</v>
      </c>
      <c r="I4152" s="146">
        <f t="shared" si="1155"/>
        <v>0.11270236612702367</v>
      </c>
    </row>
    <row r="4153" spans="1:16" x14ac:dyDescent="0.3">
      <c r="A4153" s="109" t="s">
        <v>34</v>
      </c>
      <c r="B4153" s="146">
        <f t="shared" si="1154"/>
        <v>6.0752688172043011E-2</v>
      </c>
      <c r="C4153" s="146">
        <f t="shared" si="1154"/>
        <v>6.0788608981380068E-2</v>
      </c>
      <c r="D4153" s="146">
        <f t="shared" si="1154"/>
        <v>6.0090702947845805E-2</v>
      </c>
      <c r="E4153" s="146">
        <f t="shared" si="1154"/>
        <v>6.32688927943761E-2</v>
      </c>
      <c r="F4153" s="146">
        <f t="shared" si="1154"/>
        <v>6.3380281690140844E-2</v>
      </c>
      <c r="G4153" s="146">
        <f t="shared" si="1154"/>
        <v>6.3253012048192767E-2</v>
      </c>
      <c r="H4153" s="146">
        <f t="shared" si="1155"/>
        <v>6.3306699446834661E-2</v>
      </c>
      <c r="I4153" s="146">
        <f t="shared" si="1155"/>
        <v>6.2889165628891658E-2</v>
      </c>
    </row>
    <row r="4154" spans="1:16" x14ac:dyDescent="0.3">
      <c r="A4154" s="110" t="s">
        <v>266</v>
      </c>
      <c r="B4154" s="1801">
        <f t="shared" ref="B4154:I4154" si="1156">+SUM(B4150:B4153)</f>
        <v>1</v>
      </c>
      <c r="C4154" s="1801">
        <f t="shared" si="1156"/>
        <v>1</v>
      </c>
      <c r="D4154" s="1801">
        <f t="shared" si="1156"/>
        <v>0.99999999999999989</v>
      </c>
      <c r="E4154" s="1801">
        <f t="shared" si="1156"/>
        <v>1</v>
      </c>
      <c r="F4154" s="1801">
        <f t="shared" si="1156"/>
        <v>1</v>
      </c>
      <c r="G4154" s="1801">
        <f t="shared" si="1156"/>
        <v>1</v>
      </c>
      <c r="H4154" s="1801">
        <f t="shared" si="1156"/>
        <v>1.0000000000000002</v>
      </c>
      <c r="I4154" s="1801">
        <f t="shared" si="1156"/>
        <v>1</v>
      </c>
    </row>
    <row r="4156" spans="1:16" x14ac:dyDescent="0.3">
      <c r="A4156" s="141" t="s">
        <v>2051</v>
      </c>
    </row>
    <row r="4157" spans="1:16" x14ac:dyDescent="0.3">
      <c r="A4157" s="1" t="s">
        <v>541</v>
      </c>
      <c r="B4157" s="146" t="e">
        <f t="shared" ref="B4157:I4157" si="1157">+B4136-B4150</f>
        <v>#REF!</v>
      </c>
      <c r="C4157" s="146" t="e">
        <f t="shared" si="1157"/>
        <v>#REF!</v>
      </c>
      <c r="D4157" s="146" t="e">
        <f t="shared" si="1157"/>
        <v>#REF!</v>
      </c>
      <c r="E4157" s="146" t="e">
        <f t="shared" si="1157"/>
        <v>#REF!</v>
      </c>
      <c r="F4157" s="146" t="e">
        <f t="shared" si="1157"/>
        <v>#REF!</v>
      </c>
      <c r="G4157" s="146" t="e">
        <f t="shared" si="1157"/>
        <v>#REF!</v>
      </c>
      <c r="H4157" s="146" t="e">
        <f t="shared" si="1157"/>
        <v>#REF!</v>
      </c>
      <c r="I4157" s="146" t="e">
        <f t="shared" si="1157"/>
        <v>#REF!</v>
      </c>
    </row>
    <row r="4158" spans="1:16" x14ac:dyDescent="0.3">
      <c r="A4158" s="109" t="s">
        <v>32</v>
      </c>
      <c r="B4158" s="146" t="e">
        <f t="shared" ref="B4158:G4161" si="1158">+B4137-B4151</f>
        <v>#REF!</v>
      </c>
      <c r="C4158" s="146" t="e">
        <f t="shared" si="1158"/>
        <v>#REF!</v>
      </c>
      <c r="D4158" s="146" t="e">
        <f t="shared" si="1158"/>
        <v>#REF!</v>
      </c>
      <c r="E4158" s="146" t="e">
        <f t="shared" si="1158"/>
        <v>#REF!</v>
      </c>
      <c r="F4158" s="146" t="e">
        <f t="shared" si="1158"/>
        <v>#REF!</v>
      </c>
      <c r="G4158" s="146" t="e">
        <f t="shared" si="1158"/>
        <v>#REF!</v>
      </c>
      <c r="H4158" s="146" t="e">
        <f t="shared" ref="H4158:I4161" si="1159">+H4137-H4151</f>
        <v>#REF!</v>
      </c>
      <c r="I4158" s="146" t="e">
        <f t="shared" si="1159"/>
        <v>#REF!</v>
      </c>
    </row>
    <row r="4159" spans="1:16" x14ac:dyDescent="0.3">
      <c r="A4159" s="109" t="s">
        <v>33</v>
      </c>
      <c r="B4159" s="146" t="e">
        <f t="shared" si="1158"/>
        <v>#REF!</v>
      </c>
      <c r="C4159" s="146" t="e">
        <f t="shared" si="1158"/>
        <v>#REF!</v>
      </c>
      <c r="D4159" s="146" t="e">
        <f t="shared" si="1158"/>
        <v>#REF!</v>
      </c>
      <c r="E4159" s="146" t="e">
        <f t="shared" si="1158"/>
        <v>#REF!</v>
      </c>
      <c r="F4159" s="146" t="e">
        <f t="shared" si="1158"/>
        <v>#REF!</v>
      </c>
      <c r="G4159" s="146" t="e">
        <f t="shared" si="1158"/>
        <v>#REF!</v>
      </c>
      <c r="H4159" s="146" t="e">
        <f t="shared" si="1159"/>
        <v>#REF!</v>
      </c>
      <c r="I4159" s="146" t="e">
        <f t="shared" si="1159"/>
        <v>#REF!</v>
      </c>
    </row>
    <row r="4160" spans="1:16" x14ac:dyDescent="0.3">
      <c r="A4160" s="109" t="s">
        <v>34</v>
      </c>
      <c r="B4160" s="146" t="e">
        <f t="shared" si="1158"/>
        <v>#REF!</v>
      </c>
      <c r="C4160" s="146" t="e">
        <f t="shared" si="1158"/>
        <v>#REF!</v>
      </c>
      <c r="D4160" s="146" t="e">
        <f t="shared" si="1158"/>
        <v>#REF!</v>
      </c>
      <c r="E4160" s="146" t="e">
        <f t="shared" si="1158"/>
        <v>#REF!</v>
      </c>
      <c r="F4160" s="146" t="e">
        <f t="shared" si="1158"/>
        <v>#REF!</v>
      </c>
      <c r="G4160" s="146" t="e">
        <f t="shared" si="1158"/>
        <v>#REF!</v>
      </c>
      <c r="H4160" s="146" t="e">
        <f t="shared" si="1159"/>
        <v>#REF!</v>
      </c>
      <c r="I4160" s="146" t="e">
        <f t="shared" si="1159"/>
        <v>#REF!</v>
      </c>
    </row>
    <row r="4161" spans="1:9" x14ac:dyDescent="0.3">
      <c r="A4161" s="110" t="s">
        <v>266</v>
      </c>
      <c r="B4161" s="1801" t="e">
        <f t="shared" si="1158"/>
        <v>#REF!</v>
      </c>
      <c r="C4161" s="1801" t="e">
        <f t="shared" si="1158"/>
        <v>#REF!</v>
      </c>
      <c r="D4161" s="1801" t="e">
        <f t="shared" si="1158"/>
        <v>#REF!</v>
      </c>
      <c r="E4161" s="1801" t="e">
        <f t="shared" si="1158"/>
        <v>#REF!</v>
      </c>
      <c r="F4161" s="1801" t="e">
        <f t="shared" si="1158"/>
        <v>#REF!</v>
      </c>
      <c r="G4161" s="1801" t="e">
        <f t="shared" si="1158"/>
        <v>#REF!</v>
      </c>
      <c r="H4161" s="1801" t="e">
        <f t="shared" si="1159"/>
        <v>#REF!</v>
      </c>
      <c r="I4161" s="1801" t="e">
        <f t="shared" si="1159"/>
        <v>#REF!</v>
      </c>
    </row>
    <row r="4163" spans="1:9" x14ac:dyDescent="0.3">
      <c r="A4163" s="141" t="s">
        <v>2052</v>
      </c>
    </row>
    <row r="4164" spans="1:9" ht="24" x14ac:dyDescent="0.3">
      <c r="A4164" s="366"/>
      <c r="B4164" s="383" t="s">
        <v>23</v>
      </c>
      <c r="C4164" s="383" t="s">
        <v>629</v>
      </c>
      <c r="D4164" s="383" t="s">
        <v>628</v>
      </c>
      <c r="E4164" s="383" t="s">
        <v>2053</v>
      </c>
    </row>
    <row r="4165" spans="1:9" x14ac:dyDescent="0.3">
      <c r="A4165" s="141" t="s">
        <v>38</v>
      </c>
      <c r="B4165" s="487"/>
      <c r="C4165" s="487"/>
      <c r="D4165" s="487"/>
      <c r="E4165" s="487"/>
    </row>
    <row r="4166" spans="1:9" x14ac:dyDescent="0.3">
      <c r="A4166" s="1" t="s">
        <v>541</v>
      </c>
      <c r="B4166" s="76">
        <f>+SUM(F4129:I4129)</f>
        <v>1551.494295</v>
      </c>
      <c r="C4166" s="76">
        <f t="shared" ref="C4166:C4171" si="1160">+B4166-D4166</f>
        <v>704.38075499999991</v>
      </c>
      <c r="D4166" s="76">
        <f>+C4911</f>
        <v>847.11354000000006</v>
      </c>
      <c r="E4166" s="75">
        <f>+D4166/B4166</f>
        <v>0.54599848850878308</v>
      </c>
    </row>
    <row r="4167" spans="1:9" x14ac:dyDescent="0.3">
      <c r="A4167" s="109" t="s">
        <v>32</v>
      </c>
      <c r="B4167" s="76">
        <f>+SUM(F4130:I4130)</f>
        <v>801.63</v>
      </c>
      <c r="C4167" s="76">
        <f t="shared" si="1160"/>
        <v>508.32</v>
      </c>
      <c r="D4167" s="76">
        <f>+B4167*D$4171/B$4171</f>
        <v>293.31</v>
      </c>
      <c r="E4167" s="75">
        <f>+D4167/B4167</f>
        <v>0.36589199506006514</v>
      </c>
    </row>
    <row r="4168" spans="1:9" x14ac:dyDescent="0.3">
      <c r="A4168" s="109" t="s">
        <v>33</v>
      </c>
      <c r="B4168" s="76" t="e">
        <f>+SUM(F4131:I4131)</f>
        <v>#REF!</v>
      </c>
      <c r="C4168" s="76" t="e">
        <f t="shared" si="1160"/>
        <v>#REF!</v>
      </c>
      <c r="D4168" s="76" t="e">
        <f>+B4168*(Inputs!EC595/SUM(Inputs!EC595,Inputs!EC599))</f>
        <v>#REF!</v>
      </c>
      <c r="E4168" s="75" t="e">
        <f>+D4168/B4168</f>
        <v>#REF!</v>
      </c>
    </row>
    <row r="4169" spans="1:9" x14ac:dyDescent="0.3">
      <c r="A4169" s="109" t="s">
        <v>34</v>
      </c>
      <c r="B4169" s="76" t="e">
        <f>+SUM(F4132:I4132)</f>
        <v>#REF!</v>
      </c>
      <c r="C4169" s="76" t="e">
        <f t="shared" si="1160"/>
        <v>#REF!</v>
      </c>
      <c r="D4169" s="76">
        <v>0</v>
      </c>
      <c r="E4169" s="75" t="e">
        <f>+D4169/B4169</f>
        <v>#REF!</v>
      </c>
    </row>
    <row r="4170" spans="1:9" x14ac:dyDescent="0.3">
      <c r="A4170" s="110" t="s">
        <v>266</v>
      </c>
      <c r="B4170" s="803" t="e">
        <f>+SUM(F4133:I4133)</f>
        <v>#REF!</v>
      </c>
      <c r="C4170" s="1802" t="e">
        <f t="shared" si="1160"/>
        <v>#REF!</v>
      </c>
      <c r="D4170" s="803" t="e">
        <f>+SUM(D4166:D4169)</f>
        <v>#REF!</v>
      </c>
      <c r="E4170" s="808" t="e">
        <f>+D4170/B4170</f>
        <v>#REF!</v>
      </c>
    </row>
    <row r="4171" spans="1:9" x14ac:dyDescent="0.3">
      <c r="A4171" s="163" t="s">
        <v>2054</v>
      </c>
      <c r="B4171" s="77">
        <f>+Drivers!ED602</f>
        <v>3340.125</v>
      </c>
      <c r="C4171" s="77">
        <f t="shared" si="1160"/>
        <v>2118</v>
      </c>
      <c r="D4171" s="77">
        <f>+Drivers!ED180</f>
        <v>1222.125</v>
      </c>
    </row>
    <row r="4172" spans="1:9" x14ac:dyDescent="0.3">
      <c r="A4172" s="163" t="s">
        <v>2055</v>
      </c>
      <c r="B4172" s="500" t="e">
        <f>+B4170/14000/12*1000</f>
        <v>#REF!</v>
      </c>
      <c r="C4172" s="500" t="e">
        <f>+C4170/11000/12*1000</f>
        <v>#REF!</v>
      </c>
      <c r="D4172" s="500" t="e">
        <f>+D4170/3000/12*1000</f>
        <v>#REF!</v>
      </c>
    </row>
    <row r="4174" spans="1:9" x14ac:dyDescent="0.3">
      <c r="A4174" s="141" t="s">
        <v>1865</v>
      </c>
      <c r="B4174" s="487"/>
      <c r="D4174" s="487"/>
    </row>
    <row r="4175" spans="1:9" x14ac:dyDescent="0.3">
      <c r="A4175" s="1" t="s">
        <v>541</v>
      </c>
      <c r="B4175" s="76">
        <f>+SUM(F4143:I4143)-SUM(F4129:I4129)</f>
        <v>1824.505705</v>
      </c>
    </row>
    <row r="4176" spans="1:9" x14ac:dyDescent="0.3">
      <c r="A4176" s="109" t="s">
        <v>32</v>
      </c>
      <c r="B4176" s="76">
        <f>+SUM(F4144:I4144)-SUM(F4130:I4130)</f>
        <v>1226.3699999999999</v>
      </c>
    </row>
    <row r="4177" spans="1:5" x14ac:dyDescent="0.3">
      <c r="A4177" s="109" t="s">
        <v>33</v>
      </c>
      <c r="B4177" s="76" t="e">
        <f>+SUM(F4145:I4145)-SUM(F4131:I4131)</f>
        <v>#REF!</v>
      </c>
      <c r="D4177" s="365"/>
    </row>
    <row r="4178" spans="1:5" x14ac:dyDescent="0.3">
      <c r="A4178" s="109" t="s">
        <v>34</v>
      </c>
      <c r="B4178" s="76" t="e">
        <f>+SUM(F4146:I4146)-SUM(F4132:I4132)</f>
        <v>#REF!</v>
      </c>
    </row>
    <row r="4179" spans="1:5" x14ac:dyDescent="0.3">
      <c r="A4179" s="110" t="s">
        <v>266</v>
      </c>
      <c r="B4179" s="803" t="e">
        <f>+SUM(B4175:B4178)</f>
        <v>#REF!</v>
      </c>
      <c r="C4179" s="803" t="e">
        <f>+B4179-D4179</f>
        <v>#REF!</v>
      </c>
      <c r="D4179" s="803" t="e">
        <f>+D4183-D4170-D4182</f>
        <v>#REF!</v>
      </c>
      <c r="E4179" s="808" t="e">
        <f>+D4179/B4179</f>
        <v>#REF!</v>
      </c>
    </row>
    <row r="4180" spans="1:5" x14ac:dyDescent="0.3">
      <c r="A4180" s="163" t="s">
        <v>2056</v>
      </c>
      <c r="B4180" s="500" t="e">
        <f>+B4179/14000/12*1000</f>
        <v>#REF!</v>
      </c>
      <c r="C4180" s="500" t="e">
        <f>+C4179/11000/12*1000</f>
        <v>#REF!</v>
      </c>
      <c r="D4180" s="500" t="e">
        <f>+D4179/3000/12*1000</f>
        <v>#REF!</v>
      </c>
      <c r="E4180" s="84"/>
    </row>
    <row r="4181" spans="1:5" x14ac:dyDescent="0.3">
      <c r="A4181" s="163"/>
      <c r="B4181" s="500"/>
      <c r="C4181" s="500"/>
      <c r="D4181" s="500"/>
      <c r="E4181" s="84"/>
    </row>
    <row r="4182" spans="1:5" x14ac:dyDescent="0.3">
      <c r="A4182" s="109" t="s">
        <v>36</v>
      </c>
      <c r="B4182" s="76" t="e">
        <f>+B4183-B4179-B4170</f>
        <v>#REF!</v>
      </c>
      <c r="C4182" s="95" t="e">
        <f>+B4182</f>
        <v>#REF!</v>
      </c>
      <c r="D4182" s="76" t="e">
        <f>+B4182-C4182</f>
        <v>#REF!</v>
      </c>
      <c r="E4182" s="751" t="e">
        <f>+D4182/B4182</f>
        <v>#REF!</v>
      </c>
    </row>
    <row r="4183" spans="1:5" x14ac:dyDescent="0.3">
      <c r="A4183" s="110" t="s">
        <v>19</v>
      </c>
      <c r="B4183" s="381" t="e">
        <f>+Drivers!#REF!</f>
        <v>#REF!</v>
      </c>
      <c r="C4183" s="381" t="e">
        <f>+B4183-D4183</f>
        <v>#REF!</v>
      </c>
      <c r="D4183" s="381">
        <f>+D4189/D4190</f>
        <v>2500</v>
      </c>
      <c r="E4183" s="752" t="e">
        <f>+D4183/B4183</f>
        <v>#REF!</v>
      </c>
    </row>
    <row r="4184" spans="1:5" x14ac:dyDescent="0.3">
      <c r="A4184" s="94"/>
    </row>
    <row r="4185" spans="1:5" x14ac:dyDescent="0.3">
      <c r="A4185" s="1" t="s">
        <v>541</v>
      </c>
      <c r="D4185" s="76">
        <f>+D4166*D4190</f>
        <v>338.84541600000006</v>
      </c>
    </row>
    <row r="4186" spans="1:5" x14ac:dyDescent="0.3">
      <c r="A4186" s="109" t="s">
        <v>32</v>
      </c>
      <c r="D4186" s="76">
        <f>+D4167*0.83</f>
        <v>243.44729999999998</v>
      </c>
    </row>
    <row r="4187" spans="1:5" x14ac:dyDescent="0.3">
      <c r="A4187" s="109" t="s">
        <v>33</v>
      </c>
      <c r="D4187" s="76" t="e">
        <f>+D4168*0.2</f>
        <v>#REF!</v>
      </c>
    </row>
    <row r="4188" spans="1:5" x14ac:dyDescent="0.3">
      <c r="A4188" t="s">
        <v>1865</v>
      </c>
      <c r="D4188" s="76" t="e">
        <f>+D4189-SUM(D4185:D4187)</f>
        <v>#REF!</v>
      </c>
      <c r="E4188" s="74"/>
    </row>
    <row r="4189" spans="1:5" x14ac:dyDescent="0.3">
      <c r="A4189" s="110" t="s">
        <v>301</v>
      </c>
      <c r="B4189" s="381">
        <f>+Drivers!ED30</f>
        <v>2775</v>
      </c>
      <c r="C4189" s="381">
        <f>+B4189-D4189</f>
        <v>1775</v>
      </c>
      <c r="D4189" s="473">
        <v>1000</v>
      </c>
      <c r="E4189" s="752">
        <f>+D4189/B4189</f>
        <v>0.36036036036036034</v>
      </c>
    </row>
    <row r="4190" spans="1:5" x14ac:dyDescent="0.3">
      <c r="A4190" s="94" t="s">
        <v>2057</v>
      </c>
      <c r="B4190" s="75" t="e">
        <f>+B4189/B4183</f>
        <v>#REF!</v>
      </c>
      <c r="C4190" s="75" t="e">
        <f>+C4189/C4183</f>
        <v>#REF!</v>
      </c>
      <c r="D4190" s="87">
        <v>0.4</v>
      </c>
    </row>
    <row r="4191" spans="1:5" x14ac:dyDescent="0.3">
      <c r="A4191" s="114"/>
      <c r="B4191" s="114"/>
      <c r="C4191" s="114"/>
      <c r="D4191" s="114"/>
      <c r="E4191" s="114"/>
    </row>
    <row r="4193" spans="1:4" x14ac:dyDescent="0.3">
      <c r="A4193" t="s">
        <v>2058</v>
      </c>
      <c r="B4193" s="76" t="e">
        <f>+Drivers!#REF!</f>
        <v>#REF!</v>
      </c>
    </row>
    <row r="4194" spans="1:4" x14ac:dyDescent="0.3">
      <c r="A4194" t="s">
        <v>280</v>
      </c>
      <c r="B4194" s="101">
        <f>+Drivers!ED333</f>
        <v>20</v>
      </c>
    </row>
    <row r="4195" spans="1:4" x14ac:dyDescent="0.3">
      <c r="A4195" s="90" t="s">
        <v>2059</v>
      </c>
      <c r="B4195" s="803" t="e">
        <f>+B4193*B4194*12/1000</f>
        <v>#REF!</v>
      </c>
    </row>
    <row r="4196" spans="1:4" x14ac:dyDescent="0.3">
      <c r="A4196" s="90"/>
      <c r="B4196" s="85"/>
    </row>
    <row r="4197" spans="1:4" x14ac:dyDescent="0.3">
      <c r="A4197" t="s">
        <v>2060</v>
      </c>
      <c r="B4197" s="76">
        <f>+B4167</f>
        <v>801.63</v>
      </c>
    </row>
    <row r="4198" spans="1:4" x14ac:dyDescent="0.3">
      <c r="A4198" s="177" t="s">
        <v>2061</v>
      </c>
      <c r="B4198" s="76" t="e">
        <f>+B4195</f>
        <v>#REF!</v>
      </c>
    </row>
    <row r="4199" spans="1:4" x14ac:dyDescent="0.3">
      <c r="A4199" s="298" t="s">
        <v>2062</v>
      </c>
      <c r="B4199" s="803" t="e">
        <f>+B4197-B4198</f>
        <v>#REF!</v>
      </c>
    </row>
    <row r="4200" spans="1:4" x14ac:dyDescent="0.3">
      <c r="A4200" s="177" t="s">
        <v>2063</v>
      </c>
      <c r="B4200" s="74" t="e">
        <f>+D4171/(B4171-B4193)</f>
        <v>#REF!</v>
      </c>
    </row>
    <row r="4201" spans="1:4" x14ac:dyDescent="0.3">
      <c r="A4201" s="177" t="s">
        <v>2064</v>
      </c>
      <c r="B4201" s="803" t="e">
        <f>+B4199*B4200</f>
        <v>#REF!</v>
      </c>
    </row>
    <row r="4203" spans="1:4" x14ac:dyDescent="0.3">
      <c r="A4203" s="141" t="s">
        <v>2065</v>
      </c>
    </row>
    <row r="4204" spans="1:4" x14ac:dyDescent="0.3">
      <c r="A4204" s="147" t="s">
        <v>2066</v>
      </c>
      <c r="B4204" s="148">
        <v>0.09</v>
      </c>
      <c r="C4204" s="148">
        <v>0.15</v>
      </c>
      <c r="D4204" s="148">
        <v>0.2</v>
      </c>
    </row>
    <row r="4205" spans="1:4" x14ac:dyDescent="0.3">
      <c r="A4205" t="s">
        <v>2067</v>
      </c>
      <c r="B4205" s="95">
        <v>8750</v>
      </c>
      <c r="C4205" s="95">
        <v>5750</v>
      </c>
      <c r="D4205" s="95">
        <v>2750</v>
      </c>
    </row>
    <row r="4206" spans="1:4" x14ac:dyDescent="0.3">
      <c r="A4206" t="s">
        <v>2068</v>
      </c>
      <c r="B4206" s="95">
        <v>1750</v>
      </c>
      <c r="C4206" s="95">
        <v>1250</v>
      </c>
      <c r="D4206" s="95">
        <v>750</v>
      </c>
    </row>
    <row r="4207" spans="1:4" x14ac:dyDescent="0.3">
      <c r="A4207" t="s">
        <v>186</v>
      </c>
      <c r="B4207" s="95">
        <v>8750</v>
      </c>
      <c r="C4207" s="95">
        <v>4750</v>
      </c>
      <c r="D4207" s="95">
        <v>1750</v>
      </c>
    </row>
    <row r="4208" spans="1:4" x14ac:dyDescent="0.3">
      <c r="A4208" t="s">
        <v>2069</v>
      </c>
      <c r="B4208" s="149">
        <v>0.82499999999999996</v>
      </c>
      <c r="C4208" s="149">
        <v>0.625</v>
      </c>
      <c r="D4208" s="149">
        <v>0.375</v>
      </c>
    </row>
    <row r="4209" spans="1:4" x14ac:dyDescent="0.3">
      <c r="A4209" s="94" t="s">
        <v>2070</v>
      </c>
      <c r="B4209" s="150">
        <f>+B4207/B4205*1000</f>
        <v>1000</v>
      </c>
      <c r="C4209" s="150">
        <f>+C4207/C4205*1000</f>
        <v>826.08695652173913</v>
      </c>
      <c r="D4209" s="150">
        <f>+D4207/D4205*1000</f>
        <v>636.36363636363637</v>
      </c>
    </row>
    <row r="4210" spans="1:4" x14ac:dyDescent="0.3">
      <c r="A4210" s="94" t="s">
        <v>2071</v>
      </c>
      <c r="B4210" s="150">
        <f>+B4206/B4205*1000</f>
        <v>200</v>
      </c>
      <c r="C4210" s="150">
        <f>+C4206/C4205*1000</f>
        <v>217.39130434782609</v>
      </c>
      <c r="D4210" s="150">
        <f>+D4206/D4205*1000</f>
        <v>272.72727272727269</v>
      </c>
    </row>
    <row r="4212" spans="1:4" x14ac:dyDescent="0.3">
      <c r="A4212" s="141" t="s">
        <v>2072</v>
      </c>
    </row>
    <row r="4213" spans="1:4" x14ac:dyDescent="0.3">
      <c r="A4213" s="147" t="s">
        <v>2066</v>
      </c>
      <c r="B4213" s="839">
        <f>+B4204</f>
        <v>0.09</v>
      </c>
      <c r="C4213" s="839">
        <f>+C4204</f>
        <v>0.15</v>
      </c>
      <c r="D4213" s="839">
        <f>+D4204</f>
        <v>0.2</v>
      </c>
    </row>
    <row r="4214" spans="1:4" x14ac:dyDescent="0.3">
      <c r="A4214" t="s">
        <v>2067</v>
      </c>
      <c r="B4214" s="76">
        <f>+VLOOKUP(B$4213,$A$4511:$E$4536,2,FALSE)</f>
        <v>8249.5540000000001</v>
      </c>
      <c r="C4214" s="76">
        <f>+VLOOKUP(C$4213,$A$4511:$E$4536,2,FALSE)</f>
        <v>5351.6670000000004</v>
      </c>
      <c r="D4214" s="76">
        <f>+VLOOKUP(D$4213,$A$4511:$E$4536,2,FALSE)</f>
        <v>3126.12</v>
      </c>
    </row>
    <row r="4215" spans="1:4" x14ac:dyDescent="0.3">
      <c r="A4215" t="s">
        <v>2068</v>
      </c>
      <c r="B4215" s="76">
        <f>+VLOOKUP(B$4213,$A$4511:$E$4536,5,FALSE)</f>
        <v>2183.6957983757729</v>
      </c>
      <c r="C4215" s="76">
        <f>+VLOOKUP(C$4213,$A$4511:$E$4536,5,FALSE)</f>
        <v>1356.7420397706583</v>
      </c>
      <c r="D4215" s="76">
        <f>+VLOOKUP(D$4213,$A$4511:$E$4536,5,FALSE)</f>
        <v>793.48609026008273</v>
      </c>
    </row>
    <row r="4216" spans="1:4" x14ac:dyDescent="0.3">
      <c r="A4216" t="s">
        <v>186</v>
      </c>
      <c r="B4216" s="76">
        <f>+VLOOKUP(B$4213,$A$4511:$E$4536,4,FALSE)</f>
        <v>9306.5027197260042</v>
      </c>
      <c r="C4216" s="76">
        <f>+VLOOKUP(C$4213,$A$4511:$E$4536,4,FALSE)</f>
        <v>4372.5388837421615</v>
      </c>
      <c r="D4216" s="76">
        <f>+VLOOKUP(D$4213,$A$4511:$E$4536,4,FALSE)</f>
        <v>2124.1360534452592</v>
      </c>
    </row>
    <row r="4217" spans="1:4" x14ac:dyDescent="0.3">
      <c r="A4217" s="94" t="s">
        <v>2070</v>
      </c>
      <c r="B4217" s="150">
        <f>+B4216/B4214*1000</f>
        <v>1128.1219226792145</v>
      </c>
      <c r="C4217" s="150">
        <f>+C4216/C4214*1000</f>
        <v>817.04240636462646</v>
      </c>
      <c r="D4217" s="150">
        <f>+D4216/D4214*1000</f>
        <v>679.48001146637341</v>
      </c>
    </row>
    <row r="4218" spans="1:4" x14ac:dyDescent="0.3">
      <c r="A4218" s="94" t="s">
        <v>2071</v>
      </c>
      <c r="B4218" s="150">
        <f>+B4215/B4214*1000</f>
        <v>264.70470990016833</v>
      </c>
      <c r="C4218" s="150">
        <f>+C4215/C4214*1000</f>
        <v>253.51764969133134</v>
      </c>
      <c r="D4218" s="150">
        <f>+D4215/D4214*1000</f>
        <v>253.82457815441595</v>
      </c>
    </row>
    <row r="4219" spans="1:4" x14ac:dyDescent="0.3">
      <c r="A4219" s="114"/>
      <c r="B4219" s="114"/>
      <c r="C4219" s="114"/>
      <c r="D4219" s="114"/>
    </row>
    <row r="4221" spans="1:4" x14ac:dyDescent="0.3">
      <c r="A4221" s="377" t="s">
        <v>2073</v>
      </c>
    </row>
    <row r="4222" spans="1:4" x14ac:dyDescent="0.3">
      <c r="A4222" s="141" t="s">
        <v>2074</v>
      </c>
    </row>
    <row r="4224" spans="1:4" x14ac:dyDescent="0.3">
      <c r="A4224" s="141" t="s">
        <v>2075</v>
      </c>
    </row>
    <row r="4225" spans="1:18" x14ac:dyDescent="0.3">
      <c r="A4225" s="144" t="s">
        <v>2076</v>
      </c>
      <c r="B4225" s="191">
        <v>0.3</v>
      </c>
      <c r="D4225" s="101"/>
    </row>
    <row r="4226" spans="1:18" x14ac:dyDescent="0.3">
      <c r="A4226" s="144" t="s">
        <v>2077</v>
      </c>
      <c r="B4226" s="191">
        <v>0.35</v>
      </c>
    </row>
    <row r="4227" spans="1:18" x14ac:dyDescent="0.3">
      <c r="A4227" s="144" t="s">
        <v>2078</v>
      </c>
      <c r="B4227" s="191">
        <v>0.06</v>
      </c>
    </row>
    <row r="4228" spans="1:18" x14ac:dyDescent="0.3">
      <c r="A4228" s="144" t="s">
        <v>628</v>
      </c>
      <c r="B4228" s="146">
        <f>1-SUM(B4225:B4227)</f>
        <v>0.29000000000000004</v>
      </c>
    </row>
    <row r="4230" spans="1:18" x14ac:dyDescent="0.3">
      <c r="A4230" t="s">
        <v>583</v>
      </c>
    </row>
    <row r="4231" spans="1:18" x14ac:dyDescent="0.3">
      <c r="A4231" t="s">
        <v>584</v>
      </c>
      <c r="B4231" s="95">
        <v>1600</v>
      </c>
    </row>
    <row r="4232" spans="1:18" x14ac:dyDescent="0.3">
      <c r="A4232" t="s">
        <v>585</v>
      </c>
      <c r="B4232" s="95">
        <v>9800</v>
      </c>
    </row>
    <row r="4233" spans="1:18" x14ac:dyDescent="0.3">
      <c r="A4233" s="90" t="s">
        <v>266</v>
      </c>
      <c r="B4233" s="803">
        <f>+SUM(B4231:B4232)</f>
        <v>11400</v>
      </c>
    </row>
    <row r="4235" spans="1:18" x14ac:dyDescent="0.3">
      <c r="A4235" s="533" t="s">
        <v>2079</v>
      </c>
      <c r="B4235" s="534"/>
      <c r="C4235" s="534"/>
      <c r="D4235" s="534"/>
      <c r="E4235" s="534"/>
      <c r="F4235" s="534"/>
      <c r="G4235" s="534"/>
      <c r="H4235" s="534"/>
      <c r="I4235" s="534"/>
      <c r="J4235" s="534"/>
      <c r="K4235" s="534"/>
      <c r="L4235" s="534"/>
      <c r="M4235" s="534"/>
      <c r="N4235" s="534"/>
      <c r="O4235" s="534"/>
    </row>
    <row r="4236" spans="1:18" x14ac:dyDescent="0.3">
      <c r="B4236" s="76">
        <f t="shared" ref="B4236:G4236" si="1161">+SUM(B4240:B4241)</f>
        <v>3327</v>
      </c>
      <c r="C4236" s="76">
        <f t="shared" si="1161"/>
        <v>3092</v>
      </c>
      <c r="D4236" s="76">
        <f t="shared" si="1161"/>
        <v>2865</v>
      </c>
      <c r="E4236" s="76">
        <f t="shared" si="1161"/>
        <v>2803</v>
      </c>
      <c r="F4236" s="76">
        <f t="shared" si="1161"/>
        <v>2802</v>
      </c>
      <c r="G4236" s="76">
        <f t="shared" si="1161"/>
        <v>2830</v>
      </c>
    </row>
    <row r="4237" spans="1:18" x14ac:dyDescent="0.3">
      <c r="A4237" s="141" t="s">
        <v>2080</v>
      </c>
    </row>
    <row r="4238" spans="1:18" x14ac:dyDescent="0.3">
      <c r="A4238" s="147"/>
      <c r="B4238" s="147">
        <v>2019</v>
      </c>
      <c r="C4238" s="147">
        <v>2020</v>
      </c>
      <c r="D4238" s="147">
        <f t="shared" ref="D4238:M4238" si="1162">+C4238+1</f>
        <v>2021</v>
      </c>
      <c r="E4238" s="147">
        <f t="shared" si="1162"/>
        <v>2022</v>
      </c>
      <c r="F4238" s="147">
        <f t="shared" si="1162"/>
        <v>2023</v>
      </c>
      <c r="G4238" s="147">
        <f t="shared" si="1162"/>
        <v>2024</v>
      </c>
      <c r="H4238" s="147">
        <f t="shared" si="1162"/>
        <v>2025</v>
      </c>
      <c r="I4238" s="147">
        <f t="shared" si="1162"/>
        <v>2026</v>
      </c>
      <c r="J4238" s="147">
        <f t="shared" si="1162"/>
        <v>2027</v>
      </c>
      <c r="K4238" s="147">
        <f t="shared" si="1162"/>
        <v>2028</v>
      </c>
      <c r="L4238" s="147">
        <f t="shared" si="1162"/>
        <v>2029</v>
      </c>
      <c r="M4238" s="147">
        <f t="shared" si="1162"/>
        <v>2030</v>
      </c>
    </row>
    <row r="4239" spans="1:18" x14ac:dyDescent="0.3">
      <c r="A4239" t="s">
        <v>2081</v>
      </c>
      <c r="B4239" s="95">
        <v>3831</v>
      </c>
      <c r="C4239" s="95">
        <v>3443</v>
      </c>
      <c r="D4239" s="95">
        <v>3130</v>
      </c>
      <c r="E4239" s="95">
        <v>2925</v>
      </c>
      <c r="F4239" s="95">
        <v>2794</v>
      </c>
      <c r="G4239" s="95">
        <v>2684</v>
      </c>
      <c r="I4239" s="74"/>
    </row>
    <row r="4240" spans="1:18" x14ac:dyDescent="0.3">
      <c r="A4240" t="s">
        <v>1865</v>
      </c>
      <c r="B4240" s="95">
        <v>1638</v>
      </c>
      <c r="C4240" s="95">
        <v>1481</v>
      </c>
      <c r="D4240" s="95">
        <v>1379</v>
      </c>
      <c r="E4240" s="95">
        <v>1372</v>
      </c>
      <c r="F4240" s="95">
        <v>1384</v>
      </c>
      <c r="G4240" s="95">
        <v>1408</v>
      </c>
      <c r="R4240" s="74"/>
    </row>
    <row r="4241" spans="1:14" x14ac:dyDescent="0.3">
      <c r="A4241" t="s">
        <v>2019</v>
      </c>
      <c r="B4241" s="95">
        <v>1689</v>
      </c>
      <c r="C4241" s="95">
        <v>1611</v>
      </c>
      <c r="D4241" s="95">
        <v>1486</v>
      </c>
      <c r="E4241" s="95">
        <v>1431</v>
      </c>
      <c r="F4241" s="95">
        <v>1418</v>
      </c>
      <c r="G4241" s="95">
        <v>1422</v>
      </c>
    </row>
    <row r="4242" spans="1:14" x14ac:dyDescent="0.3">
      <c r="A4242" t="s">
        <v>2082</v>
      </c>
      <c r="B4242" s="365">
        <f t="shared" ref="B4242:G4242" si="1163">+B4243-SUM(B4239:B4241)</f>
        <v>344</v>
      </c>
      <c r="C4242" s="365" t="e">
        <f t="shared" si="1163"/>
        <v>#REF!</v>
      </c>
      <c r="D4242" s="365">
        <f t="shared" si="1163"/>
        <v>379</v>
      </c>
      <c r="E4242" s="365">
        <f t="shared" si="1163"/>
        <v>50</v>
      </c>
      <c r="F4242" s="365">
        <f t="shared" si="1163"/>
        <v>22</v>
      </c>
      <c r="G4242" s="365">
        <f t="shared" si="1163"/>
        <v>21</v>
      </c>
    </row>
    <row r="4243" spans="1:14" x14ac:dyDescent="0.3">
      <c r="A4243" s="90" t="s">
        <v>19</v>
      </c>
      <c r="B4243" s="854">
        <v>7502</v>
      </c>
      <c r="C4243" s="855" t="e">
        <f>+Drivers!#REF!</f>
        <v>#REF!</v>
      </c>
      <c r="D4243" s="854">
        <v>6374</v>
      </c>
      <c r="E4243" s="854">
        <v>5778</v>
      </c>
      <c r="F4243" s="854">
        <v>5618</v>
      </c>
      <c r="G4243" s="854">
        <v>5535</v>
      </c>
      <c r="H4243" s="850">
        <f t="shared" ref="H4243:M4243" si="1164">+G4243*(1+H4248)</f>
        <v>5442.6464274421351</v>
      </c>
      <c r="I4243" s="850">
        <f t="shared" si="1164"/>
        <v>5351.8338092409458</v>
      </c>
      <c r="J4243" s="850">
        <f t="shared" si="1164"/>
        <v>5262.5364339890275</v>
      </c>
      <c r="K4243" s="850">
        <f t="shared" si="1164"/>
        <v>5174.7290192835508</v>
      </c>
      <c r="L4243" s="850">
        <f t="shared" si="1164"/>
        <v>5088.3867045681591</v>
      </c>
      <c r="M4243" s="850">
        <f t="shared" si="1164"/>
        <v>5003.4850440943001</v>
      </c>
      <c r="N4243" s="854">
        <v>4920</v>
      </c>
    </row>
    <row r="4244" spans="1:14" x14ac:dyDescent="0.3">
      <c r="A4244" s="94" t="s">
        <v>2083</v>
      </c>
      <c r="B4244" s="463"/>
      <c r="C4244" s="75">
        <f>+C4239/B4239-1</f>
        <v>-0.10127903941529626</v>
      </c>
      <c r="D4244" s="75">
        <f>+D4239/C4239-1</f>
        <v>-9.0909090909090939E-2</v>
      </c>
      <c r="E4244" s="75">
        <f>+E4239/D4239-1</f>
        <v>-6.5495207667731647E-2</v>
      </c>
      <c r="F4244" s="75">
        <f>+F4239/E4239-1</f>
        <v>-4.4786324786324827E-2</v>
      </c>
      <c r="G4244" s="75">
        <f>+G4239/F4239-1</f>
        <v>-3.9370078740157521E-2</v>
      </c>
      <c r="H4244" s="475"/>
      <c r="I4244" s="475"/>
      <c r="J4244" s="475"/>
      <c r="K4244" s="475"/>
      <c r="L4244" s="475"/>
      <c r="M4244" s="475"/>
      <c r="N4244" s="463"/>
    </row>
    <row r="4245" spans="1:14" x14ac:dyDescent="0.3">
      <c r="A4245" s="94" t="s">
        <v>2084</v>
      </c>
      <c r="B4245" s="463"/>
      <c r="C4245" s="75">
        <f t="shared" ref="C4245:G4247" si="1165">+C4240/B4240-1</f>
        <v>-9.5848595848595841E-2</v>
      </c>
      <c r="D4245" s="75">
        <f t="shared" si="1165"/>
        <v>-6.8872383524645531E-2</v>
      </c>
      <c r="E4245" s="75">
        <f t="shared" si="1165"/>
        <v>-5.0761421319797106E-3</v>
      </c>
      <c r="F4245" s="75">
        <f t="shared" si="1165"/>
        <v>8.7463556851312685E-3</v>
      </c>
      <c r="G4245" s="75">
        <f t="shared" si="1165"/>
        <v>1.7341040462427681E-2</v>
      </c>
      <c r="H4245" s="475"/>
      <c r="I4245" s="787"/>
      <c r="J4245" s="475"/>
      <c r="K4245" s="475"/>
      <c r="L4245" s="475"/>
      <c r="M4245" s="475"/>
      <c r="N4245" s="463"/>
    </row>
    <row r="4246" spans="1:14" x14ac:dyDescent="0.3">
      <c r="A4246" s="94" t="s">
        <v>2085</v>
      </c>
      <c r="B4246" s="463"/>
      <c r="C4246" s="75">
        <f t="shared" si="1165"/>
        <v>-4.6181172291296591E-2</v>
      </c>
      <c r="D4246" s="75">
        <f t="shared" si="1165"/>
        <v>-7.7591558038485386E-2</v>
      </c>
      <c r="E4246" s="75">
        <f t="shared" si="1165"/>
        <v>-3.7012113055181706E-2</v>
      </c>
      <c r="F4246" s="75">
        <f t="shared" si="1165"/>
        <v>-9.0845562543675484E-3</v>
      </c>
      <c r="G4246" s="75">
        <f t="shared" si="1165"/>
        <v>2.8208744710860323E-3</v>
      </c>
      <c r="H4246" s="475"/>
      <c r="I4246" s="475"/>
      <c r="J4246" s="475"/>
      <c r="K4246" s="475"/>
      <c r="L4246" s="475"/>
      <c r="M4246" s="475"/>
      <c r="N4246" s="463"/>
    </row>
    <row r="4247" spans="1:14" x14ac:dyDescent="0.3">
      <c r="A4247" s="94" t="s">
        <v>2086</v>
      </c>
      <c r="B4247" s="463"/>
      <c r="C4247" s="75" t="e">
        <f t="shared" si="1165"/>
        <v>#REF!</v>
      </c>
      <c r="D4247" s="75" t="e">
        <f t="shared" si="1165"/>
        <v>#REF!</v>
      </c>
      <c r="E4247" s="75">
        <f t="shared" si="1165"/>
        <v>-0.86807387862796836</v>
      </c>
      <c r="F4247" s="75">
        <f t="shared" si="1165"/>
        <v>-0.56000000000000005</v>
      </c>
      <c r="G4247" s="75">
        <f t="shared" si="1165"/>
        <v>-4.5454545454545414E-2</v>
      </c>
      <c r="H4247" s="475"/>
      <c r="I4247" s="475"/>
      <c r="J4247" s="475"/>
      <c r="K4247" s="475"/>
      <c r="L4247" s="475"/>
      <c r="M4247" s="475"/>
      <c r="N4247" s="463"/>
    </row>
    <row r="4248" spans="1:14" x14ac:dyDescent="0.3">
      <c r="A4248" s="94" t="s">
        <v>2087</v>
      </c>
      <c r="B4248" s="75"/>
      <c r="C4248" s="75" t="e">
        <f>+C4243/B4243-1</f>
        <v>#REF!</v>
      </c>
      <c r="D4248" s="75" t="e">
        <f>+D4243/C4243-1</f>
        <v>#REF!</v>
      </c>
      <c r="E4248" s="75">
        <f>+E4243/D4243-1</f>
        <v>-9.3504863508001246E-2</v>
      </c>
      <c r="F4248" s="75">
        <f>+F4243/E4243-1</f>
        <v>-2.7691242644513725E-2</v>
      </c>
      <c r="G4248" s="75">
        <f>+G4243/F4243-1</f>
        <v>-1.4773940904236338E-2</v>
      </c>
      <c r="H4248" s="87">
        <f t="shared" ref="H4248:M4248" si="1166">+I4248</f>
        <v>-1.6685378962577269E-2</v>
      </c>
      <c r="I4248" s="87">
        <f t="shared" si="1166"/>
        <v>-1.6685378962577269E-2</v>
      </c>
      <c r="J4248" s="87">
        <f t="shared" si="1166"/>
        <v>-1.6685378962577269E-2</v>
      </c>
      <c r="K4248" s="87">
        <f t="shared" si="1166"/>
        <v>-1.6685378962577269E-2</v>
      </c>
      <c r="L4248" s="87">
        <f t="shared" si="1166"/>
        <v>-1.6685378962577269E-2</v>
      </c>
      <c r="M4248" s="87">
        <f t="shared" si="1166"/>
        <v>-1.6685378962577269E-2</v>
      </c>
      <c r="N4248" s="75">
        <f>+(N4243/G4243)^(0.142857142857143)-1</f>
        <v>-1.6685378962577269E-2</v>
      </c>
    </row>
    <row r="4249" spans="1:14" x14ac:dyDescent="0.3">
      <c r="A4249" s="94" t="s">
        <v>2088</v>
      </c>
      <c r="B4249" s="75"/>
      <c r="C4249" s="75">
        <f>+SUM(C4240:C4241)/SUM(B4240:B4241)-1</f>
        <v>-7.0634204989480032E-2</v>
      </c>
      <c r="D4249" s="75">
        <f>+SUM(D4240:D4241)/SUM(C4240:C4241)-1</f>
        <v>-7.3415265200517443E-2</v>
      </c>
      <c r="E4249" s="75">
        <f>+SUM(E4240:E4241)/SUM(D4240:D4241)-1</f>
        <v>-2.16404886561955E-2</v>
      </c>
      <c r="F4249" s="75">
        <f>+SUM(F4240:F4241)/SUM(E4240:E4241)-1</f>
        <v>-3.5676061362821532E-4</v>
      </c>
      <c r="G4249" s="75">
        <f>+SUM(G4240:G4241)/SUM(F4240:F4241)-1</f>
        <v>9.992862241256173E-3</v>
      </c>
      <c r="H4249" s="87"/>
      <c r="I4249" s="87"/>
      <c r="J4249" s="87"/>
      <c r="K4249" s="87"/>
      <c r="L4249" s="87"/>
      <c r="M4249" s="87"/>
      <c r="N4249" s="75"/>
    </row>
    <row r="4250" spans="1:14" x14ac:dyDescent="0.3">
      <c r="A4250" s="94"/>
      <c r="B4250" s="75"/>
      <c r="C4250" s="75"/>
      <c r="D4250" s="95"/>
      <c r="E4250" s="75"/>
      <c r="F4250" s="75"/>
      <c r="G4250" s="76"/>
      <c r="H4250" s="76"/>
      <c r="I4250" s="76"/>
      <c r="J4250" s="76"/>
      <c r="K4250" s="76"/>
      <c r="L4250" s="76"/>
      <c r="M4250" s="76"/>
      <c r="N4250" s="76"/>
    </row>
    <row r="4251" spans="1:14" x14ac:dyDescent="0.3">
      <c r="A4251" t="s">
        <v>2089</v>
      </c>
      <c r="B4251" s="95">
        <f t="shared" ref="B4251:N4251" si="1167">+B4243-B4253</f>
        <v>4575</v>
      </c>
      <c r="C4251" s="95" t="e">
        <f t="shared" si="1167"/>
        <v>#REF!</v>
      </c>
      <c r="D4251" s="95">
        <f t="shared" si="1167"/>
        <v>3937</v>
      </c>
      <c r="E4251" s="95">
        <f t="shared" si="1167"/>
        <v>3723</v>
      </c>
      <c r="F4251" s="95">
        <f t="shared" si="1167"/>
        <v>3570</v>
      </c>
      <c r="G4251" s="95">
        <f t="shared" si="1167"/>
        <v>3495</v>
      </c>
      <c r="H4251" s="76">
        <f t="shared" si="1167"/>
        <v>3494.6464274421351</v>
      </c>
      <c r="I4251" s="76">
        <f t="shared" si="1167"/>
        <v>3479.8338092409458</v>
      </c>
      <c r="J4251" s="76">
        <f t="shared" si="1167"/>
        <v>3441.5364339890275</v>
      </c>
      <c r="K4251" s="76">
        <f t="shared" si="1167"/>
        <v>3394.7290192835508</v>
      </c>
      <c r="L4251" s="76">
        <f t="shared" si="1167"/>
        <v>3346.3867045681591</v>
      </c>
      <c r="M4251" s="76">
        <f t="shared" si="1167"/>
        <v>3292.4850440943001</v>
      </c>
      <c r="N4251" s="76">
        <f t="shared" si="1167"/>
        <v>3233</v>
      </c>
    </row>
    <row r="4252" spans="1:14" x14ac:dyDescent="0.3">
      <c r="C4252" s="76"/>
      <c r="D4252" s="76"/>
      <c r="E4252" s="76"/>
      <c r="G4252" s="475"/>
    </row>
    <row r="4253" spans="1:14" x14ac:dyDescent="0.3">
      <c r="A4253" s="90" t="s">
        <v>2090</v>
      </c>
      <c r="B4253" s="463">
        <v>2927</v>
      </c>
      <c r="C4253" s="471">
        <f>+Drivers!ED30</f>
        <v>2775</v>
      </c>
      <c r="D4253" s="463">
        <v>2437</v>
      </c>
      <c r="E4253" s="463">
        <v>2055</v>
      </c>
      <c r="F4253" s="463">
        <v>2048</v>
      </c>
      <c r="G4253" s="463">
        <v>2040</v>
      </c>
      <c r="H4253" s="475">
        <f t="shared" ref="H4253:M4253" si="1168">+H4408-H4393</f>
        <v>1948</v>
      </c>
      <c r="I4253" s="475">
        <f t="shared" si="1168"/>
        <v>1872</v>
      </c>
      <c r="J4253" s="475">
        <f t="shared" si="1168"/>
        <v>1821</v>
      </c>
      <c r="K4253" s="475">
        <f t="shared" si="1168"/>
        <v>1780</v>
      </c>
      <c r="L4253" s="475">
        <f t="shared" si="1168"/>
        <v>1742</v>
      </c>
      <c r="M4253" s="475">
        <f t="shared" si="1168"/>
        <v>1711</v>
      </c>
      <c r="N4253" s="463">
        <v>1687</v>
      </c>
    </row>
    <row r="4254" spans="1:14" x14ac:dyDescent="0.3">
      <c r="A4254" s="94" t="s">
        <v>2057</v>
      </c>
      <c r="B4254" s="75">
        <f t="shared" ref="B4254:N4254" si="1169">+B4253/B4243</f>
        <v>0.3901626233004532</v>
      </c>
      <c r="C4254" s="75" t="e">
        <f t="shared" si="1169"/>
        <v>#REF!</v>
      </c>
      <c r="D4254" s="75">
        <f t="shared" si="1169"/>
        <v>0.38233448384060242</v>
      </c>
      <c r="E4254" s="75">
        <f t="shared" si="1169"/>
        <v>0.3556593977154725</v>
      </c>
      <c r="F4254" s="75">
        <f t="shared" si="1169"/>
        <v>0.3645425418298327</v>
      </c>
      <c r="G4254" s="75">
        <f t="shared" si="1169"/>
        <v>0.36856368563685638</v>
      </c>
      <c r="H4254" s="75">
        <f t="shared" si="1169"/>
        <v>0.35791411879670748</v>
      </c>
      <c r="I4254" s="75">
        <f t="shared" si="1169"/>
        <v>0.34978664635804657</v>
      </c>
      <c r="J4254" s="75">
        <f t="shared" si="1169"/>
        <v>0.34603085847325399</v>
      </c>
      <c r="K4254" s="75">
        <f t="shared" si="1169"/>
        <v>0.34397936459413747</v>
      </c>
      <c r="L4254" s="75">
        <f t="shared" si="1169"/>
        <v>0.34234819425891883</v>
      </c>
      <c r="M4254" s="75">
        <f t="shared" si="1169"/>
        <v>0.3419616497144371</v>
      </c>
      <c r="N4254" s="75">
        <f t="shared" si="1169"/>
        <v>0.34288617886178863</v>
      </c>
    </row>
    <row r="4256" spans="1:14" x14ac:dyDescent="0.3">
      <c r="A4256" s="90" t="s">
        <v>198</v>
      </c>
      <c r="B4256" s="463">
        <v>1141</v>
      </c>
      <c r="C4256" s="475">
        <f>+C4253-C4259</f>
        <v>1427</v>
      </c>
      <c r="D4256" s="475">
        <f>+D4253-D4259</f>
        <v>986</v>
      </c>
      <c r="E4256" s="475">
        <f>+E4253-E4259</f>
        <v>983</v>
      </c>
      <c r="F4256" s="475">
        <f>+F4253-F4259</f>
        <v>984</v>
      </c>
      <c r="G4256" s="475">
        <f>+G4253-G4259</f>
        <v>995</v>
      </c>
      <c r="H4256" s="475">
        <f>+G4256</f>
        <v>995</v>
      </c>
      <c r="I4256" s="475">
        <f t="shared" ref="I4256:N4256" si="1170">+I4257*I4243</f>
        <v>962.07310572624044</v>
      </c>
      <c r="J4256" s="475">
        <f t="shared" si="1170"/>
        <v>946.02055136749448</v>
      </c>
      <c r="K4256" s="475">
        <f t="shared" si="1170"/>
        <v>930.23583996154161</v>
      </c>
      <c r="L4256" s="475">
        <f t="shared" si="1170"/>
        <v>914.71450244721188</v>
      </c>
      <c r="M4256" s="475">
        <f t="shared" si="1170"/>
        <v>899.45214433131491</v>
      </c>
      <c r="N4256" s="475">
        <f t="shared" si="1170"/>
        <v>884.44444444444434</v>
      </c>
    </row>
    <row r="4257" spans="1:14" x14ac:dyDescent="0.3">
      <c r="A4257" s="94" t="s">
        <v>2091</v>
      </c>
      <c r="B4257" s="75">
        <f t="shared" ref="B4257:G4257" si="1171">+B4256/B4243</f>
        <v>0.15209277525993067</v>
      </c>
      <c r="C4257" s="75" t="e">
        <f>+C4256/C4243</f>
        <v>#REF!</v>
      </c>
      <c r="D4257" s="75">
        <f t="shared" si="1171"/>
        <v>0.15469093191088798</v>
      </c>
      <c r="E4257" s="75">
        <f t="shared" si="1171"/>
        <v>0.17012807199723087</v>
      </c>
      <c r="F4257" s="75">
        <f t="shared" si="1171"/>
        <v>0.17515129939480242</v>
      </c>
      <c r="G4257" s="75">
        <f t="shared" si="1171"/>
        <v>0.17976513098464317</v>
      </c>
      <c r="H4257" s="87">
        <f>+G4257</f>
        <v>0.17976513098464317</v>
      </c>
      <c r="I4257" s="87">
        <f t="shared" ref="I4257:N4257" si="1172">+H4257</f>
        <v>0.17976513098464317</v>
      </c>
      <c r="J4257" s="87">
        <f t="shared" si="1172"/>
        <v>0.17976513098464317</v>
      </c>
      <c r="K4257" s="87">
        <f t="shared" si="1172"/>
        <v>0.17976513098464317</v>
      </c>
      <c r="L4257" s="87">
        <f t="shared" si="1172"/>
        <v>0.17976513098464317</v>
      </c>
      <c r="M4257" s="87">
        <f t="shared" si="1172"/>
        <v>0.17976513098464317</v>
      </c>
      <c r="N4257" s="87">
        <f t="shared" si="1172"/>
        <v>0.17976513098464317</v>
      </c>
    </row>
    <row r="4259" spans="1:14" x14ac:dyDescent="0.3">
      <c r="A4259" s="90" t="s">
        <v>2092</v>
      </c>
      <c r="B4259" s="85">
        <f>+B4253-B4256</f>
        <v>1786</v>
      </c>
      <c r="C4259" s="463">
        <v>1348</v>
      </c>
      <c r="D4259" s="463">
        <v>1451</v>
      </c>
      <c r="E4259" s="463">
        <v>1072</v>
      </c>
      <c r="F4259" s="463">
        <v>1064</v>
      </c>
      <c r="G4259" s="463">
        <v>1045</v>
      </c>
      <c r="H4259" s="85">
        <f t="shared" ref="H4259:N4259" si="1173">+H4253-H4256</f>
        <v>953</v>
      </c>
      <c r="I4259" s="85">
        <f t="shared" si="1173"/>
        <v>909.92689427375956</v>
      </c>
      <c r="J4259" s="85">
        <f t="shared" si="1173"/>
        <v>874.97944863250552</v>
      </c>
      <c r="K4259" s="85">
        <f t="shared" si="1173"/>
        <v>849.76416003845839</v>
      </c>
      <c r="L4259" s="85">
        <f t="shared" si="1173"/>
        <v>827.28549755278812</v>
      </c>
      <c r="M4259" s="85">
        <f t="shared" si="1173"/>
        <v>811.54785566868509</v>
      </c>
      <c r="N4259" s="85">
        <f t="shared" si="1173"/>
        <v>802.55555555555566</v>
      </c>
    </row>
    <row r="4260" spans="1:14" x14ac:dyDescent="0.3">
      <c r="A4260" s="94" t="s">
        <v>2057</v>
      </c>
      <c r="B4260" s="75">
        <f t="shared" ref="B4260:N4260" si="1174">+B4259/B4243</f>
        <v>0.23806984804052253</v>
      </c>
      <c r="C4260" s="75" t="e">
        <f t="shared" si="1174"/>
        <v>#REF!</v>
      </c>
      <c r="D4260" s="75">
        <f t="shared" si="1174"/>
        <v>0.22764355192971447</v>
      </c>
      <c r="E4260" s="75">
        <f t="shared" si="1174"/>
        <v>0.1855313257182416</v>
      </c>
      <c r="F4260" s="75">
        <f t="shared" si="1174"/>
        <v>0.18939124243503025</v>
      </c>
      <c r="G4260" s="75">
        <f t="shared" si="1174"/>
        <v>0.18879855465221318</v>
      </c>
      <c r="H4260" s="75">
        <f t="shared" si="1174"/>
        <v>0.1750986423066028</v>
      </c>
      <c r="I4260" s="75">
        <f t="shared" si="1174"/>
        <v>0.1700215153734034</v>
      </c>
      <c r="J4260" s="75">
        <f t="shared" si="1174"/>
        <v>0.16626572748861085</v>
      </c>
      <c r="K4260" s="75">
        <f t="shared" si="1174"/>
        <v>0.1642142336094943</v>
      </c>
      <c r="L4260" s="75">
        <f t="shared" si="1174"/>
        <v>0.16258306327427569</v>
      </c>
      <c r="M4260" s="75">
        <f t="shared" si="1174"/>
        <v>0.16219651872979396</v>
      </c>
      <c r="N4260" s="75">
        <f t="shared" si="1174"/>
        <v>0.16312104787714546</v>
      </c>
    </row>
    <row r="4261" spans="1:14" x14ac:dyDescent="0.3">
      <c r="A4261" s="94"/>
      <c r="B4261" s="75"/>
      <c r="C4261" s="75"/>
      <c r="D4261" s="75"/>
      <c r="E4261" s="75"/>
      <c r="F4261" s="75"/>
      <c r="G4261" s="85"/>
      <c r="H4261" s="85"/>
      <c r="I4261" s="85"/>
      <c r="J4261" s="85"/>
      <c r="K4261" s="85"/>
      <c r="L4261" s="85"/>
      <c r="M4261" s="85"/>
      <c r="N4261" s="85"/>
    </row>
    <row r="4262" spans="1:14" x14ac:dyDescent="0.3">
      <c r="A4262" t="s">
        <v>2093</v>
      </c>
      <c r="B4262" s="75"/>
      <c r="C4262" s="95">
        <v>0</v>
      </c>
      <c r="D4262" s="95">
        <v>0</v>
      </c>
      <c r="E4262" s="95">
        <v>0</v>
      </c>
      <c r="F4262" s="95">
        <v>0</v>
      </c>
      <c r="G4262" s="95">
        <v>0</v>
      </c>
      <c r="H4262" s="75"/>
      <c r="I4262" s="75"/>
      <c r="J4262" s="75"/>
      <c r="K4262" s="75"/>
      <c r="L4262" s="75"/>
      <c r="M4262" s="75"/>
      <c r="N4262" s="75"/>
    </row>
    <row r="4263" spans="1:14" x14ac:dyDescent="0.3">
      <c r="A4263" t="s">
        <v>2094</v>
      </c>
      <c r="B4263" s="75"/>
      <c r="C4263" s="95">
        <v>-4</v>
      </c>
      <c r="D4263" s="95">
        <v>-4</v>
      </c>
      <c r="E4263" s="95">
        <v>-3</v>
      </c>
      <c r="F4263" s="95">
        <v>-3</v>
      </c>
      <c r="G4263" s="95">
        <v>-3</v>
      </c>
      <c r="H4263" s="75"/>
      <c r="I4263" s="75"/>
      <c r="J4263" s="75"/>
      <c r="K4263" s="75"/>
      <c r="L4263" s="75"/>
      <c r="M4263" s="75"/>
      <c r="N4263" s="75"/>
    </row>
    <row r="4264" spans="1:14" x14ac:dyDescent="0.3">
      <c r="A4264" t="s">
        <v>2095</v>
      </c>
      <c r="B4264" s="75"/>
      <c r="C4264" s="95">
        <v>-54</v>
      </c>
      <c r="D4264" s="95">
        <v>-402</v>
      </c>
      <c r="E4264" s="95">
        <v>-254</v>
      </c>
      <c r="F4264" s="95">
        <v>-250</v>
      </c>
      <c r="G4264" s="95">
        <v>-267</v>
      </c>
      <c r="H4264" s="75"/>
      <c r="I4264" s="75"/>
      <c r="J4264" s="75"/>
      <c r="K4264" s="75"/>
      <c r="L4264" s="75"/>
      <c r="M4264" s="75"/>
      <c r="N4264" s="75"/>
    </row>
    <row r="4265" spans="1:14" x14ac:dyDescent="0.3">
      <c r="A4265" t="s">
        <v>2096</v>
      </c>
      <c r="C4265" s="95">
        <v>-127</v>
      </c>
      <c r="D4265" s="95">
        <v>-80</v>
      </c>
      <c r="E4265" s="95">
        <v>-48</v>
      </c>
      <c r="F4265" s="95">
        <v>-17</v>
      </c>
      <c r="G4265" s="95">
        <v>-9</v>
      </c>
      <c r="H4265" s="75"/>
      <c r="I4265" s="75"/>
      <c r="J4265" s="75"/>
      <c r="K4265" s="75"/>
      <c r="L4265" s="75"/>
      <c r="M4265" s="75"/>
      <c r="N4265" s="75"/>
    </row>
    <row r="4266" spans="1:14" x14ac:dyDescent="0.3">
      <c r="A4266" t="s">
        <v>2097</v>
      </c>
      <c r="B4266" s="75"/>
      <c r="C4266" s="95">
        <v>-333</v>
      </c>
      <c r="D4266" s="95">
        <v>-25</v>
      </c>
      <c r="E4266" s="95">
        <v>-25</v>
      </c>
      <c r="F4266" s="95">
        <v>-25</v>
      </c>
      <c r="G4266" s="95">
        <v>-25</v>
      </c>
      <c r="H4266" s="75"/>
      <c r="I4266" s="75"/>
      <c r="J4266" s="75"/>
      <c r="K4266" s="75"/>
      <c r="L4266" s="75"/>
      <c r="M4266" s="75"/>
      <c r="N4266" s="75"/>
    </row>
    <row r="4267" spans="1:14" x14ac:dyDescent="0.3">
      <c r="A4267" t="s">
        <v>2098</v>
      </c>
      <c r="B4267" s="75"/>
      <c r="C4267" s="95">
        <v>-38</v>
      </c>
      <c r="D4267" s="95">
        <v>-38</v>
      </c>
      <c r="E4267" s="95">
        <v>-38</v>
      </c>
      <c r="F4267" s="95">
        <v>-38</v>
      </c>
      <c r="G4267" s="95">
        <v>-39</v>
      </c>
      <c r="H4267" s="75"/>
      <c r="I4267" s="75"/>
      <c r="J4267" s="75"/>
      <c r="K4267" s="75"/>
      <c r="L4267" s="75"/>
      <c r="M4267" s="75"/>
      <c r="N4267" s="75"/>
    </row>
    <row r="4268" spans="1:14" x14ac:dyDescent="0.3">
      <c r="A4268" t="s">
        <v>2099</v>
      </c>
      <c r="B4268" s="75"/>
      <c r="C4268" s="95">
        <v>1187</v>
      </c>
      <c r="D4268" s="95">
        <v>0</v>
      </c>
      <c r="E4268" s="95">
        <v>0</v>
      </c>
      <c r="F4268" s="95">
        <v>0</v>
      </c>
      <c r="G4268" s="95">
        <v>0</v>
      </c>
      <c r="H4268" s="75"/>
      <c r="I4268" s="75"/>
      <c r="J4268" s="75"/>
      <c r="K4268" s="75"/>
      <c r="L4268" s="75"/>
      <c r="M4268" s="75"/>
      <c r="N4268" s="75"/>
    </row>
    <row r="4269" spans="1:14" x14ac:dyDescent="0.3">
      <c r="A4269" t="s">
        <v>2100</v>
      </c>
      <c r="B4269" s="75"/>
      <c r="C4269" s="95">
        <v>-56</v>
      </c>
      <c r="D4269" s="95">
        <v>0</v>
      </c>
      <c r="E4269" s="95">
        <v>0</v>
      </c>
      <c r="F4269" s="95">
        <v>0</v>
      </c>
      <c r="G4269" s="95">
        <v>0</v>
      </c>
      <c r="H4269" s="75"/>
      <c r="I4269" s="75"/>
      <c r="J4269" s="75"/>
      <c r="K4269" s="75"/>
      <c r="L4269" s="75"/>
      <c r="M4269" s="75"/>
      <c r="N4269" s="75"/>
    </row>
    <row r="4270" spans="1:14" ht="12.5" thickBot="1" x14ac:dyDescent="0.35">
      <c r="A4270" s="90" t="s">
        <v>2101</v>
      </c>
      <c r="B4270" s="75"/>
      <c r="C4270" s="504">
        <f>+C4259+SUM(C4262:C4269)</f>
        <v>1923</v>
      </c>
      <c r="D4270" s="504">
        <f>+D4259+SUM(D4262:D4269)</f>
        <v>902</v>
      </c>
      <c r="E4270" s="504">
        <f>+E4259+SUM(E4262:E4269)</f>
        <v>704</v>
      </c>
      <c r="F4270" s="504">
        <f>+F4259+SUM(F4262:F4269)</f>
        <v>731</v>
      </c>
      <c r="G4270" s="504">
        <f>+G4259+SUM(G4262:G4269)</f>
        <v>702</v>
      </c>
      <c r="H4270" s="75"/>
      <c r="I4270" s="75"/>
      <c r="J4270" s="75"/>
      <c r="K4270" s="75"/>
      <c r="L4270" s="75"/>
      <c r="M4270" s="75"/>
      <c r="N4270" s="75"/>
    </row>
    <row r="4271" spans="1:14" ht="12.5" thickTop="1" x14ac:dyDescent="0.3">
      <c r="A4271" s="114"/>
      <c r="B4271" s="114"/>
      <c r="C4271" s="104"/>
      <c r="D4271" s="114"/>
      <c r="E4271" s="114"/>
      <c r="F4271" s="114"/>
      <c r="G4271" s="114"/>
      <c r="H4271" s="114"/>
      <c r="I4271" s="114"/>
      <c r="J4271" s="114"/>
      <c r="K4271" s="114"/>
      <c r="L4271" s="114"/>
      <c r="M4271" s="114"/>
      <c r="N4271" s="114"/>
    </row>
    <row r="4273" spans="1:17" x14ac:dyDescent="0.3">
      <c r="A4273" s="177" t="s">
        <v>2102</v>
      </c>
      <c r="C4273" s="525">
        <v>480</v>
      </c>
      <c r="D4273" s="525">
        <f>+C4273</f>
        <v>480</v>
      </c>
      <c r="E4273" s="525">
        <f t="shared" ref="E4273:G4274" si="1175">+D4273</f>
        <v>480</v>
      </c>
      <c r="F4273" s="525">
        <f t="shared" si="1175"/>
        <v>480</v>
      </c>
      <c r="G4273" s="525">
        <f t="shared" si="1175"/>
        <v>480</v>
      </c>
    </row>
    <row r="4274" spans="1:17" x14ac:dyDescent="0.3">
      <c r="A4274" s="177" t="s">
        <v>2103</v>
      </c>
      <c r="C4274" s="525">
        <v>421</v>
      </c>
      <c r="D4274" s="525">
        <f>+C4274</f>
        <v>421</v>
      </c>
      <c r="E4274" s="525">
        <f t="shared" si="1175"/>
        <v>421</v>
      </c>
      <c r="F4274" s="525">
        <f t="shared" si="1175"/>
        <v>421</v>
      </c>
      <c r="G4274" s="525">
        <f t="shared" si="1175"/>
        <v>421</v>
      </c>
    </row>
    <row r="4275" spans="1:17" x14ac:dyDescent="0.3">
      <c r="A4275" s="298" t="s">
        <v>2104</v>
      </c>
      <c r="C4275" s="381">
        <f>+C4273-C4274</f>
        <v>59</v>
      </c>
      <c r="D4275" s="381">
        <f>+D4273-D4274</f>
        <v>59</v>
      </c>
      <c r="E4275" s="381">
        <f>+E4273-E4274</f>
        <v>59</v>
      </c>
      <c r="F4275" s="381">
        <f>+F4273-F4274</f>
        <v>59</v>
      </c>
      <c r="G4275" s="381">
        <f>+G4273-G4274</f>
        <v>59</v>
      </c>
    </row>
    <row r="4276" spans="1:17" x14ac:dyDescent="0.3">
      <c r="A4276" s="298"/>
      <c r="C4276" s="85"/>
      <c r="D4276" s="85"/>
      <c r="E4276" s="85"/>
      <c r="F4276" s="85"/>
      <c r="G4276" s="85"/>
    </row>
    <row r="4277" spans="1:17" x14ac:dyDescent="0.3">
      <c r="A4277" s="141" t="s">
        <v>2105</v>
      </c>
    </row>
    <row r="4278" spans="1:17" x14ac:dyDescent="0.3">
      <c r="A4278" s="147"/>
      <c r="B4278" s="147">
        <v>2019</v>
      </c>
      <c r="C4278" s="147">
        <v>2020</v>
      </c>
      <c r="D4278" s="147">
        <f t="shared" ref="D4278:N4278" si="1176">+C4278+1</f>
        <v>2021</v>
      </c>
      <c r="E4278" s="147">
        <f t="shared" si="1176"/>
        <v>2022</v>
      </c>
      <c r="F4278" s="147">
        <f t="shared" si="1176"/>
        <v>2023</v>
      </c>
      <c r="G4278" s="147">
        <f t="shared" si="1176"/>
        <v>2024</v>
      </c>
      <c r="H4278" s="147">
        <f t="shared" si="1176"/>
        <v>2025</v>
      </c>
      <c r="I4278" s="147">
        <f t="shared" si="1176"/>
        <v>2026</v>
      </c>
      <c r="J4278" s="147">
        <f t="shared" si="1176"/>
        <v>2027</v>
      </c>
      <c r="K4278" s="147">
        <f t="shared" si="1176"/>
        <v>2028</v>
      </c>
      <c r="L4278" s="147">
        <f t="shared" si="1176"/>
        <v>2029</v>
      </c>
      <c r="M4278" s="147">
        <f t="shared" si="1176"/>
        <v>2030</v>
      </c>
      <c r="N4278" s="147">
        <f t="shared" si="1176"/>
        <v>2031</v>
      </c>
    </row>
    <row r="4279" spans="1:17" x14ac:dyDescent="0.3">
      <c r="A4279" t="s">
        <v>2106</v>
      </c>
      <c r="C4279" s="76">
        <f>+C4259-SUM(C4280:C4282)</f>
        <v>-237</v>
      </c>
      <c r="D4279" s="95">
        <f>352-D4275+75</f>
        <v>368</v>
      </c>
      <c r="E4279" s="95">
        <f>436-E4275+75</f>
        <v>452</v>
      </c>
      <c r="F4279" s="95">
        <f>437-F4275+75</f>
        <v>453</v>
      </c>
      <c r="G4279" s="95">
        <f>450-G4275+75</f>
        <v>466</v>
      </c>
      <c r="H4279" s="95">
        <f>439-59+75</f>
        <v>455</v>
      </c>
      <c r="I4279" s="95">
        <f>446-59+75</f>
        <v>462</v>
      </c>
      <c r="J4279" s="95">
        <f>454-59+75</f>
        <v>470</v>
      </c>
      <c r="K4279" s="95">
        <f>454-59+75</f>
        <v>470</v>
      </c>
      <c r="L4279" s="95">
        <f>491-59+75</f>
        <v>507</v>
      </c>
      <c r="M4279" s="95">
        <f>587-59+75</f>
        <v>603</v>
      </c>
      <c r="N4279" s="95">
        <f>640-59+75</f>
        <v>656</v>
      </c>
    </row>
    <row r="4280" spans="1:17" x14ac:dyDescent="0.3">
      <c r="A4280" t="s">
        <v>2107</v>
      </c>
      <c r="C4280" s="95">
        <f>+D4280</f>
        <v>311</v>
      </c>
      <c r="D4280" s="95">
        <v>311</v>
      </c>
      <c r="E4280" s="95">
        <v>259</v>
      </c>
      <c r="F4280" s="95">
        <v>262</v>
      </c>
      <c r="G4280" s="95">
        <v>278</v>
      </c>
      <c r="H4280" s="95">
        <v>283</v>
      </c>
      <c r="I4280" s="95">
        <v>285</v>
      </c>
      <c r="J4280" s="95">
        <v>291</v>
      </c>
      <c r="K4280" s="95">
        <v>292</v>
      </c>
      <c r="L4280" s="95">
        <v>293</v>
      </c>
      <c r="M4280" s="95">
        <v>294</v>
      </c>
      <c r="N4280" s="95">
        <v>293</v>
      </c>
    </row>
    <row r="4281" spans="1:17" x14ac:dyDescent="0.3">
      <c r="A4281" t="s">
        <v>2108</v>
      </c>
      <c r="C4281" s="95">
        <f>+D4281</f>
        <v>63</v>
      </c>
      <c r="D4281" s="365">
        <f>+SUM(D4266:D4267)*-1</f>
        <v>63</v>
      </c>
      <c r="E4281" s="365">
        <f>+SUM(E4266:E4267)*-1</f>
        <v>63</v>
      </c>
      <c r="F4281" s="365">
        <f>+SUM(F4266:F4267)*-1</f>
        <v>63</v>
      </c>
      <c r="G4281" s="365">
        <f>+SUM(G4266:G4267)*-1</f>
        <v>64</v>
      </c>
      <c r="H4281" s="95">
        <v>63</v>
      </c>
      <c r="I4281" s="95">
        <v>62</v>
      </c>
      <c r="J4281" s="95">
        <v>61</v>
      </c>
      <c r="K4281" s="95">
        <v>59</v>
      </c>
      <c r="L4281" s="95">
        <v>58</v>
      </c>
      <c r="M4281" s="95">
        <v>57</v>
      </c>
      <c r="N4281" s="95">
        <v>57</v>
      </c>
    </row>
    <row r="4282" spans="1:17" x14ac:dyDescent="0.3">
      <c r="A4282" s="90" t="s">
        <v>2109</v>
      </c>
      <c r="C4282" s="803">
        <f>+C4350</f>
        <v>1211</v>
      </c>
      <c r="D4282" s="803">
        <f>+SUM(D4279:D4281)</f>
        <v>742</v>
      </c>
      <c r="E4282" s="803">
        <f t="shared" ref="E4282:N4282" si="1177">+SUM(E4279:E4281)</f>
        <v>774</v>
      </c>
      <c r="F4282" s="803">
        <f t="shared" si="1177"/>
        <v>778</v>
      </c>
      <c r="G4282" s="803">
        <f t="shared" si="1177"/>
        <v>808</v>
      </c>
      <c r="H4282" s="803">
        <f t="shared" si="1177"/>
        <v>801</v>
      </c>
      <c r="I4282" s="803">
        <f t="shared" si="1177"/>
        <v>809</v>
      </c>
      <c r="J4282" s="803">
        <f t="shared" si="1177"/>
        <v>822</v>
      </c>
      <c r="K4282" s="803">
        <f t="shared" si="1177"/>
        <v>821</v>
      </c>
      <c r="L4282" s="803">
        <f t="shared" si="1177"/>
        <v>858</v>
      </c>
      <c r="M4282" s="803">
        <f t="shared" si="1177"/>
        <v>954</v>
      </c>
      <c r="N4282" s="803">
        <f t="shared" si="1177"/>
        <v>1006</v>
      </c>
    </row>
    <row r="4284" spans="1:17" x14ac:dyDescent="0.3">
      <c r="A4284" s="141" t="s">
        <v>2110</v>
      </c>
    </row>
    <row r="4285" spans="1:17" ht="24" x14ac:dyDescent="0.3">
      <c r="A4285" s="147"/>
      <c r="B4285" s="457">
        <v>2019</v>
      </c>
      <c r="C4285" s="457">
        <v>2020</v>
      </c>
      <c r="D4285" s="457">
        <f t="shared" ref="D4285:N4285" si="1178">+C4285+1</f>
        <v>2021</v>
      </c>
      <c r="E4285" s="457">
        <f t="shared" si="1178"/>
        <v>2022</v>
      </c>
      <c r="F4285" s="457">
        <f t="shared" si="1178"/>
        <v>2023</v>
      </c>
      <c r="G4285" s="457">
        <f t="shared" si="1178"/>
        <v>2024</v>
      </c>
      <c r="H4285" s="457">
        <f t="shared" si="1178"/>
        <v>2025</v>
      </c>
      <c r="I4285" s="457">
        <f t="shared" si="1178"/>
        <v>2026</v>
      </c>
      <c r="J4285" s="457">
        <f t="shared" si="1178"/>
        <v>2027</v>
      </c>
      <c r="K4285" s="457">
        <f t="shared" si="1178"/>
        <v>2028</v>
      </c>
      <c r="L4285" s="457">
        <f t="shared" si="1178"/>
        <v>2029</v>
      </c>
      <c r="M4285" s="457">
        <f t="shared" si="1178"/>
        <v>2030</v>
      </c>
      <c r="N4285" s="457">
        <f t="shared" si="1178"/>
        <v>2031</v>
      </c>
      <c r="O4285" s="507" t="s">
        <v>2111</v>
      </c>
      <c r="P4285" s="507" t="s">
        <v>2112</v>
      </c>
      <c r="Q4285" s="507" t="s">
        <v>2113</v>
      </c>
    </row>
    <row r="4286" spans="1:17" x14ac:dyDescent="0.3">
      <c r="A4286" t="s">
        <v>2114</v>
      </c>
      <c r="B4286" s="76" t="e">
        <f t="shared" ref="B4286:G4286" si="1179">+B4239-SUM(B4287:B4289)</f>
        <v>#REF!</v>
      </c>
      <c r="C4286" s="76" t="e">
        <f t="shared" si="1179"/>
        <v>#REF!</v>
      </c>
      <c r="D4286" s="76" t="e">
        <f t="shared" si="1179"/>
        <v>#REF!</v>
      </c>
      <c r="E4286" s="76" t="e">
        <f t="shared" si="1179"/>
        <v>#REF!</v>
      </c>
      <c r="F4286" s="76" t="e">
        <f t="shared" si="1179"/>
        <v>#REF!</v>
      </c>
      <c r="G4286" s="76" t="e">
        <f t="shared" si="1179"/>
        <v>#REF!</v>
      </c>
      <c r="H4286" s="76" t="e">
        <f t="shared" ref="E4286:N4287" si="1180">+G4286*(1+H4292)</f>
        <v>#REF!</v>
      </c>
      <c r="I4286" s="76" t="e">
        <f t="shared" si="1180"/>
        <v>#REF!</v>
      </c>
      <c r="J4286" s="76" t="e">
        <f t="shared" si="1180"/>
        <v>#REF!</v>
      </c>
      <c r="K4286" s="76" t="e">
        <f t="shared" si="1180"/>
        <v>#REF!</v>
      </c>
      <c r="L4286" s="76" t="e">
        <f t="shared" si="1180"/>
        <v>#REF!</v>
      </c>
      <c r="M4286" s="76" t="e">
        <f t="shared" si="1180"/>
        <v>#REF!</v>
      </c>
      <c r="N4286" s="76" t="e">
        <f t="shared" si="1180"/>
        <v>#REF!</v>
      </c>
      <c r="O4286" s="74" t="e">
        <f t="shared" ref="O4286:O4291" si="1181">+(G4286/C4286)^(1/4)-1</f>
        <v>#REF!</v>
      </c>
      <c r="P4286" s="74" t="e">
        <f t="shared" ref="P4286:P4291" si="1182">+(N4286/G4286)^(1/7)-1</f>
        <v>#REF!</v>
      </c>
      <c r="Q4286" s="74" t="e">
        <f t="shared" ref="Q4286:Q4291" si="1183">+(N4286/C4286)^(0.0909090909090909)-1</f>
        <v>#REF!</v>
      </c>
    </row>
    <row r="4287" spans="1:17" x14ac:dyDescent="0.3">
      <c r="A4287" t="s">
        <v>2115</v>
      </c>
      <c r="B4287" s="79" t="e">
        <f>+Drivers!#REF!</f>
        <v>#REF!</v>
      </c>
      <c r="C4287" s="79" t="e">
        <f>+Drivers!#REF!</f>
        <v>#REF!</v>
      </c>
      <c r="D4287" s="76" t="e">
        <f>+C4287*(1+D4293)</f>
        <v>#REF!</v>
      </c>
      <c r="E4287" s="76" t="e">
        <f t="shared" si="1180"/>
        <v>#REF!</v>
      </c>
      <c r="F4287" s="76" t="e">
        <f t="shared" si="1180"/>
        <v>#REF!</v>
      </c>
      <c r="G4287" s="76" t="e">
        <f t="shared" si="1180"/>
        <v>#REF!</v>
      </c>
      <c r="H4287" s="76" t="e">
        <f t="shared" si="1180"/>
        <v>#REF!</v>
      </c>
      <c r="I4287" s="76" t="e">
        <f t="shared" si="1180"/>
        <v>#REF!</v>
      </c>
      <c r="J4287" s="76" t="e">
        <f t="shared" si="1180"/>
        <v>#REF!</v>
      </c>
      <c r="K4287" s="76" t="e">
        <f t="shared" si="1180"/>
        <v>#REF!</v>
      </c>
      <c r="L4287" s="76" t="e">
        <f t="shared" si="1180"/>
        <v>#REF!</v>
      </c>
      <c r="M4287" s="76" t="e">
        <f t="shared" si="1180"/>
        <v>#REF!</v>
      </c>
      <c r="N4287" s="76" t="e">
        <f t="shared" si="1180"/>
        <v>#REF!</v>
      </c>
      <c r="O4287" s="74" t="e">
        <f t="shared" si="1181"/>
        <v>#REF!</v>
      </c>
      <c r="P4287" s="74" t="e">
        <f t="shared" si="1182"/>
        <v>#REF!</v>
      </c>
      <c r="Q4287" s="74" t="e">
        <f t="shared" si="1183"/>
        <v>#REF!</v>
      </c>
    </row>
    <row r="4288" spans="1:17" x14ac:dyDescent="0.3">
      <c r="A4288" t="s">
        <v>2116</v>
      </c>
      <c r="B4288" s="79" t="e">
        <f>+Drivers!#REF!</f>
        <v>#REF!</v>
      </c>
      <c r="C4288" s="79" t="e">
        <f>+Drivers!#REF!</f>
        <v>#REF!</v>
      </c>
      <c r="D4288" s="76" t="e">
        <f>+C4288*(1+D4294)</f>
        <v>#REF!</v>
      </c>
      <c r="E4288" s="76" t="e">
        <f t="shared" ref="E4288:N4288" si="1184">+D4288*(1+E4294)</f>
        <v>#REF!</v>
      </c>
      <c r="F4288" s="76" t="e">
        <f t="shared" si="1184"/>
        <v>#REF!</v>
      </c>
      <c r="G4288" s="76" t="e">
        <f t="shared" si="1184"/>
        <v>#REF!</v>
      </c>
      <c r="H4288" s="76" t="e">
        <f t="shared" si="1184"/>
        <v>#REF!</v>
      </c>
      <c r="I4288" s="76" t="e">
        <f t="shared" si="1184"/>
        <v>#REF!</v>
      </c>
      <c r="J4288" s="76" t="e">
        <f t="shared" si="1184"/>
        <v>#REF!</v>
      </c>
      <c r="K4288" s="76" t="e">
        <f t="shared" si="1184"/>
        <v>#REF!</v>
      </c>
      <c r="L4288" s="76" t="e">
        <f t="shared" si="1184"/>
        <v>#REF!</v>
      </c>
      <c r="M4288" s="76" t="e">
        <f t="shared" si="1184"/>
        <v>#REF!</v>
      </c>
      <c r="N4288" s="76" t="e">
        <f t="shared" si="1184"/>
        <v>#REF!</v>
      </c>
      <c r="O4288" s="74" t="e">
        <f t="shared" si="1181"/>
        <v>#REF!</v>
      </c>
      <c r="P4288" s="74" t="e">
        <f t="shared" si="1182"/>
        <v>#REF!</v>
      </c>
      <c r="Q4288" s="74" t="e">
        <f t="shared" si="1183"/>
        <v>#REF!</v>
      </c>
    </row>
    <row r="4289" spans="1:17" x14ac:dyDescent="0.3">
      <c r="A4289" t="s">
        <v>2117</v>
      </c>
      <c r="B4289" s="76">
        <f t="shared" ref="B4289:N4289" si="1185">+B4911</f>
        <v>822.63068999999984</v>
      </c>
      <c r="C4289" s="76">
        <f t="shared" si="1185"/>
        <v>847.11354000000006</v>
      </c>
      <c r="D4289" s="76">
        <f t="shared" si="1185"/>
        <v>938.38853227469065</v>
      </c>
      <c r="E4289" s="76">
        <f t="shared" si="1185"/>
        <v>950.95174301824136</v>
      </c>
      <c r="F4289" s="76">
        <f t="shared" si="1185"/>
        <v>978.49691459999997</v>
      </c>
      <c r="G4289" s="76">
        <f t="shared" si="1185"/>
        <v>1023.4886567217628</v>
      </c>
      <c r="H4289" s="76">
        <f t="shared" si="1185"/>
        <v>1072.4167762309844</v>
      </c>
      <c r="I4289" s="76">
        <f t="shared" si="1185"/>
        <v>1123.5160763105255</v>
      </c>
      <c r="J4289" s="76">
        <f t="shared" si="1185"/>
        <v>1176.8786021572421</v>
      </c>
      <c r="K4289" s="76">
        <f t="shared" si="1185"/>
        <v>1232.6001824181878</v>
      </c>
      <c r="L4289" s="76">
        <f t="shared" si="1185"/>
        <v>1290.7805812761546</v>
      </c>
      <c r="M4289" s="76">
        <f t="shared" si="1185"/>
        <v>1351.5236565464506</v>
      </c>
      <c r="N4289" s="76">
        <f t="shared" si="1185"/>
        <v>1414.937524019402</v>
      </c>
      <c r="O4289" s="74">
        <f t="shared" si="1181"/>
        <v>4.842013395125222E-2</v>
      </c>
      <c r="P4289" s="74">
        <f t="shared" si="1182"/>
        <v>4.7353917540764012E-2</v>
      </c>
      <c r="Q4289" s="74">
        <f t="shared" si="1183"/>
        <v>4.7741507083187251E-2</v>
      </c>
    </row>
    <row r="4290" spans="1:17" x14ac:dyDescent="0.3">
      <c r="A4290" t="s">
        <v>2118</v>
      </c>
      <c r="B4290" s="76" t="e">
        <f t="shared" ref="B4290:N4290" si="1186">+B4291-SUM(B4286:B4289)</f>
        <v>#REF!</v>
      </c>
      <c r="C4290" s="76" t="e">
        <f t="shared" si="1186"/>
        <v>#REF!</v>
      </c>
      <c r="D4290" s="76" t="e">
        <f t="shared" si="1186"/>
        <v>#REF!</v>
      </c>
      <c r="E4290" s="76" t="e">
        <f t="shared" si="1186"/>
        <v>#REF!</v>
      </c>
      <c r="F4290" s="76" t="e">
        <f t="shared" si="1186"/>
        <v>#REF!</v>
      </c>
      <c r="G4290" s="76" t="e">
        <f t="shared" si="1186"/>
        <v>#REF!</v>
      </c>
      <c r="H4290" s="76" t="e">
        <f t="shared" si="1186"/>
        <v>#REF!</v>
      </c>
      <c r="I4290" s="76" t="e">
        <f t="shared" si="1186"/>
        <v>#REF!</v>
      </c>
      <c r="J4290" s="76" t="e">
        <f t="shared" si="1186"/>
        <v>#REF!</v>
      </c>
      <c r="K4290" s="76" t="e">
        <f t="shared" si="1186"/>
        <v>#REF!</v>
      </c>
      <c r="L4290" s="76" t="e">
        <f t="shared" si="1186"/>
        <v>#REF!</v>
      </c>
      <c r="M4290" s="76" t="e">
        <f t="shared" si="1186"/>
        <v>#REF!</v>
      </c>
      <c r="N4290" s="76" t="e">
        <f t="shared" si="1186"/>
        <v>#REF!</v>
      </c>
      <c r="O4290" s="74" t="e">
        <f t="shared" si="1181"/>
        <v>#REF!</v>
      </c>
      <c r="P4290" s="74" t="e">
        <f t="shared" si="1182"/>
        <v>#REF!</v>
      </c>
      <c r="Q4290" s="74" t="e">
        <f t="shared" si="1183"/>
        <v>#REF!</v>
      </c>
    </row>
    <row r="4291" spans="1:17" x14ac:dyDescent="0.3">
      <c r="A4291" s="90" t="s">
        <v>2119</v>
      </c>
      <c r="B4291" s="803">
        <f t="shared" ref="B4291:N4291" si="1187">+B4243</f>
        <v>7502</v>
      </c>
      <c r="C4291" s="803" t="e">
        <f t="shared" si="1187"/>
        <v>#REF!</v>
      </c>
      <c r="D4291" s="803">
        <f t="shared" si="1187"/>
        <v>6374</v>
      </c>
      <c r="E4291" s="803">
        <f t="shared" si="1187"/>
        <v>5778</v>
      </c>
      <c r="F4291" s="803">
        <f t="shared" si="1187"/>
        <v>5618</v>
      </c>
      <c r="G4291" s="803">
        <f t="shared" si="1187"/>
        <v>5535</v>
      </c>
      <c r="H4291" s="803">
        <f t="shared" si="1187"/>
        <v>5442.6464274421351</v>
      </c>
      <c r="I4291" s="803">
        <f t="shared" si="1187"/>
        <v>5351.8338092409458</v>
      </c>
      <c r="J4291" s="803">
        <f t="shared" si="1187"/>
        <v>5262.5364339890275</v>
      </c>
      <c r="K4291" s="803">
        <f t="shared" si="1187"/>
        <v>5174.7290192835508</v>
      </c>
      <c r="L4291" s="803">
        <f t="shared" si="1187"/>
        <v>5088.3867045681591</v>
      </c>
      <c r="M4291" s="803">
        <f t="shared" si="1187"/>
        <v>5003.4850440943001</v>
      </c>
      <c r="N4291" s="803">
        <f t="shared" si="1187"/>
        <v>4920</v>
      </c>
      <c r="O4291" s="92" t="e">
        <f t="shared" si="1181"/>
        <v>#REF!</v>
      </c>
      <c r="P4291" s="92">
        <f t="shared" si="1182"/>
        <v>-1.6685378962577158E-2</v>
      </c>
      <c r="Q4291" s="92" t="e">
        <f t="shared" si="1183"/>
        <v>#REF!</v>
      </c>
    </row>
    <row r="4292" spans="1:17" x14ac:dyDescent="0.3">
      <c r="A4292" s="94" t="s">
        <v>2120</v>
      </c>
      <c r="B4292" s="85"/>
      <c r="C4292" s="75" t="e">
        <f>+C4286/B4286-1</f>
        <v>#REF!</v>
      </c>
      <c r="D4292" s="75" t="e">
        <f>+D4286/C4286-1</f>
        <v>#REF!</v>
      </c>
      <c r="E4292" s="75" t="e">
        <f>+E4286/D4286-1</f>
        <v>#REF!</v>
      </c>
      <c r="F4292" s="75" t="e">
        <f>+F4286/E4286-1</f>
        <v>#REF!</v>
      </c>
      <c r="G4292" s="75" t="e">
        <f>+G4286/F4286-1</f>
        <v>#REF!</v>
      </c>
      <c r="H4292" s="87" t="e">
        <f>+G4292*0.95</f>
        <v>#REF!</v>
      </c>
      <c r="I4292" s="87" t="e">
        <f t="shared" ref="I4292:N4292" si="1188">+H4292*0.99</f>
        <v>#REF!</v>
      </c>
      <c r="J4292" s="87" t="e">
        <f t="shared" si="1188"/>
        <v>#REF!</v>
      </c>
      <c r="K4292" s="87" t="e">
        <f t="shared" si="1188"/>
        <v>#REF!</v>
      </c>
      <c r="L4292" s="87" t="e">
        <f t="shared" si="1188"/>
        <v>#REF!</v>
      </c>
      <c r="M4292" s="87" t="e">
        <f t="shared" si="1188"/>
        <v>#REF!</v>
      </c>
      <c r="N4292" s="87" t="e">
        <f t="shared" si="1188"/>
        <v>#REF!</v>
      </c>
    </row>
    <row r="4293" spans="1:17" x14ac:dyDescent="0.3">
      <c r="A4293" s="94" t="s">
        <v>2121</v>
      </c>
      <c r="B4293" s="85"/>
      <c r="C4293" s="75" t="e">
        <f>+C4287/B4287-1</f>
        <v>#REF!</v>
      </c>
      <c r="D4293" s="87" t="e">
        <f>+C4293*0.9</f>
        <v>#REF!</v>
      </c>
      <c r="E4293" s="87" t="e">
        <f t="shared" ref="E4293:N4293" si="1189">+D4293*0.9</f>
        <v>#REF!</v>
      </c>
      <c r="F4293" s="87" t="e">
        <f t="shared" si="1189"/>
        <v>#REF!</v>
      </c>
      <c r="G4293" s="87" t="e">
        <f t="shared" si="1189"/>
        <v>#REF!</v>
      </c>
      <c r="H4293" s="87" t="e">
        <f t="shared" si="1189"/>
        <v>#REF!</v>
      </c>
      <c r="I4293" s="87" t="e">
        <f t="shared" si="1189"/>
        <v>#REF!</v>
      </c>
      <c r="J4293" s="87" t="e">
        <f t="shared" si="1189"/>
        <v>#REF!</v>
      </c>
      <c r="K4293" s="87" t="e">
        <f t="shared" si="1189"/>
        <v>#REF!</v>
      </c>
      <c r="L4293" s="87" t="e">
        <f t="shared" si="1189"/>
        <v>#REF!</v>
      </c>
      <c r="M4293" s="87" t="e">
        <f t="shared" si="1189"/>
        <v>#REF!</v>
      </c>
      <c r="N4293" s="87" t="e">
        <f t="shared" si="1189"/>
        <v>#REF!</v>
      </c>
    </row>
    <row r="4294" spans="1:17" x14ac:dyDescent="0.3">
      <c r="A4294" s="94" t="s">
        <v>2122</v>
      </c>
      <c r="B4294" s="85"/>
      <c r="C4294" s="75" t="e">
        <f>+C4288/B4288-1</f>
        <v>#REF!</v>
      </c>
      <c r="D4294" s="87" t="e">
        <f>+C4294*0.9</f>
        <v>#REF!</v>
      </c>
      <c r="E4294" s="87" t="e">
        <f t="shared" ref="E4294:N4294" si="1190">+D4294*0.9</f>
        <v>#REF!</v>
      </c>
      <c r="F4294" s="87" t="e">
        <f t="shared" si="1190"/>
        <v>#REF!</v>
      </c>
      <c r="G4294" s="87" t="e">
        <f t="shared" si="1190"/>
        <v>#REF!</v>
      </c>
      <c r="H4294" s="87" t="e">
        <f t="shared" si="1190"/>
        <v>#REF!</v>
      </c>
      <c r="I4294" s="87" t="e">
        <f t="shared" si="1190"/>
        <v>#REF!</v>
      </c>
      <c r="J4294" s="87" t="e">
        <f t="shared" si="1190"/>
        <v>#REF!</v>
      </c>
      <c r="K4294" s="87" t="e">
        <f t="shared" si="1190"/>
        <v>#REF!</v>
      </c>
      <c r="L4294" s="87" t="e">
        <f t="shared" si="1190"/>
        <v>#REF!</v>
      </c>
      <c r="M4294" s="87" t="e">
        <f t="shared" si="1190"/>
        <v>#REF!</v>
      </c>
      <c r="N4294" s="87" t="e">
        <f t="shared" si="1190"/>
        <v>#REF!</v>
      </c>
    </row>
    <row r="4295" spans="1:17" x14ac:dyDescent="0.3">
      <c r="A4295" s="94" t="s">
        <v>2123</v>
      </c>
      <c r="B4295" s="85"/>
      <c r="C4295" s="75">
        <f>+C4289/B4289-1</f>
        <v>2.9761654041864372E-2</v>
      </c>
      <c r="D4295" s="75">
        <f t="shared" ref="D4295:N4295" si="1191">+D4289/C4289-1</f>
        <v>0.10774823912587994</v>
      </c>
      <c r="E4295" s="75">
        <f t="shared" si="1191"/>
        <v>1.3388069345963816E-2</v>
      </c>
      <c r="F4295" s="75">
        <f t="shared" si="1191"/>
        <v>2.8965898410714841E-2</v>
      </c>
      <c r="G4295" s="75">
        <f t="shared" si="1191"/>
        <v>4.5980463965136886E-2</v>
      </c>
      <c r="H4295" s="75">
        <f t="shared" si="1191"/>
        <v>4.7805238668632066E-2</v>
      </c>
      <c r="I4295" s="75">
        <f t="shared" si="1191"/>
        <v>4.7648732481722078E-2</v>
      </c>
      <c r="J4295" s="75">
        <f t="shared" si="1191"/>
        <v>4.7496005595177415E-2</v>
      </c>
      <c r="K4295" s="75">
        <f t="shared" si="1191"/>
        <v>4.7346922748707554E-2</v>
      </c>
      <c r="L4295" s="75">
        <f t="shared" si="1191"/>
        <v>4.7201355060507266E-2</v>
      </c>
      <c r="M4295" s="75">
        <f t="shared" si="1191"/>
        <v>4.7059179655647654E-2</v>
      </c>
      <c r="N4295" s="75">
        <f t="shared" si="1191"/>
        <v>4.6920279320151081E-2</v>
      </c>
    </row>
    <row r="4296" spans="1:17" x14ac:dyDescent="0.3">
      <c r="A4296" s="94" t="s">
        <v>2124</v>
      </c>
      <c r="B4296" s="85"/>
      <c r="C4296" s="75" t="e">
        <f>+C4290/B4290-1</f>
        <v>#REF!</v>
      </c>
      <c r="D4296" s="75" t="e">
        <f t="shared" ref="D4296:N4296" si="1192">+D4290/C4290-1</f>
        <v>#REF!</v>
      </c>
      <c r="E4296" s="75" t="e">
        <f t="shared" si="1192"/>
        <v>#REF!</v>
      </c>
      <c r="F4296" s="75" t="e">
        <f t="shared" si="1192"/>
        <v>#REF!</v>
      </c>
      <c r="G4296" s="75" t="e">
        <f t="shared" si="1192"/>
        <v>#REF!</v>
      </c>
      <c r="H4296" s="75" t="e">
        <f t="shared" si="1192"/>
        <v>#REF!</v>
      </c>
      <c r="I4296" s="75" t="e">
        <f t="shared" si="1192"/>
        <v>#REF!</v>
      </c>
      <c r="J4296" s="75" t="e">
        <f t="shared" si="1192"/>
        <v>#REF!</v>
      </c>
      <c r="K4296" s="75" t="e">
        <f t="shared" si="1192"/>
        <v>#REF!</v>
      </c>
      <c r="L4296" s="75" t="e">
        <f t="shared" si="1192"/>
        <v>#REF!</v>
      </c>
      <c r="M4296" s="75" t="e">
        <f t="shared" si="1192"/>
        <v>#REF!</v>
      </c>
      <c r="N4296" s="75" t="e">
        <f t="shared" si="1192"/>
        <v>#REF!</v>
      </c>
    </row>
    <row r="4297" spans="1:17" x14ac:dyDescent="0.3">
      <c r="A4297" s="94" t="s">
        <v>2125</v>
      </c>
      <c r="B4297" s="85"/>
      <c r="C4297" s="75" t="e">
        <f>+C4291/B4291-1</f>
        <v>#REF!</v>
      </c>
      <c r="D4297" s="75" t="e">
        <f t="shared" ref="D4297:N4297" si="1193">+D4291/C4291-1</f>
        <v>#REF!</v>
      </c>
      <c r="E4297" s="75">
        <f t="shared" si="1193"/>
        <v>-9.3504863508001246E-2</v>
      </c>
      <c r="F4297" s="75">
        <f t="shared" si="1193"/>
        <v>-2.7691242644513725E-2</v>
      </c>
      <c r="G4297" s="75">
        <f t="shared" si="1193"/>
        <v>-1.4773940904236338E-2</v>
      </c>
      <c r="H4297" s="75">
        <f t="shared" si="1193"/>
        <v>-1.6685378962577269E-2</v>
      </c>
      <c r="I4297" s="75">
        <f t="shared" si="1193"/>
        <v>-1.6685378962577269E-2</v>
      </c>
      <c r="J4297" s="75">
        <f t="shared" si="1193"/>
        <v>-1.6685378962577158E-2</v>
      </c>
      <c r="K4297" s="75">
        <f t="shared" si="1193"/>
        <v>-1.6685378962577269E-2</v>
      </c>
      <c r="L4297" s="75">
        <f t="shared" si="1193"/>
        <v>-1.6685378962577269E-2</v>
      </c>
      <c r="M4297" s="75">
        <f t="shared" si="1193"/>
        <v>-1.6685378962577158E-2</v>
      </c>
      <c r="N4297" s="75">
        <f t="shared" si="1193"/>
        <v>-1.6685378962577047E-2</v>
      </c>
    </row>
    <row r="4298" spans="1:17" x14ac:dyDescent="0.3">
      <c r="A4298" s="90"/>
      <c r="B4298" s="90"/>
      <c r="D4298" s="74"/>
      <c r="E4298" s="74"/>
      <c r="F4298" s="74"/>
      <c r="G4298" s="74"/>
      <c r="H4298" s="74"/>
      <c r="I4298" s="74"/>
      <c r="J4298" s="74"/>
      <c r="K4298" s="74"/>
      <c r="L4298" s="74"/>
      <c r="M4298" s="74"/>
      <c r="N4298" s="74"/>
    </row>
    <row r="4299" spans="1:17" x14ac:dyDescent="0.3">
      <c r="A4299" t="s">
        <v>2114</v>
      </c>
      <c r="B4299" s="76" t="e">
        <f t="shared" ref="B4299:N4299" si="1194">+B4305*B4286</f>
        <v>#REF!</v>
      </c>
      <c r="C4299" s="76" t="e">
        <f t="shared" si="1194"/>
        <v>#REF!</v>
      </c>
      <c r="D4299" s="76" t="e">
        <f t="shared" si="1194"/>
        <v>#REF!</v>
      </c>
      <c r="E4299" s="76" t="e">
        <f t="shared" si="1194"/>
        <v>#REF!</v>
      </c>
      <c r="F4299" s="76" t="e">
        <f t="shared" si="1194"/>
        <v>#REF!</v>
      </c>
      <c r="G4299" s="76" t="e">
        <f t="shared" si="1194"/>
        <v>#REF!</v>
      </c>
      <c r="H4299" s="76" t="e">
        <f t="shared" si="1194"/>
        <v>#REF!</v>
      </c>
      <c r="I4299" s="76" t="e">
        <f t="shared" si="1194"/>
        <v>#REF!</v>
      </c>
      <c r="J4299" s="76" t="e">
        <f t="shared" si="1194"/>
        <v>#REF!</v>
      </c>
      <c r="K4299" s="76" t="e">
        <f t="shared" si="1194"/>
        <v>#REF!</v>
      </c>
      <c r="L4299" s="76" t="e">
        <f t="shared" si="1194"/>
        <v>#REF!</v>
      </c>
      <c r="M4299" s="76" t="e">
        <f t="shared" si="1194"/>
        <v>#REF!</v>
      </c>
      <c r="N4299" s="76" t="e">
        <f t="shared" si="1194"/>
        <v>#REF!</v>
      </c>
      <c r="O4299" s="74" t="e">
        <f t="shared" ref="O4299:O4304" si="1195">+(G4299/C4299)^(1/4)-1</f>
        <v>#REF!</v>
      </c>
      <c r="P4299" s="92" t="e">
        <f t="shared" ref="P4299:P4304" si="1196">+(N4299/G4299)^(1/7)-1</f>
        <v>#REF!</v>
      </c>
      <c r="Q4299" s="74" t="e">
        <f t="shared" ref="Q4299:Q4304" si="1197">+(N4299/C4299)^(0.0909090909090909)-1</f>
        <v>#REF!</v>
      </c>
    </row>
    <row r="4300" spans="1:17" x14ac:dyDescent="0.3">
      <c r="A4300" t="s">
        <v>2115</v>
      </c>
      <c r="B4300" s="76" t="e">
        <f>+B4306*B4287</f>
        <v>#REF!</v>
      </c>
      <c r="C4300" s="76" t="e">
        <f t="shared" ref="C4300:N4300" si="1198">+C4306*C4287</f>
        <v>#REF!</v>
      </c>
      <c r="D4300" s="76" t="e">
        <f t="shared" si="1198"/>
        <v>#REF!</v>
      </c>
      <c r="E4300" s="76" t="e">
        <f t="shared" si="1198"/>
        <v>#REF!</v>
      </c>
      <c r="F4300" s="76" t="e">
        <f t="shared" si="1198"/>
        <v>#REF!</v>
      </c>
      <c r="G4300" s="76" t="e">
        <f t="shared" si="1198"/>
        <v>#REF!</v>
      </c>
      <c r="H4300" s="76" t="e">
        <f t="shared" si="1198"/>
        <v>#REF!</v>
      </c>
      <c r="I4300" s="76" t="e">
        <f t="shared" si="1198"/>
        <v>#REF!</v>
      </c>
      <c r="J4300" s="76" t="e">
        <f t="shared" si="1198"/>
        <v>#REF!</v>
      </c>
      <c r="K4300" s="76" t="e">
        <f t="shared" si="1198"/>
        <v>#REF!</v>
      </c>
      <c r="L4300" s="76" t="e">
        <f t="shared" si="1198"/>
        <v>#REF!</v>
      </c>
      <c r="M4300" s="76" t="e">
        <f t="shared" si="1198"/>
        <v>#REF!</v>
      </c>
      <c r="N4300" s="76" t="e">
        <f t="shared" si="1198"/>
        <v>#REF!</v>
      </c>
      <c r="O4300" s="74" t="e">
        <f t="shared" si="1195"/>
        <v>#REF!</v>
      </c>
      <c r="P4300" s="92" t="e">
        <f t="shared" si="1196"/>
        <v>#REF!</v>
      </c>
      <c r="Q4300" s="74" t="e">
        <f t="shared" si="1197"/>
        <v>#REF!</v>
      </c>
    </row>
    <row r="4301" spans="1:17" x14ac:dyDescent="0.3">
      <c r="A4301" t="s">
        <v>2116</v>
      </c>
      <c r="B4301" s="76" t="e">
        <f>+B4307*B4288</f>
        <v>#REF!</v>
      </c>
      <c r="C4301" s="76" t="e">
        <f t="shared" ref="C4301:N4301" si="1199">+C4307*C4288</f>
        <v>#REF!</v>
      </c>
      <c r="D4301" s="76" t="e">
        <f t="shared" si="1199"/>
        <v>#REF!</v>
      </c>
      <c r="E4301" s="76" t="e">
        <f t="shared" si="1199"/>
        <v>#REF!</v>
      </c>
      <c r="F4301" s="76" t="e">
        <f t="shared" si="1199"/>
        <v>#REF!</v>
      </c>
      <c r="G4301" s="76" t="e">
        <f t="shared" si="1199"/>
        <v>#REF!</v>
      </c>
      <c r="H4301" s="76" t="e">
        <f t="shared" si="1199"/>
        <v>#REF!</v>
      </c>
      <c r="I4301" s="76" t="e">
        <f t="shared" si="1199"/>
        <v>#REF!</v>
      </c>
      <c r="J4301" s="76" t="e">
        <f t="shared" si="1199"/>
        <v>#REF!</v>
      </c>
      <c r="K4301" s="76" t="e">
        <f t="shared" si="1199"/>
        <v>#REF!</v>
      </c>
      <c r="L4301" s="76" t="e">
        <f t="shared" si="1199"/>
        <v>#REF!</v>
      </c>
      <c r="M4301" s="76" t="e">
        <f t="shared" si="1199"/>
        <v>#REF!</v>
      </c>
      <c r="N4301" s="76" t="e">
        <f t="shared" si="1199"/>
        <v>#REF!</v>
      </c>
      <c r="O4301" s="74" t="e">
        <f t="shared" si="1195"/>
        <v>#REF!</v>
      </c>
      <c r="P4301" s="92" t="e">
        <f t="shared" si="1196"/>
        <v>#REF!</v>
      </c>
      <c r="Q4301" s="74" t="e">
        <f t="shared" si="1197"/>
        <v>#REF!</v>
      </c>
    </row>
    <row r="4302" spans="1:17" x14ac:dyDescent="0.3">
      <c r="A4302" t="s">
        <v>2117</v>
      </c>
      <c r="B4302" s="76">
        <f t="shared" ref="B4302:G4302" si="1200">+B4912</f>
        <v>329.05227599999995</v>
      </c>
      <c r="C4302" s="76">
        <f t="shared" si="1200"/>
        <v>338.84541600000006</v>
      </c>
      <c r="D4302" s="76">
        <f t="shared" si="1200"/>
        <v>398.17416097854891</v>
      </c>
      <c r="E4302" s="76">
        <f t="shared" si="1200"/>
        <v>406.3402479618569</v>
      </c>
      <c r="F4302" s="76">
        <f t="shared" si="1200"/>
        <v>424.24460949000002</v>
      </c>
      <c r="G4302" s="76">
        <f t="shared" si="1200"/>
        <v>453.48924186914587</v>
      </c>
      <c r="H4302" s="76">
        <f t="shared" ref="H4302:N4302" si="1201">+H4912</f>
        <v>485.2925195501399</v>
      </c>
      <c r="I4302" s="76">
        <f t="shared" si="1201"/>
        <v>518.50706460184165</v>
      </c>
      <c r="J4302" s="76">
        <f t="shared" si="1201"/>
        <v>553.19270640220748</v>
      </c>
      <c r="K4302" s="76">
        <f t="shared" si="1201"/>
        <v>589.4117335718222</v>
      </c>
      <c r="L4302" s="76">
        <f t="shared" si="1201"/>
        <v>627.22899282950061</v>
      </c>
      <c r="M4302" s="76">
        <f t="shared" si="1201"/>
        <v>666.71199175519303</v>
      </c>
      <c r="N4302" s="76">
        <f t="shared" si="1201"/>
        <v>707.93100561261144</v>
      </c>
      <c r="O4302" s="74">
        <f t="shared" si="1195"/>
        <v>7.5576595680818981E-2</v>
      </c>
      <c r="P4302" s="92">
        <f t="shared" si="1196"/>
        <v>6.5692703132592234E-2</v>
      </c>
      <c r="Q4302" s="74">
        <f t="shared" si="1197"/>
        <v>6.9276292839670628E-2</v>
      </c>
    </row>
    <row r="4303" spans="1:17" x14ac:dyDescent="0.3">
      <c r="A4303" t="s">
        <v>2118</v>
      </c>
      <c r="B4303" s="76" t="e">
        <f t="shared" ref="B4303:N4303" si="1202">+B4304-SUM(B4299:B4302)</f>
        <v>#REF!</v>
      </c>
      <c r="C4303" s="76" t="e">
        <f t="shared" si="1202"/>
        <v>#REF!</v>
      </c>
      <c r="D4303" s="76" t="e">
        <f t="shared" si="1202"/>
        <v>#REF!</v>
      </c>
      <c r="E4303" s="76" t="e">
        <f t="shared" si="1202"/>
        <v>#REF!</v>
      </c>
      <c r="F4303" s="76" t="e">
        <f t="shared" si="1202"/>
        <v>#REF!</v>
      </c>
      <c r="G4303" s="76" t="e">
        <f t="shared" si="1202"/>
        <v>#REF!</v>
      </c>
      <c r="H4303" s="76" t="e">
        <f t="shared" si="1202"/>
        <v>#REF!</v>
      </c>
      <c r="I4303" s="76" t="e">
        <f t="shared" si="1202"/>
        <v>#REF!</v>
      </c>
      <c r="J4303" s="76" t="e">
        <f t="shared" si="1202"/>
        <v>#REF!</v>
      </c>
      <c r="K4303" s="76" t="e">
        <f t="shared" si="1202"/>
        <v>#REF!</v>
      </c>
      <c r="L4303" s="76" t="e">
        <f t="shared" si="1202"/>
        <v>#REF!</v>
      </c>
      <c r="M4303" s="76" t="e">
        <f t="shared" si="1202"/>
        <v>#REF!</v>
      </c>
      <c r="N4303" s="76" t="e">
        <f t="shared" si="1202"/>
        <v>#REF!</v>
      </c>
      <c r="O4303" s="74" t="e">
        <f t="shared" si="1195"/>
        <v>#REF!</v>
      </c>
      <c r="P4303" s="92" t="e">
        <f t="shared" si="1196"/>
        <v>#REF!</v>
      </c>
      <c r="Q4303" s="74" t="e">
        <f t="shared" si="1197"/>
        <v>#REF!</v>
      </c>
    </row>
    <row r="4304" spans="1:17" x14ac:dyDescent="0.3">
      <c r="A4304" s="90" t="s">
        <v>2126</v>
      </c>
      <c r="B4304" s="803">
        <f t="shared" ref="B4304:N4304" si="1203">+B4253</f>
        <v>2927</v>
      </c>
      <c r="C4304" s="803">
        <f t="shared" si="1203"/>
        <v>2775</v>
      </c>
      <c r="D4304" s="803">
        <f t="shared" si="1203"/>
        <v>2437</v>
      </c>
      <c r="E4304" s="803">
        <f t="shared" si="1203"/>
        <v>2055</v>
      </c>
      <c r="F4304" s="803">
        <f t="shared" si="1203"/>
        <v>2048</v>
      </c>
      <c r="G4304" s="803">
        <f t="shared" si="1203"/>
        <v>2040</v>
      </c>
      <c r="H4304" s="803">
        <f t="shared" si="1203"/>
        <v>1948</v>
      </c>
      <c r="I4304" s="803">
        <f t="shared" si="1203"/>
        <v>1872</v>
      </c>
      <c r="J4304" s="803">
        <f t="shared" si="1203"/>
        <v>1821</v>
      </c>
      <c r="K4304" s="803">
        <f t="shared" si="1203"/>
        <v>1780</v>
      </c>
      <c r="L4304" s="803">
        <f t="shared" si="1203"/>
        <v>1742</v>
      </c>
      <c r="M4304" s="803">
        <f t="shared" si="1203"/>
        <v>1711</v>
      </c>
      <c r="N4304" s="803">
        <f t="shared" si="1203"/>
        <v>1687</v>
      </c>
      <c r="O4304" s="92">
        <f t="shared" si="1195"/>
        <v>-7.4040919498506108E-2</v>
      </c>
      <c r="P4304" s="92">
        <f t="shared" si="1196"/>
        <v>-2.6777522683050559E-2</v>
      </c>
      <c r="Q4304" s="92">
        <f t="shared" si="1197"/>
        <v>-4.4237051513188463E-2</v>
      </c>
    </row>
    <row r="4305" spans="1:15" x14ac:dyDescent="0.3">
      <c r="A4305" s="94" t="s">
        <v>2127</v>
      </c>
      <c r="B4305" s="376">
        <v>0.4</v>
      </c>
      <c r="C4305" s="376">
        <f>+B4305</f>
        <v>0.4</v>
      </c>
      <c r="D4305" s="376">
        <f>+C4305</f>
        <v>0.4</v>
      </c>
      <c r="E4305" s="376">
        <f>+D4305</f>
        <v>0.4</v>
      </c>
      <c r="F4305" s="376">
        <f>+E4305</f>
        <v>0.4</v>
      </c>
      <c r="G4305" s="376">
        <f>+F4305</f>
        <v>0.4</v>
      </c>
      <c r="H4305" s="376">
        <f t="shared" ref="H4305:N4305" si="1204">+G4305</f>
        <v>0.4</v>
      </c>
      <c r="I4305" s="376">
        <f t="shared" si="1204"/>
        <v>0.4</v>
      </c>
      <c r="J4305" s="376">
        <f t="shared" si="1204"/>
        <v>0.4</v>
      </c>
      <c r="K4305" s="376">
        <f t="shared" si="1204"/>
        <v>0.4</v>
      </c>
      <c r="L4305" s="376">
        <f t="shared" si="1204"/>
        <v>0.4</v>
      </c>
      <c r="M4305" s="376">
        <f t="shared" si="1204"/>
        <v>0.4</v>
      </c>
      <c r="N4305" s="376">
        <f t="shared" si="1204"/>
        <v>0.4</v>
      </c>
    </row>
    <row r="4306" spans="1:15" x14ac:dyDescent="0.3">
      <c r="A4306" s="94" t="s">
        <v>2128</v>
      </c>
      <c r="B4306" s="376">
        <v>0.6</v>
      </c>
      <c r="C4306" s="376">
        <v>0.6</v>
      </c>
      <c r="D4306" s="376">
        <v>0.6</v>
      </c>
      <c r="E4306" s="376">
        <v>0.6</v>
      </c>
      <c r="F4306" s="376">
        <v>0.6</v>
      </c>
      <c r="G4306" s="376">
        <v>0.6</v>
      </c>
      <c r="H4306" s="376">
        <v>0.6</v>
      </c>
      <c r="I4306" s="376">
        <v>0.6</v>
      </c>
      <c r="J4306" s="376">
        <v>0.6</v>
      </c>
      <c r="K4306" s="376">
        <v>0.6</v>
      </c>
      <c r="L4306" s="376">
        <v>0.6</v>
      </c>
      <c r="M4306" s="376">
        <v>0.6</v>
      </c>
      <c r="N4306" s="376">
        <v>0.6</v>
      </c>
    </row>
    <row r="4307" spans="1:15" x14ac:dyDescent="0.3">
      <c r="A4307" s="94" t="s">
        <v>2129</v>
      </c>
      <c r="B4307" s="376">
        <v>0.1</v>
      </c>
      <c r="C4307" s="376">
        <f>+B4307</f>
        <v>0.1</v>
      </c>
      <c r="D4307" s="376">
        <v>0.1</v>
      </c>
      <c r="E4307" s="376">
        <v>0.1</v>
      </c>
      <c r="F4307" s="376">
        <v>0.1</v>
      </c>
      <c r="G4307" s="376">
        <v>0.1</v>
      </c>
      <c r="H4307" s="376">
        <v>0.1</v>
      </c>
      <c r="I4307" s="376">
        <v>0.1</v>
      </c>
      <c r="J4307" s="376">
        <v>0.1</v>
      </c>
      <c r="K4307" s="376">
        <v>0.1</v>
      </c>
      <c r="L4307" s="376">
        <v>0.1</v>
      </c>
      <c r="M4307" s="376">
        <v>0.1</v>
      </c>
      <c r="N4307" s="376">
        <v>0.1</v>
      </c>
    </row>
    <row r="4308" spans="1:15" x14ac:dyDescent="0.3">
      <c r="A4308" s="94" t="s">
        <v>2130</v>
      </c>
      <c r="B4308" s="75">
        <f t="shared" ref="B4308:N4308" si="1205">+B4302/B4289</f>
        <v>0.4</v>
      </c>
      <c r="C4308" s="75">
        <f t="shared" si="1205"/>
        <v>0.4</v>
      </c>
      <c r="D4308" s="75">
        <f t="shared" si="1205"/>
        <v>0.42431695111763473</v>
      </c>
      <c r="E4308" s="75">
        <f t="shared" si="1205"/>
        <v>0.42729849431914063</v>
      </c>
      <c r="F4308" s="75">
        <f t="shared" si="1205"/>
        <v>0.43356765173186784</v>
      </c>
      <c r="G4308" s="75">
        <f t="shared" si="1205"/>
        <v>0.44308184452348814</v>
      </c>
      <c r="H4308" s="75">
        <f t="shared" si="1205"/>
        <v>0.45252231250587438</v>
      </c>
      <c r="I4308" s="75">
        <f t="shared" si="1205"/>
        <v>0.46150391216879477</v>
      </c>
      <c r="J4308" s="75">
        <f t="shared" si="1205"/>
        <v>0.4700507812685133</v>
      </c>
      <c r="K4308" s="75">
        <f t="shared" si="1205"/>
        <v>0.47818566148147035</v>
      </c>
      <c r="L4308" s="75">
        <f t="shared" si="1205"/>
        <v>0.48592998835586665</v>
      </c>
      <c r="M4308" s="75">
        <f t="shared" si="1205"/>
        <v>0.49330397475900839</v>
      </c>
      <c r="N4308" s="75">
        <f t="shared" si="1205"/>
        <v>0.50032668834847027</v>
      </c>
    </row>
    <row r="4309" spans="1:15" x14ac:dyDescent="0.3">
      <c r="A4309" s="94" t="s">
        <v>2131</v>
      </c>
      <c r="B4309" s="75" t="e">
        <f t="shared" ref="B4309:N4309" si="1206">+B4303/B4290</f>
        <v>#REF!</v>
      </c>
      <c r="C4309" s="75" t="e">
        <f t="shared" si="1206"/>
        <v>#REF!</v>
      </c>
      <c r="D4309" s="75" t="e">
        <f t="shared" si="1206"/>
        <v>#REF!</v>
      </c>
      <c r="E4309" s="75" t="e">
        <f t="shared" si="1206"/>
        <v>#REF!</v>
      </c>
      <c r="F4309" s="75" t="e">
        <f t="shared" si="1206"/>
        <v>#REF!</v>
      </c>
      <c r="G4309" s="75" t="e">
        <f t="shared" si="1206"/>
        <v>#REF!</v>
      </c>
      <c r="H4309" s="75" t="e">
        <f t="shared" si="1206"/>
        <v>#REF!</v>
      </c>
      <c r="I4309" s="75" t="e">
        <f t="shared" si="1206"/>
        <v>#REF!</v>
      </c>
      <c r="J4309" s="75" t="e">
        <f t="shared" si="1206"/>
        <v>#REF!</v>
      </c>
      <c r="K4309" s="75" t="e">
        <f t="shared" si="1206"/>
        <v>#REF!</v>
      </c>
      <c r="L4309" s="75" t="e">
        <f t="shared" si="1206"/>
        <v>#REF!</v>
      </c>
      <c r="M4309" s="75" t="e">
        <f t="shared" si="1206"/>
        <v>#REF!</v>
      </c>
      <c r="N4309" s="75" t="e">
        <f t="shared" si="1206"/>
        <v>#REF!</v>
      </c>
    </row>
    <row r="4310" spans="1:15" x14ac:dyDescent="0.3">
      <c r="A4310" s="94" t="s">
        <v>2132</v>
      </c>
      <c r="B4310" s="84">
        <f t="shared" ref="B4310:N4310" si="1207">+B4304/B4291</f>
        <v>0.3901626233004532</v>
      </c>
      <c r="C4310" s="84" t="e">
        <f t="shared" si="1207"/>
        <v>#REF!</v>
      </c>
      <c r="D4310" s="84">
        <f t="shared" si="1207"/>
        <v>0.38233448384060242</v>
      </c>
      <c r="E4310" s="84">
        <f t="shared" si="1207"/>
        <v>0.3556593977154725</v>
      </c>
      <c r="F4310" s="84">
        <f t="shared" si="1207"/>
        <v>0.3645425418298327</v>
      </c>
      <c r="G4310" s="84">
        <f t="shared" si="1207"/>
        <v>0.36856368563685638</v>
      </c>
      <c r="H4310" s="84">
        <f t="shared" si="1207"/>
        <v>0.35791411879670748</v>
      </c>
      <c r="I4310" s="84">
        <f t="shared" si="1207"/>
        <v>0.34978664635804657</v>
      </c>
      <c r="J4310" s="84">
        <f t="shared" si="1207"/>
        <v>0.34603085847325399</v>
      </c>
      <c r="K4310" s="84">
        <f t="shared" si="1207"/>
        <v>0.34397936459413747</v>
      </c>
      <c r="L4310" s="84">
        <f t="shared" si="1207"/>
        <v>0.34234819425891883</v>
      </c>
      <c r="M4310" s="84">
        <f t="shared" si="1207"/>
        <v>0.3419616497144371</v>
      </c>
      <c r="N4310" s="84">
        <f t="shared" si="1207"/>
        <v>0.34288617886178863</v>
      </c>
    </row>
    <row r="4311" spans="1:15" x14ac:dyDescent="0.3">
      <c r="A4311" s="94" t="s">
        <v>2133</v>
      </c>
      <c r="B4311" s="84"/>
      <c r="C4311" s="75" t="e">
        <f t="shared" ref="C4311:N4311" si="1208">+C4299/B4299-1</f>
        <v>#REF!</v>
      </c>
      <c r="D4311" s="75" t="e">
        <f t="shared" si="1208"/>
        <v>#REF!</v>
      </c>
      <c r="E4311" s="75" t="e">
        <f t="shared" si="1208"/>
        <v>#REF!</v>
      </c>
      <c r="F4311" s="75" t="e">
        <f t="shared" si="1208"/>
        <v>#REF!</v>
      </c>
      <c r="G4311" s="75" t="e">
        <f t="shared" si="1208"/>
        <v>#REF!</v>
      </c>
      <c r="H4311" s="75" t="e">
        <f t="shared" si="1208"/>
        <v>#REF!</v>
      </c>
      <c r="I4311" s="75" t="e">
        <f t="shared" si="1208"/>
        <v>#REF!</v>
      </c>
      <c r="J4311" s="75" t="e">
        <f t="shared" si="1208"/>
        <v>#REF!</v>
      </c>
      <c r="K4311" s="75" t="e">
        <f t="shared" si="1208"/>
        <v>#REF!</v>
      </c>
      <c r="L4311" s="75" t="e">
        <f t="shared" si="1208"/>
        <v>#REF!</v>
      </c>
      <c r="M4311" s="75" t="e">
        <f t="shared" si="1208"/>
        <v>#REF!</v>
      </c>
      <c r="N4311" s="75" t="e">
        <f t="shared" si="1208"/>
        <v>#REF!</v>
      </c>
    </row>
    <row r="4312" spans="1:15" x14ac:dyDescent="0.3">
      <c r="A4312" s="94" t="s">
        <v>2123</v>
      </c>
      <c r="B4312" s="84"/>
      <c r="C4312" s="75">
        <f t="shared" ref="C4312:N4312" si="1209">+C4302/B4302-1</f>
        <v>2.9761654041864594E-2</v>
      </c>
      <c r="D4312" s="75">
        <f t="shared" si="1209"/>
        <v>0.17509088857955457</v>
      </c>
      <c r="E4312" s="75">
        <f t="shared" si="1209"/>
        <v>2.0508832022748669E-2</v>
      </c>
      <c r="F4312" s="75">
        <f t="shared" si="1209"/>
        <v>4.4062486101115406E-2</v>
      </c>
      <c r="G4312" s="75">
        <f t="shared" si="1209"/>
        <v>6.8933421250306326E-2</v>
      </c>
      <c r="H4312" s="75">
        <f t="shared" si="1209"/>
        <v>7.0130170122471913E-2</v>
      </c>
      <c r="I4312" s="75">
        <f t="shared" si="1209"/>
        <v>6.8442318217662335E-2</v>
      </c>
      <c r="J4312" s="75">
        <f t="shared" si="1209"/>
        <v>6.6895215452851486E-2</v>
      </c>
      <c r="K4312" s="75">
        <f t="shared" si="1209"/>
        <v>6.547271276436728E-2</v>
      </c>
      <c r="L4312" s="75">
        <f t="shared" si="1209"/>
        <v>6.4161022089782138E-2</v>
      </c>
      <c r="M4312" s="75">
        <f t="shared" si="1209"/>
        <v>6.2948300185519335E-2</v>
      </c>
      <c r="N4312" s="75">
        <f t="shared" si="1209"/>
        <v>6.1824317497132242E-2</v>
      </c>
    </row>
    <row r="4313" spans="1:15" x14ac:dyDescent="0.3">
      <c r="A4313" s="94" t="s">
        <v>2124</v>
      </c>
      <c r="B4313" s="84"/>
      <c r="C4313" s="75" t="e">
        <f t="shared" ref="C4313:N4313" si="1210">+C4303/B4303-1</f>
        <v>#REF!</v>
      </c>
      <c r="D4313" s="75" t="e">
        <f t="shared" si="1210"/>
        <v>#REF!</v>
      </c>
      <c r="E4313" s="75" t="e">
        <f t="shared" si="1210"/>
        <v>#REF!</v>
      </c>
      <c r="F4313" s="75" t="e">
        <f t="shared" si="1210"/>
        <v>#REF!</v>
      </c>
      <c r="G4313" s="75" t="e">
        <f t="shared" si="1210"/>
        <v>#REF!</v>
      </c>
      <c r="H4313" s="75" t="e">
        <f t="shared" si="1210"/>
        <v>#REF!</v>
      </c>
      <c r="I4313" s="75" t="e">
        <f t="shared" si="1210"/>
        <v>#REF!</v>
      </c>
      <c r="J4313" s="75" t="e">
        <f t="shared" si="1210"/>
        <v>#REF!</v>
      </c>
      <c r="K4313" s="75" t="e">
        <f t="shared" si="1210"/>
        <v>#REF!</v>
      </c>
      <c r="L4313" s="75" t="e">
        <f t="shared" si="1210"/>
        <v>#REF!</v>
      </c>
      <c r="M4313" s="75" t="e">
        <f t="shared" si="1210"/>
        <v>#REF!</v>
      </c>
      <c r="N4313" s="75" t="e">
        <f t="shared" si="1210"/>
        <v>#REF!</v>
      </c>
    </row>
    <row r="4314" spans="1:15" x14ac:dyDescent="0.3">
      <c r="A4314" s="94" t="s">
        <v>2125</v>
      </c>
      <c r="B4314" s="84"/>
      <c r="C4314" s="75">
        <f t="shared" ref="C4314:N4314" si="1211">+C4304/B4304-1</f>
        <v>-5.1930304065596178E-2</v>
      </c>
      <c r="D4314" s="75">
        <f t="shared" si="1211"/>
        <v>-0.12180180180180178</v>
      </c>
      <c r="E4314" s="75">
        <f t="shared" si="1211"/>
        <v>-0.15675010258514566</v>
      </c>
      <c r="F4314" s="75">
        <f t="shared" si="1211"/>
        <v>-3.4063260340632118E-3</v>
      </c>
      <c r="G4314" s="75">
        <f t="shared" si="1211"/>
        <v>-3.90625E-3</v>
      </c>
      <c r="H4314" s="75">
        <f t="shared" si="1211"/>
        <v>-4.5098039215686225E-2</v>
      </c>
      <c r="I4314" s="75">
        <f t="shared" si="1211"/>
        <v>-3.9014373716632411E-2</v>
      </c>
      <c r="J4314" s="75">
        <f t="shared" si="1211"/>
        <v>-2.7243589743589758E-2</v>
      </c>
      <c r="K4314" s="75">
        <f t="shared" si="1211"/>
        <v>-2.2515101592531561E-2</v>
      </c>
      <c r="L4314" s="75">
        <f t="shared" si="1211"/>
        <v>-2.1348314606741581E-2</v>
      </c>
      <c r="M4314" s="75">
        <f t="shared" si="1211"/>
        <v>-1.7795637198622316E-2</v>
      </c>
      <c r="N4314" s="75">
        <f t="shared" si="1211"/>
        <v>-1.4026884862653466E-2</v>
      </c>
    </row>
    <row r="4315" spans="1:15" x14ac:dyDescent="0.3">
      <c r="A4315" s="141"/>
      <c r="B4315" s="92"/>
      <c r="C4315" s="90"/>
      <c r="D4315" s="90"/>
      <c r="E4315" s="90"/>
      <c r="F4315" s="90"/>
      <c r="G4315" s="90"/>
      <c r="H4315" s="90"/>
      <c r="I4315" s="90"/>
      <c r="J4315" s="90"/>
      <c r="K4315" s="90"/>
      <c r="L4315" s="90"/>
      <c r="M4315" s="90"/>
      <c r="N4315" s="90"/>
    </row>
    <row r="4316" spans="1:15" x14ac:dyDescent="0.3">
      <c r="A4316" s="141" t="s">
        <v>2134</v>
      </c>
    </row>
    <row r="4317" spans="1:15" x14ac:dyDescent="0.3">
      <c r="A4317" s="147" t="s">
        <v>2135</v>
      </c>
      <c r="B4317" s="370">
        <f>+(B4503/Drivers!$ED$94)</f>
        <v>0</v>
      </c>
      <c r="C4317" s="370">
        <f>+(C4503/Drivers!$ED$94)</f>
        <v>7.1482633924817088E-3</v>
      </c>
      <c r="D4317" s="370">
        <f>+(D4503/Drivers!$ED$94)</f>
        <v>4.8776385501639895E-2</v>
      </c>
      <c r="E4317" s="370">
        <f>+(E4503/Drivers!$ED$94)</f>
        <v>0.13287360188377764</v>
      </c>
      <c r="F4317" s="370">
        <f>+(F4503/Drivers!$ED$94)</f>
        <v>0.22636167409525415</v>
      </c>
      <c r="G4317" s="370">
        <f>+(G4503/Drivers!$ED$94)</f>
        <v>0.31984974630673058</v>
      </c>
      <c r="H4317" s="370">
        <f>+(H4503/Drivers!$ED$94)</f>
        <v>0.41333781851820706</v>
      </c>
      <c r="I4317" s="370">
        <f>+(I4503/Drivers!$ED$94)</f>
        <v>0.50682589072968354</v>
      </c>
      <c r="J4317" s="370">
        <f>+(J4503/Drivers!$ED$94)</f>
        <v>0.60031396294116002</v>
      </c>
      <c r="K4317" s="370">
        <f>+(K4503/Drivers!$ED$94)</f>
        <v>0.6938020351526365</v>
      </c>
      <c r="L4317" s="370">
        <f>+(L4503/Drivers!$ED$94)</f>
        <v>0.6938020351526365</v>
      </c>
      <c r="M4317" s="370">
        <f>+(M4503/Drivers!$ED$94)</f>
        <v>0.6938020351526365</v>
      </c>
      <c r="N4317" s="370">
        <f>+(N4503/Drivers!$ED$94)</f>
        <v>0.6938020351526365</v>
      </c>
    </row>
    <row r="4319" spans="1:15" x14ac:dyDescent="0.3">
      <c r="A4319" t="s">
        <v>2114</v>
      </c>
      <c r="B4319" s="76" t="e">
        <f>+B4286*(1-B4317)</f>
        <v>#REF!</v>
      </c>
      <c r="C4319" s="76" t="e">
        <f t="shared" ref="C4319:N4319" si="1212">+C4286*(1-AVERAGE(B4317:C4317))</f>
        <v>#REF!</v>
      </c>
      <c r="D4319" s="76" t="e">
        <f t="shared" si="1212"/>
        <v>#REF!</v>
      </c>
      <c r="E4319" s="76" t="e">
        <f t="shared" si="1212"/>
        <v>#REF!</v>
      </c>
      <c r="F4319" s="76" t="e">
        <f t="shared" si="1212"/>
        <v>#REF!</v>
      </c>
      <c r="G4319" s="76" t="e">
        <f t="shared" si="1212"/>
        <v>#REF!</v>
      </c>
      <c r="H4319" s="76" t="e">
        <f t="shared" si="1212"/>
        <v>#REF!</v>
      </c>
      <c r="I4319" s="76" t="e">
        <f t="shared" si="1212"/>
        <v>#REF!</v>
      </c>
      <c r="J4319" s="76" t="e">
        <f t="shared" si="1212"/>
        <v>#REF!</v>
      </c>
      <c r="K4319" s="76" t="e">
        <f t="shared" si="1212"/>
        <v>#REF!</v>
      </c>
      <c r="L4319" s="76" t="e">
        <f t="shared" si="1212"/>
        <v>#REF!</v>
      </c>
      <c r="M4319" s="76" t="e">
        <f t="shared" si="1212"/>
        <v>#REF!</v>
      </c>
      <c r="N4319" s="76" t="e">
        <f t="shared" si="1212"/>
        <v>#REF!</v>
      </c>
      <c r="O4319" s="74" t="e">
        <f t="shared" ref="O4319:O4324" si="1213">+(G4319/C4319)^(0.25)-1</f>
        <v>#REF!</v>
      </c>
    </row>
    <row r="4320" spans="1:15" x14ac:dyDescent="0.3">
      <c r="A4320" t="s">
        <v>2115</v>
      </c>
      <c r="B4320" s="76" t="e">
        <f t="shared" ref="B4320:N4322" si="1214">+B4287</f>
        <v>#REF!</v>
      </c>
      <c r="C4320" s="76" t="e">
        <f t="shared" si="1214"/>
        <v>#REF!</v>
      </c>
      <c r="D4320" s="76" t="e">
        <f t="shared" si="1214"/>
        <v>#REF!</v>
      </c>
      <c r="E4320" s="76" t="e">
        <f t="shared" si="1214"/>
        <v>#REF!</v>
      </c>
      <c r="F4320" s="76" t="e">
        <f t="shared" si="1214"/>
        <v>#REF!</v>
      </c>
      <c r="G4320" s="76" t="e">
        <f t="shared" si="1214"/>
        <v>#REF!</v>
      </c>
      <c r="H4320" s="76" t="e">
        <f t="shared" si="1214"/>
        <v>#REF!</v>
      </c>
      <c r="I4320" s="76" t="e">
        <f t="shared" si="1214"/>
        <v>#REF!</v>
      </c>
      <c r="J4320" s="76" t="e">
        <f t="shared" si="1214"/>
        <v>#REF!</v>
      </c>
      <c r="K4320" s="76" t="e">
        <f t="shared" si="1214"/>
        <v>#REF!</v>
      </c>
      <c r="L4320" s="76" t="e">
        <f t="shared" si="1214"/>
        <v>#REF!</v>
      </c>
      <c r="M4320" s="76" t="e">
        <f t="shared" si="1214"/>
        <v>#REF!</v>
      </c>
      <c r="N4320" s="76" t="e">
        <f t="shared" si="1214"/>
        <v>#REF!</v>
      </c>
      <c r="O4320" s="74" t="e">
        <f t="shared" si="1213"/>
        <v>#REF!</v>
      </c>
    </row>
    <row r="4321" spans="1:15" x14ac:dyDescent="0.3">
      <c r="A4321" t="s">
        <v>2116</v>
      </c>
      <c r="B4321" s="76" t="e">
        <f t="shared" si="1214"/>
        <v>#REF!</v>
      </c>
      <c r="C4321" s="76" t="e">
        <f t="shared" si="1214"/>
        <v>#REF!</v>
      </c>
      <c r="D4321" s="76" t="e">
        <f t="shared" si="1214"/>
        <v>#REF!</v>
      </c>
      <c r="E4321" s="76" t="e">
        <f t="shared" si="1214"/>
        <v>#REF!</v>
      </c>
      <c r="F4321" s="76" t="e">
        <f t="shared" si="1214"/>
        <v>#REF!</v>
      </c>
      <c r="G4321" s="76" t="e">
        <f t="shared" si="1214"/>
        <v>#REF!</v>
      </c>
      <c r="H4321" s="76" t="e">
        <f t="shared" si="1214"/>
        <v>#REF!</v>
      </c>
      <c r="I4321" s="76" t="e">
        <f t="shared" si="1214"/>
        <v>#REF!</v>
      </c>
      <c r="J4321" s="76" t="e">
        <f t="shared" si="1214"/>
        <v>#REF!</v>
      </c>
      <c r="K4321" s="76" t="e">
        <f t="shared" si="1214"/>
        <v>#REF!</v>
      </c>
      <c r="L4321" s="76" t="e">
        <f t="shared" si="1214"/>
        <v>#REF!</v>
      </c>
      <c r="M4321" s="76" t="e">
        <f t="shared" si="1214"/>
        <v>#REF!</v>
      </c>
      <c r="N4321" s="76" t="e">
        <f t="shared" si="1214"/>
        <v>#REF!</v>
      </c>
      <c r="O4321" s="74" t="e">
        <f t="shared" si="1213"/>
        <v>#REF!</v>
      </c>
    </row>
    <row r="4322" spans="1:15" x14ac:dyDescent="0.3">
      <c r="A4322" t="s">
        <v>2117</v>
      </c>
      <c r="B4322" s="76">
        <f t="shared" si="1214"/>
        <v>822.63068999999984</v>
      </c>
      <c r="C4322" s="76">
        <f t="shared" si="1214"/>
        <v>847.11354000000006</v>
      </c>
      <c r="D4322" s="76">
        <f t="shared" si="1214"/>
        <v>938.38853227469065</v>
      </c>
      <c r="E4322" s="76">
        <f t="shared" si="1214"/>
        <v>950.95174301824136</v>
      </c>
      <c r="F4322" s="76">
        <f t="shared" si="1214"/>
        <v>978.49691459999997</v>
      </c>
      <c r="G4322" s="76">
        <f t="shared" si="1214"/>
        <v>1023.4886567217628</v>
      </c>
      <c r="H4322" s="76">
        <f t="shared" si="1214"/>
        <v>1072.4167762309844</v>
      </c>
      <c r="I4322" s="76">
        <f t="shared" si="1214"/>
        <v>1123.5160763105255</v>
      </c>
      <c r="J4322" s="76">
        <f t="shared" si="1214"/>
        <v>1176.8786021572421</v>
      </c>
      <c r="K4322" s="76">
        <f t="shared" si="1214"/>
        <v>1232.6001824181878</v>
      </c>
      <c r="L4322" s="76">
        <f t="shared" si="1214"/>
        <v>1290.7805812761546</v>
      </c>
      <c r="M4322" s="76">
        <f t="shared" si="1214"/>
        <v>1351.5236565464506</v>
      </c>
      <c r="N4322" s="76">
        <f t="shared" si="1214"/>
        <v>1414.937524019402</v>
      </c>
      <c r="O4322" s="74">
        <f t="shared" si="1213"/>
        <v>4.842013395125222E-2</v>
      </c>
    </row>
    <row r="4323" spans="1:15" x14ac:dyDescent="0.3">
      <c r="A4323" t="s">
        <v>2118</v>
      </c>
      <c r="B4323" s="76" t="e">
        <f t="shared" ref="B4323:N4323" si="1215">+B4290</f>
        <v>#REF!</v>
      </c>
      <c r="C4323" s="76" t="e">
        <f t="shared" si="1215"/>
        <v>#REF!</v>
      </c>
      <c r="D4323" s="76" t="e">
        <f t="shared" si="1215"/>
        <v>#REF!</v>
      </c>
      <c r="E4323" s="76" t="e">
        <f t="shared" si="1215"/>
        <v>#REF!</v>
      </c>
      <c r="F4323" s="76" t="e">
        <f t="shared" si="1215"/>
        <v>#REF!</v>
      </c>
      <c r="G4323" s="76" t="e">
        <f t="shared" si="1215"/>
        <v>#REF!</v>
      </c>
      <c r="H4323" s="76" t="e">
        <f t="shared" si="1215"/>
        <v>#REF!</v>
      </c>
      <c r="I4323" s="76" t="e">
        <f t="shared" si="1215"/>
        <v>#REF!</v>
      </c>
      <c r="J4323" s="76" t="e">
        <f t="shared" si="1215"/>
        <v>#REF!</v>
      </c>
      <c r="K4323" s="76" t="e">
        <f t="shared" si="1215"/>
        <v>#REF!</v>
      </c>
      <c r="L4323" s="76" t="e">
        <f t="shared" si="1215"/>
        <v>#REF!</v>
      </c>
      <c r="M4323" s="76" t="e">
        <f t="shared" si="1215"/>
        <v>#REF!</v>
      </c>
      <c r="N4323" s="76" t="e">
        <f t="shared" si="1215"/>
        <v>#REF!</v>
      </c>
      <c r="O4323" s="74" t="e">
        <f t="shared" si="1213"/>
        <v>#REF!</v>
      </c>
    </row>
    <row r="4324" spans="1:15" x14ac:dyDescent="0.3">
      <c r="A4324" s="90" t="s">
        <v>2119</v>
      </c>
      <c r="B4324" s="803" t="e">
        <f t="shared" ref="B4324:G4324" si="1216">+SUM(B4319:B4323)</f>
        <v>#REF!</v>
      </c>
      <c r="C4324" s="803" t="e">
        <f t="shared" si="1216"/>
        <v>#REF!</v>
      </c>
      <c r="D4324" s="803" t="e">
        <f t="shared" si="1216"/>
        <v>#REF!</v>
      </c>
      <c r="E4324" s="803" t="e">
        <f t="shared" si="1216"/>
        <v>#REF!</v>
      </c>
      <c r="F4324" s="803" t="e">
        <f t="shared" si="1216"/>
        <v>#REF!</v>
      </c>
      <c r="G4324" s="803" t="e">
        <f t="shared" si="1216"/>
        <v>#REF!</v>
      </c>
      <c r="H4324" s="803" t="e">
        <f t="shared" ref="H4324:N4324" si="1217">+SUM(H4319:H4323)</f>
        <v>#REF!</v>
      </c>
      <c r="I4324" s="803" t="e">
        <f t="shared" si="1217"/>
        <v>#REF!</v>
      </c>
      <c r="J4324" s="803" t="e">
        <f t="shared" si="1217"/>
        <v>#REF!</v>
      </c>
      <c r="K4324" s="803" t="e">
        <f t="shared" si="1217"/>
        <v>#REF!</v>
      </c>
      <c r="L4324" s="803" t="e">
        <f t="shared" si="1217"/>
        <v>#REF!</v>
      </c>
      <c r="M4324" s="803" t="e">
        <f t="shared" si="1217"/>
        <v>#REF!</v>
      </c>
      <c r="N4324" s="803" t="e">
        <f t="shared" si="1217"/>
        <v>#REF!</v>
      </c>
      <c r="O4324" s="74" t="e">
        <f t="shared" si="1213"/>
        <v>#REF!</v>
      </c>
    </row>
    <row r="4325" spans="1:15" x14ac:dyDescent="0.3">
      <c r="A4325" s="94" t="s">
        <v>2133</v>
      </c>
      <c r="B4325" s="92"/>
      <c r="C4325" s="75" t="e">
        <f>+C4319/B4319-1</f>
        <v>#REF!</v>
      </c>
      <c r="D4325" s="75" t="e">
        <f>+D4319/C4319-1</f>
        <v>#REF!</v>
      </c>
      <c r="E4325" s="75" t="e">
        <f>+E4319/D4319-1</f>
        <v>#REF!</v>
      </c>
      <c r="F4325" s="75" t="e">
        <f>+F4319/E4319-1</f>
        <v>#REF!</v>
      </c>
      <c r="G4325" s="75" t="e">
        <f>+G4319/F4319-1</f>
        <v>#REF!</v>
      </c>
      <c r="H4325" s="75" t="e">
        <f t="shared" ref="H4325:N4325" si="1218">+H4319/G4319-1</f>
        <v>#REF!</v>
      </c>
      <c r="I4325" s="75" t="e">
        <f t="shared" si="1218"/>
        <v>#REF!</v>
      </c>
      <c r="J4325" s="75" t="e">
        <f t="shared" si="1218"/>
        <v>#REF!</v>
      </c>
      <c r="K4325" s="75" t="e">
        <f t="shared" si="1218"/>
        <v>#REF!</v>
      </c>
      <c r="L4325" s="75" t="e">
        <f t="shared" si="1218"/>
        <v>#REF!</v>
      </c>
      <c r="M4325" s="75" t="e">
        <f t="shared" si="1218"/>
        <v>#REF!</v>
      </c>
      <c r="N4325" s="75" t="e">
        <f t="shared" si="1218"/>
        <v>#REF!</v>
      </c>
    </row>
    <row r="4326" spans="1:15" x14ac:dyDescent="0.3">
      <c r="A4326" s="94" t="s">
        <v>2123</v>
      </c>
      <c r="B4326" s="92"/>
      <c r="C4326" s="75">
        <f t="shared" ref="C4326:G4328" si="1219">+C4322/B4322-1</f>
        <v>2.9761654041864372E-2</v>
      </c>
      <c r="D4326" s="75">
        <f t="shared" si="1219"/>
        <v>0.10774823912587994</v>
      </c>
      <c r="E4326" s="75">
        <f t="shared" si="1219"/>
        <v>1.3388069345963816E-2</v>
      </c>
      <c r="F4326" s="75">
        <f t="shared" si="1219"/>
        <v>2.8965898410714841E-2</v>
      </c>
      <c r="G4326" s="75">
        <f t="shared" si="1219"/>
        <v>4.5980463965136886E-2</v>
      </c>
      <c r="H4326" s="75">
        <f t="shared" ref="H4326:N4328" si="1220">+H4322/G4322-1</f>
        <v>4.7805238668632066E-2</v>
      </c>
      <c r="I4326" s="75">
        <f t="shared" si="1220"/>
        <v>4.7648732481722078E-2</v>
      </c>
      <c r="J4326" s="75">
        <f t="shared" si="1220"/>
        <v>4.7496005595177415E-2</v>
      </c>
      <c r="K4326" s="75">
        <f t="shared" si="1220"/>
        <v>4.7346922748707554E-2</v>
      </c>
      <c r="L4326" s="75">
        <f t="shared" si="1220"/>
        <v>4.7201355060507266E-2</v>
      </c>
      <c r="M4326" s="75">
        <f t="shared" si="1220"/>
        <v>4.7059179655647654E-2</v>
      </c>
      <c r="N4326" s="75">
        <f t="shared" si="1220"/>
        <v>4.6920279320151081E-2</v>
      </c>
    </row>
    <row r="4327" spans="1:15" x14ac:dyDescent="0.3">
      <c r="A4327" s="94" t="s">
        <v>2124</v>
      </c>
      <c r="B4327" s="92"/>
      <c r="C4327" s="75" t="e">
        <f t="shared" si="1219"/>
        <v>#REF!</v>
      </c>
      <c r="D4327" s="75" t="e">
        <f t="shared" si="1219"/>
        <v>#REF!</v>
      </c>
      <c r="E4327" s="75" t="e">
        <f t="shared" si="1219"/>
        <v>#REF!</v>
      </c>
      <c r="F4327" s="75" t="e">
        <f t="shared" si="1219"/>
        <v>#REF!</v>
      </c>
      <c r="G4327" s="75" t="e">
        <f t="shared" si="1219"/>
        <v>#REF!</v>
      </c>
      <c r="H4327" s="75" t="e">
        <f t="shared" si="1220"/>
        <v>#REF!</v>
      </c>
      <c r="I4327" s="75" t="e">
        <f t="shared" si="1220"/>
        <v>#REF!</v>
      </c>
      <c r="J4327" s="75" t="e">
        <f t="shared" si="1220"/>
        <v>#REF!</v>
      </c>
      <c r="K4327" s="75" t="e">
        <f t="shared" si="1220"/>
        <v>#REF!</v>
      </c>
      <c r="L4327" s="75" t="e">
        <f t="shared" si="1220"/>
        <v>#REF!</v>
      </c>
      <c r="M4327" s="75" t="e">
        <f t="shared" si="1220"/>
        <v>#REF!</v>
      </c>
      <c r="N4327" s="75" t="e">
        <f t="shared" si="1220"/>
        <v>#REF!</v>
      </c>
    </row>
    <row r="4328" spans="1:15" x14ac:dyDescent="0.3">
      <c r="A4328" s="94" t="s">
        <v>2125</v>
      </c>
      <c r="B4328" s="92"/>
      <c r="C4328" s="75" t="e">
        <f t="shared" si="1219"/>
        <v>#REF!</v>
      </c>
      <c r="D4328" s="75" t="e">
        <f t="shared" si="1219"/>
        <v>#REF!</v>
      </c>
      <c r="E4328" s="75" t="e">
        <f t="shared" si="1219"/>
        <v>#REF!</v>
      </c>
      <c r="F4328" s="75" t="e">
        <f t="shared" si="1219"/>
        <v>#REF!</v>
      </c>
      <c r="G4328" s="75" t="e">
        <f t="shared" si="1219"/>
        <v>#REF!</v>
      </c>
      <c r="H4328" s="75" t="e">
        <f t="shared" si="1220"/>
        <v>#REF!</v>
      </c>
      <c r="I4328" s="75" t="e">
        <f t="shared" si="1220"/>
        <v>#REF!</v>
      </c>
      <c r="J4328" s="75" t="e">
        <f t="shared" si="1220"/>
        <v>#REF!</v>
      </c>
      <c r="K4328" s="75" t="e">
        <f t="shared" si="1220"/>
        <v>#REF!</v>
      </c>
      <c r="L4328" s="75" t="e">
        <f t="shared" si="1220"/>
        <v>#REF!</v>
      </c>
      <c r="M4328" s="75" t="e">
        <f t="shared" si="1220"/>
        <v>#REF!</v>
      </c>
      <c r="N4328" s="75" t="e">
        <f t="shared" si="1220"/>
        <v>#REF!</v>
      </c>
    </row>
    <row r="4329" spans="1:15" x14ac:dyDescent="0.3">
      <c r="A4329" s="90"/>
      <c r="B4329" s="92"/>
      <c r="C4329" s="92"/>
      <c r="D4329" s="92"/>
      <c r="E4329" s="92"/>
      <c r="F4329" s="92"/>
      <c r="G4329" s="92"/>
      <c r="H4329" s="92"/>
      <c r="I4329" s="92"/>
      <c r="J4329" s="92"/>
      <c r="K4329" s="92"/>
      <c r="L4329" s="92"/>
      <c r="M4329" s="92"/>
      <c r="N4329" s="92"/>
    </row>
    <row r="4330" spans="1:15" x14ac:dyDescent="0.3">
      <c r="A4330" t="s">
        <v>2136</v>
      </c>
      <c r="B4330" s="76" t="e">
        <f t="shared" ref="B4330:N4330" si="1221">+B4299*(1-B4317)</f>
        <v>#REF!</v>
      </c>
      <c r="C4330" s="76" t="e">
        <f t="shared" si="1221"/>
        <v>#REF!</v>
      </c>
      <c r="D4330" s="76" t="e">
        <f t="shared" si="1221"/>
        <v>#REF!</v>
      </c>
      <c r="E4330" s="76" t="e">
        <f t="shared" si="1221"/>
        <v>#REF!</v>
      </c>
      <c r="F4330" s="76" t="e">
        <f t="shared" si="1221"/>
        <v>#REF!</v>
      </c>
      <c r="G4330" s="76" t="e">
        <f t="shared" si="1221"/>
        <v>#REF!</v>
      </c>
      <c r="H4330" s="76" t="e">
        <f t="shared" si="1221"/>
        <v>#REF!</v>
      </c>
      <c r="I4330" s="76" t="e">
        <f t="shared" si="1221"/>
        <v>#REF!</v>
      </c>
      <c r="J4330" s="76" t="e">
        <f t="shared" si="1221"/>
        <v>#REF!</v>
      </c>
      <c r="K4330" s="76" t="e">
        <f t="shared" si="1221"/>
        <v>#REF!</v>
      </c>
      <c r="L4330" s="76" t="e">
        <f t="shared" si="1221"/>
        <v>#REF!</v>
      </c>
      <c r="M4330" s="76" t="e">
        <f t="shared" si="1221"/>
        <v>#REF!</v>
      </c>
      <c r="N4330" s="76" t="e">
        <f t="shared" si="1221"/>
        <v>#REF!</v>
      </c>
    </row>
    <row r="4331" spans="1:15" x14ac:dyDescent="0.3">
      <c r="A4331" t="s">
        <v>2137</v>
      </c>
      <c r="B4331" s="76">
        <f t="shared" ref="B4331:N4331" si="1222">+B4302</f>
        <v>329.05227599999995</v>
      </c>
      <c r="C4331" s="76">
        <f t="shared" si="1222"/>
        <v>338.84541600000006</v>
      </c>
      <c r="D4331" s="76">
        <f t="shared" si="1222"/>
        <v>398.17416097854891</v>
      </c>
      <c r="E4331" s="76">
        <f t="shared" si="1222"/>
        <v>406.3402479618569</v>
      </c>
      <c r="F4331" s="76">
        <f t="shared" si="1222"/>
        <v>424.24460949000002</v>
      </c>
      <c r="G4331" s="76">
        <f t="shared" si="1222"/>
        <v>453.48924186914587</v>
      </c>
      <c r="H4331" s="76">
        <f t="shared" si="1222"/>
        <v>485.2925195501399</v>
      </c>
      <c r="I4331" s="76">
        <f t="shared" si="1222"/>
        <v>518.50706460184165</v>
      </c>
      <c r="J4331" s="76">
        <f t="shared" si="1222"/>
        <v>553.19270640220748</v>
      </c>
      <c r="K4331" s="76">
        <f t="shared" si="1222"/>
        <v>589.4117335718222</v>
      </c>
      <c r="L4331" s="76">
        <f t="shared" si="1222"/>
        <v>627.22899282950061</v>
      </c>
      <c r="M4331" s="76">
        <f t="shared" si="1222"/>
        <v>666.71199175519303</v>
      </c>
      <c r="N4331" s="76">
        <f t="shared" si="1222"/>
        <v>707.93100561261144</v>
      </c>
    </row>
    <row r="4332" spans="1:15" x14ac:dyDescent="0.3">
      <c r="A4332" t="s">
        <v>2118</v>
      </c>
      <c r="B4332" s="76" t="e">
        <f>+SUM(B4303,B4301,B4300)</f>
        <v>#REF!</v>
      </c>
      <c r="C4332" s="76" t="e">
        <f t="shared" ref="C4332:N4332" si="1223">+SUM(C4303,C4301,C4300)</f>
        <v>#REF!</v>
      </c>
      <c r="D4332" s="76" t="e">
        <f t="shared" si="1223"/>
        <v>#REF!</v>
      </c>
      <c r="E4332" s="76" t="e">
        <f t="shared" si="1223"/>
        <v>#REF!</v>
      </c>
      <c r="F4332" s="76" t="e">
        <f t="shared" si="1223"/>
        <v>#REF!</v>
      </c>
      <c r="G4332" s="76" t="e">
        <f t="shared" si="1223"/>
        <v>#REF!</v>
      </c>
      <c r="H4332" s="76" t="e">
        <f t="shared" si="1223"/>
        <v>#REF!</v>
      </c>
      <c r="I4332" s="76" t="e">
        <f t="shared" si="1223"/>
        <v>#REF!</v>
      </c>
      <c r="J4332" s="76" t="e">
        <f t="shared" si="1223"/>
        <v>#REF!</v>
      </c>
      <c r="K4332" s="76" t="e">
        <f t="shared" si="1223"/>
        <v>#REF!</v>
      </c>
      <c r="L4332" s="76" t="e">
        <f t="shared" si="1223"/>
        <v>#REF!</v>
      </c>
      <c r="M4332" s="76" t="e">
        <f t="shared" si="1223"/>
        <v>#REF!</v>
      </c>
      <c r="N4332" s="76" t="e">
        <f t="shared" si="1223"/>
        <v>#REF!</v>
      </c>
    </row>
    <row r="4333" spans="1:15" x14ac:dyDescent="0.3">
      <c r="A4333" s="90" t="s">
        <v>2126</v>
      </c>
      <c r="B4333" s="803" t="e">
        <f t="shared" ref="B4333:G4333" si="1224">+SUM(B4330:B4332)</f>
        <v>#REF!</v>
      </c>
      <c r="C4333" s="803" t="e">
        <f t="shared" si="1224"/>
        <v>#REF!</v>
      </c>
      <c r="D4333" s="803" t="e">
        <f t="shared" si="1224"/>
        <v>#REF!</v>
      </c>
      <c r="E4333" s="803" t="e">
        <f t="shared" si="1224"/>
        <v>#REF!</v>
      </c>
      <c r="F4333" s="803" t="e">
        <f t="shared" si="1224"/>
        <v>#REF!</v>
      </c>
      <c r="G4333" s="803" t="e">
        <f t="shared" si="1224"/>
        <v>#REF!</v>
      </c>
      <c r="H4333" s="803" t="e">
        <f t="shared" ref="H4333:N4333" si="1225">+SUM(H4330:H4332)</f>
        <v>#REF!</v>
      </c>
      <c r="I4333" s="803" t="e">
        <f t="shared" si="1225"/>
        <v>#REF!</v>
      </c>
      <c r="J4333" s="803" t="e">
        <f t="shared" si="1225"/>
        <v>#REF!</v>
      </c>
      <c r="K4333" s="803" t="e">
        <f t="shared" si="1225"/>
        <v>#REF!</v>
      </c>
      <c r="L4333" s="803" t="e">
        <f t="shared" si="1225"/>
        <v>#REF!</v>
      </c>
      <c r="M4333" s="803" t="e">
        <f t="shared" si="1225"/>
        <v>#REF!</v>
      </c>
      <c r="N4333" s="803" t="e">
        <f t="shared" si="1225"/>
        <v>#REF!</v>
      </c>
    </row>
    <row r="4334" spans="1:15" x14ac:dyDescent="0.3">
      <c r="A4334" s="94" t="s">
        <v>2138</v>
      </c>
      <c r="B4334" s="83" t="e">
        <f t="shared" ref="B4334:G4334" si="1226">+B4330/B4319</f>
        <v>#REF!</v>
      </c>
      <c r="C4334" s="83" t="e">
        <f t="shared" si="1226"/>
        <v>#REF!</v>
      </c>
      <c r="D4334" s="83" t="e">
        <f t="shared" si="1226"/>
        <v>#REF!</v>
      </c>
      <c r="E4334" s="83" t="e">
        <f t="shared" si="1226"/>
        <v>#REF!</v>
      </c>
      <c r="F4334" s="83" t="e">
        <f t="shared" si="1226"/>
        <v>#REF!</v>
      </c>
      <c r="G4334" s="83" t="e">
        <f t="shared" si="1226"/>
        <v>#REF!</v>
      </c>
      <c r="H4334" s="83" t="e">
        <f t="shared" ref="H4334:N4334" si="1227">+H4330/H4319</f>
        <v>#REF!</v>
      </c>
      <c r="I4334" s="83" t="e">
        <f t="shared" si="1227"/>
        <v>#REF!</v>
      </c>
      <c r="J4334" s="83" t="e">
        <f t="shared" si="1227"/>
        <v>#REF!</v>
      </c>
      <c r="K4334" s="83" t="e">
        <f t="shared" si="1227"/>
        <v>#REF!</v>
      </c>
      <c r="L4334" s="83" t="e">
        <f t="shared" si="1227"/>
        <v>#REF!</v>
      </c>
      <c r="M4334" s="83" t="e">
        <f t="shared" si="1227"/>
        <v>#REF!</v>
      </c>
      <c r="N4334" s="83" t="e">
        <f t="shared" si="1227"/>
        <v>#REF!</v>
      </c>
    </row>
    <row r="4335" spans="1:15" x14ac:dyDescent="0.3">
      <c r="A4335" s="94" t="s">
        <v>2139</v>
      </c>
      <c r="B4335" s="83">
        <f t="shared" ref="B4335:G4337" si="1228">+B4331/B4322</f>
        <v>0.4</v>
      </c>
      <c r="C4335" s="83">
        <f t="shared" si="1228"/>
        <v>0.4</v>
      </c>
      <c r="D4335" s="83">
        <f t="shared" si="1228"/>
        <v>0.42431695111763473</v>
      </c>
      <c r="E4335" s="83">
        <f t="shared" si="1228"/>
        <v>0.42729849431914063</v>
      </c>
      <c r="F4335" s="83">
        <f t="shared" si="1228"/>
        <v>0.43356765173186784</v>
      </c>
      <c r="G4335" s="83">
        <f t="shared" si="1228"/>
        <v>0.44308184452348814</v>
      </c>
      <c r="H4335" s="83">
        <f t="shared" ref="H4335:N4337" si="1229">+H4331/H4322</f>
        <v>0.45252231250587438</v>
      </c>
      <c r="I4335" s="83">
        <f t="shared" si="1229"/>
        <v>0.46150391216879477</v>
      </c>
      <c r="J4335" s="83">
        <f t="shared" si="1229"/>
        <v>0.4700507812685133</v>
      </c>
      <c r="K4335" s="83">
        <f t="shared" si="1229"/>
        <v>0.47818566148147035</v>
      </c>
      <c r="L4335" s="83">
        <f t="shared" si="1229"/>
        <v>0.48592998835586665</v>
      </c>
      <c r="M4335" s="83">
        <f t="shared" si="1229"/>
        <v>0.49330397475900839</v>
      </c>
      <c r="N4335" s="83">
        <f t="shared" si="1229"/>
        <v>0.50032668834847027</v>
      </c>
    </row>
    <row r="4336" spans="1:15" x14ac:dyDescent="0.3">
      <c r="A4336" s="94" t="s">
        <v>2131</v>
      </c>
      <c r="B4336" s="83" t="e">
        <f t="shared" si="1228"/>
        <v>#REF!</v>
      </c>
      <c r="C4336" s="83" t="e">
        <f t="shared" si="1228"/>
        <v>#REF!</v>
      </c>
      <c r="D4336" s="83" t="e">
        <f t="shared" si="1228"/>
        <v>#REF!</v>
      </c>
      <c r="E4336" s="83" t="e">
        <f t="shared" si="1228"/>
        <v>#REF!</v>
      </c>
      <c r="F4336" s="83" t="e">
        <f t="shared" si="1228"/>
        <v>#REF!</v>
      </c>
      <c r="G4336" s="83" t="e">
        <f t="shared" si="1228"/>
        <v>#REF!</v>
      </c>
      <c r="H4336" s="83" t="e">
        <f t="shared" si="1229"/>
        <v>#REF!</v>
      </c>
      <c r="I4336" s="83" t="e">
        <f t="shared" si="1229"/>
        <v>#REF!</v>
      </c>
      <c r="J4336" s="83" t="e">
        <f t="shared" si="1229"/>
        <v>#REF!</v>
      </c>
      <c r="K4336" s="83" t="e">
        <f t="shared" si="1229"/>
        <v>#REF!</v>
      </c>
      <c r="L4336" s="83" t="e">
        <f t="shared" si="1229"/>
        <v>#REF!</v>
      </c>
      <c r="M4336" s="83" t="e">
        <f t="shared" si="1229"/>
        <v>#REF!</v>
      </c>
      <c r="N4336" s="83" t="e">
        <f t="shared" si="1229"/>
        <v>#REF!</v>
      </c>
    </row>
    <row r="4337" spans="1:30" x14ac:dyDescent="0.3">
      <c r="A4337" s="94" t="s">
        <v>2132</v>
      </c>
      <c r="B4337" s="83" t="e">
        <f t="shared" si="1228"/>
        <v>#REF!</v>
      </c>
      <c r="C4337" s="83" t="e">
        <f t="shared" si="1228"/>
        <v>#REF!</v>
      </c>
      <c r="D4337" s="83" t="e">
        <f t="shared" si="1228"/>
        <v>#REF!</v>
      </c>
      <c r="E4337" s="83" t="e">
        <f t="shared" si="1228"/>
        <v>#REF!</v>
      </c>
      <c r="F4337" s="83" t="e">
        <f t="shared" si="1228"/>
        <v>#REF!</v>
      </c>
      <c r="G4337" s="83" t="e">
        <f t="shared" si="1228"/>
        <v>#REF!</v>
      </c>
      <c r="H4337" s="83" t="e">
        <f t="shared" si="1229"/>
        <v>#REF!</v>
      </c>
      <c r="I4337" s="83" t="e">
        <f t="shared" si="1229"/>
        <v>#REF!</v>
      </c>
      <c r="J4337" s="83" t="e">
        <f t="shared" si="1229"/>
        <v>#REF!</v>
      </c>
      <c r="K4337" s="83" t="e">
        <f t="shared" si="1229"/>
        <v>#REF!</v>
      </c>
      <c r="L4337" s="83" t="e">
        <f t="shared" si="1229"/>
        <v>#REF!</v>
      </c>
      <c r="M4337" s="83" t="e">
        <f t="shared" si="1229"/>
        <v>#REF!</v>
      </c>
      <c r="N4337" s="83" t="e">
        <f t="shared" si="1229"/>
        <v>#REF!</v>
      </c>
    </row>
    <row r="4338" spans="1:30" x14ac:dyDescent="0.3">
      <c r="A4338" s="94" t="s">
        <v>2133</v>
      </c>
      <c r="B4338" s="84"/>
      <c r="C4338" s="75" t="e">
        <f>+C4330/B4330-1</f>
        <v>#REF!</v>
      </c>
      <c r="D4338" s="75" t="e">
        <f t="shared" ref="D4338:N4338" si="1230">+D4330/C4330-1</f>
        <v>#REF!</v>
      </c>
      <c r="E4338" s="75" t="e">
        <f t="shared" si="1230"/>
        <v>#REF!</v>
      </c>
      <c r="F4338" s="75" t="e">
        <f t="shared" si="1230"/>
        <v>#REF!</v>
      </c>
      <c r="G4338" s="75" t="e">
        <f t="shared" si="1230"/>
        <v>#REF!</v>
      </c>
      <c r="H4338" s="75" t="e">
        <f t="shared" si="1230"/>
        <v>#REF!</v>
      </c>
      <c r="I4338" s="75" t="e">
        <f t="shared" si="1230"/>
        <v>#REF!</v>
      </c>
      <c r="J4338" s="75" t="e">
        <f t="shared" si="1230"/>
        <v>#REF!</v>
      </c>
      <c r="K4338" s="75" t="e">
        <f t="shared" si="1230"/>
        <v>#REF!</v>
      </c>
      <c r="L4338" s="75" t="e">
        <f t="shared" si="1230"/>
        <v>#REF!</v>
      </c>
      <c r="M4338" s="75" t="e">
        <f t="shared" si="1230"/>
        <v>#REF!</v>
      </c>
      <c r="N4338" s="75" t="e">
        <f t="shared" si="1230"/>
        <v>#REF!</v>
      </c>
    </row>
    <row r="4339" spans="1:30" x14ac:dyDescent="0.3">
      <c r="A4339" s="94" t="s">
        <v>2123</v>
      </c>
      <c r="B4339" s="84"/>
      <c r="C4339" s="75">
        <f t="shared" ref="C4339:N4339" si="1231">+C4331/B4331-1</f>
        <v>2.9761654041864594E-2</v>
      </c>
      <c r="D4339" s="75">
        <f t="shared" si="1231"/>
        <v>0.17509088857955457</v>
      </c>
      <c r="E4339" s="75">
        <f t="shared" si="1231"/>
        <v>2.0508832022748669E-2</v>
      </c>
      <c r="F4339" s="75">
        <f t="shared" si="1231"/>
        <v>4.4062486101115406E-2</v>
      </c>
      <c r="G4339" s="75">
        <f t="shared" si="1231"/>
        <v>6.8933421250306326E-2</v>
      </c>
      <c r="H4339" s="75">
        <f t="shared" si="1231"/>
        <v>7.0130170122471913E-2</v>
      </c>
      <c r="I4339" s="75">
        <f t="shared" si="1231"/>
        <v>6.8442318217662335E-2</v>
      </c>
      <c r="J4339" s="75">
        <f t="shared" si="1231"/>
        <v>6.6895215452851486E-2</v>
      </c>
      <c r="K4339" s="75">
        <f t="shared" si="1231"/>
        <v>6.547271276436728E-2</v>
      </c>
      <c r="L4339" s="75">
        <f t="shared" si="1231"/>
        <v>6.4161022089782138E-2</v>
      </c>
      <c r="M4339" s="75">
        <f t="shared" si="1231"/>
        <v>6.2948300185519335E-2</v>
      </c>
      <c r="N4339" s="75">
        <f t="shared" si="1231"/>
        <v>6.1824317497132242E-2</v>
      </c>
    </row>
    <row r="4340" spans="1:30" x14ac:dyDescent="0.3">
      <c r="A4340" s="94" t="s">
        <v>2124</v>
      </c>
      <c r="B4340" s="84"/>
      <c r="C4340" s="75" t="e">
        <f t="shared" ref="C4340:N4340" si="1232">+C4332/B4332-1</f>
        <v>#REF!</v>
      </c>
      <c r="D4340" s="75" t="e">
        <f t="shared" si="1232"/>
        <v>#REF!</v>
      </c>
      <c r="E4340" s="75" t="e">
        <f t="shared" si="1232"/>
        <v>#REF!</v>
      </c>
      <c r="F4340" s="75" t="e">
        <f t="shared" si="1232"/>
        <v>#REF!</v>
      </c>
      <c r="G4340" s="75" t="e">
        <f t="shared" si="1232"/>
        <v>#REF!</v>
      </c>
      <c r="H4340" s="75" t="e">
        <f t="shared" si="1232"/>
        <v>#REF!</v>
      </c>
      <c r="I4340" s="75" t="e">
        <f t="shared" si="1232"/>
        <v>#REF!</v>
      </c>
      <c r="J4340" s="75" t="e">
        <f t="shared" si="1232"/>
        <v>#REF!</v>
      </c>
      <c r="K4340" s="75" t="e">
        <f t="shared" si="1232"/>
        <v>#REF!</v>
      </c>
      <c r="L4340" s="75" t="e">
        <f t="shared" si="1232"/>
        <v>#REF!</v>
      </c>
      <c r="M4340" s="75" t="e">
        <f t="shared" si="1232"/>
        <v>#REF!</v>
      </c>
      <c r="N4340" s="75" t="e">
        <f t="shared" si="1232"/>
        <v>#REF!</v>
      </c>
    </row>
    <row r="4341" spans="1:30" x14ac:dyDescent="0.3">
      <c r="A4341" s="94" t="s">
        <v>2125</v>
      </c>
      <c r="B4341" s="84"/>
      <c r="C4341" s="75" t="e">
        <f t="shared" ref="C4341:N4341" si="1233">+C4333/B4333-1</f>
        <v>#REF!</v>
      </c>
      <c r="D4341" s="75" t="e">
        <f t="shared" si="1233"/>
        <v>#REF!</v>
      </c>
      <c r="E4341" s="75" t="e">
        <f t="shared" si="1233"/>
        <v>#REF!</v>
      </c>
      <c r="F4341" s="75" t="e">
        <f t="shared" si="1233"/>
        <v>#REF!</v>
      </c>
      <c r="G4341" s="75" t="e">
        <f t="shared" si="1233"/>
        <v>#REF!</v>
      </c>
      <c r="H4341" s="75" t="e">
        <f t="shared" si="1233"/>
        <v>#REF!</v>
      </c>
      <c r="I4341" s="75" t="e">
        <f t="shared" si="1233"/>
        <v>#REF!</v>
      </c>
      <c r="J4341" s="75" t="e">
        <f t="shared" si="1233"/>
        <v>#REF!</v>
      </c>
      <c r="K4341" s="75" t="e">
        <f t="shared" si="1233"/>
        <v>#REF!</v>
      </c>
      <c r="L4341" s="75" t="e">
        <f t="shared" si="1233"/>
        <v>#REF!</v>
      </c>
      <c r="M4341" s="75" t="e">
        <f t="shared" si="1233"/>
        <v>#REF!</v>
      </c>
      <c r="N4341" s="75" t="e">
        <f t="shared" si="1233"/>
        <v>#REF!</v>
      </c>
    </row>
    <row r="4342" spans="1:30" x14ac:dyDescent="0.3">
      <c r="A4342" s="90"/>
      <c r="B4342" s="92"/>
      <c r="C4342" s="92"/>
      <c r="D4342" s="92"/>
      <c r="E4342" s="92"/>
      <c r="F4342" s="92"/>
      <c r="G4342" s="92"/>
      <c r="H4342" s="92"/>
      <c r="I4342" s="92"/>
      <c r="J4342" s="92"/>
      <c r="K4342" s="92"/>
      <c r="L4342" s="92"/>
      <c r="M4342" s="92"/>
      <c r="N4342" s="92"/>
    </row>
    <row r="4343" spans="1:30" x14ac:dyDescent="0.3">
      <c r="A4343" t="s">
        <v>598</v>
      </c>
      <c r="B4343" s="76" t="e">
        <f t="shared" ref="B4343:G4343" si="1234">+B4324</f>
        <v>#REF!</v>
      </c>
      <c r="C4343" s="76" t="e">
        <f t="shared" si="1234"/>
        <v>#REF!</v>
      </c>
      <c r="D4343" s="76" t="e">
        <f t="shared" si="1234"/>
        <v>#REF!</v>
      </c>
      <c r="E4343" s="76" t="e">
        <f t="shared" si="1234"/>
        <v>#REF!</v>
      </c>
      <c r="F4343" s="76" t="e">
        <f t="shared" si="1234"/>
        <v>#REF!</v>
      </c>
      <c r="G4343" s="76" t="e">
        <f t="shared" si="1234"/>
        <v>#REF!</v>
      </c>
      <c r="H4343" s="76" t="e">
        <f t="shared" ref="H4343:N4343" si="1235">+H4324</f>
        <v>#REF!</v>
      </c>
      <c r="I4343" s="76" t="e">
        <f t="shared" si="1235"/>
        <v>#REF!</v>
      </c>
      <c r="J4343" s="76" t="e">
        <f t="shared" si="1235"/>
        <v>#REF!</v>
      </c>
      <c r="K4343" s="76" t="e">
        <f t="shared" si="1235"/>
        <v>#REF!</v>
      </c>
      <c r="L4343" s="76" t="e">
        <f t="shared" si="1235"/>
        <v>#REF!</v>
      </c>
      <c r="M4343" s="76" t="e">
        <f t="shared" si="1235"/>
        <v>#REF!</v>
      </c>
      <c r="N4343" s="76" t="e">
        <f t="shared" si="1235"/>
        <v>#REF!</v>
      </c>
    </row>
    <row r="4344" spans="1:30" x14ac:dyDescent="0.3">
      <c r="A4344" s="177" t="s">
        <v>2140</v>
      </c>
      <c r="B4344" s="76" t="e">
        <f t="shared" ref="B4344:G4344" si="1236">+B4343-B4345</f>
        <v>#REF!</v>
      </c>
      <c r="C4344" s="76" t="e">
        <f t="shared" si="1236"/>
        <v>#REF!</v>
      </c>
      <c r="D4344" s="76" t="e">
        <f t="shared" si="1236"/>
        <v>#REF!</v>
      </c>
      <c r="E4344" s="76" t="e">
        <f t="shared" si="1236"/>
        <v>#REF!</v>
      </c>
      <c r="F4344" s="76" t="e">
        <f t="shared" si="1236"/>
        <v>#REF!</v>
      </c>
      <c r="G4344" s="76" t="e">
        <f t="shared" si="1236"/>
        <v>#REF!</v>
      </c>
      <c r="H4344" s="76" t="e">
        <f t="shared" ref="H4344:N4344" si="1237">+H4343-H4345</f>
        <v>#REF!</v>
      </c>
      <c r="I4344" s="76" t="e">
        <f t="shared" si="1237"/>
        <v>#REF!</v>
      </c>
      <c r="J4344" s="76" t="e">
        <f t="shared" si="1237"/>
        <v>#REF!</v>
      </c>
      <c r="K4344" s="76" t="e">
        <f t="shared" si="1237"/>
        <v>#REF!</v>
      </c>
      <c r="L4344" s="76" t="e">
        <f t="shared" si="1237"/>
        <v>#REF!</v>
      </c>
      <c r="M4344" s="76" t="e">
        <f t="shared" si="1237"/>
        <v>#REF!</v>
      </c>
      <c r="N4344" s="76" t="e">
        <f t="shared" si="1237"/>
        <v>#REF!</v>
      </c>
    </row>
    <row r="4345" spans="1:30" x14ac:dyDescent="0.3">
      <c r="A4345" s="298" t="s">
        <v>218</v>
      </c>
      <c r="B4345" s="803" t="e">
        <f t="shared" ref="B4345:G4345" si="1238">+B4333</f>
        <v>#REF!</v>
      </c>
      <c r="C4345" s="803" t="e">
        <f t="shared" si="1238"/>
        <v>#REF!</v>
      </c>
      <c r="D4345" s="803" t="e">
        <f t="shared" si="1238"/>
        <v>#REF!</v>
      </c>
      <c r="E4345" s="803" t="e">
        <f t="shared" si="1238"/>
        <v>#REF!</v>
      </c>
      <c r="F4345" s="803" t="e">
        <f t="shared" si="1238"/>
        <v>#REF!</v>
      </c>
      <c r="G4345" s="803" t="e">
        <f t="shared" si="1238"/>
        <v>#REF!</v>
      </c>
      <c r="H4345" s="803" t="e">
        <f t="shared" ref="H4345:N4345" si="1239">+H4333</f>
        <v>#REF!</v>
      </c>
      <c r="I4345" s="803" t="e">
        <f t="shared" si="1239"/>
        <v>#REF!</v>
      </c>
      <c r="J4345" s="803" t="e">
        <f t="shared" si="1239"/>
        <v>#REF!</v>
      </c>
      <c r="K4345" s="803" t="e">
        <f t="shared" si="1239"/>
        <v>#REF!</v>
      </c>
      <c r="L4345" s="803" t="e">
        <f t="shared" si="1239"/>
        <v>#REF!</v>
      </c>
      <c r="M4345" s="803" t="e">
        <f t="shared" si="1239"/>
        <v>#REF!</v>
      </c>
      <c r="N4345" s="803" t="e">
        <f t="shared" si="1239"/>
        <v>#REF!</v>
      </c>
      <c r="O4345" s="76"/>
    </row>
    <row r="4346" spans="1:30" x14ac:dyDescent="0.3">
      <c r="A4346" s="177" t="s">
        <v>2141</v>
      </c>
      <c r="B4346" s="76" t="e">
        <f>+B4345-SUM(B4347:B4350)</f>
        <v>#REF!</v>
      </c>
      <c r="C4346" s="76" t="e">
        <f>+C4345-SUM(C4347:C4350)</f>
        <v>#REF!</v>
      </c>
      <c r="D4346" s="76">
        <f t="shared" ref="D4346:N4346" si="1240">+D4279</f>
        <v>368</v>
      </c>
      <c r="E4346" s="76">
        <f t="shared" si="1240"/>
        <v>452</v>
      </c>
      <c r="F4346" s="76">
        <f t="shared" si="1240"/>
        <v>453</v>
      </c>
      <c r="G4346" s="76">
        <f t="shared" si="1240"/>
        <v>466</v>
      </c>
      <c r="H4346" s="76">
        <f t="shared" si="1240"/>
        <v>455</v>
      </c>
      <c r="I4346" s="76">
        <f t="shared" si="1240"/>
        <v>462</v>
      </c>
      <c r="J4346" s="76">
        <f t="shared" si="1240"/>
        <v>470</v>
      </c>
      <c r="K4346" s="76">
        <f t="shared" si="1240"/>
        <v>470</v>
      </c>
      <c r="L4346" s="76">
        <f t="shared" si="1240"/>
        <v>507</v>
      </c>
      <c r="M4346" s="76">
        <f t="shared" si="1240"/>
        <v>603</v>
      </c>
      <c r="N4346" s="76">
        <f t="shared" si="1240"/>
        <v>656</v>
      </c>
    </row>
    <row r="4347" spans="1:30" x14ac:dyDescent="0.3">
      <c r="A4347" s="177" t="s">
        <v>2142</v>
      </c>
      <c r="B4347" s="95">
        <f>+C4347</f>
        <v>311</v>
      </c>
      <c r="C4347" s="95">
        <f>+D4347</f>
        <v>311</v>
      </c>
      <c r="D4347" s="76">
        <f t="shared" ref="D4347:N4347" si="1241">+D4280</f>
        <v>311</v>
      </c>
      <c r="E4347" s="76">
        <f t="shared" si="1241"/>
        <v>259</v>
      </c>
      <c r="F4347" s="76">
        <f t="shared" si="1241"/>
        <v>262</v>
      </c>
      <c r="G4347" s="76">
        <f t="shared" si="1241"/>
        <v>278</v>
      </c>
      <c r="H4347" s="76">
        <f t="shared" si="1241"/>
        <v>283</v>
      </c>
      <c r="I4347" s="76">
        <f t="shared" si="1241"/>
        <v>285</v>
      </c>
      <c r="J4347" s="76">
        <f t="shared" si="1241"/>
        <v>291</v>
      </c>
      <c r="K4347" s="76">
        <f t="shared" si="1241"/>
        <v>292</v>
      </c>
      <c r="L4347" s="76">
        <f t="shared" si="1241"/>
        <v>293</v>
      </c>
      <c r="M4347" s="76">
        <f t="shared" si="1241"/>
        <v>294</v>
      </c>
      <c r="N4347" s="76">
        <f t="shared" si="1241"/>
        <v>293</v>
      </c>
    </row>
    <row r="4348" spans="1:30" ht="10.5" customHeight="1" x14ac:dyDescent="0.3">
      <c r="A4348" s="177" t="s">
        <v>2143</v>
      </c>
      <c r="B4348" s="95">
        <f>+C4348</f>
        <v>63</v>
      </c>
      <c r="C4348" s="95">
        <f>+D4348</f>
        <v>63</v>
      </c>
      <c r="D4348" s="76">
        <f t="shared" ref="D4348:N4348" si="1242">+D4281</f>
        <v>63</v>
      </c>
      <c r="E4348" s="76">
        <f t="shared" si="1242"/>
        <v>63</v>
      </c>
      <c r="F4348" s="76">
        <f t="shared" si="1242"/>
        <v>63</v>
      </c>
      <c r="G4348" s="76">
        <f t="shared" si="1242"/>
        <v>64</v>
      </c>
      <c r="H4348" s="76">
        <f t="shared" si="1242"/>
        <v>63</v>
      </c>
      <c r="I4348" s="76">
        <f t="shared" si="1242"/>
        <v>62</v>
      </c>
      <c r="J4348" s="76">
        <f t="shared" si="1242"/>
        <v>61</v>
      </c>
      <c r="K4348" s="76">
        <f t="shared" si="1242"/>
        <v>59</v>
      </c>
      <c r="L4348" s="76">
        <f t="shared" si="1242"/>
        <v>58</v>
      </c>
      <c r="M4348" s="76">
        <f t="shared" si="1242"/>
        <v>57</v>
      </c>
      <c r="N4348" s="76">
        <f t="shared" si="1242"/>
        <v>57</v>
      </c>
    </row>
    <row r="4349" spans="1:30" x14ac:dyDescent="0.3">
      <c r="A4349" s="177" t="s">
        <v>101</v>
      </c>
      <c r="B4349" s="76">
        <f t="shared" ref="B4349:G4349" si="1243">+B4256</f>
        <v>1141</v>
      </c>
      <c r="C4349" s="76">
        <f>+C4256</f>
        <v>1427</v>
      </c>
      <c r="D4349" s="76">
        <v>1200</v>
      </c>
      <c r="E4349" s="76">
        <f t="shared" si="1243"/>
        <v>983</v>
      </c>
      <c r="F4349" s="76">
        <f t="shared" si="1243"/>
        <v>984</v>
      </c>
      <c r="G4349" s="76">
        <f t="shared" si="1243"/>
        <v>995</v>
      </c>
      <c r="H4349" s="76" t="e">
        <f t="shared" ref="H4349:N4349" si="1244">+H4351*H4324</f>
        <v>#REF!</v>
      </c>
      <c r="I4349" s="76" t="e">
        <f t="shared" si="1244"/>
        <v>#REF!</v>
      </c>
      <c r="J4349" s="76" t="e">
        <f t="shared" si="1244"/>
        <v>#REF!</v>
      </c>
      <c r="K4349" s="76" t="e">
        <f t="shared" si="1244"/>
        <v>#REF!</v>
      </c>
      <c r="L4349" s="76" t="e">
        <f t="shared" si="1244"/>
        <v>#REF!</v>
      </c>
      <c r="M4349" s="76" t="e">
        <f t="shared" si="1244"/>
        <v>#REF!</v>
      </c>
      <c r="N4349" s="76" t="e">
        <f t="shared" si="1244"/>
        <v>#REF!</v>
      </c>
    </row>
    <row r="4350" spans="1:30" x14ac:dyDescent="0.3">
      <c r="A4350" s="298" t="s">
        <v>103</v>
      </c>
      <c r="B4350" s="252">
        <f>+'Model Main'!DY132</f>
        <v>282</v>
      </c>
      <c r="C4350" s="252">
        <f>+'Model Main'!ED132</f>
        <v>1211</v>
      </c>
      <c r="D4350" s="381" t="e">
        <f t="shared" ref="D4350:N4350" si="1245">+D4345-SUM(D4346:D4349)</f>
        <v>#REF!</v>
      </c>
      <c r="E4350" s="381" t="e">
        <f t="shared" si="1245"/>
        <v>#REF!</v>
      </c>
      <c r="F4350" s="381" t="e">
        <f t="shared" si="1245"/>
        <v>#REF!</v>
      </c>
      <c r="G4350" s="381" t="e">
        <f t="shared" si="1245"/>
        <v>#REF!</v>
      </c>
      <c r="H4350" s="381" t="e">
        <f t="shared" si="1245"/>
        <v>#REF!</v>
      </c>
      <c r="I4350" s="381" t="e">
        <f t="shared" si="1245"/>
        <v>#REF!</v>
      </c>
      <c r="J4350" s="381" t="e">
        <f t="shared" si="1245"/>
        <v>#REF!</v>
      </c>
      <c r="K4350" s="381" t="e">
        <f t="shared" si="1245"/>
        <v>#REF!</v>
      </c>
      <c r="L4350" s="381" t="e">
        <f t="shared" si="1245"/>
        <v>#REF!</v>
      </c>
      <c r="M4350" s="381" t="e">
        <f t="shared" si="1245"/>
        <v>#REF!</v>
      </c>
      <c r="N4350" s="381" t="e">
        <f t="shared" si="1245"/>
        <v>#REF!</v>
      </c>
      <c r="AD4350" s="76"/>
    </row>
    <row r="4351" spans="1:30" x14ac:dyDescent="0.3">
      <c r="A4351" t="s">
        <v>2144</v>
      </c>
      <c r="B4351" s="75" t="e">
        <f t="shared" ref="B4351:G4351" si="1246">+B4349/B4343</f>
        <v>#REF!</v>
      </c>
      <c r="C4351" s="75" t="e">
        <f t="shared" si="1246"/>
        <v>#REF!</v>
      </c>
      <c r="D4351" s="75" t="e">
        <f t="shared" si="1246"/>
        <v>#REF!</v>
      </c>
      <c r="E4351" s="75" t="e">
        <f t="shared" si="1246"/>
        <v>#REF!</v>
      </c>
      <c r="F4351" s="75" t="e">
        <f t="shared" si="1246"/>
        <v>#REF!</v>
      </c>
      <c r="G4351" s="75" t="e">
        <f t="shared" si="1246"/>
        <v>#REF!</v>
      </c>
      <c r="H4351" s="87" t="e">
        <f>+G4351*0.95</f>
        <v>#REF!</v>
      </c>
      <c r="I4351" s="87" t="e">
        <f t="shared" ref="I4351:N4351" si="1247">+H4351*0.999</f>
        <v>#REF!</v>
      </c>
      <c r="J4351" s="87" t="e">
        <f t="shared" si="1247"/>
        <v>#REF!</v>
      </c>
      <c r="K4351" s="87" t="e">
        <f t="shared" si="1247"/>
        <v>#REF!</v>
      </c>
      <c r="L4351" s="87" t="e">
        <f t="shared" si="1247"/>
        <v>#REF!</v>
      </c>
      <c r="M4351" s="87" t="e">
        <f t="shared" si="1247"/>
        <v>#REF!</v>
      </c>
      <c r="N4351" s="87" t="e">
        <f t="shared" si="1247"/>
        <v>#REF!</v>
      </c>
      <c r="AD4351" s="76"/>
    </row>
    <row r="4352" spans="1:30" x14ac:dyDescent="0.3">
      <c r="A4352" s="298"/>
      <c r="B4352" s="471"/>
      <c r="C4352" s="471"/>
      <c r="D4352" s="85"/>
      <c r="E4352" s="85"/>
      <c r="F4352" s="85"/>
      <c r="G4352" s="85"/>
    </row>
    <row r="4353" spans="1:14" x14ac:dyDescent="0.3">
      <c r="A4353" s="472" t="s">
        <v>2145</v>
      </c>
      <c r="B4353" s="471"/>
      <c r="C4353" s="471"/>
      <c r="D4353" s="85"/>
      <c r="E4353" s="85"/>
      <c r="F4353" s="85"/>
      <c r="G4353" s="85"/>
    </row>
    <row r="4354" spans="1:14" x14ac:dyDescent="0.3">
      <c r="A4354" s="177" t="s">
        <v>2146</v>
      </c>
      <c r="B4354" s="471"/>
      <c r="C4354" s="79">
        <f>+C4356+C4355</f>
        <v>2204</v>
      </c>
      <c r="D4354" s="76">
        <f t="shared" ref="D4354:N4354" si="1248">+C4356</f>
        <v>993</v>
      </c>
      <c r="E4354" s="76" t="e">
        <f t="shared" si="1248"/>
        <v>#REF!</v>
      </c>
      <c r="F4354" s="76" t="e">
        <f t="shared" si="1248"/>
        <v>#REF!</v>
      </c>
      <c r="G4354" s="76" t="e">
        <f t="shared" si="1248"/>
        <v>#REF!</v>
      </c>
      <c r="H4354" s="76" t="e">
        <f t="shared" si="1248"/>
        <v>#REF!</v>
      </c>
      <c r="I4354" s="76" t="e">
        <f t="shared" si="1248"/>
        <v>#REF!</v>
      </c>
      <c r="J4354" s="76" t="e">
        <f t="shared" si="1248"/>
        <v>#REF!</v>
      </c>
      <c r="K4354" s="76" t="e">
        <f t="shared" si="1248"/>
        <v>#REF!</v>
      </c>
      <c r="L4354" s="76" t="e">
        <f t="shared" si="1248"/>
        <v>#REF!</v>
      </c>
      <c r="M4354" s="76" t="e">
        <f t="shared" si="1248"/>
        <v>#REF!</v>
      </c>
      <c r="N4354" s="76" t="e">
        <f t="shared" si="1248"/>
        <v>#REF!</v>
      </c>
    </row>
    <row r="4355" spans="1:14" x14ac:dyDescent="0.3">
      <c r="A4355" s="177" t="s">
        <v>2147</v>
      </c>
      <c r="B4355" s="471"/>
      <c r="C4355" s="79">
        <f>+C4350</f>
        <v>1211</v>
      </c>
      <c r="D4355" s="76" t="e">
        <f>+D4350</f>
        <v>#REF!</v>
      </c>
      <c r="E4355" s="76" t="e">
        <f>+E4350</f>
        <v>#REF!</v>
      </c>
      <c r="F4355" s="76" t="e">
        <f>+F4350</f>
        <v>#REF!</v>
      </c>
      <c r="G4355" s="76" t="e">
        <f>+G4350</f>
        <v>#REF!</v>
      </c>
      <c r="H4355" s="76" t="e">
        <f t="shared" ref="H4355:N4355" si="1249">+H4350</f>
        <v>#REF!</v>
      </c>
      <c r="I4355" s="76" t="e">
        <f t="shared" si="1249"/>
        <v>#REF!</v>
      </c>
      <c r="J4355" s="76" t="e">
        <f t="shared" si="1249"/>
        <v>#REF!</v>
      </c>
      <c r="K4355" s="76" t="e">
        <f t="shared" si="1249"/>
        <v>#REF!</v>
      </c>
      <c r="L4355" s="76" t="e">
        <f t="shared" si="1249"/>
        <v>#REF!</v>
      </c>
      <c r="M4355" s="76" t="e">
        <f t="shared" si="1249"/>
        <v>#REF!</v>
      </c>
      <c r="N4355" s="76" t="e">
        <f t="shared" si="1249"/>
        <v>#REF!</v>
      </c>
    </row>
    <row r="4356" spans="1:14" x14ac:dyDescent="0.3">
      <c r="A4356" s="298" t="s">
        <v>2148</v>
      </c>
      <c r="B4356" s="471"/>
      <c r="C4356" s="252">
        <f>+'Model Main'!$EF$197</f>
        <v>993</v>
      </c>
      <c r="D4356" s="381" t="e">
        <f t="shared" ref="D4356:N4356" si="1250">+D4354+D4355</f>
        <v>#REF!</v>
      </c>
      <c r="E4356" s="381" t="e">
        <f t="shared" si="1250"/>
        <v>#REF!</v>
      </c>
      <c r="F4356" s="381" t="e">
        <f t="shared" si="1250"/>
        <v>#REF!</v>
      </c>
      <c r="G4356" s="381" t="e">
        <f t="shared" si="1250"/>
        <v>#REF!</v>
      </c>
      <c r="H4356" s="381" t="e">
        <f t="shared" si="1250"/>
        <v>#REF!</v>
      </c>
      <c r="I4356" s="381" t="e">
        <f t="shared" si="1250"/>
        <v>#REF!</v>
      </c>
      <c r="J4356" s="381" t="e">
        <f t="shared" si="1250"/>
        <v>#REF!</v>
      </c>
      <c r="K4356" s="381" t="e">
        <f t="shared" si="1250"/>
        <v>#REF!</v>
      </c>
      <c r="L4356" s="381" t="e">
        <f t="shared" si="1250"/>
        <v>#REF!</v>
      </c>
      <c r="M4356" s="381" t="e">
        <f t="shared" si="1250"/>
        <v>#REF!</v>
      </c>
      <c r="N4356" s="381" t="e">
        <f t="shared" si="1250"/>
        <v>#REF!</v>
      </c>
    </row>
    <row r="4357" spans="1:14" x14ac:dyDescent="0.3">
      <c r="A4357" s="177"/>
    </row>
    <row r="4358" spans="1:14" x14ac:dyDescent="0.3">
      <c r="A4358" s="141" t="s">
        <v>2149</v>
      </c>
    </row>
    <row r="4359" spans="1:14" x14ac:dyDescent="0.3">
      <c r="A4359" t="s">
        <v>2150</v>
      </c>
      <c r="C4359" s="76">
        <f>+C4361+C4360</f>
        <v>7022</v>
      </c>
      <c r="D4359" s="95">
        <f>+C4359</f>
        <v>7022</v>
      </c>
      <c r="E4359" s="95">
        <f t="shared" ref="E4359:N4359" si="1251">+D4359</f>
        <v>7022</v>
      </c>
      <c r="F4359" s="95">
        <f t="shared" si="1251"/>
        <v>7022</v>
      </c>
      <c r="G4359" s="95">
        <f t="shared" si="1251"/>
        <v>7022</v>
      </c>
      <c r="H4359" s="95">
        <f t="shared" si="1251"/>
        <v>7022</v>
      </c>
      <c r="I4359" s="95">
        <f t="shared" si="1251"/>
        <v>7022</v>
      </c>
      <c r="J4359" s="95">
        <f t="shared" si="1251"/>
        <v>7022</v>
      </c>
      <c r="K4359" s="95">
        <f t="shared" si="1251"/>
        <v>7022</v>
      </c>
      <c r="L4359" s="95">
        <f t="shared" si="1251"/>
        <v>7022</v>
      </c>
      <c r="M4359" s="95">
        <f t="shared" si="1251"/>
        <v>7022</v>
      </c>
      <c r="N4359" s="95">
        <f t="shared" si="1251"/>
        <v>7022</v>
      </c>
    </row>
    <row r="4360" spans="1:14" x14ac:dyDescent="0.3">
      <c r="A4360" s="177" t="s">
        <v>2151</v>
      </c>
      <c r="C4360" s="76">
        <f>+C4356</f>
        <v>993</v>
      </c>
      <c r="D4360" s="76" t="e">
        <f>+D4356</f>
        <v>#REF!</v>
      </c>
      <c r="E4360" s="76" t="e">
        <f t="shared" ref="E4360:N4360" si="1252">+E4356</f>
        <v>#REF!</v>
      </c>
      <c r="F4360" s="76" t="e">
        <f t="shared" si="1252"/>
        <v>#REF!</v>
      </c>
      <c r="G4360" s="76" t="e">
        <f t="shared" si="1252"/>
        <v>#REF!</v>
      </c>
      <c r="H4360" s="76" t="e">
        <f t="shared" si="1252"/>
        <v>#REF!</v>
      </c>
      <c r="I4360" s="76" t="e">
        <f t="shared" si="1252"/>
        <v>#REF!</v>
      </c>
      <c r="J4360" s="76" t="e">
        <f t="shared" si="1252"/>
        <v>#REF!</v>
      </c>
      <c r="K4360" s="76" t="e">
        <f t="shared" si="1252"/>
        <v>#REF!</v>
      </c>
      <c r="L4360" s="76" t="e">
        <f t="shared" si="1252"/>
        <v>#REF!</v>
      </c>
      <c r="M4360" s="76" t="e">
        <f t="shared" si="1252"/>
        <v>#REF!</v>
      </c>
      <c r="N4360" s="76" t="e">
        <f t="shared" si="1252"/>
        <v>#REF!</v>
      </c>
    </row>
    <row r="4361" spans="1:14" x14ac:dyDescent="0.3">
      <c r="A4361" s="298" t="s">
        <v>2152</v>
      </c>
      <c r="C4361" s="855">
        <f>+'Model Main'!EF198</f>
        <v>6029</v>
      </c>
      <c r="D4361" s="803" t="e">
        <f>+D4359-D4360</f>
        <v>#REF!</v>
      </c>
      <c r="E4361" s="803" t="e">
        <f t="shared" ref="E4361:N4361" si="1253">+E4359-E4360</f>
        <v>#REF!</v>
      </c>
      <c r="F4361" s="803" t="e">
        <f t="shared" si="1253"/>
        <v>#REF!</v>
      </c>
      <c r="G4361" s="803" t="e">
        <f t="shared" si="1253"/>
        <v>#REF!</v>
      </c>
      <c r="H4361" s="803" t="e">
        <f t="shared" si="1253"/>
        <v>#REF!</v>
      </c>
      <c r="I4361" s="803" t="e">
        <f t="shared" si="1253"/>
        <v>#REF!</v>
      </c>
      <c r="J4361" s="803" t="e">
        <f t="shared" si="1253"/>
        <v>#REF!</v>
      </c>
      <c r="K4361" s="803" t="e">
        <f t="shared" si="1253"/>
        <v>#REF!</v>
      </c>
      <c r="L4361" s="803" t="e">
        <f t="shared" si="1253"/>
        <v>#REF!</v>
      </c>
      <c r="M4361" s="803" t="e">
        <f t="shared" si="1253"/>
        <v>#REF!</v>
      </c>
      <c r="N4361" s="803" t="e">
        <f t="shared" si="1253"/>
        <v>#REF!</v>
      </c>
    </row>
    <row r="4362" spans="1:14" x14ac:dyDescent="0.3">
      <c r="A4362" s="177" t="s">
        <v>1272</v>
      </c>
      <c r="C4362" s="76" t="e">
        <f t="shared" ref="C4362:N4362" si="1254">+C4345</f>
        <v>#REF!</v>
      </c>
      <c r="D4362" s="76" t="e">
        <f t="shared" si="1254"/>
        <v>#REF!</v>
      </c>
      <c r="E4362" s="76" t="e">
        <f t="shared" si="1254"/>
        <v>#REF!</v>
      </c>
      <c r="F4362" s="76" t="e">
        <f t="shared" si="1254"/>
        <v>#REF!</v>
      </c>
      <c r="G4362" s="76" t="e">
        <f t="shared" si="1254"/>
        <v>#REF!</v>
      </c>
      <c r="H4362" s="76" t="e">
        <f t="shared" si="1254"/>
        <v>#REF!</v>
      </c>
      <c r="I4362" s="76" t="e">
        <f t="shared" si="1254"/>
        <v>#REF!</v>
      </c>
      <c r="J4362" s="76" t="e">
        <f t="shared" si="1254"/>
        <v>#REF!</v>
      </c>
      <c r="K4362" s="76" t="e">
        <f t="shared" si="1254"/>
        <v>#REF!</v>
      </c>
      <c r="L4362" s="76" t="e">
        <f t="shared" si="1254"/>
        <v>#REF!</v>
      </c>
      <c r="M4362" s="76" t="e">
        <f t="shared" si="1254"/>
        <v>#REF!</v>
      </c>
      <c r="N4362" s="76" t="e">
        <f t="shared" si="1254"/>
        <v>#REF!</v>
      </c>
    </row>
    <row r="4363" spans="1:14" x14ac:dyDescent="0.3">
      <c r="A4363" s="298" t="s">
        <v>2153</v>
      </c>
      <c r="C4363" s="470" t="e">
        <f>+C4361/C4362</f>
        <v>#REF!</v>
      </c>
      <c r="D4363" s="470" t="e">
        <f>+D4361/D4362</f>
        <v>#REF!</v>
      </c>
      <c r="E4363" s="470" t="e">
        <f>+E4361/E4362</f>
        <v>#REF!</v>
      </c>
      <c r="F4363" s="470" t="e">
        <f>+F4361/F4362</f>
        <v>#REF!</v>
      </c>
      <c r="G4363" s="470" t="e">
        <f>+G4361/G4362</f>
        <v>#REF!</v>
      </c>
      <c r="H4363" s="470" t="e">
        <f t="shared" ref="H4363:N4363" si="1255">+H4361/H4362</f>
        <v>#REF!</v>
      </c>
      <c r="I4363" s="470" t="e">
        <f t="shared" si="1255"/>
        <v>#REF!</v>
      </c>
      <c r="J4363" s="470" t="e">
        <f t="shared" si="1255"/>
        <v>#REF!</v>
      </c>
      <c r="K4363" s="470" t="e">
        <f t="shared" si="1255"/>
        <v>#REF!</v>
      </c>
      <c r="L4363" s="470" t="e">
        <f t="shared" si="1255"/>
        <v>#REF!</v>
      </c>
      <c r="M4363" s="470" t="e">
        <f t="shared" si="1255"/>
        <v>#REF!</v>
      </c>
      <c r="N4363" s="470" t="e">
        <f t="shared" si="1255"/>
        <v>#REF!</v>
      </c>
    </row>
    <row r="4364" spans="1:14" x14ac:dyDescent="0.3">
      <c r="A4364" s="465" t="s">
        <v>2154</v>
      </c>
      <c r="C4364" s="523" t="e">
        <f>+C4359/C4362</f>
        <v>#REF!</v>
      </c>
      <c r="D4364" s="523" t="e">
        <f t="shared" ref="D4364:N4364" si="1256">+D4359/D4362</f>
        <v>#REF!</v>
      </c>
      <c r="E4364" s="523" t="e">
        <f t="shared" si="1256"/>
        <v>#REF!</v>
      </c>
      <c r="F4364" s="523" t="e">
        <f t="shared" si="1256"/>
        <v>#REF!</v>
      </c>
      <c r="G4364" s="523" t="e">
        <f t="shared" si="1256"/>
        <v>#REF!</v>
      </c>
      <c r="H4364" s="523" t="e">
        <f t="shared" si="1256"/>
        <v>#REF!</v>
      </c>
      <c r="I4364" s="523" t="e">
        <f t="shared" si="1256"/>
        <v>#REF!</v>
      </c>
      <c r="J4364" s="523" t="e">
        <f t="shared" si="1256"/>
        <v>#REF!</v>
      </c>
      <c r="K4364" s="523" t="e">
        <f t="shared" si="1256"/>
        <v>#REF!</v>
      </c>
      <c r="L4364" s="523" t="e">
        <f t="shared" si="1256"/>
        <v>#REF!</v>
      </c>
      <c r="M4364" s="523" t="e">
        <f t="shared" si="1256"/>
        <v>#REF!</v>
      </c>
      <c r="N4364" s="523" t="e">
        <f t="shared" si="1256"/>
        <v>#REF!</v>
      </c>
    </row>
    <row r="4365" spans="1:14" x14ac:dyDescent="0.3">
      <c r="A4365" s="465"/>
      <c r="C4365" s="523"/>
      <c r="D4365" s="523"/>
      <c r="E4365" s="523"/>
      <c r="F4365" s="523"/>
      <c r="G4365" s="523"/>
      <c r="H4365" s="523"/>
      <c r="I4365" s="523"/>
      <c r="J4365" s="523"/>
      <c r="K4365" s="523"/>
      <c r="L4365" s="523"/>
      <c r="M4365" s="523"/>
      <c r="N4365" s="523"/>
    </row>
    <row r="4366" spans="1:14" x14ac:dyDescent="0.3">
      <c r="A4366" s="465" t="s">
        <v>2155</v>
      </c>
      <c r="C4366" s="523"/>
      <c r="D4366" s="503">
        <f>+D4426</f>
        <v>16.12003744818378</v>
      </c>
      <c r="E4366" s="503">
        <f t="shared" ref="E4366:N4366" si="1257">+E4426</f>
        <v>63.833822074992639</v>
      </c>
      <c r="F4366" s="503">
        <f t="shared" si="1257"/>
        <v>164.50477409471998</v>
      </c>
      <c r="G4366" s="503">
        <f t="shared" si="1257"/>
        <v>329.54174155114299</v>
      </c>
      <c r="H4366" s="503">
        <f t="shared" si="1257"/>
        <v>555.86766612619806</v>
      </c>
      <c r="I4366" s="503">
        <f t="shared" si="1257"/>
        <v>837.17839965915698</v>
      </c>
      <c r="J4366" s="503">
        <f t="shared" si="1257"/>
        <v>1164.6795715857704</v>
      </c>
      <c r="K4366" s="503">
        <f t="shared" si="1257"/>
        <v>1527.4283526046154</v>
      </c>
      <c r="L4366" s="503">
        <f t="shared" si="1257"/>
        <v>1891.0220051823994</v>
      </c>
      <c r="M4366" s="503">
        <f t="shared" si="1257"/>
        <v>2214.7497950566876</v>
      </c>
      <c r="N4366" s="503">
        <f t="shared" si="1257"/>
        <v>2477.7136097887355</v>
      </c>
    </row>
    <row r="4367" spans="1:14" x14ac:dyDescent="0.3">
      <c r="A4367" s="465" t="s">
        <v>2156</v>
      </c>
      <c r="C4367" s="523"/>
      <c r="D4367" s="523" t="e">
        <f>+$C$4361/(D4366+D4362)</f>
        <v>#REF!</v>
      </c>
      <c r="E4367" s="523" t="e">
        <f t="shared" ref="E4367:N4367" si="1258">+$C$4361/(E4366+E4362)</f>
        <v>#REF!</v>
      </c>
      <c r="F4367" s="523" t="e">
        <f t="shared" si="1258"/>
        <v>#REF!</v>
      </c>
      <c r="G4367" s="523" t="e">
        <f t="shared" si="1258"/>
        <v>#REF!</v>
      </c>
      <c r="H4367" s="523" t="e">
        <f t="shared" si="1258"/>
        <v>#REF!</v>
      </c>
      <c r="I4367" s="523" t="e">
        <f t="shared" si="1258"/>
        <v>#REF!</v>
      </c>
      <c r="J4367" s="523" t="e">
        <f t="shared" si="1258"/>
        <v>#REF!</v>
      </c>
      <c r="K4367" s="523" t="e">
        <f t="shared" si="1258"/>
        <v>#REF!</v>
      </c>
      <c r="L4367" s="523" t="e">
        <f t="shared" si="1258"/>
        <v>#REF!</v>
      </c>
      <c r="M4367" s="523" t="e">
        <f t="shared" si="1258"/>
        <v>#REF!</v>
      </c>
      <c r="N4367" s="523" t="e">
        <f t="shared" si="1258"/>
        <v>#REF!</v>
      </c>
    </row>
    <row r="4368" spans="1:14" x14ac:dyDescent="0.3">
      <c r="A4368" s="114"/>
      <c r="B4368" s="114"/>
      <c r="C4368" s="114"/>
      <c r="D4368" s="114"/>
      <c r="E4368" s="114"/>
      <c r="F4368" s="114"/>
      <c r="G4368" s="114"/>
      <c r="H4368" s="114"/>
      <c r="I4368" s="114"/>
      <c r="J4368" s="114"/>
      <c r="K4368" s="114"/>
      <c r="L4368" s="114"/>
      <c r="M4368" s="114"/>
      <c r="N4368" s="114"/>
    </row>
    <row r="4369" spans="1:15" x14ac:dyDescent="0.3">
      <c r="A4369" s="141"/>
    </row>
    <row r="4370" spans="1:15" x14ac:dyDescent="0.3">
      <c r="A4370" s="141"/>
    </row>
    <row r="4371" spans="1:15" x14ac:dyDescent="0.3">
      <c r="A4371" s="141" t="s">
        <v>2157</v>
      </c>
      <c r="D4371" s="74"/>
    </row>
    <row r="4372" spans="1:15" ht="36" x14ac:dyDescent="0.3">
      <c r="A4372" s="506"/>
      <c r="B4372" s="457"/>
      <c r="C4372" s="457"/>
      <c r="D4372" s="457">
        <v>2021</v>
      </c>
      <c r="E4372" s="457">
        <f>+D4372+1</f>
        <v>2022</v>
      </c>
      <c r="F4372" s="457">
        <f t="shared" ref="F4372:N4372" si="1259">+E4372+1</f>
        <v>2023</v>
      </c>
      <c r="G4372" s="457">
        <f t="shared" si="1259"/>
        <v>2024</v>
      </c>
      <c r="H4372" s="457">
        <f t="shared" si="1259"/>
        <v>2025</v>
      </c>
      <c r="I4372" s="457">
        <f t="shared" si="1259"/>
        <v>2026</v>
      </c>
      <c r="J4372" s="457">
        <f t="shared" si="1259"/>
        <v>2027</v>
      </c>
      <c r="K4372" s="457">
        <f t="shared" si="1259"/>
        <v>2028</v>
      </c>
      <c r="L4372" s="457">
        <f t="shared" si="1259"/>
        <v>2029</v>
      </c>
      <c r="M4372" s="457">
        <f t="shared" si="1259"/>
        <v>2030</v>
      </c>
      <c r="N4372" s="457">
        <f t="shared" si="1259"/>
        <v>2031</v>
      </c>
      <c r="O4372" s="507" t="s">
        <v>2158</v>
      </c>
    </row>
    <row r="4373" spans="1:15" x14ac:dyDescent="0.3">
      <c r="A4373" t="s">
        <v>2159</v>
      </c>
      <c r="D4373" s="95">
        <v>272</v>
      </c>
      <c r="E4373" s="95">
        <v>1037</v>
      </c>
      <c r="F4373" s="95">
        <v>1196</v>
      </c>
      <c r="G4373" s="95">
        <v>1361</v>
      </c>
      <c r="H4373" s="95">
        <v>1544</v>
      </c>
      <c r="I4373" s="95">
        <v>1728</v>
      </c>
      <c r="J4373" s="95">
        <v>2036</v>
      </c>
      <c r="K4373" s="95">
        <v>2673</v>
      </c>
      <c r="L4373" s="95">
        <v>2674</v>
      </c>
      <c r="M4373" s="95">
        <v>2675</v>
      </c>
      <c r="N4373" s="95">
        <v>2675</v>
      </c>
      <c r="O4373" s="76">
        <f>+N4373</f>
        <v>2675</v>
      </c>
    </row>
    <row r="4374" spans="1:15" x14ac:dyDescent="0.3">
      <c r="A4374" t="s">
        <v>2160</v>
      </c>
      <c r="D4374" s="503">
        <f>+D4373</f>
        <v>272</v>
      </c>
      <c r="E4374" s="503">
        <f>+E4373-D4373</f>
        <v>765</v>
      </c>
      <c r="F4374" s="503">
        <f t="shared" ref="F4374:N4374" si="1260">+F4373-E4373</f>
        <v>159</v>
      </c>
      <c r="G4374" s="503">
        <f t="shared" si="1260"/>
        <v>165</v>
      </c>
      <c r="H4374" s="503">
        <f t="shared" si="1260"/>
        <v>183</v>
      </c>
      <c r="I4374" s="503">
        <f t="shared" si="1260"/>
        <v>184</v>
      </c>
      <c r="J4374" s="503">
        <f t="shared" si="1260"/>
        <v>308</v>
      </c>
      <c r="K4374" s="503">
        <f t="shared" si="1260"/>
        <v>637</v>
      </c>
      <c r="L4374" s="503">
        <f t="shared" si="1260"/>
        <v>1</v>
      </c>
      <c r="M4374" s="503">
        <f t="shared" si="1260"/>
        <v>1</v>
      </c>
      <c r="N4374" s="503">
        <f t="shared" si="1260"/>
        <v>0</v>
      </c>
    </row>
    <row r="4375" spans="1:15" x14ac:dyDescent="0.3">
      <c r="D4375" s="95"/>
      <c r="E4375" s="95"/>
      <c r="F4375" s="95"/>
      <c r="G4375" s="95"/>
      <c r="H4375" s="95"/>
      <c r="I4375" s="95"/>
      <c r="J4375" s="95"/>
      <c r="K4375" s="95"/>
      <c r="L4375" s="95"/>
      <c r="M4375" s="95"/>
      <c r="N4375" s="95"/>
    </row>
    <row r="4376" spans="1:15" x14ac:dyDescent="0.3">
      <c r="A4376" t="s">
        <v>2161</v>
      </c>
      <c r="D4376" s="95">
        <v>0</v>
      </c>
      <c r="E4376" s="95">
        <v>21</v>
      </c>
      <c r="F4376" s="95">
        <v>109</v>
      </c>
      <c r="G4376" s="95">
        <v>244</v>
      </c>
      <c r="H4376" s="95">
        <v>372</v>
      </c>
      <c r="I4376" s="95">
        <v>484</v>
      </c>
      <c r="J4376" s="95">
        <v>581</v>
      </c>
      <c r="K4376" s="95">
        <v>676</v>
      </c>
      <c r="L4376" s="95">
        <v>792</v>
      </c>
      <c r="M4376" s="95">
        <v>912</v>
      </c>
      <c r="N4376" s="95">
        <v>1002</v>
      </c>
      <c r="O4376" s="76">
        <f>+N4376</f>
        <v>1002</v>
      </c>
    </row>
    <row r="4377" spans="1:15" x14ac:dyDescent="0.3">
      <c r="A4377" t="s">
        <v>2162</v>
      </c>
      <c r="D4377" s="75">
        <f>+D4376/D4373</f>
        <v>0</v>
      </c>
      <c r="E4377" s="75">
        <f t="shared" ref="E4377:N4377" si="1261">+E4376/E4373</f>
        <v>2.0250723240115717E-2</v>
      </c>
      <c r="F4377" s="75">
        <f t="shared" si="1261"/>
        <v>9.1137123745819393E-2</v>
      </c>
      <c r="G4377" s="75">
        <f t="shared" si="1261"/>
        <v>0.1792799412196914</v>
      </c>
      <c r="H4377" s="75">
        <f t="shared" si="1261"/>
        <v>0.24093264248704663</v>
      </c>
      <c r="I4377" s="75">
        <f t="shared" si="1261"/>
        <v>0.28009259259259262</v>
      </c>
      <c r="J4377" s="75">
        <f t="shared" si="1261"/>
        <v>0.28536345776031435</v>
      </c>
      <c r="K4377" s="75">
        <f t="shared" si="1261"/>
        <v>0.25289936401047514</v>
      </c>
      <c r="L4377" s="75">
        <f t="shared" si="1261"/>
        <v>0.29618548990276738</v>
      </c>
      <c r="M4377" s="75">
        <f t="shared" si="1261"/>
        <v>0.34093457943925232</v>
      </c>
      <c r="N4377" s="75">
        <f t="shared" si="1261"/>
        <v>0.37457943925233644</v>
      </c>
    </row>
    <row r="4378" spans="1:15" x14ac:dyDescent="0.3">
      <c r="D4378" s="75"/>
      <c r="E4378" s="75"/>
      <c r="F4378" s="75"/>
      <c r="G4378" s="75"/>
      <c r="H4378" s="75"/>
      <c r="I4378" s="75"/>
      <c r="J4378" s="75"/>
      <c r="K4378" s="75"/>
      <c r="L4378" s="75"/>
      <c r="M4378" s="75"/>
      <c r="N4378" s="75"/>
    </row>
    <row r="4379" spans="1:15" x14ac:dyDescent="0.3">
      <c r="A4379" t="s">
        <v>2163</v>
      </c>
      <c r="D4379" s="75"/>
      <c r="E4379" s="136"/>
      <c r="F4379" s="136"/>
      <c r="G4379" s="136"/>
      <c r="H4379" s="136"/>
      <c r="I4379" s="136"/>
      <c r="J4379" s="136"/>
      <c r="K4379" s="136"/>
      <c r="L4379" s="136"/>
      <c r="M4379" s="136"/>
      <c r="N4379" s="480">
        <f>+N4383/AVERAGE(M4376:N4376)/12*1000</f>
        <v>85.684430512016732</v>
      </c>
    </row>
    <row r="4380" spans="1:15" x14ac:dyDescent="0.3">
      <c r="A4380" s="94" t="s">
        <v>2164</v>
      </c>
      <c r="D4380" s="76"/>
      <c r="E4380" s="76"/>
      <c r="F4380" s="76"/>
      <c r="G4380" s="76"/>
      <c r="H4380" s="76"/>
      <c r="I4380" s="76"/>
      <c r="J4380" s="76"/>
      <c r="K4380" s="76"/>
      <c r="L4380" s="76"/>
      <c r="M4380" s="76"/>
      <c r="N4380" s="76"/>
    </row>
    <row r="4381" spans="1:15" x14ac:dyDescent="0.3">
      <c r="A4381" s="94"/>
      <c r="D4381" s="76"/>
      <c r="E4381" s="76"/>
      <c r="F4381" s="76"/>
      <c r="G4381" s="76"/>
      <c r="H4381" s="76"/>
      <c r="I4381" s="76"/>
      <c r="J4381" s="76"/>
      <c r="K4381" s="76"/>
      <c r="L4381" s="76"/>
      <c r="M4381" s="76"/>
      <c r="N4381" s="76"/>
    </row>
    <row r="4382" spans="1:15" x14ac:dyDescent="0.3">
      <c r="A4382" s="141" t="s">
        <v>284</v>
      </c>
      <c r="D4382" s="76"/>
      <c r="E4382" s="76"/>
      <c r="F4382" s="76"/>
      <c r="G4382" s="76"/>
      <c r="H4382" s="76"/>
      <c r="I4382" s="76"/>
      <c r="J4382" s="76"/>
      <c r="K4382" s="76"/>
      <c r="L4382" s="76"/>
      <c r="M4382" s="76"/>
      <c r="N4382" s="76"/>
    </row>
    <row r="4383" spans="1:15" x14ac:dyDescent="0.3">
      <c r="A4383" t="s">
        <v>2165</v>
      </c>
      <c r="D4383" s="76"/>
      <c r="E4383" s="76"/>
      <c r="F4383" s="76"/>
      <c r="G4383" s="76"/>
      <c r="H4383" s="76"/>
      <c r="I4383" s="76"/>
      <c r="J4383" s="76"/>
      <c r="K4383" s="76"/>
      <c r="L4383" s="76"/>
      <c r="M4383" s="76"/>
      <c r="N4383" s="76">
        <f>+N4386-N4385-N4384</f>
        <v>984</v>
      </c>
    </row>
    <row r="4384" spans="1:15" x14ac:dyDescent="0.3">
      <c r="A4384" t="s">
        <v>2166</v>
      </c>
      <c r="D4384" s="76"/>
      <c r="E4384" s="76"/>
      <c r="F4384" s="76"/>
      <c r="G4384" s="76"/>
      <c r="H4384" s="76"/>
      <c r="I4384" s="76"/>
      <c r="J4384" s="76"/>
      <c r="K4384" s="76"/>
      <c r="L4384" s="76"/>
      <c r="M4384" s="76"/>
      <c r="N4384" s="95">
        <v>110</v>
      </c>
    </row>
    <row r="4385" spans="1:15" x14ac:dyDescent="0.3">
      <c r="A4385" t="s">
        <v>2167</v>
      </c>
      <c r="D4385" s="76"/>
      <c r="E4385" s="76"/>
      <c r="F4385" s="76"/>
      <c r="G4385" s="76"/>
      <c r="H4385" s="76"/>
      <c r="I4385" s="76"/>
      <c r="J4385" s="76"/>
      <c r="K4385" s="76"/>
      <c r="L4385" s="76"/>
      <c r="M4385" s="76"/>
      <c r="N4385" s="95">
        <v>220</v>
      </c>
    </row>
    <row r="4386" spans="1:15" x14ac:dyDescent="0.3">
      <c r="A4386" s="90" t="s">
        <v>266</v>
      </c>
      <c r="B4386" s="90"/>
      <c r="C4386" s="90"/>
      <c r="D4386" s="473">
        <v>1</v>
      </c>
      <c r="E4386" s="473">
        <v>136</v>
      </c>
      <c r="F4386" s="473">
        <v>231</v>
      </c>
      <c r="G4386" s="473">
        <v>354</v>
      </c>
      <c r="H4386" s="473">
        <v>487</v>
      </c>
      <c r="I4386" s="473">
        <v>615</v>
      </c>
      <c r="J4386" s="473">
        <v>739</v>
      </c>
      <c r="K4386" s="473">
        <v>865</v>
      </c>
      <c r="L4386" s="473">
        <v>1021</v>
      </c>
      <c r="M4386" s="473">
        <v>1178</v>
      </c>
      <c r="N4386" s="473">
        <v>1314</v>
      </c>
      <c r="O4386" s="76">
        <f>+SUM(D4386:N4386)</f>
        <v>6941</v>
      </c>
    </row>
    <row r="4387" spans="1:15" x14ac:dyDescent="0.3">
      <c r="A4387" s="94" t="s">
        <v>2164</v>
      </c>
      <c r="D4387" s="76"/>
      <c r="E4387" s="75">
        <f t="shared" ref="E4387:N4387" si="1262">+E4386/D4386-1</f>
        <v>135</v>
      </c>
      <c r="F4387" s="75">
        <f t="shared" si="1262"/>
        <v>0.69852941176470584</v>
      </c>
      <c r="G4387" s="75">
        <f t="shared" si="1262"/>
        <v>0.53246753246753253</v>
      </c>
      <c r="H4387" s="75">
        <f t="shared" si="1262"/>
        <v>0.37570621468926557</v>
      </c>
      <c r="I4387" s="75">
        <f t="shared" si="1262"/>
        <v>0.26283367556468162</v>
      </c>
      <c r="J4387" s="75">
        <f t="shared" si="1262"/>
        <v>0.20162601626016263</v>
      </c>
      <c r="K4387" s="75">
        <f t="shared" si="1262"/>
        <v>0.17050067658998658</v>
      </c>
      <c r="L4387" s="75">
        <f t="shared" si="1262"/>
        <v>0.18034682080924846</v>
      </c>
      <c r="M4387" s="75">
        <f t="shared" si="1262"/>
        <v>0.15377081292850137</v>
      </c>
      <c r="N4387" s="75">
        <f t="shared" si="1262"/>
        <v>0.11544991511035652</v>
      </c>
    </row>
    <row r="4388" spans="1:15" x14ac:dyDescent="0.3">
      <c r="D4388" s="76"/>
      <c r="E4388" s="76"/>
      <c r="F4388" s="76"/>
      <c r="G4388" s="76"/>
      <c r="H4388" s="76"/>
      <c r="I4388" s="76"/>
      <c r="J4388" s="76"/>
      <c r="K4388" s="76"/>
      <c r="L4388" s="76"/>
      <c r="M4388" s="76"/>
      <c r="N4388" s="76"/>
    </row>
    <row r="4389" spans="1:15" x14ac:dyDescent="0.3">
      <c r="A4389" s="141" t="s">
        <v>44</v>
      </c>
      <c r="D4389" s="76"/>
      <c r="E4389" s="76"/>
      <c r="F4389" s="76"/>
      <c r="G4389" s="76"/>
      <c r="H4389" s="76"/>
      <c r="I4389" s="76"/>
      <c r="J4389" s="76"/>
      <c r="K4389" s="76"/>
      <c r="L4389" s="76"/>
      <c r="M4389" s="76"/>
      <c r="N4389" s="76"/>
    </row>
    <row r="4390" spans="1:15" x14ac:dyDescent="0.3">
      <c r="A4390" t="s">
        <v>2165</v>
      </c>
      <c r="D4390" s="76"/>
      <c r="E4390" s="76"/>
      <c r="F4390" s="76"/>
      <c r="G4390" s="76"/>
      <c r="H4390" s="76"/>
      <c r="I4390" s="76"/>
      <c r="J4390" s="76"/>
      <c r="K4390" s="76"/>
      <c r="L4390" s="76"/>
      <c r="M4390" s="76"/>
      <c r="N4390" s="76">
        <f>+N4393-N4392-N4391</f>
        <v>676</v>
      </c>
    </row>
    <row r="4391" spans="1:15" x14ac:dyDescent="0.3">
      <c r="A4391" t="s">
        <v>2166</v>
      </c>
      <c r="D4391" s="76"/>
      <c r="E4391" s="76"/>
      <c r="F4391" s="76"/>
      <c r="G4391" s="76"/>
      <c r="H4391" s="76"/>
      <c r="I4391" s="76"/>
      <c r="J4391" s="76"/>
      <c r="K4391" s="76"/>
      <c r="L4391" s="76"/>
      <c r="M4391" s="76"/>
      <c r="N4391" s="95">
        <v>100</v>
      </c>
    </row>
    <row r="4392" spans="1:15" x14ac:dyDescent="0.3">
      <c r="A4392" t="s">
        <v>2167</v>
      </c>
      <c r="D4392" s="76"/>
      <c r="E4392" s="76">
        <f t="shared" ref="E4392:K4392" si="1263">+E4576</f>
        <v>54.275706874992636</v>
      </c>
      <c r="F4392" s="76">
        <f t="shared" si="1263"/>
        <v>148.22169809471995</v>
      </c>
      <c r="G4392" s="76">
        <f t="shared" si="1263"/>
        <v>306.53370475114298</v>
      </c>
      <c r="H4392" s="76">
        <f t="shared" si="1263"/>
        <v>526.13466852619808</v>
      </c>
      <c r="I4392" s="76">
        <f t="shared" si="1263"/>
        <v>800.72044125915693</v>
      </c>
      <c r="J4392" s="76">
        <f t="shared" si="1263"/>
        <v>1121.4966523857704</v>
      </c>
      <c r="K4392" s="76">
        <f t="shared" si="1263"/>
        <v>1477.5204726046154</v>
      </c>
      <c r="L4392" s="76"/>
      <c r="M4392" s="76"/>
      <c r="N4392" s="95">
        <v>190</v>
      </c>
    </row>
    <row r="4393" spans="1:15" x14ac:dyDescent="0.3">
      <c r="A4393" s="90" t="s">
        <v>266</v>
      </c>
      <c r="D4393" s="473">
        <v>1</v>
      </c>
      <c r="E4393" s="473">
        <v>115</v>
      </c>
      <c r="F4393" s="473">
        <v>151</v>
      </c>
      <c r="G4393" s="473">
        <v>238</v>
      </c>
      <c r="H4393" s="473">
        <v>337</v>
      </c>
      <c r="I4393" s="473">
        <v>437</v>
      </c>
      <c r="J4393" s="473">
        <v>530</v>
      </c>
      <c r="K4393" s="473">
        <v>622</v>
      </c>
      <c r="L4393" s="473">
        <v>721</v>
      </c>
      <c r="M4393" s="473">
        <v>850</v>
      </c>
      <c r="N4393" s="473">
        <v>966</v>
      </c>
      <c r="O4393" s="76">
        <f>+SUM(D4393:N4393)</f>
        <v>4968</v>
      </c>
    </row>
    <row r="4394" spans="1:15" x14ac:dyDescent="0.3">
      <c r="A4394" s="94" t="s">
        <v>2164</v>
      </c>
      <c r="D4394" s="76"/>
      <c r="E4394" s="75">
        <f t="shared" ref="E4394:N4394" si="1264">+E4393/D4393-1</f>
        <v>114</v>
      </c>
      <c r="F4394" s="75">
        <f t="shared" si="1264"/>
        <v>0.31304347826086953</v>
      </c>
      <c r="G4394" s="75">
        <f t="shared" si="1264"/>
        <v>0.57615894039735105</v>
      </c>
      <c r="H4394" s="75">
        <f t="shared" si="1264"/>
        <v>0.41596638655462193</v>
      </c>
      <c r="I4394" s="75">
        <f t="shared" si="1264"/>
        <v>0.29673590504451042</v>
      </c>
      <c r="J4394" s="75">
        <f t="shared" si="1264"/>
        <v>0.21281464530892458</v>
      </c>
      <c r="K4394" s="75">
        <f t="shared" si="1264"/>
        <v>0.17358490566037732</v>
      </c>
      <c r="L4394" s="75">
        <f t="shared" si="1264"/>
        <v>0.15916398713826374</v>
      </c>
      <c r="M4394" s="75">
        <f t="shared" si="1264"/>
        <v>0.17891816920943127</v>
      </c>
      <c r="N4394" s="75">
        <f t="shared" si="1264"/>
        <v>0.13647058823529412</v>
      </c>
    </row>
    <row r="4395" spans="1:15" x14ac:dyDescent="0.3">
      <c r="A4395" s="94" t="s">
        <v>2057</v>
      </c>
      <c r="D4395" s="75">
        <f t="shared" ref="D4395:N4395" si="1265">+D4393/D4386</f>
        <v>1</v>
      </c>
      <c r="E4395" s="75">
        <f t="shared" si="1265"/>
        <v>0.84558823529411764</v>
      </c>
      <c r="F4395" s="75">
        <f t="shared" si="1265"/>
        <v>0.65367965367965364</v>
      </c>
      <c r="G4395" s="75">
        <f t="shared" si="1265"/>
        <v>0.67231638418079098</v>
      </c>
      <c r="H4395" s="75">
        <f t="shared" si="1265"/>
        <v>0.69199178644763859</v>
      </c>
      <c r="I4395" s="75">
        <f t="shared" si="1265"/>
        <v>0.71056910569105691</v>
      </c>
      <c r="J4395" s="75">
        <f t="shared" si="1265"/>
        <v>0.71718538565629231</v>
      </c>
      <c r="K4395" s="75">
        <f t="shared" si="1265"/>
        <v>0.71907514450867049</v>
      </c>
      <c r="L4395" s="75">
        <f t="shared" si="1265"/>
        <v>0.7061704211557297</v>
      </c>
      <c r="M4395" s="75">
        <f t="shared" si="1265"/>
        <v>0.72156196943972839</v>
      </c>
      <c r="N4395" s="75">
        <f t="shared" si="1265"/>
        <v>0.73515981735159819</v>
      </c>
      <c r="O4395" s="75"/>
    </row>
    <row r="4396" spans="1:15" x14ac:dyDescent="0.3">
      <c r="A4396" s="94" t="s">
        <v>2168</v>
      </c>
      <c r="D4396" s="75"/>
      <c r="E4396" s="75">
        <f t="shared" ref="E4396:N4396" si="1266">+(E4393-D4393)/(E4386-D4386)</f>
        <v>0.84444444444444444</v>
      </c>
      <c r="F4396" s="75">
        <f t="shared" si="1266"/>
        <v>0.37894736842105264</v>
      </c>
      <c r="G4396" s="75">
        <f t="shared" si="1266"/>
        <v>0.70731707317073167</v>
      </c>
      <c r="H4396" s="75">
        <f t="shared" si="1266"/>
        <v>0.74436090225563911</v>
      </c>
      <c r="I4396" s="75">
        <f t="shared" si="1266"/>
        <v>0.78125</v>
      </c>
      <c r="J4396" s="75">
        <f t="shared" si="1266"/>
        <v>0.75</v>
      </c>
      <c r="K4396" s="75">
        <f t="shared" si="1266"/>
        <v>0.73015873015873012</v>
      </c>
      <c r="L4396" s="75">
        <f t="shared" si="1266"/>
        <v>0.63461538461538458</v>
      </c>
      <c r="M4396" s="75">
        <f t="shared" si="1266"/>
        <v>0.82165605095541405</v>
      </c>
      <c r="N4396" s="75">
        <f t="shared" si="1266"/>
        <v>0.8529411764705882</v>
      </c>
    </row>
    <row r="4397" spans="1:15" x14ac:dyDescent="0.3">
      <c r="A4397" s="94"/>
      <c r="D4397" s="75"/>
      <c r="E4397" s="75"/>
      <c r="F4397" s="75"/>
      <c r="G4397" s="75"/>
      <c r="H4397" s="75"/>
      <c r="I4397" s="75"/>
      <c r="J4397" s="75"/>
      <c r="K4397" s="75"/>
      <c r="L4397" s="75"/>
      <c r="M4397" s="75"/>
      <c r="N4397" s="75"/>
    </row>
    <row r="4398" spans="1:15" x14ac:dyDescent="0.3">
      <c r="A4398" s="141" t="s">
        <v>198</v>
      </c>
      <c r="D4398" s="75"/>
      <c r="E4398" s="75"/>
      <c r="F4398" s="75"/>
      <c r="G4398" s="75"/>
      <c r="H4398" s="75"/>
      <c r="I4398" s="75"/>
      <c r="J4398" s="75"/>
      <c r="K4398" s="75"/>
      <c r="L4398" s="75"/>
      <c r="M4398" s="75"/>
      <c r="N4398" s="75"/>
    </row>
    <row r="4399" spans="1:15" x14ac:dyDescent="0.3">
      <c r="A4399" t="s">
        <v>2165</v>
      </c>
      <c r="D4399" s="76">
        <f t="shared" ref="D4399:N4399" si="1267">+D4402-D4401-D4400</f>
        <v>156.15887850467288</v>
      </c>
      <c r="E4399" s="76">
        <f t="shared" si="1267"/>
        <v>588.00934579439252</v>
      </c>
      <c r="F4399" s="76">
        <f t="shared" si="1267"/>
        <v>359.28037383177571</v>
      </c>
      <c r="G4399" s="76">
        <f t="shared" si="1267"/>
        <v>398.15887850467294</v>
      </c>
      <c r="H4399" s="76">
        <f t="shared" si="1267"/>
        <v>443.79439252336448</v>
      </c>
      <c r="I4399" s="76">
        <f t="shared" si="1267"/>
        <v>458.60747663551399</v>
      </c>
      <c r="J4399" s="76">
        <f t="shared" si="1267"/>
        <v>563.42990654205607</v>
      </c>
      <c r="K4399" s="76">
        <f t="shared" si="1267"/>
        <v>550.93457943925239</v>
      </c>
      <c r="L4399" s="76">
        <f t="shared" si="1267"/>
        <v>236.81308411214951</v>
      </c>
      <c r="M4399" s="76">
        <f t="shared" si="1267"/>
        <v>246.81308411214951</v>
      </c>
      <c r="N4399" s="76">
        <f t="shared" si="1267"/>
        <v>251</v>
      </c>
      <c r="O4399" s="76">
        <f>+O4402-O4401-O4400</f>
        <v>2753</v>
      </c>
    </row>
    <row r="4400" spans="1:15" x14ac:dyDescent="0.3">
      <c r="A4400" t="s">
        <v>2166</v>
      </c>
      <c r="D4400" s="76">
        <f>+$O4400/$N$4373*D$4374*0.25</f>
        <v>16.523364485981308</v>
      </c>
      <c r="E4400" s="76">
        <f t="shared" ref="E4400:N4401" si="1268">+$O4400/$N$4373*E$4374*0.25</f>
        <v>46.471962616822431</v>
      </c>
      <c r="F4400" s="76">
        <f t="shared" si="1268"/>
        <v>9.6588785046728969</v>
      </c>
      <c r="G4400" s="76">
        <f t="shared" si="1268"/>
        <v>10.023364485981308</v>
      </c>
      <c r="H4400" s="76">
        <f t="shared" si="1268"/>
        <v>11.116822429906541</v>
      </c>
      <c r="I4400" s="76">
        <f t="shared" si="1268"/>
        <v>11.177570093457945</v>
      </c>
      <c r="J4400" s="76">
        <f t="shared" si="1268"/>
        <v>18.710280373831775</v>
      </c>
      <c r="K4400" s="76">
        <f t="shared" si="1268"/>
        <v>38.696261682242991</v>
      </c>
      <c r="L4400" s="76">
        <f t="shared" si="1268"/>
        <v>6.0747663551401869E-2</v>
      </c>
      <c r="M4400" s="76">
        <f t="shared" si="1268"/>
        <v>6.0747663551401869E-2</v>
      </c>
      <c r="N4400" s="76">
        <f t="shared" si="1268"/>
        <v>0</v>
      </c>
      <c r="O4400" s="463">
        <v>650</v>
      </c>
    </row>
    <row r="4401" spans="1:18" x14ac:dyDescent="0.3">
      <c r="A4401" t="s">
        <v>2167</v>
      </c>
      <c r="D4401" s="76">
        <f>+$O4401/$N$4373*D$4374*0.25</f>
        <v>34.31775700934579</v>
      </c>
      <c r="E4401" s="76">
        <f t="shared" si="1268"/>
        <v>96.518691588785032</v>
      </c>
      <c r="F4401" s="76">
        <f t="shared" si="1268"/>
        <v>20.0607476635514</v>
      </c>
      <c r="G4401" s="76">
        <f t="shared" si="1268"/>
        <v>20.817757009345794</v>
      </c>
      <c r="H4401" s="76">
        <f t="shared" si="1268"/>
        <v>23.088785046728969</v>
      </c>
      <c r="I4401" s="76">
        <f t="shared" si="1268"/>
        <v>23.214953271028033</v>
      </c>
      <c r="J4401" s="76">
        <f t="shared" si="1268"/>
        <v>38.859813084112147</v>
      </c>
      <c r="K4401" s="76">
        <f t="shared" si="1268"/>
        <v>80.369158878504663</v>
      </c>
      <c r="L4401" s="76">
        <f t="shared" si="1268"/>
        <v>0.12616822429906541</v>
      </c>
      <c r="M4401" s="76">
        <f t="shared" si="1268"/>
        <v>0.12616822429906541</v>
      </c>
      <c r="N4401" s="76">
        <f t="shared" si="1268"/>
        <v>0</v>
      </c>
      <c r="O4401" s="463">
        <v>1350</v>
      </c>
    </row>
    <row r="4402" spans="1:18" x14ac:dyDescent="0.3">
      <c r="A4402" s="90" t="s">
        <v>266</v>
      </c>
      <c r="D4402" s="473">
        <v>207</v>
      </c>
      <c r="E4402" s="473">
        <v>731</v>
      </c>
      <c r="F4402" s="473">
        <v>389</v>
      </c>
      <c r="G4402" s="473">
        <v>429</v>
      </c>
      <c r="H4402" s="473">
        <v>478</v>
      </c>
      <c r="I4402" s="473">
        <v>493</v>
      </c>
      <c r="J4402" s="473">
        <v>621</v>
      </c>
      <c r="K4402" s="473">
        <v>670</v>
      </c>
      <c r="L4402" s="473">
        <v>237</v>
      </c>
      <c r="M4402" s="473">
        <v>247</v>
      </c>
      <c r="N4402" s="473">
        <v>251</v>
      </c>
      <c r="O4402" s="85">
        <f>+SUM(D4402:N4402)</f>
        <v>4753</v>
      </c>
    </row>
    <row r="4403" spans="1:18" x14ac:dyDescent="0.3">
      <c r="A4403" s="94" t="s">
        <v>2091</v>
      </c>
      <c r="D4403" s="75">
        <f t="shared" ref="D4403:N4403" si="1269">+D4402/D4386</f>
        <v>207</v>
      </c>
      <c r="E4403" s="75">
        <f t="shared" si="1269"/>
        <v>5.375</v>
      </c>
      <c r="F4403" s="75">
        <f t="shared" si="1269"/>
        <v>1.6839826839826839</v>
      </c>
      <c r="G4403" s="75">
        <f t="shared" si="1269"/>
        <v>1.2118644067796611</v>
      </c>
      <c r="H4403" s="75">
        <f t="shared" si="1269"/>
        <v>0.98151950718685832</v>
      </c>
      <c r="I4403" s="75">
        <f t="shared" si="1269"/>
        <v>0.80162601626016261</v>
      </c>
      <c r="J4403" s="75">
        <f t="shared" si="1269"/>
        <v>0.84032476319350469</v>
      </c>
      <c r="K4403" s="75">
        <f t="shared" si="1269"/>
        <v>0.77456647398843925</v>
      </c>
      <c r="L4403" s="75">
        <f t="shared" si="1269"/>
        <v>0.23212536728697356</v>
      </c>
      <c r="M4403" s="75">
        <f t="shared" si="1269"/>
        <v>0.20967741935483872</v>
      </c>
      <c r="N4403" s="75">
        <f t="shared" si="1269"/>
        <v>0.19101978691019786</v>
      </c>
    </row>
    <row r="4404" spans="1:18" x14ac:dyDescent="0.3">
      <c r="A4404" s="94" t="s">
        <v>2169</v>
      </c>
      <c r="D4404" s="500">
        <f t="shared" ref="D4404:N4404" si="1270">+D4402/D4373*1000</f>
        <v>761.02941176470586</v>
      </c>
      <c r="E4404" s="500">
        <f t="shared" si="1270"/>
        <v>704.91803278688531</v>
      </c>
      <c r="F4404" s="500">
        <f t="shared" si="1270"/>
        <v>325.25083612040135</v>
      </c>
      <c r="G4404" s="500">
        <f t="shared" si="1270"/>
        <v>315.20940484937546</v>
      </c>
      <c r="H4404" s="500">
        <f t="shared" si="1270"/>
        <v>309.58549222797927</v>
      </c>
      <c r="I4404" s="500">
        <f t="shared" si="1270"/>
        <v>285.30092592592592</v>
      </c>
      <c r="J4404" s="500">
        <f t="shared" si="1270"/>
        <v>305.00982318271122</v>
      </c>
      <c r="K4404" s="500">
        <f t="shared" si="1270"/>
        <v>250.65469509913956</v>
      </c>
      <c r="L4404" s="500">
        <f t="shared" si="1270"/>
        <v>88.631264023934179</v>
      </c>
      <c r="M4404" s="500">
        <f t="shared" si="1270"/>
        <v>92.336448598130843</v>
      </c>
      <c r="N4404" s="500">
        <f t="shared" si="1270"/>
        <v>93.831775700934585</v>
      </c>
    </row>
    <row r="4405" spans="1:18" x14ac:dyDescent="0.3">
      <c r="A4405" s="94" t="s">
        <v>2170</v>
      </c>
      <c r="D4405" s="500">
        <f>+D4402/D4374*1000</f>
        <v>761.02941176470586</v>
      </c>
      <c r="E4405" s="500">
        <f>+(E4402-AVERAGE($L$4402:$N$4402))/E4374*1000</f>
        <v>635.29411764705878</v>
      </c>
      <c r="F4405" s="500">
        <f t="shared" ref="F4405:K4405" si="1271">+(F4402-AVERAGE($L$4402:$N$4402))/F4374*1000</f>
        <v>905.66037735849056</v>
      </c>
      <c r="G4405" s="500">
        <f t="shared" si="1271"/>
        <v>1115.1515151515152</v>
      </c>
      <c r="H4405" s="500">
        <f t="shared" si="1271"/>
        <v>1273.2240437158471</v>
      </c>
      <c r="I4405" s="500">
        <f t="shared" si="1271"/>
        <v>1347.8260869565217</v>
      </c>
      <c r="J4405" s="500">
        <f t="shared" si="1271"/>
        <v>1220.7792207792209</v>
      </c>
      <c r="K4405" s="500">
        <f t="shared" si="1271"/>
        <v>667.18995290423868</v>
      </c>
      <c r="L4405" s="500"/>
      <c r="M4405" s="500"/>
      <c r="N4405" s="500"/>
    </row>
    <row r="4406" spans="1:18" x14ac:dyDescent="0.3">
      <c r="A4406" s="141"/>
      <c r="D4406" s="76"/>
      <c r="E4406" s="76"/>
      <c r="F4406" s="76"/>
      <c r="G4406" s="76"/>
      <c r="H4406" s="76"/>
      <c r="I4406" s="76"/>
      <c r="J4406" s="76"/>
      <c r="K4406" s="76"/>
      <c r="L4406" s="76"/>
      <c r="M4406" s="76"/>
      <c r="N4406" s="76"/>
    </row>
    <row r="4407" spans="1:18" x14ac:dyDescent="0.3">
      <c r="A4407" t="s">
        <v>2171</v>
      </c>
      <c r="D4407" s="74">
        <f>+D4393/SUM($D4402:D4402)</f>
        <v>4.830917874396135E-3</v>
      </c>
      <c r="E4407" s="74">
        <f>+E4393/SUM($D4402:E4402)</f>
        <v>0.12260127931769722</v>
      </c>
      <c r="F4407" s="74">
        <f>+F4393/SUM($D4402:F4402)</f>
        <v>0.11379050489826677</v>
      </c>
      <c r="G4407" s="74">
        <f>+G4393/SUM($D4402:G4402)</f>
        <v>0.13553530751708429</v>
      </c>
      <c r="H4407" s="74">
        <f>+H4393/SUM($D4402:H4402)</f>
        <v>0.15085049239033124</v>
      </c>
      <c r="I4407" s="74">
        <f>+I4393/SUM($D4402:I4402)</f>
        <v>0.16024935826916026</v>
      </c>
      <c r="J4407" s="74">
        <f>+J4393/SUM($D4402:J4402)</f>
        <v>0.15830346475507767</v>
      </c>
      <c r="K4407" s="74">
        <f>+K4393/SUM($D4402:K4402)</f>
        <v>0.15480338476854155</v>
      </c>
      <c r="L4407" s="74">
        <f>+L4393/SUM($D4402:L4402)</f>
        <v>0.16944770857814337</v>
      </c>
      <c r="M4407" s="74">
        <f>+M4393/SUM($D4402:M4402)</f>
        <v>0.18880497556641493</v>
      </c>
      <c r="N4407" s="74">
        <f>+N4393/SUM($D4402:N4402)</f>
        <v>0.203240058910162</v>
      </c>
    </row>
    <row r="4408" spans="1:18" x14ac:dyDescent="0.3">
      <c r="A4408" t="s">
        <v>2172</v>
      </c>
      <c r="D4408" s="76">
        <f>+D4393+D4253</f>
        <v>2438</v>
      </c>
      <c r="E4408" s="76">
        <f>+E4393+E4253</f>
        <v>2170</v>
      </c>
      <c r="F4408" s="76">
        <f>+F4393+F4253</f>
        <v>2199</v>
      </c>
      <c r="G4408" s="76">
        <f>+G4393+G4253</f>
        <v>2278</v>
      </c>
      <c r="H4408" s="95">
        <v>2285</v>
      </c>
      <c r="I4408" s="95">
        <v>2309</v>
      </c>
      <c r="J4408" s="95">
        <v>2351</v>
      </c>
      <c r="K4408" s="95">
        <v>2402</v>
      </c>
      <c r="L4408" s="95">
        <v>2463</v>
      </c>
      <c r="M4408" s="95">
        <v>2561</v>
      </c>
      <c r="N4408" s="76">
        <f>+N4393+N4253</f>
        <v>2653</v>
      </c>
    </row>
    <row r="4409" spans="1:18" x14ac:dyDescent="0.3">
      <c r="A4409" s="501"/>
      <c r="B4409" s="114"/>
      <c r="C4409" s="114"/>
      <c r="D4409" s="502"/>
      <c r="E4409" s="114"/>
      <c r="F4409" s="114"/>
      <c r="G4409" s="114"/>
      <c r="H4409" s="114"/>
      <c r="I4409" s="114"/>
      <c r="J4409" s="114"/>
      <c r="K4409" s="114"/>
      <c r="L4409" s="114"/>
      <c r="M4409" s="114"/>
      <c r="N4409" s="114"/>
    </row>
    <row r="4410" spans="1:18" x14ac:dyDescent="0.3">
      <c r="A4410" s="141"/>
      <c r="D4410" s="74"/>
    </row>
    <row r="4411" spans="1:18" x14ac:dyDescent="0.3">
      <c r="A4411" s="141"/>
    </row>
    <row r="4412" spans="1:18" x14ac:dyDescent="0.3">
      <c r="A4412" s="533" t="s">
        <v>2173</v>
      </c>
      <c r="B4412" s="534"/>
      <c r="C4412" s="534"/>
      <c r="D4412" s="534"/>
      <c r="E4412" s="534"/>
      <c r="F4412" s="534"/>
      <c r="G4412" s="534"/>
      <c r="H4412" s="534"/>
      <c r="I4412" s="534"/>
      <c r="J4412" s="534"/>
      <c r="K4412" s="534"/>
      <c r="L4412" s="534"/>
      <c r="M4412" s="534"/>
      <c r="N4412" s="534"/>
      <c r="O4412" s="534"/>
    </row>
    <row r="4413" spans="1:18" x14ac:dyDescent="0.3">
      <c r="A4413" s="90"/>
      <c r="B4413" s="90"/>
      <c r="C4413" s="90"/>
      <c r="D4413" s="90"/>
      <c r="E4413" s="90"/>
      <c r="F4413" s="90"/>
      <c r="G4413" s="90"/>
      <c r="H4413" s="90"/>
      <c r="I4413" s="90"/>
      <c r="J4413" s="90"/>
      <c r="K4413" s="90"/>
      <c r="L4413" s="90"/>
      <c r="M4413" s="90"/>
      <c r="N4413" s="90"/>
      <c r="O4413" s="90"/>
      <c r="P4413" s="90"/>
      <c r="Q4413" s="90"/>
      <c r="R4413" s="90"/>
    </row>
    <row r="4414" spans="1:18" x14ac:dyDescent="0.3">
      <c r="A4414" s="141" t="s">
        <v>2174</v>
      </c>
    </row>
    <row r="4415" spans="1:18" x14ac:dyDescent="0.3">
      <c r="A4415" s="147"/>
      <c r="B4415" s="147">
        <v>2019</v>
      </c>
      <c r="C4415" s="147">
        <v>2020</v>
      </c>
      <c r="D4415" s="147">
        <f t="shared" ref="D4415:N4415" si="1272">+C4415+1</f>
        <v>2021</v>
      </c>
      <c r="E4415" s="147">
        <f t="shared" si="1272"/>
        <v>2022</v>
      </c>
      <c r="F4415" s="147">
        <f t="shared" si="1272"/>
        <v>2023</v>
      </c>
      <c r="G4415" s="147">
        <f t="shared" si="1272"/>
        <v>2024</v>
      </c>
      <c r="H4415" s="147">
        <f t="shared" si="1272"/>
        <v>2025</v>
      </c>
      <c r="I4415" s="147">
        <f t="shared" si="1272"/>
        <v>2026</v>
      </c>
      <c r="J4415" s="147">
        <f t="shared" si="1272"/>
        <v>2027</v>
      </c>
      <c r="K4415" s="147">
        <f t="shared" si="1272"/>
        <v>2028</v>
      </c>
      <c r="L4415" s="147">
        <f t="shared" si="1272"/>
        <v>2029</v>
      </c>
      <c r="M4415" s="147">
        <f t="shared" si="1272"/>
        <v>2030</v>
      </c>
      <c r="N4415" s="147">
        <f t="shared" si="1272"/>
        <v>2031</v>
      </c>
    </row>
    <row r="4416" spans="1:18" x14ac:dyDescent="0.3">
      <c r="A4416" s="141" t="s">
        <v>284</v>
      </c>
      <c r="B4416" s="90"/>
      <c r="C4416" s="90"/>
      <c r="D4416" s="90"/>
      <c r="E4416" s="90"/>
      <c r="F4416" s="90"/>
      <c r="G4416" s="90"/>
      <c r="H4416" s="90"/>
      <c r="I4416" s="90"/>
      <c r="J4416" s="90"/>
      <c r="K4416" s="90"/>
      <c r="L4416" s="90"/>
      <c r="M4416" s="90"/>
      <c r="N4416" s="90"/>
    </row>
    <row r="4417" spans="1:28" x14ac:dyDescent="0.3">
      <c r="A4417" t="s">
        <v>2175</v>
      </c>
      <c r="B4417" s="76">
        <v>0</v>
      </c>
      <c r="C4417" s="76">
        <f t="shared" ref="C4417:M4417" si="1273">+C4568</f>
        <v>1.7619479999999998</v>
      </c>
      <c r="D4417" s="76">
        <f t="shared" si="1273"/>
        <v>18.74360224818378</v>
      </c>
      <c r="E4417" s="76">
        <f t="shared" si="1273"/>
        <v>81.437637754992636</v>
      </c>
      <c r="F4417" s="76">
        <f t="shared" si="1273"/>
        <v>222.82903511999996</v>
      </c>
      <c r="G4417" s="76">
        <f t="shared" si="1273"/>
        <v>457.91809445529918</v>
      </c>
      <c r="H4417" s="76">
        <f t="shared" si="1273"/>
        <v>780.38562863568586</v>
      </c>
      <c r="I4417" s="76">
        <f t="shared" si="1273"/>
        <v>1179.4034019330993</v>
      </c>
      <c r="J4417" s="76">
        <f t="shared" si="1273"/>
        <v>1640.6390196826253</v>
      </c>
      <c r="K4417" s="76">
        <f t="shared" si="1273"/>
        <v>2147.0632387440501</v>
      </c>
      <c r="L4417" s="76">
        <f t="shared" si="1273"/>
        <v>2657.9650395141643</v>
      </c>
      <c r="M4417" s="76">
        <f t="shared" si="1273"/>
        <v>3105.354992389106</v>
      </c>
      <c r="N4417" s="76">
        <f>+N4568</f>
        <v>3460.7736316042942</v>
      </c>
    </row>
    <row r="4418" spans="1:28" x14ac:dyDescent="0.3">
      <c r="A4418" s="177" t="s">
        <v>2176</v>
      </c>
      <c r="B4418" s="76">
        <v>0</v>
      </c>
      <c r="C4418" s="76">
        <f t="shared" ref="C4418:M4418" si="1274">+C4614</f>
        <v>0.16462800000000002</v>
      </c>
      <c r="D4418" s="76">
        <f t="shared" si="1274"/>
        <v>1.1233439999999999</v>
      </c>
      <c r="E4418" s="76">
        <f t="shared" si="1274"/>
        <v>3.0601440000000006</v>
      </c>
      <c r="F4418" s="76">
        <f t="shared" si="1274"/>
        <v>5.2132200000000015</v>
      </c>
      <c r="G4418" s="76">
        <f t="shared" si="1274"/>
        <v>7.3662960000000002</v>
      </c>
      <c r="H4418" s="76">
        <f t="shared" si="1274"/>
        <v>9.5193720000000024</v>
      </c>
      <c r="I4418" s="76">
        <f t="shared" si="1274"/>
        <v>11.672447999999999</v>
      </c>
      <c r="J4418" s="76">
        <f t="shared" si="1274"/>
        <v>13.825524000000003</v>
      </c>
      <c r="K4418" s="76">
        <f t="shared" si="1274"/>
        <v>15.9786</v>
      </c>
      <c r="L4418" s="76">
        <f t="shared" si="1274"/>
        <v>15.9786</v>
      </c>
      <c r="M4418" s="76">
        <f t="shared" si="1274"/>
        <v>15.9786</v>
      </c>
      <c r="N4418" s="76">
        <f>+N4614</f>
        <v>15.9786</v>
      </c>
    </row>
    <row r="4419" spans="1:28" x14ac:dyDescent="0.3">
      <c r="A4419" s="177" t="s">
        <v>2177</v>
      </c>
      <c r="B4419" s="76">
        <v>0</v>
      </c>
      <c r="C4419" s="76">
        <f t="shared" ref="C4419:N4419" si="1275">+C4621</f>
        <v>0.42499999999999999</v>
      </c>
      <c r="D4419" s="76">
        <f t="shared" si="1275"/>
        <v>2.9</v>
      </c>
      <c r="E4419" s="76">
        <f t="shared" si="1275"/>
        <v>7.9</v>
      </c>
      <c r="F4419" s="76">
        <f t="shared" si="1275"/>
        <v>13.458333333333336</v>
      </c>
      <c r="G4419" s="76">
        <f t="shared" si="1275"/>
        <v>19.016666666666669</v>
      </c>
      <c r="H4419" s="76">
        <f t="shared" si="1275"/>
        <v>24.574999999999999</v>
      </c>
      <c r="I4419" s="76">
        <f t="shared" si="1275"/>
        <v>30.133333333333336</v>
      </c>
      <c r="J4419" s="76">
        <f t="shared" si="1275"/>
        <v>35.69166666666667</v>
      </c>
      <c r="K4419" s="76">
        <f t="shared" si="1275"/>
        <v>41.25</v>
      </c>
      <c r="L4419" s="76">
        <f t="shared" si="1275"/>
        <v>41.25</v>
      </c>
      <c r="M4419" s="76">
        <f t="shared" si="1275"/>
        <v>41.25</v>
      </c>
      <c r="N4419" s="76">
        <f t="shared" si="1275"/>
        <v>41.25</v>
      </c>
    </row>
    <row r="4420" spans="1:28" x14ac:dyDescent="0.3">
      <c r="A4420" s="298" t="s">
        <v>2178</v>
      </c>
      <c r="B4420" s="803">
        <f t="shared" ref="B4420:M4420" si="1276">+SUM(B4417:B4419)</f>
        <v>0</v>
      </c>
      <c r="C4420" s="803">
        <f t="shared" si="1276"/>
        <v>2.3515759999999997</v>
      </c>
      <c r="D4420" s="803">
        <f t="shared" si="1276"/>
        <v>22.766946248183778</v>
      </c>
      <c r="E4420" s="803">
        <f t="shared" si="1276"/>
        <v>92.397781754992636</v>
      </c>
      <c r="F4420" s="803">
        <f t="shared" si="1276"/>
        <v>241.50058845333331</v>
      </c>
      <c r="G4420" s="803">
        <f t="shared" si="1276"/>
        <v>484.30105712196581</v>
      </c>
      <c r="H4420" s="803">
        <f t="shared" si="1276"/>
        <v>814.48000063568588</v>
      </c>
      <c r="I4420" s="803">
        <f t="shared" si="1276"/>
        <v>1221.2091832664328</v>
      </c>
      <c r="J4420" s="803">
        <f t="shared" si="1276"/>
        <v>1690.156210349292</v>
      </c>
      <c r="K4420" s="803">
        <f t="shared" si="1276"/>
        <v>2204.29183874405</v>
      </c>
      <c r="L4420" s="803">
        <f t="shared" si="1276"/>
        <v>2715.1936395141643</v>
      </c>
      <c r="M4420" s="803">
        <f t="shared" si="1276"/>
        <v>3162.5835923891059</v>
      </c>
      <c r="N4420" s="803">
        <f>+SUM(N4417:N4419)</f>
        <v>3518.0022316042941</v>
      </c>
    </row>
    <row r="4421" spans="1:28" x14ac:dyDescent="0.3">
      <c r="A4421" s="298"/>
      <c r="B4421" s="90"/>
      <c r="C4421" s="90"/>
      <c r="D4421" s="90"/>
      <c r="E4421" s="90"/>
      <c r="F4421" s="90"/>
      <c r="G4421" s="90"/>
      <c r="H4421" s="90"/>
      <c r="I4421" s="90"/>
      <c r="J4421" s="90"/>
      <c r="K4421" s="90"/>
      <c r="L4421" s="90"/>
      <c r="M4421" s="90"/>
      <c r="N4421" s="90"/>
    </row>
    <row r="4422" spans="1:28" x14ac:dyDescent="0.3">
      <c r="A4422" s="141" t="s">
        <v>44</v>
      </c>
      <c r="B4422" s="90"/>
      <c r="C4422" s="90"/>
      <c r="D4422" s="90"/>
      <c r="E4422" s="90"/>
      <c r="F4422" s="90"/>
      <c r="G4422" s="90"/>
      <c r="H4422" s="90"/>
      <c r="I4422" s="90"/>
      <c r="J4422" s="90"/>
      <c r="K4422" s="90"/>
      <c r="L4422" s="90"/>
      <c r="M4422" s="90"/>
      <c r="N4422" s="90"/>
    </row>
    <row r="4423" spans="1:28" x14ac:dyDescent="0.3">
      <c r="A4423" t="s">
        <v>2175</v>
      </c>
      <c r="B4423" s="76">
        <v>0</v>
      </c>
      <c r="C4423" s="76">
        <f t="shared" ref="C4423:N4423" si="1277">+C4576</f>
        <v>1.1499479999999997</v>
      </c>
      <c r="D4423" s="76">
        <f t="shared" si="1277"/>
        <v>12.611362248183781</v>
      </c>
      <c r="E4423" s="76">
        <f t="shared" si="1277"/>
        <v>54.275706874992636</v>
      </c>
      <c r="F4423" s="76">
        <f t="shared" si="1277"/>
        <v>148.22169809471995</v>
      </c>
      <c r="G4423" s="76">
        <f t="shared" si="1277"/>
        <v>306.53370475114298</v>
      </c>
      <c r="H4423" s="76">
        <f t="shared" si="1277"/>
        <v>526.13466852619808</v>
      </c>
      <c r="I4423" s="76">
        <f t="shared" si="1277"/>
        <v>800.72044125915693</v>
      </c>
      <c r="J4423" s="76">
        <f t="shared" si="1277"/>
        <v>1121.4966523857704</v>
      </c>
      <c r="K4423" s="76">
        <f t="shared" si="1277"/>
        <v>1477.5204726046154</v>
      </c>
      <c r="L4423" s="76">
        <f t="shared" si="1277"/>
        <v>1841.1141251823994</v>
      </c>
      <c r="M4423" s="76">
        <f t="shared" si="1277"/>
        <v>2164.8419150566874</v>
      </c>
      <c r="N4423" s="76">
        <f t="shared" si="1277"/>
        <v>2427.8057297887353</v>
      </c>
      <c r="O4423" s="624"/>
      <c r="P4423" s="74"/>
      <c r="Q4423" s="74"/>
      <c r="R4423" s="74"/>
      <c r="S4423" s="74"/>
      <c r="T4423" s="74"/>
      <c r="U4423" s="74"/>
      <c r="V4423" s="74"/>
      <c r="W4423" s="74"/>
      <c r="X4423" s="74"/>
      <c r="Y4423" s="74"/>
      <c r="Z4423" s="74"/>
      <c r="AA4423" s="74"/>
      <c r="AB4423" s="74"/>
    </row>
    <row r="4424" spans="1:28" x14ac:dyDescent="0.3">
      <c r="A4424" s="177" t="s">
        <v>2176</v>
      </c>
      <c r="B4424" s="76">
        <v>0</v>
      </c>
      <c r="C4424" s="76">
        <f t="shared" ref="C4424:M4424" si="1278">+C4616</f>
        <v>0.13170240000000003</v>
      </c>
      <c r="D4424" s="76">
        <f t="shared" si="1278"/>
        <v>0.89867520000000001</v>
      </c>
      <c r="E4424" s="76">
        <f t="shared" si="1278"/>
        <v>2.4481152000000006</v>
      </c>
      <c r="F4424" s="76">
        <f t="shared" si="1278"/>
        <v>4.1705760000000014</v>
      </c>
      <c r="G4424" s="76">
        <f t="shared" si="1278"/>
        <v>5.8930368000000009</v>
      </c>
      <c r="H4424" s="76">
        <f t="shared" si="1278"/>
        <v>7.6154976000000021</v>
      </c>
      <c r="I4424" s="76">
        <f t="shared" si="1278"/>
        <v>9.3379583999999998</v>
      </c>
      <c r="J4424" s="76">
        <f t="shared" si="1278"/>
        <v>11.060419200000004</v>
      </c>
      <c r="K4424" s="76">
        <f t="shared" si="1278"/>
        <v>12.78288</v>
      </c>
      <c r="L4424" s="76">
        <f t="shared" si="1278"/>
        <v>12.78288</v>
      </c>
      <c r="M4424" s="76">
        <f t="shared" si="1278"/>
        <v>12.78288</v>
      </c>
      <c r="N4424" s="76">
        <f>+N4616</f>
        <v>12.78288</v>
      </c>
      <c r="O4424" s="74"/>
      <c r="P4424" s="74"/>
      <c r="Q4424" s="74"/>
      <c r="R4424" s="74"/>
      <c r="S4424" s="74"/>
      <c r="T4424" s="74"/>
      <c r="U4424" s="74"/>
      <c r="V4424" s="74"/>
      <c r="W4424" s="74"/>
      <c r="X4424" s="74"/>
      <c r="Y4424" s="74"/>
      <c r="Z4424" s="74"/>
      <c r="AA4424" s="74"/>
      <c r="AB4424" s="74"/>
    </row>
    <row r="4425" spans="1:28" x14ac:dyDescent="0.3">
      <c r="A4425" s="177" t="s">
        <v>2177</v>
      </c>
      <c r="B4425" s="76">
        <v>0</v>
      </c>
      <c r="C4425" s="76">
        <f t="shared" ref="C4425:M4425" si="1279">+C4623</f>
        <v>0.38250000000000001</v>
      </c>
      <c r="D4425" s="76">
        <f t="shared" si="1279"/>
        <v>2.61</v>
      </c>
      <c r="E4425" s="76">
        <f t="shared" si="1279"/>
        <v>7.11</v>
      </c>
      <c r="F4425" s="76">
        <f t="shared" si="1279"/>
        <v>12.112500000000002</v>
      </c>
      <c r="G4425" s="76">
        <f t="shared" si="1279"/>
        <v>17.115000000000002</v>
      </c>
      <c r="H4425" s="76">
        <f t="shared" si="1279"/>
        <v>22.1175</v>
      </c>
      <c r="I4425" s="76">
        <f t="shared" si="1279"/>
        <v>27.120000000000005</v>
      </c>
      <c r="J4425" s="76">
        <f t="shared" si="1279"/>
        <v>32.122500000000002</v>
      </c>
      <c r="K4425" s="76">
        <f t="shared" si="1279"/>
        <v>37.125</v>
      </c>
      <c r="L4425" s="76">
        <f t="shared" si="1279"/>
        <v>37.125</v>
      </c>
      <c r="M4425" s="76">
        <f t="shared" si="1279"/>
        <v>37.125</v>
      </c>
      <c r="N4425" s="76">
        <f>+N4623</f>
        <v>37.125</v>
      </c>
      <c r="O4425" s="74"/>
      <c r="P4425" s="74"/>
      <c r="Q4425" s="74"/>
      <c r="R4425" s="74"/>
      <c r="S4425" s="74"/>
      <c r="T4425" s="74"/>
      <c r="U4425" s="74"/>
      <c r="V4425" s="74"/>
      <c r="W4425" s="74"/>
      <c r="X4425" s="74"/>
      <c r="Y4425" s="74"/>
      <c r="Z4425" s="74"/>
      <c r="AA4425" s="74"/>
      <c r="AB4425" s="74"/>
    </row>
    <row r="4426" spans="1:28" x14ac:dyDescent="0.3">
      <c r="A4426" s="298" t="s">
        <v>2178</v>
      </c>
      <c r="B4426" s="803">
        <f t="shared" ref="B4426:M4426" si="1280">+SUM(B4423:B4425)</f>
        <v>0</v>
      </c>
      <c r="C4426" s="803">
        <f t="shared" si="1280"/>
        <v>1.6641503999999998</v>
      </c>
      <c r="D4426" s="803">
        <f t="shared" si="1280"/>
        <v>16.12003744818378</v>
      </c>
      <c r="E4426" s="803">
        <f t="shared" si="1280"/>
        <v>63.833822074992639</v>
      </c>
      <c r="F4426" s="803">
        <f t="shared" si="1280"/>
        <v>164.50477409471998</v>
      </c>
      <c r="G4426" s="803">
        <f t="shared" si="1280"/>
        <v>329.54174155114299</v>
      </c>
      <c r="H4426" s="803">
        <f t="shared" si="1280"/>
        <v>555.86766612619806</v>
      </c>
      <c r="I4426" s="803">
        <f t="shared" si="1280"/>
        <v>837.17839965915698</v>
      </c>
      <c r="J4426" s="803">
        <f t="shared" si="1280"/>
        <v>1164.6795715857704</v>
      </c>
      <c r="K4426" s="803">
        <f t="shared" si="1280"/>
        <v>1527.4283526046154</v>
      </c>
      <c r="L4426" s="803">
        <f t="shared" si="1280"/>
        <v>1891.0220051823994</v>
      </c>
      <c r="M4426" s="803">
        <f t="shared" si="1280"/>
        <v>2214.7497950566876</v>
      </c>
      <c r="N4426" s="803">
        <f>+SUM(N4423:N4425)</f>
        <v>2477.7136097887355</v>
      </c>
      <c r="O4426" s="92"/>
      <c r="P4426" s="74"/>
      <c r="Q4426" s="74"/>
      <c r="R4426" s="74"/>
      <c r="S4426" s="74"/>
      <c r="T4426" s="74"/>
      <c r="U4426" s="74"/>
      <c r="V4426" s="74"/>
      <c r="W4426" s="74"/>
      <c r="X4426" s="74"/>
      <c r="Y4426" s="74"/>
      <c r="Z4426" s="74"/>
      <c r="AA4426" s="74"/>
      <c r="AB4426" s="74"/>
    </row>
    <row r="4427" spans="1:28" x14ac:dyDescent="0.3">
      <c r="A4427" s="90"/>
      <c r="B4427" s="90"/>
      <c r="C4427" s="90"/>
      <c r="D4427" s="90"/>
      <c r="E4427" s="90"/>
      <c r="F4427" s="90"/>
      <c r="G4427" s="90"/>
      <c r="H4427" s="90"/>
      <c r="I4427" s="90"/>
      <c r="J4427" s="90"/>
      <c r="K4427" s="90"/>
      <c r="L4427" s="90"/>
      <c r="M4427" s="90"/>
      <c r="N4427" s="90"/>
    </row>
    <row r="4428" spans="1:28" x14ac:dyDescent="0.3">
      <c r="A4428" t="s">
        <v>238</v>
      </c>
      <c r="B4428" s="76">
        <v>0</v>
      </c>
      <c r="C4428" s="76">
        <f>+B4426</f>
        <v>0</v>
      </c>
      <c r="D4428" s="76">
        <f t="shared" ref="D4428:M4428" si="1281">+D4496</f>
        <v>1.6641503999999998</v>
      </c>
      <c r="E4428" s="76">
        <f t="shared" si="1281"/>
        <v>16.12003744818378</v>
      </c>
      <c r="F4428" s="76">
        <f t="shared" si="1281"/>
        <v>63.833822074992639</v>
      </c>
      <c r="G4428" s="76">
        <f t="shared" si="1281"/>
        <v>164.50477409471998</v>
      </c>
      <c r="H4428" s="76">
        <f t="shared" si="1281"/>
        <v>329.54174155114299</v>
      </c>
      <c r="I4428" s="76">
        <f t="shared" si="1281"/>
        <v>555.86766612619806</v>
      </c>
      <c r="J4428" s="76">
        <f t="shared" si="1281"/>
        <v>837.17839965915698</v>
      </c>
      <c r="K4428" s="76">
        <f t="shared" si="1281"/>
        <v>1164.6795715857704</v>
      </c>
      <c r="L4428" s="76">
        <f t="shared" si="1281"/>
        <v>1527.4283526046154</v>
      </c>
      <c r="M4428" s="76">
        <f t="shared" si="1281"/>
        <v>1891.0220051823994</v>
      </c>
      <c r="N4428" s="76">
        <f>+N4426</f>
        <v>2477.7136097887355</v>
      </c>
    </row>
    <row r="4429" spans="1:28" x14ac:dyDescent="0.3">
      <c r="A4429" s="177" t="s">
        <v>587</v>
      </c>
      <c r="B4429" s="76">
        <v>0</v>
      </c>
      <c r="C4429" s="76" t="e">
        <f>+B4429+SUM(C4436:C4437)/15</f>
        <v>#REF!</v>
      </c>
      <c r="D4429" s="76" t="e">
        <f>+C4429+SUM(D4436:D4437)/15</f>
        <v>#REF!</v>
      </c>
      <c r="E4429" s="76" t="e">
        <f t="shared" ref="E4429:N4429" si="1282">+D4429+SUM(E4436:E4437)/15</f>
        <v>#REF!</v>
      </c>
      <c r="F4429" s="76" t="e">
        <f t="shared" si="1282"/>
        <v>#REF!</v>
      </c>
      <c r="G4429" s="76" t="e">
        <f t="shared" si="1282"/>
        <v>#REF!</v>
      </c>
      <c r="H4429" s="76" t="e">
        <f t="shared" si="1282"/>
        <v>#REF!</v>
      </c>
      <c r="I4429" s="76" t="e">
        <f t="shared" si="1282"/>
        <v>#REF!</v>
      </c>
      <c r="J4429" s="76" t="e">
        <f t="shared" si="1282"/>
        <v>#REF!</v>
      </c>
      <c r="K4429" s="76" t="e">
        <f t="shared" si="1282"/>
        <v>#REF!</v>
      </c>
      <c r="L4429" s="76" t="e">
        <f t="shared" si="1282"/>
        <v>#REF!</v>
      </c>
      <c r="M4429" s="76" t="e">
        <f t="shared" si="1282"/>
        <v>#REF!</v>
      </c>
      <c r="N4429" s="76" t="e">
        <f t="shared" si="1282"/>
        <v>#REF!</v>
      </c>
    </row>
    <row r="4430" spans="1:28" x14ac:dyDescent="0.3">
      <c r="A4430" s="298" t="s">
        <v>589</v>
      </c>
      <c r="B4430" s="803">
        <f>+B4428-B4429</f>
        <v>0</v>
      </c>
      <c r="C4430" s="803" t="e">
        <f t="shared" ref="C4430:N4430" si="1283">+C4428-C4429</f>
        <v>#REF!</v>
      </c>
      <c r="D4430" s="803" t="e">
        <f t="shared" si="1283"/>
        <v>#REF!</v>
      </c>
      <c r="E4430" s="803" t="e">
        <f t="shared" si="1283"/>
        <v>#REF!</v>
      </c>
      <c r="F4430" s="803" t="e">
        <f t="shared" si="1283"/>
        <v>#REF!</v>
      </c>
      <c r="G4430" s="803" t="e">
        <f t="shared" si="1283"/>
        <v>#REF!</v>
      </c>
      <c r="H4430" s="803" t="e">
        <f t="shared" si="1283"/>
        <v>#REF!</v>
      </c>
      <c r="I4430" s="803" t="e">
        <f t="shared" si="1283"/>
        <v>#REF!</v>
      </c>
      <c r="J4430" s="803" t="e">
        <f t="shared" si="1283"/>
        <v>#REF!</v>
      </c>
      <c r="K4430" s="803" t="e">
        <f t="shared" si="1283"/>
        <v>#REF!</v>
      </c>
      <c r="L4430" s="803" t="e">
        <f t="shared" si="1283"/>
        <v>#REF!</v>
      </c>
      <c r="M4430" s="803" t="e">
        <f t="shared" si="1283"/>
        <v>#REF!</v>
      </c>
      <c r="N4430" s="803" t="e">
        <f t="shared" si="1283"/>
        <v>#REF!</v>
      </c>
    </row>
    <row r="4431" spans="1:28" x14ac:dyDescent="0.3">
      <c r="A4431" s="177" t="s">
        <v>2179</v>
      </c>
      <c r="B4431" s="76">
        <v>0</v>
      </c>
      <c r="C4431" s="76">
        <f t="shared" ref="C4431:N4431" si="1284">+C4557</f>
        <v>0</v>
      </c>
      <c r="D4431" s="76" t="e">
        <f t="shared" si="1284"/>
        <v>#REF!</v>
      </c>
      <c r="E4431" s="76" t="e">
        <f t="shared" si="1284"/>
        <v>#REF!</v>
      </c>
      <c r="F4431" s="76" t="e">
        <f t="shared" si="1284"/>
        <v>#REF!</v>
      </c>
      <c r="G4431" s="76" t="e">
        <f t="shared" si="1284"/>
        <v>#REF!</v>
      </c>
      <c r="H4431" s="76" t="e">
        <f t="shared" si="1284"/>
        <v>#REF!</v>
      </c>
      <c r="I4431" s="76" t="e">
        <f t="shared" si="1284"/>
        <v>#REF!</v>
      </c>
      <c r="J4431" s="76" t="e">
        <f t="shared" si="1284"/>
        <v>#REF!</v>
      </c>
      <c r="K4431" s="76" t="e">
        <f t="shared" si="1284"/>
        <v>#REF!</v>
      </c>
      <c r="L4431" s="76" t="e">
        <f t="shared" si="1284"/>
        <v>#REF!</v>
      </c>
      <c r="M4431" s="76" t="e">
        <f t="shared" si="1284"/>
        <v>#REF!</v>
      </c>
      <c r="N4431" s="76" t="e">
        <f t="shared" si="1284"/>
        <v>#REF!</v>
      </c>
    </row>
    <row r="4432" spans="1:28" x14ac:dyDescent="0.3">
      <c r="A4432" s="298" t="s">
        <v>2180</v>
      </c>
      <c r="B4432" s="803">
        <f>+B4430-B4431</f>
        <v>0</v>
      </c>
      <c r="C4432" s="803" t="e">
        <f t="shared" ref="C4432:N4432" si="1285">+C4430-C4431</f>
        <v>#REF!</v>
      </c>
      <c r="D4432" s="803" t="e">
        <f t="shared" si="1285"/>
        <v>#REF!</v>
      </c>
      <c r="E4432" s="803" t="e">
        <f t="shared" si="1285"/>
        <v>#REF!</v>
      </c>
      <c r="F4432" s="803" t="e">
        <f t="shared" si="1285"/>
        <v>#REF!</v>
      </c>
      <c r="G4432" s="803" t="e">
        <f t="shared" si="1285"/>
        <v>#REF!</v>
      </c>
      <c r="H4432" s="803" t="e">
        <f t="shared" si="1285"/>
        <v>#REF!</v>
      </c>
      <c r="I4432" s="803" t="e">
        <f t="shared" si="1285"/>
        <v>#REF!</v>
      </c>
      <c r="J4432" s="803" t="e">
        <f t="shared" si="1285"/>
        <v>#REF!</v>
      </c>
      <c r="K4432" s="803" t="e">
        <f t="shared" si="1285"/>
        <v>#REF!</v>
      </c>
      <c r="L4432" s="803" t="e">
        <f t="shared" si="1285"/>
        <v>#REF!</v>
      </c>
      <c r="M4432" s="803" t="e">
        <f t="shared" si="1285"/>
        <v>#REF!</v>
      </c>
      <c r="N4432" s="803" t="e">
        <f t="shared" si="1285"/>
        <v>#REF!</v>
      </c>
    </row>
    <row r="4433" spans="1:28" x14ac:dyDescent="0.3">
      <c r="A4433" s="177" t="s">
        <v>1248</v>
      </c>
      <c r="B4433" s="76">
        <v>0</v>
      </c>
      <c r="C4433" s="76" t="e">
        <f t="shared" ref="C4433:N4433" si="1286">+C4452</f>
        <v>#REF!</v>
      </c>
      <c r="D4433" s="76" t="e">
        <f t="shared" si="1286"/>
        <v>#REF!</v>
      </c>
      <c r="E4433" s="76" t="e">
        <f t="shared" si="1286"/>
        <v>#REF!</v>
      </c>
      <c r="F4433" s="76" t="e">
        <f t="shared" si="1286"/>
        <v>#REF!</v>
      </c>
      <c r="G4433" s="76" t="e">
        <f t="shared" si="1286"/>
        <v>#REF!</v>
      </c>
      <c r="H4433" s="76" t="e">
        <f t="shared" si="1286"/>
        <v>#REF!</v>
      </c>
      <c r="I4433" s="76" t="e">
        <f t="shared" si="1286"/>
        <v>#REF!</v>
      </c>
      <c r="J4433" s="76" t="e">
        <f t="shared" si="1286"/>
        <v>#REF!</v>
      </c>
      <c r="K4433" s="76" t="e">
        <f t="shared" si="1286"/>
        <v>#REF!</v>
      </c>
      <c r="L4433" s="76" t="e">
        <f t="shared" si="1286"/>
        <v>#REF!</v>
      </c>
      <c r="M4433" s="76" t="e">
        <f t="shared" si="1286"/>
        <v>#REF!</v>
      </c>
      <c r="N4433" s="76" t="e">
        <f t="shared" si="1286"/>
        <v>#REF!</v>
      </c>
    </row>
    <row r="4434" spans="1:28" x14ac:dyDescent="0.3">
      <c r="A4434" s="298" t="s">
        <v>2181</v>
      </c>
      <c r="B4434" s="803">
        <f>+B4432-B4433</f>
        <v>0</v>
      </c>
      <c r="C4434" s="803" t="e">
        <f t="shared" ref="C4434:N4434" si="1287">+C4432-C4433</f>
        <v>#REF!</v>
      </c>
      <c r="D4434" s="803" t="e">
        <f t="shared" si="1287"/>
        <v>#REF!</v>
      </c>
      <c r="E4434" s="803" t="e">
        <f t="shared" si="1287"/>
        <v>#REF!</v>
      </c>
      <c r="F4434" s="803" t="e">
        <f t="shared" si="1287"/>
        <v>#REF!</v>
      </c>
      <c r="G4434" s="803" t="e">
        <f t="shared" si="1287"/>
        <v>#REF!</v>
      </c>
      <c r="H4434" s="803" t="e">
        <f t="shared" si="1287"/>
        <v>#REF!</v>
      </c>
      <c r="I4434" s="803" t="e">
        <f t="shared" si="1287"/>
        <v>#REF!</v>
      </c>
      <c r="J4434" s="803" t="e">
        <f t="shared" si="1287"/>
        <v>#REF!</v>
      </c>
      <c r="K4434" s="803" t="e">
        <f t="shared" si="1287"/>
        <v>#REF!</v>
      </c>
      <c r="L4434" s="803" t="e">
        <f t="shared" si="1287"/>
        <v>#REF!</v>
      </c>
      <c r="M4434" s="803" t="e">
        <f t="shared" si="1287"/>
        <v>#REF!</v>
      </c>
      <c r="N4434" s="803" t="e">
        <f t="shared" si="1287"/>
        <v>#REF!</v>
      </c>
    </row>
    <row r="4435" spans="1:28" x14ac:dyDescent="0.3">
      <c r="A4435" s="177" t="s">
        <v>2182</v>
      </c>
      <c r="B4435" s="76">
        <v>0</v>
      </c>
      <c r="C4435" s="76" t="e">
        <f t="shared" ref="C4435:N4435" si="1288">+C4429</f>
        <v>#REF!</v>
      </c>
      <c r="D4435" s="76" t="e">
        <f t="shared" si="1288"/>
        <v>#REF!</v>
      </c>
      <c r="E4435" s="76" t="e">
        <f t="shared" si="1288"/>
        <v>#REF!</v>
      </c>
      <c r="F4435" s="76" t="e">
        <f t="shared" si="1288"/>
        <v>#REF!</v>
      </c>
      <c r="G4435" s="76" t="e">
        <f t="shared" si="1288"/>
        <v>#REF!</v>
      </c>
      <c r="H4435" s="76" t="e">
        <f t="shared" si="1288"/>
        <v>#REF!</v>
      </c>
      <c r="I4435" s="76" t="e">
        <f t="shared" si="1288"/>
        <v>#REF!</v>
      </c>
      <c r="J4435" s="76" t="e">
        <f t="shared" si="1288"/>
        <v>#REF!</v>
      </c>
      <c r="K4435" s="76" t="e">
        <f t="shared" si="1288"/>
        <v>#REF!</v>
      </c>
      <c r="L4435" s="76" t="e">
        <f t="shared" si="1288"/>
        <v>#REF!</v>
      </c>
      <c r="M4435" s="76" t="e">
        <f t="shared" si="1288"/>
        <v>#REF!</v>
      </c>
      <c r="N4435" s="76" t="e">
        <f t="shared" si="1288"/>
        <v>#REF!</v>
      </c>
    </row>
    <row r="4436" spans="1:28" x14ac:dyDescent="0.3">
      <c r="A4436" s="177" t="s">
        <v>1944</v>
      </c>
      <c r="B4436" s="76">
        <v>0</v>
      </c>
      <c r="C4436" s="76">
        <f t="shared" ref="C4436:N4436" si="1289">+C4544</f>
        <v>50</v>
      </c>
      <c r="D4436" s="76">
        <f t="shared" si="1289"/>
        <v>272.25</v>
      </c>
      <c r="E4436" s="76">
        <f t="shared" si="1289"/>
        <v>637.02049843145119</v>
      </c>
      <c r="F4436" s="76">
        <f t="shared" si="1289"/>
        <v>838.28865409543857</v>
      </c>
      <c r="G4436" s="76">
        <f t="shared" si="1289"/>
        <v>967.50470476617795</v>
      </c>
      <c r="H4436" s="76">
        <f t="shared" si="1289"/>
        <v>1119.8984898305766</v>
      </c>
      <c r="I4436" s="76">
        <f t="shared" si="1289"/>
        <v>1444.4129565912824</v>
      </c>
      <c r="J4436" s="76">
        <f t="shared" si="1289"/>
        <v>1691.5236472215088</v>
      </c>
      <c r="K4436" s="76">
        <f t="shared" si="1289"/>
        <v>1919.3444831464617</v>
      </c>
      <c r="L4436" s="76">
        <f t="shared" si="1289"/>
        <v>0</v>
      </c>
      <c r="M4436" s="76">
        <f t="shared" si="1289"/>
        <v>0</v>
      </c>
      <c r="N4436" s="76">
        <f t="shared" si="1289"/>
        <v>0</v>
      </c>
    </row>
    <row r="4437" spans="1:28" x14ac:dyDescent="0.3">
      <c r="A4437" s="177" t="s">
        <v>2183</v>
      </c>
      <c r="B4437" s="76">
        <v>0</v>
      </c>
      <c r="C4437" s="76" t="e">
        <f t="shared" ref="C4437:N4437" si="1290">+C4607</f>
        <v>#REF!</v>
      </c>
      <c r="D4437" s="76" t="e">
        <f t="shared" si="1290"/>
        <v>#REF!</v>
      </c>
      <c r="E4437" s="76" t="e">
        <f t="shared" si="1290"/>
        <v>#REF!</v>
      </c>
      <c r="F4437" s="76" t="e">
        <f t="shared" si="1290"/>
        <v>#REF!</v>
      </c>
      <c r="G4437" s="76" t="e">
        <f t="shared" si="1290"/>
        <v>#REF!</v>
      </c>
      <c r="H4437" s="76" t="e">
        <f t="shared" si="1290"/>
        <v>#REF!</v>
      </c>
      <c r="I4437" s="76" t="e">
        <f t="shared" si="1290"/>
        <v>#REF!</v>
      </c>
      <c r="J4437" s="76" t="e">
        <f t="shared" si="1290"/>
        <v>#REF!</v>
      </c>
      <c r="K4437" s="76" t="e">
        <f t="shared" si="1290"/>
        <v>#REF!</v>
      </c>
      <c r="L4437" s="76" t="e">
        <f t="shared" si="1290"/>
        <v>#REF!</v>
      </c>
      <c r="M4437" s="76" t="e">
        <f t="shared" si="1290"/>
        <v>#REF!</v>
      </c>
      <c r="N4437" s="76" t="e">
        <f t="shared" si="1290"/>
        <v>#REF!</v>
      </c>
    </row>
    <row r="4438" spans="1:28" x14ac:dyDescent="0.3">
      <c r="A4438" s="177" t="s">
        <v>2184</v>
      </c>
      <c r="B4438" s="76">
        <v>0</v>
      </c>
      <c r="C4438" s="76">
        <f t="shared" ref="C4438:N4438" si="1291">+C4609</f>
        <v>1.5470000000000002</v>
      </c>
      <c r="D4438" s="76">
        <f t="shared" si="1291"/>
        <v>10.556000000000001</v>
      </c>
      <c r="E4438" s="76">
        <f t="shared" si="1291"/>
        <v>28.756</v>
      </c>
      <c r="F4438" s="76">
        <f t="shared" si="1291"/>
        <v>48.988333333333344</v>
      </c>
      <c r="G4438" s="76">
        <f t="shared" si="1291"/>
        <v>69.220666666666673</v>
      </c>
      <c r="H4438" s="76">
        <f t="shared" si="1291"/>
        <v>89.453000000000003</v>
      </c>
      <c r="I4438" s="76">
        <f t="shared" si="1291"/>
        <v>109.68533333333335</v>
      </c>
      <c r="J4438" s="76">
        <f t="shared" si="1291"/>
        <v>129.91766666666669</v>
      </c>
      <c r="K4438" s="76">
        <f t="shared" si="1291"/>
        <v>150.15</v>
      </c>
      <c r="L4438" s="76">
        <f t="shared" si="1291"/>
        <v>150.15</v>
      </c>
      <c r="M4438" s="76">
        <f t="shared" si="1291"/>
        <v>150.15</v>
      </c>
      <c r="N4438" s="76">
        <f t="shared" si="1291"/>
        <v>150.15</v>
      </c>
    </row>
    <row r="4439" spans="1:28" ht="12.5" thickBot="1" x14ac:dyDescent="0.35">
      <c r="A4439" s="298" t="s">
        <v>103</v>
      </c>
      <c r="B4439" s="466">
        <f>+B4434+B4435-SUM(B4436:B4438)</f>
        <v>0</v>
      </c>
      <c r="C4439" s="466" t="e">
        <f t="shared" ref="C4439:N4439" si="1292">+C4434+C4435-SUM(C4436:C4438)</f>
        <v>#REF!</v>
      </c>
      <c r="D4439" s="466" t="e">
        <f t="shared" si="1292"/>
        <v>#REF!</v>
      </c>
      <c r="E4439" s="466" t="e">
        <f t="shared" si="1292"/>
        <v>#REF!</v>
      </c>
      <c r="F4439" s="466" t="e">
        <f t="shared" si="1292"/>
        <v>#REF!</v>
      </c>
      <c r="G4439" s="466" t="e">
        <f t="shared" si="1292"/>
        <v>#REF!</v>
      </c>
      <c r="H4439" s="466" t="e">
        <f t="shared" si="1292"/>
        <v>#REF!</v>
      </c>
      <c r="I4439" s="466" t="e">
        <f t="shared" si="1292"/>
        <v>#REF!</v>
      </c>
      <c r="J4439" s="466" t="e">
        <f t="shared" si="1292"/>
        <v>#REF!</v>
      </c>
      <c r="K4439" s="466" t="e">
        <f t="shared" si="1292"/>
        <v>#REF!</v>
      </c>
      <c r="L4439" s="466" t="e">
        <f t="shared" si="1292"/>
        <v>#REF!</v>
      </c>
      <c r="M4439" s="466" t="e">
        <f t="shared" si="1292"/>
        <v>#REF!</v>
      </c>
      <c r="N4439" s="466" t="e">
        <f t="shared" si="1292"/>
        <v>#REF!</v>
      </c>
    </row>
    <row r="4440" spans="1:28" ht="12.5" thickTop="1" x14ac:dyDescent="0.3">
      <c r="A4440" s="478"/>
      <c r="B4440" s="114"/>
      <c r="C4440" s="114"/>
      <c r="D4440" s="114"/>
      <c r="E4440" s="114"/>
      <c r="F4440" s="114"/>
      <c r="G4440" s="114"/>
      <c r="H4440" s="114"/>
      <c r="I4440" s="114"/>
      <c r="J4440" s="114"/>
      <c r="K4440" s="114"/>
      <c r="L4440" s="114"/>
      <c r="M4440" s="114"/>
      <c r="N4440" s="114"/>
      <c r="AB4440" s="76"/>
    </row>
    <row r="4441" spans="1:28" x14ac:dyDescent="0.3">
      <c r="A4441" s="141"/>
    </row>
    <row r="4442" spans="1:28" x14ac:dyDescent="0.3">
      <c r="A4442" s="410" t="s">
        <v>233</v>
      </c>
    </row>
    <row r="4443" spans="1:28" x14ac:dyDescent="0.3">
      <c r="A4443" s="411"/>
      <c r="B4443" s="147">
        <v>2019</v>
      </c>
      <c r="C4443" s="147">
        <v>2020</v>
      </c>
      <c r="D4443" s="147">
        <f t="shared" ref="D4443:N4443" si="1293">+C4443+1</f>
        <v>2021</v>
      </c>
      <c r="E4443" s="147">
        <f t="shared" si="1293"/>
        <v>2022</v>
      </c>
      <c r="F4443" s="147">
        <f t="shared" si="1293"/>
        <v>2023</v>
      </c>
      <c r="G4443" s="147">
        <f t="shared" si="1293"/>
        <v>2024</v>
      </c>
      <c r="H4443" s="147">
        <f t="shared" si="1293"/>
        <v>2025</v>
      </c>
      <c r="I4443" s="147">
        <f t="shared" si="1293"/>
        <v>2026</v>
      </c>
      <c r="J4443" s="147">
        <f t="shared" si="1293"/>
        <v>2027</v>
      </c>
      <c r="K4443" s="147">
        <f t="shared" si="1293"/>
        <v>2028</v>
      </c>
      <c r="L4443" s="147">
        <f t="shared" si="1293"/>
        <v>2029</v>
      </c>
      <c r="M4443" s="147">
        <f t="shared" si="1293"/>
        <v>2030</v>
      </c>
      <c r="N4443" s="147">
        <f t="shared" si="1293"/>
        <v>2031</v>
      </c>
    </row>
    <row r="4444" spans="1:28" x14ac:dyDescent="0.3">
      <c r="A4444" s="1791" t="s">
        <v>234</v>
      </c>
      <c r="B4444" s="458">
        <v>0</v>
      </c>
      <c r="C4444" s="530">
        <f>+B4447</f>
        <v>0</v>
      </c>
      <c r="D4444" s="530" t="e">
        <f t="shared" ref="D4444:N4444" si="1294">+C4447</f>
        <v>#REF!</v>
      </c>
      <c r="E4444" s="530" t="e">
        <f t="shared" si="1294"/>
        <v>#REF!</v>
      </c>
      <c r="F4444" s="530" t="e">
        <f t="shared" si="1294"/>
        <v>#REF!</v>
      </c>
      <c r="G4444" s="530" t="e">
        <f t="shared" si="1294"/>
        <v>#REF!</v>
      </c>
      <c r="H4444" s="530" t="e">
        <f t="shared" si="1294"/>
        <v>#REF!</v>
      </c>
      <c r="I4444" s="530" t="e">
        <f t="shared" si="1294"/>
        <v>#REF!</v>
      </c>
      <c r="J4444" s="530" t="e">
        <f t="shared" si="1294"/>
        <v>#REF!</v>
      </c>
      <c r="K4444" s="530" t="e">
        <f t="shared" si="1294"/>
        <v>#REF!</v>
      </c>
      <c r="L4444" s="530" t="e">
        <f t="shared" si="1294"/>
        <v>#REF!</v>
      </c>
      <c r="M4444" s="530" t="e">
        <f t="shared" si="1294"/>
        <v>#REF!</v>
      </c>
      <c r="N4444" s="530" t="e">
        <f t="shared" si="1294"/>
        <v>#REF!</v>
      </c>
    </row>
    <row r="4445" spans="1:28" x14ac:dyDescent="0.3">
      <c r="A4445" s="414" t="s">
        <v>235</v>
      </c>
      <c r="B4445" s="528">
        <f>IF(B4450&gt;0,0,-B4450)</f>
        <v>0</v>
      </c>
      <c r="C4445" s="528" t="e">
        <f t="shared" ref="C4445:N4445" si="1295">IF(C4450&gt;0,0,-C4450)</f>
        <v>#REF!</v>
      </c>
      <c r="D4445" s="528" t="e">
        <f t="shared" si="1295"/>
        <v>#REF!</v>
      </c>
      <c r="E4445" s="528" t="e">
        <f t="shared" si="1295"/>
        <v>#REF!</v>
      </c>
      <c r="F4445" s="528" t="e">
        <f t="shared" si="1295"/>
        <v>#REF!</v>
      </c>
      <c r="G4445" s="528" t="e">
        <f t="shared" si="1295"/>
        <v>#REF!</v>
      </c>
      <c r="H4445" s="528" t="e">
        <f t="shared" si="1295"/>
        <v>#REF!</v>
      </c>
      <c r="I4445" s="528" t="e">
        <f t="shared" si="1295"/>
        <v>#REF!</v>
      </c>
      <c r="J4445" s="528" t="e">
        <f t="shared" si="1295"/>
        <v>#REF!</v>
      </c>
      <c r="K4445" s="528" t="e">
        <f t="shared" si="1295"/>
        <v>#REF!</v>
      </c>
      <c r="L4445" s="528" t="e">
        <f t="shared" si="1295"/>
        <v>#REF!</v>
      </c>
      <c r="M4445" s="528" t="e">
        <f t="shared" si="1295"/>
        <v>#REF!</v>
      </c>
      <c r="N4445" s="528" t="e">
        <f t="shared" si="1295"/>
        <v>#REF!</v>
      </c>
    </row>
    <row r="4446" spans="1:28" x14ac:dyDescent="0.3">
      <c r="A4446" s="414" t="s">
        <v>236</v>
      </c>
      <c r="B4446" s="528">
        <f>IF(B4450&lt;0,0,IF(B4444+B4445-B4450&gt;0,-B4450,-B4444-B4445))</f>
        <v>0</v>
      </c>
      <c r="C4446" s="528" t="e">
        <f t="shared" ref="C4446:N4446" si="1296">IF(C4450&lt;0,0,IF(C4444+C4445-C4450&gt;0,-C4450,-C4444-C4445))</f>
        <v>#REF!</v>
      </c>
      <c r="D4446" s="528" t="e">
        <f t="shared" si="1296"/>
        <v>#REF!</v>
      </c>
      <c r="E4446" s="528" t="e">
        <f t="shared" si="1296"/>
        <v>#REF!</v>
      </c>
      <c r="F4446" s="528" t="e">
        <f t="shared" si="1296"/>
        <v>#REF!</v>
      </c>
      <c r="G4446" s="528" t="e">
        <f t="shared" si="1296"/>
        <v>#REF!</v>
      </c>
      <c r="H4446" s="528" t="e">
        <f t="shared" si="1296"/>
        <v>#REF!</v>
      </c>
      <c r="I4446" s="528" t="e">
        <f t="shared" si="1296"/>
        <v>#REF!</v>
      </c>
      <c r="J4446" s="528" t="e">
        <f t="shared" si="1296"/>
        <v>#REF!</v>
      </c>
      <c r="K4446" s="528" t="e">
        <f t="shared" si="1296"/>
        <v>#REF!</v>
      </c>
      <c r="L4446" s="528" t="e">
        <f t="shared" si="1296"/>
        <v>#REF!</v>
      </c>
      <c r="M4446" s="528" t="e">
        <f t="shared" si="1296"/>
        <v>#REF!</v>
      </c>
      <c r="N4446" s="528" t="e">
        <f t="shared" si="1296"/>
        <v>#REF!</v>
      </c>
    </row>
    <row r="4447" spans="1:28" x14ac:dyDescent="0.3">
      <c r="A4447" s="418" t="s">
        <v>237</v>
      </c>
      <c r="B4447" s="529">
        <f>B4444+B4445+B4446</f>
        <v>0</v>
      </c>
      <c r="C4447" s="529" t="e">
        <f t="shared" ref="C4447:N4447" si="1297">C4444+C4445+C4446</f>
        <v>#REF!</v>
      </c>
      <c r="D4447" s="529" t="e">
        <f t="shared" si="1297"/>
        <v>#REF!</v>
      </c>
      <c r="E4447" s="529" t="e">
        <f t="shared" si="1297"/>
        <v>#REF!</v>
      </c>
      <c r="F4447" s="529" t="e">
        <f t="shared" si="1297"/>
        <v>#REF!</v>
      </c>
      <c r="G4447" s="529" t="e">
        <f t="shared" si="1297"/>
        <v>#REF!</v>
      </c>
      <c r="H4447" s="529" t="e">
        <f t="shared" si="1297"/>
        <v>#REF!</v>
      </c>
      <c r="I4447" s="529" t="e">
        <f t="shared" si="1297"/>
        <v>#REF!</v>
      </c>
      <c r="J4447" s="529" t="e">
        <f t="shared" si="1297"/>
        <v>#REF!</v>
      </c>
      <c r="K4447" s="529" t="e">
        <f t="shared" si="1297"/>
        <v>#REF!</v>
      </c>
      <c r="L4447" s="529" t="e">
        <f t="shared" si="1297"/>
        <v>#REF!</v>
      </c>
      <c r="M4447" s="529" t="e">
        <f t="shared" si="1297"/>
        <v>#REF!</v>
      </c>
      <c r="N4447" s="529" t="e">
        <f t="shared" si="1297"/>
        <v>#REF!</v>
      </c>
    </row>
    <row r="4448" spans="1:28" x14ac:dyDescent="0.3">
      <c r="A4448" s="399"/>
      <c r="B4448" s="76"/>
      <c r="C4448" s="76"/>
      <c r="D4448" s="76"/>
      <c r="E4448" s="76"/>
      <c r="F4448" s="76"/>
      <c r="G4448" s="76"/>
      <c r="H4448" s="76"/>
      <c r="I4448" s="76"/>
      <c r="J4448" s="76"/>
      <c r="K4448" s="76"/>
      <c r="L4448" s="76"/>
      <c r="M4448" s="76"/>
      <c r="N4448" s="76"/>
    </row>
    <row r="4449" spans="1:17" x14ac:dyDescent="0.3">
      <c r="A4449" s="399" t="s">
        <v>2185</v>
      </c>
      <c r="B4449" s="528">
        <f>+B4432</f>
        <v>0</v>
      </c>
      <c r="C4449" s="528" t="e">
        <f t="shared" ref="C4449:N4449" si="1298">+C4432</f>
        <v>#REF!</v>
      </c>
      <c r="D4449" s="528" t="e">
        <f t="shared" si="1298"/>
        <v>#REF!</v>
      </c>
      <c r="E4449" s="528" t="e">
        <f t="shared" si="1298"/>
        <v>#REF!</v>
      </c>
      <c r="F4449" s="528" t="e">
        <f t="shared" si="1298"/>
        <v>#REF!</v>
      </c>
      <c r="G4449" s="528" t="e">
        <f t="shared" si="1298"/>
        <v>#REF!</v>
      </c>
      <c r="H4449" s="528" t="e">
        <f t="shared" si="1298"/>
        <v>#REF!</v>
      </c>
      <c r="I4449" s="528" t="e">
        <f t="shared" si="1298"/>
        <v>#REF!</v>
      </c>
      <c r="J4449" s="528" t="e">
        <f t="shared" si="1298"/>
        <v>#REF!</v>
      </c>
      <c r="K4449" s="528" t="e">
        <f t="shared" si="1298"/>
        <v>#REF!</v>
      </c>
      <c r="L4449" s="528" t="e">
        <f t="shared" si="1298"/>
        <v>#REF!</v>
      </c>
      <c r="M4449" s="528" t="e">
        <f t="shared" si="1298"/>
        <v>#REF!</v>
      </c>
      <c r="N4449" s="528" t="e">
        <f t="shared" si="1298"/>
        <v>#REF!</v>
      </c>
    </row>
    <row r="4450" spans="1:17" x14ac:dyDescent="0.3">
      <c r="A4450" s="414" t="s">
        <v>241</v>
      </c>
      <c r="B4450" s="528">
        <f t="shared" ref="B4450:N4450" si="1299">+B4449*0.25</f>
        <v>0</v>
      </c>
      <c r="C4450" s="528" t="e">
        <f t="shared" si="1299"/>
        <v>#REF!</v>
      </c>
      <c r="D4450" s="528" t="e">
        <f t="shared" si="1299"/>
        <v>#REF!</v>
      </c>
      <c r="E4450" s="528" t="e">
        <f t="shared" si="1299"/>
        <v>#REF!</v>
      </c>
      <c r="F4450" s="528" t="e">
        <f t="shared" si="1299"/>
        <v>#REF!</v>
      </c>
      <c r="G4450" s="528" t="e">
        <f t="shared" si="1299"/>
        <v>#REF!</v>
      </c>
      <c r="H4450" s="528" t="e">
        <f t="shared" si="1299"/>
        <v>#REF!</v>
      </c>
      <c r="I4450" s="528" t="e">
        <f t="shared" si="1299"/>
        <v>#REF!</v>
      </c>
      <c r="J4450" s="528" t="e">
        <f t="shared" si="1299"/>
        <v>#REF!</v>
      </c>
      <c r="K4450" s="528" t="e">
        <f t="shared" si="1299"/>
        <v>#REF!</v>
      </c>
      <c r="L4450" s="528" t="e">
        <f t="shared" si="1299"/>
        <v>#REF!</v>
      </c>
      <c r="M4450" s="528" t="e">
        <f t="shared" si="1299"/>
        <v>#REF!</v>
      </c>
      <c r="N4450" s="528" t="e">
        <f t="shared" si="1299"/>
        <v>#REF!</v>
      </c>
    </row>
    <row r="4451" spans="1:17" x14ac:dyDescent="0.3">
      <c r="A4451" s="418" t="s">
        <v>242</v>
      </c>
      <c r="B4451" s="528">
        <f t="shared" ref="B4451:N4451" si="1300">+B4449-B4450</f>
        <v>0</v>
      </c>
      <c r="C4451" s="528" t="e">
        <f t="shared" si="1300"/>
        <v>#REF!</v>
      </c>
      <c r="D4451" s="528" t="e">
        <f t="shared" si="1300"/>
        <v>#REF!</v>
      </c>
      <c r="E4451" s="528" t="e">
        <f t="shared" si="1300"/>
        <v>#REF!</v>
      </c>
      <c r="F4451" s="528" t="e">
        <f t="shared" si="1300"/>
        <v>#REF!</v>
      </c>
      <c r="G4451" s="528" t="e">
        <f t="shared" si="1300"/>
        <v>#REF!</v>
      </c>
      <c r="H4451" s="528" t="e">
        <f t="shared" si="1300"/>
        <v>#REF!</v>
      </c>
      <c r="I4451" s="528" t="e">
        <f t="shared" si="1300"/>
        <v>#REF!</v>
      </c>
      <c r="J4451" s="528" t="e">
        <f t="shared" si="1300"/>
        <v>#REF!</v>
      </c>
      <c r="K4451" s="528" t="e">
        <f t="shared" si="1300"/>
        <v>#REF!</v>
      </c>
      <c r="L4451" s="528" t="e">
        <f t="shared" si="1300"/>
        <v>#REF!</v>
      </c>
      <c r="M4451" s="528" t="e">
        <f t="shared" si="1300"/>
        <v>#REF!</v>
      </c>
      <c r="N4451" s="528" t="e">
        <f t="shared" si="1300"/>
        <v>#REF!</v>
      </c>
    </row>
    <row r="4452" spans="1:17" x14ac:dyDescent="0.3">
      <c r="A4452" s="409" t="s">
        <v>243</v>
      </c>
      <c r="B4452" s="738">
        <f>B4450+B4445+B4446</f>
        <v>0</v>
      </c>
      <c r="C4452" s="738" t="e">
        <f t="shared" ref="C4452:N4452" si="1301">C4450+C4445+C4446</f>
        <v>#REF!</v>
      </c>
      <c r="D4452" s="738" t="e">
        <f t="shared" si="1301"/>
        <v>#REF!</v>
      </c>
      <c r="E4452" s="738" t="e">
        <f t="shared" si="1301"/>
        <v>#REF!</v>
      </c>
      <c r="F4452" s="738" t="e">
        <f t="shared" si="1301"/>
        <v>#REF!</v>
      </c>
      <c r="G4452" s="738" t="e">
        <f t="shared" si="1301"/>
        <v>#REF!</v>
      </c>
      <c r="H4452" s="738" t="e">
        <f t="shared" si="1301"/>
        <v>#REF!</v>
      </c>
      <c r="I4452" s="738" t="e">
        <f t="shared" si="1301"/>
        <v>#REF!</v>
      </c>
      <c r="J4452" s="738" t="e">
        <f t="shared" si="1301"/>
        <v>#REF!</v>
      </c>
      <c r="K4452" s="738" t="e">
        <f t="shared" si="1301"/>
        <v>#REF!</v>
      </c>
      <c r="L4452" s="738" t="e">
        <f t="shared" si="1301"/>
        <v>#REF!</v>
      </c>
      <c r="M4452" s="738" t="e">
        <f t="shared" si="1301"/>
        <v>#REF!</v>
      </c>
      <c r="N4452" s="738" t="e">
        <f t="shared" si="1301"/>
        <v>#REF!</v>
      </c>
      <c r="O4452" s="409"/>
      <c r="P4452" s="409"/>
    </row>
    <row r="4453" spans="1:17" x14ac:dyDescent="0.3">
      <c r="A4453" s="412" t="s">
        <v>244</v>
      </c>
      <c r="B4453" s="413" t="e">
        <f>B4452/B4449</f>
        <v>#DIV/0!</v>
      </c>
      <c r="C4453" s="413" t="e">
        <f t="shared" ref="C4453:N4453" si="1302">C4452/C4449</f>
        <v>#REF!</v>
      </c>
      <c r="D4453" s="413" t="e">
        <f t="shared" si="1302"/>
        <v>#REF!</v>
      </c>
      <c r="E4453" s="413" t="e">
        <f t="shared" si="1302"/>
        <v>#REF!</v>
      </c>
      <c r="F4453" s="413" t="e">
        <f t="shared" si="1302"/>
        <v>#REF!</v>
      </c>
      <c r="G4453" s="413" t="e">
        <f t="shared" si="1302"/>
        <v>#REF!</v>
      </c>
      <c r="H4453" s="413" t="e">
        <f t="shared" si="1302"/>
        <v>#REF!</v>
      </c>
      <c r="I4453" s="413" t="e">
        <f t="shared" si="1302"/>
        <v>#REF!</v>
      </c>
      <c r="J4453" s="413" t="e">
        <f t="shared" si="1302"/>
        <v>#REF!</v>
      </c>
      <c r="K4453" s="413" t="e">
        <f t="shared" si="1302"/>
        <v>#REF!</v>
      </c>
      <c r="L4453" s="413" t="e">
        <f t="shared" si="1302"/>
        <v>#REF!</v>
      </c>
      <c r="M4453" s="413" t="e">
        <f t="shared" si="1302"/>
        <v>#REF!</v>
      </c>
      <c r="N4453" s="413" t="e">
        <f t="shared" si="1302"/>
        <v>#REF!</v>
      </c>
      <c r="O4453" s="399"/>
      <c r="P4453" s="399"/>
      <c r="Q4453" s="399"/>
    </row>
    <row r="4454" spans="1:17" x14ac:dyDescent="0.3">
      <c r="A4454" s="141"/>
      <c r="O4454" s="399"/>
      <c r="P4454" s="399"/>
      <c r="Q4454" s="399"/>
    </row>
    <row r="4455" spans="1:17" x14ac:dyDescent="0.3">
      <c r="A4455" s="410" t="s">
        <v>2101</v>
      </c>
      <c r="B4455" s="399"/>
      <c r="C4455" s="399"/>
      <c r="D4455" s="399"/>
      <c r="E4455" s="399"/>
      <c r="F4455" s="399"/>
      <c r="G4455" s="401"/>
      <c r="H4455" s="399"/>
      <c r="I4455" s="399"/>
      <c r="J4455" s="399"/>
      <c r="K4455" s="399"/>
      <c r="L4455" s="399"/>
      <c r="M4455" s="399"/>
      <c r="N4455" s="399"/>
      <c r="O4455" s="399"/>
      <c r="P4455" s="399"/>
      <c r="Q4455" s="399"/>
    </row>
    <row r="4456" spans="1:17" x14ac:dyDescent="0.3">
      <c r="A4456" s="411"/>
      <c r="B4456" s="147">
        <v>2019</v>
      </c>
      <c r="C4456" s="147">
        <v>2020</v>
      </c>
      <c r="D4456" s="147">
        <f t="shared" ref="D4456:N4456" si="1303">+C4456+1</f>
        <v>2021</v>
      </c>
      <c r="E4456" s="147">
        <f t="shared" si="1303"/>
        <v>2022</v>
      </c>
      <c r="F4456" s="147">
        <f t="shared" si="1303"/>
        <v>2023</v>
      </c>
      <c r="G4456" s="147">
        <f t="shared" si="1303"/>
        <v>2024</v>
      </c>
      <c r="H4456" s="147">
        <f t="shared" si="1303"/>
        <v>2025</v>
      </c>
      <c r="I4456" s="147">
        <f t="shared" si="1303"/>
        <v>2026</v>
      </c>
      <c r="J4456" s="147">
        <f t="shared" si="1303"/>
        <v>2027</v>
      </c>
      <c r="K4456" s="147">
        <f t="shared" si="1303"/>
        <v>2028</v>
      </c>
      <c r="L4456" s="147">
        <f t="shared" si="1303"/>
        <v>2029</v>
      </c>
      <c r="M4456" s="147">
        <f t="shared" si="1303"/>
        <v>2030</v>
      </c>
      <c r="N4456" s="147">
        <f t="shared" si="1303"/>
        <v>2031</v>
      </c>
      <c r="O4456" s="443" t="s">
        <v>245</v>
      </c>
      <c r="P4456" s="399"/>
      <c r="Q4456" s="399"/>
    </row>
    <row r="4457" spans="1:17" x14ac:dyDescent="0.3">
      <c r="A4457" s="399" t="s">
        <v>598</v>
      </c>
      <c r="B4457" s="76">
        <f>+B4420</f>
        <v>0</v>
      </c>
      <c r="C4457" s="76">
        <f t="shared" ref="C4457:N4457" si="1304">+C4420</f>
        <v>2.3515759999999997</v>
      </c>
      <c r="D4457" s="76">
        <f t="shared" si="1304"/>
        <v>22.766946248183778</v>
      </c>
      <c r="E4457" s="76">
        <f t="shared" si="1304"/>
        <v>92.397781754992636</v>
      </c>
      <c r="F4457" s="76">
        <f t="shared" si="1304"/>
        <v>241.50058845333331</v>
      </c>
      <c r="G4457" s="76">
        <f t="shared" si="1304"/>
        <v>484.30105712196581</v>
      </c>
      <c r="H4457" s="76">
        <f t="shared" si="1304"/>
        <v>814.48000063568588</v>
      </c>
      <c r="I4457" s="76">
        <f t="shared" si="1304"/>
        <v>1221.2091832664328</v>
      </c>
      <c r="J4457" s="76">
        <f t="shared" si="1304"/>
        <v>1690.156210349292</v>
      </c>
      <c r="K4457" s="76">
        <f t="shared" si="1304"/>
        <v>2204.29183874405</v>
      </c>
      <c r="L4457" s="76">
        <f t="shared" si="1304"/>
        <v>2715.1936395141643</v>
      </c>
      <c r="M4457" s="76">
        <f t="shared" si="1304"/>
        <v>3162.5835923891059</v>
      </c>
      <c r="N4457" s="76">
        <f t="shared" si="1304"/>
        <v>3518.0022316042941</v>
      </c>
      <c r="O4457" s="76">
        <f>+N4457/M4457*N4457</f>
        <v>3913.3636598118669</v>
      </c>
      <c r="P4457" s="399"/>
      <c r="Q4457" s="399"/>
    </row>
    <row r="4458" spans="1:17" x14ac:dyDescent="0.3">
      <c r="A4458" s="177" t="s">
        <v>599</v>
      </c>
      <c r="B4458" s="76">
        <f>+B4457-B4459</f>
        <v>0</v>
      </c>
      <c r="C4458" s="76">
        <f t="shared" ref="C4458:N4458" si="1305">+C4457-C4459</f>
        <v>2.3515759999999997</v>
      </c>
      <c r="D4458" s="76">
        <f t="shared" si="1305"/>
        <v>21.102795848183778</v>
      </c>
      <c r="E4458" s="76">
        <f t="shared" si="1305"/>
        <v>76.277744306808856</v>
      </c>
      <c r="F4458" s="76">
        <f t="shared" si="1305"/>
        <v>177.66676637834067</v>
      </c>
      <c r="G4458" s="76">
        <f t="shared" si="1305"/>
        <v>319.79628302724586</v>
      </c>
      <c r="H4458" s="76">
        <f t="shared" si="1305"/>
        <v>484.93825908454289</v>
      </c>
      <c r="I4458" s="76">
        <f t="shared" si="1305"/>
        <v>665.34151714023471</v>
      </c>
      <c r="J4458" s="76">
        <f t="shared" si="1305"/>
        <v>852.97781069013502</v>
      </c>
      <c r="K4458" s="76">
        <f t="shared" si="1305"/>
        <v>1039.6122671582796</v>
      </c>
      <c r="L4458" s="76">
        <f t="shared" si="1305"/>
        <v>1187.7652869095489</v>
      </c>
      <c r="M4458" s="76">
        <f t="shared" si="1305"/>
        <v>1271.5615872067065</v>
      </c>
      <c r="N4458" s="76">
        <f t="shared" si="1305"/>
        <v>1040.2886218155586</v>
      </c>
      <c r="O4458" s="76">
        <f>+O4457-O4459</f>
        <v>1157.1987225466569</v>
      </c>
      <c r="P4458" s="399"/>
      <c r="Q4458" s="399"/>
    </row>
    <row r="4459" spans="1:17" x14ac:dyDescent="0.3">
      <c r="A4459" s="418" t="s">
        <v>218</v>
      </c>
      <c r="B4459" s="1792">
        <f>+B4428</f>
        <v>0</v>
      </c>
      <c r="C4459" s="1792">
        <f t="shared" ref="C4459:N4459" si="1306">+C4428</f>
        <v>0</v>
      </c>
      <c r="D4459" s="1792">
        <f t="shared" si="1306"/>
        <v>1.6641503999999998</v>
      </c>
      <c r="E4459" s="1792">
        <f t="shared" si="1306"/>
        <v>16.12003744818378</v>
      </c>
      <c r="F4459" s="1792">
        <f t="shared" si="1306"/>
        <v>63.833822074992639</v>
      </c>
      <c r="G4459" s="1792">
        <f t="shared" si="1306"/>
        <v>164.50477409471998</v>
      </c>
      <c r="H4459" s="1792">
        <f t="shared" si="1306"/>
        <v>329.54174155114299</v>
      </c>
      <c r="I4459" s="1792">
        <f t="shared" si="1306"/>
        <v>555.86766612619806</v>
      </c>
      <c r="J4459" s="1792">
        <f t="shared" si="1306"/>
        <v>837.17839965915698</v>
      </c>
      <c r="K4459" s="1792">
        <f t="shared" si="1306"/>
        <v>1164.6795715857704</v>
      </c>
      <c r="L4459" s="1792">
        <f t="shared" si="1306"/>
        <v>1527.4283526046154</v>
      </c>
      <c r="M4459" s="1792">
        <f t="shared" si="1306"/>
        <v>1891.0220051823994</v>
      </c>
      <c r="N4459" s="1792">
        <f t="shared" si="1306"/>
        <v>2477.7136097887355</v>
      </c>
      <c r="O4459" s="1792">
        <f>+N4459/N4457*O4457</f>
        <v>2756.16493726521</v>
      </c>
      <c r="P4459" s="399"/>
      <c r="Q4459" s="399"/>
    </row>
    <row r="4460" spans="1:17" x14ac:dyDescent="0.3">
      <c r="A4460" s="414" t="s">
        <v>587</v>
      </c>
      <c r="B4460" s="399">
        <f>+B4429</f>
        <v>0</v>
      </c>
      <c r="C4460" s="399" t="e">
        <f t="shared" ref="C4460:N4460" si="1307">+C4429</f>
        <v>#REF!</v>
      </c>
      <c r="D4460" s="399" t="e">
        <f t="shared" si="1307"/>
        <v>#REF!</v>
      </c>
      <c r="E4460" s="399" t="e">
        <f t="shared" si="1307"/>
        <v>#REF!</v>
      </c>
      <c r="F4460" s="399" t="e">
        <f t="shared" si="1307"/>
        <v>#REF!</v>
      </c>
      <c r="G4460" s="399" t="e">
        <f t="shared" si="1307"/>
        <v>#REF!</v>
      </c>
      <c r="H4460" s="399" t="e">
        <f t="shared" si="1307"/>
        <v>#REF!</v>
      </c>
      <c r="I4460" s="399" t="e">
        <f t="shared" si="1307"/>
        <v>#REF!</v>
      </c>
      <c r="J4460" s="399" t="e">
        <f t="shared" si="1307"/>
        <v>#REF!</v>
      </c>
      <c r="K4460" s="399" t="e">
        <f t="shared" si="1307"/>
        <v>#REF!</v>
      </c>
      <c r="L4460" s="399" t="e">
        <f t="shared" si="1307"/>
        <v>#REF!</v>
      </c>
      <c r="M4460" s="399" t="e">
        <f t="shared" si="1307"/>
        <v>#REF!</v>
      </c>
      <c r="N4460" s="399" t="e">
        <f t="shared" si="1307"/>
        <v>#REF!</v>
      </c>
      <c r="O4460" s="399">
        <f>+O4464</f>
        <v>469.60363917742399</v>
      </c>
      <c r="P4460" s="399"/>
      <c r="Q4460" s="399"/>
    </row>
    <row r="4461" spans="1:17" x14ac:dyDescent="0.3">
      <c r="A4461" s="418" t="s">
        <v>589</v>
      </c>
      <c r="B4461" s="1792">
        <f>+B4459-B4460</f>
        <v>0</v>
      </c>
      <c r="C4461" s="1792" t="e">
        <f t="shared" ref="C4461:O4461" si="1308">+C4459-C4460</f>
        <v>#REF!</v>
      </c>
      <c r="D4461" s="1792" t="e">
        <f t="shared" si="1308"/>
        <v>#REF!</v>
      </c>
      <c r="E4461" s="1792" t="e">
        <f t="shared" si="1308"/>
        <v>#REF!</v>
      </c>
      <c r="F4461" s="1792" t="e">
        <f t="shared" si="1308"/>
        <v>#REF!</v>
      </c>
      <c r="G4461" s="1792" t="e">
        <f t="shared" si="1308"/>
        <v>#REF!</v>
      </c>
      <c r="H4461" s="1792" t="e">
        <f t="shared" si="1308"/>
        <v>#REF!</v>
      </c>
      <c r="I4461" s="1792" t="e">
        <f t="shared" si="1308"/>
        <v>#REF!</v>
      </c>
      <c r="J4461" s="1792" t="e">
        <f t="shared" si="1308"/>
        <v>#REF!</v>
      </c>
      <c r="K4461" s="1792" t="e">
        <f t="shared" si="1308"/>
        <v>#REF!</v>
      </c>
      <c r="L4461" s="1792" t="e">
        <f t="shared" si="1308"/>
        <v>#REF!</v>
      </c>
      <c r="M4461" s="1792" t="e">
        <f t="shared" si="1308"/>
        <v>#REF!</v>
      </c>
      <c r="N4461" s="1792" t="e">
        <f t="shared" si="1308"/>
        <v>#REF!</v>
      </c>
      <c r="O4461" s="1792">
        <f t="shared" si="1308"/>
        <v>2286.5612980877859</v>
      </c>
      <c r="P4461" s="399"/>
      <c r="Q4461" s="399"/>
    </row>
    <row r="4462" spans="1:17" x14ac:dyDescent="0.3">
      <c r="A4462" s="414" t="s">
        <v>2186</v>
      </c>
      <c r="B4462" s="399">
        <f>+B4452</f>
        <v>0</v>
      </c>
      <c r="C4462" s="739" t="e">
        <f>+C4452</f>
        <v>#REF!</v>
      </c>
      <c r="D4462" s="739" t="e">
        <f t="shared" ref="D4462:N4462" si="1309">+D4452</f>
        <v>#REF!</v>
      </c>
      <c r="E4462" s="739" t="e">
        <f t="shared" si="1309"/>
        <v>#REF!</v>
      </c>
      <c r="F4462" s="739" t="e">
        <f t="shared" si="1309"/>
        <v>#REF!</v>
      </c>
      <c r="G4462" s="739" t="e">
        <f t="shared" si="1309"/>
        <v>#REF!</v>
      </c>
      <c r="H4462" s="739" t="e">
        <f t="shared" si="1309"/>
        <v>#REF!</v>
      </c>
      <c r="I4462" s="739" t="e">
        <f t="shared" si="1309"/>
        <v>#REF!</v>
      </c>
      <c r="J4462" s="739" t="e">
        <f t="shared" si="1309"/>
        <v>#REF!</v>
      </c>
      <c r="K4462" s="739" t="e">
        <f t="shared" si="1309"/>
        <v>#REF!</v>
      </c>
      <c r="L4462" s="739" t="e">
        <f t="shared" si="1309"/>
        <v>#REF!</v>
      </c>
      <c r="M4462" s="739" t="e">
        <f t="shared" si="1309"/>
        <v>#REF!</v>
      </c>
      <c r="N4462" s="739" t="e">
        <f t="shared" si="1309"/>
        <v>#REF!</v>
      </c>
      <c r="O4462" s="399">
        <f>+O4461*B4484</f>
        <v>571.64032452194647</v>
      </c>
      <c r="P4462" s="399"/>
      <c r="Q4462" s="399"/>
    </row>
    <row r="4463" spans="1:17" x14ac:dyDescent="0.3">
      <c r="A4463" s="418" t="s">
        <v>2182</v>
      </c>
      <c r="B4463" s="399">
        <f>+B4460</f>
        <v>0</v>
      </c>
      <c r="C4463" s="399" t="e">
        <f t="shared" ref="C4463:O4463" si="1310">+C4460</f>
        <v>#REF!</v>
      </c>
      <c r="D4463" s="399" t="e">
        <f t="shared" si="1310"/>
        <v>#REF!</v>
      </c>
      <c r="E4463" s="399" t="e">
        <f t="shared" si="1310"/>
        <v>#REF!</v>
      </c>
      <c r="F4463" s="399" t="e">
        <f t="shared" si="1310"/>
        <v>#REF!</v>
      </c>
      <c r="G4463" s="399" t="e">
        <f t="shared" si="1310"/>
        <v>#REF!</v>
      </c>
      <c r="H4463" s="399" t="e">
        <f t="shared" si="1310"/>
        <v>#REF!</v>
      </c>
      <c r="I4463" s="399" t="e">
        <f t="shared" si="1310"/>
        <v>#REF!</v>
      </c>
      <c r="J4463" s="399" t="e">
        <f t="shared" si="1310"/>
        <v>#REF!</v>
      </c>
      <c r="K4463" s="399" t="e">
        <f t="shared" si="1310"/>
        <v>#REF!</v>
      </c>
      <c r="L4463" s="399" t="e">
        <f t="shared" si="1310"/>
        <v>#REF!</v>
      </c>
      <c r="M4463" s="399" t="e">
        <f t="shared" si="1310"/>
        <v>#REF!</v>
      </c>
      <c r="N4463" s="399" t="e">
        <f t="shared" si="1310"/>
        <v>#REF!</v>
      </c>
      <c r="O4463" s="399">
        <f t="shared" si="1310"/>
        <v>469.60363917742399</v>
      </c>
      <c r="P4463" s="399"/>
      <c r="Q4463" s="399"/>
    </row>
    <row r="4464" spans="1:17" x14ac:dyDescent="0.3">
      <c r="A4464" s="177" t="s">
        <v>101</v>
      </c>
      <c r="B4464" s="399">
        <f t="shared" ref="B4464:N4464" si="1311">+SUM(B4436:B4438)</f>
        <v>0</v>
      </c>
      <c r="C4464" s="399" t="e">
        <f t="shared" si="1311"/>
        <v>#REF!</v>
      </c>
      <c r="D4464" s="399" t="e">
        <f t="shared" si="1311"/>
        <v>#REF!</v>
      </c>
      <c r="E4464" s="399" t="e">
        <f t="shared" si="1311"/>
        <v>#REF!</v>
      </c>
      <c r="F4464" s="399" t="e">
        <f t="shared" si="1311"/>
        <v>#REF!</v>
      </c>
      <c r="G4464" s="399" t="e">
        <f t="shared" si="1311"/>
        <v>#REF!</v>
      </c>
      <c r="H4464" s="399" t="e">
        <f t="shared" si="1311"/>
        <v>#REF!</v>
      </c>
      <c r="I4464" s="399" t="e">
        <f t="shared" si="1311"/>
        <v>#REF!</v>
      </c>
      <c r="J4464" s="399" t="e">
        <f t="shared" si="1311"/>
        <v>#REF!</v>
      </c>
      <c r="K4464" s="399" t="e">
        <f t="shared" si="1311"/>
        <v>#REF!</v>
      </c>
      <c r="L4464" s="399" t="e">
        <f t="shared" si="1311"/>
        <v>#REF!</v>
      </c>
      <c r="M4464" s="399" t="e">
        <f t="shared" si="1311"/>
        <v>#REF!</v>
      </c>
      <c r="N4464" s="399" t="e">
        <f t="shared" si="1311"/>
        <v>#REF!</v>
      </c>
      <c r="O4464" s="399">
        <f>+O4468*O4457</f>
        <v>469.60363917742399</v>
      </c>
      <c r="P4464" s="399"/>
      <c r="Q4464" s="399"/>
    </row>
    <row r="4465" spans="1:17" x14ac:dyDescent="0.3">
      <c r="A4465" s="418" t="s">
        <v>2187</v>
      </c>
      <c r="B4465" s="1792">
        <f>+SUM(B4461:B4464)</f>
        <v>0</v>
      </c>
      <c r="C4465" s="1792" t="e">
        <f>+C4461-C4462+C4463-C4464</f>
        <v>#REF!</v>
      </c>
      <c r="D4465" s="1792" t="e">
        <f t="shared" ref="D4465:N4465" si="1312">+D4461-D4462+D4463-D4464</f>
        <v>#REF!</v>
      </c>
      <c r="E4465" s="1792" t="e">
        <f t="shared" si="1312"/>
        <v>#REF!</v>
      </c>
      <c r="F4465" s="1792" t="e">
        <f t="shared" si="1312"/>
        <v>#REF!</v>
      </c>
      <c r="G4465" s="1792" t="e">
        <f t="shared" si="1312"/>
        <v>#REF!</v>
      </c>
      <c r="H4465" s="1792" t="e">
        <f t="shared" si="1312"/>
        <v>#REF!</v>
      </c>
      <c r="I4465" s="1792" t="e">
        <f t="shared" si="1312"/>
        <v>#REF!</v>
      </c>
      <c r="J4465" s="1792" t="e">
        <f t="shared" si="1312"/>
        <v>#REF!</v>
      </c>
      <c r="K4465" s="1792" t="e">
        <f t="shared" si="1312"/>
        <v>#REF!</v>
      </c>
      <c r="L4465" s="1792" t="e">
        <f t="shared" si="1312"/>
        <v>#REF!</v>
      </c>
      <c r="M4465" s="1792" t="e">
        <f t="shared" si="1312"/>
        <v>#REF!</v>
      </c>
      <c r="N4465" s="1792" t="e">
        <f t="shared" si="1312"/>
        <v>#REF!</v>
      </c>
      <c r="O4465" s="1792">
        <f>+O4461-O4462+O4463-O4464</f>
        <v>1714.9209735658394</v>
      </c>
      <c r="Q4465" s="399"/>
    </row>
    <row r="4466" spans="1:17" x14ac:dyDescent="0.3">
      <c r="A4466" s="399" t="s">
        <v>250</v>
      </c>
      <c r="B4466" s="405">
        <v>0</v>
      </c>
      <c r="C4466" s="405">
        <f>+(1+$B$4480)^(C4456-$B$4456)/4</f>
        <v>0.26824999999999999</v>
      </c>
      <c r="D4466" s="405">
        <f t="shared" ref="D4466:N4466" si="1313">+(1+$B$4480)^(D4456-$C$4456)</f>
        <v>1.073</v>
      </c>
      <c r="E4466" s="405">
        <f t="shared" si="1313"/>
        <v>1.1513289999999998</v>
      </c>
      <c r="F4466" s="405">
        <f t="shared" si="1313"/>
        <v>1.2353760169999997</v>
      </c>
      <c r="G4466" s="405">
        <f t="shared" si="1313"/>
        <v>1.3255584662409996</v>
      </c>
      <c r="H4466" s="405">
        <f t="shared" si="1313"/>
        <v>1.4223242342765925</v>
      </c>
      <c r="I4466" s="405">
        <f t="shared" si="1313"/>
        <v>1.5261539033787836</v>
      </c>
      <c r="J4466" s="405">
        <f t="shared" si="1313"/>
        <v>1.6375631383254345</v>
      </c>
      <c r="K4466" s="405">
        <f t="shared" si="1313"/>
        <v>1.7571052474231912</v>
      </c>
      <c r="L4466" s="405">
        <f t="shared" si="1313"/>
        <v>1.8853739304850841</v>
      </c>
      <c r="M4466" s="405">
        <f t="shared" si="1313"/>
        <v>2.023006227410495</v>
      </c>
      <c r="N4466" s="405">
        <f t="shared" si="1313"/>
        <v>2.1706856820114608</v>
      </c>
      <c r="O4466" s="405"/>
      <c r="P4466" s="399"/>
      <c r="Q4466" s="399"/>
    </row>
    <row r="4467" spans="1:17" x14ac:dyDescent="0.3">
      <c r="A4467" s="417" t="s">
        <v>251</v>
      </c>
      <c r="B4467" s="1792">
        <v>0</v>
      </c>
      <c r="C4467" s="1792" t="e">
        <f t="shared" ref="C4467:N4467" si="1314">+C4465/C4466</f>
        <v>#REF!</v>
      </c>
      <c r="D4467" s="1792" t="e">
        <f t="shared" si="1314"/>
        <v>#REF!</v>
      </c>
      <c r="E4467" s="1792" t="e">
        <f t="shared" si="1314"/>
        <v>#REF!</v>
      </c>
      <c r="F4467" s="1792" t="e">
        <f t="shared" si="1314"/>
        <v>#REF!</v>
      </c>
      <c r="G4467" s="1792" t="e">
        <f t="shared" si="1314"/>
        <v>#REF!</v>
      </c>
      <c r="H4467" s="1792" t="e">
        <f t="shared" si="1314"/>
        <v>#REF!</v>
      </c>
      <c r="I4467" s="1792" t="e">
        <f t="shared" si="1314"/>
        <v>#REF!</v>
      </c>
      <c r="J4467" s="1792" t="e">
        <f t="shared" si="1314"/>
        <v>#REF!</v>
      </c>
      <c r="K4467" s="1792" t="e">
        <f t="shared" si="1314"/>
        <v>#REF!</v>
      </c>
      <c r="L4467" s="1792" t="e">
        <f t="shared" si="1314"/>
        <v>#REF!</v>
      </c>
      <c r="M4467" s="1792" t="e">
        <f t="shared" si="1314"/>
        <v>#REF!</v>
      </c>
      <c r="N4467" s="1792" t="e">
        <f t="shared" si="1314"/>
        <v>#REF!</v>
      </c>
      <c r="O4467" s="417"/>
      <c r="P4467" s="399"/>
      <c r="Q4467" s="399"/>
    </row>
    <row r="4468" spans="1:17" x14ac:dyDescent="0.3">
      <c r="A4468" s="399" t="s">
        <v>2188</v>
      </c>
      <c r="B4468" s="417"/>
      <c r="C4468" s="728" t="e">
        <f>+C4464/C4457</f>
        <v>#REF!</v>
      </c>
      <c r="D4468" s="728" t="e">
        <f t="shared" ref="D4468:N4468" si="1315">+D4464/D4457</f>
        <v>#REF!</v>
      </c>
      <c r="E4468" s="728" t="e">
        <f t="shared" si="1315"/>
        <v>#REF!</v>
      </c>
      <c r="F4468" s="728" t="e">
        <f t="shared" si="1315"/>
        <v>#REF!</v>
      </c>
      <c r="G4468" s="728" t="e">
        <f t="shared" si="1315"/>
        <v>#REF!</v>
      </c>
      <c r="H4468" s="728" t="e">
        <f t="shared" si="1315"/>
        <v>#REF!</v>
      </c>
      <c r="I4468" s="728" t="e">
        <f t="shared" si="1315"/>
        <v>#REF!</v>
      </c>
      <c r="J4468" s="728" t="e">
        <f t="shared" si="1315"/>
        <v>#REF!</v>
      </c>
      <c r="K4468" s="728" t="e">
        <f t="shared" si="1315"/>
        <v>#REF!</v>
      </c>
      <c r="L4468" s="728" t="e">
        <f t="shared" si="1315"/>
        <v>#REF!</v>
      </c>
      <c r="M4468" s="728" t="e">
        <f t="shared" si="1315"/>
        <v>#REF!</v>
      </c>
      <c r="N4468" s="728" t="e">
        <f t="shared" si="1315"/>
        <v>#REF!</v>
      </c>
      <c r="O4468" s="727">
        <v>0.12</v>
      </c>
      <c r="P4468" s="399"/>
      <c r="Q4468" s="399"/>
    </row>
    <row r="4469" spans="1:17" x14ac:dyDescent="0.3">
      <c r="A4469" s="399" t="s">
        <v>2189</v>
      </c>
      <c r="B4469" s="417"/>
      <c r="C4469" s="409" t="e">
        <f>+C4465</f>
        <v>#REF!</v>
      </c>
      <c r="D4469" s="409" t="e">
        <f t="shared" ref="D4469:N4469" si="1316">+D4465</f>
        <v>#REF!</v>
      </c>
      <c r="E4469" s="409" t="e">
        <f t="shared" si="1316"/>
        <v>#REF!</v>
      </c>
      <c r="F4469" s="409" t="e">
        <f t="shared" si="1316"/>
        <v>#REF!</v>
      </c>
      <c r="G4469" s="409" t="e">
        <f t="shared" si="1316"/>
        <v>#REF!</v>
      </c>
      <c r="H4469" s="409" t="e">
        <f t="shared" si="1316"/>
        <v>#REF!</v>
      </c>
      <c r="I4469" s="409" t="e">
        <f t="shared" si="1316"/>
        <v>#REF!</v>
      </c>
      <c r="J4469" s="409" t="e">
        <f t="shared" si="1316"/>
        <v>#REF!</v>
      </c>
      <c r="K4469" s="409" t="e">
        <f t="shared" si="1316"/>
        <v>#REF!</v>
      </c>
      <c r="L4469" s="409" t="e">
        <f t="shared" si="1316"/>
        <v>#REF!</v>
      </c>
      <c r="M4469" s="409" t="e">
        <f t="shared" si="1316"/>
        <v>#REF!</v>
      </c>
      <c r="N4469" s="409" t="e">
        <f t="shared" si="1316"/>
        <v>#REF!</v>
      </c>
      <c r="O4469" s="409">
        <f>+O4465*10</f>
        <v>17149.209735658394</v>
      </c>
      <c r="P4469" s="399"/>
      <c r="Q4469" s="399"/>
    </row>
    <row r="4470" spans="1:17" x14ac:dyDescent="0.3">
      <c r="A4470" s="399"/>
      <c r="B4470" s="399"/>
      <c r="C4470" s="399"/>
      <c r="D4470" s="399"/>
      <c r="E4470" s="399"/>
      <c r="F4470" s="399"/>
      <c r="G4470" s="399"/>
      <c r="H4470" s="399"/>
      <c r="I4470" s="399"/>
      <c r="J4470" s="399"/>
      <c r="K4470" s="399"/>
      <c r="L4470" s="399"/>
      <c r="M4470" s="399"/>
      <c r="N4470" s="402"/>
      <c r="O4470" s="402"/>
      <c r="P4470" s="399"/>
      <c r="Q4470" s="399"/>
    </row>
    <row r="4471" spans="1:17" x14ac:dyDescent="0.3">
      <c r="A4471" s="399" t="s">
        <v>252</v>
      </c>
      <c r="B4471" s="399">
        <f>+O4465</f>
        <v>1714.9209735658394</v>
      </c>
      <c r="C4471" s="399"/>
      <c r="D4471" s="402"/>
      <c r="E4471" s="402"/>
      <c r="F4471" s="402"/>
      <c r="G4471" s="402"/>
      <c r="H4471" s="402"/>
      <c r="I4471" s="402"/>
      <c r="J4471" s="402"/>
      <c r="K4471" s="402"/>
      <c r="L4471" s="402"/>
      <c r="M4471" s="402"/>
      <c r="N4471" s="402"/>
      <c r="O4471" s="399"/>
      <c r="P4471" s="399"/>
      <c r="Q4471" s="399"/>
    </row>
    <row r="4472" spans="1:17" x14ac:dyDescent="0.3">
      <c r="A4472" s="414" t="s">
        <v>253</v>
      </c>
      <c r="B4472" s="420">
        <f>+(B4480-B4481)</f>
        <v>3.2999999999999995E-2</v>
      </c>
      <c r="C4472" s="399"/>
      <c r="D4472" s="399"/>
      <c r="E4472" s="399"/>
      <c r="F4472" s="399"/>
      <c r="G4472" s="399"/>
      <c r="H4472" s="399"/>
      <c r="I4472" s="399"/>
      <c r="J4472" s="399"/>
      <c r="K4472" s="399"/>
      <c r="L4472" s="399"/>
      <c r="M4472" s="399"/>
      <c r="N4472" s="399"/>
      <c r="O4472" s="399"/>
      <c r="P4472" s="399"/>
      <c r="Q4472" s="399"/>
    </row>
    <row r="4473" spans="1:17" x14ac:dyDescent="0.3">
      <c r="A4473" s="418" t="s">
        <v>254</v>
      </c>
      <c r="B4473" s="417">
        <f>B4471/B4472</f>
        <v>51967.302229267872</v>
      </c>
      <c r="C4473" s="399"/>
      <c r="D4473" s="399"/>
      <c r="E4473" s="399"/>
      <c r="F4473" s="399"/>
      <c r="G4473" s="399"/>
      <c r="H4473" s="399"/>
      <c r="I4473" s="399"/>
      <c r="J4473" s="399"/>
      <c r="K4473" s="399"/>
      <c r="L4473" s="399"/>
      <c r="M4473" s="399"/>
      <c r="N4473" s="399"/>
      <c r="O4473" s="399"/>
      <c r="P4473" s="399"/>
      <c r="Q4473" s="399"/>
    </row>
    <row r="4474" spans="1:17" x14ac:dyDescent="0.3">
      <c r="A4474" s="414" t="s">
        <v>255</v>
      </c>
      <c r="B4474" s="445">
        <f>+N4466</f>
        <v>2.1706856820114608</v>
      </c>
      <c r="C4474" s="399"/>
      <c r="D4474" s="399"/>
      <c r="E4474" s="399"/>
      <c r="F4474" s="399"/>
      <c r="G4474" s="399"/>
      <c r="H4474" s="399"/>
      <c r="I4474" s="399"/>
      <c r="J4474" s="399"/>
      <c r="K4474" s="399"/>
      <c r="L4474" s="399"/>
      <c r="M4474" s="399"/>
      <c r="N4474" s="399"/>
      <c r="O4474" s="399"/>
      <c r="P4474" s="399"/>
      <c r="Q4474" s="399"/>
    </row>
    <row r="4475" spans="1:17" x14ac:dyDescent="0.3">
      <c r="A4475" s="418" t="s">
        <v>256</v>
      </c>
      <c r="B4475" s="417">
        <f>B4473/B4474</f>
        <v>23940.500764308028</v>
      </c>
      <c r="C4475" s="399"/>
      <c r="D4475" s="399"/>
      <c r="E4475" s="399"/>
      <c r="F4475" s="399"/>
      <c r="G4475" s="399"/>
      <c r="H4475" s="399"/>
      <c r="I4475" s="399"/>
      <c r="J4475" s="399"/>
      <c r="K4475" s="399"/>
      <c r="L4475" s="399"/>
      <c r="M4475" s="399"/>
      <c r="N4475" s="399"/>
      <c r="O4475" s="399"/>
      <c r="P4475" s="399"/>
      <c r="Q4475" s="399"/>
    </row>
    <row r="4476" spans="1:17" x14ac:dyDescent="0.3">
      <c r="A4476" s="414" t="s">
        <v>257</v>
      </c>
      <c r="B4476" s="415" t="e">
        <f>SUM(B4467:N4467)</f>
        <v>#REF!</v>
      </c>
      <c r="C4476" s="399"/>
      <c r="D4476" s="399"/>
      <c r="E4476" s="399"/>
      <c r="F4476" s="399"/>
      <c r="G4476" s="399"/>
      <c r="H4476" s="399"/>
      <c r="I4476" s="399"/>
      <c r="J4476" s="399"/>
      <c r="K4476" s="399"/>
      <c r="L4476" s="399"/>
      <c r="M4476" s="399"/>
      <c r="N4476" s="399"/>
      <c r="O4476" s="399"/>
      <c r="P4476" s="399"/>
      <c r="Q4476" s="399"/>
    </row>
    <row r="4477" spans="1:17" x14ac:dyDescent="0.3">
      <c r="A4477" s="418" t="s">
        <v>1339</v>
      </c>
      <c r="B4477" s="417" t="e">
        <f>+B4475+B4476</f>
        <v>#REF!</v>
      </c>
      <c r="C4477" s="76" t="e">
        <f>19638-B4477</f>
        <v>#REF!</v>
      </c>
      <c r="E4477" s="399"/>
      <c r="F4477" s="399"/>
      <c r="G4477" s="399"/>
      <c r="H4477" s="399"/>
      <c r="I4477" s="399"/>
      <c r="J4477" s="399"/>
      <c r="K4477" s="399"/>
      <c r="L4477" s="399"/>
      <c r="M4477" s="399"/>
      <c r="N4477" s="399"/>
      <c r="O4477" s="399"/>
      <c r="P4477" s="399"/>
      <c r="Q4477" s="399"/>
    </row>
    <row r="4478" spans="1:17" x14ac:dyDescent="0.3">
      <c r="A4478" s="414" t="s">
        <v>786</v>
      </c>
      <c r="B4478" s="399" t="e">
        <f>+N4551</f>
        <v>#REF!</v>
      </c>
      <c r="C4478" s="399"/>
      <c r="D4478" s="399"/>
      <c r="E4478" s="399"/>
      <c r="F4478" s="399"/>
      <c r="G4478" s="399"/>
      <c r="H4478" s="399"/>
      <c r="I4478" s="399"/>
      <c r="J4478" s="399"/>
      <c r="K4478" s="399"/>
      <c r="L4478" s="399"/>
      <c r="M4478" s="399"/>
      <c r="N4478" s="399"/>
      <c r="O4478" s="399"/>
      <c r="P4478" s="399"/>
      <c r="Q4478" s="399"/>
    </row>
    <row r="4479" spans="1:17" ht="12.5" thickBot="1" x14ac:dyDescent="0.35">
      <c r="A4479" s="418" t="s">
        <v>744</v>
      </c>
      <c r="B4479" s="419" t="e">
        <f>+B4477-B4478</f>
        <v>#REF!</v>
      </c>
      <c r="C4479" s="399" t="e">
        <f>14338-B4479</f>
        <v>#REF!</v>
      </c>
      <c r="D4479" s="399"/>
      <c r="E4479" s="399"/>
      <c r="F4479" s="399"/>
      <c r="G4479" s="399"/>
      <c r="H4479" s="399"/>
      <c r="I4479" s="399"/>
      <c r="J4479" s="399"/>
      <c r="K4479" s="399"/>
      <c r="L4479" s="399"/>
      <c r="M4479" s="399"/>
      <c r="N4479" s="399"/>
      <c r="O4479" s="399"/>
      <c r="P4479" s="399"/>
      <c r="Q4479" s="399"/>
    </row>
    <row r="4480" spans="1:17" ht="12.5" thickTop="1" x14ac:dyDescent="0.3">
      <c r="A4480" s="409" t="s">
        <v>2190</v>
      </c>
      <c r="B4480" s="436">
        <v>7.2999999999999995E-2</v>
      </c>
      <c r="C4480" s="436"/>
      <c r="D4480" s="399"/>
      <c r="E4480" s="399"/>
      <c r="F4480" s="399"/>
      <c r="G4480" s="399"/>
      <c r="H4480" s="399"/>
      <c r="I4480" s="399"/>
      <c r="J4480" s="399"/>
      <c r="K4480" s="399"/>
      <c r="L4480" s="399"/>
      <c r="M4480" s="399"/>
      <c r="N4480" s="399"/>
      <c r="O4480" s="399"/>
      <c r="P4480" s="399"/>
      <c r="Q4480" s="399"/>
    </row>
    <row r="4481" spans="1:17" x14ac:dyDescent="0.3">
      <c r="A4481" s="409" t="s">
        <v>2191</v>
      </c>
      <c r="B4481" s="436">
        <v>0.04</v>
      </c>
      <c r="C4481" s="436"/>
      <c r="D4481" s="399"/>
      <c r="E4481" s="399"/>
      <c r="F4481" s="399"/>
      <c r="G4481" s="399"/>
      <c r="H4481" s="399"/>
      <c r="I4481" s="399"/>
      <c r="J4481" s="399"/>
      <c r="K4481" s="399"/>
      <c r="L4481" s="399"/>
      <c r="M4481" s="399"/>
      <c r="N4481" s="399"/>
      <c r="O4481" s="399"/>
      <c r="P4481" s="399"/>
      <c r="Q4481" s="399"/>
    </row>
    <row r="4482" spans="1:17" x14ac:dyDescent="0.3">
      <c r="A4482" s="409" t="s">
        <v>2192</v>
      </c>
      <c r="B4482" s="605" t="e">
        <f>+IRR(C4469:O4469)</f>
        <v>#VALUE!</v>
      </c>
      <c r="C4482" s="399"/>
      <c r="D4482" s="399"/>
      <c r="E4482" s="399"/>
      <c r="F4482" s="399"/>
      <c r="G4482" s="399"/>
      <c r="H4482" s="399"/>
      <c r="I4482" s="399"/>
      <c r="J4482" s="399"/>
      <c r="K4482" s="399"/>
      <c r="L4482" s="399"/>
      <c r="M4482" s="399"/>
      <c r="N4482" s="399"/>
      <c r="O4482" s="399"/>
      <c r="P4482" s="399"/>
      <c r="Q4482" s="399"/>
    </row>
    <row r="4483" spans="1:17" x14ac:dyDescent="0.3">
      <c r="A4483" s="409" t="s">
        <v>2193</v>
      </c>
      <c r="B4483" s="631" t="e">
        <f>+B4477/N4459</f>
        <v>#REF!</v>
      </c>
      <c r="C4483" s="399"/>
      <c r="D4483" s="399"/>
      <c r="E4483" s="399"/>
      <c r="F4483" s="399"/>
      <c r="G4483" s="399"/>
      <c r="H4483" s="399"/>
      <c r="I4483" s="399"/>
      <c r="J4483" s="399"/>
      <c r="K4483" s="399"/>
      <c r="L4483" s="399"/>
      <c r="M4483" s="399"/>
      <c r="N4483" s="399"/>
      <c r="O4483" s="399"/>
      <c r="P4483" s="399"/>
      <c r="Q4483" s="399"/>
    </row>
    <row r="4484" spans="1:17" x14ac:dyDescent="0.3">
      <c r="A4484" s="409" t="s">
        <v>2194</v>
      </c>
      <c r="B4484" s="727">
        <v>0.25</v>
      </c>
      <c r="C4484" s="399"/>
      <c r="D4484" s="399"/>
      <c r="E4484" s="399"/>
      <c r="F4484" s="399"/>
      <c r="G4484" s="399"/>
      <c r="H4484" s="399"/>
      <c r="I4484" s="399"/>
      <c r="J4484" s="399"/>
      <c r="K4484" s="399"/>
      <c r="L4484" s="399"/>
      <c r="M4484" s="399"/>
      <c r="N4484" s="399"/>
      <c r="O4484" s="399"/>
      <c r="P4484" s="399"/>
      <c r="Q4484" s="399"/>
    </row>
    <row r="4485" spans="1:17" x14ac:dyDescent="0.3">
      <c r="A4485" s="478"/>
      <c r="B4485" s="114"/>
      <c r="C4485" s="114"/>
      <c r="D4485" s="114"/>
      <c r="E4485" s="114"/>
      <c r="F4485" s="114"/>
      <c r="G4485" s="114"/>
      <c r="H4485" s="114"/>
      <c r="I4485" s="114"/>
      <c r="J4485" s="114"/>
      <c r="K4485" s="114"/>
      <c r="L4485" s="114"/>
      <c r="M4485" s="114"/>
      <c r="N4485" s="114"/>
      <c r="O4485" s="114"/>
    </row>
    <row r="4486" spans="1:17" x14ac:dyDescent="0.3">
      <c r="A4486" s="141"/>
    </row>
    <row r="4487" spans="1:17" x14ac:dyDescent="0.3">
      <c r="A4487" s="141" t="s">
        <v>2195</v>
      </c>
    </row>
    <row r="4488" spans="1:17" x14ac:dyDescent="0.3">
      <c r="A4488" s="147"/>
      <c r="B4488" s="147">
        <v>2019</v>
      </c>
      <c r="C4488" s="147">
        <v>2020</v>
      </c>
      <c r="D4488" s="147">
        <f>+C4488+1</f>
        <v>2021</v>
      </c>
      <c r="E4488" s="147">
        <f t="shared" ref="E4488:N4488" si="1317">+D4488+1</f>
        <v>2022</v>
      </c>
      <c r="F4488" s="147">
        <f t="shared" si="1317"/>
        <v>2023</v>
      </c>
      <c r="G4488" s="147">
        <f t="shared" si="1317"/>
        <v>2024</v>
      </c>
      <c r="H4488" s="147">
        <f t="shared" si="1317"/>
        <v>2025</v>
      </c>
      <c r="I4488" s="147">
        <f t="shared" si="1317"/>
        <v>2026</v>
      </c>
      <c r="J4488" s="147">
        <f t="shared" si="1317"/>
        <v>2027</v>
      </c>
      <c r="K4488" s="147">
        <f t="shared" si="1317"/>
        <v>2028</v>
      </c>
      <c r="L4488" s="147">
        <f t="shared" si="1317"/>
        <v>2029</v>
      </c>
      <c r="M4488" s="147">
        <f t="shared" si="1317"/>
        <v>2030</v>
      </c>
      <c r="N4488" s="147">
        <f t="shared" si="1317"/>
        <v>2031</v>
      </c>
    </row>
    <row r="4489" spans="1:17" x14ac:dyDescent="0.3">
      <c r="A4489" t="s">
        <v>2196</v>
      </c>
      <c r="B4489" s="76" t="e">
        <f t="shared" ref="B4489:N4489" si="1318">+B4343</f>
        <v>#REF!</v>
      </c>
      <c r="C4489" s="76" t="e">
        <f t="shared" si="1318"/>
        <v>#REF!</v>
      </c>
      <c r="D4489" s="76" t="e">
        <f t="shared" si="1318"/>
        <v>#REF!</v>
      </c>
      <c r="E4489" s="76" t="e">
        <f t="shared" si="1318"/>
        <v>#REF!</v>
      </c>
      <c r="F4489" s="76" t="e">
        <f t="shared" si="1318"/>
        <v>#REF!</v>
      </c>
      <c r="G4489" s="76" t="e">
        <f t="shared" si="1318"/>
        <v>#REF!</v>
      </c>
      <c r="H4489" s="76" t="e">
        <f t="shared" si="1318"/>
        <v>#REF!</v>
      </c>
      <c r="I4489" s="76" t="e">
        <f t="shared" si="1318"/>
        <v>#REF!</v>
      </c>
      <c r="J4489" s="76" t="e">
        <f t="shared" si="1318"/>
        <v>#REF!</v>
      </c>
      <c r="K4489" s="76" t="e">
        <f t="shared" si="1318"/>
        <v>#REF!</v>
      </c>
      <c r="L4489" s="76" t="e">
        <f t="shared" si="1318"/>
        <v>#REF!</v>
      </c>
      <c r="M4489" s="76" t="e">
        <f t="shared" si="1318"/>
        <v>#REF!</v>
      </c>
      <c r="N4489" s="76" t="e">
        <f t="shared" si="1318"/>
        <v>#REF!</v>
      </c>
    </row>
    <row r="4490" spans="1:17" x14ac:dyDescent="0.3">
      <c r="A4490" s="177" t="s">
        <v>2197</v>
      </c>
      <c r="B4490" s="90"/>
      <c r="C4490" s="76">
        <f t="shared" ref="C4490:N4490" si="1319">+B4568+B4614+B4621</f>
        <v>0</v>
      </c>
      <c r="D4490" s="76">
        <f t="shared" si="1319"/>
        <v>2.3515759999999997</v>
      </c>
      <c r="E4490" s="76">
        <f t="shared" si="1319"/>
        <v>22.766946248183778</v>
      </c>
      <c r="F4490" s="76">
        <f t="shared" si="1319"/>
        <v>92.397781754992636</v>
      </c>
      <c r="G4490" s="76">
        <f t="shared" si="1319"/>
        <v>241.50058845333331</v>
      </c>
      <c r="H4490" s="76">
        <f t="shared" si="1319"/>
        <v>484.30105712196581</v>
      </c>
      <c r="I4490" s="76">
        <f t="shared" si="1319"/>
        <v>814.48000063568588</v>
      </c>
      <c r="J4490" s="76">
        <f t="shared" si="1319"/>
        <v>1221.2091832664328</v>
      </c>
      <c r="K4490" s="76">
        <f t="shared" si="1319"/>
        <v>1690.156210349292</v>
      </c>
      <c r="L4490" s="76">
        <f t="shared" si="1319"/>
        <v>2204.29183874405</v>
      </c>
      <c r="M4490" s="76">
        <f t="shared" si="1319"/>
        <v>2715.1936395141643</v>
      </c>
      <c r="N4490" s="76">
        <f t="shared" si="1319"/>
        <v>3162.5835923891059</v>
      </c>
    </row>
    <row r="4491" spans="1:17" x14ac:dyDescent="0.3">
      <c r="A4491" s="298" t="s">
        <v>2198</v>
      </c>
      <c r="C4491" s="803" t="e">
        <f t="shared" ref="C4491:N4491" si="1320">+C4489+C4490</f>
        <v>#REF!</v>
      </c>
      <c r="D4491" s="803" t="e">
        <f t="shared" si="1320"/>
        <v>#REF!</v>
      </c>
      <c r="E4491" s="803" t="e">
        <f t="shared" si="1320"/>
        <v>#REF!</v>
      </c>
      <c r="F4491" s="803" t="e">
        <f t="shared" si="1320"/>
        <v>#REF!</v>
      </c>
      <c r="G4491" s="803" t="e">
        <f t="shared" si="1320"/>
        <v>#REF!</v>
      </c>
      <c r="H4491" s="803" t="e">
        <f t="shared" si="1320"/>
        <v>#REF!</v>
      </c>
      <c r="I4491" s="803" t="e">
        <f t="shared" si="1320"/>
        <v>#REF!</v>
      </c>
      <c r="J4491" s="803" t="e">
        <f t="shared" si="1320"/>
        <v>#REF!</v>
      </c>
      <c r="K4491" s="803" t="e">
        <f t="shared" si="1320"/>
        <v>#REF!</v>
      </c>
      <c r="L4491" s="803" t="e">
        <f t="shared" si="1320"/>
        <v>#REF!</v>
      </c>
      <c r="M4491" s="803" t="e">
        <f t="shared" si="1320"/>
        <v>#REF!</v>
      </c>
      <c r="N4491" s="803" t="e">
        <f t="shared" si="1320"/>
        <v>#REF!</v>
      </c>
    </row>
    <row r="4492" spans="1:17" x14ac:dyDescent="0.3">
      <c r="A4492" s="465" t="s">
        <v>2199</v>
      </c>
      <c r="C4492" s="75" t="e">
        <f t="shared" ref="C4492:N4492" si="1321">+C4489/B4489-1</f>
        <v>#REF!</v>
      </c>
      <c r="D4492" s="75" t="e">
        <f t="shared" si="1321"/>
        <v>#REF!</v>
      </c>
      <c r="E4492" s="75" t="e">
        <f t="shared" si="1321"/>
        <v>#REF!</v>
      </c>
      <c r="F4492" s="75" t="e">
        <f t="shared" si="1321"/>
        <v>#REF!</v>
      </c>
      <c r="G4492" s="75" t="e">
        <f t="shared" si="1321"/>
        <v>#REF!</v>
      </c>
      <c r="H4492" s="75" t="e">
        <f t="shared" si="1321"/>
        <v>#REF!</v>
      </c>
      <c r="I4492" s="75" t="e">
        <f t="shared" si="1321"/>
        <v>#REF!</v>
      </c>
      <c r="J4492" s="75" t="e">
        <f t="shared" si="1321"/>
        <v>#REF!</v>
      </c>
      <c r="K4492" s="75" t="e">
        <f t="shared" si="1321"/>
        <v>#REF!</v>
      </c>
      <c r="L4492" s="75" t="e">
        <f t="shared" si="1321"/>
        <v>#REF!</v>
      </c>
      <c r="M4492" s="75" t="e">
        <f t="shared" si="1321"/>
        <v>#REF!</v>
      </c>
      <c r="N4492" s="75" t="e">
        <f t="shared" si="1321"/>
        <v>#REF!</v>
      </c>
    </row>
    <row r="4493" spans="1:17" x14ac:dyDescent="0.3">
      <c r="A4493" s="465" t="s">
        <v>2200</v>
      </c>
      <c r="C4493" s="75" t="e">
        <f>+C4491/B4491-1</f>
        <v>#REF!</v>
      </c>
      <c r="D4493" s="75" t="e">
        <f>+D4491/C4491-1</f>
        <v>#REF!</v>
      </c>
      <c r="E4493" s="75" t="e">
        <f>+E4491/D4491-1</f>
        <v>#REF!</v>
      </c>
      <c r="F4493" s="75" t="e">
        <f>+F4491/E4491-1</f>
        <v>#REF!</v>
      </c>
      <c r="G4493" s="75" t="e">
        <f>+G4491/F4491-1</f>
        <v>#REF!</v>
      </c>
      <c r="H4493" s="75" t="e">
        <f t="shared" ref="H4493:N4493" si="1322">+H4491/G4491-1</f>
        <v>#REF!</v>
      </c>
      <c r="I4493" s="75" t="e">
        <f t="shared" si="1322"/>
        <v>#REF!</v>
      </c>
      <c r="J4493" s="75" t="e">
        <f t="shared" si="1322"/>
        <v>#REF!</v>
      </c>
      <c r="K4493" s="75" t="e">
        <f t="shared" si="1322"/>
        <v>#REF!</v>
      </c>
      <c r="L4493" s="75" t="e">
        <f t="shared" si="1322"/>
        <v>#REF!</v>
      </c>
      <c r="M4493" s="75" t="e">
        <f t="shared" si="1322"/>
        <v>#REF!</v>
      </c>
      <c r="N4493" s="75" t="e">
        <f t="shared" si="1322"/>
        <v>#REF!</v>
      </c>
    </row>
    <row r="4494" spans="1:17" x14ac:dyDescent="0.3">
      <c r="A4494" s="298"/>
      <c r="H4494" s="90"/>
      <c r="I4494" s="90"/>
      <c r="J4494" s="90"/>
      <c r="K4494" s="90"/>
      <c r="L4494" s="90"/>
      <c r="M4494" s="90"/>
      <c r="N4494" s="90"/>
    </row>
    <row r="4495" spans="1:17" x14ac:dyDescent="0.3">
      <c r="A4495" t="s">
        <v>2201</v>
      </c>
      <c r="B4495" s="76" t="e">
        <f t="shared" ref="B4495:N4495" si="1323">+B4345</f>
        <v>#REF!</v>
      </c>
      <c r="C4495" s="76" t="e">
        <f t="shared" si="1323"/>
        <v>#REF!</v>
      </c>
      <c r="D4495" s="76" t="e">
        <f t="shared" si="1323"/>
        <v>#REF!</v>
      </c>
      <c r="E4495" s="76" t="e">
        <f t="shared" si="1323"/>
        <v>#REF!</v>
      </c>
      <c r="F4495" s="76" t="e">
        <f t="shared" si="1323"/>
        <v>#REF!</v>
      </c>
      <c r="G4495" s="76" t="e">
        <f t="shared" si="1323"/>
        <v>#REF!</v>
      </c>
      <c r="H4495" s="76" t="e">
        <f t="shared" si="1323"/>
        <v>#REF!</v>
      </c>
      <c r="I4495" s="76" t="e">
        <f t="shared" si="1323"/>
        <v>#REF!</v>
      </c>
      <c r="J4495" s="76" t="e">
        <f t="shared" si="1323"/>
        <v>#REF!</v>
      </c>
      <c r="K4495" s="76" t="e">
        <f t="shared" si="1323"/>
        <v>#REF!</v>
      </c>
      <c r="L4495" s="76" t="e">
        <f t="shared" si="1323"/>
        <v>#REF!</v>
      </c>
      <c r="M4495" s="76" t="e">
        <f t="shared" si="1323"/>
        <v>#REF!</v>
      </c>
      <c r="N4495" s="76" t="e">
        <f t="shared" si="1323"/>
        <v>#REF!</v>
      </c>
      <c r="O4495" s="76"/>
    </row>
    <row r="4496" spans="1:17" x14ac:dyDescent="0.3">
      <c r="A4496" s="177" t="s">
        <v>2202</v>
      </c>
      <c r="B4496" s="76">
        <v>0</v>
      </c>
      <c r="C4496" s="76">
        <v>0</v>
      </c>
      <c r="D4496" s="76">
        <f t="shared" ref="D4496:N4496" si="1324">+C4576+C4616+C4623</f>
        <v>1.6641503999999998</v>
      </c>
      <c r="E4496" s="76">
        <f t="shared" si="1324"/>
        <v>16.12003744818378</v>
      </c>
      <c r="F4496" s="76">
        <f t="shared" si="1324"/>
        <v>63.833822074992639</v>
      </c>
      <c r="G4496" s="76">
        <f t="shared" si="1324"/>
        <v>164.50477409471998</v>
      </c>
      <c r="H4496" s="76">
        <f t="shared" si="1324"/>
        <v>329.54174155114299</v>
      </c>
      <c r="I4496" s="76">
        <f t="shared" si="1324"/>
        <v>555.86766612619806</v>
      </c>
      <c r="J4496" s="76">
        <f t="shared" si="1324"/>
        <v>837.17839965915698</v>
      </c>
      <c r="K4496" s="76">
        <f t="shared" si="1324"/>
        <v>1164.6795715857704</v>
      </c>
      <c r="L4496" s="76">
        <f t="shared" si="1324"/>
        <v>1527.4283526046154</v>
      </c>
      <c r="M4496" s="76">
        <f t="shared" si="1324"/>
        <v>1891.0220051823994</v>
      </c>
      <c r="N4496" s="76">
        <f t="shared" si="1324"/>
        <v>2214.7497950566876</v>
      </c>
      <c r="O4496" s="76"/>
    </row>
    <row r="4497" spans="1:19" x14ac:dyDescent="0.3">
      <c r="A4497" s="298" t="s">
        <v>2203</v>
      </c>
      <c r="B4497" s="803" t="e">
        <f t="shared" ref="B4497:G4497" si="1325">+B4495+B4496</f>
        <v>#REF!</v>
      </c>
      <c r="C4497" s="803" t="e">
        <f t="shared" si="1325"/>
        <v>#REF!</v>
      </c>
      <c r="D4497" s="803" t="e">
        <f t="shared" si="1325"/>
        <v>#REF!</v>
      </c>
      <c r="E4497" s="803" t="e">
        <f t="shared" si="1325"/>
        <v>#REF!</v>
      </c>
      <c r="F4497" s="803" t="e">
        <f t="shared" si="1325"/>
        <v>#REF!</v>
      </c>
      <c r="G4497" s="803" t="e">
        <f t="shared" si="1325"/>
        <v>#REF!</v>
      </c>
      <c r="H4497" s="803" t="e">
        <f t="shared" ref="H4497:N4497" si="1326">+H4495+H4496</f>
        <v>#REF!</v>
      </c>
      <c r="I4497" s="803" t="e">
        <f t="shared" si="1326"/>
        <v>#REF!</v>
      </c>
      <c r="J4497" s="803" t="e">
        <f t="shared" si="1326"/>
        <v>#REF!</v>
      </c>
      <c r="K4497" s="803" t="e">
        <f t="shared" si="1326"/>
        <v>#REF!</v>
      </c>
      <c r="L4497" s="803" t="e">
        <f t="shared" si="1326"/>
        <v>#REF!</v>
      </c>
      <c r="M4497" s="803" t="e">
        <f t="shared" si="1326"/>
        <v>#REF!</v>
      </c>
      <c r="N4497" s="803" t="e">
        <f t="shared" si="1326"/>
        <v>#REF!</v>
      </c>
    </row>
    <row r="4498" spans="1:19" x14ac:dyDescent="0.3">
      <c r="A4498" s="465" t="s">
        <v>2204</v>
      </c>
      <c r="B4498" s="75" t="e">
        <f t="shared" ref="B4498:G4498" si="1327">+B4495/B4489</f>
        <v>#REF!</v>
      </c>
      <c r="C4498" s="75" t="e">
        <f t="shared" si="1327"/>
        <v>#REF!</v>
      </c>
      <c r="D4498" s="75" t="e">
        <f t="shared" si="1327"/>
        <v>#REF!</v>
      </c>
      <c r="E4498" s="75" t="e">
        <f t="shared" si="1327"/>
        <v>#REF!</v>
      </c>
      <c r="F4498" s="75" t="e">
        <f t="shared" si="1327"/>
        <v>#REF!</v>
      </c>
      <c r="G4498" s="75" t="e">
        <f t="shared" si="1327"/>
        <v>#REF!</v>
      </c>
      <c r="H4498" s="75" t="e">
        <f t="shared" ref="H4498:N4498" si="1328">+H4495/H4489</f>
        <v>#REF!</v>
      </c>
      <c r="I4498" s="75" t="e">
        <f t="shared" si="1328"/>
        <v>#REF!</v>
      </c>
      <c r="J4498" s="75" t="e">
        <f t="shared" si="1328"/>
        <v>#REF!</v>
      </c>
      <c r="K4498" s="75" t="e">
        <f t="shared" si="1328"/>
        <v>#REF!</v>
      </c>
      <c r="L4498" s="75" t="e">
        <f t="shared" si="1328"/>
        <v>#REF!</v>
      </c>
      <c r="M4498" s="75" t="e">
        <f t="shared" si="1328"/>
        <v>#REF!</v>
      </c>
      <c r="N4498" s="75" t="e">
        <f t="shared" si="1328"/>
        <v>#REF!</v>
      </c>
    </row>
    <row r="4499" spans="1:19" x14ac:dyDescent="0.3">
      <c r="A4499" s="465" t="s">
        <v>2205</v>
      </c>
      <c r="B4499" s="75" t="e">
        <f t="shared" ref="B4499:G4499" si="1329">+B4497/B4491</f>
        <v>#REF!</v>
      </c>
      <c r="C4499" s="75" t="e">
        <f t="shared" si="1329"/>
        <v>#REF!</v>
      </c>
      <c r="D4499" s="75" t="e">
        <f t="shared" si="1329"/>
        <v>#REF!</v>
      </c>
      <c r="E4499" s="75" t="e">
        <f t="shared" si="1329"/>
        <v>#REF!</v>
      </c>
      <c r="F4499" s="75" t="e">
        <f t="shared" si="1329"/>
        <v>#REF!</v>
      </c>
      <c r="G4499" s="75" t="e">
        <f t="shared" si="1329"/>
        <v>#REF!</v>
      </c>
      <c r="H4499" s="75" t="e">
        <f t="shared" ref="H4499:N4499" si="1330">+H4497/H4491</f>
        <v>#REF!</v>
      </c>
      <c r="I4499" s="75" t="e">
        <f t="shared" si="1330"/>
        <v>#REF!</v>
      </c>
      <c r="J4499" s="75" t="e">
        <f t="shared" si="1330"/>
        <v>#REF!</v>
      </c>
      <c r="K4499" s="75" t="e">
        <f t="shared" si="1330"/>
        <v>#REF!</v>
      </c>
      <c r="L4499" s="75" t="e">
        <f t="shared" si="1330"/>
        <v>#REF!</v>
      </c>
      <c r="M4499" s="75" t="e">
        <f t="shared" si="1330"/>
        <v>#REF!</v>
      </c>
      <c r="N4499" s="75" t="e">
        <f t="shared" si="1330"/>
        <v>#REF!</v>
      </c>
    </row>
    <row r="4500" spans="1:19" x14ac:dyDescent="0.3">
      <c r="A4500" s="298"/>
      <c r="H4500" s="85"/>
      <c r="I4500" s="90"/>
      <c r="J4500" s="90"/>
      <c r="K4500" s="90"/>
      <c r="L4500" s="90"/>
      <c r="M4500" s="90"/>
      <c r="N4500" s="90"/>
    </row>
    <row r="4501" spans="1:19" x14ac:dyDescent="0.3">
      <c r="A4501" s="472" t="s">
        <v>2206</v>
      </c>
      <c r="C4501" s="76" t="e">
        <f>+C4452</f>
        <v>#REF!</v>
      </c>
      <c r="D4501" s="76" t="e">
        <f t="shared" ref="D4501:N4501" si="1331">+D4452</f>
        <v>#REF!</v>
      </c>
      <c r="E4501" s="76" t="e">
        <f t="shared" si="1331"/>
        <v>#REF!</v>
      </c>
      <c r="F4501" s="76" t="e">
        <f t="shared" si="1331"/>
        <v>#REF!</v>
      </c>
      <c r="G4501" s="76" t="e">
        <f t="shared" si="1331"/>
        <v>#REF!</v>
      </c>
      <c r="H4501" s="76" t="e">
        <f t="shared" si="1331"/>
        <v>#REF!</v>
      </c>
      <c r="I4501" s="76" t="e">
        <f t="shared" si="1331"/>
        <v>#REF!</v>
      </c>
      <c r="J4501" s="76" t="e">
        <f t="shared" si="1331"/>
        <v>#REF!</v>
      </c>
      <c r="K4501" s="76" t="e">
        <f t="shared" si="1331"/>
        <v>#REF!</v>
      </c>
      <c r="L4501" s="76" t="e">
        <f t="shared" si="1331"/>
        <v>#REF!</v>
      </c>
      <c r="M4501" s="76" t="e">
        <f t="shared" si="1331"/>
        <v>#REF!</v>
      </c>
      <c r="N4501" s="76" t="e">
        <f t="shared" si="1331"/>
        <v>#REF!</v>
      </c>
    </row>
    <row r="4502" spans="1:19" x14ac:dyDescent="0.3">
      <c r="A4502" s="177" t="s">
        <v>2207</v>
      </c>
      <c r="B4502" s="638">
        <v>8250</v>
      </c>
      <c r="C4502" s="76"/>
      <c r="D4502" s="76"/>
      <c r="E4502" s="365"/>
      <c r="F4502" s="76"/>
      <c r="G4502" s="76"/>
      <c r="H4502" s="76"/>
      <c r="I4502" s="76"/>
      <c r="J4502" s="76"/>
      <c r="K4502" s="76"/>
      <c r="L4502" s="76"/>
      <c r="M4502" s="76"/>
      <c r="N4502" s="76"/>
    </row>
    <row r="4503" spans="1:19" x14ac:dyDescent="0.3">
      <c r="A4503" s="177" t="s">
        <v>324</v>
      </c>
      <c r="B4503" s="85"/>
      <c r="C4503" s="95">
        <f>60+8+8+9</f>
        <v>85</v>
      </c>
      <c r="D4503" s="95">
        <f>+C4503+495</f>
        <v>580</v>
      </c>
      <c r="E4503" s="95">
        <f>+D4503+1000</f>
        <v>1580</v>
      </c>
      <c r="F4503" s="76">
        <f>+($K4503-E4503)/6+E4503</f>
        <v>2691.666666666667</v>
      </c>
      <c r="G4503" s="76">
        <f>+($K4503-F4503)/5+F4503</f>
        <v>3803.3333333333335</v>
      </c>
      <c r="H4503" s="76">
        <f>+($K4503-G4503)/4+G4503</f>
        <v>4915</v>
      </c>
      <c r="I4503" s="76">
        <f>+($K4503-H4503)/3+H4503</f>
        <v>6026.666666666667</v>
      </c>
      <c r="J4503" s="76">
        <f>+($K4503-I4503)/2+I4503</f>
        <v>7138.3333333333339</v>
      </c>
      <c r="K4503" s="76">
        <f>+B4502</f>
        <v>8250</v>
      </c>
      <c r="L4503" s="76">
        <f>+K4503</f>
        <v>8250</v>
      </c>
      <c r="M4503" s="76">
        <f>+L4503</f>
        <v>8250</v>
      </c>
      <c r="N4503" s="76">
        <f>+M4503</f>
        <v>8250</v>
      </c>
      <c r="Q4503">
        <f>SUM(D4506:I4506)/SUM(D4504:I4504)*1000</f>
        <v>888.53441296744893</v>
      </c>
      <c r="R4503">
        <f>SUM(E4506:K4506)/SUM(E4504:K4504)*1000</f>
        <v>1123.5975794110686</v>
      </c>
    </row>
    <row r="4504" spans="1:19" x14ac:dyDescent="0.3">
      <c r="A4504" s="177" t="s">
        <v>2208</v>
      </c>
      <c r="B4504" s="85"/>
      <c r="C4504" s="77">
        <f>+C4503-B4503</f>
        <v>85</v>
      </c>
      <c r="D4504" s="77">
        <f t="shared" ref="D4504:K4504" si="1332">+D4503-C4503</f>
        <v>495</v>
      </c>
      <c r="E4504" s="77">
        <f>+E4503-D4503</f>
        <v>1000</v>
      </c>
      <c r="F4504" s="77">
        <f t="shared" si="1332"/>
        <v>1111.666666666667</v>
      </c>
      <c r="G4504" s="77">
        <f t="shared" si="1332"/>
        <v>1111.6666666666665</v>
      </c>
      <c r="H4504" s="77">
        <f t="shared" si="1332"/>
        <v>1111.6666666666665</v>
      </c>
      <c r="I4504" s="77">
        <f t="shared" si="1332"/>
        <v>1111.666666666667</v>
      </c>
      <c r="J4504" s="77">
        <f t="shared" si="1332"/>
        <v>1111.666666666667</v>
      </c>
      <c r="K4504" s="77">
        <f t="shared" si="1332"/>
        <v>1111.6666666666661</v>
      </c>
      <c r="L4504" s="77">
        <f>+L4503-K4503</f>
        <v>0</v>
      </c>
      <c r="M4504" s="77">
        <f>+M4503-L4503</f>
        <v>0</v>
      </c>
      <c r="N4504" s="77">
        <f>+N4503-M4503</f>
        <v>0</v>
      </c>
      <c r="O4504" s="76"/>
    </row>
    <row r="4505" spans="1:19" x14ac:dyDescent="0.3">
      <c r="A4505" s="177" t="s">
        <v>2209</v>
      </c>
      <c r="B4505" s="85"/>
      <c r="C4505" s="639">
        <f>+C4506/C4504*1000</f>
        <v>588.23529411764707</v>
      </c>
      <c r="D4505" s="464">
        <v>550</v>
      </c>
      <c r="E4505" s="464">
        <f>+AVERAGE(INDEX($B$4511:$G$4536,MATCH(D$4503,$B$4511:$B$4536,-1),6),INDEX($B$4511:$G$4536,MATCH(E$4503,$B$4511:$B$4536,-1),6))</f>
        <v>637.02049843145119</v>
      </c>
      <c r="F4505" s="464">
        <f>+AVERAGE(INDEX($B$4511:$G$4536,MATCH(E$4503,$B$4511:$B$4536,-1),6),INDEX($B$4511:$G$4536,MATCH(F$4503,$B$4511:$B$4536,-1),6))</f>
        <v>754.08274731223833</v>
      </c>
      <c r="G4505" s="464">
        <f>+AVERAGE(INDEX($B$4511:$G$4536,MATCH(F$4503,$B$4511:$B$4536,-1),6),INDEX($B$4511:$G$4536,MATCH(G$4503,$B$4511:$B$4536,-1),6))</f>
        <v>870.31907475218418</v>
      </c>
      <c r="H4505" s="464">
        <f t="shared" ref="H4505:N4505" si="1333">+AVERAGE(INDEX($B$4511:$G$4536,MATCH(G$4503,$B$4511:$B$4536,-1),6),INDEX($B$4511:$G$4536,MATCH(H$4503,$B$4511:$B$4536,-1),6))</f>
        <v>1007.4049383783298</v>
      </c>
      <c r="I4505" s="464">
        <f t="shared" si="1333"/>
        <v>1299.3219999321877</v>
      </c>
      <c r="J4505" s="464">
        <f>+G4518</f>
        <v>1521.6104772607271</v>
      </c>
      <c r="K4505" s="464">
        <f>+G4517</f>
        <v>1726.5467614510908</v>
      </c>
      <c r="L4505" s="464">
        <f t="shared" si="1333"/>
        <v>2233.1853168506855</v>
      </c>
      <c r="M4505" s="464">
        <f t="shared" si="1333"/>
        <v>2233.1853168506855</v>
      </c>
      <c r="N4505" s="464">
        <f t="shared" si="1333"/>
        <v>2233.1853168506855</v>
      </c>
    </row>
    <row r="4506" spans="1:19" x14ac:dyDescent="0.3">
      <c r="A4506" s="177" t="s">
        <v>2210</v>
      </c>
      <c r="B4506" s="85"/>
      <c r="C4506" s="473">
        <v>50</v>
      </c>
      <c r="D4506" s="381">
        <f>+D4504*D4505/1000</f>
        <v>272.25</v>
      </c>
      <c r="E4506" s="381">
        <f t="shared" ref="E4506:N4506" si="1334">+E4504*E4505/1000</f>
        <v>637.02049843145119</v>
      </c>
      <c r="F4506" s="381">
        <f t="shared" si="1334"/>
        <v>838.28865409543857</v>
      </c>
      <c r="G4506" s="381">
        <f t="shared" si="1334"/>
        <v>967.50470476617795</v>
      </c>
      <c r="H4506" s="381">
        <f>+H4504*H4505/1000</f>
        <v>1119.8984898305766</v>
      </c>
      <c r="I4506" s="381">
        <f t="shared" si="1334"/>
        <v>1444.4129565912824</v>
      </c>
      <c r="J4506" s="381">
        <f t="shared" si="1334"/>
        <v>1691.5236472215088</v>
      </c>
      <c r="K4506" s="381">
        <f>+K4504*K4505/1000</f>
        <v>1919.3444831464617</v>
      </c>
      <c r="L4506" s="381">
        <f>+L4504*L4505/1000</f>
        <v>0</v>
      </c>
      <c r="M4506" s="381">
        <f t="shared" si="1334"/>
        <v>0</v>
      </c>
      <c r="N4506" s="381">
        <f t="shared" si="1334"/>
        <v>0</v>
      </c>
      <c r="O4506" s="76">
        <f>+SUM(C4506:N4506)</f>
        <v>8940.2434340828968</v>
      </c>
      <c r="P4506" s="76"/>
      <c r="Q4506" s="76">
        <f>SUM(E4506:J4506)</f>
        <v>6698.6489509364346</v>
      </c>
      <c r="R4506" s="76">
        <f>SUM(E4504:J4504)</f>
        <v>6558.3333333333339</v>
      </c>
      <c r="S4506">
        <f>Q4506/R4506*1000</f>
        <v>1021.3950115786176</v>
      </c>
    </row>
    <row r="4507" spans="1:19" x14ac:dyDescent="0.3">
      <c r="A4507" s="465" t="s">
        <v>2211</v>
      </c>
      <c r="B4507" s="90"/>
      <c r="C4507" s="77">
        <f t="shared" ref="C4507:N4507" si="1335">+C4374</f>
        <v>0</v>
      </c>
      <c r="D4507" s="77">
        <f t="shared" si="1335"/>
        <v>272</v>
      </c>
      <c r="E4507" s="77">
        <f t="shared" si="1335"/>
        <v>765</v>
      </c>
      <c r="F4507" s="77">
        <f t="shared" si="1335"/>
        <v>159</v>
      </c>
      <c r="G4507" s="77">
        <f t="shared" si="1335"/>
        <v>165</v>
      </c>
      <c r="H4507" s="77">
        <f t="shared" si="1335"/>
        <v>183</v>
      </c>
      <c r="I4507" s="77">
        <f t="shared" si="1335"/>
        <v>184</v>
      </c>
      <c r="J4507" s="77">
        <f t="shared" si="1335"/>
        <v>308</v>
      </c>
      <c r="K4507" s="77">
        <f t="shared" si="1335"/>
        <v>637</v>
      </c>
      <c r="L4507" s="77">
        <f t="shared" si="1335"/>
        <v>1</v>
      </c>
      <c r="M4507" s="77">
        <f t="shared" si="1335"/>
        <v>1</v>
      </c>
      <c r="N4507" s="77">
        <f t="shared" si="1335"/>
        <v>0</v>
      </c>
      <c r="O4507" s="77"/>
      <c r="P4507" s="816"/>
      <c r="Q4507" s="76">
        <f>SUM(D4506:K4506)</f>
        <v>8890.2434340828968</v>
      </c>
      <c r="R4507" s="76">
        <f>SUM(D4504:K4504)</f>
        <v>8165</v>
      </c>
      <c r="S4507">
        <f>Q4507/R4507*1000</f>
        <v>1088.8234456929451</v>
      </c>
    </row>
    <row r="4508" spans="1:19" outlineLevel="1" x14ac:dyDescent="0.3">
      <c r="A4508" s="141" t="s">
        <v>2212</v>
      </c>
      <c r="F4508" s="77"/>
      <c r="G4508" s="77"/>
      <c r="H4508" s="77"/>
      <c r="I4508" s="77"/>
      <c r="J4508" s="77"/>
      <c r="K4508" s="75"/>
      <c r="L4508" s="77"/>
      <c r="M4508" s="77"/>
      <c r="N4508" s="77"/>
    </row>
    <row r="4509" spans="1:19" ht="36" outlineLevel="1" x14ac:dyDescent="0.3">
      <c r="A4509" s="147" t="s">
        <v>2066</v>
      </c>
      <c r="B4509" s="383" t="s">
        <v>2159</v>
      </c>
      <c r="C4509" s="383" t="s">
        <v>2213</v>
      </c>
      <c r="D4509" s="383" t="s">
        <v>186</v>
      </c>
      <c r="E4509" s="383" t="s">
        <v>188</v>
      </c>
      <c r="F4509" s="383" t="s">
        <v>2214</v>
      </c>
      <c r="G4509" s="383" t="s">
        <v>2215</v>
      </c>
      <c r="H4509" s="77"/>
      <c r="I4509" s="77"/>
      <c r="J4509" s="77"/>
      <c r="L4509" s="77"/>
      <c r="M4509" s="77"/>
      <c r="N4509" s="77"/>
    </row>
    <row r="4510" spans="1:19" outlineLevel="1" x14ac:dyDescent="0.3">
      <c r="A4510" s="368"/>
      <c r="B4510" s="526"/>
      <c r="C4510" s="191"/>
      <c r="D4510" s="526"/>
      <c r="E4510" s="526"/>
      <c r="F4510" s="526"/>
      <c r="G4510" s="77"/>
      <c r="H4510" s="77"/>
      <c r="I4510" s="77"/>
      <c r="J4510" s="77"/>
      <c r="K4510" s="77"/>
      <c r="L4510" s="77"/>
      <c r="M4510" s="77"/>
      <c r="N4510" s="77"/>
    </row>
    <row r="4511" spans="1:19" outlineLevel="1" x14ac:dyDescent="0.3">
      <c r="A4511" s="527">
        <v>0.05</v>
      </c>
      <c r="B4511" s="526">
        <v>9833.0239999999994</v>
      </c>
      <c r="C4511" s="191">
        <v>0.13793434567136664</v>
      </c>
      <c r="D4511" s="526">
        <v>13296.870801296769</v>
      </c>
      <c r="E4511" s="526">
        <v>2657.6902864373742</v>
      </c>
      <c r="F4511" s="750">
        <f>+D4511/B4511*1000</f>
        <v>1352.2666883856655</v>
      </c>
      <c r="G4511" s="750">
        <f>+(D4511-D4512)/(B4511-B4512)*1000</f>
        <v>2993.0454632889641</v>
      </c>
      <c r="H4511" s="77"/>
      <c r="I4511" s="77"/>
      <c r="J4511" s="77"/>
      <c r="K4511" s="77"/>
      <c r="L4511" s="77"/>
      <c r="M4511" s="77"/>
      <c r="N4511" s="77"/>
    </row>
    <row r="4512" spans="1:19" outlineLevel="1" x14ac:dyDescent="0.3">
      <c r="A4512" s="527">
        <v>6.0000000000000005E-2</v>
      </c>
      <c r="B4512" s="526">
        <v>9578.5759999999991</v>
      </c>
      <c r="C4512" s="191">
        <v>0.14199656156634211</v>
      </c>
      <c r="D4512" s="526">
        <v>12535.296369253818</v>
      </c>
      <c r="E4512" s="526">
        <v>2578.7568458877377</v>
      </c>
      <c r="F4512" s="750">
        <f t="shared" ref="F4512:F4536" si="1336">+D4512/B4512*1000</f>
        <v>1308.6805772855819</v>
      </c>
      <c r="G4512" s="750">
        <f t="shared" ref="G4512:G4536" si="1337">+(D4512-D4513)/(B4512-B4513)*1000</f>
        <v>2701.4144912090719</v>
      </c>
      <c r="H4512" s="77"/>
      <c r="I4512" s="77"/>
      <c r="J4512" s="77"/>
      <c r="K4512" s="77"/>
      <c r="L4512" s="77"/>
      <c r="M4512" s="77"/>
      <c r="N4512" s="77"/>
    </row>
    <row r="4513" spans="1:14" outlineLevel="1" x14ac:dyDescent="0.3">
      <c r="A4513" s="527">
        <v>7.0000000000000007E-2</v>
      </c>
      <c r="B4513" s="526">
        <v>9218.6229999999996</v>
      </c>
      <c r="C4513" s="191">
        <v>0.14734326133418674</v>
      </c>
      <c r="D4513" s="526">
        <v>11562.91411889964</v>
      </c>
      <c r="E4513" s="526">
        <v>2469.5748046532981</v>
      </c>
      <c r="F4513" s="750">
        <f t="shared" si="1336"/>
        <v>1254.2994890776681</v>
      </c>
      <c r="G4513" s="750">
        <f t="shared" si="1337"/>
        <v>2441.28452134194</v>
      </c>
      <c r="H4513" s="77"/>
      <c r="I4513" s="77"/>
      <c r="J4513" s="77"/>
      <c r="K4513" s="77"/>
      <c r="L4513" s="77"/>
      <c r="M4513" s="77"/>
      <c r="N4513" s="77"/>
    </row>
    <row r="4514" spans="1:14" outlineLevel="1" x14ac:dyDescent="0.3">
      <c r="A4514" s="527">
        <v>0.08</v>
      </c>
      <c r="B4514" s="526">
        <v>8775.0810000000001</v>
      </c>
      <c r="C4514" s="191">
        <v>0.15361879514119492</v>
      </c>
      <c r="D4514" s="526">
        <v>10480.101899734595</v>
      </c>
      <c r="E4514" s="526">
        <v>2338.0255110073131</v>
      </c>
      <c r="F4514" s="750">
        <f t="shared" si="1336"/>
        <v>1194.3025824758306</v>
      </c>
      <c r="G4514" s="750">
        <f t="shared" si="1337"/>
        <v>2233.1853168506855</v>
      </c>
      <c r="I4514" s="77"/>
      <c r="J4514" s="77"/>
      <c r="K4514" s="77"/>
      <c r="L4514" s="77"/>
      <c r="M4514" s="77"/>
      <c r="N4514" s="77"/>
    </row>
    <row r="4515" spans="1:14" outlineLevel="1" x14ac:dyDescent="0.3">
      <c r="A4515" s="527">
        <v>0.09</v>
      </c>
      <c r="B4515" s="526">
        <v>8249.5540000000001</v>
      </c>
      <c r="C4515" s="191">
        <v>0.16093794621695023</v>
      </c>
      <c r="D4515" s="526">
        <v>9306.5027197260042</v>
      </c>
      <c r="E4515" s="526">
        <v>2183.6957983757729</v>
      </c>
      <c r="F4515" s="750">
        <f t="shared" si="1336"/>
        <v>1128.1219226792145</v>
      </c>
      <c r="G4515" s="750">
        <f t="shared" si="1337"/>
        <v>2116.2741572842306</v>
      </c>
      <c r="J4515" s="77"/>
      <c r="L4515" s="77"/>
      <c r="M4515" s="77"/>
      <c r="N4515" s="77"/>
    </row>
    <row r="4516" spans="1:14" outlineLevel="1" x14ac:dyDescent="0.3">
      <c r="A4516" s="527">
        <v>9.9999999999999992E-2</v>
      </c>
      <c r="B4516" s="526">
        <v>7731.3530000000001</v>
      </c>
      <c r="C4516" s="191">
        <v>0.1684992814808568</v>
      </c>
      <c r="D4516" s="526">
        <v>8209.8473351471584</v>
      </c>
      <c r="E4516" s="526">
        <v>2028.1791693776504</v>
      </c>
      <c r="F4516" s="750">
        <f t="shared" si="1336"/>
        <v>1061.8901161474787</v>
      </c>
      <c r="G4516" s="750">
        <f t="shared" si="1337"/>
        <v>1940.5641780276967</v>
      </c>
      <c r="I4516" s="77"/>
      <c r="J4516" s="77"/>
      <c r="K4516" s="77"/>
      <c r="L4516" s="77"/>
      <c r="M4516" s="77"/>
      <c r="N4516" s="77"/>
    </row>
    <row r="4517" spans="1:14" outlineLevel="1" x14ac:dyDescent="0.3">
      <c r="A4517" s="527">
        <v>0.10999999999999999</v>
      </c>
      <c r="B4517" s="526">
        <v>7210.085</v>
      </c>
      <c r="C4517" s="191">
        <v>0.17626670927004362</v>
      </c>
      <c r="D4517" s="526">
        <v>7198.2933271950169</v>
      </c>
      <c r="E4517" s="526">
        <v>1873.7842279869321</v>
      </c>
      <c r="F4517" s="750">
        <f t="shared" si="1336"/>
        <v>998.36455841991005</v>
      </c>
      <c r="G4517" s="750">
        <f t="shared" si="1337"/>
        <v>1726.5467614510908</v>
      </c>
      <c r="I4517" s="77"/>
      <c r="J4517" s="77"/>
      <c r="K4517" s="77"/>
      <c r="L4517" s="77"/>
      <c r="M4517" s="77"/>
      <c r="N4517" s="77"/>
    </row>
    <row r="4518" spans="1:14" outlineLevel="1" x14ac:dyDescent="0.3">
      <c r="A4518" s="527">
        <v>0.11999999999999998</v>
      </c>
      <c r="B4518" s="526">
        <v>6734.7280000000001</v>
      </c>
      <c r="C4518" s="191">
        <v>0.18324157834640009</v>
      </c>
      <c r="D4518" s="526">
        <v>6377.5672383119108</v>
      </c>
      <c r="E4518" s="526">
        <v>1738.6225308765272</v>
      </c>
      <c r="F4518" s="750">
        <f t="shared" si="1336"/>
        <v>946.96730711498833</v>
      </c>
      <c r="G4518" s="750">
        <f t="shared" si="1337"/>
        <v>1521.6104772607271</v>
      </c>
      <c r="I4518" s="77"/>
      <c r="J4518" s="77"/>
      <c r="K4518" s="77"/>
      <c r="L4518" s="77"/>
      <c r="M4518" s="77"/>
      <c r="N4518" s="77"/>
    </row>
    <row r="4519" spans="1:14" outlineLevel="1" x14ac:dyDescent="0.3">
      <c r="A4519" s="527">
        <v>0.12999999999999998</v>
      </c>
      <c r="B4519" s="526">
        <v>6299.2060000000001</v>
      </c>
      <c r="C4519" s="191">
        <v>0.18933746630780734</v>
      </c>
      <c r="D4519" s="526">
        <v>5714.8724000343645</v>
      </c>
      <c r="E4519" s="526">
        <v>1621.3228146819915</v>
      </c>
      <c r="F4519" s="750">
        <f t="shared" si="1336"/>
        <v>907.23694383615407</v>
      </c>
      <c r="G4519" s="750">
        <f t="shared" si="1337"/>
        <v>1514.644182983282</v>
      </c>
      <c r="I4519" s="77"/>
      <c r="J4519" s="77"/>
      <c r="K4519" s="77"/>
      <c r="L4519" s="77"/>
      <c r="M4519" s="77"/>
      <c r="N4519" s="77"/>
    </row>
    <row r="4520" spans="1:14" outlineLevel="1" x14ac:dyDescent="0.3">
      <c r="A4520" s="527">
        <v>0.13999999999999999</v>
      </c>
      <c r="B4520" s="526">
        <v>5846.4750000000004</v>
      </c>
      <c r="C4520" s="191">
        <v>0.19608745413736917</v>
      </c>
      <c r="D4520" s="526">
        <v>5029.1460244281607</v>
      </c>
      <c r="E4520" s="526">
        <v>1491.0905580952199</v>
      </c>
      <c r="F4520" s="750">
        <f t="shared" si="1336"/>
        <v>860.20140758801847</v>
      </c>
      <c r="G4520" s="750">
        <f t="shared" si="1337"/>
        <v>1326.9937848337117</v>
      </c>
      <c r="I4520" s="77"/>
      <c r="J4520" s="77"/>
      <c r="K4520" s="77"/>
      <c r="L4520" s="77"/>
      <c r="M4520" s="77"/>
      <c r="N4520" s="77"/>
    </row>
    <row r="4521" spans="1:14" outlineLevel="1" x14ac:dyDescent="0.3">
      <c r="A4521" s="527">
        <v>0.15</v>
      </c>
      <c r="B4521" s="526">
        <v>5351.6670000000004</v>
      </c>
      <c r="C4521" s="191">
        <v>0.20322119606566136</v>
      </c>
      <c r="D4521" s="526">
        <v>4372.5388837421615</v>
      </c>
      <c r="E4521" s="526">
        <v>1356.7420397706583</v>
      </c>
      <c r="F4521" s="750">
        <f t="shared" si="1336"/>
        <v>817.04240636462646</v>
      </c>
      <c r="G4521" s="750">
        <f t="shared" si="1337"/>
        <v>1168.4461911346127</v>
      </c>
      <c r="I4521" s="77"/>
      <c r="J4521" s="77"/>
      <c r="K4521" s="77"/>
      <c r="L4521" s="77"/>
      <c r="M4521" s="77"/>
      <c r="N4521" s="77"/>
    </row>
    <row r="4522" spans="1:14" outlineLevel="1" x14ac:dyDescent="0.3">
      <c r="A4522" s="527">
        <v>0.16</v>
      </c>
      <c r="B4522" s="526">
        <v>4915.933</v>
      </c>
      <c r="C4522" s="191">
        <v>0.20925588429425845</v>
      </c>
      <c r="D4522" s="526">
        <v>3863.4071510943118</v>
      </c>
      <c r="E4522" s="526">
        <v>1245.0830450928192</v>
      </c>
      <c r="F4522" s="750">
        <f t="shared" si="1336"/>
        <v>785.89499716418266</v>
      </c>
      <c r="G4522" s="750">
        <f t="shared" si="1337"/>
        <v>1083.9998168810935</v>
      </c>
      <c r="I4522" s="77"/>
      <c r="J4522" s="77"/>
      <c r="K4522" s="77"/>
      <c r="L4522" s="77"/>
      <c r="M4522" s="77"/>
      <c r="N4522" s="77"/>
    </row>
    <row r="4523" spans="1:14" outlineLevel="1" x14ac:dyDescent="0.3">
      <c r="A4523" s="527">
        <v>0.17</v>
      </c>
      <c r="B4523" s="526">
        <v>4451.424</v>
      </c>
      <c r="C4523" s="191">
        <v>0.21559671559936011</v>
      </c>
      <c r="D4523" s="526">
        <v>3359.8794801546919</v>
      </c>
      <c r="E4523" s="526">
        <v>1126.525971617428</v>
      </c>
      <c r="F4523" s="750">
        <f t="shared" si="1336"/>
        <v>754.7875646432899</v>
      </c>
      <c r="G4523" s="750">
        <f t="shared" si="1337"/>
        <v>1002.6491338020753</v>
      </c>
      <c r="I4523" s="77"/>
      <c r="J4523" s="77"/>
      <c r="K4523" s="77"/>
      <c r="L4523" s="77"/>
      <c r="M4523" s="77"/>
      <c r="N4523" s="77"/>
    </row>
    <row r="4524" spans="1:14" outlineLevel="1" x14ac:dyDescent="0.3">
      <c r="A4524" s="527">
        <v>0.18000000000000002</v>
      </c>
      <c r="B4524" s="526">
        <v>4010.5830000000001</v>
      </c>
      <c r="C4524" s="191">
        <v>0.22158770744201117</v>
      </c>
      <c r="D4524" s="526">
        <v>2917.8706333602513</v>
      </c>
      <c r="E4524" s="526">
        <v>1015.0889401201282</v>
      </c>
      <c r="F4524" s="750">
        <f t="shared" si="1336"/>
        <v>727.54276207729686</v>
      </c>
      <c r="G4524" s="750">
        <f t="shared" si="1337"/>
        <v>930.81005987556614</v>
      </c>
      <c r="I4524" s="77"/>
      <c r="J4524" s="77"/>
      <c r="K4524" s="77"/>
      <c r="L4524" s="77"/>
      <c r="M4524" s="77"/>
      <c r="N4524" s="77"/>
    </row>
    <row r="4525" spans="1:14" outlineLevel="1" x14ac:dyDescent="0.3">
      <c r="A4525" s="527">
        <v>0.19000000000000003</v>
      </c>
      <c r="B4525" s="526">
        <v>3597.9209999999998</v>
      </c>
      <c r="C4525" s="191">
        <v>0.22705043615901688</v>
      </c>
      <c r="D4525" s="526">
        <v>2533.7606924318802</v>
      </c>
      <c r="E4525" s="526">
        <v>911.37870940230698</v>
      </c>
      <c r="F4525" s="750">
        <f t="shared" si="1336"/>
        <v>704.22910687363071</v>
      </c>
      <c r="G4525" s="750">
        <f t="shared" si="1337"/>
        <v>868.214859626455</v>
      </c>
      <c r="I4525" s="77"/>
      <c r="J4525" s="77"/>
      <c r="K4525" s="77"/>
      <c r="L4525" s="77"/>
      <c r="M4525" s="77"/>
      <c r="N4525" s="77"/>
    </row>
    <row r="4526" spans="1:14" outlineLevel="1" x14ac:dyDescent="0.3">
      <c r="A4526" s="527">
        <v>0.2</v>
      </c>
      <c r="B4526" s="526">
        <v>3126.12</v>
      </c>
      <c r="C4526" s="191">
        <v>0.23332320855191058</v>
      </c>
      <c r="D4526" s="526">
        <v>2124.1360534452592</v>
      </c>
      <c r="E4526" s="526">
        <v>793.48609026008273</v>
      </c>
      <c r="F4526" s="750">
        <f t="shared" si="1336"/>
        <v>679.48001146637341</v>
      </c>
      <c r="G4526" s="750">
        <f t="shared" si="1337"/>
        <v>809.82808962880222</v>
      </c>
      <c r="I4526" s="77"/>
      <c r="J4526" s="77"/>
      <c r="K4526" s="77"/>
      <c r="L4526" s="77"/>
      <c r="M4526" s="77"/>
      <c r="N4526" s="77"/>
    </row>
    <row r="4527" spans="1:14" outlineLevel="1" x14ac:dyDescent="0.3">
      <c r="A4527" s="527">
        <v>0.21000000000000005</v>
      </c>
      <c r="B4527" s="526">
        <v>2642.7710000000002</v>
      </c>
      <c r="C4527" s="191">
        <v>0.23993166872921967</v>
      </c>
      <c r="D4527" s="526">
        <v>1732.7064561512675</v>
      </c>
      <c r="E4527" s="526">
        <v>673.42027245875761</v>
      </c>
      <c r="F4527" s="750">
        <f t="shared" si="1336"/>
        <v>655.64002940522187</v>
      </c>
      <c r="G4527" s="750">
        <f t="shared" si="1337"/>
        <v>770.1324476553001</v>
      </c>
      <c r="I4527" s="77"/>
      <c r="J4527" s="77"/>
      <c r="K4527" s="77"/>
      <c r="L4527" s="77"/>
      <c r="M4527" s="77"/>
      <c r="N4527" s="77"/>
    </row>
    <row r="4528" spans="1:14" outlineLevel="1" x14ac:dyDescent="0.3">
      <c r="A4528" s="527">
        <v>0.22000000000000006</v>
      </c>
      <c r="B4528" s="526">
        <v>2087.75</v>
      </c>
      <c r="C4528" s="191">
        <v>0.24852661180549784</v>
      </c>
      <c r="D4528" s="526">
        <v>1305.2667749211751</v>
      </c>
      <c r="E4528" s="526">
        <v>533.54236482063664</v>
      </c>
      <c r="F4528" s="750">
        <f t="shared" si="1336"/>
        <v>625.20262240267027</v>
      </c>
      <c r="G4528" s="750">
        <f t="shared" si="1337"/>
        <v>714.6610259393932</v>
      </c>
      <c r="I4528" s="77"/>
      <c r="J4528" s="77"/>
      <c r="K4528" s="77"/>
      <c r="L4528" s="77"/>
      <c r="M4528" s="77"/>
      <c r="N4528" s="77"/>
    </row>
    <row r="4529" spans="1:16" outlineLevel="1" x14ac:dyDescent="0.3">
      <c r="A4529" s="527">
        <v>0.23000000000000007</v>
      </c>
      <c r="B4529" s="526">
        <v>1613.7729999999999</v>
      </c>
      <c r="C4529" s="191">
        <v>0.2573622687858943</v>
      </c>
      <c r="D4529" s="526">
        <v>966.53388582949924</v>
      </c>
      <c r="E4529" s="526">
        <v>415.78324093871305</v>
      </c>
      <c r="F4529" s="750">
        <f t="shared" si="1336"/>
        <v>598.92803128413925</v>
      </c>
      <c r="G4529" s="750">
        <f t="shared" si="1337"/>
        <v>698.33740499567455</v>
      </c>
      <c r="I4529" s="77"/>
      <c r="J4529" s="77"/>
      <c r="K4529" s="77"/>
      <c r="L4529" s="77"/>
      <c r="M4529" s="77"/>
      <c r="N4529" s="77"/>
    </row>
    <row r="4530" spans="1:16" outlineLevel="1" x14ac:dyDescent="0.3">
      <c r="A4530" s="527">
        <v>0.24000000000000007</v>
      </c>
      <c r="B4530" s="526">
        <v>1263.0409999999999</v>
      </c>
      <c r="C4530" s="191">
        <v>0.26546291900454499</v>
      </c>
      <c r="D4530" s="526">
        <v>721.60461110055633</v>
      </c>
      <c r="E4530" s="526">
        <v>325.29766618420729</v>
      </c>
      <c r="F4530" s="750">
        <f t="shared" si="1336"/>
        <v>571.32318832132637</v>
      </c>
      <c r="G4530" s="750">
        <f t="shared" si="1337"/>
        <v>652.84354277013495</v>
      </c>
      <c r="I4530" s="77"/>
      <c r="J4530" s="77"/>
      <c r="K4530" s="77"/>
      <c r="L4530" s="77"/>
      <c r="M4530" s="77"/>
      <c r="N4530" s="77"/>
    </row>
    <row r="4531" spans="1:16" outlineLevel="1" x14ac:dyDescent="0.3">
      <c r="A4531" s="527">
        <v>0.25000000000000006</v>
      </c>
      <c r="B4531" s="526">
        <v>901.22299999999996</v>
      </c>
      <c r="C4531" s="191">
        <v>0.2761119413799682</v>
      </c>
      <c r="D4531" s="526">
        <v>485.39406614255165</v>
      </c>
      <c r="E4531" s="526">
        <v>232.44135072487569</v>
      </c>
      <c r="F4531" s="750">
        <f t="shared" si="1336"/>
        <v>538.59484960165423</v>
      </c>
      <c r="G4531" s="750">
        <f t="shared" si="1337"/>
        <v>599.17935121406686</v>
      </c>
      <c r="H4531" s="77"/>
      <c r="I4531" s="77"/>
      <c r="J4531" s="77"/>
      <c r="K4531" s="77"/>
      <c r="L4531" s="77"/>
      <c r="M4531" s="77"/>
      <c r="N4531" s="77"/>
    </row>
    <row r="4532" spans="1:16" outlineLevel="1" x14ac:dyDescent="0.3">
      <c r="A4532" s="527">
        <v>0.26000000000000006</v>
      </c>
      <c r="B4532" s="526">
        <v>653.79399999999998</v>
      </c>
      <c r="C4532" s="191">
        <v>0.28597786691958182</v>
      </c>
      <c r="D4532" s="526">
        <v>337.13971845100633</v>
      </c>
      <c r="E4532" s="526">
        <v>170.47088224172688</v>
      </c>
      <c r="F4532" s="750">
        <f t="shared" si="1336"/>
        <v>515.66658374198346</v>
      </c>
      <c r="G4532" s="750">
        <f t="shared" si="1337"/>
        <v>575.70359186722783</v>
      </c>
      <c r="H4532" s="77"/>
      <c r="I4532" s="77">
        <f>B4518-B4532</f>
        <v>6080.9340000000002</v>
      </c>
      <c r="J4532" s="77">
        <f>D4518-D4532</f>
        <v>6040.4275198609048</v>
      </c>
      <c r="K4532" s="77">
        <f>J4532/I4532*1000</f>
        <v>993.33877326425591</v>
      </c>
      <c r="L4532" s="77"/>
      <c r="M4532" s="77"/>
      <c r="N4532" s="77"/>
    </row>
    <row r="4533" spans="1:16" outlineLevel="1" x14ac:dyDescent="0.3">
      <c r="A4533" s="527">
        <v>0.27000000000000007</v>
      </c>
      <c r="B4533" s="526">
        <v>431.65800000000002</v>
      </c>
      <c r="C4533" s="191">
        <v>0.29918373899694117</v>
      </c>
      <c r="D4533" s="526">
        <v>209.25522536798783</v>
      </c>
      <c r="E4533" s="526">
        <v>113.87091553736448</v>
      </c>
      <c r="F4533" s="750">
        <f t="shared" si="1336"/>
        <v>484.77087270011867</v>
      </c>
      <c r="G4533" s="750">
        <f t="shared" si="1337"/>
        <v>548.26128880628744</v>
      </c>
      <c r="H4533" s="77"/>
      <c r="I4533" s="77"/>
      <c r="J4533" s="77"/>
      <c r="K4533" s="77"/>
      <c r="L4533" s="77"/>
      <c r="M4533" s="77"/>
      <c r="N4533" s="77"/>
    </row>
    <row r="4534" spans="1:16" outlineLevel="1" x14ac:dyDescent="0.3">
      <c r="A4534" s="527">
        <v>0.28000000000000008</v>
      </c>
      <c r="B4534" s="526">
        <v>292.76799999999997</v>
      </c>
      <c r="C4534" s="191">
        <v>0.31304353781960437</v>
      </c>
      <c r="D4534" s="526">
        <v>133.10721496568254</v>
      </c>
      <c r="E4534" s="526">
        <v>78.105959730126315</v>
      </c>
      <c r="F4534" s="750">
        <f t="shared" si="1336"/>
        <v>454.65083262406603</v>
      </c>
      <c r="G4534" s="750">
        <f t="shared" si="1337"/>
        <v>508.9745933505996</v>
      </c>
      <c r="H4534" s="77"/>
      <c r="I4534" s="77"/>
      <c r="J4534" s="526"/>
      <c r="K4534" s="526"/>
      <c r="L4534" s="469"/>
      <c r="M4534" s="77"/>
      <c r="N4534" s="77"/>
    </row>
    <row r="4535" spans="1:16" outlineLevel="1" x14ac:dyDescent="0.3">
      <c r="A4535" s="527">
        <v>0.29000000000000009</v>
      </c>
      <c r="B4535" s="526">
        <v>208.42699999999999</v>
      </c>
      <c r="C4535" s="191">
        <v>0.32609394730059971</v>
      </c>
      <c r="D4535" s="526">
        <v>90.179788787899639</v>
      </c>
      <c r="E4535" s="526">
        <v>56.644123938725336</v>
      </c>
      <c r="F4535" s="750">
        <f t="shared" si="1336"/>
        <v>432.66845844300235</v>
      </c>
      <c r="G4535" s="750">
        <f t="shared" si="1337"/>
        <v>510.48218388066914</v>
      </c>
      <c r="H4535" s="77"/>
      <c r="I4535" s="77"/>
      <c r="J4535" s="77"/>
      <c r="K4535" s="77"/>
      <c r="L4535" s="77"/>
      <c r="M4535" s="77"/>
      <c r="N4535" s="77"/>
    </row>
    <row r="4536" spans="1:16" outlineLevel="1" x14ac:dyDescent="0.3">
      <c r="A4536" s="527">
        <v>0.3000000000000001</v>
      </c>
      <c r="B4536" s="526">
        <v>164.57400000000001</v>
      </c>
      <c r="C4536" s="191">
        <v>0.33633469365361734</v>
      </c>
      <c r="D4536" s="526">
        <v>67.793613578180668</v>
      </c>
      <c r="E4536" s="526">
        <v>44.873115911533802</v>
      </c>
      <c r="F4536" s="750">
        <f t="shared" si="1336"/>
        <v>411.93392381652427</v>
      </c>
      <c r="G4536" s="750">
        <f t="shared" si="1337"/>
        <v>411.93392381652427</v>
      </c>
      <c r="H4536" s="77"/>
      <c r="I4536" s="77"/>
      <c r="J4536" s="77"/>
      <c r="K4536" s="77"/>
      <c r="L4536" s="77"/>
      <c r="M4536" s="77"/>
      <c r="N4536" s="77"/>
    </row>
    <row r="4537" spans="1:16" x14ac:dyDescent="0.3">
      <c r="A4537" s="177"/>
      <c r="B4537" s="85"/>
      <c r="C4537" s="76"/>
      <c r="D4537" s="76"/>
      <c r="E4537" s="76"/>
      <c r="F4537" s="76"/>
      <c r="G4537" s="76"/>
      <c r="H4537" s="76"/>
      <c r="I4537" s="76"/>
      <c r="J4537" s="76"/>
      <c r="K4537" s="76"/>
      <c r="L4537" s="76"/>
      <c r="M4537" s="76"/>
      <c r="N4537" s="76"/>
    </row>
    <row r="4538" spans="1:16" x14ac:dyDescent="0.3">
      <c r="A4538" s="472" t="s">
        <v>2216</v>
      </c>
      <c r="B4538" s="85"/>
      <c r="C4538" s="85"/>
      <c r="D4538" s="85"/>
      <c r="E4538" s="85"/>
      <c r="F4538" s="85"/>
      <c r="G4538" s="85"/>
      <c r="H4538" s="85"/>
      <c r="I4538" s="85"/>
      <c r="J4538" s="85"/>
      <c r="K4538" s="85"/>
      <c r="L4538" s="85"/>
      <c r="M4538" s="85"/>
      <c r="N4538" s="85"/>
    </row>
    <row r="4539" spans="1:16" x14ac:dyDescent="0.3">
      <c r="A4539" s="177" t="s">
        <v>2217</v>
      </c>
      <c r="B4539" s="85"/>
      <c r="C4539" s="85"/>
      <c r="D4539" s="95">
        <v>0</v>
      </c>
      <c r="E4539" s="76" t="e">
        <f>+D4547</f>
        <v>#REF!</v>
      </c>
      <c r="F4539" s="76" t="e">
        <f t="shared" ref="F4539:N4539" si="1338">+E4547</f>
        <v>#REF!</v>
      </c>
      <c r="G4539" s="76" t="e">
        <f t="shared" si="1338"/>
        <v>#REF!</v>
      </c>
      <c r="H4539" s="76" t="e">
        <f t="shared" si="1338"/>
        <v>#REF!</v>
      </c>
      <c r="I4539" s="76" t="e">
        <f t="shared" si="1338"/>
        <v>#REF!</v>
      </c>
      <c r="J4539" s="76" t="e">
        <f t="shared" si="1338"/>
        <v>#REF!</v>
      </c>
      <c r="K4539" s="76" t="e">
        <f t="shared" si="1338"/>
        <v>#REF!</v>
      </c>
      <c r="L4539" s="76" t="e">
        <f t="shared" si="1338"/>
        <v>#REF!</v>
      </c>
      <c r="M4539" s="76" t="e">
        <f t="shared" si="1338"/>
        <v>#REF!</v>
      </c>
      <c r="N4539" s="76" t="e">
        <f t="shared" si="1338"/>
        <v>#REF!</v>
      </c>
    </row>
    <row r="4540" spans="1:16" x14ac:dyDescent="0.3">
      <c r="A4540" s="177" t="s">
        <v>1940</v>
      </c>
      <c r="B4540" s="85"/>
      <c r="C4540" s="95">
        <v>0</v>
      </c>
      <c r="D4540" s="76" t="e">
        <f t="shared" ref="D4540:N4540" si="1339">+D$4350</f>
        <v>#REF!</v>
      </c>
      <c r="E4540" s="76" t="e">
        <f t="shared" si="1339"/>
        <v>#REF!</v>
      </c>
      <c r="F4540" s="76" t="e">
        <f>+F$4350</f>
        <v>#REF!</v>
      </c>
      <c r="G4540" s="76" t="e">
        <f t="shared" si="1339"/>
        <v>#REF!</v>
      </c>
      <c r="H4540" s="76" t="e">
        <f t="shared" si="1339"/>
        <v>#REF!</v>
      </c>
      <c r="I4540" s="76" t="e">
        <f t="shared" si="1339"/>
        <v>#REF!</v>
      </c>
      <c r="J4540" s="76" t="e">
        <f t="shared" si="1339"/>
        <v>#REF!</v>
      </c>
      <c r="K4540" s="76" t="e">
        <f t="shared" si="1339"/>
        <v>#REF!</v>
      </c>
      <c r="L4540" s="76" t="e">
        <f t="shared" si="1339"/>
        <v>#REF!</v>
      </c>
      <c r="M4540" s="76" t="e">
        <f t="shared" si="1339"/>
        <v>#REF!</v>
      </c>
      <c r="N4540" s="76" t="e">
        <f t="shared" si="1339"/>
        <v>#REF!</v>
      </c>
    </row>
    <row r="4541" spans="1:16" x14ac:dyDescent="0.3">
      <c r="A4541" s="177" t="s">
        <v>1941</v>
      </c>
      <c r="B4541" s="85"/>
      <c r="C4541" s="76">
        <f>+B4439</f>
        <v>0</v>
      </c>
      <c r="D4541" s="76" t="e">
        <f t="shared" ref="D4541:N4541" si="1340">+C$4434+C$4435</f>
        <v>#REF!</v>
      </c>
      <c r="E4541" s="76" t="e">
        <f t="shared" si="1340"/>
        <v>#REF!</v>
      </c>
      <c r="F4541" s="76" t="e">
        <f t="shared" si="1340"/>
        <v>#REF!</v>
      </c>
      <c r="G4541" s="76" t="e">
        <f t="shared" si="1340"/>
        <v>#REF!</v>
      </c>
      <c r="H4541" s="76" t="e">
        <f t="shared" si="1340"/>
        <v>#REF!</v>
      </c>
      <c r="I4541" s="76" t="e">
        <f t="shared" si="1340"/>
        <v>#REF!</v>
      </c>
      <c r="J4541" s="76" t="e">
        <f t="shared" si="1340"/>
        <v>#REF!</v>
      </c>
      <c r="K4541" s="76" t="e">
        <f t="shared" si="1340"/>
        <v>#REF!</v>
      </c>
      <c r="L4541" s="76" t="e">
        <f t="shared" si="1340"/>
        <v>#REF!</v>
      </c>
      <c r="M4541" s="76" t="e">
        <f t="shared" si="1340"/>
        <v>#REF!</v>
      </c>
      <c r="N4541" s="76" t="e">
        <f t="shared" si="1340"/>
        <v>#REF!</v>
      </c>
      <c r="P4541" s="76" t="e">
        <f>SUM(D4541:K4541)</f>
        <v>#REF!</v>
      </c>
    </row>
    <row r="4542" spans="1:16" x14ac:dyDescent="0.3">
      <c r="A4542" s="177" t="s">
        <v>1942</v>
      </c>
      <c r="B4542" s="85"/>
      <c r="C4542" s="120">
        <f t="shared" ref="C4542:N4542" si="1341">+B4607</f>
        <v>0</v>
      </c>
      <c r="D4542" s="120" t="e">
        <f t="shared" si="1341"/>
        <v>#REF!</v>
      </c>
      <c r="E4542" s="120" t="e">
        <f t="shared" si="1341"/>
        <v>#REF!</v>
      </c>
      <c r="F4542" s="120" t="e">
        <f t="shared" si="1341"/>
        <v>#REF!</v>
      </c>
      <c r="G4542" s="120" t="e">
        <f t="shared" si="1341"/>
        <v>#REF!</v>
      </c>
      <c r="H4542" s="120" t="e">
        <f t="shared" si="1341"/>
        <v>#REF!</v>
      </c>
      <c r="I4542" s="120" t="e">
        <f t="shared" si="1341"/>
        <v>#REF!</v>
      </c>
      <c r="J4542" s="120" t="e">
        <f t="shared" si="1341"/>
        <v>#REF!</v>
      </c>
      <c r="K4542" s="120" t="e">
        <f t="shared" si="1341"/>
        <v>#REF!</v>
      </c>
      <c r="L4542" s="120" t="e">
        <f t="shared" si="1341"/>
        <v>#REF!</v>
      </c>
      <c r="M4542" s="120" t="e">
        <f t="shared" si="1341"/>
        <v>#REF!</v>
      </c>
      <c r="N4542" s="120" t="e">
        <f t="shared" si="1341"/>
        <v>#REF!</v>
      </c>
      <c r="P4542" s="76" t="e">
        <f>SUM(D4542:K4542)</f>
        <v>#REF!</v>
      </c>
    </row>
    <row r="4543" spans="1:16" x14ac:dyDescent="0.3">
      <c r="A4543" s="177" t="s">
        <v>1943</v>
      </c>
      <c r="B4543" s="85"/>
      <c r="C4543" s="120">
        <f t="shared" ref="C4543:N4543" si="1342">+B4609</f>
        <v>0</v>
      </c>
      <c r="D4543" s="120">
        <f t="shared" si="1342"/>
        <v>1.5470000000000002</v>
      </c>
      <c r="E4543" s="120">
        <f t="shared" si="1342"/>
        <v>10.556000000000001</v>
      </c>
      <c r="F4543" s="120">
        <f t="shared" si="1342"/>
        <v>28.756</v>
      </c>
      <c r="G4543" s="120">
        <f t="shared" si="1342"/>
        <v>48.988333333333344</v>
      </c>
      <c r="H4543" s="120">
        <f t="shared" si="1342"/>
        <v>69.220666666666673</v>
      </c>
      <c r="I4543" s="120">
        <f t="shared" si="1342"/>
        <v>89.453000000000003</v>
      </c>
      <c r="J4543" s="120">
        <f t="shared" si="1342"/>
        <v>109.68533333333335</v>
      </c>
      <c r="K4543" s="120">
        <f t="shared" si="1342"/>
        <v>129.91766666666669</v>
      </c>
      <c r="L4543" s="120">
        <f t="shared" si="1342"/>
        <v>150.15</v>
      </c>
      <c r="M4543" s="120">
        <f t="shared" si="1342"/>
        <v>150.15</v>
      </c>
      <c r="N4543" s="120">
        <f t="shared" si="1342"/>
        <v>150.15</v>
      </c>
      <c r="P4543" s="76">
        <f>SUM(D4543:K4543)</f>
        <v>488.12400000000014</v>
      </c>
    </row>
    <row r="4544" spans="1:16" x14ac:dyDescent="0.3">
      <c r="A4544" s="177" t="s">
        <v>1944</v>
      </c>
      <c r="B4544" s="85"/>
      <c r="C4544" s="120">
        <f t="shared" ref="C4544:N4544" si="1343">+C4506</f>
        <v>50</v>
      </c>
      <c r="D4544" s="120">
        <f t="shared" si="1343"/>
        <v>272.25</v>
      </c>
      <c r="E4544" s="120">
        <f t="shared" si="1343"/>
        <v>637.02049843145119</v>
      </c>
      <c r="F4544" s="120">
        <f t="shared" si="1343"/>
        <v>838.28865409543857</v>
      </c>
      <c r="G4544" s="120">
        <f t="shared" si="1343"/>
        <v>967.50470476617795</v>
      </c>
      <c r="H4544" s="120">
        <f t="shared" si="1343"/>
        <v>1119.8984898305766</v>
      </c>
      <c r="I4544" s="120">
        <f t="shared" si="1343"/>
        <v>1444.4129565912824</v>
      </c>
      <c r="J4544" s="120">
        <f t="shared" si="1343"/>
        <v>1691.5236472215088</v>
      </c>
      <c r="K4544" s="120">
        <f t="shared" si="1343"/>
        <v>1919.3444831464617</v>
      </c>
      <c r="L4544" s="120">
        <f t="shared" si="1343"/>
        <v>0</v>
      </c>
      <c r="M4544" s="120">
        <f t="shared" si="1343"/>
        <v>0</v>
      </c>
      <c r="N4544" s="120">
        <f t="shared" si="1343"/>
        <v>0</v>
      </c>
      <c r="P4544" s="76">
        <f>SUM(D4544:K4544)</f>
        <v>8890.2434340828968</v>
      </c>
    </row>
    <row r="4545" spans="1:18" x14ac:dyDescent="0.3">
      <c r="A4545" s="298" t="s">
        <v>2218</v>
      </c>
      <c r="B4545" s="85"/>
      <c r="C4545" s="120"/>
      <c r="D4545" s="1800" t="e">
        <f>+SUM(D4539:D4541)-SUM(D4542:D4544)</f>
        <v>#REF!</v>
      </c>
      <c r="E4545" s="1800" t="e">
        <f>+SUM(E4539:E4541)-SUM(E4542:E4544)</f>
        <v>#REF!</v>
      </c>
      <c r="F4545" s="1800" t="e">
        <f t="shared" ref="F4545:P4545" si="1344">+SUM(F4539:F4541)-SUM(F4542:F4544)</f>
        <v>#REF!</v>
      </c>
      <c r="G4545" s="1800" t="e">
        <f t="shared" si="1344"/>
        <v>#REF!</v>
      </c>
      <c r="H4545" s="1800" t="e">
        <f t="shared" si="1344"/>
        <v>#REF!</v>
      </c>
      <c r="I4545" s="1800" t="e">
        <f t="shared" si="1344"/>
        <v>#REF!</v>
      </c>
      <c r="J4545" s="1800" t="e">
        <f t="shared" si="1344"/>
        <v>#REF!</v>
      </c>
      <c r="K4545" s="1800" t="e">
        <f t="shared" si="1344"/>
        <v>#REF!</v>
      </c>
      <c r="L4545" s="1800" t="e">
        <f t="shared" si="1344"/>
        <v>#REF!</v>
      </c>
      <c r="M4545" s="1800" t="e">
        <f t="shared" si="1344"/>
        <v>#REF!</v>
      </c>
      <c r="N4545" s="1800" t="e">
        <f t="shared" si="1344"/>
        <v>#REF!</v>
      </c>
      <c r="P4545" s="1800" t="e">
        <f t="shared" si="1344"/>
        <v>#REF!</v>
      </c>
    </row>
    <row r="4546" spans="1:18" x14ac:dyDescent="0.3">
      <c r="A4546" s="177" t="s">
        <v>2219</v>
      </c>
      <c r="B4546" s="85"/>
      <c r="C4546" s="120"/>
      <c r="D4546" s="120" t="e">
        <f>+IF(D4545&gt;0,0,D4545*-1)</f>
        <v>#REF!</v>
      </c>
      <c r="E4546" s="120" t="e">
        <f>+IF(E4545&gt;0,0,E4545*-1)</f>
        <v>#REF!</v>
      </c>
      <c r="F4546" s="120" t="e">
        <f t="shared" ref="F4546:N4546" si="1345">+IF(F4545&gt;0,0,F4545*-1)</f>
        <v>#REF!</v>
      </c>
      <c r="G4546" s="120" t="e">
        <f t="shared" si="1345"/>
        <v>#REF!</v>
      </c>
      <c r="H4546" s="120" t="e">
        <f t="shared" si="1345"/>
        <v>#REF!</v>
      </c>
      <c r="I4546" s="120" t="e">
        <f t="shared" si="1345"/>
        <v>#REF!</v>
      </c>
      <c r="J4546" s="120" t="e">
        <f t="shared" si="1345"/>
        <v>#REF!</v>
      </c>
      <c r="K4546" s="120" t="e">
        <f t="shared" si="1345"/>
        <v>#REF!</v>
      </c>
      <c r="L4546" s="120" t="e">
        <f t="shared" si="1345"/>
        <v>#REF!</v>
      </c>
      <c r="M4546" s="120" t="e">
        <f t="shared" si="1345"/>
        <v>#REF!</v>
      </c>
      <c r="N4546" s="120" t="e">
        <f t="shared" si="1345"/>
        <v>#REF!</v>
      </c>
    </row>
    <row r="4547" spans="1:18" x14ac:dyDescent="0.3">
      <c r="A4547" s="298" t="s">
        <v>2148</v>
      </c>
      <c r="B4547" s="85"/>
      <c r="C4547" s="120"/>
      <c r="D4547" s="519" t="e">
        <f>+D4545+D4546</f>
        <v>#REF!</v>
      </c>
      <c r="E4547" s="519" t="e">
        <f>+E4545+E4546</f>
        <v>#REF!</v>
      </c>
      <c r="F4547" s="519" t="e">
        <f t="shared" ref="F4547:N4547" si="1346">+F4545+F4546</f>
        <v>#REF!</v>
      </c>
      <c r="G4547" s="519" t="e">
        <f t="shared" si="1346"/>
        <v>#REF!</v>
      </c>
      <c r="H4547" s="519" t="e">
        <f t="shared" si="1346"/>
        <v>#REF!</v>
      </c>
      <c r="I4547" s="519" t="e">
        <f t="shared" si="1346"/>
        <v>#REF!</v>
      </c>
      <c r="J4547" s="519" t="e">
        <f t="shared" si="1346"/>
        <v>#REF!</v>
      </c>
      <c r="K4547" s="519" t="e">
        <f t="shared" si="1346"/>
        <v>#REF!</v>
      </c>
      <c r="L4547" s="519" t="e">
        <f t="shared" si="1346"/>
        <v>#REF!</v>
      </c>
      <c r="M4547" s="519" t="e">
        <f t="shared" si="1346"/>
        <v>#REF!</v>
      </c>
      <c r="N4547" s="519" t="e">
        <f t="shared" si="1346"/>
        <v>#REF!</v>
      </c>
    </row>
    <row r="4548" spans="1:18" x14ac:dyDescent="0.3">
      <c r="A4548" s="177"/>
      <c r="B4548" s="85"/>
      <c r="C4548" s="76"/>
      <c r="D4548" s="76"/>
      <c r="E4548" s="76"/>
      <c r="F4548" s="76"/>
      <c r="G4548" s="76"/>
      <c r="H4548" s="76"/>
      <c r="I4548" s="76"/>
      <c r="J4548" s="76"/>
      <c r="K4548" s="76"/>
      <c r="L4548" s="76"/>
      <c r="M4548" s="76"/>
      <c r="N4548" s="76"/>
    </row>
    <row r="4549" spans="1:18" x14ac:dyDescent="0.3">
      <c r="A4549" s="472" t="s">
        <v>201</v>
      </c>
      <c r="B4549" s="85"/>
      <c r="C4549" s="76"/>
      <c r="D4549" s="76"/>
      <c r="E4549" s="76"/>
      <c r="F4549" s="76"/>
      <c r="G4549" s="76"/>
      <c r="H4549" s="76"/>
      <c r="I4549" s="76"/>
      <c r="J4549" s="76"/>
      <c r="K4549" s="76"/>
      <c r="L4549" s="76"/>
      <c r="M4549" s="76"/>
      <c r="N4549" s="76"/>
    </row>
    <row r="4550" spans="1:18" x14ac:dyDescent="0.3">
      <c r="A4550" s="177" t="s">
        <v>2220</v>
      </c>
      <c r="B4550" s="85"/>
      <c r="C4550" s="76">
        <f>+C4361</f>
        <v>6029</v>
      </c>
      <c r="D4550" s="95">
        <f>+C4550</f>
        <v>6029</v>
      </c>
      <c r="E4550" s="95">
        <f t="shared" ref="E4550:N4550" si="1347">+D4550</f>
        <v>6029</v>
      </c>
      <c r="F4550" s="95">
        <f t="shared" si="1347"/>
        <v>6029</v>
      </c>
      <c r="G4550" s="95">
        <f t="shared" si="1347"/>
        <v>6029</v>
      </c>
      <c r="H4550" s="95">
        <f t="shared" si="1347"/>
        <v>6029</v>
      </c>
      <c r="I4550" s="95">
        <f t="shared" si="1347"/>
        <v>6029</v>
      </c>
      <c r="J4550" s="95">
        <f t="shared" si="1347"/>
        <v>6029</v>
      </c>
      <c r="K4550" s="95">
        <f t="shared" si="1347"/>
        <v>6029</v>
      </c>
      <c r="L4550" s="95">
        <f t="shared" si="1347"/>
        <v>6029</v>
      </c>
      <c r="M4550" s="95">
        <f t="shared" si="1347"/>
        <v>6029</v>
      </c>
      <c r="N4550" s="95">
        <f t="shared" si="1347"/>
        <v>6029</v>
      </c>
    </row>
    <row r="4551" spans="1:18" x14ac:dyDescent="0.3">
      <c r="A4551" s="177" t="s">
        <v>2221</v>
      </c>
      <c r="B4551" s="85"/>
      <c r="C4551" s="95">
        <v>0</v>
      </c>
      <c r="D4551" s="76" t="e">
        <f>+C4551+D4546</f>
        <v>#REF!</v>
      </c>
      <c r="E4551" s="76" t="e">
        <f t="shared" ref="E4551:N4551" si="1348">+D4551+E4546</f>
        <v>#REF!</v>
      </c>
      <c r="F4551" s="76" t="e">
        <f t="shared" si="1348"/>
        <v>#REF!</v>
      </c>
      <c r="G4551" s="76" t="e">
        <f t="shared" si="1348"/>
        <v>#REF!</v>
      </c>
      <c r="H4551" s="76" t="e">
        <f t="shared" si="1348"/>
        <v>#REF!</v>
      </c>
      <c r="I4551" s="76" t="e">
        <f t="shared" si="1348"/>
        <v>#REF!</v>
      </c>
      <c r="J4551" s="76" t="e">
        <f t="shared" si="1348"/>
        <v>#REF!</v>
      </c>
      <c r="K4551" s="76" t="e">
        <f t="shared" si="1348"/>
        <v>#REF!</v>
      </c>
      <c r="L4551" s="76" t="e">
        <f t="shared" si="1348"/>
        <v>#REF!</v>
      </c>
      <c r="M4551" s="76" t="e">
        <f t="shared" si="1348"/>
        <v>#REF!</v>
      </c>
      <c r="N4551" s="76" t="e">
        <f t="shared" si="1348"/>
        <v>#REF!</v>
      </c>
    </row>
    <row r="4552" spans="1:18" x14ac:dyDescent="0.3">
      <c r="A4552" s="177" t="s">
        <v>2222</v>
      </c>
      <c r="B4552" s="85"/>
      <c r="C4552" s="76"/>
      <c r="D4552" s="76"/>
      <c r="E4552" s="76"/>
      <c r="F4552" s="76"/>
      <c r="G4552" s="76"/>
      <c r="H4552" s="76"/>
      <c r="I4552" s="76"/>
      <c r="J4552" s="76"/>
      <c r="K4552" s="76"/>
      <c r="L4552" s="76" t="e">
        <f>+L4547*-1</f>
        <v>#REF!</v>
      </c>
      <c r="M4552" s="76" t="e">
        <f>+M4547*-1</f>
        <v>#REF!</v>
      </c>
      <c r="N4552" s="76" t="e">
        <f>+N4547*-1</f>
        <v>#REF!</v>
      </c>
    </row>
    <row r="4553" spans="1:18" x14ac:dyDescent="0.3">
      <c r="A4553" s="298" t="s">
        <v>2223</v>
      </c>
      <c r="B4553" s="85"/>
      <c r="C4553" s="803">
        <f>+SUM(C4550:C4552)</f>
        <v>6029</v>
      </c>
      <c r="D4553" s="803" t="e">
        <f t="shared" ref="D4553:N4553" si="1349">+SUM(D4550:D4552)</f>
        <v>#REF!</v>
      </c>
      <c r="E4553" s="803" t="e">
        <f t="shared" si="1349"/>
        <v>#REF!</v>
      </c>
      <c r="F4553" s="803" t="e">
        <f t="shared" si="1349"/>
        <v>#REF!</v>
      </c>
      <c r="G4553" s="803" t="e">
        <f t="shared" si="1349"/>
        <v>#REF!</v>
      </c>
      <c r="H4553" s="803" t="e">
        <f t="shared" si="1349"/>
        <v>#REF!</v>
      </c>
      <c r="I4553" s="803" t="e">
        <f t="shared" si="1349"/>
        <v>#REF!</v>
      </c>
      <c r="J4553" s="803" t="e">
        <f t="shared" si="1349"/>
        <v>#REF!</v>
      </c>
      <c r="K4553" s="803" t="e">
        <f t="shared" si="1349"/>
        <v>#REF!</v>
      </c>
      <c r="L4553" s="803" t="e">
        <f t="shared" si="1349"/>
        <v>#REF!</v>
      </c>
      <c r="M4553" s="803" t="e">
        <f t="shared" si="1349"/>
        <v>#REF!</v>
      </c>
      <c r="N4553" s="803" t="e">
        <f t="shared" si="1349"/>
        <v>#REF!</v>
      </c>
      <c r="O4553" s="76"/>
      <c r="R4553" s="76"/>
    </row>
    <row r="4554" spans="1:18" x14ac:dyDescent="0.3">
      <c r="A4554" s="298"/>
      <c r="B4554" s="85"/>
      <c r="E4554" s="85"/>
      <c r="F4554" s="85"/>
      <c r="G4554" s="85"/>
      <c r="H4554" s="85"/>
      <c r="I4554" s="85"/>
      <c r="J4554" s="85"/>
      <c r="K4554" s="85"/>
      <c r="L4554" s="85"/>
      <c r="M4554" s="85"/>
      <c r="N4554" s="85"/>
      <c r="R4554" s="76"/>
    </row>
    <row r="4555" spans="1:18" x14ac:dyDescent="0.3">
      <c r="A4555" s="177" t="s">
        <v>2224</v>
      </c>
      <c r="B4555" s="85"/>
      <c r="C4555" s="76">
        <f t="shared" ref="C4555:N4555" si="1350">+C4551</f>
        <v>0</v>
      </c>
      <c r="D4555" s="76" t="e">
        <f t="shared" si="1350"/>
        <v>#REF!</v>
      </c>
      <c r="E4555" s="76" t="e">
        <f t="shared" si="1350"/>
        <v>#REF!</v>
      </c>
      <c r="F4555" s="76" t="e">
        <f t="shared" si="1350"/>
        <v>#REF!</v>
      </c>
      <c r="G4555" s="76" t="e">
        <f t="shared" si="1350"/>
        <v>#REF!</v>
      </c>
      <c r="H4555" s="76" t="e">
        <f t="shared" si="1350"/>
        <v>#REF!</v>
      </c>
      <c r="I4555" s="76" t="e">
        <f t="shared" si="1350"/>
        <v>#REF!</v>
      </c>
      <c r="J4555" s="76" t="e">
        <f t="shared" si="1350"/>
        <v>#REF!</v>
      </c>
      <c r="K4555" s="76" t="e">
        <f t="shared" si="1350"/>
        <v>#REF!</v>
      </c>
      <c r="L4555" s="76" t="e">
        <f t="shared" si="1350"/>
        <v>#REF!</v>
      </c>
      <c r="M4555" s="76" t="e">
        <f t="shared" si="1350"/>
        <v>#REF!</v>
      </c>
      <c r="N4555" s="76" t="e">
        <f t="shared" si="1350"/>
        <v>#REF!</v>
      </c>
      <c r="R4555" s="76"/>
    </row>
    <row r="4556" spans="1:18" x14ac:dyDescent="0.3">
      <c r="A4556" s="177" t="s">
        <v>2225</v>
      </c>
      <c r="B4556" s="85"/>
      <c r="C4556" s="476">
        <f>+'Model Main'!EG203</f>
        <v>5.1307632010261527E-2</v>
      </c>
      <c r="D4556" s="99">
        <f>+C4556</f>
        <v>5.1307632010261527E-2</v>
      </c>
      <c r="E4556" s="99">
        <f t="shared" ref="E4556:N4556" si="1351">+D4556</f>
        <v>5.1307632010261527E-2</v>
      </c>
      <c r="F4556" s="99">
        <f t="shared" si="1351"/>
        <v>5.1307632010261527E-2</v>
      </c>
      <c r="G4556" s="99">
        <f t="shared" si="1351"/>
        <v>5.1307632010261527E-2</v>
      </c>
      <c r="H4556" s="99">
        <f t="shared" si="1351"/>
        <v>5.1307632010261527E-2</v>
      </c>
      <c r="I4556" s="99">
        <f t="shared" si="1351"/>
        <v>5.1307632010261527E-2</v>
      </c>
      <c r="J4556" s="99">
        <f t="shared" si="1351"/>
        <v>5.1307632010261527E-2</v>
      </c>
      <c r="K4556" s="99">
        <f t="shared" si="1351"/>
        <v>5.1307632010261527E-2</v>
      </c>
      <c r="L4556" s="99">
        <f t="shared" si="1351"/>
        <v>5.1307632010261527E-2</v>
      </c>
      <c r="M4556" s="99">
        <f t="shared" si="1351"/>
        <v>5.1307632010261527E-2</v>
      </c>
      <c r="N4556" s="99">
        <f t="shared" si="1351"/>
        <v>5.1307632010261527E-2</v>
      </c>
      <c r="R4556" s="76"/>
    </row>
    <row r="4557" spans="1:18" x14ac:dyDescent="0.3">
      <c r="A4557" s="298" t="s">
        <v>2226</v>
      </c>
      <c r="B4557" s="85"/>
      <c r="C4557" s="381">
        <f>+C4555/2*C4556</f>
        <v>0</v>
      </c>
      <c r="D4557" s="381" t="e">
        <f>+AVERAGE(C4555:D4555)*D4556</f>
        <v>#REF!</v>
      </c>
      <c r="E4557" s="381" t="e">
        <f t="shared" ref="E4557:N4557" si="1352">+AVERAGE(D4555:E4555)*E4556</f>
        <v>#REF!</v>
      </c>
      <c r="F4557" s="381" t="e">
        <f t="shared" si="1352"/>
        <v>#REF!</v>
      </c>
      <c r="G4557" s="381" t="e">
        <f t="shared" si="1352"/>
        <v>#REF!</v>
      </c>
      <c r="H4557" s="381" t="e">
        <f t="shared" si="1352"/>
        <v>#REF!</v>
      </c>
      <c r="I4557" s="381" t="e">
        <f t="shared" si="1352"/>
        <v>#REF!</v>
      </c>
      <c r="J4557" s="381" t="e">
        <f t="shared" si="1352"/>
        <v>#REF!</v>
      </c>
      <c r="K4557" s="381" t="e">
        <f t="shared" si="1352"/>
        <v>#REF!</v>
      </c>
      <c r="L4557" s="381" t="e">
        <f t="shared" si="1352"/>
        <v>#REF!</v>
      </c>
      <c r="M4557" s="381" t="e">
        <f t="shared" si="1352"/>
        <v>#REF!</v>
      </c>
      <c r="N4557" s="381" t="e">
        <f t="shared" si="1352"/>
        <v>#REF!</v>
      </c>
    </row>
    <row r="4558" spans="1:18" x14ac:dyDescent="0.3">
      <c r="A4558" s="298"/>
      <c r="B4558" s="85"/>
      <c r="C4558" s="85"/>
      <c r="D4558" s="85"/>
      <c r="E4558" s="85"/>
      <c r="F4558" s="85"/>
      <c r="G4558" s="85"/>
      <c r="H4558" s="85"/>
      <c r="I4558" s="85"/>
      <c r="J4558" s="85"/>
      <c r="K4558" s="85"/>
      <c r="L4558" s="85"/>
      <c r="M4558" s="85"/>
      <c r="N4558" s="85"/>
    </row>
    <row r="4559" spans="1:18" x14ac:dyDescent="0.3">
      <c r="A4559" s="177" t="s">
        <v>2227</v>
      </c>
      <c r="B4559" s="85"/>
      <c r="C4559" s="459" t="e">
        <f t="shared" ref="C4559:N4559" si="1353">+C4550/C4495</f>
        <v>#REF!</v>
      </c>
      <c r="D4559" s="459" t="e">
        <f t="shared" si="1353"/>
        <v>#REF!</v>
      </c>
      <c r="E4559" s="459" t="e">
        <f t="shared" si="1353"/>
        <v>#REF!</v>
      </c>
      <c r="F4559" s="459" t="e">
        <f t="shared" si="1353"/>
        <v>#REF!</v>
      </c>
      <c r="G4559" s="459" t="e">
        <f t="shared" si="1353"/>
        <v>#REF!</v>
      </c>
      <c r="H4559" s="459" t="e">
        <f t="shared" si="1353"/>
        <v>#REF!</v>
      </c>
      <c r="I4559" s="459" t="e">
        <f t="shared" si="1353"/>
        <v>#REF!</v>
      </c>
      <c r="J4559" s="459" t="e">
        <f t="shared" si="1353"/>
        <v>#REF!</v>
      </c>
      <c r="K4559" s="459" t="e">
        <f t="shared" si="1353"/>
        <v>#REF!</v>
      </c>
      <c r="L4559" s="459" t="e">
        <f t="shared" si="1353"/>
        <v>#REF!</v>
      </c>
      <c r="M4559" s="459" t="e">
        <f t="shared" si="1353"/>
        <v>#REF!</v>
      </c>
      <c r="N4559" s="459" t="e">
        <f t="shared" si="1353"/>
        <v>#REF!</v>
      </c>
    </row>
    <row r="4560" spans="1:18" x14ac:dyDescent="0.3">
      <c r="A4560" s="177" t="s">
        <v>2228</v>
      </c>
      <c r="B4560" s="85"/>
      <c r="C4560" s="459" t="e">
        <f>+C4561-C4559</f>
        <v>#REF!</v>
      </c>
      <c r="D4560" s="459" t="e">
        <f>+D4561-D4559</f>
        <v>#REF!</v>
      </c>
      <c r="E4560" s="459" t="e">
        <f>+E4561-E4559</f>
        <v>#REF!</v>
      </c>
      <c r="F4560" s="459" t="e">
        <f>+F4561-F4559</f>
        <v>#REF!</v>
      </c>
      <c r="G4560" s="459" t="e">
        <f>+G4561-G4559</f>
        <v>#REF!</v>
      </c>
      <c r="H4560" s="459" t="e">
        <f t="shared" ref="H4560:N4560" si="1354">+H4561-H4559</f>
        <v>#REF!</v>
      </c>
      <c r="I4560" s="459" t="e">
        <f t="shared" si="1354"/>
        <v>#REF!</v>
      </c>
      <c r="J4560" s="459" t="e">
        <f t="shared" si="1354"/>
        <v>#REF!</v>
      </c>
      <c r="K4560" s="459" t="e">
        <f t="shared" si="1354"/>
        <v>#REF!</v>
      </c>
      <c r="L4560" s="459" t="e">
        <f t="shared" si="1354"/>
        <v>#REF!</v>
      </c>
      <c r="M4560" s="459" t="e">
        <f t="shared" si="1354"/>
        <v>#REF!</v>
      </c>
      <c r="N4560" s="459" t="e">
        <f t="shared" si="1354"/>
        <v>#REF!</v>
      </c>
      <c r="Q4560" s="74"/>
    </row>
    <row r="4561" spans="1:22" x14ac:dyDescent="0.3">
      <c r="A4561" s="298" t="s">
        <v>2229</v>
      </c>
      <c r="B4561" s="85"/>
      <c r="C4561" s="470" t="e">
        <f>+C4559</f>
        <v>#REF!</v>
      </c>
      <c r="D4561" s="470" t="e">
        <f t="shared" ref="D4561:N4561" si="1355">+D4553/D4497</f>
        <v>#REF!</v>
      </c>
      <c r="E4561" s="470" t="e">
        <f t="shared" si="1355"/>
        <v>#REF!</v>
      </c>
      <c r="F4561" s="470" t="e">
        <f t="shared" si="1355"/>
        <v>#REF!</v>
      </c>
      <c r="G4561" s="470" t="e">
        <f t="shared" si="1355"/>
        <v>#REF!</v>
      </c>
      <c r="H4561" s="470" t="e">
        <f t="shared" si="1355"/>
        <v>#REF!</v>
      </c>
      <c r="I4561" s="470" t="e">
        <f t="shared" si="1355"/>
        <v>#REF!</v>
      </c>
      <c r="J4561" s="470" t="e">
        <f t="shared" si="1355"/>
        <v>#REF!</v>
      </c>
      <c r="K4561" s="470" t="e">
        <f t="shared" si="1355"/>
        <v>#REF!</v>
      </c>
      <c r="L4561" s="470" t="e">
        <f t="shared" si="1355"/>
        <v>#REF!</v>
      </c>
      <c r="M4561" s="470" t="e">
        <f t="shared" si="1355"/>
        <v>#REF!</v>
      </c>
      <c r="N4561" s="470" t="e">
        <f t="shared" si="1355"/>
        <v>#REF!</v>
      </c>
      <c r="T4561" s="76"/>
      <c r="U4561" s="76"/>
    </row>
    <row r="4562" spans="1:22" x14ac:dyDescent="0.3">
      <c r="B4562" s="85"/>
      <c r="C4562" s="85"/>
      <c r="D4562" s="85"/>
      <c r="E4562" s="85"/>
      <c r="F4562" s="85"/>
      <c r="G4562" s="85"/>
      <c r="H4562" s="85"/>
      <c r="I4562" s="85"/>
      <c r="J4562" s="85"/>
      <c r="K4562" s="85"/>
      <c r="L4562" s="85"/>
      <c r="M4562" s="85"/>
      <c r="N4562" s="85"/>
      <c r="O4562" s="85"/>
      <c r="S4562" s="76"/>
      <c r="T4562" s="76"/>
      <c r="U4562" s="76"/>
      <c r="V4562" s="76"/>
    </row>
    <row r="4563" spans="1:22" x14ac:dyDescent="0.3">
      <c r="A4563" s="141" t="s">
        <v>2230</v>
      </c>
      <c r="P4563" s="85"/>
    </row>
    <row r="4564" spans="1:22" x14ac:dyDescent="0.3">
      <c r="A4564" t="s">
        <v>2231</v>
      </c>
      <c r="B4564" s="90"/>
      <c r="C4564" s="120">
        <f t="shared" ref="C4564:N4564" si="1356">+C4503</f>
        <v>85</v>
      </c>
      <c r="D4564" s="120">
        <f t="shared" si="1356"/>
        <v>580</v>
      </c>
      <c r="E4564" s="120">
        <f t="shared" si="1356"/>
        <v>1580</v>
      </c>
      <c r="F4564" s="120">
        <f t="shared" si="1356"/>
        <v>2691.666666666667</v>
      </c>
      <c r="G4564" s="120">
        <f t="shared" si="1356"/>
        <v>3803.3333333333335</v>
      </c>
      <c r="H4564" s="120">
        <f t="shared" si="1356"/>
        <v>4915</v>
      </c>
      <c r="I4564" s="120">
        <f t="shared" si="1356"/>
        <v>6026.666666666667</v>
      </c>
      <c r="J4564" s="120">
        <f t="shared" si="1356"/>
        <v>7138.3333333333339</v>
      </c>
      <c r="K4564" s="120">
        <f t="shared" si="1356"/>
        <v>8250</v>
      </c>
      <c r="L4564" s="120">
        <f t="shared" si="1356"/>
        <v>8250</v>
      </c>
      <c r="M4564" s="120">
        <f t="shared" si="1356"/>
        <v>8250</v>
      </c>
      <c r="N4564" s="120">
        <f t="shared" si="1356"/>
        <v>8250</v>
      </c>
      <c r="O4564" s="120"/>
      <c r="P4564" s="120"/>
      <c r="U4564" s="76"/>
    </row>
    <row r="4565" spans="1:22" x14ac:dyDescent="0.3">
      <c r="A4565" s="177" t="s">
        <v>1292</v>
      </c>
      <c r="B4565" s="90"/>
      <c r="C4565" s="476">
        <f t="shared" ref="C4565:N4565" si="1357">+C4682</f>
        <v>0.06</v>
      </c>
      <c r="D4565" s="476">
        <f t="shared" si="1357"/>
        <v>7.7586206896551727E-2</v>
      </c>
      <c r="E4565" s="476">
        <f t="shared" si="1357"/>
        <v>0.10921518987341772</v>
      </c>
      <c r="F4565" s="476">
        <f t="shared" si="1357"/>
        <v>0.15355095975232197</v>
      </c>
      <c r="G4565" s="476">
        <f t="shared" si="1357"/>
        <v>0.1977625241016652</v>
      </c>
      <c r="H4565" s="476">
        <f t="shared" si="1357"/>
        <v>0.23740948118006105</v>
      </c>
      <c r="I4565" s="476">
        <f t="shared" si="1357"/>
        <v>0.27134336283185839</v>
      </c>
      <c r="J4565" s="476">
        <f t="shared" si="1357"/>
        <v>0.2985164043894466</v>
      </c>
      <c r="K4565" s="476">
        <f t="shared" si="1357"/>
        <v>0.31892843636363638</v>
      </c>
      <c r="L4565" s="476">
        <f t="shared" si="1357"/>
        <v>0.37147995151515151</v>
      </c>
      <c r="M4565" s="476">
        <f t="shared" si="1357"/>
        <v>0.40786176969696969</v>
      </c>
      <c r="N4565" s="476">
        <f t="shared" si="1357"/>
        <v>0.43130783030303033</v>
      </c>
      <c r="P4565" s="476"/>
      <c r="U4565" s="76"/>
      <c r="V4565" s="108"/>
    </row>
    <row r="4566" spans="1:22" x14ac:dyDescent="0.3">
      <c r="A4566" s="468" t="s">
        <v>2232</v>
      </c>
      <c r="B4566" s="90"/>
      <c r="C4566" s="803">
        <f>+C4564*C4565</f>
        <v>5.0999999999999996</v>
      </c>
      <c r="D4566" s="803">
        <f>+D4564*D4565</f>
        <v>45</v>
      </c>
      <c r="E4566" s="803">
        <f t="shared" ref="E4566:M4566" si="1358">+E4564*E4565</f>
        <v>172.56</v>
      </c>
      <c r="F4566" s="803">
        <f t="shared" si="1358"/>
        <v>413.30799999999999</v>
      </c>
      <c r="G4566" s="803">
        <f t="shared" si="1358"/>
        <v>752.15679999999998</v>
      </c>
      <c r="H4566" s="803">
        <f t="shared" si="1358"/>
        <v>1166.8676</v>
      </c>
      <c r="I4566" s="803">
        <f t="shared" si="1358"/>
        <v>1635.296</v>
      </c>
      <c r="J4566" s="803">
        <f t="shared" si="1358"/>
        <v>2130.9096</v>
      </c>
      <c r="K4566" s="803">
        <f>+K$4564*K4565</f>
        <v>2631.1596</v>
      </c>
      <c r="L4566" s="803">
        <f t="shared" si="1358"/>
        <v>3064.7096000000001</v>
      </c>
      <c r="M4566" s="803">
        <f t="shared" si="1358"/>
        <v>3364.8595999999998</v>
      </c>
      <c r="N4566" s="803">
        <f>+N4564*N4565</f>
        <v>3558.2896000000001</v>
      </c>
      <c r="V4566" s="108"/>
    </row>
    <row r="4567" spans="1:22" x14ac:dyDescent="0.3">
      <c r="A4567" s="467" t="s">
        <v>213</v>
      </c>
      <c r="B4567" s="90"/>
      <c r="C4567" s="596">
        <f>+Drivers!EB$186</f>
        <v>57.58</v>
      </c>
      <c r="D4567" s="737">
        <f>+Drivers!EI$186</f>
        <v>62.353966228156288</v>
      </c>
      <c r="E4567" s="737">
        <f>+Drivers!EN$186</f>
        <v>62.387109881559596</v>
      </c>
      <c r="F4567" s="737">
        <f>+Drivers!ES$186</f>
        <v>63.39</v>
      </c>
      <c r="G4567" s="737">
        <f>+Drivers!EX$186</f>
        <v>65.484330723001278</v>
      </c>
      <c r="H4567" s="737">
        <f>+Drivers!FC$186</f>
        <v>67.776246846721165</v>
      </c>
      <c r="I4567" s="737">
        <f>+Drivers!FD$186</f>
        <v>70.148378793984961</v>
      </c>
      <c r="J4567" s="737">
        <f>+Drivers!FE$186</f>
        <v>72.603534075189856</v>
      </c>
      <c r="K4567" s="737">
        <f>+Drivers!FF$186</f>
        <v>75.14461846207702</v>
      </c>
      <c r="L4567" s="737">
        <f>+Drivers!FG$186</f>
        <v>77.774639426825459</v>
      </c>
      <c r="M4567" s="737">
        <f>+Drivers!FH$186</f>
        <v>80.496709701512259</v>
      </c>
      <c r="N4567" s="737">
        <f>+Drivers!FI$186</f>
        <v>83.314050962152066</v>
      </c>
      <c r="V4567" s="108"/>
    </row>
    <row r="4568" spans="1:22" x14ac:dyDescent="0.3">
      <c r="A4568" s="468" t="s">
        <v>214</v>
      </c>
      <c r="B4568" s="90"/>
      <c r="C4568" s="85">
        <f>+C4566/2*C4567*12/1000</f>
        <v>1.7619479999999998</v>
      </c>
      <c r="D4568" s="803">
        <f t="shared" ref="D4568:N4568" si="1359">+AVERAGE(C4566:D4566)*D4567*12/1000</f>
        <v>18.74360224818378</v>
      </c>
      <c r="E4568" s="803">
        <f t="shared" si="1359"/>
        <v>81.437637754992636</v>
      </c>
      <c r="F4568" s="803">
        <f t="shared" si="1359"/>
        <v>222.82903511999996</v>
      </c>
      <c r="G4568" s="803">
        <f t="shared" si="1359"/>
        <v>457.91809445529918</v>
      </c>
      <c r="H4568" s="803">
        <f t="shared" si="1359"/>
        <v>780.38562863568586</v>
      </c>
      <c r="I4568" s="803">
        <f>+AVERAGE(H4566:I4566)*I4567*12/1000</f>
        <v>1179.4034019330993</v>
      </c>
      <c r="J4568" s="803">
        <f t="shared" si="1359"/>
        <v>1640.6390196826253</v>
      </c>
      <c r="K4568" s="803">
        <f>+AVERAGE(J4566:K4566)*K4567*12/1000</f>
        <v>2147.0632387440501</v>
      </c>
      <c r="L4568" s="803">
        <f t="shared" si="1359"/>
        <v>2657.9650395141643</v>
      </c>
      <c r="M4568" s="803">
        <f t="shared" si="1359"/>
        <v>3105.354992389106</v>
      </c>
      <c r="N4568" s="803">
        <f t="shared" si="1359"/>
        <v>3460.7736316042942</v>
      </c>
      <c r="O4568" s="85"/>
      <c r="V4568" s="108"/>
    </row>
    <row r="4569" spans="1:22" x14ac:dyDescent="0.3">
      <c r="A4569" s="468"/>
      <c r="B4569" s="90"/>
      <c r="C4569" s="85"/>
      <c r="D4569" s="85"/>
      <c r="E4569" s="85"/>
      <c r="F4569" s="85"/>
      <c r="G4569" s="85"/>
      <c r="H4569" s="85"/>
      <c r="I4569" s="85"/>
      <c r="J4569" s="85"/>
      <c r="K4569" s="85"/>
      <c r="L4569" s="85"/>
      <c r="M4569" s="85"/>
      <c r="N4569" s="85"/>
      <c r="O4569" s="85"/>
      <c r="V4569" s="108"/>
    </row>
    <row r="4570" spans="1:22" x14ac:dyDescent="0.3">
      <c r="A4570" s="467" t="s">
        <v>1119</v>
      </c>
      <c r="B4570" s="90"/>
      <c r="C4570" s="76">
        <f>+C4566/2</f>
        <v>2.5499999999999998</v>
      </c>
      <c r="D4570" s="76">
        <f>+AVERAGE(C4566:D4566)</f>
        <v>25.05</v>
      </c>
      <c r="E4570" s="76">
        <f t="shared" ref="E4570:N4570" si="1360">+AVERAGE(D4566:E4566)</f>
        <v>108.78</v>
      </c>
      <c r="F4570" s="76">
        <f t="shared" si="1360"/>
        <v>292.93399999999997</v>
      </c>
      <c r="G4570" s="76">
        <f t="shared" si="1360"/>
        <v>582.73239999999998</v>
      </c>
      <c r="H4570" s="76">
        <f t="shared" si="1360"/>
        <v>959.51220000000001</v>
      </c>
      <c r="I4570" s="76">
        <f t="shared" si="1360"/>
        <v>1401.0817999999999</v>
      </c>
      <c r="J4570" s="76">
        <f t="shared" si="1360"/>
        <v>1883.1028000000001</v>
      </c>
      <c r="K4570" s="76">
        <f t="shared" si="1360"/>
        <v>2381.0346</v>
      </c>
      <c r="L4570" s="76">
        <f t="shared" si="1360"/>
        <v>2847.9346</v>
      </c>
      <c r="M4570" s="76">
        <f t="shared" si="1360"/>
        <v>3214.7846</v>
      </c>
      <c r="N4570" s="76">
        <f t="shared" si="1360"/>
        <v>3461.5745999999999</v>
      </c>
      <c r="O4570" s="85"/>
      <c r="V4570" s="108"/>
    </row>
    <row r="4571" spans="1:22" x14ac:dyDescent="0.3">
      <c r="A4571" s="467" t="s">
        <v>2233</v>
      </c>
      <c r="B4571" s="90"/>
      <c r="C4571" s="469">
        <v>20</v>
      </c>
      <c r="D4571" s="469">
        <f>+C4571*1.02</f>
        <v>20.399999999999999</v>
      </c>
      <c r="E4571" s="469">
        <f t="shared" ref="E4571:N4571" si="1361">+D4571*1.02</f>
        <v>20.808</v>
      </c>
      <c r="F4571" s="469">
        <f t="shared" si="1361"/>
        <v>21.224160000000001</v>
      </c>
      <c r="G4571" s="469">
        <f t="shared" si="1361"/>
        <v>21.648643200000002</v>
      </c>
      <c r="H4571" s="469">
        <f t="shared" si="1361"/>
        <v>22.081616064000002</v>
      </c>
      <c r="I4571" s="469">
        <f t="shared" si="1361"/>
        <v>22.523248385280002</v>
      </c>
      <c r="J4571" s="469">
        <f t="shared" si="1361"/>
        <v>22.973713352985602</v>
      </c>
      <c r="K4571" s="469">
        <f t="shared" si="1361"/>
        <v>23.433187620045313</v>
      </c>
      <c r="L4571" s="469">
        <f t="shared" si="1361"/>
        <v>23.90185137244622</v>
      </c>
      <c r="M4571" s="469">
        <f t="shared" si="1361"/>
        <v>24.379888399895144</v>
      </c>
      <c r="N4571" s="469">
        <f t="shared" si="1361"/>
        <v>24.867486167893048</v>
      </c>
      <c r="O4571" s="85"/>
      <c r="V4571" s="108"/>
    </row>
    <row r="4572" spans="1:22" x14ac:dyDescent="0.3">
      <c r="A4572" s="468" t="s">
        <v>2234</v>
      </c>
      <c r="B4572" s="90"/>
      <c r="C4572" s="803">
        <f>+C4570*C4571*0.012</f>
        <v>0.61199999999999999</v>
      </c>
      <c r="D4572" s="803">
        <f>+D4570*D4571*0.012</f>
        <v>6.1322399999999995</v>
      </c>
      <c r="E4572" s="803">
        <f t="shared" ref="E4572:N4572" si="1362">+E4570*E4571*0.012</f>
        <v>27.16193088</v>
      </c>
      <c r="F4572" s="803">
        <f t="shared" si="1362"/>
        <v>74.607337025280003</v>
      </c>
      <c r="G4572" s="803">
        <f t="shared" si="1362"/>
        <v>151.38438970415618</v>
      </c>
      <c r="H4572" s="803">
        <f t="shared" si="1362"/>
        <v>254.25096010948781</v>
      </c>
      <c r="I4572" s="803">
        <f t="shared" si="1362"/>
        <v>378.68296067394238</v>
      </c>
      <c r="J4572" s="803">
        <f t="shared" si="1362"/>
        <v>519.1423672968549</v>
      </c>
      <c r="K4572" s="803">
        <f t="shared" si="1362"/>
        <v>669.54276613943455</v>
      </c>
      <c r="L4572" s="803">
        <f t="shared" si="1362"/>
        <v>816.8509143317649</v>
      </c>
      <c r="M4572" s="803">
        <f t="shared" si="1362"/>
        <v>940.51307733241856</v>
      </c>
      <c r="N4572" s="803">
        <f t="shared" si="1362"/>
        <v>1032.9679018155589</v>
      </c>
      <c r="O4572" s="85"/>
      <c r="V4572" s="108"/>
    </row>
    <row r="4573" spans="1:22" x14ac:dyDescent="0.3">
      <c r="A4573" s="468"/>
      <c r="B4573" s="90"/>
      <c r="C4573" s="85"/>
      <c r="D4573" s="85"/>
      <c r="E4573" s="85"/>
      <c r="F4573" s="85"/>
      <c r="G4573" s="85"/>
      <c r="H4573" s="85"/>
      <c r="I4573" s="85"/>
      <c r="J4573" s="85"/>
      <c r="K4573" s="85"/>
      <c r="L4573" s="85"/>
      <c r="M4573" s="85"/>
      <c r="N4573" s="85"/>
      <c r="O4573" s="85"/>
      <c r="V4573" s="108"/>
    </row>
    <row r="4574" spans="1:22" x14ac:dyDescent="0.3">
      <c r="A4574" s="467" t="s">
        <v>2235</v>
      </c>
      <c r="B4574" s="90"/>
      <c r="C4574" s="76">
        <f>+C4568</f>
        <v>1.7619479999999998</v>
      </c>
      <c r="D4574" s="76">
        <f t="shared" ref="D4574:N4574" si="1363">+D4568</f>
        <v>18.74360224818378</v>
      </c>
      <c r="E4574" s="76">
        <f t="shared" si="1363"/>
        <v>81.437637754992636</v>
      </c>
      <c r="F4574" s="76">
        <f t="shared" si="1363"/>
        <v>222.82903511999996</v>
      </c>
      <c r="G4574" s="76">
        <f t="shared" si="1363"/>
        <v>457.91809445529918</v>
      </c>
      <c r="H4574" s="76">
        <f t="shared" si="1363"/>
        <v>780.38562863568586</v>
      </c>
      <c r="I4574" s="76">
        <f t="shared" si="1363"/>
        <v>1179.4034019330993</v>
      </c>
      <c r="J4574" s="76">
        <f t="shared" si="1363"/>
        <v>1640.6390196826253</v>
      </c>
      <c r="K4574" s="76">
        <f t="shared" si="1363"/>
        <v>2147.0632387440501</v>
      </c>
      <c r="L4574" s="76">
        <f t="shared" si="1363"/>
        <v>2657.9650395141643</v>
      </c>
      <c r="M4574" s="76">
        <f t="shared" si="1363"/>
        <v>3105.354992389106</v>
      </c>
      <c r="N4574" s="76">
        <f t="shared" si="1363"/>
        <v>3460.7736316042942</v>
      </c>
      <c r="O4574" s="85"/>
      <c r="V4574" s="108"/>
    </row>
    <row r="4575" spans="1:22" x14ac:dyDescent="0.3">
      <c r="A4575" s="467" t="s">
        <v>599</v>
      </c>
      <c r="B4575" s="90"/>
      <c r="C4575" s="76">
        <f>+C4572</f>
        <v>0.61199999999999999</v>
      </c>
      <c r="D4575" s="76">
        <f t="shared" ref="D4575:N4575" si="1364">+D4572</f>
        <v>6.1322399999999995</v>
      </c>
      <c r="E4575" s="76">
        <f t="shared" si="1364"/>
        <v>27.16193088</v>
      </c>
      <c r="F4575" s="76">
        <f t="shared" si="1364"/>
        <v>74.607337025280003</v>
      </c>
      <c r="G4575" s="76">
        <f t="shared" si="1364"/>
        <v>151.38438970415618</v>
      </c>
      <c r="H4575" s="76">
        <f t="shared" si="1364"/>
        <v>254.25096010948781</v>
      </c>
      <c r="I4575" s="76">
        <f t="shared" si="1364"/>
        <v>378.68296067394238</v>
      </c>
      <c r="J4575" s="76">
        <f t="shared" si="1364"/>
        <v>519.1423672968549</v>
      </c>
      <c r="K4575" s="76">
        <f t="shared" si="1364"/>
        <v>669.54276613943455</v>
      </c>
      <c r="L4575" s="76">
        <f t="shared" si="1364"/>
        <v>816.8509143317649</v>
      </c>
      <c r="M4575" s="76">
        <f t="shared" si="1364"/>
        <v>940.51307733241856</v>
      </c>
      <c r="N4575" s="76">
        <f t="shared" si="1364"/>
        <v>1032.9679018155589</v>
      </c>
      <c r="O4575" s="85"/>
      <c r="V4575" s="108"/>
    </row>
    <row r="4576" spans="1:22" x14ac:dyDescent="0.3">
      <c r="A4576" s="468" t="s">
        <v>218</v>
      </c>
      <c r="B4576" s="90"/>
      <c r="C4576" s="381">
        <f t="shared" ref="C4576:N4576" si="1365">+C4574-C4575</f>
        <v>1.1499479999999997</v>
      </c>
      <c r="D4576" s="381">
        <f t="shared" si="1365"/>
        <v>12.611362248183781</v>
      </c>
      <c r="E4576" s="381">
        <f t="shared" si="1365"/>
        <v>54.275706874992636</v>
      </c>
      <c r="F4576" s="381">
        <f t="shared" si="1365"/>
        <v>148.22169809471995</v>
      </c>
      <c r="G4576" s="381">
        <f t="shared" si="1365"/>
        <v>306.53370475114298</v>
      </c>
      <c r="H4576" s="381">
        <f t="shared" si="1365"/>
        <v>526.13466852619808</v>
      </c>
      <c r="I4576" s="381">
        <f t="shared" si="1365"/>
        <v>800.72044125915693</v>
      </c>
      <c r="J4576" s="381">
        <f t="shared" si="1365"/>
        <v>1121.4966523857704</v>
      </c>
      <c r="K4576" s="381">
        <f t="shared" si="1365"/>
        <v>1477.5204726046154</v>
      </c>
      <c r="L4576" s="381">
        <f t="shared" si="1365"/>
        <v>1841.1141251823994</v>
      </c>
      <c r="M4576" s="381">
        <f t="shared" si="1365"/>
        <v>2164.8419150566874</v>
      </c>
      <c r="N4576" s="381">
        <f t="shared" si="1365"/>
        <v>2427.8057297887353</v>
      </c>
      <c r="O4576" s="85"/>
      <c r="V4576" s="108"/>
    </row>
    <row r="4577" spans="1:22" x14ac:dyDescent="0.3">
      <c r="A4577" s="508" t="s">
        <v>2057</v>
      </c>
      <c r="B4577" s="90"/>
      <c r="C4577" s="375">
        <f t="shared" ref="C4577:N4577" si="1366">+ C4576/C4574</f>
        <v>0.65265717262938516</v>
      </c>
      <c r="D4577" s="375">
        <f t="shared" si="1366"/>
        <v>0.67283556710161185</v>
      </c>
      <c r="E4577" s="375">
        <f t="shared" si="1366"/>
        <v>0.66646956335205332</v>
      </c>
      <c r="F4577" s="375">
        <f t="shared" si="1366"/>
        <v>0.66518125887363933</v>
      </c>
      <c r="G4577" s="375">
        <f t="shared" si="1366"/>
        <v>0.6694072771152878</v>
      </c>
      <c r="H4577" s="375">
        <f t="shared" si="1366"/>
        <v>0.67419830558132698</v>
      </c>
      <c r="I4577" s="375">
        <f t="shared" si="1366"/>
        <v>0.67891990132192037</v>
      </c>
      <c r="J4577" s="375">
        <f t="shared" si="1366"/>
        <v>0.6835730705726597</v>
      </c>
      <c r="K4577" s="375">
        <f t="shared" si="1366"/>
        <v>0.68815880498653059</v>
      </c>
      <c r="L4577" s="375">
        <f t="shared" si="1366"/>
        <v>0.69267808184524771</v>
      </c>
      <c r="M4577" s="375">
        <f t="shared" si="1366"/>
        <v>0.69713186426752627</v>
      </c>
      <c r="N4577" s="375">
        <f t="shared" si="1366"/>
        <v>0.70152110141433577</v>
      </c>
      <c r="O4577" s="85"/>
      <c r="V4577" s="108"/>
    </row>
    <row r="4578" spans="1:22" x14ac:dyDescent="0.3">
      <c r="A4578" s="508" t="s">
        <v>2168</v>
      </c>
      <c r="B4578" s="90"/>
      <c r="C4578" s="85"/>
      <c r="D4578" s="75">
        <f t="shared" ref="D4578:N4578" si="1367">+(D4576-C4576)/(D4568-C4568)</f>
        <v>0.67492919598275303</v>
      </c>
      <c r="E4578" s="75">
        <f t="shared" si="1367"/>
        <v>0.66456632261746684</v>
      </c>
      <c r="F4578" s="75">
        <f t="shared" si="1367"/>
        <v>0.66443923018316409</v>
      </c>
      <c r="G4578" s="75">
        <f t="shared" si="1367"/>
        <v>0.67341290617283978</v>
      </c>
      <c r="H4578" s="75">
        <f t="shared" si="1367"/>
        <v>0.68100177691752206</v>
      </c>
      <c r="I4578" s="75">
        <f t="shared" si="1367"/>
        <v>0.68815424050871166</v>
      </c>
      <c r="J4578" s="75">
        <f t="shared" si="1367"/>
        <v>0.69547146573752028</v>
      </c>
      <c r="K4578" s="75">
        <f t="shared" si="1367"/>
        <v>0.70301499576516591</v>
      </c>
      <c r="L4578" s="75">
        <f t="shared" si="1367"/>
        <v>0.71167032887673631</v>
      </c>
      <c r="M4578" s="75">
        <f t="shared" si="1367"/>
        <v>0.72359199797403406</v>
      </c>
      <c r="N4578" s="75">
        <f t="shared" si="1367"/>
        <v>0.73987063625224347</v>
      </c>
      <c r="O4578" s="85"/>
      <c r="V4578" s="108"/>
    </row>
    <row r="4579" spans="1:22" x14ac:dyDescent="0.3">
      <c r="A4579" s="468"/>
      <c r="B4579" s="90"/>
      <c r="C4579" s="92"/>
      <c r="D4579" s="92"/>
      <c r="E4579" s="92"/>
      <c r="F4579" s="92"/>
      <c r="G4579" s="92"/>
      <c r="H4579" s="92"/>
      <c r="I4579" s="92"/>
      <c r="J4579" s="92"/>
      <c r="K4579" s="92"/>
      <c r="L4579" s="92"/>
      <c r="M4579" s="92"/>
      <c r="N4579" s="92"/>
    </row>
    <row r="4580" spans="1:22" x14ac:dyDescent="0.3">
      <c r="A4580" s="467" t="s">
        <v>2236</v>
      </c>
      <c r="B4580" s="90"/>
      <c r="C4580" s="76">
        <f>+C4566</f>
        <v>5.0999999999999996</v>
      </c>
      <c r="D4580" s="76">
        <f t="shared" ref="D4580:N4580" si="1368">+D4566-C4566</f>
        <v>39.9</v>
      </c>
      <c r="E4580" s="76">
        <f t="shared" si="1368"/>
        <v>127.56</v>
      </c>
      <c r="F4580" s="76">
        <f t="shared" si="1368"/>
        <v>240.74799999999999</v>
      </c>
      <c r="G4580" s="76">
        <f t="shared" si="1368"/>
        <v>338.84879999999998</v>
      </c>
      <c r="H4580" s="76">
        <f t="shared" si="1368"/>
        <v>414.71080000000006</v>
      </c>
      <c r="I4580" s="76">
        <f t="shared" si="1368"/>
        <v>468.42840000000001</v>
      </c>
      <c r="J4580" s="76">
        <f t="shared" si="1368"/>
        <v>495.61359999999991</v>
      </c>
      <c r="K4580" s="76">
        <f t="shared" si="1368"/>
        <v>500.25</v>
      </c>
      <c r="L4580" s="76">
        <f t="shared" si="1368"/>
        <v>433.55000000000018</v>
      </c>
      <c r="M4580" s="76">
        <f t="shared" si="1368"/>
        <v>300.14999999999964</v>
      </c>
      <c r="N4580" s="76">
        <f t="shared" si="1368"/>
        <v>193.43000000000029</v>
      </c>
      <c r="O4580" s="76"/>
    </row>
    <row r="4581" spans="1:22" x14ac:dyDescent="0.3">
      <c r="A4581" s="467" t="s">
        <v>2237</v>
      </c>
      <c r="B4581" s="90"/>
      <c r="C4581" s="469" t="e">
        <f>+B4589</f>
        <v>#REF!</v>
      </c>
      <c r="D4581" s="469" t="e">
        <f>+C4581</f>
        <v>#REF!</v>
      </c>
      <c r="E4581" s="469" t="e">
        <f t="shared" ref="E4581:N4581" si="1369">+D4581</f>
        <v>#REF!</v>
      </c>
      <c r="F4581" s="469" t="e">
        <f t="shared" si="1369"/>
        <v>#REF!</v>
      </c>
      <c r="G4581" s="469" t="e">
        <f t="shared" si="1369"/>
        <v>#REF!</v>
      </c>
      <c r="H4581" s="469" t="e">
        <f t="shared" si="1369"/>
        <v>#REF!</v>
      </c>
      <c r="I4581" s="469" t="e">
        <f t="shared" si="1369"/>
        <v>#REF!</v>
      </c>
      <c r="J4581" s="469" t="e">
        <f t="shared" si="1369"/>
        <v>#REF!</v>
      </c>
      <c r="K4581" s="469" t="e">
        <f t="shared" si="1369"/>
        <v>#REF!</v>
      </c>
      <c r="L4581" s="469" t="e">
        <f t="shared" si="1369"/>
        <v>#REF!</v>
      </c>
      <c r="M4581" s="469" t="e">
        <f t="shared" si="1369"/>
        <v>#REF!</v>
      </c>
      <c r="N4581" s="469" t="e">
        <f t="shared" si="1369"/>
        <v>#REF!</v>
      </c>
    </row>
    <row r="4582" spans="1:22" x14ac:dyDescent="0.3">
      <c r="A4582" s="468" t="s">
        <v>2238</v>
      </c>
      <c r="B4582" s="90"/>
      <c r="C4582" s="803" t="e">
        <f t="shared" ref="C4582:N4582" si="1370">+C4580*C4581/1000</f>
        <v>#REF!</v>
      </c>
      <c r="D4582" s="803" t="e">
        <f t="shared" si="1370"/>
        <v>#REF!</v>
      </c>
      <c r="E4582" s="803" t="e">
        <f t="shared" si="1370"/>
        <v>#REF!</v>
      </c>
      <c r="F4582" s="803" t="e">
        <f t="shared" si="1370"/>
        <v>#REF!</v>
      </c>
      <c r="G4582" s="803" t="e">
        <f t="shared" si="1370"/>
        <v>#REF!</v>
      </c>
      <c r="H4582" s="803" t="e">
        <f t="shared" si="1370"/>
        <v>#REF!</v>
      </c>
      <c r="I4582" s="803" t="e">
        <f t="shared" si="1370"/>
        <v>#REF!</v>
      </c>
      <c r="J4582" s="803" t="e">
        <f t="shared" si="1370"/>
        <v>#REF!</v>
      </c>
      <c r="K4582" s="803" t="e">
        <f t="shared" si="1370"/>
        <v>#REF!</v>
      </c>
      <c r="L4582" s="803" t="e">
        <f t="shared" si="1370"/>
        <v>#REF!</v>
      </c>
      <c r="M4582" s="803" t="e">
        <f t="shared" si="1370"/>
        <v>#REF!</v>
      </c>
      <c r="N4582" s="803" t="e">
        <f t="shared" si="1370"/>
        <v>#REF!</v>
      </c>
    </row>
    <row r="4583" spans="1:22" hidden="1" outlineLevel="1" x14ac:dyDescent="0.3">
      <c r="A4583" s="468"/>
      <c r="B4583" s="90"/>
      <c r="C4583" s="85"/>
      <c r="D4583" s="85"/>
      <c r="E4583" s="85"/>
      <c r="F4583" s="85"/>
      <c r="G4583" s="85"/>
      <c r="H4583" s="85"/>
      <c r="I4583" s="85"/>
      <c r="J4583" s="85"/>
      <c r="K4583" s="85"/>
      <c r="L4583" s="85"/>
      <c r="M4583" s="85"/>
      <c r="N4583" s="85"/>
    </row>
    <row r="4584" spans="1:22" hidden="1" outlineLevel="1" x14ac:dyDescent="0.3">
      <c r="A4584" s="509"/>
      <c r="B4584" s="374" t="s">
        <v>2239</v>
      </c>
      <c r="C4584" s="371" t="s">
        <v>2240</v>
      </c>
      <c r="D4584" s="85"/>
      <c r="E4584" s="85"/>
      <c r="F4584" s="85"/>
      <c r="G4584" s="85"/>
      <c r="H4584" s="85"/>
      <c r="I4584" s="85"/>
      <c r="J4584" s="85"/>
      <c r="K4584" s="85"/>
      <c r="L4584" s="85"/>
      <c r="M4584" s="85"/>
      <c r="N4584" s="85"/>
    </row>
    <row r="4585" spans="1:22" hidden="1" outlineLevel="1" x14ac:dyDescent="0.3">
      <c r="A4585" s="467" t="s">
        <v>2241</v>
      </c>
      <c r="B4585" s="469">
        <v>135</v>
      </c>
      <c r="C4585" s="146" t="e">
        <f>+AVERAGE(#REF!)</f>
        <v>#REF!</v>
      </c>
      <c r="D4585" s="85"/>
      <c r="E4585" s="85"/>
      <c r="F4585" s="85"/>
      <c r="G4585" s="85"/>
      <c r="H4585" s="85"/>
      <c r="I4585" s="85"/>
      <c r="J4585" s="85"/>
      <c r="K4585" s="85"/>
      <c r="L4585" s="85"/>
      <c r="M4585" s="85"/>
      <c r="N4585" s="85"/>
    </row>
    <row r="4586" spans="1:22" hidden="1" outlineLevel="1" x14ac:dyDescent="0.3">
      <c r="A4586" s="467" t="s">
        <v>2242</v>
      </c>
      <c r="B4586" s="469">
        <v>455</v>
      </c>
      <c r="C4586" s="146" t="e">
        <f>1-C4585</f>
        <v>#REF!</v>
      </c>
      <c r="D4586" s="85"/>
      <c r="E4586" s="85"/>
      <c r="F4586" s="85"/>
      <c r="G4586" s="85"/>
      <c r="H4586" s="85"/>
      <c r="I4586" s="85"/>
      <c r="J4586" s="85"/>
      <c r="K4586" s="85"/>
      <c r="L4586" s="85"/>
      <c r="M4586" s="85"/>
      <c r="N4586" s="85"/>
    </row>
    <row r="4587" spans="1:22" hidden="1" outlineLevel="1" x14ac:dyDescent="0.3">
      <c r="A4587" s="468" t="s">
        <v>2243</v>
      </c>
      <c r="B4587" s="859" t="e">
        <f>+SUMPRODUCT(B4585:B4586,C4585:C4586)</f>
        <v>#REF!</v>
      </c>
      <c r="C4587" s="85"/>
      <c r="D4587" s="85"/>
      <c r="E4587" s="85"/>
      <c r="F4587" s="85"/>
      <c r="G4587" s="85"/>
      <c r="H4587" s="85"/>
      <c r="I4587" s="85"/>
      <c r="J4587" s="85"/>
      <c r="K4587" s="85"/>
      <c r="L4587" s="85"/>
      <c r="M4587" s="85"/>
      <c r="N4587" s="85"/>
    </row>
    <row r="4588" spans="1:22" hidden="1" outlineLevel="1" x14ac:dyDescent="0.3">
      <c r="A4588" s="467" t="s">
        <v>2244</v>
      </c>
      <c r="B4588" s="469">
        <v>185</v>
      </c>
      <c r="C4588" s="85"/>
      <c r="D4588" s="85"/>
      <c r="E4588" s="85"/>
      <c r="F4588" s="85"/>
      <c r="G4588" s="85"/>
      <c r="H4588" s="85"/>
      <c r="I4588" s="85"/>
      <c r="J4588" s="85"/>
      <c r="K4588" s="85"/>
      <c r="L4588" s="85"/>
      <c r="M4588" s="85"/>
      <c r="N4588" s="85"/>
    </row>
    <row r="4589" spans="1:22" ht="12.5" hidden="1" outlineLevel="1" thickBot="1" x14ac:dyDescent="0.35">
      <c r="A4589" s="468" t="s">
        <v>2245</v>
      </c>
      <c r="B4589" s="649" t="e">
        <f>+B4587+B4588</f>
        <v>#REF!</v>
      </c>
      <c r="C4589" s="85"/>
      <c r="D4589" s="85"/>
      <c r="E4589" s="85"/>
      <c r="F4589" s="85"/>
      <c r="G4589" s="85"/>
      <c r="H4589" s="85"/>
      <c r="I4589" s="85"/>
      <c r="J4589" s="85"/>
      <c r="K4589" s="85"/>
      <c r="L4589" s="85"/>
      <c r="M4589" s="85"/>
      <c r="N4589" s="85"/>
    </row>
    <row r="4590" spans="1:22" ht="12.5" hidden="1" outlineLevel="1" thickTop="1" x14ac:dyDescent="0.3">
      <c r="A4590" s="521"/>
      <c r="B4590" s="522"/>
      <c r="C4590" s="100"/>
      <c r="D4590" s="85"/>
      <c r="E4590" s="85"/>
      <c r="F4590" s="85"/>
      <c r="G4590" s="85"/>
      <c r="H4590" s="85"/>
      <c r="I4590" s="85"/>
      <c r="J4590" s="85"/>
      <c r="K4590" s="85"/>
      <c r="L4590" s="85"/>
      <c r="M4590" s="85"/>
      <c r="N4590" s="85"/>
    </row>
    <row r="4591" spans="1:22" collapsed="1" x14ac:dyDescent="0.3">
      <c r="A4591" s="468"/>
      <c r="B4591" s="90"/>
      <c r="C4591" s="85"/>
      <c r="D4591" s="85"/>
      <c r="E4591" s="85"/>
      <c r="F4591" s="85"/>
      <c r="G4591" s="85"/>
      <c r="H4591" s="85"/>
      <c r="I4591" s="85"/>
      <c r="J4591" s="85"/>
      <c r="K4591" s="85"/>
      <c r="L4591" s="85"/>
      <c r="M4591" s="85"/>
      <c r="N4591" s="85"/>
    </row>
    <row r="4592" spans="1:22" x14ac:dyDescent="0.3">
      <c r="A4592" s="467" t="s">
        <v>2246</v>
      </c>
      <c r="C4592" s="76">
        <f t="shared" ref="C4592:N4592" si="1371">+C4566*C4595</f>
        <v>1.02</v>
      </c>
      <c r="D4592" s="76">
        <f t="shared" si="1371"/>
        <v>9</v>
      </c>
      <c r="E4592" s="76">
        <f t="shared" si="1371"/>
        <v>34.512</v>
      </c>
      <c r="F4592" s="76">
        <f t="shared" si="1371"/>
        <v>82.661600000000007</v>
      </c>
      <c r="G4592" s="76">
        <f t="shared" si="1371"/>
        <v>150.43136000000001</v>
      </c>
      <c r="H4592" s="76">
        <f t="shared" si="1371"/>
        <v>233.37352000000001</v>
      </c>
      <c r="I4592" s="76">
        <f t="shared" si="1371"/>
        <v>327.05920000000003</v>
      </c>
      <c r="J4592" s="76">
        <f t="shared" si="1371"/>
        <v>426.18191999999999</v>
      </c>
      <c r="K4592" s="76">
        <f t="shared" si="1371"/>
        <v>526.23192000000006</v>
      </c>
      <c r="L4592" s="76">
        <f t="shared" si="1371"/>
        <v>612.9419200000001</v>
      </c>
      <c r="M4592" s="76">
        <f t="shared" si="1371"/>
        <v>672.97191999999995</v>
      </c>
      <c r="N4592" s="76">
        <f t="shared" si="1371"/>
        <v>711.6579200000001</v>
      </c>
      <c r="O4592" s="76"/>
    </row>
    <row r="4593" spans="1:16" x14ac:dyDescent="0.3">
      <c r="A4593" s="467" t="s">
        <v>2247</v>
      </c>
      <c r="B4593" s="90"/>
      <c r="C4593" s="469">
        <f>+B4602</f>
        <v>130</v>
      </c>
      <c r="D4593" s="469">
        <f>+C4593</f>
        <v>130</v>
      </c>
      <c r="E4593" s="469">
        <f t="shared" ref="E4593:N4593" si="1372">+D4593</f>
        <v>130</v>
      </c>
      <c r="F4593" s="469">
        <f t="shared" si="1372"/>
        <v>130</v>
      </c>
      <c r="G4593" s="469">
        <f t="shared" si="1372"/>
        <v>130</v>
      </c>
      <c r="H4593" s="469">
        <f t="shared" si="1372"/>
        <v>130</v>
      </c>
      <c r="I4593" s="469">
        <f t="shared" si="1372"/>
        <v>130</v>
      </c>
      <c r="J4593" s="469">
        <f t="shared" si="1372"/>
        <v>130</v>
      </c>
      <c r="K4593" s="469">
        <f t="shared" si="1372"/>
        <v>130</v>
      </c>
      <c r="L4593" s="469">
        <f t="shared" si="1372"/>
        <v>130</v>
      </c>
      <c r="M4593" s="469">
        <f t="shared" si="1372"/>
        <v>130</v>
      </c>
      <c r="N4593" s="469">
        <f t="shared" si="1372"/>
        <v>130</v>
      </c>
    </row>
    <row r="4594" spans="1:16" x14ac:dyDescent="0.3">
      <c r="A4594" s="468" t="s">
        <v>2248</v>
      </c>
      <c r="B4594" s="90"/>
      <c r="C4594" s="803">
        <f>+C4592*C4593/1000</f>
        <v>0.1326</v>
      </c>
      <c r="D4594" s="803">
        <f t="shared" ref="D4594:N4594" si="1373">+D4592*D4593/1000</f>
        <v>1.17</v>
      </c>
      <c r="E4594" s="803">
        <f t="shared" si="1373"/>
        <v>4.4865600000000008</v>
      </c>
      <c r="F4594" s="803">
        <f t="shared" si="1373"/>
        <v>10.746008000000002</v>
      </c>
      <c r="G4594" s="803">
        <f t="shared" si="1373"/>
        <v>19.556076800000003</v>
      </c>
      <c r="H4594" s="803">
        <f t="shared" si="1373"/>
        <v>30.338557600000001</v>
      </c>
      <c r="I4594" s="803">
        <f t="shared" si="1373"/>
        <v>42.517696000000001</v>
      </c>
      <c r="J4594" s="803">
        <f t="shared" si="1373"/>
        <v>55.403649599999994</v>
      </c>
      <c r="K4594" s="803">
        <f t="shared" si="1373"/>
        <v>68.410149600000011</v>
      </c>
      <c r="L4594" s="803">
        <f t="shared" si="1373"/>
        <v>79.682449600000012</v>
      </c>
      <c r="M4594" s="803">
        <f t="shared" si="1373"/>
        <v>87.486349599999983</v>
      </c>
      <c r="N4594" s="803">
        <f t="shared" si="1373"/>
        <v>92.515529600000008</v>
      </c>
    </row>
    <row r="4595" spans="1:16" x14ac:dyDescent="0.3">
      <c r="A4595" s="467" t="s">
        <v>2249</v>
      </c>
      <c r="B4595" s="90"/>
      <c r="C4595" s="87">
        <v>0.2</v>
      </c>
      <c r="D4595" s="87">
        <f>+C4595</f>
        <v>0.2</v>
      </c>
      <c r="E4595" s="87">
        <f t="shared" ref="E4595:N4595" si="1374">+D4595</f>
        <v>0.2</v>
      </c>
      <c r="F4595" s="87">
        <f t="shared" si="1374"/>
        <v>0.2</v>
      </c>
      <c r="G4595" s="87">
        <f t="shared" si="1374"/>
        <v>0.2</v>
      </c>
      <c r="H4595" s="87">
        <f t="shared" si="1374"/>
        <v>0.2</v>
      </c>
      <c r="I4595" s="87">
        <f t="shared" si="1374"/>
        <v>0.2</v>
      </c>
      <c r="J4595" s="87">
        <f t="shared" si="1374"/>
        <v>0.2</v>
      </c>
      <c r="K4595" s="87">
        <f t="shared" si="1374"/>
        <v>0.2</v>
      </c>
      <c r="L4595" s="87">
        <f t="shared" si="1374"/>
        <v>0.2</v>
      </c>
      <c r="M4595" s="87">
        <f t="shared" si="1374"/>
        <v>0.2</v>
      </c>
      <c r="N4595" s="87">
        <f t="shared" si="1374"/>
        <v>0.2</v>
      </c>
      <c r="O4595" s="85"/>
    </row>
    <row r="4596" spans="1:16" hidden="1" outlineLevel="1" x14ac:dyDescent="0.3">
      <c r="A4596" s="467"/>
      <c r="B4596" s="90"/>
      <c r="C4596" s="87"/>
      <c r="D4596" s="87"/>
      <c r="E4596" s="87"/>
      <c r="F4596" s="87"/>
      <c r="G4596" s="87"/>
      <c r="H4596" s="87"/>
      <c r="I4596" s="87"/>
      <c r="J4596" s="87"/>
      <c r="K4596" s="87"/>
      <c r="L4596" s="87"/>
      <c r="M4596" s="87"/>
      <c r="N4596" s="87"/>
      <c r="O4596" s="85"/>
    </row>
    <row r="4597" spans="1:16" hidden="1" outlineLevel="1" x14ac:dyDescent="0.3">
      <c r="A4597" s="509"/>
      <c r="B4597" s="374" t="s">
        <v>2239</v>
      </c>
      <c r="C4597" s="371" t="s">
        <v>2240</v>
      </c>
      <c r="D4597" s="87"/>
      <c r="E4597" s="87"/>
      <c r="F4597" s="87"/>
      <c r="G4597" s="87"/>
      <c r="H4597" s="87"/>
      <c r="I4597" s="87"/>
      <c r="J4597" s="87"/>
      <c r="K4597" s="87"/>
      <c r="L4597" s="87"/>
      <c r="M4597" s="87"/>
      <c r="N4597" s="87"/>
      <c r="O4597" s="85"/>
    </row>
    <row r="4598" spans="1:16" hidden="1" outlineLevel="1" x14ac:dyDescent="0.3">
      <c r="A4598" s="467" t="s">
        <v>2250</v>
      </c>
      <c r="B4598" s="469">
        <v>15</v>
      </c>
      <c r="C4598" s="99">
        <v>0.8</v>
      </c>
      <c r="D4598" s="87"/>
      <c r="E4598" s="87"/>
      <c r="F4598" s="87"/>
      <c r="G4598" s="87"/>
      <c r="H4598" s="87"/>
      <c r="I4598" s="87"/>
      <c r="J4598" s="87"/>
      <c r="K4598" s="87"/>
      <c r="L4598" s="87"/>
      <c r="M4598" s="87"/>
      <c r="N4598" s="87"/>
      <c r="O4598" s="85"/>
    </row>
    <row r="4599" spans="1:16" hidden="1" outlineLevel="1" x14ac:dyDescent="0.3">
      <c r="A4599" s="467" t="s">
        <v>2251</v>
      </c>
      <c r="B4599" s="469">
        <v>90</v>
      </c>
      <c r="C4599" s="616">
        <f>1-C4598</f>
        <v>0.19999999999999996</v>
      </c>
      <c r="D4599" s="87"/>
      <c r="E4599" s="87"/>
      <c r="F4599" s="87"/>
      <c r="G4599" s="87"/>
      <c r="H4599" s="87"/>
      <c r="I4599" s="87"/>
      <c r="J4599" s="87"/>
      <c r="K4599" s="87"/>
      <c r="L4599" s="87"/>
      <c r="M4599" s="87"/>
      <c r="N4599" s="87"/>
      <c r="O4599" s="85"/>
    </row>
    <row r="4600" spans="1:16" hidden="1" outlineLevel="1" x14ac:dyDescent="0.3">
      <c r="A4600" s="468" t="s">
        <v>2252</v>
      </c>
      <c r="B4600" s="1803">
        <f>+SUMPRODUCT(B4598:B4599,C4598:C4599)</f>
        <v>29.999999999999996</v>
      </c>
      <c r="C4600" s="87"/>
      <c r="D4600" s="87"/>
      <c r="E4600" s="87"/>
      <c r="F4600" s="87"/>
      <c r="G4600" s="87"/>
      <c r="H4600" s="87"/>
      <c r="I4600" s="87"/>
      <c r="J4600" s="87"/>
      <c r="K4600" s="87"/>
      <c r="L4600" s="87"/>
      <c r="M4600" s="87"/>
      <c r="N4600" s="87"/>
      <c r="O4600" s="85"/>
    </row>
    <row r="4601" spans="1:16" hidden="1" outlineLevel="1" x14ac:dyDescent="0.3">
      <c r="A4601" s="467" t="s">
        <v>2253</v>
      </c>
      <c r="B4601" s="469">
        <v>100</v>
      </c>
      <c r="C4601" s="87"/>
      <c r="D4601" s="87"/>
      <c r="E4601" s="87"/>
      <c r="F4601" s="87"/>
      <c r="G4601" s="87"/>
      <c r="H4601" s="87"/>
      <c r="I4601" s="87"/>
      <c r="J4601" s="87"/>
      <c r="K4601" s="87"/>
      <c r="L4601" s="87"/>
      <c r="M4601" s="87"/>
      <c r="N4601" s="87"/>
      <c r="O4601" s="85"/>
    </row>
    <row r="4602" spans="1:16" ht="12.5" hidden="1" outlineLevel="1" thickBot="1" x14ac:dyDescent="0.35">
      <c r="A4602" s="468" t="s">
        <v>2254</v>
      </c>
      <c r="B4602" s="300">
        <f>+B4600+B4601</f>
        <v>130</v>
      </c>
      <c r="C4602" s="87"/>
      <c r="D4602" s="87"/>
      <c r="E4602" s="87"/>
      <c r="F4602" s="87"/>
      <c r="G4602" s="87"/>
      <c r="H4602" s="87"/>
      <c r="I4602" s="87"/>
      <c r="J4602" s="87"/>
      <c r="K4602" s="87"/>
      <c r="L4602" s="87"/>
      <c r="M4602" s="87"/>
      <c r="N4602" s="87"/>
      <c r="O4602" s="85"/>
    </row>
    <row r="4603" spans="1:16" ht="12.5" hidden="1" outlineLevel="1" thickTop="1" x14ac:dyDescent="0.3">
      <c r="A4603" s="647"/>
      <c r="B4603" s="522"/>
      <c r="C4603" s="648"/>
      <c r="D4603" s="87"/>
      <c r="E4603" s="87"/>
      <c r="F4603" s="87"/>
      <c r="G4603" s="87"/>
      <c r="H4603" s="87"/>
      <c r="I4603" s="87"/>
      <c r="J4603" s="87"/>
      <c r="K4603" s="87"/>
      <c r="L4603" s="87"/>
      <c r="M4603" s="87"/>
      <c r="N4603" s="87"/>
      <c r="O4603" s="85"/>
    </row>
    <row r="4604" spans="1:16" collapsed="1" x14ac:dyDescent="0.3">
      <c r="A4604" s="467"/>
      <c r="B4604" s="90"/>
      <c r="C4604" s="87"/>
      <c r="D4604" s="87"/>
      <c r="E4604" s="87"/>
      <c r="F4604" s="87"/>
      <c r="G4604" s="87"/>
      <c r="H4604" s="87"/>
      <c r="I4604" s="87"/>
      <c r="J4604" s="87"/>
      <c r="K4604" s="87"/>
      <c r="L4604" s="87"/>
      <c r="M4604" s="87"/>
      <c r="N4604" s="87"/>
      <c r="O4604" s="85"/>
    </row>
    <row r="4605" spans="1:16" x14ac:dyDescent="0.3">
      <c r="A4605" s="467" t="s">
        <v>2255</v>
      </c>
      <c r="B4605" s="90"/>
      <c r="C4605" s="76" t="e">
        <f t="shared" ref="C4605:N4605" si="1375">+C4582</f>
        <v>#REF!</v>
      </c>
      <c r="D4605" s="76" t="e">
        <f t="shared" si="1375"/>
        <v>#REF!</v>
      </c>
      <c r="E4605" s="76" t="e">
        <f t="shared" si="1375"/>
        <v>#REF!</v>
      </c>
      <c r="F4605" s="76" t="e">
        <f t="shared" si="1375"/>
        <v>#REF!</v>
      </c>
      <c r="G4605" s="76" t="e">
        <f t="shared" si="1375"/>
        <v>#REF!</v>
      </c>
      <c r="H4605" s="76" t="e">
        <f t="shared" si="1375"/>
        <v>#REF!</v>
      </c>
      <c r="I4605" s="76" t="e">
        <f t="shared" si="1375"/>
        <v>#REF!</v>
      </c>
      <c r="J4605" s="76" t="e">
        <f t="shared" si="1375"/>
        <v>#REF!</v>
      </c>
      <c r="K4605" s="76" t="e">
        <f t="shared" si="1375"/>
        <v>#REF!</v>
      </c>
      <c r="L4605" s="76" t="e">
        <f t="shared" si="1375"/>
        <v>#REF!</v>
      </c>
      <c r="M4605" s="76" t="e">
        <f t="shared" si="1375"/>
        <v>#REF!</v>
      </c>
      <c r="N4605" s="76" t="e">
        <f t="shared" si="1375"/>
        <v>#REF!</v>
      </c>
    </row>
    <row r="4606" spans="1:16" x14ac:dyDescent="0.3">
      <c r="A4606" s="467" t="s">
        <v>2256</v>
      </c>
      <c r="B4606" s="90"/>
      <c r="C4606" s="76">
        <f t="shared" ref="C4606:N4606" si="1376">+C4594</f>
        <v>0.1326</v>
      </c>
      <c r="D4606" s="76">
        <f t="shared" si="1376"/>
        <v>1.17</v>
      </c>
      <c r="E4606" s="76">
        <f t="shared" si="1376"/>
        <v>4.4865600000000008</v>
      </c>
      <c r="F4606" s="76">
        <f t="shared" si="1376"/>
        <v>10.746008000000002</v>
      </c>
      <c r="G4606" s="76">
        <f t="shared" si="1376"/>
        <v>19.556076800000003</v>
      </c>
      <c r="H4606" s="76">
        <f t="shared" si="1376"/>
        <v>30.338557600000001</v>
      </c>
      <c r="I4606" s="76">
        <f t="shared" si="1376"/>
        <v>42.517696000000001</v>
      </c>
      <c r="J4606" s="76">
        <f t="shared" si="1376"/>
        <v>55.403649599999994</v>
      </c>
      <c r="K4606" s="76">
        <f t="shared" si="1376"/>
        <v>68.410149600000011</v>
      </c>
      <c r="L4606" s="76">
        <f t="shared" si="1376"/>
        <v>79.682449600000012</v>
      </c>
      <c r="M4606" s="76">
        <f t="shared" si="1376"/>
        <v>87.486349599999983</v>
      </c>
      <c r="N4606" s="76">
        <f t="shared" si="1376"/>
        <v>92.515529600000008</v>
      </c>
    </row>
    <row r="4607" spans="1:16" x14ac:dyDescent="0.3">
      <c r="A4607" s="468" t="s">
        <v>2257</v>
      </c>
      <c r="B4607" s="90"/>
      <c r="C4607" s="381" t="e">
        <f>+C4605+C4606</f>
        <v>#REF!</v>
      </c>
      <c r="D4607" s="381" t="e">
        <f t="shared" ref="D4607:N4607" si="1377">+D4605+D4606</f>
        <v>#REF!</v>
      </c>
      <c r="E4607" s="381" t="e">
        <f t="shared" si="1377"/>
        <v>#REF!</v>
      </c>
      <c r="F4607" s="381" t="e">
        <f t="shared" si="1377"/>
        <v>#REF!</v>
      </c>
      <c r="G4607" s="381" t="e">
        <f t="shared" si="1377"/>
        <v>#REF!</v>
      </c>
      <c r="H4607" s="381" t="e">
        <f t="shared" si="1377"/>
        <v>#REF!</v>
      </c>
      <c r="I4607" s="381" t="e">
        <f t="shared" si="1377"/>
        <v>#REF!</v>
      </c>
      <c r="J4607" s="381" t="e">
        <f t="shared" si="1377"/>
        <v>#REF!</v>
      </c>
      <c r="K4607" s="381" t="e">
        <f t="shared" si="1377"/>
        <v>#REF!</v>
      </c>
      <c r="L4607" s="381" t="e">
        <f t="shared" si="1377"/>
        <v>#REF!</v>
      </c>
      <c r="M4607" s="381" t="e">
        <f t="shared" si="1377"/>
        <v>#REF!</v>
      </c>
      <c r="N4607" s="381" t="e">
        <f t="shared" si="1377"/>
        <v>#REF!</v>
      </c>
      <c r="O4607" s="85"/>
      <c r="P4607" s="85"/>
    </row>
    <row r="4608" spans="1:16" x14ac:dyDescent="0.3">
      <c r="A4608" s="467"/>
      <c r="B4608" s="90"/>
      <c r="C4608" s="99"/>
      <c r="D4608" s="99"/>
      <c r="E4608" s="99"/>
      <c r="F4608" s="99"/>
      <c r="G4608" s="99"/>
      <c r="H4608" s="99"/>
      <c r="I4608" s="99"/>
      <c r="J4608" s="99"/>
      <c r="K4608" s="99"/>
      <c r="L4608" s="99"/>
      <c r="M4608" s="99"/>
      <c r="N4608" s="99"/>
      <c r="O4608" s="85"/>
    </row>
    <row r="4609" spans="1:15" x14ac:dyDescent="0.3">
      <c r="A4609" s="468" t="s">
        <v>1613</v>
      </c>
      <c r="B4609" s="90"/>
      <c r="C4609" s="85">
        <f t="shared" ref="C4609:J4609" si="1378">0.0182*C4564</f>
        <v>1.5470000000000002</v>
      </c>
      <c r="D4609" s="85">
        <f t="shared" si="1378"/>
        <v>10.556000000000001</v>
      </c>
      <c r="E4609" s="85">
        <f t="shared" si="1378"/>
        <v>28.756</v>
      </c>
      <c r="F4609" s="85">
        <f t="shared" si="1378"/>
        <v>48.988333333333344</v>
      </c>
      <c r="G4609" s="85">
        <f t="shared" si="1378"/>
        <v>69.220666666666673</v>
      </c>
      <c r="H4609" s="85">
        <f t="shared" si="1378"/>
        <v>89.453000000000003</v>
      </c>
      <c r="I4609" s="85">
        <f t="shared" si="1378"/>
        <v>109.68533333333335</v>
      </c>
      <c r="J4609" s="85">
        <f t="shared" si="1378"/>
        <v>129.91766666666669</v>
      </c>
      <c r="K4609" s="85">
        <f>0.0182*K$4564</f>
        <v>150.15</v>
      </c>
      <c r="L4609" s="85">
        <f>0.0182*L4564</f>
        <v>150.15</v>
      </c>
      <c r="M4609" s="85">
        <f>0.0182*M4564</f>
        <v>150.15</v>
      </c>
      <c r="N4609" s="85">
        <f>0.0182*N4564</f>
        <v>150.15</v>
      </c>
      <c r="O4609" s="85"/>
    </row>
    <row r="4610" spans="1:15" x14ac:dyDescent="0.3">
      <c r="A4610" s="467"/>
      <c r="B4610" s="90"/>
      <c r="C4610" s="90"/>
      <c r="D4610" s="90"/>
      <c r="E4610" s="90"/>
      <c r="F4610" s="90"/>
      <c r="G4610" s="90"/>
      <c r="H4610" s="90"/>
      <c r="I4610" s="90"/>
      <c r="J4610" s="90"/>
      <c r="K4610" s="90"/>
      <c r="L4610" s="90"/>
      <c r="M4610" s="90"/>
    </row>
    <row r="4611" spans="1:15" x14ac:dyDescent="0.3">
      <c r="A4611" s="505" t="s">
        <v>2258</v>
      </c>
      <c r="B4611" s="90"/>
      <c r="C4611" s="92"/>
      <c r="D4611" s="92"/>
      <c r="E4611" s="92"/>
      <c r="F4611" s="92"/>
      <c r="G4611" s="92"/>
      <c r="H4611" s="92"/>
      <c r="I4611" s="92"/>
      <c r="J4611" s="92"/>
      <c r="K4611" s="92"/>
      <c r="L4611" s="92"/>
      <c r="M4611" s="92"/>
      <c r="N4611" s="85"/>
    </row>
    <row r="4612" spans="1:15" x14ac:dyDescent="0.3">
      <c r="A4612" s="467" t="s">
        <v>2259</v>
      </c>
      <c r="B4612" s="85"/>
      <c r="C4612" s="525">
        <f t="shared" ref="C4612:J4612" si="1379">0.1076*C4564</f>
        <v>9.1460000000000008</v>
      </c>
      <c r="D4612" s="525">
        <f t="shared" si="1379"/>
        <v>62.408000000000001</v>
      </c>
      <c r="E4612" s="525">
        <f t="shared" si="1379"/>
        <v>170.00800000000001</v>
      </c>
      <c r="F4612" s="525">
        <f t="shared" si="1379"/>
        <v>289.62333333333339</v>
      </c>
      <c r="G4612" s="525">
        <f t="shared" si="1379"/>
        <v>409.23866666666669</v>
      </c>
      <c r="H4612" s="525">
        <f t="shared" si="1379"/>
        <v>528.85400000000004</v>
      </c>
      <c r="I4612" s="525">
        <f t="shared" si="1379"/>
        <v>648.46933333333334</v>
      </c>
      <c r="J4612" s="525">
        <f t="shared" si="1379"/>
        <v>768.08466666666675</v>
      </c>
      <c r="K4612" s="525">
        <f>0.1076*K$4564</f>
        <v>887.7</v>
      </c>
      <c r="L4612" s="525">
        <f>0.1076*L4564</f>
        <v>887.7</v>
      </c>
      <c r="M4612" s="525">
        <f>0.1076*M4564</f>
        <v>887.7</v>
      </c>
      <c r="N4612" s="525">
        <f>0.1076*N4564</f>
        <v>887.7</v>
      </c>
    </row>
    <row r="4613" spans="1:15" x14ac:dyDescent="0.3">
      <c r="A4613" s="467" t="s">
        <v>2260</v>
      </c>
      <c r="B4613" s="90"/>
      <c r="C4613" s="517">
        <v>1500</v>
      </c>
      <c r="D4613" s="517">
        <f>+C4613</f>
        <v>1500</v>
      </c>
      <c r="E4613" s="517">
        <f t="shared" ref="E4613:N4613" si="1380">+D4613</f>
        <v>1500</v>
      </c>
      <c r="F4613" s="517">
        <f t="shared" si="1380"/>
        <v>1500</v>
      </c>
      <c r="G4613" s="517">
        <f t="shared" si="1380"/>
        <v>1500</v>
      </c>
      <c r="H4613" s="517">
        <f t="shared" si="1380"/>
        <v>1500</v>
      </c>
      <c r="I4613" s="517">
        <f t="shared" si="1380"/>
        <v>1500</v>
      </c>
      <c r="J4613" s="517">
        <f t="shared" si="1380"/>
        <v>1500</v>
      </c>
      <c r="K4613" s="517">
        <f t="shared" si="1380"/>
        <v>1500</v>
      </c>
      <c r="L4613" s="517">
        <f t="shared" si="1380"/>
        <v>1500</v>
      </c>
      <c r="M4613" s="517">
        <f t="shared" si="1380"/>
        <v>1500</v>
      </c>
      <c r="N4613" s="517">
        <f t="shared" si="1380"/>
        <v>1500</v>
      </c>
    </row>
    <row r="4614" spans="1:15" x14ac:dyDescent="0.3">
      <c r="A4614" s="468" t="s">
        <v>214</v>
      </c>
      <c r="B4614" s="90"/>
      <c r="C4614" s="1026">
        <f t="shared" ref="C4614:M4614" si="1381">+C4612*C4613*12/(10^6)</f>
        <v>0.16462800000000002</v>
      </c>
      <c r="D4614" s="1026">
        <f t="shared" si="1381"/>
        <v>1.1233439999999999</v>
      </c>
      <c r="E4614" s="1026">
        <f t="shared" si="1381"/>
        <v>3.0601440000000006</v>
      </c>
      <c r="F4614" s="1026">
        <f t="shared" si="1381"/>
        <v>5.2132200000000015</v>
      </c>
      <c r="G4614" s="1026">
        <f t="shared" si="1381"/>
        <v>7.3662960000000002</v>
      </c>
      <c r="H4614" s="1026">
        <f t="shared" si="1381"/>
        <v>9.5193720000000024</v>
      </c>
      <c r="I4614" s="1026">
        <f t="shared" si="1381"/>
        <v>11.672447999999999</v>
      </c>
      <c r="J4614" s="1026">
        <f t="shared" si="1381"/>
        <v>13.825524000000003</v>
      </c>
      <c r="K4614" s="1026">
        <f t="shared" si="1381"/>
        <v>15.9786</v>
      </c>
      <c r="L4614" s="1026">
        <f t="shared" si="1381"/>
        <v>15.9786</v>
      </c>
      <c r="M4614" s="1026">
        <f t="shared" si="1381"/>
        <v>15.9786</v>
      </c>
      <c r="N4614" s="1026">
        <f>+N4612*N4613*12/(10^6)</f>
        <v>15.9786</v>
      </c>
    </row>
    <row r="4615" spans="1:15" x14ac:dyDescent="0.3">
      <c r="A4615" s="467" t="s">
        <v>2261</v>
      </c>
      <c r="B4615" s="90"/>
      <c r="C4615" s="518">
        <v>0.8</v>
      </c>
      <c r="D4615" s="518">
        <f>+C4615</f>
        <v>0.8</v>
      </c>
      <c r="E4615" s="518">
        <f t="shared" ref="E4615:N4615" si="1382">+D4615</f>
        <v>0.8</v>
      </c>
      <c r="F4615" s="518">
        <f t="shared" si="1382"/>
        <v>0.8</v>
      </c>
      <c r="G4615" s="518">
        <f t="shared" si="1382"/>
        <v>0.8</v>
      </c>
      <c r="H4615" s="518">
        <f t="shared" si="1382"/>
        <v>0.8</v>
      </c>
      <c r="I4615" s="518">
        <f t="shared" si="1382"/>
        <v>0.8</v>
      </c>
      <c r="J4615" s="518">
        <f t="shared" si="1382"/>
        <v>0.8</v>
      </c>
      <c r="K4615" s="518">
        <f t="shared" si="1382"/>
        <v>0.8</v>
      </c>
      <c r="L4615" s="518">
        <f t="shared" si="1382"/>
        <v>0.8</v>
      </c>
      <c r="M4615" s="518">
        <f t="shared" si="1382"/>
        <v>0.8</v>
      </c>
      <c r="N4615" s="518">
        <f t="shared" si="1382"/>
        <v>0.8</v>
      </c>
    </row>
    <row r="4616" spans="1:15" x14ac:dyDescent="0.3">
      <c r="A4616" s="468" t="s">
        <v>218</v>
      </c>
      <c r="B4616" s="90"/>
      <c r="C4616" s="519">
        <f t="shared" ref="C4616:N4616" si="1383">+C4615*C4614</f>
        <v>0.13170240000000003</v>
      </c>
      <c r="D4616" s="519">
        <f t="shared" si="1383"/>
        <v>0.89867520000000001</v>
      </c>
      <c r="E4616" s="519">
        <f t="shared" si="1383"/>
        <v>2.4481152000000006</v>
      </c>
      <c r="F4616" s="519">
        <f t="shared" si="1383"/>
        <v>4.1705760000000014</v>
      </c>
      <c r="G4616" s="519">
        <f t="shared" si="1383"/>
        <v>5.8930368000000009</v>
      </c>
      <c r="H4616" s="519">
        <f t="shared" si="1383"/>
        <v>7.6154976000000021</v>
      </c>
      <c r="I4616" s="519">
        <f t="shared" si="1383"/>
        <v>9.3379583999999998</v>
      </c>
      <c r="J4616" s="519">
        <f t="shared" si="1383"/>
        <v>11.060419200000004</v>
      </c>
      <c r="K4616" s="519">
        <f t="shared" si="1383"/>
        <v>12.78288</v>
      </c>
      <c r="L4616" s="519">
        <f t="shared" si="1383"/>
        <v>12.78288</v>
      </c>
      <c r="M4616" s="519">
        <f t="shared" si="1383"/>
        <v>12.78288</v>
      </c>
      <c r="N4616" s="519">
        <f t="shared" si="1383"/>
        <v>12.78288</v>
      </c>
    </row>
    <row r="4617" spans="1:15" x14ac:dyDescent="0.3">
      <c r="C4617" s="108"/>
      <c r="D4617" s="108"/>
      <c r="E4617" s="108"/>
      <c r="F4617" s="108"/>
      <c r="G4617" s="108"/>
      <c r="H4617" s="108"/>
      <c r="I4617" s="108"/>
      <c r="J4617" s="108"/>
      <c r="K4617" s="108"/>
      <c r="L4617" s="108"/>
      <c r="M4617" s="108"/>
      <c r="N4617" s="108"/>
    </row>
    <row r="4618" spans="1:15" x14ac:dyDescent="0.3">
      <c r="A4618" s="505" t="s">
        <v>2262</v>
      </c>
      <c r="B4618" s="90"/>
      <c r="C4618" s="121"/>
      <c r="D4618" s="121"/>
      <c r="E4618" s="121"/>
      <c r="F4618" s="121"/>
      <c r="G4618" s="121"/>
      <c r="H4618" s="121"/>
      <c r="I4618" s="121"/>
      <c r="J4618" s="121"/>
      <c r="K4618" s="121"/>
      <c r="L4618" s="121"/>
      <c r="M4618" s="121"/>
      <c r="N4618" s="121"/>
    </row>
    <row r="4619" spans="1:15" x14ac:dyDescent="0.3">
      <c r="A4619" s="467" t="s">
        <v>2263</v>
      </c>
      <c r="B4619" s="85"/>
      <c r="C4619" s="120">
        <f t="shared" ref="C4619:L4619" si="1384">+C4621/C4620/12*1000</f>
        <v>0.17708333333333334</v>
      </c>
      <c r="D4619" s="120">
        <f t="shared" si="1384"/>
        <v>1.2083333333333333</v>
      </c>
      <c r="E4619" s="120">
        <f t="shared" si="1384"/>
        <v>3.2916666666666665</v>
      </c>
      <c r="F4619" s="120">
        <f t="shared" si="1384"/>
        <v>5.6076388888888902</v>
      </c>
      <c r="G4619" s="120">
        <f t="shared" si="1384"/>
        <v>7.9236111111111125</v>
      </c>
      <c r="H4619" s="120">
        <f t="shared" si="1384"/>
        <v>10.239583333333334</v>
      </c>
      <c r="I4619" s="120">
        <f t="shared" si="1384"/>
        <v>12.555555555555555</v>
      </c>
      <c r="J4619" s="120">
        <f t="shared" si="1384"/>
        <v>14.87152777777778</v>
      </c>
      <c r="K4619" s="120">
        <f t="shared" si="1384"/>
        <v>17.187499999999996</v>
      </c>
      <c r="L4619" s="120">
        <f t="shared" si="1384"/>
        <v>17.187499999999996</v>
      </c>
      <c r="M4619" s="120">
        <f>+M4621/M4620/12*1000</f>
        <v>17.187499999999996</v>
      </c>
      <c r="N4619" s="120">
        <f>+N4621/N4620/12*1000</f>
        <v>17.187499999999996</v>
      </c>
    </row>
    <row r="4620" spans="1:15" x14ac:dyDescent="0.3">
      <c r="A4620" s="467" t="s">
        <v>2264</v>
      </c>
      <c r="B4620" s="90"/>
      <c r="C4620" s="517">
        <f t="shared" ref="C4620:L4620" si="1385">+D4620</f>
        <v>200</v>
      </c>
      <c r="D4620" s="517">
        <f t="shared" si="1385"/>
        <v>200</v>
      </c>
      <c r="E4620" s="517">
        <f t="shared" si="1385"/>
        <v>200</v>
      </c>
      <c r="F4620" s="517">
        <f t="shared" si="1385"/>
        <v>200</v>
      </c>
      <c r="G4620" s="517">
        <f t="shared" si="1385"/>
        <v>200</v>
      </c>
      <c r="H4620" s="517">
        <f t="shared" si="1385"/>
        <v>200</v>
      </c>
      <c r="I4620" s="517">
        <f t="shared" si="1385"/>
        <v>200</v>
      </c>
      <c r="J4620" s="517">
        <f t="shared" si="1385"/>
        <v>200</v>
      </c>
      <c r="K4620" s="517">
        <f t="shared" si="1385"/>
        <v>200</v>
      </c>
      <c r="L4620" s="517">
        <f t="shared" si="1385"/>
        <v>200</v>
      </c>
      <c r="M4620" s="517">
        <f>+N4620</f>
        <v>200</v>
      </c>
      <c r="N4620" s="517">
        <v>200</v>
      </c>
    </row>
    <row r="4621" spans="1:15" x14ac:dyDescent="0.3">
      <c r="A4621" s="468" t="s">
        <v>214</v>
      </c>
      <c r="B4621" s="90"/>
      <c r="C4621" s="1804">
        <f t="shared" ref="C4621:J4621" si="1386">0.005*C4564</f>
        <v>0.42499999999999999</v>
      </c>
      <c r="D4621" s="1804">
        <f t="shared" si="1386"/>
        <v>2.9</v>
      </c>
      <c r="E4621" s="1804">
        <f t="shared" si="1386"/>
        <v>7.9</v>
      </c>
      <c r="F4621" s="1804">
        <f t="shared" si="1386"/>
        <v>13.458333333333336</v>
      </c>
      <c r="G4621" s="1804">
        <f t="shared" si="1386"/>
        <v>19.016666666666669</v>
      </c>
      <c r="H4621" s="1804">
        <f t="shared" si="1386"/>
        <v>24.574999999999999</v>
      </c>
      <c r="I4621" s="1804">
        <f t="shared" si="1386"/>
        <v>30.133333333333336</v>
      </c>
      <c r="J4621" s="1804">
        <f t="shared" si="1386"/>
        <v>35.69166666666667</v>
      </c>
      <c r="K4621" s="1804">
        <f>0.005*K$4564</f>
        <v>41.25</v>
      </c>
      <c r="L4621" s="1804">
        <f>0.005*L4564</f>
        <v>41.25</v>
      </c>
      <c r="M4621" s="1804">
        <f>0.005*M4564</f>
        <v>41.25</v>
      </c>
      <c r="N4621" s="1804">
        <f>0.005*N4564</f>
        <v>41.25</v>
      </c>
    </row>
    <row r="4622" spans="1:15" x14ac:dyDescent="0.3">
      <c r="A4622" s="467" t="s">
        <v>2261</v>
      </c>
      <c r="B4622" s="90"/>
      <c r="C4622" s="518">
        <v>0.9</v>
      </c>
      <c r="D4622" s="518">
        <v>0.9</v>
      </c>
      <c r="E4622" s="518">
        <v>0.9</v>
      </c>
      <c r="F4622" s="518">
        <v>0.9</v>
      </c>
      <c r="G4622" s="518">
        <v>0.9</v>
      </c>
      <c r="H4622" s="518">
        <v>0.9</v>
      </c>
      <c r="I4622" s="518">
        <v>0.9</v>
      </c>
      <c r="J4622" s="518">
        <v>0.9</v>
      </c>
      <c r="K4622" s="518">
        <v>0.9</v>
      </c>
      <c r="L4622" s="518">
        <v>0.9</v>
      </c>
      <c r="M4622" s="518">
        <v>0.9</v>
      </c>
      <c r="N4622" s="518">
        <v>0.9</v>
      </c>
    </row>
    <row r="4623" spans="1:15" x14ac:dyDescent="0.3">
      <c r="A4623" s="468" t="s">
        <v>218</v>
      </c>
      <c r="B4623" s="90"/>
      <c r="C4623" s="519">
        <f t="shared" ref="C4623:N4623" si="1387">+C4622*C4621</f>
        <v>0.38250000000000001</v>
      </c>
      <c r="D4623" s="519">
        <f t="shared" si="1387"/>
        <v>2.61</v>
      </c>
      <c r="E4623" s="519">
        <f t="shared" si="1387"/>
        <v>7.11</v>
      </c>
      <c r="F4623" s="519">
        <f t="shared" si="1387"/>
        <v>12.112500000000002</v>
      </c>
      <c r="G4623" s="519">
        <f t="shared" si="1387"/>
        <v>17.115000000000002</v>
      </c>
      <c r="H4623" s="519">
        <f t="shared" si="1387"/>
        <v>22.1175</v>
      </c>
      <c r="I4623" s="519">
        <f t="shared" si="1387"/>
        <v>27.120000000000005</v>
      </c>
      <c r="J4623" s="519">
        <f t="shared" si="1387"/>
        <v>32.122500000000002</v>
      </c>
      <c r="K4623" s="519">
        <f t="shared" si="1387"/>
        <v>37.125</v>
      </c>
      <c r="L4623" s="519">
        <f t="shared" si="1387"/>
        <v>37.125</v>
      </c>
      <c r="M4623" s="519">
        <f t="shared" si="1387"/>
        <v>37.125</v>
      </c>
      <c r="N4623" s="519">
        <f t="shared" si="1387"/>
        <v>37.125</v>
      </c>
    </row>
    <row r="4624" spans="1:15" x14ac:dyDescent="0.3">
      <c r="A4624" s="468"/>
      <c r="B4624" s="90"/>
      <c r="C4624" s="121"/>
      <c r="D4624" s="121"/>
      <c r="E4624" s="121"/>
      <c r="F4624" s="121"/>
      <c r="G4624" s="121"/>
      <c r="H4624" s="121"/>
      <c r="I4624" s="121"/>
      <c r="J4624" s="121"/>
      <c r="K4624" s="121"/>
      <c r="L4624" s="121"/>
      <c r="M4624" s="121"/>
      <c r="N4624" s="121"/>
    </row>
    <row r="4625" spans="1:18" x14ac:dyDescent="0.3">
      <c r="A4625" s="468" t="s">
        <v>2265</v>
      </c>
      <c r="B4625" s="90"/>
      <c r="C4625" s="520">
        <f>+$O$4625/$N$4564*C4564</f>
        <v>0.32969696969696971</v>
      </c>
      <c r="D4625" s="520">
        <f t="shared" ref="D4625:N4625" si="1388">+$O$4625/$N$4564*(D4564-C4564)</f>
        <v>1.92</v>
      </c>
      <c r="E4625" s="520">
        <f t="shared" si="1388"/>
        <v>3.8787878787878789</v>
      </c>
      <c r="F4625" s="520">
        <f t="shared" si="1388"/>
        <v>4.311919191919193</v>
      </c>
      <c r="G4625" s="520">
        <f t="shared" si="1388"/>
        <v>4.3119191919191913</v>
      </c>
      <c r="H4625" s="520">
        <f t="shared" si="1388"/>
        <v>4.3119191919191913</v>
      </c>
      <c r="I4625" s="520">
        <f t="shared" si="1388"/>
        <v>4.311919191919193</v>
      </c>
      <c r="J4625" s="520">
        <f t="shared" si="1388"/>
        <v>4.311919191919193</v>
      </c>
      <c r="K4625" s="520">
        <f t="shared" si="1388"/>
        <v>4.3119191919191895</v>
      </c>
      <c r="L4625" s="520">
        <f t="shared" si="1388"/>
        <v>0</v>
      </c>
      <c r="M4625" s="520">
        <f t="shared" si="1388"/>
        <v>0</v>
      </c>
      <c r="N4625" s="520">
        <f t="shared" si="1388"/>
        <v>0</v>
      </c>
      <c r="O4625" s="510">
        <v>32</v>
      </c>
    </row>
    <row r="4626" spans="1:18" x14ac:dyDescent="0.3">
      <c r="A4626" s="468"/>
      <c r="B4626" s="90"/>
      <c r="C4626" s="120"/>
      <c r="D4626" s="120"/>
      <c r="E4626" s="120"/>
      <c r="F4626" s="120"/>
      <c r="G4626" s="120"/>
      <c r="H4626" s="120"/>
      <c r="I4626" s="120"/>
      <c r="J4626" s="120"/>
      <c r="K4626" s="120"/>
      <c r="L4626" s="120"/>
      <c r="M4626" s="120"/>
      <c r="N4626" s="120"/>
      <c r="O4626" s="510"/>
    </row>
    <row r="4627" spans="1:18" x14ac:dyDescent="0.3">
      <c r="A4627" s="467" t="s">
        <v>2266</v>
      </c>
      <c r="B4627" s="90"/>
      <c r="C4627" s="120">
        <f t="shared" ref="C4627:N4627" si="1389">+C4568+C4614+C4621</f>
        <v>2.3515759999999997</v>
      </c>
      <c r="D4627" s="120">
        <f t="shared" si="1389"/>
        <v>22.766946248183778</v>
      </c>
      <c r="E4627" s="120">
        <f t="shared" si="1389"/>
        <v>92.397781754992636</v>
      </c>
      <c r="F4627" s="120">
        <f t="shared" si="1389"/>
        <v>241.50058845333331</v>
      </c>
      <c r="G4627" s="120">
        <f t="shared" si="1389"/>
        <v>484.30105712196581</v>
      </c>
      <c r="H4627" s="120">
        <f t="shared" si="1389"/>
        <v>814.48000063568588</v>
      </c>
      <c r="I4627" s="120">
        <f t="shared" si="1389"/>
        <v>1221.2091832664328</v>
      </c>
      <c r="J4627" s="120">
        <f t="shared" si="1389"/>
        <v>1690.156210349292</v>
      </c>
      <c r="K4627" s="120">
        <f t="shared" si="1389"/>
        <v>2204.29183874405</v>
      </c>
      <c r="L4627" s="120">
        <f t="shared" si="1389"/>
        <v>2715.1936395141643</v>
      </c>
      <c r="M4627" s="120">
        <f t="shared" si="1389"/>
        <v>3162.5835923891059</v>
      </c>
      <c r="N4627" s="120">
        <f t="shared" si="1389"/>
        <v>3518.0022316042941</v>
      </c>
    </row>
    <row r="4628" spans="1:18" x14ac:dyDescent="0.3">
      <c r="A4628" s="467" t="s">
        <v>2267</v>
      </c>
      <c r="B4628" s="90"/>
      <c r="C4628" s="120">
        <f t="shared" ref="C4628:N4628" si="1390">+C4576+C4616+C4623</f>
        <v>1.6641503999999998</v>
      </c>
      <c r="D4628" s="120">
        <f t="shared" si="1390"/>
        <v>16.12003744818378</v>
      </c>
      <c r="E4628" s="120">
        <f t="shared" si="1390"/>
        <v>63.833822074992639</v>
      </c>
      <c r="F4628" s="120">
        <f t="shared" si="1390"/>
        <v>164.50477409471998</v>
      </c>
      <c r="G4628" s="120">
        <f t="shared" si="1390"/>
        <v>329.54174155114299</v>
      </c>
      <c r="H4628" s="120">
        <f t="shared" si="1390"/>
        <v>555.86766612619806</v>
      </c>
      <c r="I4628" s="120">
        <f t="shared" si="1390"/>
        <v>837.17839965915698</v>
      </c>
      <c r="J4628" s="120">
        <f t="shared" si="1390"/>
        <v>1164.6795715857704</v>
      </c>
      <c r="K4628" s="120">
        <f t="shared" si="1390"/>
        <v>1527.4283526046154</v>
      </c>
      <c r="L4628" s="120">
        <f t="shared" si="1390"/>
        <v>1891.0220051823994</v>
      </c>
      <c r="M4628" s="120">
        <f t="shared" si="1390"/>
        <v>2214.7497950566876</v>
      </c>
      <c r="N4628" s="120">
        <f t="shared" si="1390"/>
        <v>2477.7136097887355</v>
      </c>
      <c r="O4628" s="510"/>
    </row>
    <row r="4629" spans="1:18" x14ac:dyDescent="0.3">
      <c r="A4629" s="467" t="s">
        <v>2268</v>
      </c>
      <c r="B4629" s="90"/>
      <c r="C4629" s="75">
        <f>+C4628/C4627</f>
        <v>0.70767451275229887</v>
      </c>
      <c r="D4629" s="75">
        <f t="shared" ref="D4629:N4629" si="1391">+D4628/D4627</f>
        <v>0.70804565849360446</v>
      </c>
      <c r="E4629" s="75">
        <f t="shared" si="1391"/>
        <v>0.69085881568302299</v>
      </c>
      <c r="F4629" s="75">
        <f t="shared" si="1391"/>
        <v>0.6811775290001344</v>
      </c>
      <c r="G4629" s="75">
        <f t="shared" si="1391"/>
        <v>0.68044811528906401</v>
      </c>
      <c r="H4629" s="75">
        <f t="shared" si="1391"/>
        <v>0.6824816639970952</v>
      </c>
      <c r="I4629" s="75">
        <f t="shared" si="1391"/>
        <v>0.68553234870041813</v>
      </c>
      <c r="J4629" s="75">
        <f t="shared" si="1391"/>
        <v>0.68909581519987129</v>
      </c>
      <c r="K4629" s="75">
        <f t="shared" si="1391"/>
        <v>0.69293381473249283</v>
      </c>
      <c r="L4629" s="75">
        <f t="shared" si="1391"/>
        <v>0.69645935290300853</v>
      </c>
      <c r="M4629" s="75">
        <f t="shared" si="1391"/>
        <v>0.70029763019911273</v>
      </c>
      <c r="N4629" s="75">
        <f t="shared" si="1391"/>
        <v>0.70429563333700285</v>
      </c>
      <c r="O4629" s="510"/>
    </row>
    <row r="4630" spans="1:18" x14ac:dyDescent="0.3">
      <c r="A4630" s="521"/>
      <c r="B4630" s="522"/>
      <c r="C4630" s="100"/>
      <c r="D4630" s="100"/>
      <c r="E4630" s="100"/>
      <c r="F4630" s="100"/>
      <c r="G4630" s="100"/>
      <c r="H4630" s="100"/>
      <c r="I4630" s="100"/>
      <c r="J4630" s="100"/>
      <c r="K4630" s="100"/>
      <c r="L4630" s="100"/>
      <c r="M4630" s="100"/>
      <c r="N4630" s="100"/>
    </row>
    <row r="4631" spans="1:18" x14ac:dyDescent="0.3">
      <c r="A4631" s="468"/>
      <c r="B4631" s="90"/>
      <c r="C4631" s="85"/>
      <c r="D4631" s="85"/>
      <c r="E4631" s="85"/>
      <c r="F4631" s="85"/>
      <c r="G4631" s="85"/>
      <c r="H4631" s="85"/>
      <c r="I4631" s="85"/>
      <c r="J4631" s="85"/>
      <c r="K4631" s="85"/>
      <c r="L4631" s="85"/>
      <c r="M4631" s="85"/>
      <c r="N4631" s="85"/>
    </row>
    <row r="4632" spans="1:18" x14ac:dyDescent="0.3">
      <c r="A4632" s="141" t="s">
        <v>265</v>
      </c>
      <c r="B4632" s="90"/>
      <c r="C4632" s="85"/>
      <c r="D4632" s="85"/>
      <c r="E4632" s="85"/>
      <c r="F4632" s="85"/>
      <c r="G4632" s="85"/>
      <c r="H4632" s="85"/>
      <c r="I4632" s="85"/>
      <c r="J4632" s="85"/>
      <c r="K4632" s="85"/>
      <c r="L4632" s="85"/>
      <c r="M4632" s="85"/>
      <c r="N4632" s="85"/>
    </row>
    <row r="4633" spans="1:18" x14ac:dyDescent="0.3">
      <c r="A4633" s="141" t="s">
        <v>324</v>
      </c>
      <c r="Q4633" s="399"/>
      <c r="R4633" s="399"/>
    </row>
    <row r="4634" spans="1:18" x14ac:dyDescent="0.3">
      <c r="A4634" s="366"/>
      <c r="C4634" s="374">
        <v>2020</v>
      </c>
      <c r="D4634" s="374">
        <f t="shared" ref="D4634:N4634" si="1392">+C4634+1</f>
        <v>2021</v>
      </c>
      <c r="E4634" s="374">
        <f t="shared" si="1392"/>
        <v>2022</v>
      </c>
      <c r="F4634" s="374">
        <f t="shared" si="1392"/>
        <v>2023</v>
      </c>
      <c r="G4634" s="374">
        <f t="shared" si="1392"/>
        <v>2024</v>
      </c>
      <c r="H4634" s="374">
        <f t="shared" si="1392"/>
        <v>2025</v>
      </c>
      <c r="I4634" s="374">
        <f t="shared" si="1392"/>
        <v>2026</v>
      </c>
      <c r="J4634" s="374">
        <f t="shared" si="1392"/>
        <v>2027</v>
      </c>
      <c r="K4634" s="374">
        <f t="shared" si="1392"/>
        <v>2028</v>
      </c>
      <c r="L4634" s="374">
        <f t="shared" si="1392"/>
        <v>2029</v>
      </c>
      <c r="M4634" s="374">
        <f t="shared" si="1392"/>
        <v>2030</v>
      </c>
      <c r="N4634" s="374">
        <f t="shared" si="1392"/>
        <v>2031</v>
      </c>
      <c r="O4634" s="373"/>
      <c r="P4634" s="373"/>
      <c r="Q4634" s="373"/>
      <c r="R4634" s="399"/>
    </row>
    <row r="4635" spans="1:18" x14ac:dyDescent="0.3">
      <c r="A4635" s="1794">
        <v>2020</v>
      </c>
      <c r="C4635" s="369">
        <f>+C$4504</f>
        <v>85</v>
      </c>
      <c r="D4635" s="369">
        <f t="shared" ref="D4635:N4635" si="1393">+C4635</f>
        <v>85</v>
      </c>
      <c r="E4635" s="369">
        <f t="shared" si="1393"/>
        <v>85</v>
      </c>
      <c r="F4635" s="369">
        <f t="shared" si="1393"/>
        <v>85</v>
      </c>
      <c r="G4635" s="369">
        <f t="shared" si="1393"/>
        <v>85</v>
      </c>
      <c r="H4635" s="369">
        <f t="shared" si="1393"/>
        <v>85</v>
      </c>
      <c r="I4635" s="369">
        <f t="shared" si="1393"/>
        <v>85</v>
      </c>
      <c r="J4635" s="369">
        <f t="shared" si="1393"/>
        <v>85</v>
      </c>
      <c r="K4635" s="369">
        <f t="shared" si="1393"/>
        <v>85</v>
      </c>
      <c r="L4635" s="369">
        <f t="shared" si="1393"/>
        <v>85</v>
      </c>
      <c r="M4635" s="369">
        <f t="shared" si="1393"/>
        <v>85</v>
      </c>
      <c r="N4635" s="369">
        <f t="shared" si="1393"/>
        <v>85</v>
      </c>
      <c r="O4635" s="369"/>
      <c r="P4635" s="369"/>
      <c r="Q4635" s="369"/>
      <c r="R4635" s="399"/>
    </row>
    <row r="4636" spans="1:18" x14ac:dyDescent="0.3">
      <c r="A4636" s="368">
        <f t="shared" ref="A4636:A4646" si="1394">+A4635+1</f>
        <v>2021</v>
      </c>
      <c r="C4636" s="372"/>
      <c r="D4636" s="369">
        <f>+D$4504</f>
        <v>495</v>
      </c>
      <c r="E4636" s="369">
        <f t="shared" ref="E4636:N4636" si="1395">+D4636</f>
        <v>495</v>
      </c>
      <c r="F4636" s="369">
        <f t="shared" si="1395"/>
        <v>495</v>
      </c>
      <c r="G4636" s="369">
        <f t="shared" si="1395"/>
        <v>495</v>
      </c>
      <c r="H4636" s="369">
        <f t="shared" si="1395"/>
        <v>495</v>
      </c>
      <c r="I4636" s="369">
        <f t="shared" si="1395"/>
        <v>495</v>
      </c>
      <c r="J4636" s="369">
        <f t="shared" si="1395"/>
        <v>495</v>
      </c>
      <c r="K4636" s="369">
        <f t="shared" si="1395"/>
        <v>495</v>
      </c>
      <c r="L4636" s="369">
        <f t="shared" si="1395"/>
        <v>495</v>
      </c>
      <c r="M4636" s="369">
        <f t="shared" si="1395"/>
        <v>495</v>
      </c>
      <c r="N4636" s="369">
        <f t="shared" si="1395"/>
        <v>495</v>
      </c>
      <c r="O4636" s="369"/>
      <c r="P4636" s="369"/>
      <c r="Q4636" s="369"/>
      <c r="R4636" s="399"/>
    </row>
    <row r="4637" spans="1:18" x14ac:dyDescent="0.3">
      <c r="A4637" s="368">
        <f t="shared" si="1394"/>
        <v>2022</v>
      </c>
      <c r="C4637" s="372"/>
      <c r="D4637" s="373"/>
      <c r="E4637" s="369">
        <f>+E$4504</f>
        <v>1000</v>
      </c>
      <c r="F4637" s="369">
        <f t="shared" ref="F4637:N4637" si="1396">+E4637</f>
        <v>1000</v>
      </c>
      <c r="G4637" s="369">
        <f t="shared" si="1396"/>
        <v>1000</v>
      </c>
      <c r="H4637" s="369">
        <f t="shared" si="1396"/>
        <v>1000</v>
      </c>
      <c r="I4637" s="369">
        <f t="shared" si="1396"/>
        <v>1000</v>
      </c>
      <c r="J4637" s="369">
        <f t="shared" si="1396"/>
        <v>1000</v>
      </c>
      <c r="K4637" s="369">
        <f t="shared" si="1396"/>
        <v>1000</v>
      </c>
      <c r="L4637" s="369">
        <f t="shared" si="1396"/>
        <v>1000</v>
      </c>
      <c r="M4637" s="369">
        <f t="shared" si="1396"/>
        <v>1000</v>
      </c>
      <c r="N4637" s="369">
        <f t="shared" si="1396"/>
        <v>1000</v>
      </c>
      <c r="O4637" s="369"/>
      <c r="P4637" s="369"/>
      <c r="Q4637" s="369"/>
      <c r="R4637" s="399"/>
    </row>
    <row r="4638" spans="1:18" x14ac:dyDescent="0.3">
      <c r="A4638" s="368">
        <f t="shared" si="1394"/>
        <v>2023</v>
      </c>
      <c r="C4638" s="369"/>
      <c r="D4638" s="373"/>
      <c r="E4638" s="372"/>
      <c r="F4638" s="369">
        <f>+F$4504</f>
        <v>1111.666666666667</v>
      </c>
      <c r="G4638" s="369">
        <f t="shared" ref="G4638:N4638" si="1397">+F4638</f>
        <v>1111.666666666667</v>
      </c>
      <c r="H4638" s="369">
        <f t="shared" si="1397"/>
        <v>1111.666666666667</v>
      </c>
      <c r="I4638" s="369">
        <f t="shared" si="1397"/>
        <v>1111.666666666667</v>
      </c>
      <c r="J4638" s="369">
        <f t="shared" si="1397"/>
        <v>1111.666666666667</v>
      </c>
      <c r="K4638" s="369">
        <f t="shared" si="1397"/>
        <v>1111.666666666667</v>
      </c>
      <c r="L4638" s="369">
        <f t="shared" si="1397"/>
        <v>1111.666666666667</v>
      </c>
      <c r="M4638" s="369">
        <f t="shared" si="1397"/>
        <v>1111.666666666667</v>
      </c>
      <c r="N4638" s="369">
        <f t="shared" si="1397"/>
        <v>1111.666666666667</v>
      </c>
      <c r="O4638" s="369"/>
      <c r="P4638" s="369"/>
      <c r="Q4638" s="369"/>
      <c r="R4638" s="399"/>
    </row>
    <row r="4639" spans="1:18" x14ac:dyDescent="0.3">
      <c r="A4639" s="368">
        <f t="shared" si="1394"/>
        <v>2024</v>
      </c>
      <c r="C4639" s="369"/>
      <c r="D4639" s="373"/>
      <c r="E4639" s="372"/>
      <c r="F4639" s="372"/>
      <c r="G4639" s="369">
        <f>+G$4504</f>
        <v>1111.6666666666665</v>
      </c>
      <c r="H4639" s="369">
        <f t="shared" ref="H4639:N4639" si="1398">+G4639</f>
        <v>1111.6666666666665</v>
      </c>
      <c r="I4639" s="369">
        <f t="shared" si="1398"/>
        <v>1111.6666666666665</v>
      </c>
      <c r="J4639" s="369">
        <f t="shared" si="1398"/>
        <v>1111.6666666666665</v>
      </c>
      <c r="K4639" s="369">
        <f t="shared" si="1398"/>
        <v>1111.6666666666665</v>
      </c>
      <c r="L4639" s="369">
        <f t="shared" si="1398"/>
        <v>1111.6666666666665</v>
      </c>
      <c r="M4639" s="369">
        <f t="shared" si="1398"/>
        <v>1111.6666666666665</v>
      </c>
      <c r="N4639" s="369">
        <f t="shared" si="1398"/>
        <v>1111.6666666666665</v>
      </c>
      <c r="O4639" s="369"/>
      <c r="P4639" s="369"/>
      <c r="Q4639" s="369"/>
      <c r="R4639" s="399"/>
    </row>
    <row r="4640" spans="1:18" x14ac:dyDescent="0.3">
      <c r="A4640" s="368">
        <f t="shared" si="1394"/>
        <v>2025</v>
      </c>
      <c r="C4640" s="369"/>
      <c r="D4640" s="373"/>
      <c r="E4640" s="372"/>
      <c r="F4640" s="372"/>
      <c r="G4640" s="372"/>
      <c r="H4640" s="369">
        <f>+H$4504</f>
        <v>1111.6666666666665</v>
      </c>
      <c r="I4640" s="369">
        <f t="shared" ref="I4640:N4640" si="1399">+H4640</f>
        <v>1111.6666666666665</v>
      </c>
      <c r="J4640" s="369">
        <f t="shared" si="1399"/>
        <v>1111.6666666666665</v>
      </c>
      <c r="K4640" s="369">
        <f t="shared" si="1399"/>
        <v>1111.6666666666665</v>
      </c>
      <c r="L4640" s="369">
        <f t="shared" si="1399"/>
        <v>1111.6666666666665</v>
      </c>
      <c r="M4640" s="369">
        <f t="shared" si="1399"/>
        <v>1111.6666666666665</v>
      </c>
      <c r="N4640" s="369">
        <f t="shared" si="1399"/>
        <v>1111.6666666666665</v>
      </c>
      <c r="O4640" s="369"/>
      <c r="P4640" s="369"/>
      <c r="Q4640" s="369"/>
      <c r="R4640" s="399"/>
    </row>
    <row r="4641" spans="1:18" x14ac:dyDescent="0.3">
      <c r="A4641" s="368">
        <f t="shared" si="1394"/>
        <v>2026</v>
      </c>
      <c r="C4641" s="369"/>
      <c r="D4641" s="373"/>
      <c r="E4641" s="372"/>
      <c r="F4641" s="372"/>
      <c r="G4641" s="372"/>
      <c r="H4641" s="372"/>
      <c r="I4641" s="369">
        <f>+I$4504</f>
        <v>1111.666666666667</v>
      </c>
      <c r="J4641" s="369">
        <f>+I4641</f>
        <v>1111.666666666667</v>
      </c>
      <c r="K4641" s="369">
        <f>+J4641</f>
        <v>1111.666666666667</v>
      </c>
      <c r="L4641" s="369">
        <f>+K4641</f>
        <v>1111.666666666667</v>
      </c>
      <c r="M4641" s="369">
        <f>+L4641</f>
        <v>1111.666666666667</v>
      </c>
      <c r="N4641" s="369">
        <f>+M4641</f>
        <v>1111.666666666667</v>
      </c>
      <c r="O4641" s="369"/>
      <c r="P4641" s="369"/>
      <c r="Q4641" s="369"/>
      <c r="R4641" s="399"/>
    </row>
    <row r="4642" spans="1:18" x14ac:dyDescent="0.3">
      <c r="A4642" s="368">
        <f t="shared" si="1394"/>
        <v>2027</v>
      </c>
      <c r="C4642" s="369"/>
      <c r="D4642" s="373"/>
      <c r="E4642" s="372"/>
      <c r="F4642" s="372"/>
      <c r="G4642" s="372"/>
      <c r="H4642" s="372"/>
      <c r="I4642" s="372"/>
      <c r="J4642" s="369">
        <f>+J$4504</f>
        <v>1111.666666666667</v>
      </c>
      <c r="K4642" s="369">
        <f>+J4642</f>
        <v>1111.666666666667</v>
      </c>
      <c r="L4642" s="369">
        <f>+K4642</f>
        <v>1111.666666666667</v>
      </c>
      <c r="M4642" s="369">
        <f>+L4642</f>
        <v>1111.666666666667</v>
      </c>
      <c r="N4642" s="369">
        <f>+M4642</f>
        <v>1111.666666666667</v>
      </c>
      <c r="O4642" s="369"/>
      <c r="P4642" s="369"/>
      <c r="Q4642" s="369"/>
      <c r="R4642" s="399"/>
    </row>
    <row r="4643" spans="1:18" x14ac:dyDescent="0.3">
      <c r="A4643" s="368">
        <f t="shared" si="1394"/>
        <v>2028</v>
      </c>
      <c r="C4643" s="369"/>
      <c r="D4643" s="373"/>
      <c r="E4643" s="372"/>
      <c r="F4643" s="372"/>
      <c r="G4643" s="372"/>
      <c r="H4643" s="372"/>
      <c r="I4643" s="372"/>
      <c r="J4643" s="372"/>
      <c r="K4643" s="369">
        <f>+K$4504</f>
        <v>1111.6666666666661</v>
      </c>
      <c r="L4643" s="369">
        <f>+K4643</f>
        <v>1111.6666666666661</v>
      </c>
      <c r="M4643" s="369">
        <f>+L4643</f>
        <v>1111.6666666666661</v>
      </c>
      <c r="N4643" s="369">
        <f>+M4643</f>
        <v>1111.6666666666661</v>
      </c>
      <c r="O4643" s="369"/>
      <c r="P4643" s="369"/>
      <c r="Q4643" s="369"/>
      <c r="R4643" s="399"/>
    </row>
    <row r="4644" spans="1:18" x14ac:dyDescent="0.3">
      <c r="A4644" s="368">
        <f t="shared" si="1394"/>
        <v>2029</v>
      </c>
      <c r="C4644" s="369"/>
      <c r="D4644" s="373"/>
      <c r="E4644" s="372"/>
      <c r="F4644" s="372"/>
      <c r="G4644" s="372"/>
      <c r="H4644" s="372"/>
      <c r="I4644" s="372"/>
      <c r="J4644" s="372"/>
      <c r="K4644" s="372"/>
      <c r="L4644" s="369">
        <f>+L$4504</f>
        <v>0</v>
      </c>
      <c r="M4644" s="369">
        <f>+L4644</f>
        <v>0</v>
      </c>
      <c r="N4644" s="369">
        <f>+M4644</f>
        <v>0</v>
      </c>
      <c r="O4644" s="369"/>
      <c r="P4644" s="369"/>
      <c r="Q4644" s="369"/>
      <c r="R4644" s="399"/>
    </row>
    <row r="4645" spans="1:18" x14ac:dyDescent="0.3">
      <c r="A4645" s="368">
        <f t="shared" si="1394"/>
        <v>2030</v>
      </c>
      <c r="C4645" s="369"/>
      <c r="D4645" s="373"/>
      <c r="E4645" s="372"/>
      <c r="F4645" s="372"/>
      <c r="G4645" s="372"/>
      <c r="H4645" s="372"/>
      <c r="I4645" s="372"/>
      <c r="J4645" s="372"/>
      <c r="K4645" s="372"/>
      <c r="L4645" s="372"/>
      <c r="M4645" s="369">
        <f>+M$4504</f>
        <v>0</v>
      </c>
      <c r="N4645" s="369">
        <f>+M4645</f>
        <v>0</v>
      </c>
      <c r="O4645" s="369"/>
      <c r="P4645" s="369"/>
      <c r="Q4645" s="369"/>
      <c r="R4645" s="399"/>
    </row>
    <row r="4646" spans="1:18" x14ac:dyDescent="0.3">
      <c r="A4646" s="368">
        <f t="shared" si="1394"/>
        <v>2031</v>
      </c>
      <c r="C4646" s="369"/>
      <c r="D4646" s="373"/>
      <c r="E4646" s="372"/>
      <c r="F4646" s="372"/>
      <c r="G4646" s="372"/>
      <c r="H4646" s="372"/>
      <c r="I4646" s="372"/>
      <c r="J4646" s="372"/>
      <c r="K4646" s="372"/>
      <c r="L4646" s="372"/>
      <c r="M4646" s="369"/>
      <c r="N4646" s="369">
        <f>+N$4504</f>
        <v>0</v>
      </c>
      <c r="O4646" s="369"/>
      <c r="P4646" s="369"/>
      <c r="Q4646" s="369"/>
      <c r="R4646" s="399"/>
    </row>
    <row r="4647" spans="1:18" x14ac:dyDescent="0.3">
      <c r="A4647" s="90" t="s">
        <v>266</v>
      </c>
      <c r="C4647" s="371">
        <f t="shared" ref="C4647:N4647" si="1400">+SUM(C4635:C4646)</f>
        <v>85</v>
      </c>
      <c r="D4647" s="371">
        <f t="shared" si="1400"/>
        <v>580</v>
      </c>
      <c r="E4647" s="371">
        <f t="shared" si="1400"/>
        <v>1580</v>
      </c>
      <c r="F4647" s="371">
        <f t="shared" si="1400"/>
        <v>2691.666666666667</v>
      </c>
      <c r="G4647" s="371">
        <f t="shared" si="1400"/>
        <v>3803.3333333333335</v>
      </c>
      <c r="H4647" s="371">
        <f t="shared" si="1400"/>
        <v>4915</v>
      </c>
      <c r="I4647" s="371">
        <f t="shared" si="1400"/>
        <v>6026.666666666667</v>
      </c>
      <c r="J4647" s="371">
        <f t="shared" si="1400"/>
        <v>7138.3333333333339</v>
      </c>
      <c r="K4647" s="371">
        <f t="shared" si="1400"/>
        <v>8250</v>
      </c>
      <c r="L4647" s="371">
        <f t="shared" si="1400"/>
        <v>8250</v>
      </c>
      <c r="M4647" s="371">
        <f t="shared" si="1400"/>
        <v>8250</v>
      </c>
      <c r="N4647" s="371">
        <f t="shared" si="1400"/>
        <v>8250</v>
      </c>
      <c r="O4647" s="531"/>
      <c r="P4647" s="531"/>
      <c r="Q4647" s="531"/>
      <c r="R4647" s="399"/>
    </row>
    <row r="4648" spans="1:18" x14ac:dyDescent="0.3">
      <c r="A4648" s="141"/>
      <c r="D4648" s="85"/>
      <c r="E4648" s="85"/>
      <c r="F4648" s="85"/>
      <c r="G4648" s="85"/>
      <c r="H4648" s="85"/>
      <c r="I4648" s="85"/>
      <c r="J4648" s="85"/>
      <c r="K4648" s="85"/>
      <c r="R4648" s="399"/>
    </row>
    <row r="4649" spans="1:18" x14ac:dyDescent="0.3">
      <c r="A4649" s="90" t="s">
        <v>267</v>
      </c>
      <c r="D4649" s="90"/>
      <c r="R4649" s="399"/>
    </row>
    <row r="4650" spans="1:18" x14ac:dyDescent="0.3">
      <c r="A4650" s="610"/>
      <c r="B4650" s="144"/>
      <c r="C4650" s="611">
        <v>2020</v>
      </c>
      <c r="D4650" s="611">
        <f t="shared" ref="D4650:N4650" si="1401">+C4650+1</f>
        <v>2021</v>
      </c>
      <c r="E4650" s="611">
        <f t="shared" si="1401"/>
        <v>2022</v>
      </c>
      <c r="F4650" s="611">
        <f t="shared" si="1401"/>
        <v>2023</v>
      </c>
      <c r="G4650" s="611">
        <f t="shared" si="1401"/>
        <v>2024</v>
      </c>
      <c r="H4650" s="611">
        <f t="shared" si="1401"/>
        <v>2025</v>
      </c>
      <c r="I4650" s="611">
        <f t="shared" si="1401"/>
        <v>2026</v>
      </c>
      <c r="J4650" s="611">
        <f t="shared" si="1401"/>
        <v>2027</v>
      </c>
      <c r="K4650" s="611">
        <f t="shared" si="1401"/>
        <v>2028</v>
      </c>
      <c r="L4650" s="611">
        <f t="shared" si="1401"/>
        <v>2029</v>
      </c>
      <c r="M4650" s="611">
        <f t="shared" si="1401"/>
        <v>2030</v>
      </c>
      <c r="N4650" s="611">
        <f t="shared" si="1401"/>
        <v>2031</v>
      </c>
      <c r="O4650" s="90"/>
      <c r="P4650" s="90"/>
      <c r="Q4650" s="90"/>
      <c r="R4650" s="399"/>
    </row>
    <row r="4651" spans="1:18" x14ac:dyDescent="0.3">
      <c r="A4651" s="1805">
        <v>2020</v>
      </c>
      <c r="B4651" s="144"/>
      <c r="C4651" s="491">
        <f>+C4635*$C$4666</f>
        <v>5.0999999999999996</v>
      </c>
      <c r="D4651" s="491">
        <f t="shared" ref="D4651:N4651" si="1402">+D4635*D4666</f>
        <v>15.299999999999999</v>
      </c>
      <c r="E4651" s="491">
        <f t="shared" si="1402"/>
        <v>23.46</v>
      </c>
      <c r="F4651" s="491">
        <f t="shared" si="1402"/>
        <v>29.988</v>
      </c>
      <c r="G4651" s="491">
        <f t="shared" si="1402"/>
        <v>34.720800000000004</v>
      </c>
      <c r="H4651" s="491">
        <f t="shared" si="1402"/>
        <v>38.25</v>
      </c>
      <c r="I4651" s="491">
        <f t="shared" si="1402"/>
        <v>38.25</v>
      </c>
      <c r="J4651" s="491">
        <f t="shared" si="1402"/>
        <v>38.25</v>
      </c>
      <c r="K4651" s="491">
        <f t="shared" si="1402"/>
        <v>38.25</v>
      </c>
      <c r="L4651" s="491">
        <f t="shared" si="1402"/>
        <v>38.25</v>
      </c>
      <c r="M4651" s="491">
        <f t="shared" si="1402"/>
        <v>38.25</v>
      </c>
      <c r="N4651" s="491">
        <f t="shared" si="1402"/>
        <v>38.25</v>
      </c>
      <c r="O4651" s="369"/>
      <c r="P4651" s="369"/>
      <c r="Q4651" s="369"/>
      <c r="R4651" s="399"/>
    </row>
    <row r="4652" spans="1:18" x14ac:dyDescent="0.3">
      <c r="A4652" s="612">
        <f t="shared" ref="A4652:A4662" si="1403">+A4651+1</f>
        <v>2021</v>
      </c>
      <c r="B4652" s="144"/>
      <c r="C4652" s="491"/>
      <c r="D4652" s="491">
        <f>+D4636*C$4666</f>
        <v>29.7</v>
      </c>
      <c r="E4652" s="491">
        <f t="shared" ref="E4652:N4652" si="1404">+E4636*D$4666</f>
        <v>89.1</v>
      </c>
      <c r="F4652" s="491">
        <f t="shared" si="1404"/>
        <v>136.62</v>
      </c>
      <c r="G4652" s="491">
        <f t="shared" si="1404"/>
        <v>174.636</v>
      </c>
      <c r="H4652" s="491">
        <f t="shared" si="1404"/>
        <v>202.19759999999999</v>
      </c>
      <c r="I4652" s="491">
        <f t="shared" si="1404"/>
        <v>222.75</v>
      </c>
      <c r="J4652" s="491">
        <f t="shared" si="1404"/>
        <v>222.75</v>
      </c>
      <c r="K4652" s="491">
        <f t="shared" si="1404"/>
        <v>222.75</v>
      </c>
      <c r="L4652" s="491">
        <f t="shared" si="1404"/>
        <v>222.75</v>
      </c>
      <c r="M4652" s="491">
        <f t="shared" si="1404"/>
        <v>222.75</v>
      </c>
      <c r="N4652" s="491">
        <f t="shared" si="1404"/>
        <v>222.75</v>
      </c>
      <c r="O4652" s="369"/>
      <c r="P4652" s="369"/>
      <c r="Q4652" s="369"/>
      <c r="R4652" s="399"/>
    </row>
    <row r="4653" spans="1:18" x14ac:dyDescent="0.3">
      <c r="A4653" s="612">
        <f t="shared" si="1403"/>
        <v>2022</v>
      </c>
      <c r="B4653" s="144"/>
      <c r="C4653" s="491"/>
      <c r="D4653" s="491"/>
      <c r="E4653" s="491">
        <f>+E4637*C$4666</f>
        <v>60</v>
      </c>
      <c r="F4653" s="491">
        <f t="shared" ref="F4653:N4653" si="1405">+F4637*D$4666</f>
        <v>180</v>
      </c>
      <c r="G4653" s="491">
        <f t="shared" si="1405"/>
        <v>276</v>
      </c>
      <c r="H4653" s="491">
        <f t="shared" si="1405"/>
        <v>352.8</v>
      </c>
      <c r="I4653" s="491">
        <f t="shared" si="1405"/>
        <v>408.48</v>
      </c>
      <c r="J4653" s="491">
        <f t="shared" si="1405"/>
        <v>450</v>
      </c>
      <c r="K4653" s="491">
        <f t="shared" si="1405"/>
        <v>450</v>
      </c>
      <c r="L4653" s="491">
        <f t="shared" si="1405"/>
        <v>450</v>
      </c>
      <c r="M4653" s="491">
        <f t="shared" si="1405"/>
        <v>450</v>
      </c>
      <c r="N4653" s="491">
        <f t="shared" si="1405"/>
        <v>450</v>
      </c>
      <c r="O4653" s="369"/>
      <c r="P4653" s="369"/>
      <c r="Q4653" s="369"/>
      <c r="R4653" s="399"/>
    </row>
    <row r="4654" spans="1:18" x14ac:dyDescent="0.3">
      <c r="A4654" s="612">
        <f t="shared" si="1403"/>
        <v>2023</v>
      </c>
      <c r="B4654" s="144"/>
      <c r="C4654" s="491"/>
      <c r="D4654" s="491"/>
      <c r="E4654" s="491"/>
      <c r="F4654" s="491">
        <f>+F4638*C$4666</f>
        <v>66.700000000000017</v>
      </c>
      <c r="G4654" s="491">
        <f t="shared" ref="G4654:N4654" si="1406">+G4638*D$4666</f>
        <v>200.10000000000005</v>
      </c>
      <c r="H4654" s="491">
        <f t="shared" si="1406"/>
        <v>306.82000000000011</v>
      </c>
      <c r="I4654" s="491">
        <f t="shared" si="1406"/>
        <v>392.19600000000008</v>
      </c>
      <c r="J4654" s="491">
        <f t="shared" si="1406"/>
        <v>454.09360000000015</v>
      </c>
      <c r="K4654" s="491">
        <f t="shared" si="1406"/>
        <v>500.25000000000017</v>
      </c>
      <c r="L4654" s="491">
        <f t="shared" si="1406"/>
        <v>500.25000000000017</v>
      </c>
      <c r="M4654" s="491">
        <f t="shared" si="1406"/>
        <v>500.25000000000017</v>
      </c>
      <c r="N4654" s="491">
        <f t="shared" si="1406"/>
        <v>500.25000000000017</v>
      </c>
      <c r="O4654" s="369"/>
      <c r="P4654" s="369"/>
      <c r="Q4654" s="369"/>
      <c r="R4654" s="399"/>
    </row>
    <row r="4655" spans="1:18" x14ac:dyDescent="0.3">
      <c r="A4655" s="612">
        <f t="shared" si="1403"/>
        <v>2024</v>
      </c>
      <c r="B4655" s="144"/>
      <c r="C4655" s="491"/>
      <c r="D4655" s="491"/>
      <c r="E4655" s="491"/>
      <c r="F4655" s="491"/>
      <c r="G4655" s="491">
        <f>+G4639*C$4666</f>
        <v>66.699999999999989</v>
      </c>
      <c r="H4655" s="491">
        <f t="shared" ref="H4655:N4655" si="1407">+H4639*D$4666</f>
        <v>200.09999999999997</v>
      </c>
      <c r="I4655" s="491">
        <f t="shared" si="1407"/>
        <v>306.82</v>
      </c>
      <c r="J4655" s="491">
        <f t="shared" si="1407"/>
        <v>392.19599999999997</v>
      </c>
      <c r="K4655" s="491">
        <f t="shared" si="1407"/>
        <v>454.09359999999992</v>
      </c>
      <c r="L4655" s="491">
        <f t="shared" si="1407"/>
        <v>500.24999999999994</v>
      </c>
      <c r="M4655" s="491">
        <f t="shared" si="1407"/>
        <v>500.24999999999994</v>
      </c>
      <c r="N4655" s="491">
        <f t="shared" si="1407"/>
        <v>500.24999999999994</v>
      </c>
      <c r="O4655" s="369"/>
      <c r="P4655" s="369"/>
      <c r="Q4655" s="369"/>
      <c r="R4655" s="399"/>
    </row>
    <row r="4656" spans="1:18" x14ac:dyDescent="0.3">
      <c r="A4656" s="612">
        <f t="shared" si="1403"/>
        <v>2025</v>
      </c>
      <c r="B4656" s="144"/>
      <c r="C4656" s="491"/>
      <c r="D4656" s="491"/>
      <c r="E4656" s="491"/>
      <c r="F4656" s="491"/>
      <c r="G4656" s="491"/>
      <c r="H4656" s="491">
        <f>+H4640*C$4666</f>
        <v>66.699999999999989</v>
      </c>
      <c r="I4656" s="491">
        <f t="shared" ref="I4656:N4656" si="1408">+I4640*D$4666</f>
        <v>200.09999999999997</v>
      </c>
      <c r="J4656" s="491">
        <f t="shared" si="1408"/>
        <v>306.82</v>
      </c>
      <c r="K4656" s="491">
        <f t="shared" si="1408"/>
        <v>392.19599999999997</v>
      </c>
      <c r="L4656" s="491">
        <f t="shared" si="1408"/>
        <v>454.09359999999992</v>
      </c>
      <c r="M4656" s="491">
        <f t="shared" si="1408"/>
        <v>500.24999999999994</v>
      </c>
      <c r="N4656" s="491">
        <f t="shared" si="1408"/>
        <v>500.24999999999994</v>
      </c>
      <c r="O4656" s="369"/>
      <c r="P4656" s="369"/>
      <c r="Q4656" s="369"/>
      <c r="R4656" s="399"/>
    </row>
    <row r="4657" spans="1:18" x14ac:dyDescent="0.3">
      <c r="A4657" s="612">
        <f t="shared" si="1403"/>
        <v>2026</v>
      </c>
      <c r="B4657" s="144"/>
      <c r="C4657" s="491"/>
      <c r="D4657" s="491"/>
      <c r="E4657" s="491"/>
      <c r="F4657" s="491"/>
      <c r="G4657" s="491"/>
      <c r="H4657" s="491"/>
      <c r="I4657" s="491">
        <f t="shared" ref="I4657:N4657" si="1409">+I4641*C$4666</f>
        <v>66.700000000000017</v>
      </c>
      <c r="J4657" s="491">
        <f t="shared" si="1409"/>
        <v>200.10000000000005</v>
      </c>
      <c r="K4657" s="491">
        <f t="shared" si="1409"/>
        <v>306.82000000000011</v>
      </c>
      <c r="L4657" s="491">
        <f t="shared" si="1409"/>
        <v>392.19600000000008</v>
      </c>
      <c r="M4657" s="491">
        <f t="shared" si="1409"/>
        <v>454.09360000000015</v>
      </c>
      <c r="N4657" s="491">
        <f t="shared" si="1409"/>
        <v>500.25000000000017</v>
      </c>
      <c r="O4657" s="369"/>
      <c r="P4657" s="369"/>
      <c r="Q4657" s="369"/>
      <c r="R4657" s="399"/>
    </row>
    <row r="4658" spans="1:18" x14ac:dyDescent="0.3">
      <c r="A4658" s="612">
        <f t="shared" si="1403"/>
        <v>2027</v>
      </c>
      <c r="B4658" s="144"/>
      <c r="C4658" s="491"/>
      <c r="D4658" s="491"/>
      <c r="E4658" s="491"/>
      <c r="F4658" s="491"/>
      <c r="G4658" s="491"/>
      <c r="H4658" s="491"/>
      <c r="I4658" s="491"/>
      <c r="J4658" s="491">
        <f>+J4642*C$4666</f>
        <v>66.700000000000017</v>
      </c>
      <c r="K4658" s="491">
        <f>+K4642*D$4666</f>
        <v>200.10000000000005</v>
      </c>
      <c r="L4658" s="491">
        <f>+L4642*E$4666</f>
        <v>306.82000000000011</v>
      </c>
      <c r="M4658" s="491">
        <f>+M4642*F$4666</f>
        <v>392.19600000000008</v>
      </c>
      <c r="N4658" s="491">
        <f>+N4642*G$4666</f>
        <v>454.09360000000015</v>
      </c>
      <c r="O4658" s="369"/>
      <c r="P4658" s="369"/>
      <c r="Q4658" s="369"/>
      <c r="R4658" s="399"/>
    </row>
    <row r="4659" spans="1:18" x14ac:dyDescent="0.3">
      <c r="A4659" s="612">
        <f t="shared" si="1403"/>
        <v>2028</v>
      </c>
      <c r="B4659" s="144"/>
      <c r="C4659" s="491"/>
      <c r="D4659" s="491"/>
      <c r="E4659" s="491"/>
      <c r="F4659" s="491"/>
      <c r="G4659" s="491"/>
      <c r="H4659" s="491"/>
      <c r="I4659" s="491"/>
      <c r="J4659" s="491"/>
      <c r="K4659" s="491">
        <f>+K4643*C$4666</f>
        <v>66.69999999999996</v>
      </c>
      <c r="L4659" s="491">
        <f>+L4643*D$4666</f>
        <v>200.09999999999988</v>
      </c>
      <c r="M4659" s="491">
        <f>+M4643*E$4666</f>
        <v>306.81999999999988</v>
      </c>
      <c r="N4659" s="491">
        <f>+N4643*F$4666</f>
        <v>392.1959999999998</v>
      </c>
      <c r="O4659" s="369"/>
      <c r="P4659" s="369"/>
      <c r="Q4659" s="369"/>
      <c r="R4659" s="399"/>
    </row>
    <row r="4660" spans="1:18" x14ac:dyDescent="0.3">
      <c r="A4660" s="612">
        <f t="shared" si="1403"/>
        <v>2029</v>
      </c>
      <c r="B4660" s="144"/>
      <c r="C4660" s="491"/>
      <c r="D4660" s="491"/>
      <c r="E4660" s="491"/>
      <c r="F4660" s="491"/>
      <c r="G4660" s="491"/>
      <c r="H4660" s="491"/>
      <c r="I4660" s="491"/>
      <c r="J4660" s="491"/>
      <c r="K4660" s="491"/>
      <c r="L4660" s="491">
        <f>+L4644*C$4666</f>
        <v>0</v>
      </c>
      <c r="M4660" s="491">
        <f>+M4644*D$4666</f>
        <v>0</v>
      </c>
      <c r="N4660" s="491">
        <f>+N4644*E$4666</f>
        <v>0</v>
      </c>
      <c r="O4660" s="369"/>
      <c r="P4660" s="369"/>
      <c r="Q4660" s="369"/>
      <c r="R4660" s="399"/>
    </row>
    <row r="4661" spans="1:18" x14ac:dyDescent="0.3">
      <c r="A4661" s="612">
        <f t="shared" si="1403"/>
        <v>2030</v>
      </c>
      <c r="B4661" s="144"/>
      <c r="C4661" s="491"/>
      <c r="D4661" s="491"/>
      <c r="E4661" s="491"/>
      <c r="F4661" s="491"/>
      <c r="G4661" s="491"/>
      <c r="H4661" s="491"/>
      <c r="I4661" s="491"/>
      <c r="J4661" s="491"/>
      <c r="K4661" s="491"/>
      <c r="L4661" s="491"/>
      <c r="M4661" s="491">
        <f>+M4645*C$4666</f>
        <v>0</v>
      </c>
      <c r="N4661" s="491">
        <f>+N4645*D$4666</f>
        <v>0</v>
      </c>
      <c r="O4661" s="369"/>
      <c r="P4661" s="369"/>
      <c r="Q4661" s="369"/>
      <c r="R4661" s="399"/>
    </row>
    <row r="4662" spans="1:18" x14ac:dyDescent="0.3">
      <c r="A4662" s="612">
        <f t="shared" si="1403"/>
        <v>2031</v>
      </c>
      <c r="B4662" s="144"/>
      <c r="C4662" s="491"/>
      <c r="D4662" s="491"/>
      <c r="E4662" s="491"/>
      <c r="F4662" s="491"/>
      <c r="G4662" s="491"/>
      <c r="H4662" s="491"/>
      <c r="I4662" s="491"/>
      <c r="J4662" s="491"/>
      <c r="K4662" s="491"/>
      <c r="L4662" s="491"/>
      <c r="M4662" s="491"/>
      <c r="N4662" s="491">
        <f>+N4646*C$4666</f>
        <v>0</v>
      </c>
      <c r="O4662" s="369"/>
      <c r="P4662" s="369"/>
      <c r="Q4662" s="369"/>
      <c r="R4662" s="399"/>
    </row>
    <row r="4663" spans="1:18" x14ac:dyDescent="0.3">
      <c r="A4663" s="493" t="s">
        <v>266</v>
      </c>
      <c r="B4663" s="144"/>
      <c r="C4663" s="613">
        <f t="shared" ref="C4663:L4663" si="1410">+SUM(C4651:C4662)</f>
        <v>5.0999999999999996</v>
      </c>
      <c r="D4663" s="613">
        <f t="shared" si="1410"/>
        <v>45</v>
      </c>
      <c r="E4663" s="613">
        <f t="shared" si="1410"/>
        <v>172.56</v>
      </c>
      <c r="F4663" s="613">
        <f t="shared" si="1410"/>
        <v>413.30799999999999</v>
      </c>
      <c r="G4663" s="613">
        <f t="shared" si="1410"/>
        <v>752.15679999999998</v>
      </c>
      <c r="H4663" s="613">
        <f t="shared" si="1410"/>
        <v>1166.8676</v>
      </c>
      <c r="I4663" s="613">
        <f t="shared" si="1410"/>
        <v>1635.296</v>
      </c>
      <c r="J4663" s="613">
        <f t="shared" si="1410"/>
        <v>2130.9096</v>
      </c>
      <c r="K4663" s="613">
        <f t="shared" si="1410"/>
        <v>2631.1596</v>
      </c>
      <c r="L4663" s="613">
        <f t="shared" si="1410"/>
        <v>3064.7096000000001</v>
      </c>
      <c r="M4663" s="613">
        <f>+SUM(M4651:M4662)</f>
        <v>3364.8595999999998</v>
      </c>
      <c r="N4663" s="613">
        <f>+SUM(N4651:N4662)</f>
        <v>3558.2896000000001</v>
      </c>
      <c r="O4663" s="531"/>
      <c r="P4663" s="531"/>
      <c r="Q4663" s="531"/>
      <c r="R4663" s="399"/>
    </row>
    <row r="4664" spans="1:18" x14ac:dyDescent="0.3">
      <c r="A4664" s="614" t="s">
        <v>268</v>
      </c>
      <c r="B4664" s="144"/>
      <c r="C4664" s="367"/>
      <c r="D4664" s="144"/>
      <c r="F4664" s="144"/>
      <c r="G4664" s="144"/>
      <c r="H4664" s="144"/>
      <c r="I4664" s="144"/>
      <c r="J4664" s="144"/>
      <c r="K4664" s="144"/>
      <c r="L4664" s="144"/>
      <c r="M4664" s="144"/>
      <c r="N4664" s="144"/>
      <c r="R4664" s="399"/>
    </row>
    <row r="4665" spans="1:18" x14ac:dyDescent="0.3">
      <c r="A4665" s="840"/>
      <c r="B4665" s="841"/>
      <c r="C4665" s="842" t="s">
        <v>2269</v>
      </c>
      <c r="D4665" s="842" t="s">
        <v>2270</v>
      </c>
      <c r="E4665" s="842" t="s">
        <v>2271</v>
      </c>
      <c r="F4665" s="842" t="s">
        <v>2272</v>
      </c>
      <c r="G4665" s="842" t="s">
        <v>2273</v>
      </c>
      <c r="H4665" s="842" t="s">
        <v>2274</v>
      </c>
      <c r="I4665" s="842" t="s">
        <v>2275</v>
      </c>
      <c r="J4665" s="842" t="s">
        <v>2276</v>
      </c>
      <c r="K4665" s="842" t="s">
        <v>2277</v>
      </c>
      <c r="L4665" s="842" t="s">
        <v>2278</v>
      </c>
      <c r="M4665" s="842" t="s">
        <v>2279</v>
      </c>
      <c r="N4665" s="842" t="s">
        <v>2280</v>
      </c>
      <c r="R4665" s="399"/>
    </row>
    <row r="4666" spans="1:18" x14ac:dyDescent="0.3">
      <c r="A4666" s="368" t="s">
        <v>2281</v>
      </c>
      <c r="C4666" s="836">
        <f>+C4667</f>
        <v>0.06</v>
      </c>
      <c r="D4666" s="836">
        <f>+C4666+D4667</f>
        <v>0.18</v>
      </c>
      <c r="E4666" s="836">
        <f>+D4666+E4667</f>
        <v>0.27600000000000002</v>
      </c>
      <c r="F4666" s="836">
        <f>+E4666+F4667</f>
        <v>0.3528</v>
      </c>
      <c r="G4666" s="836">
        <f>+F4666+G4667</f>
        <v>0.40848000000000001</v>
      </c>
      <c r="H4666" s="836">
        <v>0.45</v>
      </c>
      <c r="I4666" s="713">
        <f t="shared" ref="I4666:N4666" si="1411">+H4666</f>
        <v>0.45</v>
      </c>
      <c r="J4666" s="713">
        <f t="shared" si="1411"/>
        <v>0.45</v>
      </c>
      <c r="K4666" s="713">
        <f t="shared" si="1411"/>
        <v>0.45</v>
      </c>
      <c r="L4666" s="713">
        <f t="shared" si="1411"/>
        <v>0.45</v>
      </c>
      <c r="M4666" s="713">
        <f t="shared" si="1411"/>
        <v>0.45</v>
      </c>
      <c r="N4666" s="713">
        <f t="shared" si="1411"/>
        <v>0.45</v>
      </c>
      <c r="R4666" s="399"/>
    </row>
    <row r="4667" spans="1:18" x14ac:dyDescent="0.3">
      <c r="A4667" s="162" t="s">
        <v>2282</v>
      </c>
      <c r="C4667" s="843">
        <f>+D4667/2</f>
        <v>0.06</v>
      </c>
      <c r="D4667" s="843">
        <v>0.12</v>
      </c>
      <c r="E4667" s="843">
        <f>+D4667*0.8</f>
        <v>9.6000000000000002E-2</v>
      </c>
      <c r="F4667" s="843">
        <f>+E4667*0.8</f>
        <v>7.6800000000000007E-2</v>
      </c>
      <c r="G4667" s="843">
        <f>+F4667*0.725</f>
        <v>5.568E-2</v>
      </c>
      <c r="H4667" s="844">
        <f>+H4666-G4666</f>
        <v>4.1520000000000001E-2</v>
      </c>
      <c r="I4667" s="844">
        <v>0</v>
      </c>
      <c r="J4667" s="844">
        <v>0</v>
      </c>
      <c r="K4667" s="844">
        <v>0</v>
      </c>
      <c r="L4667" s="844">
        <v>0</v>
      </c>
      <c r="M4667" s="844">
        <v>0</v>
      </c>
      <c r="N4667" s="844">
        <v>0</v>
      </c>
      <c r="R4667" s="399"/>
    </row>
    <row r="4668" spans="1:18" ht="14.5" x14ac:dyDescent="0.35">
      <c r="A4668" s="493" t="s">
        <v>270</v>
      </c>
      <c r="B4668" s="144"/>
      <c r="C4668" s="615"/>
      <c r="D4668" s="144"/>
      <c r="E4668" s="144"/>
      <c r="F4668" s="144"/>
      <c r="G4668" s="144"/>
      <c r="H4668" s="144"/>
      <c r="I4668" s="144"/>
      <c r="J4668" s="144"/>
      <c r="K4668" s="144"/>
      <c r="L4668" s="144"/>
      <c r="M4668" s="144"/>
      <c r="N4668" s="144"/>
      <c r="R4668" s="399"/>
    </row>
    <row r="4669" spans="1:18" x14ac:dyDescent="0.3">
      <c r="A4669" s="610"/>
      <c r="B4669" s="144"/>
      <c r="C4669" s="611">
        <v>2020</v>
      </c>
      <c r="D4669" s="611">
        <f t="shared" ref="D4669:N4669" si="1412">+C4669+1</f>
        <v>2021</v>
      </c>
      <c r="E4669" s="611">
        <f t="shared" si="1412"/>
        <v>2022</v>
      </c>
      <c r="F4669" s="611">
        <f t="shared" si="1412"/>
        <v>2023</v>
      </c>
      <c r="G4669" s="611">
        <f t="shared" si="1412"/>
        <v>2024</v>
      </c>
      <c r="H4669" s="611">
        <f t="shared" si="1412"/>
        <v>2025</v>
      </c>
      <c r="I4669" s="611">
        <f t="shared" si="1412"/>
        <v>2026</v>
      </c>
      <c r="J4669" s="611">
        <f t="shared" si="1412"/>
        <v>2027</v>
      </c>
      <c r="K4669" s="611">
        <f t="shared" si="1412"/>
        <v>2028</v>
      </c>
      <c r="L4669" s="611">
        <f t="shared" si="1412"/>
        <v>2029</v>
      </c>
      <c r="M4669" s="611">
        <f t="shared" si="1412"/>
        <v>2030</v>
      </c>
      <c r="N4669" s="611">
        <f t="shared" si="1412"/>
        <v>2031</v>
      </c>
      <c r="O4669" s="90"/>
      <c r="P4669" s="90"/>
      <c r="Q4669" s="90"/>
      <c r="R4669" s="399"/>
    </row>
    <row r="4670" spans="1:18" x14ac:dyDescent="0.3">
      <c r="A4670" s="1805">
        <v>2020</v>
      </c>
      <c r="B4670" s="144"/>
      <c r="C4670" s="616">
        <f t="shared" ref="C4670:N4670" si="1413">+IFERROR(C4651/C4635,0%)</f>
        <v>0.06</v>
      </c>
      <c r="D4670" s="616">
        <f t="shared" si="1413"/>
        <v>0.18</v>
      </c>
      <c r="E4670" s="616">
        <f t="shared" si="1413"/>
        <v>0.27600000000000002</v>
      </c>
      <c r="F4670" s="616">
        <f t="shared" si="1413"/>
        <v>0.3528</v>
      </c>
      <c r="G4670" s="616">
        <f t="shared" si="1413"/>
        <v>0.40848000000000007</v>
      </c>
      <c r="H4670" s="616">
        <f t="shared" si="1413"/>
        <v>0.45</v>
      </c>
      <c r="I4670" s="616">
        <f t="shared" si="1413"/>
        <v>0.45</v>
      </c>
      <c r="J4670" s="616">
        <f t="shared" si="1413"/>
        <v>0.45</v>
      </c>
      <c r="K4670" s="616">
        <f t="shared" si="1413"/>
        <v>0.45</v>
      </c>
      <c r="L4670" s="616">
        <f t="shared" si="1413"/>
        <v>0.45</v>
      </c>
      <c r="M4670" s="616">
        <f t="shared" si="1413"/>
        <v>0.45</v>
      </c>
      <c r="N4670" s="616">
        <f t="shared" si="1413"/>
        <v>0.45</v>
      </c>
      <c r="O4670" s="74"/>
      <c r="P4670" s="74"/>
      <c r="Q4670" s="74"/>
      <c r="R4670" s="399"/>
    </row>
    <row r="4671" spans="1:18" x14ac:dyDescent="0.3">
      <c r="A4671" s="612">
        <f t="shared" ref="A4671:A4681" si="1414">+A4670+1</f>
        <v>2021</v>
      </c>
      <c r="B4671" s="144"/>
      <c r="C4671" s="616"/>
      <c r="D4671" s="616">
        <f t="shared" ref="D4671:N4671" si="1415">+IFERROR(D4652/D4636,0%)</f>
        <v>0.06</v>
      </c>
      <c r="E4671" s="616">
        <f t="shared" si="1415"/>
        <v>0.18</v>
      </c>
      <c r="F4671" s="616">
        <f t="shared" si="1415"/>
        <v>0.27600000000000002</v>
      </c>
      <c r="G4671" s="616">
        <f t="shared" si="1415"/>
        <v>0.3528</v>
      </c>
      <c r="H4671" s="616">
        <f t="shared" si="1415"/>
        <v>0.40848000000000001</v>
      </c>
      <c r="I4671" s="616">
        <f t="shared" si="1415"/>
        <v>0.45</v>
      </c>
      <c r="J4671" s="616">
        <f t="shared" si="1415"/>
        <v>0.45</v>
      </c>
      <c r="K4671" s="616">
        <f t="shared" si="1415"/>
        <v>0.45</v>
      </c>
      <c r="L4671" s="616">
        <f t="shared" si="1415"/>
        <v>0.45</v>
      </c>
      <c r="M4671" s="616">
        <f t="shared" si="1415"/>
        <v>0.45</v>
      </c>
      <c r="N4671" s="616">
        <f t="shared" si="1415"/>
        <v>0.45</v>
      </c>
      <c r="O4671" s="74"/>
      <c r="P4671" s="74"/>
      <c r="Q4671" s="74"/>
      <c r="R4671" s="399"/>
    </row>
    <row r="4672" spans="1:18" x14ac:dyDescent="0.3">
      <c r="A4672" s="612">
        <f t="shared" si="1414"/>
        <v>2022</v>
      </c>
      <c r="B4672" s="144"/>
      <c r="C4672" s="616"/>
      <c r="D4672" s="616"/>
      <c r="E4672" s="616">
        <f t="shared" ref="E4672:N4672" si="1416">+IFERROR(E4653/E4637,0%)</f>
        <v>0.06</v>
      </c>
      <c r="F4672" s="616">
        <f t="shared" si="1416"/>
        <v>0.18</v>
      </c>
      <c r="G4672" s="616">
        <f t="shared" si="1416"/>
        <v>0.27600000000000002</v>
      </c>
      <c r="H4672" s="616">
        <f t="shared" si="1416"/>
        <v>0.3528</v>
      </c>
      <c r="I4672" s="616">
        <f t="shared" si="1416"/>
        <v>0.40848000000000001</v>
      </c>
      <c r="J4672" s="616">
        <f t="shared" si="1416"/>
        <v>0.45</v>
      </c>
      <c r="K4672" s="616">
        <f t="shared" si="1416"/>
        <v>0.45</v>
      </c>
      <c r="L4672" s="616">
        <f t="shared" si="1416"/>
        <v>0.45</v>
      </c>
      <c r="M4672" s="616">
        <f t="shared" si="1416"/>
        <v>0.45</v>
      </c>
      <c r="N4672" s="616">
        <f t="shared" si="1416"/>
        <v>0.45</v>
      </c>
      <c r="O4672" s="74"/>
      <c r="P4672" s="74"/>
      <c r="Q4672" s="74"/>
      <c r="R4672" s="399"/>
    </row>
    <row r="4673" spans="1:18" x14ac:dyDescent="0.3">
      <c r="A4673" s="612">
        <f t="shared" si="1414"/>
        <v>2023</v>
      </c>
      <c r="B4673" s="144"/>
      <c r="C4673" s="616"/>
      <c r="D4673" s="616"/>
      <c r="E4673" s="616"/>
      <c r="F4673" s="616">
        <f t="shared" ref="F4673:N4673" si="1417">+IFERROR(F4654/F4638,0%)</f>
        <v>0.06</v>
      </c>
      <c r="G4673" s="616">
        <f t="shared" si="1417"/>
        <v>0.18</v>
      </c>
      <c r="H4673" s="616">
        <f t="shared" si="1417"/>
        <v>0.27600000000000002</v>
      </c>
      <c r="I4673" s="616">
        <f t="shared" si="1417"/>
        <v>0.3528</v>
      </c>
      <c r="J4673" s="616">
        <f t="shared" si="1417"/>
        <v>0.40848000000000001</v>
      </c>
      <c r="K4673" s="616">
        <f t="shared" si="1417"/>
        <v>0.45</v>
      </c>
      <c r="L4673" s="616">
        <f t="shared" si="1417"/>
        <v>0.45</v>
      </c>
      <c r="M4673" s="616">
        <f t="shared" si="1417"/>
        <v>0.45</v>
      </c>
      <c r="N4673" s="616">
        <f t="shared" si="1417"/>
        <v>0.45</v>
      </c>
      <c r="O4673" s="74"/>
      <c r="P4673" s="74"/>
      <c r="Q4673" s="74"/>
      <c r="R4673" s="399"/>
    </row>
    <row r="4674" spans="1:18" x14ac:dyDescent="0.3">
      <c r="A4674" s="612">
        <f t="shared" si="1414"/>
        <v>2024</v>
      </c>
      <c r="B4674" s="144"/>
      <c r="C4674" s="616"/>
      <c r="D4674" s="616"/>
      <c r="E4674" s="616"/>
      <c r="F4674" s="616"/>
      <c r="G4674" s="616">
        <f t="shared" ref="G4674:N4674" si="1418">+IFERROR(G4655/G4639,0%)</f>
        <v>0.06</v>
      </c>
      <c r="H4674" s="616">
        <f t="shared" si="1418"/>
        <v>0.18</v>
      </c>
      <c r="I4674" s="616">
        <f t="shared" si="1418"/>
        <v>0.27600000000000002</v>
      </c>
      <c r="J4674" s="616">
        <f t="shared" si="1418"/>
        <v>0.3528</v>
      </c>
      <c r="K4674" s="616">
        <f t="shared" si="1418"/>
        <v>0.40848000000000001</v>
      </c>
      <c r="L4674" s="616">
        <f t="shared" si="1418"/>
        <v>0.45</v>
      </c>
      <c r="M4674" s="616">
        <f t="shared" si="1418"/>
        <v>0.45</v>
      </c>
      <c r="N4674" s="616">
        <f t="shared" si="1418"/>
        <v>0.45</v>
      </c>
      <c r="O4674" s="74"/>
      <c r="P4674" s="74"/>
      <c r="Q4674" s="74"/>
      <c r="R4674" s="399"/>
    </row>
    <row r="4675" spans="1:18" x14ac:dyDescent="0.3">
      <c r="A4675" s="612">
        <f t="shared" si="1414"/>
        <v>2025</v>
      </c>
      <c r="B4675" s="144"/>
      <c r="C4675" s="616"/>
      <c r="D4675" s="616"/>
      <c r="E4675" s="616"/>
      <c r="F4675" s="616"/>
      <c r="G4675" s="616"/>
      <c r="H4675" s="616">
        <f t="shared" ref="H4675:N4675" si="1419">+IFERROR(H4656/H4640,0%)</f>
        <v>0.06</v>
      </c>
      <c r="I4675" s="616">
        <f t="shared" si="1419"/>
        <v>0.18</v>
      </c>
      <c r="J4675" s="616">
        <f t="shared" si="1419"/>
        <v>0.27600000000000002</v>
      </c>
      <c r="K4675" s="616">
        <f t="shared" si="1419"/>
        <v>0.3528</v>
      </c>
      <c r="L4675" s="616">
        <f t="shared" si="1419"/>
        <v>0.40848000000000001</v>
      </c>
      <c r="M4675" s="616">
        <f t="shared" si="1419"/>
        <v>0.45</v>
      </c>
      <c r="N4675" s="616">
        <f t="shared" si="1419"/>
        <v>0.45</v>
      </c>
      <c r="O4675" s="74"/>
      <c r="P4675" s="74"/>
      <c r="Q4675" s="74"/>
      <c r="R4675" s="399"/>
    </row>
    <row r="4676" spans="1:18" x14ac:dyDescent="0.3">
      <c r="A4676" s="612">
        <f t="shared" si="1414"/>
        <v>2026</v>
      </c>
      <c r="B4676" s="144"/>
      <c r="C4676" s="616"/>
      <c r="D4676" s="616"/>
      <c r="E4676" s="616"/>
      <c r="F4676" s="616"/>
      <c r="G4676" s="616"/>
      <c r="H4676" s="616"/>
      <c r="I4676" s="616">
        <f t="shared" ref="I4676:N4676" si="1420">+IFERROR(I4657/I4641,0%)</f>
        <v>0.06</v>
      </c>
      <c r="J4676" s="616">
        <f t="shared" si="1420"/>
        <v>0.18</v>
      </c>
      <c r="K4676" s="616">
        <f t="shared" si="1420"/>
        <v>0.27600000000000002</v>
      </c>
      <c r="L4676" s="616">
        <f t="shared" si="1420"/>
        <v>0.3528</v>
      </c>
      <c r="M4676" s="616">
        <f t="shared" si="1420"/>
        <v>0.40848000000000001</v>
      </c>
      <c r="N4676" s="616">
        <f t="shared" si="1420"/>
        <v>0.45</v>
      </c>
      <c r="O4676" s="74"/>
      <c r="P4676" s="74"/>
      <c r="Q4676" s="74"/>
      <c r="R4676" s="399"/>
    </row>
    <row r="4677" spans="1:18" x14ac:dyDescent="0.3">
      <c r="A4677" s="612">
        <f t="shared" si="1414"/>
        <v>2027</v>
      </c>
      <c r="B4677" s="144"/>
      <c r="C4677" s="616"/>
      <c r="D4677" s="616"/>
      <c r="E4677" s="616"/>
      <c r="F4677" s="616"/>
      <c r="G4677" s="616"/>
      <c r="H4677" s="616"/>
      <c r="I4677" s="616"/>
      <c r="J4677" s="616">
        <f>+IFERROR(J4658/J4642,0%)</f>
        <v>0.06</v>
      </c>
      <c r="K4677" s="616">
        <f>+IFERROR(K4658/K4642,0%)</f>
        <v>0.18</v>
      </c>
      <c r="L4677" s="616">
        <f>+IFERROR(L4658/L4642,0%)</f>
        <v>0.27600000000000002</v>
      </c>
      <c r="M4677" s="616">
        <f>+IFERROR(M4658/M4642,0%)</f>
        <v>0.3528</v>
      </c>
      <c r="N4677" s="616">
        <f>+IFERROR(N4658/N4642,0%)</f>
        <v>0.40848000000000001</v>
      </c>
      <c r="O4677" s="74"/>
      <c r="P4677" s="74"/>
      <c r="Q4677" s="74"/>
      <c r="R4677" s="399"/>
    </row>
    <row r="4678" spans="1:18" x14ac:dyDescent="0.3">
      <c r="A4678" s="612">
        <f t="shared" si="1414"/>
        <v>2028</v>
      </c>
      <c r="B4678" s="144"/>
      <c r="C4678" s="616"/>
      <c r="D4678" s="616"/>
      <c r="E4678" s="616"/>
      <c r="F4678" s="616"/>
      <c r="G4678" s="616"/>
      <c r="H4678" s="616"/>
      <c r="I4678" s="616"/>
      <c r="J4678" s="616"/>
      <c r="K4678" s="616">
        <f>+IFERROR(K4659/K4643,0%)</f>
        <v>0.06</v>
      </c>
      <c r="L4678" s="616">
        <f>+IFERROR(L4659/L4643,0%)</f>
        <v>0.18</v>
      </c>
      <c r="M4678" s="616">
        <f>+IFERROR(M4659/M4643,0%)</f>
        <v>0.27600000000000002</v>
      </c>
      <c r="N4678" s="616">
        <f>+IFERROR(N4659/N4643,0%)</f>
        <v>0.3528</v>
      </c>
      <c r="O4678" s="74"/>
      <c r="P4678" s="74"/>
      <c r="Q4678" s="74"/>
      <c r="R4678" s="399"/>
    </row>
    <row r="4679" spans="1:18" x14ac:dyDescent="0.3">
      <c r="A4679" s="612">
        <f t="shared" si="1414"/>
        <v>2029</v>
      </c>
      <c r="B4679" s="144"/>
      <c r="C4679" s="616"/>
      <c r="D4679" s="616"/>
      <c r="E4679" s="616"/>
      <c r="F4679" s="616"/>
      <c r="G4679" s="616"/>
      <c r="H4679" s="616"/>
      <c r="I4679" s="616"/>
      <c r="J4679" s="616"/>
      <c r="K4679" s="616"/>
      <c r="L4679" s="616">
        <f>+IFERROR(L4660/L4644,0%)</f>
        <v>0</v>
      </c>
      <c r="M4679" s="616">
        <f>+IFERROR(M4660/M4644,0%)</f>
        <v>0</v>
      </c>
      <c r="N4679" s="616">
        <f>+IFERROR(N4660/N4644,0%)</f>
        <v>0</v>
      </c>
      <c r="O4679" s="74"/>
      <c r="P4679" s="74"/>
      <c r="Q4679" s="74"/>
      <c r="R4679" s="399"/>
    </row>
    <row r="4680" spans="1:18" x14ac:dyDescent="0.3">
      <c r="A4680" s="612">
        <f t="shared" si="1414"/>
        <v>2030</v>
      </c>
      <c r="B4680" s="144"/>
      <c r="C4680" s="616"/>
      <c r="D4680" s="616"/>
      <c r="E4680" s="616"/>
      <c r="F4680" s="616"/>
      <c r="G4680" s="616"/>
      <c r="H4680" s="616"/>
      <c r="I4680" s="616"/>
      <c r="J4680" s="616"/>
      <c r="K4680" s="616"/>
      <c r="L4680" s="616"/>
      <c r="M4680" s="616">
        <f>+IFERROR(M4661/M4645,0%)</f>
        <v>0</v>
      </c>
      <c r="N4680" s="616">
        <f>+IFERROR(N4661/N4645,0%)</f>
        <v>0</v>
      </c>
      <c r="O4680" s="74"/>
      <c r="P4680" s="74"/>
      <c r="Q4680" s="74"/>
      <c r="R4680" s="399"/>
    </row>
    <row r="4681" spans="1:18" x14ac:dyDescent="0.3">
      <c r="A4681" s="612">
        <f t="shared" si="1414"/>
        <v>2031</v>
      </c>
      <c r="B4681" s="144"/>
      <c r="C4681" s="616"/>
      <c r="D4681" s="616"/>
      <c r="E4681" s="616"/>
      <c r="F4681" s="616"/>
      <c r="G4681" s="616"/>
      <c r="H4681" s="616"/>
      <c r="I4681" s="616"/>
      <c r="J4681" s="616"/>
      <c r="K4681" s="616"/>
      <c r="L4681" s="616"/>
      <c r="M4681" s="616"/>
      <c r="N4681" s="616">
        <f>+IFERROR(N4662/N4646,0%)</f>
        <v>0</v>
      </c>
      <c r="O4681" s="74"/>
      <c r="P4681" s="74"/>
      <c r="Q4681" s="74"/>
      <c r="R4681" s="399"/>
    </row>
    <row r="4682" spans="1:18" x14ac:dyDescent="0.3">
      <c r="A4682" s="493" t="s">
        <v>266</v>
      </c>
      <c r="B4682" s="144"/>
      <c r="C4682" s="617">
        <f t="shared" ref="C4682:M4682" si="1421">+IFERROR(C4663/C4647,0%)</f>
        <v>0.06</v>
      </c>
      <c r="D4682" s="617">
        <f t="shared" si="1421"/>
        <v>7.7586206896551727E-2</v>
      </c>
      <c r="E4682" s="617">
        <f t="shared" si="1421"/>
        <v>0.10921518987341772</v>
      </c>
      <c r="F4682" s="617">
        <f t="shared" si="1421"/>
        <v>0.15355095975232197</v>
      </c>
      <c r="G4682" s="617">
        <f t="shared" si="1421"/>
        <v>0.1977625241016652</v>
      </c>
      <c r="H4682" s="617">
        <f t="shared" si="1421"/>
        <v>0.23740948118006105</v>
      </c>
      <c r="I4682" s="617">
        <f t="shared" si="1421"/>
        <v>0.27134336283185839</v>
      </c>
      <c r="J4682" s="617">
        <f t="shared" si="1421"/>
        <v>0.2985164043894466</v>
      </c>
      <c r="K4682" s="617">
        <f t="shared" si="1421"/>
        <v>0.31892843636363638</v>
      </c>
      <c r="L4682" s="617">
        <f t="shared" si="1421"/>
        <v>0.37147995151515151</v>
      </c>
      <c r="M4682" s="617">
        <f t="shared" si="1421"/>
        <v>0.40786176969696969</v>
      </c>
      <c r="N4682" s="617">
        <f>+IFERROR(N4663/N4647,0%)</f>
        <v>0.43130783030303033</v>
      </c>
      <c r="O4682" s="92"/>
      <c r="P4682" s="92"/>
      <c r="Q4682" s="92"/>
      <c r="R4682" s="399"/>
    </row>
    <row r="4683" spans="1:18" x14ac:dyDescent="0.3">
      <c r="A4683" s="618"/>
      <c r="B4683" s="494"/>
      <c r="C4683" s="619"/>
      <c r="D4683" s="619"/>
      <c r="E4683" s="619"/>
      <c r="F4683" s="619"/>
      <c r="G4683" s="619"/>
      <c r="H4683" s="619"/>
      <c r="I4683" s="619"/>
      <c r="J4683" s="619"/>
      <c r="K4683" s="619"/>
      <c r="L4683" s="619"/>
      <c r="M4683" s="619"/>
      <c r="N4683" s="619"/>
      <c r="O4683" s="92"/>
      <c r="P4683" s="92"/>
      <c r="Q4683" s="92"/>
      <c r="R4683" s="399"/>
    </row>
    <row r="4684" spans="1:18" x14ac:dyDescent="0.3">
      <c r="A4684" s="90"/>
      <c r="C4684" s="92"/>
      <c r="D4684" s="92"/>
      <c r="E4684" s="92"/>
      <c r="F4684" s="92"/>
      <c r="G4684" s="92"/>
      <c r="H4684" s="92"/>
      <c r="I4684" s="92"/>
      <c r="J4684" s="92"/>
      <c r="K4684" s="92"/>
      <c r="L4684" s="92"/>
      <c r="M4684" s="92"/>
      <c r="N4684" s="92"/>
      <c r="O4684" s="92"/>
      <c r="P4684" s="92"/>
      <c r="Q4684" s="92"/>
      <c r="R4684" s="399"/>
    </row>
    <row r="4685" spans="1:18" x14ac:dyDescent="0.3">
      <c r="A4685" s="505" t="s">
        <v>2283</v>
      </c>
      <c r="B4685" s="90"/>
      <c r="C4685" s="85"/>
      <c r="D4685" s="85"/>
      <c r="E4685" s="85"/>
      <c r="F4685" s="85"/>
      <c r="G4685" s="85"/>
      <c r="H4685" s="85"/>
      <c r="I4685" s="85"/>
      <c r="J4685" s="85"/>
      <c r="K4685" s="85"/>
      <c r="L4685" s="85"/>
      <c r="M4685" s="85"/>
      <c r="N4685" s="85"/>
    </row>
    <row r="4686" spans="1:18" x14ac:dyDescent="0.3">
      <c r="A4686" s="508" t="s">
        <v>2284</v>
      </c>
      <c r="B4686" s="90"/>
      <c r="C4686" s="85"/>
      <c r="D4686" s="85"/>
      <c r="E4686" s="85"/>
      <c r="F4686" s="85"/>
      <c r="G4686" s="85"/>
      <c r="H4686" s="85"/>
      <c r="I4686" s="85"/>
      <c r="J4686" s="85"/>
      <c r="K4686" s="85"/>
      <c r="L4686" s="85"/>
      <c r="M4686" s="85"/>
      <c r="N4686" s="85"/>
    </row>
    <row r="4687" spans="1:18" ht="24" x14ac:dyDescent="0.3">
      <c r="A4687" s="509"/>
      <c r="B4687" s="513">
        <v>2019</v>
      </c>
      <c r="C4687" s="513">
        <v>2024</v>
      </c>
      <c r="D4687" s="513">
        <v>2031</v>
      </c>
      <c r="E4687" s="515" t="s">
        <v>2285</v>
      </c>
      <c r="F4687" s="85"/>
      <c r="G4687" s="85"/>
      <c r="H4687" s="85"/>
      <c r="I4687" s="85"/>
      <c r="J4687" s="85"/>
      <c r="K4687" s="85"/>
      <c r="L4687" s="85"/>
      <c r="M4687" s="85"/>
      <c r="N4687" s="85"/>
    </row>
    <row r="4688" spans="1:18" x14ac:dyDescent="0.3">
      <c r="A4688" s="505" t="s">
        <v>2286</v>
      </c>
      <c r="B4688" s="487"/>
      <c r="C4688" s="512"/>
      <c r="D4688" s="512"/>
      <c r="E4688" s="85"/>
      <c r="F4688" s="85"/>
      <c r="G4688" s="85"/>
      <c r="H4688" s="85"/>
      <c r="I4688" s="85"/>
      <c r="J4688" s="85"/>
      <c r="K4688" s="85"/>
      <c r="L4688" s="85"/>
      <c r="M4688" s="85"/>
      <c r="N4688" s="85"/>
    </row>
    <row r="4689" spans="1:14" x14ac:dyDescent="0.3">
      <c r="A4689" s="467" t="s">
        <v>766</v>
      </c>
      <c r="B4689" s="95">
        <v>7200</v>
      </c>
      <c r="C4689" s="365">
        <f>+C4691*C4692</f>
        <v>7653.0337078651683</v>
      </c>
      <c r="D4689" s="365">
        <f>+D4691*D4692</f>
        <v>9707.8651685393252</v>
      </c>
      <c r="E4689" s="365">
        <f>+D4689-B4689</f>
        <v>2507.8651685393252</v>
      </c>
      <c r="F4689" s="85"/>
      <c r="G4689" s="85"/>
      <c r="H4689" s="85"/>
      <c r="I4689" s="85"/>
      <c r="J4689" s="85"/>
      <c r="K4689" s="85"/>
      <c r="L4689" s="85"/>
      <c r="M4689" s="85"/>
      <c r="N4689" s="85"/>
    </row>
    <row r="4690" spans="1:14" x14ac:dyDescent="0.3">
      <c r="A4690" s="467" t="s">
        <v>2287</v>
      </c>
      <c r="B4690" s="365">
        <f>+B4691-B4689</f>
        <v>37300</v>
      </c>
      <c r="C4690" s="365">
        <f>+C4691-C4689</f>
        <v>39646.966292134835</v>
      </c>
      <c r="D4690" s="365">
        <f>+D4691-D4689</f>
        <v>50292.134831460673</v>
      </c>
      <c r="E4690" s="144"/>
      <c r="F4690" s="85"/>
      <c r="G4690" s="85"/>
      <c r="H4690" s="85"/>
      <c r="I4690" s="85"/>
      <c r="J4690" s="85"/>
      <c r="K4690" s="85"/>
      <c r="L4690" s="85"/>
      <c r="M4690" s="85"/>
      <c r="N4690" s="85"/>
    </row>
    <row r="4691" spans="1:14" x14ac:dyDescent="0.3">
      <c r="A4691" s="468" t="s">
        <v>266</v>
      </c>
      <c r="B4691" s="854">
        <v>44500</v>
      </c>
      <c r="C4691" s="854">
        <v>47300</v>
      </c>
      <c r="D4691" s="854">
        <v>60000</v>
      </c>
      <c r="E4691" s="74">
        <f>+(D4691/B4691)^(0.0833333333333333)-1</f>
        <v>2.5217324912040873E-2</v>
      </c>
      <c r="F4691" s="85"/>
      <c r="G4691" s="85"/>
      <c r="H4691" s="85"/>
      <c r="I4691" s="85"/>
      <c r="J4691" s="85"/>
      <c r="K4691" s="85"/>
      <c r="L4691" s="85"/>
      <c r="M4691" s="85"/>
      <c r="N4691" s="85"/>
    </row>
    <row r="4692" spans="1:14" x14ac:dyDescent="0.3">
      <c r="A4692" s="508" t="s">
        <v>2288</v>
      </c>
      <c r="B4692" s="375">
        <f>+B4689/B4691</f>
        <v>0.16179775280898875</v>
      </c>
      <c r="C4692" s="87">
        <f>+B4692</f>
        <v>0.16179775280898875</v>
      </c>
      <c r="D4692" s="87">
        <f>+C4692</f>
        <v>0.16179775280898875</v>
      </c>
      <c r="E4692" s="74"/>
      <c r="F4692" s="85"/>
      <c r="G4692" s="85"/>
      <c r="H4692" s="85"/>
      <c r="I4692" s="85"/>
      <c r="J4692" s="85"/>
      <c r="K4692" s="85"/>
      <c r="L4692" s="85"/>
      <c r="M4692" s="85"/>
      <c r="N4692" s="85"/>
    </row>
    <row r="4693" spans="1:14" x14ac:dyDescent="0.3">
      <c r="A4693" s="468"/>
      <c r="B4693" s="493"/>
      <c r="C4693" s="493"/>
      <c r="D4693" s="493"/>
      <c r="E4693" s="85"/>
      <c r="F4693" s="85"/>
      <c r="G4693" s="85"/>
      <c r="H4693" s="85"/>
      <c r="I4693" s="85"/>
      <c r="J4693" s="85"/>
      <c r="K4693" s="85"/>
      <c r="L4693" s="85"/>
      <c r="M4693" s="85"/>
      <c r="N4693" s="85"/>
    </row>
    <row r="4694" spans="1:14" x14ac:dyDescent="0.3">
      <c r="A4694" s="505" t="s">
        <v>2289</v>
      </c>
      <c r="B4694" s="90"/>
      <c r="C4694" s="85"/>
      <c r="D4694" s="85"/>
      <c r="E4694" s="85"/>
      <c r="F4694" s="85"/>
      <c r="G4694" s="85"/>
      <c r="H4694" s="85"/>
      <c r="I4694" s="85"/>
      <c r="J4694" s="85"/>
      <c r="K4694" s="85"/>
      <c r="L4694" s="85"/>
      <c r="M4694" s="85"/>
      <c r="N4694" s="85"/>
    </row>
    <row r="4695" spans="1:14" x14ac:dyDescent="0.3">
      <c r="A4695" s="467" t="s">
        <v>766</v>
      </c>
      <c r="B4695" s="95">
        <v>0</v>
      </c>
      <c r="C4695" s="365">
        <f>+C4697*C4698</f>
        <v>1365</v>
      </c>
      <c r="D4695" s="365">
        <f>+D4697*D4698</f>
        <v>1735</v>
      </c>
      <c r="E4695" s="85"/>
      <c r="F4695" s="85"/>
      <c r="G4695" s="85"/>
      <c r="H4695" s="85"/>
      <c r="I4695" s="85"/>
      <c r="J4695" s="85"/>
      <c r="K4695" s="85"/>
      <c r="L4695" s="85"/>
      <c r="M4695" s="85"/>
      <c r="N4695" s="85"/>
    </row>
    <row r="4696" spans="1:14" x14ac:dyDescent="0.3">
      <c r="A4696" s="467" t="s">
        <v>2287</v>
      </c>
      <c r="B4696" s="365">
        <f>+B4697-B4695</f>
        <v>13700</v>
      </c>
      <c r="C4696" s="365">
        <f>+C4697-C4695</f>
        <v>25935</v>
      </c>
      <c r="D4696" s="365">
        <f>+D4697-D4695</f>
        <v>32965</v>
      </c>
      <c r="E4696" s="85"/>
      <c r="F4696" s="85"/>
      <c r="G4696" s="85"/>
      <c r="H4696" s="85"/>
      <c r="I4696" s="85"/>
      <c r="J4696" s="85"/>
      <c r="K4696" s="85"/>
      <c r="L4696" s="85"/>
      <c r="M4696" s="85"/>
      <c r="N4696" s="85"/>
    </row>
    <row r="4697" spans="1:14" x14ac:dyDescent="0.3">
      <c r="A4697" s="468" t="s">
        <v>266</v>
      </c>
      <c r="B4697" s="854">
        <v>13700</v>
      </c>
      <c r="C4697" s="854">
        <v>27300</v>
      </c>
      <c r="D4697" s="854">
        <v>34700</v>
      </c>
      <c r="E4697" s="74">
        <f>+(D4697/B4697)^(0.0833333333333333)-1</f>
        <v>8.052314910877878E-2</v>
      </c>
      <c r="F4697" s="85"/>
      <c r="G4697" s="85"/>
      <c r="H4697" s="85"/>
      <c r="I4697" s="85"/>
      <c r="J4697" s="85"/>
      <c r="K4697" s="85"/>
      <c r="L4697" s="85"/>
      <c r="M4697" s="85"/>
      <c r="N4697" s="85"/>
    </row>
    <row r="4698" spans="1:14" x14ac:dyDescent="0.3">
      <c r="A4698" s="508" t="s">
        <v>2288</v>
      </c>
      <c r="B4698" s="375">
        <f>+B4695/B4697</f>
        <v>0</v>
      </c>
      <c r="C4698" s="87">
        <v>0.05</v>
      </c>
      <c r="D4698" s="87">
        <f>+C4698</f>
        <v>0.05</v>
      </c>
      <c r="E4698" s="85"/>
      <c r="F4698" s="85"/>
      <c r="G4698" s="85"/>
      <c r="H4698" s="85"/>
      <c r="I4698" s="85"/>
      <c r="J4698" s="85"/>
      <c r="K4698" s="85"/>
      <c r="L4698" s="85"/>
      <c r="M4698" s="85"/>
      <c r="N4698" s="85"/>
    </row>
    <row r="4699" spans="1:14" x14ac:dyDescent="0.3">
      <c r="A4699" s="468"/>
      <c r="B4699" s="90"/>
      <c r="C4699" s="85"/>
      <c r="D4699" s="85"/>
      <c r="E4699" s="85"/>
      <c r="F4699" s="85"/>
      <c r="G4699" s="85"/>
      <c r="H4699" s="85"/>
      <c r="I4699" s="85"/>
      <c r="J4699" s="85"/>
      <c r="K4699" s="85"/>
      <c r="L4699" s="85"/>
      <c r="M4699" s="85"/>
      <c r="N4699" s="85"/>
    </row>
    <row r="4700" spans="1:14" x14ac:dyDescent="0.3">
      <c r="A4700" s="505" t="s">
        <v>2290</v>
      </c>
      <c r="B4700" s="90"/>
      <c r="E4700" s="85"/>
      <c r="F4700" s="85"/>
      <c r="G4700" s="85"/>
      <c r="H4700" s="85"/>
      <c r="I4700" s="85"/>
      <c r="J4700" s="85"/>
      <c r="K4700" s="85"/>
      <c r="L4700" s="85"/>
      <c r="M4700" s="85"/>
      <c r="N4700" s="85"/>
    </row>
    <row r="4701" spans="1:14" x14ac:dyDescent="0.3">
      <c r="A4701" s="467" t="s">
        <v>2291</v>
      </c>
      <c r="B4701" s="90"/>
      <c r="C4701" s="95">
        <v>372</v>
      </c>
      <c r="D4701" s="95">
        <v>551</v>
      </c>
      <c r="E4701" s="85"/>
      <c r="F4701" s="85"/>
      <c r="G4701" s="85"/>
      <c r="H4701" s="85"/>
      <c r="I4701" s="85"/>
      <c r="J4701" s="85"/>
      <c r="K4701" s="85"/>
      <c r="L4701" s="85"/>
      <c r="M4701" s="85"/>
      <c r="N4701" s="85"/>
    </row>
    <row r="4702" spans="1:14" x14ac:dyDescent="0.3">
      <c r="A4702" s="467" t="s">
        <v>2289</v>
      </c>
      <c r="B4702" s="90"/>
      <c r="C4702" s="95">
        <v>139</v>
      </c>
      <c r="D4702" s="95">
        <v>203</v>
      </c>
      <c r="E4702" s="85"/>
      <c r="F4702" s="85"/>
      <c r="G4702" s="85"/>
      <c r="H4702" s="85"/>
      <c r="I4702" s="85"/>
      <c r="J4702" s="85"/>
      <c r="K4702" s="85"/>
      <c r="L4702" s="85"/>
      <c r="M4702" s="85"/>
      <c r="N4702" s="85"/>
    </row>
    <row r="4703" spans="1:14" x14ac:dyDescent="0.3">
      <c r="A4703" s="468" t="s">
        <v>266</v>
      </c>
      <c r="B4703" s="90"/>
      <c r="C4703" s="803">
        <f>+SUM(C4701:C4702)</f>
        <v>511</v>
      </c>
      <c r="D4703" s="803">
        <f>+SUM(D4701:D4702)</f>
        <v>754</v>
      </c>
      <c r="E4703" s="90"/>
      <c r="F4703" s="90"/>
      <c r="G4703" s="90"/>
      <c r="H4703" s="90"/>
      <c r="I4703" s="90"/>
      <c r="J4703" s="90"/>
      <c r="K4703" s="90"/>
      <c r="L4703" s="90"/>
      <c r="M4703" s="90"/>
    </row>
    <row r="4704" spans="1:14" x14ac:dyDescent="0.3">
      <c r="A4704" s="508" t="s">
        <v>2292</v>
      </c>
      <c r="C4704" s="514">
        <f>+C4701/C4691/12*(10^6)</f>
        <v>655.39112050739959</v>
      </c>
      <c r="D4704" s="514">
        <f>+D4701/D4691/12*(10^6)</f>
        <v>765.27777777777783</v>
      </c>
    </row>
    <row r="4705" spans="1:14" x14ac:dyDescent="0.3">
      <c r="A4705" s="508" t="s">
        <v>2293</v>
      </c>
      <c r="B4705" s="85"/>
      <c r="C4705" s="514">
        <f>+C4702/C4697/12*(10^6)</f>
        <v>424.29792429792428</v>
      </c>
      <c r="D4705" s="514">
        <f>+D4702/D4697/12*(10^6)</f>
        <v>487.51200768491833</v>
      </c>
      <c r="E4705" s="85"/>
      <c r="F4705" s="85"/>
      <c r="G4705" s="85"/>
      <c r="H4705" s="85"/>
      <c r="I4705" s="90"/>
      <c r="J4705" s="90"/>
      <c r="K4705" s="90"/>
      <c r="L4705" s="90"/>
      <c r="M4705" s="90"/>
      <c r="N4705" s="90"/>
    </row>
    <row r="4706" spans="1:14" x14ac:dyDescent="0.3">
      <c r="A4706" s="516"/>
      <c r="B4706" s="100"/>
      <c r="C4706" s="100"/>
      <c r="D4706" s="100"/>
      <c r="E4706" s="100"/>
      <c r="F4706" s="85"/>
      <c r="G4706" s="85"/>
      <c r="H4706" s="85"/>
      <c r="I4706" s="90"/>
      <c r="J4706" s="90"/>
      <c r="K4706" s="90"/>
      <c r="L4706" s="90"/>
      <c r="M4706" s="90"/>
      <c r="N4706" s="90"/>
    </row>
    <row r="4707" spans="1:14" x14ac:dyDescent="0.3">
      <c r="A4707" s="298"/>
      <c r="B4707" s="85"/>
      <c r="C4707" s="85"/>
      <c r="D4707" s="85"/>
      <c r="E4707" s="85"/>
      <c r="F4707" s="85"/>
      <c r="G4707" s="85"/>
      <c r="H4707" s="85"/>
      <c r="I4707" s="90"/>
      <c r="J4707" s="90"/>
      <c r="K4707" s="90"/>
      <c r="L4707" s="90"/>
      <c r="M4707" s="90"/>
      <c r="N4707" s="90"/>
    </row>
    <row r="4708" spans="1:14" x14ac:dyDescent="0.3">
      <c r="A4708" s="298"/>
      <c r="B4708" s="85"/>
      <c r="C4708" s="85"/>
      <c r="D4708" s="85"/>
      <c r="E4708" s="85"/>
      <c r="F4708" s="85"/>
      <c r="G4708" s="85"/>
      <c r="H4708" s="85"/>
      <c r="I4708" s="90"/>
      <c r="J4708" s="90"/>
      <c r="K4708" s="90"/>
      <c r="L4708" s="90"/>
      <c r="M4708" s="90"/>
      <c r="N4708" s="90"/>
    </row>
    <row r="4709" spans="1:14" x14ac:dyDescent="0.3">
      <c r="A4709" s="472" t="s">
        <v>2294</v>
      </c>
      <c r="B4709" s="85"/>
      <c r="C4709" s="85"/>
      <c r="D4709" s="85"/>
      <c r="E4709" s="85"/>
      <c r="F4709" s="85"/>
      <c r="G4709" s="85"/>
      <c r="H4709" s="85"/>
      <c r="I4709" s="90"/>
      <c r="J4709" s="90"/>
      <c r="K4709" s="90"/>
      <c r="L4709" s="90"/>
      <c r="M4709" s="90"/>
      <c r="N4709" s="90"/>
    </row>
    <row r="4710" spans="1:14" x14ac:dyDescent="0.3">
      <c r="A4710" s="298"/>
      <c r="B4710" s="85" t="s">
        <v>2295</v>
      </c>
      <c r="C4710" s="85" t="s">
        <v>2296</v>
      </c>
      <c r="D4710" s="85"/>
      <c r="E4710" s="85"/>
      <c r="F4710" s="85"/>
      <c r="G4710" s="85"/>
      <c r="H4710" s="85"/>
      <c r="I4710" s="90"/>
      <c r="J4710" s="90"/>
      <c r="K4710" s="90"/>
      <c r="L4710" s="90"/>
      <c r="M4710" s="90"/>
      <c r="N4710" s="90"/>
    </row>
    <row r="4711" spans="1:14" x14ac:dyDescent="0.3">
      <c r="B4711" s="85">
        <f>+N4564</f>
        <v>8250</v>
      </c>
      <c r="C4711" s="85" t="e">
        <f>+B4479</f>
        <v>#REF!</v>
      </c>
      <c r="D4711" s="85"/>
      <c r="E4711" s="85"/>
      <c r="F4711" s="85"/>
      <c r="G4711" s="85"/>
      <c r="H4711" s="85"/>
      <c r="I4711" s="90"/>
      <c r="J4711" s="90"/>
      <c r="K4711" s="90"/>
      <c r="L4711" s="90"/>
      <c r="M4711" s="90"/>
      <c r="N4711" s="90"/>
    </row>
    <row r="4712" spans="1:14" x14ac:dyDescent="0.3">
      <c r="A4712" s="548">
        <v>1.4675</v>
      </c>
      <c r="B4712" s="76"/>
      <c r="C4712" s="76"/>
      <c r="D4712" s="85"/>
      <c r="E4712" s="85"/>
      <c r="F4712" s="85"/>
      <c r="G4712" s="85"/>
      <c r="H4712" s="85"/>
      <c r="I4712" s="90"/>
      <c r="J4712" s="90"/>
      <c r="K4712" s="90"/>
      <c r="L4712" s="90"/>
      <c r="M4712" s="90"/>
      <c r="N4712" s="90"/>
    </row>
    <row r="4713" spans="1:14" x14ac:dyDescent="0.3">
      <c r="A4713" s="548">
        <f>+A4712+0.25</f>
        <v>1.7175</v>
      </c>
      <c r="B4713" s="76"/>
      <c r="C4713" s="76"/>
      <c r="D4713" s="85"/>
      <c r="E4713" s="85"/>
      <c r="F4713" s="85"/>
      <c r="G4713" s="85"/>
      <c r="H4713" s="85"/>
      <c r="I4713" s="90"/>
      <c r="J4713" s="90"/>
      <c r="K4713" s="90"/>
      <c r="L4713" s="90"/>
      <c r="M4713" s="90"/>
      <c r="N4713" s="90"/>
    </row>
    <row r="4714" spans="1:14" x14ac:dyDescent="0.3">
      <c r="A4714" s="548">
        <f t="shared" ref="A4714:A4724" si="1422">+A4713+0.25</f>
        <v>1.9675</v>
      </c>
      <c r="B4714" s="76"/>
      <c r="C4714" s="76"/>
      <c r="D4714" s="85"/>
      <c r="E4714" s="85"/>
      <c r="F4714" s="85"/>
      <c r="G4714" s="85"/>
      <c r="H4714" s="85"/>
      <c r="I4714" s="90"/>
      <c r="J4714" s="90"/>
      <c r="K4714" s="90"/>
      <c r="L4714" s="90"/>
      <c r="M4714" s="90"/>
      <c r="N4714" s="90"/>
    </row>
    <row r="4715" spans="1:14" x14ac:dyDescent="0.3">
      <c r="A4715" s="548">
        <f t="shared" si="1422"/>
        <v>2.2175000000000002</v>
      </c>
      <c r="B4715" s="76"/>
      <c r="C4715" s="76"/>
      <c r="D4715" s="85"/>
      <c r="E4715" s="85"/>
      <c r="F4715" s="85"/>
      <c r="G4715" s="85"/>
      <c r="H4715" s="85"/>
      <c r="I4715" s="90"/>
      <c r="J4715" s="90"/>
      <c r="K4715" s="90"/>
      <c r="L4715" s="90"/>
      <c r="M4715" s="90"/>
      <c r="N4715" s="90"/>
    </row>
    <row r="4716" spans="1:14" x14ac:dyDescent="0.3">
      <c r="A4716" s="548">
        <f t="shared" si="1422"/>
        <v>2.4675000000000002</v>
      </c>
      <c r="B4716" s="76"/>
      <c r="C4716" s="76"/>
      <c r="D4716" s="85"/>
      <c r="E4716" s="85"/>
      <c r="F4716" s="85"/>
      <c r="G4716" s="85"/>
      <c r="H4716" s="85"/>
      <c r="I4716" s="90"/>
      <c r="J4716" s="90"/>
      <c r="K4716" s="90"/>
      <c r="L4716" s="90"/>
      <c r="M4716" s="90"/>
      <c r="N4716" s="90"/>
    </row>
    <row r="4717" spans="1:14" x14ac:dyDescent="0.3">
      <c r="A4717" s="548">
        <f t="shared" si="1422"/>
        <v>2.7175000000000002</v>
      </c>
      <c r="B4717" s="76"/>
      <c r="C4717" s="76"/>
      <c r="D4717" s="85"/>
      <c r="E4717" s="85"/>
      <c r="F4717" s="85"/>
      <c r="G4717" s="85"/>
      <c r="H4717" s="85"/>
      <c r="I4717" s="90"/>
      <c r="J4717" s="90"/>
      <c r="K4717" s="90"/>
      <c r="L4717" s="90"/>
      <c r="M4717" s="90"/>
      <c r="N4717" s="90"/>
    </row>
    <row r="4718" spans="1:14" x14ac:dyDescent="0.3">
      <c r="A4718" s="548">
        <f t="shared" si="1422"/>
        <v>2.9675000000000002</v>
      </c>
      <c r="B4718" s="76"/>
      <c r="C4718" s="76"/>
      <c r="D4718" s="85"/>
      <c r="E4718" s="85"/>
      <c r="F4718" s="85"/>
      <c r="G4718" s="85"/>
      <c r="H4718" s="85"/>
      <c r="I4718" s="90"/>
      <c r="J4718" s="90"/>
      <c r="K4718" s="90"/>
      <c r="L4718" s="90"/>
      <c r="M4718" s="90"/>
      <c r="N4718" s="90"/>
    </row>
    <row r="4719" spans="1:14" x14ac:dyDescent="0.3">
      <c r="A4719" s="548">
        <v>3.3237000000000001</v>
      </c>
      <c r="B4719" s="76"/>
      <c r="C4719" s="76"/>
      <c r="D4719" s="85"/>
      <c r="E4719" s="85"/>
      <c r="F4719" s="85"/>
      <c r="G4719" s="85"/>
      <c r="H4719" s="85"/>
      <c r="I4719" s="90"/>
      <c r="J4719" s="90"/>
      <c r="K4719" s="90"/>
      <c r="L4719" s="90"/>
      <c r="M4719" s="90"/>
      <c r="N4719" s="90"/>
    </row>
    <row r="4720" spans="1:14" x14ac:dyDescent="0.3">
      <c r="A4720" s="548">
        <v>3.323</v>
      </c>
      <c r="B4720" s="76"/>
      <c r="C4720" s="76"/>
      <c r="D4720" s="85"/>
      <c r="E4720" s="85"/>
      <c r="F4720" s="85"/>
      <c r="G4720" s="85"/>
      <c r="H4720" s="85"/>
      <c r="I4720" s="90"/>
      <c r="J4720" s="90"/>
      <c r="K4720" s="90"/>
      <c r="L4720" s="90"/>
      <c r="M4720" s="90"/>
      <c r="N4720" s="90"/>
    </row>
    <row r="4721" spans="1:14" x14ac:dyDescent="0.3">
      <c r="A4721" s="548">
        <f t="shared" si="1422"/>
        <v>3.573</v>
      </c>
      <c r="B4721" s="76"/>
      <c r="C4721" s="76"/>
      <c r="D4721" s="85"/>
      <c r="E4721" s="85"/>
      <c r="F4721" s="85"/>
      <c r="G4721" s="85"/>
      <c r="H4721" s="85"/>
      <c r="I4721" s="90"/>
      <c r="J4721" s="90"/>
      <c r="K4721" s="90"/>
      <c r="L4721" s="90"/>
      <c r="M4721" s="90"/>
      <c r="N4721" s="90"/>
    </row>
    <row r="4722" spans="1:14" x14ac:dyDescent="0.3">
      <c r="A4722" s="548">
        <f t="shared" si="1422"/>
        <v>3.823</v>
      </c>
      <c r="B4722" s="76"/>
      <c r="C4722" s="76"/>
      <c r="D4722" s="85"/>
      <c r="E4722" s="85"/>
      <c r="F4722" s="85"/>
      <c r="G4722" s="85"/>
      <c r="H4722" s="85"/>
      <c r="I4722" s="90"/>
      <c r="J4722" s="90"/>
      <c r="K4722" s="90"/>
      <c r="L4722" s="90"/>
      <c r="M4722" s="90"/>
      <c r="N4722" s="90"/>
    </row>
    <row r="4723" spans="1:14" x14ac:dyDescent="0.3">
      <c r="A4723" s="548">
        <f t="shared" si="1422"/>
        <v>4.0730000000000004</v>
      </c>
      <c r="B4723" s="76"/>
      <c r="C4723" s="76"/>
      <c r="D4723" s="85"/>
      <c r="E4723" s="85"/>
      <c r="F4723" s="85"/>
      <c r="G4723" s="85"/>
      <c r="H4723" s="85"/>
      <c r="I4723" s="90"/>
      <c r="J4723" s="90"/>
      <c r="K4723" s="90"/>
      <c r="L4723" s="90"/>
      <c r="M4723" s="90"/>
      <c r="N4723" s="90"/>
    </row>
    <row r="4724" spans="1:14" x14ac:dyDescent="0.3">
      <c r="A4724" s="548">
        <f t="shared" si="1422"/>
        <v>4.3230000000000004</v>
      </c>
      <c r="B4724" s="76"/>
      <c r="C4724" s="76"/>
      <c r="D4724" s="85"/>
      <c r="E4724" s="85"/>
      <c r="F4724" s="85"/>
      <c r="G4724" s="85"/>
      <c r="H4724" s="85"/>
      <c r="I4724" s="90"/>
      <c r="J4724" s="90"/>
      <c r="K4724" s="90"/>
      <c r="L4724" s="90"/>
      <c r="M4724" s="90"/>
      <c r="N4724" s="90"/>
    </row>
    <row r="4725" spans="1:14" x14ac:dyDescent="0.3">
      <c r="A4725" s="298"/>
      <c r="B4725" s="85"/>
      <c r="C4725" s="85"/>
      <c r="D4725" s="85"/>
      <c r="E4725" s="85"/>
      <c r="F4725" s="85"/>
      <c r="G4725" s="85"/>
      <c r="H4725" s="85"/>
      <c r="I4725" s="90"/>
      <c r="J4725" s="90"/>
      <c r="K4725" s="90"/>
      <c r="L4725" s="90"/>
      <c r="M4725" s="90"/>
      <c r="N4725" s="90"/>
    </row>
    <row r="4726" spans="1:14" x14ac:dyDescent="0.3">
      <c r="A4726" s="298"/>
      <c r="B4726" s="85"/>
      <c r="C4726" s="85"/>
      <c r="D4726" s="85"/>
      <c r="E4726" s="85"/>
      <c r="F4726" s="85"/>
      <c r="G4726" s="85"/>
      <c r="H4726" s="85"/>
      <c r="I4726" s="90"/>
      <c r="J4726" s="90"/>
      <c r="K4726" s="90"/>
      <c r="L4726" s="90"/>
      <c r="M4726" s="90"/>
      <c r="N4726" s="90"/>
    </row>
    <row r="4727" spans="1:14" x14ac:dyDescent="0.3">
      <c r="A4727" s="298"/>
      <c r="B4727" s="85"/>
      <c r="C4727" s="85"/>
      <c r="D4727" s="85"/>
      <c r="E4727" s="85"/>
      <c r="F4727" s="85"/>
      <c r="G4727" s="85"/>
      <c r="H4727" s="85"/>
      <c r="I4727" s="90"/>
      <c r="J4727" s="90"/>
      <c r="K4727" s="90"/>
      <c r="L4727" s="90"/>
      <c r="M4727" s="90"/>
      <c r="N4727" s="90"/>
    </row>
    <row r="4728" spans="1:14" x14ac:dyDescent="0.3">
      <c r="A4728" s="533" t="s">
        <v>2297</v>
      </c>
      <c r="B4728" s="534"/>
      <c r="C4728" s="534"/>
      <c r="D4728" s="534"/>
      <c r="E4728" s="534"/>
      <c r="F4728" s="534"/>
      <c r="G4728" s="643"/>
      <c r="H4728" s="643"/>
      <c r="I4728" s="644"/>
      <c r="J4728" s="644"/>
      <c r="K4728" s="644"/>
      <c r="L4728" s="644"/>
      <c r="M4728" s="644"/>
      <c r="N4728" s="644"/>
    </row>
    <row r="4729" spans="1:14" ht="36" x14ac:dyDescent="0.3">
      <c r="A4729" s="736" t="s">
        <v>2066</v>
      </c>
      <c r="B4729" s="714" t="s">
        <v>2159</v>
      </c>
      <c r="C4729" s="714" t="s">
        <v>2213</v>
      </c>
      <c r="D4729" s="714" t="s">
        <v>186</v>
      </c>
      <c r="E4729" s="714" t="s">
        <v>188</v>
      </c>
      <c r="G4729" s="85"/>
      <c r="H4729" s="85"/>
      <c r="I4729" s="90"/>
      <c r="J4729" s="90"/>
      <c r="K4729" s="90"/>
      <c r="L4729" s="90"/>
      <c r="M4729" s="90"/>
      <c r="N4729" s="90"/>
    </row>
    <row r="4730" spans="1:14" x14ac:dyDescent="0.3">
      <c r="A4730" s="368"/>
      <c r="B4730" s="526"/>
      <c r="C4730" s="191"/>
      <c r="D4730" s="526"/>
      <c r="E4730" s="526"/>
      <c r="G4730" s="85"/>
      <c r="H4730" s="85"/>
      <c r="I4730" s="90"/>
      <c r="J4730" s="90"/>
      <c r="K4730" s="90"/>
      <c r="L4730" s="90"/>
      <c r="M4730" s="90"/>
      <c r="N4730" s="90"/>
    </row>
    <row r="4731" spans="1:14" x14ac:dyDescent="0.3">
      <c r="A4731" s="527">
        <v>0.09</v>
      </c>
      <c r="B4731" s="526">
        <v>8249.5540000000001</v>
      </c>
      <c r="C4731" s="191">
        <v>0.16093794621695023</v>
      </c>
      <c r="D4731" s="526">
        <v>9306.5027197260042</v>
      </c>
      <c r="E4731" s="526">
        <v>2183.6957983757729</v>
      </c>
      <c r="G4731" s="85"/>
      <c r="H4731" s="85"/>
      <c r="I4731" s="90"/>
      <c r="J4731" s="90"/>
      <c r="K4731" s="90"/>
      <c r="L4731" s="90"/>
      <c r="M4731" s="90"/>
      <c r="N4731" s="90"/>
    </row>
    <row r="4732" spans="1:14" x14ac:dyDescent="0.3">
      <c r="A4732" s="527">
        <v>9.9999999999999992E-2</v>
      </c>
      <c r="B4732" s="526">
        <v>7731.3530000000001</v>
      </c>
      <c r="C4732" s="191">
        <v>0.1684992814808568</v>
      </c>
      <c r="D4732" s="526">
        <v>8209.8473351471584</v>
      </c>
      <c r="E4732" s="526">
        <v>2028.1791693776504</v>
      </c>
      <c r="G4732" s="85"/>
      <c r="H4732" s="85"/>
      <c r="I4732" s="90"/>
      <c r="J4732" s="90"/>
      <c r="K4732" s="90"/>
      <c r="L4732" s="90"/>
      <c r="M4732" s="90"/>
      <c r="N4732" s="90"/>
    </row>
    <row r="4733" spans="1:14" x14ac:dyDescent="0.3">
      <c r="A4733" s="527">
        <v>0.10999999999999999</v>
      </c>
      <c r="B4733" s="526">
        <v>7210.085</v>
      </c>
      <c r="C4733" s="191">
        <v>0.17626670927004362</v>
      </c>
      <c r="D4733" s="526">
        <v>7198.2933271950169</v>
      </c>
      <c r="E4733" s="526">
        <v>1873.7842279869321</v>
      </c>
      <c r="G4733" s="85"/>
      <c r="H4733" s="85"/>
      <c r="I4733" s="90"/>
      <c r="J4733" s="90"/>
      <c r="K4733" s="90"/>
      <c r="L4733" s="90"/>
      <c r="M4733" s="90"/>
      <c r="N4733" s="90"/>
    </row>
    <row r="4734" spans="1:14" x14ac:dyDescent="0.3">
      <c r="A4734" s="527">
        <v>0.11999999999999998</v>
      </c>
      <c r="B4734" s="526">
        <v>6734.7280000000001</v>
      </c>
      <c r="C4734" s="191">
        <v>0.18324157834640009</v>
      </c>
      <c r="D4734" s="526">
        <v>6377.5672383119108</v>
      </c>
      <c r="E4734" s="526">
        <v>1738.6225308765272</v>
      </c>
      <c r="G4734" s="85"/>
      <c r="H4734" s="85"/>
      <c r="I4734" s="90"/>
      <c r="J4734" s="90"/>
      <c r="K4734" s="90"/>
      <c r="L4734" s="90"/>
      <c r="M4734" s="90"/>
      <c r="N4734" s="90"/>
    </row>
    <row r="4735" spans="1:14" x14ac:dyDescent="0.3">
      <c r="A4735" s="527">
        <v>0.12999999999999998</v>
      </c>
      <c r="B4735" s="526">
        <v>6299.2060000000001</v>
      </c>
      <c r="C4735" s="191">
        <v>0.18933746630780734</v>
      </c>
      <c r="D4735" s="526">
        <v>5714.8724000343645</v>
      </c>
      <c r="E4735" s="526">
        <v>1621.3228146819915</v>
      </c>
      <c r="G4735" s="85"/>
      <c r="H4735" s="85"/>
      <c r="I4735" s="90"/>
      <c r="J4735" s="90"/>
      <c r="K4735" s="90"/>
      <c r="L4735" s="90"/>
      <c r="M4735" s="90"/>
      <c r="N4735" s="90"/>
    </row>
    <row r="4736" spans="1:14" x14ac:dyDescent="0.3">
      <c r="A4736" s="527">
        <v>0.13999999999999999</v>
      </c>
      <c r="B4736" s="526">
        <v>5846.4750000000004</v>
      </c>
      <c r="C4736" s="191">
        <v>0.19608745413736917</v>
      </c>
      <c r="D4736" s="526">
        <v>5029.1460244281607</v>
      </c>
      <c r="E4736" s="526">
        <v>1491.0905580952199</v>
      </c>
      <c r="G4736" s="85"/>
      <c r="H4736" s="85"/>
      <c r="I4736" s="90"/>
      <c r="J4736" s="90"/>
      <c r="K4736" s="90"/>
      <c r="L4736" s="90"/>
      <c r="M4736" s="90"/>
      <c r="N4736" s="90"/>
    </row>
    <row r="4737" spans="1:14" x14ac:dyDescent="0.3">
      <c r="A4737" s="527">
        <v>0.15</v>
      </c>
      <c r="B4737" s="526">
        <v>5351.6670000000004</v>
      </c>
      <c r="C4737" s="191">
        <v>0.20322119606566136</v>
      </c>
      <c r="D4737" s="526">
        <v>4372.5388837421615</v>
      </c>
      <c r="E4737" s="526">
        <v>1356.7420397706583</v>
      </c>
      <c r="G4737" s="85"/>
      <c r="H4737" s="85"/>
      <c r="I4737" s="90"/>
      <c r="J4737" s="90"/>
      <c r="K4737" s="90"/>
      <c r="L4737" s="90"/>
      <c r="M4737" s="90"/>
      <c r="N4737" s="90"/>
    </row>
    <row r="4738" spans="1:14" x14ac:dyDescent="0.3">
      <c r="A4738" s="527">
        <v>0.16</v>
      </c>
      <c r="B4738" s="526">
        <v>4915.933</v>
      </c>
      <c r="C4738" s="191">
        <v>0.20925588429425845</v>
      </c>
      <c r="D4738" s="526">
        <v>3863.4071510943118</v>
      </c>
      <c r="E4738" s="526">
        <v>1245.0830450928192</v>
      </c>
      <c r="G4738" s="85"/>
      <c r="H4738" s="85"/>
      <c r="I4738" s="90"/>
      <c r="J4738" s="90"/>
      <c r="K4738" s="90"/>
      <c r="L4738" s="90"/>
      <c r="M4738" s="90"/>
      <c r="N4738" s="90"/>
    </row>
    <row r="4739" spans="1:14" x14ac:dyDescent="0.3">
      <c r="A4739" s="527">
        <v>0.17</v>
      </c>
      <c r="B4739" s="526">
        <v>4451.424</v>
      </c>
      <c r="C4739" s="191">
        <v>0.21559671559936011</v>
      </c>
      <c r="D4739" s="526">
        <v>3359.8794801546919</v>
      </c>
      <c r="E4739" s="526">
        <v>1126.525971617428</v>
      </c>
      <c r="G4739" s="85"/>
      <c r="H4739" s="85"/>
      <c r="I4739" s="90"/>
      <c r="J4739" s="90"/>
      <c r="K4739" s="90"/>
      <c r="L4739" s="90"/>
      <c r="M4739" s="90"/>
      <c r="N4739" s="90"/>
    </row>
    <row r="4740" spans="1:14" x14ac:dyDescent="0.3">
      <c r="A4740" s="527">
        <v>0.18000000000000002</v>
      </c>
      <c r="B4740" s="526">
        <v>4010.5830000000001</v>
      </c>
      <c r="C4740" s="191">
        <v>0.22158770744201117</v>
      </c>
      <c r="D4740" s="526">
        <v>2917.8706333602513</v>
      </c>
      <c r="E4740" s="526">
        <v>1015.0889401201282</v>
      </c>
      <c r="G4740" s="85"/>
      <c r="H4740" s="85"/>
      <c r="I4740" s="90"/>
      <c r="J4740" s="90"/>
      <c r="K4740" s="90"/>
      <c r="L4740" s="90"/>
      <c r="M4740" s="90"/>
      <c r="N4740" s="90"/>
    </row>
    <row r="4741" spans="1:14" x14ac:dyDescent="0.3">
      <c r="A4741" s="527">
        <v>0.19000000000000003</v>
      </c>
      <c r="B4741" s="526">
        <v>3597.9209999999998</v>
      </c>
      <c r="C4741" s="191">
        <v>0.22705043615901688</v>
      </c>
      <c r="D4741" s="526">
        <v>2533.7606924318802</v>
      </c>
      <c r="E4741" s="526">
        <v>911.37870940230698</v>
      </c>
      <c r="G4741" s="85"/>
      <c r="H4741" s="85"/>
      <c r="I4741" s="90"/>
      <c r="J4741" s="90"/>
      <c r="K4741" s="90"/>
      <c r="L4741" s="90"/>
      <c r="M4741" s="90"/>
      <c r="N4741" s="90"/>
    </row>
    <row r="4742" spans="1:14" x14ac:dyDescent="0.3">
      <c r="A4742" s="527">
        <v>0.20000000000000004</v>
      </c>
      <c r="B4742" s="526">
        <v>3126.12</v>
      </c>
      <c r="C4742" s="191">
        <v>0.23332320855191058</v>
      </c>
      <c r="D4742" s="526">
        <v>2124.1360534452592</v>
      </c>
      <c r="E4742" s="526">
        <v>793.48609026008273</v>
      </c>
      <c r="G4742" s="85"/>
      <c r="H4742" s="85"/>
      <c r="I4742" s="90"/>
      <c r="J4742" s="90"/>
      <c r="K4742" s="90"/>
      <c r="L4742" s="90"/>
      <c r="M4742" s="90"/>
      <c r="N4742" s="90"/>
    </row>
    <row r="4743" spans="1:14" x14ac:dyDescent="0.3">
      <c r="A4743" s="114"/>
      <c r="B4743" s="114"/>
      <c r="C4743" s="114"/>
      <c r="D4743" s="114"/>
      <c r="E4743" s="114"/>
      <c r="G4743" s="85"/>
      <c r="H4743" s="85"/>
      <c r="I4743" s="90"/>
      <c r="J4743" s="90"/>
      <c r="K4743" s="90"/>
      <c r="L4743" s="90"/>
      <c r="M4743" s="90"/>
      <c r="N4743" s="90"/>
    </row>
    <row r="4744" spans="1:14" x14ac:dyDescent="0.3">
      <c r="A4744" s="298"/>
      <c r="B4744" s="85"/>
      <c r="C4744" s="85"/>
      <c r="D4744" s="85"/>
      <c r="E4744" s="85"/>
      <c r="F4744" s="85"/>
      <c r="G4744" s="85"/>
      <c r="H4744" s="85"/>
      <c r="I4744" s="90"/>
      <c r="J4744" s="90"/>
      <c r="K4744" s="90"/>
      <c r="L4744" s="90"/>
      <c r="M4744" s="90"/>
      <c r="N4744" s="90"/>
    </row>
    <row r="4745" spans="1:14" x14ac:dyDescent="0.3">
      <c r="A4745" s="642" t="s">
        <v>2298</v>
      </c>
      <c r="B4745" s="643"/>
      <c r="C4745" s="643"/>
      <c r="D4745" s="643"/>
      <c r="E4745" s="643"/>
      <c r="F4745" s="643"/>
      <c r="G4745" s="643"/>
      <c r="H4745" s="643"/>
      <c r="I4745" s="644"/>
      <c r="J4745" s="644"/>
      <c r="K4745" s="644"/>
      <c r="L4745" s="644"/>
      <c r="M4745" s="644"/>
      <c r="N4745" s="644"/>
    </row>
    <row r="4746" spans="1:14" x14ac:dyDescent="0.3">
      <c r="A4746" s="298"/>
      <c r="B4746" s="85"/>
      <c r="C4746" s="85"/>
      <c r="D4746" s="85"/>
      <c r="E4746" s="85"/>
      <c r="F4746" s="85"/>
      <c r="G4746" s="85"/>
      <c r="H4746" s="85"/>
      <c r="I4746" s="90"/>
      <c r="J4746" s="90"/>
      <c r="K4746" s="90"/>
      <c r="L4746" s="90"/>
      <c r="M4746" s="90"/>
      <c r="N4746" s="90"/>
    </row>
    <row r="4747" spans="1:14" ht="48" x14ac:dyDescent="0.3">
      <c r="A4747" s="641" t="s">
        <v>324</v>
      </c>
      <c r="B4747" s="513" t="s">
        <v>2299</v>
      </c>
      <c r="C4747" s="607" t="s">
        <v>148</v>
      </c>
      <c r="D4747" s="607" t="s">
        <v>2300</v>
      </c>
      <c r="E4747" s="729" t="s">
        <v>2301</v>
      </c>
      <c r="F4747" s="729" t="s">
        <v>2302</v>
      </c>
      <c r="G4747" s="729" t="s">
        <v>2303</v>
      </c>
      <c r="H4747" s="729" t="s">
        <v>2304</v>
      </c>
      <c r="I4747" s="90"/>
      <c r="J4747" s="90"/>
      <c r="K4747" s="90"/>
      <c r="L4747" s="90"/>
      <c r="M4747" s="90"/>
      <c r="N4747" s="90"/>
    </row>
    <row r="4748" spans="1:14" hidden="1" outlineLevel="1" x14ac:dyDescent="0.3">
      <c r="A4748" s="85"/>
      <c r="B4748" s="85" t="e">
        <f>+$B$4479</f>
        <v>#REF!</v>
      </c>
      <c r="C4748" s="85" t="e">
        <f>+MAX(C4551:N4551)</f>
        <v>#REF!</v>
      </c>
      <c r="D4748" s="76" t="e">
        <f>+SUM(B4748:C4748)</f>
        <v>#REF!</v>
      </c>
      <c r="H4748" s="85"/>
      <c r="I4748" s="90"/>
      <c r="J4748" s="90"/>
      <c r="K4748" s="90"/>
      <c r="L4748" s="90"/>
      <c r="M4748" s="90"/>
      <c r="N4748" s="90"/>
    </row>
    <row r="4749" spans="1:14" collapsed="1" x14ac:dyDescent="0.3">
      <c r="A4749" s="640">
        <f>+B4742</f>
        <v>3126.12</v>
      </c>
      <c r="B4749" s="76"/>
      <c r="C4749" s="76"/>
      <c r="D4749" s="76">
        <f>+SUM(B4749:C4749)</f>
        <v>0</v>
      </c>
      <c r="E4749" s="76">
        <f>+D4749</f>
        <v>0</v>
      </c>
      <c r="F4749" s="705"/>
      <c r="G4749" s="474">
        <f>+D4749/3</f>
        <v>0</v>
      </c>
      <c r="H4749" s="731"/>
      <c r="I4749" s="90"/>
      <c r="J4749" s="90"/>
      <c r="K4749" s="90"/>
      <c r="L4749" s="90"/>
      <c r="M4749" s="90"/>
      <c r="N4749" s="90"/>
    </row>
    <row r="4750" spans="1:14" x14ac:dyDescent="0.3">
      <c r="A4750" s="640">
        <f>+B4737</f>
        <v>5351.6670000000004</v>
      </c>
      <c r="B4750" s="76"/>
      <c r="C4750" s="76"/>
      <c r="D4750" s="76">
        <f>+SUM(B4750:C4750)</f>
        <v>0</v>
      </c>
      <c r="E4750" s="76">
        <f>+D4750-D4749</f>
        <v>0</v>
      </c>
      <c r="F4750" s="609">
        <f>+E4750-E4749</f>
        <v>0</v>
      </c>
      <c r="G4750" s="474">
        <f>+(D4750-D4749)/(A4750-A4749)*1000</f>
        <v>0</v>
      </c>
      <c r="H4750" s="732">
        <f>+G4750-G4749</f>
        <v>0</v>
      </c>
      <c r="I4750" s="90"/>
      <c r="J4750" s="92"/>
      <c r="K4750" s="90"/>
      <c r="L4750" s="90"/>
      <c r="M4750" s="90"/>
      <c r="N4750" s="90"/>
    </row>
    <row r="4751" spans="1:14" x14ac:dyDescent="0.3">
      <c r="A4751" s="640">
        <v>8250</v>
      </c>
      <c r="B4751" s="76"/>
      <c r="C4751" s="76"/>
      <c r="D4751" s="76">
        <f>+SUM(B4751:C4751)</f>
        <v>0</v>
      </c>
      <c r="E4751" s="76">
        <f>+D4751-D4750</f>
        <v>0</v>
      </c>
      <c r="F4751" s="609">
        <f>+E4751-E4750</f>
        <v>0</v>
      </c>
      <c r="G4751" s="474">
        <f>+(D4751-D4750)/(A4751-A4750)*1000</f>
        <v>0</v>
      </c>
      <c r="H4751" s="732">
        <f>+G4751-G4750</f>
        <v>0</v>
      </c>
      <c r="I4751" s="90"/>
      <c r="J4751" s="90"/>
      <c r="K4751" s="90"/>
      <c r="L4751" s="90"/>
      <c r="M4751" s="90"/>
      <c r="N4751" s="90"/>
    </row>
    <row r="4752" spans="1:14" x14ac:dyDescent="0.3">
      <c r="A4752" s="626"/>
      <c r="B4752" s="114"/>
      <c r="C4752" s="114"/>
      <c r="D4752" s="100"/>
      <c r="E4752" s="114"/>
      <c r="F4752" s="730"/>
      <c r="G4752" s="100"/>
      <c r="H4752" s="733"/>
      <c r="I4752" s="90"/>
      <c r="J4752" s="90"/>
      <c r="K4752" s="90"/>
      <c r="L4752" s="90"/>
      <c r="M4752" s="90"/>
      <c r="N4752" s="90"/>
    </row>
    <row r="4753" spans="1:22" x14ac:dyDescent="0.3">
      <c r="A4753" s="608"/>
      <c r="B4753" s="85"/>
      <c r="C4753" s="85"/>
      <c r="D4753" s="85"/>
      <c r="E4753" s="85"/>
      <c r="F4753" s="85"/>
      <c r="G4753" s="85"/>
      <c r="H4753" s="85"/>
      <c r="I4753" s="90"/>
      <c r="J4753" s="90"/>
      <c r="K4753" s="90"/>
      <c r="L4753" s="90"/>
      <c r="M4753" s="90"/>
      <c r="N4753" s="90"/>
    </row>
    <row r="4754" spans="1:22" x14ac:dyDescent="0.3">
      <c r="B4754" s="85"/>
      <c r="C4754" s="85"/>
      <c r="D4754" s="85"/>
      <c r="E4754" s="85"/>
      <c r="F4754" s="85"/>
      <c r="G4754" s="85"/>
      <c r="H4754" s="85"/>
      <c r="I4754" s="90"/>
      <c r="J4754" s="90"/>
      <c r="K4754" s="90"/>
      <c r="L4754" s="90"/>
      <c r="M4754" s="90"/>
      <c r="N4754" s="90"/>
      <c r="T4754">
        <v>3000</v>
      </c>
      <c r="U4754">
        <v>6000</v>
      </c>
      <c r="V4754">
        <v>9000</v>
      </c>
    </row>
    <row r="4755" spans="1:22" x14ac:dyDescent="0.3">
      <c r="A4755" s="608"/>
      <c r="B4755" s="537">
        <v>2019</v>
      </c>
      <c r="C4755" s="537">
        <f>+B4755+1</f>
        <v>2020</v>
      </c>
      <c r="D4755" s="537">
        <f t="shared" ref="D4755:L4755" si="1423">+C4755+1</f>
        <v>2021</v>
      </c>
      <c r="E4755" s="537">
        <f t="shared" si="1423"/>
        <v>2022</v>
      </c>
      <c r="F4755" s="537">
        <f t="shared" si="1423"/>
        <v>2023</v>
      </c>
      <c r="G4755" s="537">
        <f t="shared" si="1423"/>
        <v>2024</v>
      </c>
      <c r="H4755" s="537">
        <f t="shared" si="1423"/>
        <v>2025</v>
      </c>
      <c r="I4755" s="537">
        <f t="shared" si="1423"/>
        <v>2026</v>
      </c>
      <c r="J4755" s="537">
        <f t="shared" si="1423"/>
        <v>2027</v>
      </c>
      <c r="K4755" s="537">
        <f t="shared" si="1423"/>
        <v>2028</v>
      </c>
      <c r="L4755" s="537">
        <f t="shared" si="1423"/>
        <v>2029</v>
      </c>
      <c r="M4755" s="537">
        <f>+L4755+1</f>
        <v>2030</v>
      </c>
      <c r="N4755" s="537">
        <f>+M4755+1</f>
        <v>2031</v>
      </c>
      <c r="Q4755" s="374"/>
      <c r="R4755" s="366"/>
      <c r="S4755" s="366"/>
      <c r="T4755" s="374" t="s">
        <v>2305</v>
      </c>
      <c r="U4755" s="374" t="s">
        <v>2306</v>
      </c>
      <c r="V4755" s="374" t="s">
        <v>2307</v>
      </c>
    </row>
    <row r="4756" spans="1:22" x14ac:dyDescent="0.3">
      <c r="A4756" s="608" t="s">
        <v>267</v>
      </c>
      <c r="B4756" s="538"/>
      <c r="C4756" s="538"/>
      <c r="D4756" s="538"/>
      <c r="E4756" s="538"/>
      <c r="F4756" s="538"/>
      <c r="G4756" s="538"/>
      <c r="H4756" s="538"/>
      <c r="I4756" s="538"/>
      <c r="J4756" s="538"/>
      <c r="K4756" s="538"/>
      <c r="L4756" s="538"/>
      <c r="M4756" s="538"/>
      <c r="N4756" s="538"/>
      <c r="Q4756" t="s">
        <v>2308</v>
      </c>
      <c r="T4756" s="804">
        <f>+N4758</f>
        <v>0</v>
      </c>
      <c r="U4756" s="804">
        <f>+N4759</f>
        <v>0</v>
      </c>
      <c r="V4756" s="804">
        <f>+N4760</f>
        <v>0</v>
      </c>
    </row>
    <row r="4757" spans="1:22" x14ac:dyDescent="0.3">
      <c r="A4757" s="608"/>
      <c r="B4757" s="85">
        <f t="shared" ref="B4757:N4757" si="1424">+B4566</f>
        <v>0</v>
      </c>
      <c r="C4757" s="85">
        <f t="shared" si="1424"/>
        <v>5.0999999999999996</v>
      </c>
      <c r="D4757" s="85">
        <f t="shared" si="1424"/>
        <v>45</v>
      </c>
      <c r="E4757" s="85">
        <f t="shared" si="1424"/>
        <v>172.56</v>
      </c>
      <c r="F4757" s="85">
        <f t="shared" si="1424"/>
        <v>413.30799999999999</v>
      </c>
      <c r="G4757" s="85">
        <f t="shared" si="1424"/>
        <v>752.15679999999998</v>
      </c>
      <c r="H4757" s="85">
        <f t="shared" si="1424"/>
        <v>1166.8676</v>
      </c>
      <c r="I4757" s="85">
        <f t="shared" si="1424"/>
        <v>1635.296</v>
      </c>
      <c r="J4757" s="85">
        <f t="shared" si="1424"/>
        <v>2130.9096</v>
      </c>
      <c r="K4757" s="85">
        <f t="shared" si="1424"/>
        <v>2631.1596</v>
      </c>
      <c r="L4757" s="85">
        <f t="shared" si="1424"/>
        <v>3064.7096000000001</v>
      </c>
      <c r="M4757" s="85">
        <f t="shared" si="1424"/>
        <v>3364.8595999999998</v>
      </c>
      <c r="N4757" s="85">
        <f t="shared" si="1424"/>
        <v>3558.2896000000001</v>
      </c>
      <c r="Q4757" t="s">
        <v>2309</v>
      </c>
      <c r="T4757" s="76">
        <f>+N4764</f>
        <v>0</v>
      </c>
      <c r="U4757" s="76">
        <f>+N4765</f>
        <v>0</v>
      </c>
      <c r="V4757" s="76">
        <f>+N4766</f>
        <v>0</v>
      </c>
    </row>
    <row r="4758" spans="1:22" x14ac:dyDescent="0.3">
      <c r="A4758" s="645">
        <v>3000</v>
      </c>
      <c r="B4758" s="76"/>
      <c r="C4758" s="76"/>
      <c r="D4758" s="76"/>
      <c r="E4758" s="76"/>
      <c r="F4758" s="76"/>
      <c r="G4758" s="76"/>
      <c r="H4758" s="76"/>
      <c r="I4758" s="76"/>
      <c r="J4758" s="76"/>
      <c r="K4758" s="76"/>
      <c r="L4758" s="76"/>
      <c r="M4758" s="76"/>
      <c r="N4758" s="76"/>
      <c r="Q4758" t="s">
        <v>188</v>
      </c>
      <c r="T4758" s="76">
        <f>+N4802</f>
        <v>0</v>
      </c>
      <c r="U4758" s="76">
        <f>+N4803</f>
        <v>0</v>
      </c>
      <c r="V4758" s="76">
        <f>+N4804</f>
        <v>0</v>
      </c>
    </row>
    <row r="4759" spans="1:22" x14ac:dyDescent="0.3">
      <c r="A4759" s="645">
        <v>6000</v>
      </c>
      <c r="B4759" s="76"/>
      <c r="C4759" s="76"/>
      <c r="D4759" s="76"/>
      <c r="E4759" s="76"/>
      <c r="F4759" s="76"/>
      <c r="G4759" s="76"/>
      <c r="H4759" s="76"/>
      <c r="I4759" s="76"/>
      <c r="J4759" s="76"/>
      <c r="K4759" s="76"/>
      <c r="L4759" s="76"/>
      <c r="M4759" s="76"/>
      <c r="N4759" s="76"/>
      <c r="Q4759" t="s">
        <v>2310</v>
      </c>
      <c r="T4759" s="76">
        <f>+T4758*12.5</f>
        <v>0</v>
      </c>
      <c r="U4759" s="76">
        <f>+U4758*12.5</f>
        <v>0</v>
      </c>
      <c r="V4759" s="76">
        <f>+V4758*12.5</f>
        <v>0</v>
      </c>
    </row>
    <row r="4760" spans="1:22" x14ac:dyDescent="0.3">
      <c r="A4760" s="645">
        <v>9000</v>
      </c>
      <c r="B4760" s="76"/>
      <c r="C4760" s="76"/>
      <c r="D4760" s="76"/>
      <c r="E4760" s="76"/>
      <c r="F4760" s="76"/>
      <c r="G4760" s="76"/>
      <c r="H4760" s="76"/>
      <c r="I4760" s="76"/>
      <c r="J4760" s="76"/>
      <c r="K4760" s="76"/>
      <c r="L4760" s="76"/>
      <c r="M4760" s="76"/>
      <c r="N4760" s="76"/>
      <c r="Q4760" t="s">
        <v>2311</v>
      </c>
      <c r="T4760" s="76">
        <f>+C4749</f>
        <v>0</v>
      </c>
      <c r="U4760" s="76">
        <f>+C4750</f>
        <v>0</v>
      </c>
      <c r="V4760" s="76">
        <f>+C4751</f>
        <v>0</v>
      </c>
    </row>
    <row r="4761" spans="1:22" x14ac:dyDescent="0.3">
      <c r="A4761" s="608"/>
      <c r="B4761" s="538"/>
      <c r="C4761" s="538"/>
      <c r="D4761" s="538"/>
      <c r="E4761" s="538"/>
      <c r="F4761" s="538"/>
      <c r="G4761" s="538"/>
      <c r="H4761" s="538"/>
      <c r="I4761" s="538"/>
      <c r="J4761" s="538"/>
      <c r="K4761" s="538"/>
      <c r="L4761" s="538"/>
      <c r="M4761" s="538"/>
      <c r="N4761" s="538"/>
      <c r="Q4761" t="s">
        <v>176</v>
      </c>
      <c r="T4761" s="76">
        <f>+B4749</f>
        <v>0</v>
      </c>
      <c r="U4761" s="76">
        <f>+B4750</f>
        <v>0</v>
      </c>
      <c r="V4761" s="76">
        <f>+B4751</f>
        <v>0</v>
      </c>
    </row>
    <row r="4762" spans="1:22" x14ac:dyDescent="0.3">
      <c r="A4762" s="608" t="s">
        <v>285</v>
      </c>
      <c r="B4762" s="538"/>
      <c r="C4762" s="538"/>
      <c r="D4762" s="538"/>
      <c r="E4762" s="538"/>
      <c r="F4762" s="538"/>
      <c r="G4762" s="538"/>
      <c r="H4762" s="538"/>
      <c r="I4762" s="538"/>
      <c r="J4762" s="538"/>
      <c r="K4762" s="538"/>
      <c r="L4762" s="538"/>
      <c r="M4762" s="538"/>
      <c r="N4762" s="538"/>
      <c r="Q4762" s="114"/>
      <c r="R4762" s="114"/>
      <c r="T4762" s="114"/>
      <c r="U4762" s="114"/>
      <c r="V4762" s="114"/>
    </row>
    <row r="4763" spans="1:22" x14ac:dyDescent="0.3">
      <c r="A4763" s="608"/>
      <c r="B4763" s="85">
        <f t="shared" ref="B4763:N4763" si="1425">+B4568</f>
        <v>0</v>
      </c>
      <c r="C4763" s="85">
        <f t="shared" si="1425"/>
        <v>1.7619479999999998</v>
      </c>
      <c r="D4763" s="85">
        <f t="shared" si="1425"/>
        <v>18.74360224818378</v>
      </c>
      <c r="E4763" s="85">
        <f t="shared" si="1425"/>
        <v>81.437637754992636</v>
      </c>
      <c r="F4763" s="85">
        <f t="shared" si="1425"/>
        <v>222.82903511999996</v>
      </c>
      <c r="G4763" s="85">
        <f t="shared" si="1425"/>
        <v>457.91809445529918</v>
      </c>
      <c r="H4763" s="85">
        <f t="shared" si="1425"/>
        <v>780.38562863568586</v>
      </c>
      <c r="I4763" s="85">
        <f t="shared" si="1425"/>
        <v>1179.4034019330993</v>
      </c>
      <c r="J4763" s="85">
        <f t="shared" si="1425"/>
        <v>1640.6390196826253</v>
      </c>
      <c r="K4763" s="85">
        <f t="shared" si="1425"/>
        <v>2147.0632387440501</v>
      </c>
      <c r="L4763" s="85">
        <f t="shared" si="1425"/>
        <v>2657.9650395141643</v>
      </c>
      <c r="M4763" s="85">
        <f t="shared" si="1425"/>
        <v>3105.354992389106</v>
      </c>
      <c r="N4763" s="85">
        <f t="shared" si="1425"/>
        <v>3460.7736316042942</v>
      </c>
    </row>
    <row r="4764" spans="1:22" x14ac:dyDescent="0.3">
      <c r="A4764" s="645">
        <v>3000</v>
      </c>
      <c r="B4764" s="76"/>
      <c r="C4764" s="76"/>
      <c r="D4764" s="76"/>
      <c r="E4764" s="76"/>
      <c r="F4764" s="76"/>
      <c r="G4764" s="76"/>
      <c r="H4764" s="76"/>
      <c r="I4764" s="76"/>
      <c r="J4764" s="76"/>
      <c r="K4764" s="76"/>
      <c r="L4764" s="76"/>
      <c r="M4764" s="76"/>
      <c r="N4764" s="76"/>
      <c r="Q4764" t="s">
        <v>2312</v>
      </c>
      <c r="T4764" s="101">
        <f>+T4757/T4754/12*1000</f>
        <v>0</v>
      </c>
      <c r="U4764" s="101">
        <f>+U4757/U4754/12*1000</f>
        <v>0</v>
      </c>
      <c r="V4764" s="101">
        <f>+V4757/V4754/12*1000</f>
        <v>0</v>
      </c>
    </row>
    <row r="4765" spans="1:22" x14ac:dyDescent="0.3">
      <c r="A4765" s="645">
        <v>6000</v>
      </c>
      <c r="B4765" s="76"/>
      <c r="C4765" s="76"/>
      <c r="D4765" s="76"/>
      <c r="E4765" s="76"/>
      <c r="F4765" s="76"/>
      <c r="G4765" s="76"/>
      <c r="H4765" s="76"/>
      <c r="I4765" s="76"/>
      <c r="J4765" s="76"/>
      <c r="K4765" s="76"/>
      <c r="L4765" s="76"/>
      <c r="M4765" s="76"/>
      <c r="N4765" s="76"/>
      <c r="Q4765" t="s">
        <v>2313</v>
      </c>
      <c r="T4765" s="101">
        <f>+T4758/T4754/12*1000</f>
        <v>0</v>
      </c>
      <c r="U4765" s="101">
        <f>+U4758/U4754/12*1000</f>
        <v>0</v>
      </c>
      <c r="V4765" s="101">
        <f>+V4758/V4754/12*1000</f>
        <v>0</v>
      </c>
    </row>
    <row r="4766" spans="1:22" x14ac:dyDescent="0.3">
      <c r="A4766" s="645">
        <f>+A4751</f>
        <v>8250</v>
      </c>
      <c r="B4766" s="76"/>
      <c r="C4766" s="76"/>
      <c r="D4766" s="76"/>
      <c r="E4766" s="76"/>
      <c r="F4766" s="76"/>
      <c r="G4766" s="76"/>
      <c r="H4766" s="76"/>
      <c r="I4766" s="76"/>
      <c r="J4766" s="76"/>
      <c r="K4766" s="76"/>
      <c r="L4766" s="76"/>
      <c r="M4766" s="76"/>
      <c r="N4766" s="76"/>
      <c r="Q4766" t="s">
        <v>504</v>
      </c>
      <c r="T4766" s="76">
        <f>+SUM(B4789:N4789)</f>
        <v>0</v>
      </c>
      <c r="U4766" s="76">
        <f>+SUM(B4790:N4790)</f>
        <v>0</v>
      </c>
      <c r="V4766" s="76">
        <f>+SUM(B4791:N4791)</f>
        <v>0</v>
      </c>
    </row>
    <row r="4767" spans="1:22" x14ac:dyDescent="0.3">
      <c r="A4767" s="608"/>
      <c r="B4767" s="538"/>
      <c r="C4767" s="538"/>
      <c r="D4767" s="538"/>
      <c r="E4767" s="538"/>
      <c r="F4767" s="538"/>
      <c r="G4767" s="538"/>
      <c r="H4767" s="538"/>
      <c r="I4767" s="538"/>
      <c r="J4767" s="538"/>
      <c r="K4767" s="538"/>
      <c r="L4767" s="538"/>
      <c r="M4767" s="538"/>
      <c r="N4767" s="538"/>
      <c r="Q4767" t="s">
        <v>2314</v>
      </c>
      <c r="T4767" s="76">
        <f>+T4766</f>
        <v>0</v>
      </c>
      <c r="U4767" s="76">
        <f>+U4766-T4766</f>
        <v>0</v>
      </c>
      <c r="V4767" s="76">
        <f>+V4766-U4766</f>
        <v>0</v>
      </c>
    </row>
    <row r="4768" spans="1:22" x14ac:dyDescent="0.3">
      <c r="A4768" s="608"/>
      <c r="B4768" s="538"/>
      <c r="C4768" s="538"/>
      <c r="D4768" s="538"/>
      <c r="E4768" s="538"/>
      <c r="F4768" s="538"/>
      <c r="G4768" s="538"/>
      <c r="H4768" s="538"/>
      <c r="I4768" s="538"/>
      <c r="J4768" s="538"/>
      <c r="K4768" s="538"/>
      <c r="L4768" s="538"/>
      <c r="M4768" s="538"/>
      <c r="N4768" s="538"/>
      <c r="Q4768" t="s">
        <v>2315</v>
      </c>
      <c r="T4768" s="379">
        <f>+T4767/3</f>
        <v>0</v>
      </c>
      <c r="U4768" s="379">
        <f>+U4767/3</f>
        <v>0</v>
      </c>
      <c r="V4768" s="379">
        <f>+V4767/3</f>
        <v>0</v>
      </c>
    </row>
    <row r="4769" spans="1:22" x14ac:dyDescent="0.3">
      <c r="A4769" s="608"/>
      <c r="B4769" s="538"/>
      <c r="C4769" s="538"/>
      <c r="D4769" s="538"/>
      <c r="E4769" s="538"/>
      <c r="F4769" s="538"/>
      <c r="G4769" s="538"/>
      <c r="H4769" s="538"/>
      <c r="I4769" s="538"/>
      <c r="J4769" s="538"/>
      <c r="K4769" s="538"/>
      <c r="L4769" s="538"/>
      <c r="M4769" s="538"/>
      <c r="N4769" s="538"/>
      <c r="Q4769" t="s">
        <v>2316</v>
      </c>
      <c r="T4769" s="379">
        <f>+T4766/T4754*1000</f>
        <v>0</v>
      </c>
      <c r="U4769" s="379">
        <f>+U4766/U4754*1000</f>
        <v>0</v>
      </c>
      <c r="V4769" s="379">
        <f>+V4766/V4754*1000</f>
        <v>0</v>
      </c>
    </row>
    <row r="4770" spans="1:22" x14ac:dyDescent="0.3">
      <c r="A4770" s="608" t="s">
        <v>284</v>
      </c>
      <c r="B4770" s="538"/>
      <c r="C4770" s="538"/>
      <c r="D4770" s="538"/>
      <c r="E4770" s="538"/>
      <c r="F4770" s="538"/>
      <c r="G4770" s="538"/>
      <c r="H4770" s="538"/>
      <c r="I4770" s="538"/>
      <c r="J4770" s="538"/>
      <c r="K4770" s="538"/>
      <c r="L4770" s="538"/>
      <c r="M4770" s="538"/>
      <c r="N4770" s="538"/>
      <c r="Q4770" s="734" t="s">
        <v>2317</v>
      </c>
      <c r="R4770" s="705"/>
      <c r="S4770" s="705"/>
      <c r="T4770" s="705"/>
      <c r="U4770" s="735" t="e">
        <f>+U4768/T4768-1</f>
        <v>#DIV/0!</v>
      </c>
      <c r="V4770" s="735" t="e">
        <f>+V4768/U4768-1</f>
        <v>#DIV/0!</v>
      </c>
    </row>
    <row r="4771" spans="1:22" x14ac:dyDescent="0.3">
      <c r="A4771" s="608"/>
      <c r="B4771" s="85" t="e">
        <f>+B4947</f>
        <v>#REF!</v>
      </c>
      <c r="C4771" s="85" t="e">
        <f t="shared" ref="C4771:L4771" si="1426">+C4947</f>
        <v>#REF!</v>
      </c>
      <c r="D4771" s="85" t="e">
        <f t="shared" si="1426"/>
        <v>#REF!</v>
      </c>
      <c r="E4771" s="85" t="e">
        <f t="shared" si="1426"/>
        <v>#REF!</v>
      </c>
      <c r="F4771" s="85" t="e">
        <f t="shared" si="1426"/>
        <v>#REF!</v>
      </c>
      <c r="G4771" s="85" t="e">
        <f t="shared" si="1426"/>
        <v>#REF!</v>
      </c>
      <c r="H4771" s="85" t="e">
        <f t="shared" si="1426"/>
        <v>#REF!</v>
      </c>
      <c r="I4771" s="85" t="e">
        <f t="shared" si="1426"/>
        <v>#REF!</v>
      </c>
      <c r="J4771" s="85" t="e">
        <f t="shared" si="1426"/>
        <v>#REF!</v>
      </c>
      <c r="K4771" s="85" t="e">
        <f t="shared" si="1426"/>
        <v>#REF!</v>
      </c>
      <c r="L4771" s="85" t="e">
        <f t="shared" si="1426"/>
        <v>#REF!</v>
      </c>
      <c r="M4771" s="85" t="e">
        <f>+M4947</f>
        <v>#REF!</v>
      </c>
      <c r="N4771" s="85" t="e">
        <f>+N4947</f>
        <v>#REF!</v>
      </c>
      <c r="Q4771" s="734" t="s">
        <v>2318</v>
      </c>
      <c r="R4771" s="705"/>
      <c r="S4771" s="705"/>
      <c r="T4771" s="705"/>
      <c r="U4771" s="735" t="e">
        <f>+U4769/T4769-1</f>
        <v>#DIV/0!</v>
      </c>
      <c r="V4771" s="735" t="e">
        <f>+V4769/U4769-1</f>
        <v>#DIV/0!</v>
      </c>
    </row>
    <row r="4772" spans="1:22" x14ac:dyDescent="0.3">
      <c r="A4772" s="645">
        <f>+$A$4749</f>
        <v>3126.12</v>
      </c>
      <c r="B4772" s="76"/>
      <c r="C4772" s="76"/>
      <c r="D4772" s="76"/>
      <c r="E4772" s="76"/>
      <c r="F4772" s="76"/>
      <c r="G4772" s="76"/>
      <c r="H4772" s="76"/>
      <c r="I4772" s="76"/>
      <c r="J4772" s="76"/>
      <c r="K4772" s="76"/>
      <c r="L4772" s="76"/>
      <c r="M4772" s="76"/>
      <c r="N4772" s="76"/>
      <c r="Q4772" s="114"/>
      <c r="R4772" s="114"/>
      <c r="S4772" s="114"/>
      <c r="T4772" s="114"/>
      <c r="U4772" s="114"/>
      <c r="V4772" s="114"/>
    </row>
    <row r="4773" spans="1:22" x14ac:dyDescent="0.3">
      <c r="A4773" s="645">
        <f>+$A$4750</f>
        <v>5351.6670000000004</v>
      </c>
      <c r="B4773" s="76"/>
      <c r="C4773" s="76"/>
      <c r="D4773" s="76"/>
      <c r="E4773" s="76"/>
      <c r="F4773" s="76"/>
      <c r="G4773" s="76"/>
      <c r="H4773" s="76"/>
      <c r="I4773" s="76"/>
      <c r="J4773" s="76"/>
      <c r="K4773" s="76"/>
      <c r="L4773" s="76"/>
      <c r="M4773" s="76"/>
      <c r="N4773" s="76"/>
    </row>
    <row r="4774" spans="1:22" x14ac:dyDescent="0.3">
      <c r="A4774" s="645">
        <f>+$A$4751</f>
        <v>8250</v>
      </c>
      <c r="B4774" s="76"/>
      <c r="C4774" s="76"/>
      <c r="D4774" s="76"/>
      <c r="E4774" s="76"/>
      <c r="F4774" s="76"/>
      <c r="G4774" s="76"/>
      <c r="H4774" s="76"/>
      <c r="I4774" s="76"/>
      <c r="J4774" s="76"/>
      <c r="K4774" s="76"/>
      <c r="L4774" s="76"/>
      <c r="M4774" s="76"/>
      <c r="N4774" s="76"/>
    </row>
    <row r="4775" spans="1:22" x14ac:dyDescent="0.3">
      <c r="A4775" s="608"/>
      <c r="B4775" s="76"/>
      <c r="C4775" s="76"/>
      <c r="D4775" s="76"/>
      <c r="E4775" s="76"/>
      <c r="F4775" s="76"/>
      <c r="G4775" s="76"/>
      <c r="H4775" s="76"/>
      <c r="I4775" s="76"/>
      <c r="J4775" s="76"/>
      <c r="K4775" s="76"/>
      <c r="L4775" s="76"/>
      <c r="M4775" s="76"/>
      <c r="N4775" s="76"/>
    </row>
    <row r="4776" spans="1:22" x14ac:dyDescent="0.3">
      <c r="A4776" s="141" t="s">
        <v>44</v>
      </c>
    </row>
    <row r="4777" spans="1:22" x14ac:dyDescent="0.3">
      <c r="B4777" s="85" t="e">
        <f>+B4958</f>
        <v>#REF!</v>
      </c>
      <c r="C4777" s="85" t="e">
        <f t="shared" ref="C4777:N4777" si="1427">+C4958</f>
        <v>#REF!</v>
      </c>
      <c r="D4777" s="85" t="e">
        <f t="shared" si="1427"/>
        <v>#REF!</v>
      </c>
      <c r="E4777" s="85" t="e">
        <f t="shared" si="1427"/>
        <v>#REF!</v>
      </c>
      <c r="F4777" s="85" t="e">
        <f t="shared" si="1427"/>
        <v>#REF!</v>
      </c>
      <c r="G4777" s="85" t="e">
        <f t="shared" si="1427"/>
        <v>#REF!</v>
      </c>
      <c r="H4777" s="85" t="e">
        <f t="shared" si="1427"/>
        <v>#REF!</v>
      </c>
      <c r="I4777" s="85" t="e">
        <f t="shared" si="1427"/>
        <v>#REF!</v>
      </c>
      <c r="J4777" s="85" t="e">
        <f t="shared" si="1427"/>
        <v>#REF!</v>
      </c>
      <c r="K4777" s="85" t="e">
        <f t="shared" si="1427"/>
        <v>#REF!</v>
      </c>
      <c r="L4777" s="85" t="e">
        <f t="shared" si="1427"/>
        <v>#REF!</v>
      </c>
      <c r="M4777" s="85" t="e">
        <f t="shared" si="1427"/>
        <v>#REF!</v>
      </c>
      <c r="N4777" s="85" t="e">
        <f t="shared" si="1427"/>
        <v>#REF!</v>
      </c>
    </row>
    <row r="4778" spans="1:22" x14ac:dyDescent="0.3">
      <c r="A4778" s="645">
        <f>+$A$4749</f>
        <v>3126.12</v>
      </c>
      <c r="B4778" s="76"/>
      <c r="C4778" s="76"/>
      <c r="D4778" s="76"/>
      <c r="E4778" s="76"/>
      <c r="F4778" s="76"/>
      <c r="G4778" s="76"/>
      <c r="H4778" s="76"/>
      <c r="I4778" s="76"/>
      <c r="J4778" s="76"/>
      <c r="K4778" s="76"/>
      <c r="L4778" s="76"/>
      <c r="M4778" s="76"/>
      <c r="N4778" s="76"/>
    </row>
    <row r="4779" spans="1:22" x14ac:dyDescent="0.3">
      <c r="A4779" s="645">
        <f>+$A$4750</f>
        <v>5351.6670000000004</v>
      </c>
      <c r="B4779" s="76"/>
      <c r="C4779" s="76"/>
      <c r="D4779" s="76"/>
      <c r="E4779" s="76"/>
      <c r="F4779" s="76"/>
      <c r="G4779" s="76"/>
      <c r="H4779" s="76"/>
      <c r="I4779" s="76"/>
      <c r="J4779" s="76"/>
      <c r="K4779" s="76"/>
      <c r="L4779" s="76"/>
      <c r="M4779" s="76"/>
      <c r="N4779" s="76"/>
    </row>
    <row r="4780" spans="1:22" x14ac:dyDescent="0.3">
      <c r="A4780" s="645">
        <f>+$A$4751</f>
        <v>8250</v>
      </c>
      <c r="B4780" s="76"/>
      <c r="C4780" s="76"/>
      <c r="D4780" s="76"/>
      <c r="E4780" s="76"/>
      <c r="F4780" s="76"/>
      <c r="G4780" s="76"/>
      <c r="H4780" s="76"/>
      <c r="I4780" s="76"/>
      <c r="J4780" s="76"/>
      <c r="K4780" s="76"/>
      <c r="L4780" s="76"/>
      <c r="M4780" s="76"/>
      <c r="N4780" s="76"/>
    </row>
    <row r="4781" spans="1:22" x14ac:dyDescent="0.3">
      <c r="A4781" s="608"/>
      <c r="B4781" s="76"/>
      <c r="C4781" s="76"/>
      <c r="D4781" s="76"/>
      <c r="E4781" s="76"/>
      <c r="F4781" s="76"/>
      <c r="G4781" s="76"/>
      <c r="H4781" s="76"/>
      <c r="I4781" s="76"/>
      <c r="J4781" s="76"/>
      <c r="K4781" s="76"/>
      <c r="L4781" s="76"/>
      <c r="M4781" s="76"/>
      <c r="N4781" s="76"/>
    </row>
    <row r="4782" spans="1:22" x14ac:dyDescent="0.3">
      <c r="A4782" s="141" t="s">
        <v>2319</v>
      </c>
      <c r="B4782" s="76"/>
      <c r="C4782" s="76"/>
      <c r="D4782" s="76"/>
      <c r="E4782" s="76"/>
      <c r="F4782" s="76"/>
      <c r="G4782" s="76"/>
      <c r="H4782" s="76"/>
      <c r="I4782" s="76"/>
      <c r="J4782" s="76"/>
      <c r="K4782" s="76"/>
      <c r="L4782" s="76"/>
      <c r="M4782" s="76"/>
      <c r="N4782" s="76"/>
    </row>
    <row r="4783" spans="1:22" x14ac:dyDescent="0.3">
      <c r="A4783" s="645">
        <f>+$A$4749</f>
        <v>3126.12</v>
      </c>
      <c r="B4783" s="74" t="e">
        <f>+B4778/B4772</f>
        <v>#DIV/0!</v>
      </c>
      <c r="C4783" s="74" t="e">
        <f t="shared" ref="C4783:N4783" si="1428">+C4778/C4772</f>
        <v>#DIV/0!</v>
      </c>
      <c r="D4783" s="74" t="e">
        <f t="shared" si="1428"/>
        <v>#DIV/0!</v>
      </c>
      <c r="E4783" s="74" t="e">
        <f t="shared" si="1428"/>
        <v>#DIV/0!</v>
      </c>
      <c r="F4783" s="74" t="e">
        <f t="shared" si="1428"/>
        <v>#DIV/0!</v>
      </c>
      <c r="G4783" s="74" t="e">
        <f t="shared" si="1428"/>
        <v>#DIV/0!</v>
      </c>
      <c r="H4783" s="74" t="e">
        <f t="shared" si="1428"/>
        <v>#DIV/0!</v>
      </c>
      <c r="I4783" s="74" t="e">
        <f t="shared" si="1428"/>
        <v>#DIV/0!</v>
      </c>
      <c r="J4783" s="74" t="e">
        <f t="shared" si="1428"/>
        <v>#DIV/0!</v>
      </c>
      <c r="K4783" s="74" t="e">
        <f t="shared" si="1428"/>
        <v>#DIV/0!</v>
      </c>
      <c r="L4783" s="74" t="e">
        <f t="shared" si="1428"/>
        <v>#DIV/0!</v>
      </c>
      <c r="M4783" s="74" t="e">
        <f t="shared" si="1428"/>
        <v>#DIV/0!</v>
      </c>
      <c r="N4783" s="74" t="e">
        <f t="shared" si="1428"/>
        <v>#DIV/0!</v>
      </c>
    </row>
    <row r="4784" spans="1:22" x14ac:dyDescent="0.3">
      <c r="A4784" s="645">
        <f>+$A$4750</f>
        <v>5351.6670000000004</v>
      </c>
      <c r="B4784" s="74" t="e">
        <f t="shared" ref="B4784:N4785" si="1429">+B4779/B4773</f>
        <v>#DIV/0!</v>
      </c>
      <c r="C4784" s="74" t="e">
        <f t="shared" si="1429"/>
        <v>#DIV/0!</v>
      </c>
      <c r="D4784" s="74" t="e">
        <f t="shared" si="1429"/>
        <v>#DIV/0!</v>
      </c>
      <c r="E4784" s="74" t="e">
        <f t="shared" si="1429"/>
        <v>#DIV/0!</v>
      </c>
      <c r="F4784" s="74" t="e">
        <f t="shared" si="1429"/>
        <v>#DIV/0!</v>
      </c>
      <c r="G4784" s="74" t="e">
        <f t="shared" si="1429"/>
        <v>#DIV/0!</v>
      </c>
      <c r="H4784" s="74" t="e">
        <f t="shared" si="1429"/>
        <v>#DIV/0!</v>
      </c>
      <c r="I4784" s="74" t="e">
        <f t="shared" si="1429"/>
        <v>#DIV/0!</v>
      </c>
      <c r="J4784" s="74" t="e">
        <f t="shared" si="1429"/>
        <v>#DIV/0!</v>
      </c>
      <c r="K4784" s="74" t="e">
        <f t="shared" si="1429"/>
        <v>#DIV/0!</v>
      </c>
      <c r="L4784" s="74" t="e">
        <f t="shared" si="1429"/>
        <v>#DIV/0!</v>
      </c>
      <c r="M4784" s="74" t="e">
        <f t="shared" si="1429"/>
        <v>#DIV/0!</v>
      </c>
      <c r="N4784" s="74" t="e">
        <f t="shared" si="1429"/>
        <v>#DIV/0!</v>
      </c>
    </row>
    <row r="4785" spans="1:14" x14ac:dyDescent="0.3">
      <c r="A4785" s="645">
        <f>+$A$4751</f>
        <v>8250</v>
      </c>
      <c r="B4785" s="74" t="e">
        <f t="shared" si="1429"/>
        <v>#DIV/0!</v>
      </c>
      <c r="C4785" s="74" t="e">
        <f t="shared" si="1429"/>
        <v>#DIV/0!</v>
      </c>
      <c r="D4785" s="74" t="e">
        <f t="shared" si="1429"/>
        <v>#DIV/0!</v>
      </c>
      <c r="E4785" s="74" t="e">
        <f t="shared" si="1429"/>
        <v>#DIV/0!</v>
      </c>
      <c r="F4785" s="74" t="e">
        <f t="shared" si="1429"/>
        <v>#DIV/0!</v>
      </c>
      <c r="G4785" s="74" t="e">
        <f t="shared" si="1429"/>
        <v>#DIV/0!</v>
      </c>
      <c r="H4785" s="74" t="e">
        <f t="shared" si="1429"/>
        <v>#DIV/0!</v>
      </c>
      <c r="I4785" s="74" t="e">
        <f t="shared" si="1429"/>
        <v>#DIV/0!</v>
      </c>
      <c r="J4785" s="74" t="e">
        <f t="shared" si="1429"/>
        <v>#DIV/0!</v>
      </c>
      <c r="K4785" s="74" t="e">
        <f t="shared" si="1429"/>
        <v>#DIV/0!</v>
      </c>
      <c r="L4785" s="74" t="e">
        <f t="shared" si="1429"/>
        <v>#DIV/0!</v>
      </c>
      <c r="M4785" s="74" t="e">
        <f t="shared" si="1429"/>
        <v>#DIV/0!</v>
      </c>
      <c r="N4785" s="74" t="e">
        <f t="shared" si="1429"/>
        <v>#DIV/0!</v>
      </c>
    </row>
    <row r="4786" spans="1:14" x14ac:dyDescent="0.3">
      <c r="A4786" s="608"/>
      <c r="B4786" s="76"/>
      <c r="C4786" s="76"/>
      <c r="D4786" s="76"/>
      <c r="E4786" s="76"/>
      <c r="F4786" s="76"/>
      <c r="G4786" s="76"/>
      <c r="H4786" s="76"/>
      <c r="I4786" s="76"/>
      <c r="J4786" s="76"/>
      <c r="K4786" s="76"/>
      <c r="L4786" s="76"/>
      <c r="M4786" s="76"/>
      <c r="N4786" s="76"/>
    </row>
    <row r="4787" spans="1:14" x14ac:dyDescent="0.3">
      <c r="A4787" s="141" t="s">
        <v>198</v>
      </c>
      <c r="B4787" s="76"/>
      <c r="C4787" s="76"/>
      <c r="D4787" s="76"/>
      <c r="E4787" s="76"/>
      <c r="F4787" s="76"/>
      <c r="G4787" s="76"/>
      <c r="H4787" s="76"/>
      <c r="I4787" s="76"/>
      <c r="J4787" s="76"/>
      <c r="K4787" s="76"/>
      <c r="L4787" s="76"/>
      <c r="M4787" s="76"/>
      <c r="N4787" s="76"/>
    </row>
    <row r="4788" spans="1:14" x14ac:dyDescent="0.3">
      <c r="A4788" s="141"/>
      <c r="B4788" s="85">
        <f t="shared" ref="B4788:N4788" si="1430">+SUM(B4436:B4438)</f>
        <v>0</v>
      </c>
      <c r="C4788" s="85" t="e">
        <f t="shared" si="1430"/>
        <v>#REF!</v>
      </c>
      <c r="D4788" s="85" t="e">
        <f t="shared" si="1430"/>
        <v>#REF!</v>
      </c>
      <c r="E4788" s="85" t="e">
        <f t="shared" si="1430"/>
        <v>#REF!</v>
      </c>
      <c r="F4788" s="85" t="e">
        <f t="shared" si="1430"/>
        <v>#REF!</v>
      </c>
      <c r="G4788" s="85" t="e">
        <f t="shared" si="1430"/>
        <v>#REF!</v>
      </c>
      <c r="H4788" s="85" t="e">
        <f t="shared" si="1430"/>
        <v>#REF!</v>
      </c>
      <c r="I4788" s="85" t="e">
        <f t="shared" si="1430"/>
        <v>#REF!</v>
      </c>
      <c r="J4788" s="85" t="e">
        <f t="shared" si="1430"/>
        <v>#REF!</v>
      </c>
      <c r="K4788" s="85" t="e">
        <f t="shared" si="1430"/>
        <v>#REF!</v>
      </c>
      <c r="L4788" s="85" t="e">
        <f t="shared" si="1430"/>
        <v>#REF!</v>
      </c>
      <c r="M4788" s="85" t="e">
        <f t="shared" si="1430"/>
        <v>#REF!</v>
      </c>
      <c r="N4788" s="85" t="e">
        <f t="shared" si="1430"/>
        <v>#REF!</v>
      </c>
    </row>
    <row r="4789" spans="1:14" x14ac:dyDescent="0.3">
      <c r="A4789" s="645">
        <f>+$A$4749</f>
        <v>3126.12</v>
      </c>
      <c r="B4789" s="76"/>
      <c r="C4789" s="76"/>
      <c r="D4789" s="76"/>
      <c r="E4789" s="76"/>
      <c r="F4789" s="76"/>
      <c r="G4789" s="76"/>
      <c r="H4789" s="76"/>
      <c r="I4789" s="76"/>
      <c r="J4789" s="76"/>
      <c r="K4789" s="76"/>
      <c r="L4789" s="76"/>
      <c r="M4789" s="76"/>
      <c r="N4789" s="76"/>
    </row>
    <row r="4790" spans="1:14" x14ac:dyDescent="0.3">
      <c r="A4790" s="645">
        <f>+$A$4750</f>
        <v>5351.6670000000004</v>
      </c>
      <c r="B4790" s="76"/>
      <c r="C4790" s="76"/>
      <c r="D4790" s="76"/>
      <c r="E4790" s="76"/>
      <c r="F4790" s="76"/>
      <c r="G4790" s="76"/>
      <c r="H4790" s="76"/>
      <c r="I4790" s="76"/>
      <c r="J4790" s="76"/>
      <c r="K4790" s="76"/>
      <c r="L4790" s="76"/>
      <c r="M4790" s="76"/>
      <c r="N4790" s="76"/>
    </row>
    <row r="4791" spans="1:14" x14ac:dyDescent="0.3">
      <c r="A4791" s="645">
        <f>+$A$4751</f>
        <v>8250</v>
      </c>
      <c r="B4791" s="76"/>
      <c r="C4791" s="76"/>
      <c r="D4791" s="76"/>
      <c r="E4791" s="76"/>
      <c r="F4791" s="76"/>
      <c r="G4791" s="76"/>
      <c r="H4791" s="76"/>
      <c r="I4791" s="76"/>
      <c r="J4791" s="76"/>
      <c r="K4791" s="76"/>
      <c r="L4791" s="76"/>
      <c r="M4791" s="76"/>
      <c r="N4791" s="76"/>
    </row>
    <row r="4792" spans="1:14" x14ac:dyDescent="0.3">
      <c r="A4792" s="608"/>
      <c r="B4792" s="76"/>
      <c r="C4792" s="76"/>
      <c r="D4792" s="76"/>
      <c r="E4792" s="76"/>
      <c r="F4792" s="76"/>
      <c r="G4792" s="76"/>
      <c r="H4792" s="76"/>
      <c r="I4792" s="76"/>
      <c r="J4792" s="76"/>
      <c r="K4792" s="76"/>
      <c r="L4792" s="76"/>
      <c r="M4792" s="76"/>
      <c r="N4792" s="76"/>
    </row>
    <row r="4793" spans="1:14" x14ac:dyDescent="0.3">
      <c r="A4793" s="608"/>
      <c r="B4793" s="76"/>
      <c r="C4793" s="76"/>
      <c r="D4793" s="76"/>
      <c r="E4793" s="76"/>
      <c r="F4793" s="76"/>
      <c r="G4793" s="76"/>
      <c r="H4793" s="76"/>
      <c r="I4793" s="76"/>
      <c r="J4793" s="76"/>
      <c r="K4793" s="76"/>
      <c r="L4793" s="76"/>
      <c r="M4793" s="76"/>
      <c r="N4793" s="76"/>
    </row>
    <row r="4794" spans="1:14" x14ac:dyDescent="0.3">
      <c r="A4794" s="141" t="s">
        <v>201</v>
      </c>
      <c r="B4794" s="76"/>
      <c r="C4794" s="76"/>
      <c r="D4794" s="76"/>
      <c r="E4794" s="76"/>
      <c r="F4794" s="76"/>
      <c r="G4794" s="76"/>
      <c r="H4794" s="76"/>
      <c r="I4794" s="76"/>
      <c r="J4794" s="76"/>
      <c r="K4794" s="76"/>
      <c r="L4794" s="76"/>
      <c r="M4794" s="76"/>
      <c r="N4794" s="76"/>
    </row>
    <row r="4795" spans="1:14" x14ac:dyDescent="0.3">
      <c r="B4795" s="636">
        <f t="shared" ref="B4795:N4795" si="1431">+B4561</f>
        <v>0</v>
      </c>
      <c r="C4795" s="636" t="e">
        <f t="shared" si="1431"/>
        <v>#REF!</v>
      </c>
      <c r="D4795" s="636" t="e">
        <f t="shared" si="1431"/>
        <v>#REF!</v>
      </c>
      <c r="E4795" s="636" t="e">
        <f t="shared" si="1431"/>
        <v>#REF!</v>
      </c>
      <c r="F4795" s="636" t="e">
        <f t="shared" si="1431"/>
        <v>#REF!</v>
      </c>
      <c r="G4795" s="636" t="e">
        <f t="shared" si="1431"/>
        <v>#REF!</v>
      </c>
      <c r="H4795" s="636" t="e">
        <f t="shared" si="1431"/>
        <v>#REF!</v>
      </c>
      <c r="I4795" s="636" t="e">
        <f t="shared" si="1431"/>
        <v>#REF!</v>
      </c>
      <c r="J4795" s="636" t="e">
        <f t="shared" si="1431"/>
        <v>#REF!</v>
      </c>
      <c r="K4795" s="636" t="e">
        <f t="shared" si="1431"/>
        <v>#REF!</v>
      </c>
      <c r="L4795" s="636" t="e">
        <f t="shared" si="1431"/>
        <v>#REF!</v>
      </c>
      <c r="M4795" s="636" t="e">
        <f t="shared" si="1431"/>
        <v>#REF!</v>
      </c>
      <c r="N4795" s="636" t="e">
        <f t="shared" si="1431"/>
        <v>#REF!</v>
      </c>
    </row>
    <row r="4796" spans="1:14" x14ac:dyDescent="0.3">
      <c r="A4796" s="645">
        <f>+$A$4749</f>
        <v>3126.12</v>
      </c>
      <c r="B4796" s="459"/>
      <c r="C4796" s="459"/>
      <c r="D4796" s="459"/>
      <c r="E4796" s="459"/>
      <c r="F4796" s="459"/>
      <c r="G4796" s="459"/>
      <c r="H4796" s="459"/>
      <c r="I4796" s="459"/>
      <c r="J4796" s="459"/>
      <c r="K4796" s="459"/>
      <c r="L4796" s="459"/>
      <c r="M4796" s="459"/>
      <c r="N4796" s="459"/>
    </row>
    <row r="4797" spans="1:14" x14ac:dyDescent="0.3">
      <c r="A4797" s="645">
        <f>+$A$4750</f>
        <v>5351.6670000000004</v>
      </c>
      <c r="B4797" s="459"/>
      <c r="C4797" s="459"/>
      <c r="D4797" s="459"/>
      <c r="E4797" s="459"/>
      <c r="F4797" s="459"/>
      <c r="G4797" s="459"/>
      <c r="H4797" s="459"/>
      <c r="I4797" s="459"/>
      <c r="J4797" s="459"/>
      <c r="K4797" s="459"/>
      <c r="L4797" s="459"/>
      <c r="M4797" s="459"/>
      <c r="N4797" s="459"/>
    </row>
    <row r="4798" spans="1:14" x14ac:dyDescent="0.3">
      <c r="A4798" s="645">
        <f>+$A$4751</f>
        <v>8250</v>
      </c>
      <c r="B4798" s="459"/>
      <c r="C4798" s="459"/>
      <c r="D4798" s="459"/>
      <c r="E4798" s="459"/>
      <c r="F4798" s="459"/>
      <c r="G4798" s="459"/>
      <c r="H4798" s="459"/>
      <c r="I4798" s="459"/>
      <c r="J4798" s="459"/>
      <c r="K4798" s="459"/>
      <c r="L4798" s="459"/>
      <c r="M4798" s="459"/>
      <c r="N4798" s="459"/>
    </row>
    <row r="4799" spans="1:14" x14ac:dyDescent="0.3">
      <c r="A4799" s="608"/>
      <c r="B4799" s="76"/>
      <c r="C4799" s="76"/>
      <c r="D4799" s="76"/>
      <c r="E4799" s="76"/>
      <c r="F4799" s="76"/>
      <c r="G4799" s="76"/>
      <c r="H4799" s="76"/>
      <c r="I4799" s="76"/>
      <c r="J4799" s="76"/>
      <c r="K4799" s="76"/>
      <c r="L4799" s="76"/>
      <c r="M4799" s="76"/>
      <c r="N4799" s="76"/>
    </row>
    <row r="4800" spans="1:14" x14ac:dyDescent="0.3">
      <c r="A4800" s="141" t="s">
        <v>298</v>
      </c>
      <c r="B4800" s="76"/>
      <c r="C4800" s="76"/>
      <c r="D4800" s="76"/>
      <c r="E4800" s="76"/>
      <c r="F4800" s="76"/>
      <c r="G4800" s="76"/>
      <c r="H4800" s="76"/>
      <c r="I4800" s="76"/>
      <c r="J4800" s="76"/>
      <c r="K4800" s="76"/>
      <c r="L4800" s="76"/>
      <c r="M4800" s="76"/>
      <c r="N4800" s="76"/>
    </row>
    <row r="4801" spans="1:16" x14ac:dyDescent="0.3">
      <c r="B4801" s="85">
        <f t="shared" ref="B4801:N4801" si="1432">+B4957</f>
        <v>0</v>
      </c>
      <c r="C4801" s="85">
        <f t="shared" si="1432"/>
        <v>1.6641503999999998</v>
      </c>
      <c r="D4801" s="85">
        <f t="shared" si="1432"/>
        <v>16.12003744818378</v>
      </c>
      <c r="E4801" s="85">
        <f t="shared" si="1432"/>
        <v>63.833822074992639</v>
      </c>
      <c r="F4801" s="85">
        <f t="shared" si="1432"/>
        <v>164.50477409471998</v>
      </c>
      <c r="G4801" s="85">
        <f t="shared" si="1432"/>
        <v>329.54174155114299</v>
      </c>
      <c r="H4801" s="85">
        <f t="shared" si="1432"/>
        <v>555.86766612619806</v>
      </c>
      <c r="I4801" s="85">
        <f t="shared" si="1432"/>
        <v>837.17839965915698</v>
      </c>
      <c r="J4801" s="85">
        <f t="shared" si="1432"/>
        <v>1164.6795715857704</v>
      </c>
      <c r="K4801" s="85">
        <f t="shared" si="1432"/>
        <v>1527.4283526046154</v>
      </c>
      <c r="L4801" s="85">
        <f t="shared" si="1432"/>
        <v>1891.0220051823994</v>
      </c>
      <c r="M4801" s="85">
        <f t="shared" si="1432"/>
        <v>2214.7497950566876</v>
      </c>
      <c r="N4801" s="85">
        <f t="shared" si="1432"/>
        <v>2477.7136097887355</v>
      </c>
    </row>
    <row r="4802" spans="1:16" x14ac:dyDescent="0.3">
      <c r="A4802" s="645">
        <f>+$A$4749</f>
        <v>3126.12</v>
      </c>
      <c r="B4802" s="76"/>
      <c r="C4802" s="76"/>
      <c r="D4802" s="76"/>
      <c r="E4802" s="76"/>
      <c r="F4802" s="76"/>
      <c r="G4802" s="76"/>
      <c r="H4802" s="76"/>
      <c r="I4802" s="76"/>
      <c r="J4802" s="76"/>
      <c r="K4802" s="76"/>
      <c r="L4802" s="76"/>
      <c r="M4802" s="76"/>
      <c r="N4802" s="76"/>
    </row>
    <row r="4803" spans="1:16" x14ac:dyDescent="0.3">
      <c r="A4803" s="645">
        <f>+$A$4750</f>
        <v>5351.6670000000004</v>
      </c>
      <c r="B4803" s="76"/>
      <c r="C4803" s="76"/>
      <c r="D4803" s="76"/>
      <c r="E4803" s="76"/>
      <c r="F4803" s="76"/>
      <c r="G4803" s="76"/>
      <c r="H4803" s="76"/>
      <c r="I4803" s="76"/>
      <c r="J4803" s="76"/>
      <c r="K4803" s="76"/>
      <c r="L4803" s="76"/>
      <c r="M4803" s="76"/>
      <c r="N4803" s="76"/>
    </row>
    <row r="4804" spans="1:16" x14ac:dyDescent="0.3">
      <c r="A4804" s="645">
        <f>+$A$4751</f>
        <v>8250</v>
      </c>
      <c r="B4804" s="76"/>
      <c r="C4804" s="76"/>
      <c r="D4804" s="76"/>
      <c r="E4804" s="76"/>
      <c r="F4804" s="76"/>
      <c r="G4804" s="76"/>
      <c r="H4804" s="76"/>
      <c r="I4804" s="76"/>
      <c r="J4804" s="76"/>
      <c r="K4804" s="76"/>
      <c r="L4804" s="76"/>
      <c r="M4804" s="76"/>
      <c r="N4804" s="76"/>
      <c r="P4804" s="76">
        <f>+N4804*12.5</f>
        <v>0</v>
      </c>
    </row>
    <row r="4805" spans="1:16" x14ac:dyDescent="0.3">
      <c r="A4805" s="608"/>
      <c r="B4805" s="76"/>
      <c r="C4805" s="76"/>
      <c r="D4805" s="76"/>
      <c r="E4805" s="76"/>
      <c r="F4805" s="76"/>
      <c r="G4805" s="76"/>
      <c r="H4805" s="76"/>
      <c r="I4805" s="76"/>
      <c r="J4805" s="76"/>
      <c r="K4805" s="76"/>
      <c r="L4805" s="76"/>
      <c r="M4805" s="76"/>
      <c r="N4805" s="76"/>
    </row>
    <row r="4806" spans="1:16" x14ac:dyDescent="0.3">
      <c r="A4806" s="141" t="s">
        <v>2320</v>
      </c>
      <c r="B4806" s="76"/>
      <c r="C4806" s="76"/>
      <c r="D4806" s="76"/>
      <c r="E4806" s="76"/>
      <c r="F4806" s="76"/>
      <c r="G4806" s="76"/>
      <c r="H4806" s="76"/>
      <c r="I4806" s="76"/>
      <c r="J4806" s="76"/>
      <c r="K4806" s="76"/>
      <c r="L4806" s="76"/>
      <c r="M4806" s="76"/>
      <c r="N4806" s="76"/>
    </row>
    <row r="4807" spans="1:16" x14ac:dyDescent="0.3">
      <c r="A4807" s="90"/>
      <c r="B4807" s="85" t="e">
        <f t="shared" ref="B4807:N4807" si="1433">+B4330</f>
        <v>#REF!</v>
      </c>
      <c r="C4807" s="85" t="e">
        <f t="shared" si="1433"/>
        <v>#REF!</v>
      </c>
      <c r="D4807" s="85" t="e">
        <f t="shared" si="1433"/>
        <v>#REF!</v>
      </c>
      <c r="E4807" s="85" t="e">
        <f t="shared" si="1433"/>
        <v>#REF!</v>
      </c>
      <c r="F4807" s="85" t="e">
        <f t="shared" si="1433"/>
        <v>#REF!</v>
      </c>
      <c r="G4807" s="85" t="e">
        <f t="shared" si="1433"/>
        <v>#REF!</v>
      </c>
      <c r="H4807" s="85" t="e">
        <f t="shared" si="1433"/>
        <v>#REF!</v>
      </c>
      <c r="I4807" s="85" t="e">
        <f t="shared" si="1433"/>
        <v>#REF!</v>
      </c>
      <c r="J4807" s="85" t="e">
        <f t="shared" si="1433"/>
        <v>#REF!</v>
      </c>
      <c r="K4807" s="85" t="e">
        <f t="shared" si="1433"/>
        <v>#REF!</v>
      </c>
      <c r="L4807" s="85" t="e">
        <f t="shared" si="1433"/>
        <v>#REF!</v>
      </c>
      <c r="M4807" s="85" t="e">
        <f t="shared" si="1433"/>
        <v>#REF!</v>
      </c>
      <c r="N4807" s="85" t="e">
        <f t="shared" si="1433"/>
        <v>#REF!</v>
      </c>
    </row>
    <row r="4808" spans="1:16" x14ac:dyDescent="0.3">
      <c r="A4808" s="645">
        <f>+$A$4749</f>
        <v>3126.12</v>
      </c>
      <c r="B4808" s="76"/>
      <c r="C4808" s="76"/>
      <c r="D4808" s="76"/>
      <c r="E4808" s="76"/>
      <c r="F4808" s="76"/>
      <c r="G4808" s="76"/>
      <c r="H4808" s="76"/>
      <c r="I4808" s="76"/>
      <c r="J4808" s="76"/>
      <c r="K4808" s="76"/>
      <c r="L4808" s="76"/>
      <c r="M4808" s="76"/>
      <c r="N4808" s="76"/>
    </row>
    <row r="4809" spans="1:16" x14ac:dyDescent="0.3">
      <c r="A4809" s="645">
        <f>+$A$4750</f>
        <v>5351.6670000000004</v>
      </c>
      <c r="B4809" s="76"/>
      <c r="C4809" s="76"/>
      <c r="D4809" s="76"/>
      <c r="E4809" s="76"/>
      <c r="F4809" s="76"/>
      <c r="G4809" s="76"/>
      <c r="H4809" s="76"/>
      <c r="I4809" s="76"/>
      <c r="J4809" s="76"/>
      <c r="K4809" s="76"/>
      <c r="L4809" s="76"/>
      <c r="M4809" s="76"/>
      <c r="N4809" s="76"/>
    </row>
    <row r="4810" spans="1:16" x14ac:dyDescent="0.3">
      <c r="A4810" s="645">
        <f>+$A$4751</f>
        <v>8250</v>
      </c>
      <c r="B4810" s="76"/>
      <c r="C4810" s="76"/>
      <c r="D4810" s="76"/>
      <c r="E4810" s="76"/>
      <c r="F4810" s="76"/>
      <c r="G4810" s="76"/>
      <c r="H4810" s="76"/>
      <c r="I4810" s="76"/>
      <c r="J4810" s="76"/>
      <c r="K4810" s="76"/>
      <c r="L4810" s="76"/>
      <c r="M4810" s="76"/>
      <c r="N4810" s="76"/>
    </row>
    <row r="4811" spans="1:16" x14ac:dyDescent="0.3">
      <c r="A4811" s="608"/>
      <c r="B4811" s="76"/>
      <c r="C4811" s="76"/>
      <c r="D4811" s="76"/>
      <c r="E4811" s="76"/>
      <c r="F4811" s="76"/>
      <c r="G4811" s="76"/>
      <c r="H4811" s="76"/>
      <c r="I4811" s="76"/>
      <c r="J4811" s="76"/>
      <c r="K4811" s="76"/>
      <c r="L4811" s="76"/>
      <c r="M4811" s="76"/>
      <c r="N4811" s="76"/>
    </row>
    <row r="4812" spans="1:16" x14ac:dyDescent="0.3">
      <c r="A4812" s="141" t="s">
        <v>2321</v>
      </c>
      <c r="B4812" s="76"/>
      <c r="C4812" s="76"/>
      <c r="D4812" s="76"/>
      <c r="E4812" s="76"/>
      <c r="F4812" s="76"/>
      <c r="G4812" s="76"/>
      <c r="H4812" s="76"/>
      <c r="I4812" s="76"/>
      <c r="J4812" s="76"/>
      <c r="K4812" s="76"/>
      <c r="L4812" s="76"/>
      <c r="M4812" s="76"/>
      <c r="N4812" s="76"/>
    </row>
    <row r="4813" spans="1:16" x14ac:dyDescent="0.3">
      <c r="A4813" s="90"/>
      <c r="B4813" s="85" t="e">
        <f t="shared" ref="B4813:N4813" si="1434">+B4333-B4331</f>
        <v>#REF!</v>
      </c>
      <c r="C4813" s="85" t="e">
        <f t="shared" si="1434"/>
        <v>#REF!</v>
      </c>
      <c r="D4813" s="85" t="e">
        <f t="shared" si="1434"/>
        <v>#REF!</v>
      </c>
      <c r="E4813" s="85" t="e">
        <f t="shared" si="1434"/>
        <v>#REF!</v>
      </c>
      <c r="F4813" s="85" t="e">
        <f t="shared" si="1434"/>
        <v>#REF!</v>
      </c>
      <c r="G4813" s="85" t="e">
        <f t="shared" si="1434"/>
        <v>#REF!</v>
      </c>
      <c r="H4813" s="85" t="e">
        <f t="shared" si="1434"/>
        <v>#REF!</v>
      </c>
      <c r="I4813" s="85" t="e">
        <f t="shared" si="1434"/>
        <v>#REF!</v>
      </c>
      <c r="J4813" s="85" t="e">
        <f t="shared" si="1434"/>
        <v>#REF!</v>
      </c>
      <c r="K4813" s="85" t="e">
        <f t="shared" si="1434"/>
        <v>#REF!</v>
      </c>
      <c r="L4813" s="85" t="e">
        <f t="shared" si="1434"/>
        <v>#REF!</v>
      </c>
      <c r="M4813" s="85" t="e">
        <f t="shared" si="1434"/>
        <v>#REF!</v>
      </c>
      <c r="N4813" s="85" t="e">
        <f t="shared" si="1434"/>
        <v>#REF!</v>
      </c>
    </row>
    <row r="4814" spans="1:16" x14ac:dyDescent="0.3">
      <c r="A4814" s="645">
        <f>+$A$4749</f>
        <v>3126.12</v>
      </c>
      <c r="B4814" s="76"/>
      <c r="C4814" s="76"/>
      <c r="D4814" s="76"/>
      <c r="E4814" s="76"/>
      <c r="F4814" s="76"/>
      <c r="G4814" s="76"/>
      <c r="H4814" s="76"/>
      <c r="I4814" s="76"/>
      <c r="J4814" s="76"/>
      <c r="K4814" s="76"/>
      <c r="L4814" s="76"/>
      <c r="M4814" s="76"/>
      <c r="N4814" s="76"/>
      <c r="P4814">
        <v>931.63808161868189</v>
      </c>
    </row>
    <row r="4815" spans="1:16" x14ac:dyDescent="0.3">
      <c r="A4815" s="645">
        <f>+$A$4750</f>
        <v>5351.6670000000004</v>
      </c>
      <c r="B4815" s="76"/>
      <c r="C4815" s="76"/>
      <c r="D4815" s="76"/>
      <c r="E4815" s="76"/>
      <c r="F4815" s="76"/>
      <c r="G4815" s="76"/>
      <c r="H4815" s="76"/>
      <c r="I4815" s="76"/>
      <c r="J4815" s="76"/>
      <c r="K4815" s="76"/>
      <c r="L4815" s="76"/>
      <c r="M4815" s="76"/>
      <c r="N4815" s="76"/>
      <c r="P4815">
        <v>800.50504241486385</v>
      </c>
    </row>
    <row r="4816" spans="1:16" x14ac:dyDescent="0.3">
      <c r="A4816" s="645">
        <f>+$A$4751</f>
        <v>8250</v>
      </c>
      <c r="B4816" s="76"/>
      <c r="C4816" s="76"/>
      <c r="D4816" s="76"/>
      <c r="E4816" s="76"/>
      <c r="F4816" s="76"/>
      <c r="G4816" s="76"/>
      <c r="H4816" s="76"/>
      <c r="I4816" s="76"/>
      <c r="J4816" s="76"/>
      <c r="K4816" s="76"/>
      <c r="L4816" s="76"/>
      <c r="M4816" s="76"/>
      <c r="N4816" s="76"/>
      <c r="P4816">
        <v>669.37200321104581</v>
      </c>
    </row>
    <row r="4817" spans="1:14" x14ac:dyDescent="0.3">
      <c r="A4817" s="608"/>
      <c r="B4817" s="76"/>
      <c r="C4817" s="76"/>
      <c r="D4817" s="76"/>
      <c r="E4817" s="76"/>
      <c r="F4817" s="76"/>
      <c r="G4817" s="76"/>
      <c r="H4817" s="76"/>
      <c r="I4817" s="76"/>
      <c r="J4817" s="76"/>
      <c r="K4817" s="76"/>
      <c r="L4817" s="76"/>
      <c r="M4817" s="76"/>
      <c r="N4817" s="76"/>
    </row>
    <row r="4818" spans="1:14" x14ac:dyDescent="0.3">
      <c r="A4818" s="608"/>
      <c r="B4818" s="76"/>
      <c r="C4818" s="76"/>
      <c r="D4818" s="76"/>
      <c r="E4818" s="76"/>
      <c r="F4818" s="76"/>
      <c r="G4818" s="76"/>
      <c r="H4818" s="76"/>
      <c r="I4818" s="76"/>
      <c r="J4818" s="76"/>
      <c r="K4818" s="76"/>
      <c r="L4818" s="76"/>
      <c r="M4818" s="76"/>
      <c r="N4818" s="76"/>
    </row>
    <row r="4819" spans="1:14" x14ac:dyDescent="0.3">
      <c r="A4819" s="141" t="s">
        <v>2322</v>
      </c>
      <c r="B4819" s="76"/>
      <c r="C4819" s="76"/>
      <c r="D4819" s="76"/>
      <c r="E4819" s="76"/>
      <c r="F4819" s="76"/>
      <c r="G4819" s="76"/>
      <c r="H4819" s="76"/>
      <c r="I4819" s="76"/>
      <c r="J4819" s="76"/>
      <c r="K4819" s="76"/>
      <c r="L4819" s="76"/>
      <c r="M4819" s="76"/>
      <c r="N4819" s="76"/>
    </row>
    <row r="4820" spans="1:14" x14ac:dyDescent="0.3">
      <c r="A4820" s="90"/>
      <c r="B4820" s="85" t="e">
        <f t="shared" ref="B4820:N4820" si="1435">+B4333</f>
        <v>#REF!</v>
      </c>
      <c r="C4820" s="85" t="e">
        <f t="shared" si="1435"/>
        <v>#REF!</v>
      </c>
      <c r="D4820" s="85" t="e">
        <f t="shared" si="1435"/>
        <v>#REF!</v>
      </c>
      <c r="E4820" s="85" t="e">
        <f t="shared" si="1435"/>
        <v>#REF!</v>
      </c>
      <c r="F4820" s="85" t="e">
        <f t="shared" si="1435"/>
        <v>#REF!</v>
      </c>
      <c r="G4820" s="85" t="e">
        <f t="shared" si="1435"/>
        <v>#REF!</v>
      </c>
      <c r="H4820" s="85" t="e">
        <f t="shared" si="1435"/>
        <v>#REF!</v>
      </c>
      <c r="I4820" s="85" t="e">
        <f t="shared" si="1435"/>
        <v>#REF!</v>
      </c>
      <c r="J4820" s="85" t="e">
        <f t="shared" si="1435"/>
        <v>#REF!</v>
      </c>
      <c r="K4820" s="85" t="e">
        <f t="shared" si="1435"/>
        <v>#REF!</v>
      </c>
      <c r="L4820" s="85" t="e">
        <f t="shared" si="1435"/>
        <v>#REF!</v>
      </c>
      <c r="M4820" s="85" t="e">
        <f t="shared" si="1435"/>
        <v>#REF!</v>
      </c>
      <c r="N4820" s="85" t="e">
        <f t="shared" si="1435"/>
        <v>#REF!</v>
      </c>
    </row>
    <row r="4821" spans="1:14" x14ac:dyDescent="0.3">
      <c r="A4821" s="645">
        <f>+$A$4749</f>
        <v>3126.12</v>
      </c>
      <c r="B4821" s="76"/>
      <c r="C4821" s="76"/>
      <c r="D4821" s="76"/>
      <c r="E4821" s="76"/>
      <c r="F4821" s="76"/>
      <c r="G4821" s="76"/>
      <c r="H4821" s="76"/>
      <c r="I4821" s="76"/>
      <c r="J4821" s="76"/>
      <c r="K4821" s="76"/>
      <c r="L4821" s="76"/>
      <c r="M4821" s="76"/>
      <c r="N4821" s="76"/>
    </row>
    <row r="4822" spans="1:14" x14ac:dyDescent="0.3">
      <c r="A4822" s="645">
        <f>+$A$4750</f>
        <v>5351.6670000000004</v>
      </c>
      <c r="B4822" s="76"/>
      <c r="C4822" s="76"/>
      <c r="D4822" s="76"/>
      <c r="E4822" s="76"/>
      <c r="F4822" s="76"/>
      <c r="G4822" s="76"/>
      <c r="H4822" s="76"/>
      <c r="I4822" s="76"/>
      <c r="J4822" s="76"/>
      <c r="K4822" s="76"/>
      <c r="L4822" s="76"/>
      <c r="M4822" s="76"/>
      <c r="N4822" s="76"/>
    </row>
    <row r="4823" spans="1:14" x14ac:dyDescent="0.3">
      <c r="A4823" s="645">
        <f>+$A$4751</f>
        <v>8250</v>
      </c>
      <c r="B4823" s="76"/>
      <c r="C4823" s="76"/>
      <c r="D4823" s="76"/>
      <c r="E4823" s="76"/>
      <c r="F4823" s="76"/>
      <c r="G4823" s="76"/>
      <c r="H4823" s="76"/>
      <c r="I4823" s="76"/>
      <c r="J4823" s="76"/>
      <c r="K4823" s="76"/>
      <c r="L4823" s="76"/>
      <c r="M4823" s="76"/>
      <c r="N4823" s="76"/>
    </row>
    <row r="4824" spans="1:14" x14ac:dyDescent="0.3">
      <c r="A4824" s="608"/>
      <c r="B4824" s="76"/>
      <c r="C4824" s="76"/>
      <c r="D4824" s="76"/>
      <c r="E4824" s="76"/>
      <c r="F4824" s="76"/>
      <c r="G4824" s="76"/>
      <c r="H4824" s="76"/>
      <c r="I4824" s="76"/>
      <c r="J4824" s="76"/>
      <c r="K4824" s="76"/>
      <c r="L4824" s="76"/>
      <c r="M4824" s="76"/>
      <c r="N4824" s="76"/>
    </row>
    <row r="4825" spans="1:14" x14ac:dyDescent="0.3">
      <c r="A4825" s="298" t="s">
        <v>2323</v>
      </c>
      <c r="B4825" s="85"/>
      <c r="C4825" s="85"/>
      <c r="D4825" s="85"/>
      <c r="E4825" s="85"/>
      <c r="F4825" s="85"/>
      <c r="G4825" s="85"/>
      <c r="H4825" s="85"/>
      <c r="I4825" s="90"/>
      <c r="J4825" s="90"/>
      <c r="K4825" s="90"/>
      <c r="L4825" s="90"/>
      <c r="M4825" s="90"/>
      <c r="N4825" s="90"/>
    </row>
    <row r="4826" spans="1:14" x14ac:dyDescent="0.3">
      <c r="A4826" s="298"/>
      <c r="B4826" s="85" t="e">
        <f>+$B4477</f>
        <v>#REF!</v>
      </c>
      <c r="C4826" s="740" t="e">
        <f>+$B4483</f>
        <v>#REF!</v>
      </c>
      <c r="D4826" s="85"/>
      <c r="E4826" s="85"/>
      <c r="F4826" s="85"/>
      <c r="G4826" s="85"/>
      <c r="H4826" s="85"/>
      <c r="I4826" s="90"/>
      <c r="J4826" s="90"/>
      <c r="K4826" s="90"/>
      <c r="L4826" s="90"/>
      <c r="M4826" s="90"/>
      <c r="N4826" s="90"/>
    </row>
    <row r="4827" spans="1:14" x14ac:dyDescent="0.3">
      <c r="A4827" s="703">
        <v>0.09</v>
      </c>
      <c r="B4827" s="76"/>
      <c r="C4827" s="459"/>
      <c r="D4827" s="85"/>
      <c r="E4827" s="85"/>
      <c r="F4827" s="85"/>
      <c r="G4827" s="85"/>
      <c r="H4827" s="85"/>
      <c r="I4827" s="90"/>
      <c r="J4827" s="90"/>
      <c r="K4827" s="90"/>
      <c r="L4827" s="90"/>
      <c r="M4827" s="90"/>
      <c r="N4827" s="90"/>
    </row>
    <row r="4828" spans="1:14" x14ac:dyDescent="0.3">
      <c r="A4828" s="703">
        <f>+A4827-1%</f>
        <v>0.08</v>
      </c>
      <c r="B4828" s="76"/>
      <c r="C4828" s="459"/>
      <c r="D4828" s="85"/>
      <c r="E4828" s="85"/>
      <c r="F4828" s="85"/>
      <c r="G4828" s="85"/>
      <c r="H4828" s="85"/>
      <c r="I4828" s="90"/>
      <c r="J4828" s="90"/>
      <c r="K4828" s="90"/>
      <c r="L4828" s="90"/>
      <c r="M4828" s="90"/>
      <c r="N4828" s="90"/>
    </row>
    <row r="4829" spans="1:14" x14ac:dyDescent="0.3">
      <c r="A4829" s="703">
        <f>+A4828-1%</f>
        <v>7.0000000000000007E-2</v>
      </c>
      <c r="B4829" s="76"/>
      <c r="C4829" s="459"/>
      <c r="D4829" s="85"/>
      <c r="E4829" s="85"/>
      <c r="F4829" s="85"/>
      <c r="G4829" s="85"/>
      <c r="H4829" s="85"/>
      <c r="I4829" s="90"/>
      <c r="J4829" s="90"/>
      <c r="K4829" s="90"/>
      <c r="L4829" s="90"/>
      <c r="M4829" s="90"/>
      <c r="N4829" s="90"/>
    </row>
    <row r="4830" spans="1:14" x14ac:dyDescent="0.3">
      <c r="A4830" s="703">
        <f>+A4829-1%</f>
        <v>6.0000000000000005E-2</v>
      </c>
      <c r="B4830" s="76"/>
      <c r="C4830" s="459"/>
      <c r="D4830" s="85"/>
      <c r="E4830" s="85"/>
      <c r="F4830" s="85"/>
      <c r="G4830" s="85"/>
      <c r="H4830" s="85"/>
      <c r="I4830" s="90"/>
      <c r="J4830" s="90"/>
      <c r="K4830" s="90"/>
      <c r="L4830" s="90"/>
      <c r="M4830" s="90"/>
      <c r="N4830" s="90"/>
    </row>
    <row r="4831" spans="1:14" x14ac:dyDescent="0.3">
      <c r="A4831" s="703">
        <f>+A4830-1%</f>
        <v>0.05</v>
      </c>
      <c r="B4831" s="76"/>
      <c r="C4831" s="459"/>
      <c r="D4831" s="85"/>
      <c r="E4831" s="85"/>
      <c r="F4831" s="85"/>
      <c r="G4831" s="85"/>
      <c r="H4831" s="85"/>
      <c r="I4831" s="90"/>
      <c r="J4831" s="90"/>
      <c r="K4831" s="90"/>
      <c r="L4831" s="90"/>
      <c r="M4831" s="90"/>
      <c r="N4831" s="90"/>
    </row>
    <row r="4832" spans="1:14" x14ac:dyDescent="0.3">
      <c r="A4832" s="703"/>
      <c r="B4832" s="76"/>
      <c r="C4832" s="740"/>
      <c r="D4832" s="85"/>
      <c r="E4832" s="85"/>
      <c r="F4832" s="85"/>
      <c r="G4832" s="85"/>
      <c r="H4832" s="85"/>
      <c r="I4832" s="90"/>
      <c r="J4832" s="90"/>
      <c r="K4832" s="90"/>
      <c r="L4832" s="90"/>
      <c r="M4832" s="90"/>
      <c r="N4832" s="90"/>
    </row>
    <row r="4833" spans="1:16" x14ac:dyDescent="0.3">
      <c r="A4833" s="141" t="s">
        <v>271</v>
      </c>
      <c r="B4833" s="76"/>
      <c r="C4833" s="76"/>
      <c r="D4833" s="76"/>
      <c r="E4833" s="76"/>
      <c r="F4833" s="76"/>
      <c r="G4833" s="76"/>
      <c r="H4833" s="76"/>
      <c r="I4833" s="76"/>
      <c r="J4833" s="76"/>
      <c r="K4833" s="76"/>
      <c r="L4833" s="76"/>
      <c r="M4833" s="76"/>
      <c r="N4833" s="76"/>
    </row>
    <row r="4834" spans="1:16" x14ac:dyDescent="0.3">
      <c r="B4834" s="85">
        <f t="shared" ref="B4834:N4834" si="1436">+B4503</f>
        <v>0</v>
      </c>
      <c r="C4834" s="85">
        <f t="shared" si="1436"/>
        <v>85</v>
      </c>
      <c r="D4834" s="85">
        <f t="shared" si="1436"/>
        <v>580</v>
      </c>
      <c r="E4834" s="85">
        <f t="shared" si="1436"/>
        <v>1580</v>
      </c>
      <c r="F4834" s="85">
        <f t="shared" si="1436"/>
        <v>2691.666666666667</v>
      </c>
      <c r="G4834" s="85">
        <f t="shared" si="1436"/>
        <v>3803.3333333333335</v>
      </c>
      <c r="H4834" s="85">
        <f t="shared" si="1436"/>
        <v>4915</v>
      </c>
      <c r="I4834" s="85">
        <f t="shared" si="1436"/>
        <v>6026.666666666667</v>
      </c>
      <c r="J4834" s="85">
        <f t="shared" si="1436"/>
        <v>7138.3333333333339</v>
      </c>
      <c r="K4834" s="85">
        <f t="shared" si="1436"/>
        <v>8250</v>
      </c>
      <c r="L4834" s="85">
        <f t="shared" si="1436"/>
        <v>8250</v>
      </c>
      <c r="M4834" s="85">
        <f t="shared" si="1436"/>
        <v>8250</v>
      </c>
      <c r="N4834" s="85">
        <f t="shared" si="1436"/>
        <v>8250</v>
      </c>
    </row>
    <row r="4835" spans="1:16" x14ac:dyDescent="0.3">
      <c r="A4835" s="645">
        <f>+$A$4749</f>
        <v>3126.12</v>
      </c>
      <c r="B4835" s="76"/>
      <c r="C4835" s="76"/>
      <c r="D4835" s="76"/>
      <c r="E4835" s="76"/>
      <c r="F4835" s="76"/>
      <c r="G4835" s="76"/>
      <c r="H4835" s="76"/>
      <c r="I4835" s="76"/>
      <c r="J4835" s="76"/>
      <c r="K4835" s="76"/>
      <c r="L4835" s="76"/>
      <c r="M4835" s="76"/>
      <c r="N4835" s="76"/>
    </row>
    <row r="4836" spans="1:16" x14ac:dyDescent="0.3">
      <c r="A4836" s="645">
        <f>+$A$4750</f>
        <v>5351.6670000000004</v>
      </c>
      <c r="B4836" s="76"/>
      <c r="C4836" s="76"/>
      <c r="D4836" s="76"/>
      <c r="E4836" s="76"/>
      <c r="F4836" s="76"/>
      <c r="G4836" s="76"/>
      <c r="H4836" s="76"/>
      <c r="I4836" s="76"/>
      <c r="J4836" s="76"/>
      <c r="K4836" s="76"/>
      <c r="L4836" s="76"/>
      <c r="M4836" s="76"/>
      <c r="N4836" s="76"/>
    </row>
    <row r="4837" spans="1:16" x14ac:dyDescent="0.3">
      <c r="A4837" s="645">
        <f>+$A$4751</f>
        <v>8250</v>
      </c>
      <c r="B4837" s="76"/>
      <c r="C4837" s="76"/>
      <c r="D4837" s="76"/>
      <c r="E4837" s="76"/>
      <c r="F4837" s="76"/>
      <c r="G4837" s="76"/>
      <c r="H4837" s="76"/>
      <c r="I4837" s="76"/>
      <c r="J4837" s="76"/>
      <c r="K4837" s="76"/>
      <c r="L4837" s="76"/>
      <c r="M4837" s="76"/>
      <c r="N4837" s="76"/>
    </row>
    <row r="4838" spans="1:16" x14ac:dyDescent="0.3">
      <c r="A4838" s="298"/>
      <c r="B4838" s="85"/>
      <c r="C4838" s="85"/>
      <c r="D4838" s="85"/>
      <c r="E4838" s="85"/>
      <c r="F4838" s="85"/>
      <c r="G4838" s="85"/>
      <c r="H4838" s="85"/>
      <c r="I4838" s="90"/>
      <c r="J4838" s="90"/>
      <c r="K4838" s="90"/>
      <c r="L4838" s="90"/>
      <c r="M4838" s="90"/>
      <c r="N4838" s="90"/>
    </row>
    <row r="4839" spans="1:16" x14ac:dyDescent="0.3">
      <c r="A4839" s="533" t="s">
        <v>2324</v>
      </c>
      <c r="B4839" s="534"/>
      <c r="C4839" s="534"/>
      <c r="D4839" s="534"/>
      <c r="E4839" s="534"/>
      <c r="F4839" s="534"/>
      <c r="G4839" s="534"/>
      <c r="H4839" s="534"/>
      <c r="I4839" s="534"/>
      <c r="J4839" s="534"/>
      <c r="K4839" s="534"/>
      <c r="L4839" s="534"/>
      <c r="M4839" s="534"/>
      <c r="N4839" s="534"/>
      <c r="O4839" s="534"/>
    </row>
    <row r="4840" spans="1:16" x14ac:dyDescent="0.3">
      <c r="A4840" s="536"/>
      <c r="B4840" s="537">
        <v>2019</v>
      </c>
      <c r="C4840" s="537">
        <f>+B4840+1</f>
        <v>2020</v>
      </c>
      <c r="D4840" s="537">
        <f t="shared" ref="D4840:N4840" si="1437">+C4840+1</f>
        <v>2021</v>
      </c>
      <c r="E4840" s="537">
        <f t="shared" si="1437"/>
        <v>2022</v>
      </c>
      <c r="F4840" s="537">
        <f t="shared" si="1437"/>
        <v>2023</v>
      </c>
      <c r="G4840" s="537">
        <f t="shared" si="1437"/>
        <v>2024</v>
      </c>
      <c r="H4840" s="537">
        <f t="shared" si="1437"/>
        <v>2025</v>
      </c>
      <c r="I4840" s="537">
        <f t="shared" si="1437"/>
        <v>2026</v>
      </c>
      <c r="J4840" s="537">
        <f t="shared" si="1437"/>
        <v>2027</v>
      </c>
      <c r="K4840" s="537">
        <f t="shared" si="1437"/>
        <v>2028</v>
      </c>
      <c r="L4840" s="537">
        <f t="shared" si="1437"/>
        <v>2029</v>
      </c>
      <c r="M4840" s="537">
        <f t="shared" si="1437"/>
        <v>2030</v>
      </c>
      <c r="N4840" s="537">
        <f t="shared" si="1437"/>
        <v>2031</v>
      </c>
      <c r="O4840" s="537"/>
    </row>
    <row r="4841" spans="1:16" x14ac:dyDescent="0.3">
      <c r="A4841" s="141" t="s">
        <v>271</v>
      </c>
    </row>
    <row r="4842" spans="1:16" x14ac:dyDescent="0.3">
      <c r="A4842" t="s">
        <v>272</v>
      </c>
      <c r="B4842" s="79">
        <f>Drivers!DZ82</f>
        <v>3223</v>
      </c>
      <c r="C4842" s="134">
        <f>+B4842</f>
        <v>3223</v>
      </c>
      <c r="D4842" s="95">
        <f t="shared" ref="D4842:N4842" si="1438">+C4842</f>
        <v>3223</v>
      </c>
      <c r="E4842" s="95">
        <f t="shared" si="1438"/>
        <v>3223</v>
      </c>
      <c r="F4842" s="95">
        <f t="shared" si="1438"/>
        <v>3223</v>
      </c>
      <c r="G4842" s="95">
        <f t="shared" si="1438"/>
        <v>3223</v>
      </c>
      <c r="H4842" s="95">
        <f t="shared" si="1438"/>
        <v>3223</v>
      </c>
      <c r="I4842" s="95">
        <f t="shared" si="1438"/>
        <v>3223</v>
      </c>
      <c r="J4842" s="95">
        <f t="shared" si="1438"/>
        <v>3223</v>
      </c>
      <c r="K4842" s="95">
        <f t="shared" si="1438"/>
        <v>3223</v>
      </c>
      <c r="L4842" s="95">
        <f t="shared" si="1438"/>
        <v>3223</v>
      </c>
      <c r="M4842" s="95">
        <f t="shared" si="1438"/>
        <v>3223</v>
      </c>
      <c r="N4842" s="95">
        <f t="shared" si="1438"/>
        <v>3223</v>
      </c>
      <c r="O4842" s="95"/>
      <c r="P4842" s="95"/>
    </row>
    <row r="4843" spans="1:16" x14ac:dyDescent="0.3">
      <c r="A4843" t="s">
        <v>273</v>
      </c>
      <c r="B4843" s="76">
        <f t="shared" ref="B4843:N4843" si="1439">+B4564</f>
        <v>0</v>
      </c>
      <c r="C4843" s="76">
        <f t="shared" si="1439"/>
        <v>85</v>
      </c>
      <c r="D4843" s="76">
        <f t="shared" si="1439"/>
        <v>580</v>
      </c>
      <c r="E4843" s="76">
        <f t="shared" si="1439"/>
        <v>1580</v>
      </c>
      <c r="F4843" s="76">
        <f t="shared" si="1439"/>
        <v>2691.666666666667</v>
      </c>
      <c r="G4843" s="76">
        <f t="shared" si="1439"/>
        <v>3803.3333333333335</v>
      </c>
      <c r="H4843" s="76">
        <f t="shared" si="1439"/>
        <v>4915</v>
      </c>
      <c r="I4843" s="76">
        <f t="shared" si="1439"/>
        <v>6026.666666666667</v>
      </c>
      <c r="J4843" s="76">
        <f t="shared" si="1439"/>
        <v>7138.3333333333339</v>
      </c>
      <c r="K4843" s="76">
        <f t="shared" si="1439"/>
        <v>8250</v>
      </c>
      <c r="L4843" s="76">
        <f t="shared" si="1439"/>
        <v>8250</v>
      </c>
      <c r="M4843" s="76">
        <f t="shared" si="1439"/>
        <v>8250</v>
      </c>
      <c r="N4843" s="76">
        <f t="shared" si="1439"/>
        <v>8250</v>
      </c>
      <c r="O4843" s="76"/>
      <c r="P4843" s="76"/>
    </row>
    <row r="4844" spans="1:16" x14ac:dyDescent="0.3">
      <c r="A4844" s="90" t="s">
        <v>266</v>
      </c>
      <c r="B4844" s="803">
        <f t="shared" ref="B4844:N4844" si="1440">+B4842+B4843</f>
        <v>3223</v>
      </c>
      <c r="C4844" s="803">
        <f t="shared" si="1440"/>
        <v>3308</v>
      </c>
      <c r="D4844" s="803">
        <f t="shared" si="1440"/>
        <v>3803</v>
      </c>
      <c r="E4844" s="803">
        <f t="shared" si="1440"/>
        <v>4803</v>
      </c>
      <c r="F4844" s="803">
        <f t="shared" si="1440"/>
        <v>5914.666666666667</v>
      </c>
      <c r="G4844" s="803">
        <f t="shared" si="1440"/>
        <v>7026.3333333333339</v>
      </c>
      <c r="H4844" s="803">
        <f t="shared" si="1440"/>
        <v>8138</v>
      </c>
      <c r="I4844" s="803">
        <f t="shared" si="1440"/>
        <v>9249.6666666666679</v>
      </c>
      <c r="J4844" s="803">
        <f t="shared" si="1440"/>
        <v>10361.333333333334</v>
      </c>
      <c r="K4844" s="803">
        <f t="shared" si="1440"/>
        <v>11473</v>
      </c>
      <c r="L4844" s="803">
        <f t="shared" si="1440"/>
        <v>11473</v>
      </c>
      <c r="M4844" s="803">
        <f t="shared" si="1440"/>
        <v>11473</v>
      </c>
      <c r="N4844" s="803">
        <f t="shared" si="1440"/>
        <v>11473</v>
      </c>
      <c r="O4844" s="85"/>
      <c r="P4844" s="85"/>
    </row>
    <row r="4845" spans="1:16" x14ac:dyDescent="0.3">
      <c r="A4845" s="94" t="s">
        <v>274</v>
      </c>
      <c r="C4845" s="80">
        <f>+Drivers!ED90</f>
        <v>3309</v>
      </c>
      <c r="D4845" s="80">
        <f>+Drivers!EI90</f>
        <v>3947</v>
      </c>
      <c r="E4845" s="80">
        <f>+Drivers!EN90</f>
        <v>5171</v>
      </c>
      <c r="F4845" s="80">
        <f>+Drivers!ES90</f>
        <v>6491</v>
      </c>
      <c r="G4845" s="80">
        <f>+Drivers!EX90</f>
        <v>7823</v>
      </c>
      <c r="H4845" s="80">
        <f>+Drivers!FC90</f>
        <v>9123</v>
      </c>
      <c r="I4845" s="80">
        <f>+Drivers!FD90</f>
        <v>10023</v>
      </c>
      <c r="J4845" s="80">
        <f>+Drivers!FE90</f>
        <v>10123.23</v>
      </c>
      <c r="K4845" s="80">
        <f>+Drivers!FF90</f>
        <v>10224.462299999999</v>
      </c>
      <c r="L4845" s="80">
        <f>+Drivers!FG90</f>
        <v>10326.706922999998</v>
      </c>
      <c r="M4845" s="80">
        <f>+Drivers!FH90</f>
        <v>10429.97399223</v>
      </c>
      <c r="N4845" s="80">
        <f>+Drivers!FI90</f>
        <v>10534.273732152298</v>
      </c>
      <c r="O4845" s="80"/>
      <c r="P4845" s="80"/>
    </row>
    <row r="4846" spans="1:16" x14ac:dyDescent="0.3">
      <c r="A4846" s="94"/>
      <c r="B4846" s="80"/>
      <c r="C4846" s="80"/>
      <c r="D4846" s="80"/>
      <c r="E4846" s="80"/>
      <c r="F4846" s="80"/>
      <c r="G4846" s="80"/>
      <c r="H4846" s="80"/>
      <c r="I4846" s="80"/>
      <c r="J4846" s="80"/>
      <c r="K4846" s="80"/>
      <c r="L4846" s="80"/>
      <c r="M4846" s="80"/>
      <c r="N4846" s="80"/>
      <c r="O4846" s="80"/>
      <c r="P4846" s="80"/>
    </row>
    <row r="4847" spans="1:16" x14ac:dyDescent="0.3">
      <c r="A4847" s="141" t="s">
        <v>275</v>
      </c>
      <c r="B4847" s="97"/>
      <c r="C4847" s="97"/>
      <c r="D4847" s="97"/>
      <c r="E4847" s="97"/>
      <c r="F4847" s="97"/>
      <c r="G4847" s="97"/>
      <c r="H4847" s="97"/>
      <c r="I4847" s="97"/>
      <c r="J4847" s="97"/>
      <c r="K4847" s="97"/>
      <c r="L4847" s="97"/>
      <c r="M4847" s="97"/>
      <c r="N4847" s="97"/>
      <c r="O4847" s="97"/>
      <c r="P4847" s="97"/>
    </row>
    <row r="4848" spans="1:16" x14ac:dyDescent="0.3">
      <c r="A4848" t="s">
        <v>272</v>
      </c>
      <c r="B4848" s="79">
        <f>+Drivers!DZ115</f>
        <v>1215</v>
      </c>
      <c r="C4848" s="79">
        <f>+Drivers!ED115</f>
        <v>1238</v>
      </c>
      <c r="D4848" s="76">
        <f t="shared" ref="D4848:N4848" si="1441">+D4842*D4854</f>
        <v>1254.115</v>
      </c>
      <c r="E4848" s="76">
        <f t="shared" si="1441"/>
        <v>1270.23</v>
      </c>
      <c r="F4848" s="76">
        <f t="shared" si="1441"/>
        <v>1286.345</v>
      </c>
      <c r="G4848" s="76">
        <f t="shared" si="1441"/>
        <v>1302.46</v>
      </c>
      <c r="H4848" s="76">
        <f t="shared" si="1441"/>
        <v>1318.575</v>
      </c>
      <c r="I4848" s="76">
        <f t="shared" si="1441"/>
        <v>1334.69</v>
      </c>
      <c r="J4848" s="76">
        <f t="shared" si="1441"/>
        <v>1350.8050000000001</v>
      </c>
      <c r="K4848" s="76">
        <f t="shared" si="1441"/>
        <v>1366.92</v>
      </c>
      <c r="L4848" s="76">
        <f t="shared" si="1441"/>
        <v>1383.0350000000001</v>
      </c>
      <c r="M4848" s="76">
        <f t="shared" si="1441"/>
        <v>1399.15</v>
      </c>
      <c r="N4848" s="76">
        <f t="shared" si="1441"/>
        <v>1415.2650000000001</v>
      </c>
      <c r="O4848" s="76"/>
      <c r="P4848" s="76"/>
    </row>
    <row r="4849" spans="1:17" x14ac:dyDescent="0.3">
      <c r="A4849" t="s">
        <v>273</v>
      </c>
      <c r="B4849" s="76">
        <f>+B4566</f>
        <v>0</v>
      </c>
      <c r="C4849" s="76">
        <f>+C4566</f>
        <v>5.0999999999999996</v>
      </c>
      <c r="D4849" s="76">
        <f>New_Build_Summary!G16</f>
        <v>39.250709200000003</v>
      </c>
      <c r="E4849" s="76">
        <f>New_Build_Summary!H16</f>
        <v>156.08585680749908</v>
      </c>
      <c r="F4849" s="76">
        <f>New_Build_Summary!I16</f>
        <v>397.64814692955645</v>
      </c>
      <c r="G4849" s="76">
        <f>New_Build_Summary!J16</f>
        <v>781.84743699482453</v>
      </c>
      <c r="H4849" s="76">
        <f>New_Build_Summary!K16</f>
        <v>1301.1882892456324</v>
      </c>
      <c r="I4849" s="76">
        <f>New_Build_Summary!L16</f>
        <v>1836.9564056175759</v>
      </c>
      <c r="J4849" s="76">
        <f>New_Build_Summary!M16</f>
        <v>2291.1764993067909</v>
      </c>
      <c r="K4849" s="76">
        <f>New_Build_Summary!N16</f>
        <v>2642.6670031661383</v>
      </c>
      <c r="L4849" s="76">
        <f>New_Build_Summary!O16</f>
        <v>2869.0488078819353</v>
      </c>
      <c r="M4849" s="76">
        <f>New_Build_Summary!P16</f>
        <v>2972.7215279101933</v>
      </c>
      <c r="N4849" s="76">
        <f>New_Build_Summary!Q16</f>
        <v>2981.4</v>
      </c>
      <c r="O4849" s="76"/>
      <c r="P4849" s="76"/>
    </row>
    <row r="4850" spans="1:17" x14ac:dyDescent="0.3">
      <c r="A4850" s="90" t="s">
        <v>266</v>
      </c>
      <c r="B4850" s="803">
        <f t="shared" ref="B4850:N4850" si="1442">+B4848+B4849</f>
        <v>1215</v>
      </c>
      <c r="C4850" s="803">
        <f t="shared" si="1442"/>
        <v>1243.0999999999999</v>
      </c>
      <c r="D4850" s="803">
        <f t="shared" si="1442"/>
        <v>1293.3657092000001</v>
      </c>
      <c r="E4850" s="803">
        <f t="shared" si="1442"/>
        <v>1426.3158568074991</v>
      </c>
      <c r="F4850" s="803">
        <f t="shared" si="1442"/>
        <v>1683.9931469295566</v>
      </c>
      <c r="G4850" s="803">
        <f t="shared" si="1442"/>
        <v>2084.3074369948245</v>
      </c>
      <c r="H4850" s="803">
        <f t="shared" si="1442"/>
        <v>2619.7632892456322</v>
      </c>
      <c r="I4850" s="803">
        <f t="shared" si="1442"/>
        <v>3171.646405617576</v>
      </c>
      <c r="J4850" s="803">
        <f t="shared" si="1442"/>
        <v>3641.9814993067912</v>
      </c>
      <c r="K4850" s="803">
        <f t="shared" si="1442"/>
        <v>4009.5870031661384</v>
      </c>
      <c r="L4850" s="803">
        <f t="shared" si="1442"/>
        <v>4252.0838078819352</v>
      </c>
      <c r="M4850" s="803">
        <f t="shared" si="1442"/>
        <v>4371.8715279101934</v>
      </c>
      <c r="N4850" s="803">
        <f t="shared" si="1442"/>
        <v>4396.665</v>
      </c>
      <c r="O4850" s="85"/>
      <c r="P4850" s="85"/>
    </row>
    <row r="4851" spans="1:17" x14ac:dyDescent="0.3">
      <c r="A4851" s="94" t="s">
        <v>274</v>
      </c>
      <c r="C4851" s="80">
        <f>+Drivers!ED115</f>
        <v>1238</v>
      </c>
      <c r="D4851" s="80">
        <f>+Drivers!EI115</f>
        <v>1336</v>
      </c>
      <c r="E4851" s="80">
        <f>+Drivers!EN115</f>
        <v>1575</v>
      </c>
      <c r="F4851" s="80">
        <f>+Drivers!ES115</f>
        <v>1878</v>
      </c>
      <c r="G4851" s="80">
        <f>+Drivers!EX115</f>
        <v>2249</v>
      </c>
      <c r="H4851" s="80">
        <f>+Drivers!FC115</f>
        <v>2702.2388610217558</v>
      </c>
      <c r="I4851" s="80">
        <f>+Drivers!FD115</f>
        <v>3183.9855180066493</v>
      </c>
      <c r="J4851" s="80">
        <f>+Drivers!FE115</f>
        <v>3603.7155306006016</v>
      </c>
      <c r="K4851" s="80">
        <f>+Drivers!FF115</f>
        <v>3913.6593195111532</v>
      </c>
      <c r="L4851" s="80">
        <f>+Drivers!FG115</f>
        <v>4146.4920361528466</v>
      </c>
      <c r="M4851" s="80">
        <f>+Drivers!FH115</f>
        <v>4309.6225586526334</v>
      </c>
      <c r="N4851" s="80">
        <f>+Drivers!FI115</f>
        <v>4411.3970646733696</v>
      </c>
      <c r="O4851" s="80"/>
      <c r="P4851" s="80"/>
    </row>
    <row r="4852" spans="1:17" x14ac:dyDescent="0.3">
      <c r="A4852" s="94"/>
      <c r="B4852" s="80"/>
      <c r="C4852" s="80"/>
      <c r="D4852" s="80"/>
      <c r="E4852" s="80"/>
      <c r="F4852" s="80"/>
      <c r="G4852" s="80"/>
      <c r="H4852" s="80"/>
      <c r="I4852" s="80"/>
      <c r="J4852" s="80"/>
      <c r="K4852" s="80"/>
      <c r="L4852" s="80"/>
      <c r="M4852" s="80"/>
      <c r="N4852" s="80"/>
      <c r="O4852" s="80"/>
      <c r="P4852" s="80"/>
    </row>
    <row r="4853" spans="1:17" x14ac:dyDescent="0.3">
      <c r="A4853" s="141" t="s">
        <v>276</v>
      </c>
      <c r="B4853" s="85"/>
      <c r="C4853" s="85"/>
      <c r="D4853" s="85"/>
      <c r="E4853" s="85"/>
      <c r="F4853" s="85"/>
      <c r="G4853" s="85"/>
      <c r="H4853" s="85"/>
      <c r="I4853" s="90"/>
      <c r="J4853" s="90"/>
      <c r="K4853" s="90"/>
      <c r="L4853" s="90"/>
      <c r="M4853" s="90"/>
      <c r="N4853" s="90"/>
    </row>
    <row r="4854" spans="1:17" x14ac:dyDescent="0.3">
      <c r="A4854" t="s">
        <v>272</v>
      </c>
      <c r="B4854" s="74">
        <f>+B4848/B4842</f>
        <v>0.37697797083462614</v>
      </c>
      <c r="C4854" s="74">
        <f>+C4848/C4842</f>
        <v>0.38411417933602232</v>
      </c>
      <c r="D4854" s="99">
        <f>++IF(C4854+0.5%&gt;0.45,0.45,C4854+0.5%)</f>
        <v>0.38911417933602233</v>
      </c>
      <c r="E4854" s="99">
        <f t="shared" ref="E4854:N4854" si="1443">++IF(D4854+0.5%&gt;0.45,0.45,D4854+0.5%)</f>
        <v>0.39411417933602233</v>
      </c>
      <c r="F4854" s="99">
        <f t="shared" si="1443"/>
        <v>0.39911417933602233</v>
      </c>
      <c r="G4854" s="99">
        <f t="shared" si="1443"/>
        <v>0.40411417933602234</v>
      </c>
      <c r="H4854" s="99">
        <f t="shared" si="1443"/>
        <v>0.40911417933602234</v>
      </c>
      <c r="I4854" s="99">
        <f t="shared" si="1443"/>
        <v>0.41411417933602235</v>
      </c>
      <c r="J4854" s="99">
        <f t="shared" si="1443"/>
        <v>0.41911417933602235</v>
      </c>
      <c r="K4854" s="99">
        <f t="shared" si="1443"/>
        <v>0.42411417933602236</v>
      </c>
      <c r="L4854" s="99">
        <f t="shared" si="1443"/>
        <v>0.42911417933602236</v>
      </c>
      <c r="M4854" s="99">
        <f t="shared" si="1443"/>
        <v>0.43411417933602237</v>
      </c>
      <c r="N4854" s="99">
        <f t="shared" si="1443"/>
        <v>0.43911417933602237</v>
      </c>
      <c r="O4854" s="99"/>
      <c r="P4854" s="99"/>
    </row>
    <row r="4855" spans="1:17" x14ac:dyDescent="0.3">
      <c r="A4855" t="s">
        <v>273</v>
      </c>
      <c r="B4855" s="74" t="e">
        <f>+B4849/B4843</f>
        <v>#DIV/0!</v>
      </c>
      <c r="C4855" s="74">
        <f t="shared" ref="C4855:N4856" si="1444">+C4849/C4843</f>
        <v>0.06</v>
      </c>
      <c r="D4855" s="74">
        <f t="shared" si="1444"/>
        <v>6.7673636551724148E-2</v>
      </c>
      <c r="E4855" s="74">
        <f t="shared" si="1444"/>
        <v>9.8788516966771572E-2</v>
      </c>
      <c r="F4855" s="74">
        <f t="shared" si="1444"/>
        <v>0.14773305768280734</v>
      </c>
      <c r="G4855" s="74">
        <f t="shared" si="1444"/>
        <v>0.20556900183913002</v>
      </c>
      <c r="H4855" s="74">
        <f t="shared" si="1444"/>
        <v>0.26473820737449288</v>
      </c>
      <c r="I4855" s="74">
        <f t="shared" si="1444"/>
        <v>0.30480471332150039</v>
      </c>
      <c r="J4855" s="74">
        <f t="shared" si="1444"/>
        <v>0.32096798962971618</v>
      </c>
      <c r="K4855" s="74">
        <f t="shared" si="1444"/>
        <v>0.32032327311104708</v>
      </c>
      <c r="L4855" s="74">
        <f t="shared" si="1444"/>
        <v>0.34776349186447703</v>
      </c>
      <c r="M4855" s="74">
        <f t="shared" si="1444"/>
        <v>0.36032988217093254</v>
      </c>
      <c r="N4855" s="74">
        <f t="shared" si="1444"/>
        <v>0.36138181818181819</v>
      </c>
      <c r="O4855" s="74"/>
      <c r="P4855" s="74"/>
    </row>
    <row r="4856" spans="1:17" x14ac:dyDescent="0.3">
      <c r="A4856" s="90" t="s">
        <v>266</v>
      </c>
      <c r="B4856" s="92">
        <f>+B4850/B4844</f>
        <v>0.37697797083462614</v>
      </c>
      <c r="C4856" s="92">
        <f t="shared" si="1444"/>
        <v>0.37578597339782344</v>
      </c>
      <c r="D4856" s="92">
        <f t="shared" si="1444"/>
        <v>0.34009090433868</v>
      </c>
      <c r="E4856" s="92">
        <f t="shared" si="1444"/>
        <v>0.29696353462575453</v>
      </c>
      <c r="F4856" s="92">
        <f t="shared" si="1444"/>
        <v>0.28471480166753099</v>
      </c>
      <c r="G4856" s="92">
        <f t="shared" si="1444"/>
        <v>0.29664226533443111</v>
      </c>
      <c r="H4856" s="92">
        <f t="shared" si="1444"/>
        <v>0.32191733709088621</v>
      </c>
      <c r="I4856" s="92">
        <f t="shared" si="1444"/>
        <v>0.3428930490054678</v>
      </c>
      <c r="J4856" s="92">
        <f t="shared" si="1444"/>
        <v>0.35149737800541669</v>
      </c>
      <c r="K4856" s="92">
        <f t="shared" si="1444"/>
        <v>0.34948025827300083</v>
      </c>
      <c r="L4856" s="92">
        <f t="shared" si="1444"/>
        <v>0.37061656130758608</v>
      </c>
      <c r="M4856" s="92">
        <f t="shared" si="1444"/>
        <v>0.38105739805719457</v>
      </c>
      <c r="N4856" s="92">
        <f t="shared" si="1444"/>
        <v>0.38321842586943256</v>
      </c>
      <c r="O4856" s="92"/>
      <c r="P4856" s="92"/>
    </row>
    <row r="4857" spans="1:17" x14ac:dyDescent="0.3">
      <c r="A4857" s="94" t="s">
        <v>274</v>
      </c>
      <c r="C4857" s="97">
        <f>+Drivers!ED120</f>
        <v>0.37413115744938047</v>
      </c>
      <c r="D4857" s="97">
        <f>+Drivers!EI120</f>
        <v>0.33848492525969093</v>
      </c>
      <c r="E4857" s="97">
        <f>+Drivers!EN120</f>
        <v>0.30458325275575326</v>
      </c>
      <c r="F4857" s="97">
        <f>+Drivers!ES120</f>
        <v>0.28932367894007088</v>
      </c>
      <c r="G4857" s="97">
        <f>+Drivers!EX120</f>
        <v>0.28748561932762368</v>
      </c>
      <c r="H4857" s="97">
        <f>+Drivers!FC120</f>
        <v>0.29620068628979018</v>
      </c>
      <c r="I4857" s="97">
        <f>+Drivers!FD120</f>
        <v>0.3176679155947969</v>
      </c>
      <c r="J4857" s="97">
        <f>+Drivers!FE120</f>
        <v>0.35598475294946391</v>
      </c>
      <c r="K4857" s="97">
        <f>+Drivers!FF120</f>
        <v>0.38277409654208938</v>
      </c>
      <c r="L4857" s="97">
        <f>+Drivers!FG120</f>
        <v>0.40153091078024461</v>
      </c>
      <c r="M4857" s="97">
        <f>+Drivers!FH120</f>
        <v>0.41319590651550675</v>
      </c>
      <c r="N4857" s="97">
        <f>+Drivers!FI120</f>
        <v>0.41876613204089014</v>
      </c>
      <c r="O4857" s="97"/>
      <c r="P4857" s="97"/>
      <c r="Q4857" s="97"/>
    </row>
    <row r="4858" spans="1:17" x14ac:dyDescent="0.3">
      <c r="A4858" s="94"/>
      <c r="C4858" s="97"/>
      <c r="D4858" s="97"/>
      <c r="E4858" s="97"/>
      <c r="F4858" s="97"/>
      <c r="G4858" s="97"/>
      <c r="H4858" s="97"/>
      <c r="I4858" s="97"/>
      <c r="J4858" s="97"/>
      <c r="K4858" s="97"/>
      <c r="L4858" s="97"/>
      <c r="M4858" s="97"/>
      <c r="N4858" s="97"/>
      <c r="O4858" s="97"/>
      <c r="P4858" s="97"/>
      <c r="Q4858" s="97"/>
    </row>
    <row r="4859" spans="1:17" x14ac:dyDescent="0.3">
      <c r="A4859" s="94"/>
      <c r="C4859" s="97"/>
      <c r="D4859" s="97"/>
      <c r="E4859" s="97"/>
      <c r="F4859" s="97"/>
      <c r="G4859" s="97"/>
      <c r="H4859" s="97"/>
      <c r="I4859" s="97"/>
      <c r="J4859" s="97"/>
      <c r="K4859" s="97"/>
      <c r="L4859" s="97"/>
      <c r="M4859" s="97"/>
      <c r="N4859" s="97"/>
      <c r="O4859" s="97"/>
      <c r="P4859" s="97"/>
      <c r="Q4859" s="97"/>
    </row>
    <row r="4860" spans="1:17" x14ac:dyDescent="0.3">
      <c r="A4860" s="141" t="s">
        <v>2325</v>
      </c>
      <c r="C4860" s="97"/>
      <c r="D4860" s="97"/>
      <c r="E4860" s="97"/>
      <c r="F4860" s="97"/>
      <c r="G4860" s="97"/>
      <c r="H4860" s="97"/>
      <c r="I4860" s="97"/>
      <c r="J4860" s="97"/>
      <c r="K4860" s="97"/>
      <c r="L4860" s="97"/>
      <c r="M4860" s="97"/>
      <c r="N4860" s="97"/>
      <c r="O4860" s="97"/>
      <c r="P4860" s="97"/>
      <c r="Q4860" s="97"/>
    </row>
    <row r="4861" spans="1:17" x14ac:dyDescent="0.3">
      <c r="A4861" t="s">
        <v>1855</v>
      </c>
      <c r="B4861" s="95">
        <v>1521</v>
      </c>
      <c r="C4861" s="97"/>
      <c r="D4861" s="97"/>
      <c r="E4861" s="97"/>
      <c r="F4861" s="97"/>
      <c r="G4861" s="97"/>
      <c r="H4861" s="97"/>
      <c r="I4861" s="97"/>
      <c r="J4861" s="97"/>
      <c r="K4861" s="97"/>
      <c r="L4861" s="97"/>
      <c r="M4861" s="97"/>
      <c r="N4861" s="97"/>
      <c r="O4861" s="97"/>
      <c r="P4861" s="97"/>
      <c r="Q4861" s="97"/>
    </row>
    <row r="4862" spans="1:17" x14ac:dyDescent="0.3">
      <c r="A4862" t="s">
        <v>1856</v>
      </c>
      <c r="B4862" s="95">
        <v>180</v>
      </c>
      <c r="C4862" s="97"/>
      <c r="D4862" s="97"/>
      <c r="E4862" s="97"/>
      <c r="F4862" s="97"/>
      <c r="G4862" s="97"/>
      <c r="H4862" s="97"/>
      <c r="I4862" s="97"/>
      <c r="J4862" s="97"/>
      <c r="K4862" s="97"/>
      <c r="L4862" s="97"/>
      <c r="M4862" s="97"/>
      <c r="N4862" s="97"/>
      <c r="O4862" s="97"/>
      <c r="P4862" s="97"/>
      <c r="Q4862" s="97"/>
    </row>
    <row r="4863" spans="1:17" x14ac:dyDescent="0.3">
      <c r="A4863" t="s">
        <v>1857</v>
      </c>
      <c r="B4863" s="95">
        <v>894</v>
      </c>
      <c r="C4863" s="97"/>
      <c r="D4863" s="97"/>
      <c r="E4863" s="97"/>
      <c r="F4863" s="97"/>
      <c r="G4863" s="97"/>
      <c r="H4863" s="97"/>
      <c r="I4863" s="97"/>
      <c r="J4863" s="97"/>
      <c r="K4863" s="97"/>
      <c r="L4863" s="97"/>
      <c r="M4863" s="97"/>
      <c r="N4863" s="97"/>
      <c r="O4863" s="97"/>
      <c r="P4863" s="97"/>
      <c r="Q4863" s="97"/>
    </row>
    <row r="4864" spans="1:17" x14ac:dyDescent="0.3">
      <c r="A4864" s="90" t="s">
        <v>1743</v>
      </c>
      <c r="B4864" s="850">
        <f>+SUM(B4861:B4863)</f>
        <v>2595</v>
      </c>
      <c r="C4864" s="97"/>
      <c r="D4864" s="97"/>
      <c r="E4864" s="97"/>
      <c r="F4864" s="97"/>
      <c r="G4864" s="97"/>
      <c r="H4864" s="97"/>
      <c r="I4864" s="97"/>
      <c r="J4864" s="97"/>
      <c r="K4864" s="97"/>
      <c r="L4864" s="97"/>
      <c r="M4864" s="97"/>
      <c r="N4864" s="97"/>
      <c r="O4864" s="97"/>
      <c r="P4864" s="97"/>
      <c r="Q4864" s="97"/>
    </row>
    <row r="4865" spans="1:17" x14ac:dyDescent="0.3">
      <c r="A4865" t="s">
        <v>1858</v>
      </c>
      <c r="B4865" s="95">
        <v>1883</v>
      </c>
      <c r="C4865" s="97"/>
      <c r="D4865" s="97"/>
      <c r="E4865" s="97"/>
      <c r="F4865" s="97"/>
      <c r="G4865" s="97"/>
      <c r="H4865" s="97"/>
      <c r="I4865" s="97"/>
      <c r="J4865" s="97"/>
      <c r="K4865" s="97"/>
      <c r="L4865" s="97"/>
      <c r="M4865" s="97"/>
      <c r="N4865" s="97"/>
      <c r="O4865" s="97"/>
      <c r="P4865" s="97"/>
      <c r="Q4865" s="97"/>
    </row>
    <row r="4866" spans="1:17" x14ac:dyDescent="0.3">
      <c r="A4866" t="s">
        <v>1859</v>
      </c>
      <c r="B4866" s="95">
        <v>2139</v>
      </c>
      <c r="C4866" s="97"/>
      <c r="D4866" s="97"/>
      <c r="E4866" s="97"/>
      <c r="F4866" s="97"/>
      <c r="G4866" s="97"/>
      <c r="H4866" s="97"/>
      <c r="I4866" s="97"/>
      <c r="J4866" s="97"/>
      <c r="K4866" s="97"/>
      <c r="L4866" s="97"/>
      <c r="M4866" s="97"/>
      <c r="N4866" s="97"/>
      <c r="O4866" s="97"/>
      <c r="P4866" s="97"/>
      <c r="Q4866" s="97"/>
    </row>
    <row r="4867" spans="1:17" x14ac:dyDescent="0.3">
      <c r="A4867" t="s">
        <v>1860</v>
      </c>
      <c r="B4867" s="95">
        <v>591</v>
      </c>
      <c r="C4867" s="97"/>
      <c r="D4867" s="97"/>
      <c r="E4867" s="97"/>
      <c r="F4867" s="97"/>
      <c r="G4867" s="97"/>
      <c r="H4867" s="97"/>
      <c r="I4867" s="97"/>
      <c r="J4867" s="97"/>
      <c r="K4867" s="97"/>
      <c r="L4867" s="97"/>
      <c r="M4867" s="97"/>
      <c r="N4867" s="97"/>
      <c r="O4867" s="97"/>
      <c r="P4867" s="97"/>
      <c r="Q4867" s="97"/>
    </row>
    <row r="4868" spans="1:17" x14ac:dyDescent="0.3">
      <c r="A4868" s="90" t="s">
        <v>2326</v>
      </c>
      <c r="B4868" s="850">
        <f>+SUM(B4865:B4867)</f>
        <v>4613</v>
      </c>
      <c r="C4868" s="97"/>
      <c r="D4868" s="97"/>
      <c r="E4868" s="97"/>
      <c r="F4868" s="97"/>
      <c r="G4868" s="97"/>
      <c r="H4868" s="97"/>
      <c r="I4868" s="97"/>
      <c r="J4868" s="97"/>
      <c r="K4868" s="97"/>
      <c r="L4868" s="97"/>
      <c r="M4868" s="97"/>
      <c r="N4868" s="97"/>
      <c r="O4868" s="97"/>
      <c r="P4868" s="97"/>
      <c r="Q4868" s="97"/>
    </row>
    <row r="4869" spans="1:17" x14ac:dyDescent="0.3">
      <c r="A4869" t="s">
        <v>1862</v>
      </c>
      <c r="B4869" s="95">
        <v>341</v>
      </c>
      <c r="C4869" s="97"/>
      <c r="D4869" s="97"/>
      <c r="E4869" s="97"/>
      <c r="F4869" s="97"/>
      <c r="G4869" s="97"/>
      <c r="H4869" s="97"/>
      <c r="I4869" s="97"/>
      <c r="J4869" s="97"/>
      <c r="K4869" s="97"/>
      <c r="L4869" s="97"/>
      <c r="M4869" s="97"/>
      <c r="N4869" s="97"/>
      <c r="O4869" s="97"/>
      <c r="P4869" s="97"/>
      <c r="Q4869" s="97"/>
    </row>
    <row r="4870" spans="1:17" x14ac:dyDescent="0.3">
      <c r="A4870" s="90" t="s">
        <v>19</v>
      </c>
      <c r="B4870" s="803">
        <f>+B4869+B4868+B4864</f>
        <v>7549</v>
      </c>
      <c r="C4870" s="97"/>
      <c r="D4870" s="97"/>
      <c r="E4870" s="97"/>
      <c r="F4870" s="97"/>
      <c r="G4870" s="97"/>
      <c r="H4870" s="97"/>
      <c r="I4870" s="97"/>
      <c r="J4870" s="97"/>
      <c r="K4870" s="97"/>
      <c r="L4870" s="97"/>
      <c r="M4870" s="97"/>
      <c r="N4870" s="97"/>
      <c r="O4870" s="97"/>
      <c r="P4870" s="97"/>
      <c r="Q4870" s="97"/>
    </row>
    <row r="4871" spans="1:17" x14ac:dyDescent="0.3">
      <c r="C4871" s="97"/>
      <c r="D4871" s="97"/>
      <c r="E4871" s="97"/>
      <c r="F4871" s="97"/>
      <c r="G4871" s="97"/>
      <c r="H4871" s="97"/>
      <c r="I4871" s="97"/>
      <c r="J4871" s="97"/>
      <c r="K4871" s="97"/>
      <c r="L4871" s="97"/>
      <c r="M4871" s="97"/>
      <c r="N4871" s="97"/>
      <c r="O4871" s="97"/>
      <c r="P4871" s="97"/>
      <c r="Q4871" s="97"/>
    </row>
    <row r="4872" spans="1:17" ht="24" x14ac:dyDescent="0.3">
      <c r="A4872" s="753"/>
      <c r="B4872" s="678">
        <v>2019</v>
      </c>
      <c r="C4872" s="678">
        <f t="shared" ref="C4872:N4872" si="1445">+B4872+1</f>
        <v>2020</v>
      </c>
      <c r="D4872" s="678">
        <f t="shared" si="1445"/>
        <v>2021</v>
      </c>
      <c r="E4872" s="678">
        <f t="shared" si="1445"/>
        <v>2022</v>
      </c>
      <c r="F4872" s="678">
        <f t="shared" si="1445"/>
        <v>2023</v>
      </c>
      <c r="G4872" s="678">
        <f t="shared" si="1445"/>
        <v>2024</v>
      </c>
      <c r="H4872" s="678">
        <f t="shared" si="1445"/>
        <v>2025</v>
      </c>
      <c r="I4872" s="678">
        <f t="shared" si="1445"/>
        <v>2026</v>
      </c>
      <c r="J4872" s="678">
        <f t="shared" si="1445"/>
        <v>2027</v>
      </c>
      <c r="K4872" s="678">
        <f t="shared" si="1445"/>
        <v>2028</v>
      </c>
      <c r="L4872" s="678">
        <f t="shared" si="1445"/>
        <v>2029</v>
      </c>
      <c r="M4872" s="678">
        <f t="shared" si="1445"/>
        <v>2030</v>
      </c>
      <c r="N4872" s="678">
        <f t="shared" si="1445"/>
        <v>2031</v>
      </c>
      <c r="O4872" s="754" t="s">
        <v>2327</v>
      </c>
      <c r="P4872" s="754" t="s">
        <v>2328</v>
      </c>
      <c r="Q4872" s="97"/>
    </row>
    <row r="4873" spans="1:17" x14ac:dyDescent="0.3">
      <c r="A4873" s="90" t="s">
        <v>285</v>
      </c>
      <c r="B4873" s="76">
        <f>+B4864</f>
        <v>2595</v>
      </c>
      <c r="C4873" s="76">
        <f>+B4873*(1+C4874)</f>
        <v>2517.15</v>
      </c>
      <c r="D4873" s="76">
        <f>+C4873*(1+D4874)</f>
        <v>2517.15</v>
      </c>
      <c r="E4873" s="76">
        <f>+D4873*(1+E4874)</f>
        <v>2517.15</v>
      </c>
      <c r="F4873" s="76">
        <f>+E4873*(1+F4874)</f>
        <v>2529.7357499999998</v>
      </c>
      <c r="G4873" s="95">
        <f>+(B4873*(1+O4873)^5)</f>
        <v>2543.5135425189428</v>
      </c>
      <c r="H4873" s="76">
        <f>+G4873*(1+$P$4873)</f>
        <v>2594.3838133693216</v>
      </c>
      <c r="I4873" s="76">
        <f t="shared" ref="I4873:N4873" si="1446">+H4873*(1+$P$4873)</f>
        <v>2646.2714896367079</v>
      </c>
      <c r="J4873" s="76">
        <f t="shared" si="1446"/>
        <v>2699.196919429442</v>
      </c>
      <c r="K4873" s="76">
        <f t="shared" si="1446"/>
        <v>2753.1808578180307</v>
      </c>
      <c r="L4873" s="76">
        <f t="shared" si="1446"/>
        <v>2808.2444749743913</v>
      </c>
      <c r="M4873" s="76">
        <f t="shared" si="1446"/>
        <v>2864.4093644738791</v>
      </c>
      <c r="N4873" s="76">
        <f t="shared" si="1446"/>
        <v>2921.6975517633568</v>
      </c>
      <c r="O4873" s="87">
        <v>-4.0000000000000001E-3</v>
      </c>
      <c r="P4873" s="87">
        <v>0.02</v>
      </c>
      <c r="Q4873" s="97"/>
    </row>
    <row r="4874" spans="1:17" x14ac:dyDescent="0.3">
      <c r="A4874" s="94" t="s">
        <v>2329</v>
      </c>
      <c r="C4874" s="87">
        <v>-0.03</v>
      </c>
      <c r="D4874" s="87">
        <v>0</v>
      </c>
      <c r="E4874" s="87">
        <v>0</v>
      </c>
      <c r="F4874" s="87">
        <v>5.0000000000000001E-3</v>
      </c>
      <c r="G4874" s="75">
        <f>+G4873/F4873-1</f>
        <v>5.4463366456132256E-3</v>
      </c>
      <c r="H4874" s="75">
        <f t="shared" ref="H4874:N4874" si="1447">+H4873/G4873-1</f>
        <v>2.0000000000000018E-2</v>
      </c>
      <c r="I4874" s="75">
        <f t="shared" si="1447"/>
        <v>2.0000000000000018E-2</v>
      </c>
      <c r="J4874" s="75">
        <f t="shared" si="1447"/>
        <v>2.0000000000000018E-2</v>
      </c>
      <c r="K4874" s="75">
        <f t="shared" si="1447"/>
        <v>2.0000000000000018E-2</v>
      </c>
      <c r="L4874" s="75">
        <f t="shared" si="1447"/>
        <v>2.0000000000000018E-2</v>
      </c>
      <c r="M4874" s="75">
        <f t="shared" si="1447"/>
        <v>2.0000000000000018E-2</v>
      </c>
      <c r="N4874" s="75">
        <f t="shared" si="1447"/>
        <v>2.0000000000000018E-2</v>
      </c>
      <c r="O4874" s="97"/>
      <c r="P4874" s="97"/>
      <c r="Q4874" s="97"/>
    </row>
    <row r="4875" spans="1:17" x14ac:dyDescent="0.3">
      <c r="C4875" s="97"/>
      <c r="D4875" s="97"/>
      <c r="E4875" s="97"/>
      <c r="F4875" s="97"/>
      <c r="G4875" s="76"/>
      <c r="I4875" s="97"/>
      <c r="J4875" s="97"/>
      <c r="K4875" s="97"/>
      <c r="M4875" s="97"/>
      <c r="O4875" s="97"/>
      <c r="P4875" s="97"/>
      <c r="Q4875" s="97"/>
    </row>
    <row r="4876" spans="1:17" x14ac:dyDescent="0.3">
      <c r="A4876" s="90" t="s">
        <v>298</v>
      </c>
      <c r="B4876" s="76">
        <f>+B4873*B4877</f>
        <v>934.19999999999993</v>
      </c>
      <c r="C4876" s="76">
        <f>+C4873*C4877</f>
        <v>1006.8600000000001</v>
      </c>
      <c r="D4876" s="76">
        <f t="shared" ref="D4876:N4876" si="1448">+D4873*D4877+D4912-$C$4912</f>
        <v>1066.188744978549</v>
      </c>
      <c r="E4876" s="76">
        <f t="shared" si="1448"/>
        <v>1074.3548319618569</v>
      </c>
      <c r="F4876" s="76">
        <f t="shared" si="1448"/>
        <v>1097.2934934899999</v>
      </c>
      <c r="G4876" s="76">
        <f t="shared" si="1448"/>
        <v>1132.0492428767229</v>
      </c>
      <c r="H4876" s="76">
        <f>+H4873*H4877+H4912-$C$4912</f>
        <v>1184.2006288978687</v>
      </c>
      <c r="I4876" s="76">
        <f t="shared" si="1448"/>
        <v>1238.1702444565246</v>
      </c>
      <c r="J4876" s="76">
        <f t="shared" si="1448"/>
        <v>1294.0260581739842</v>
      </c>
      <c r="K4876" s="76">
        <f t="shared" si="1448"/>
        <v>1351.8386606990343</v>
      </c>
      <c r="L4876" s="76">
        <f t="shared" si="1448"/>
        <v>1411.6813668192572</v>
      </c>
      <c r="M4876" s="76">
        <f t="shared" si="1448"/>
        <v>1473.6303215447447</v>
      </c>
      <c r="N4876" s="76">
        <f t="shared" si="1448"/>
        <v>1537.7646103179541</v>
      </c>
      <c r="O4876" s="375">
        <f>+(G4876/B4876)^(0.2)-1</f>
        <v>3.9166388378651051E-2</v>
      </c>
      <c r="P4876" s="375">
        <f>+(N4876/G4876)^(0.142857142857143)-1</f>
        <v>4.4728653607215341E-2</v>
      </c>
      <c r="Q4876" s="97"/>
    </row>
    <row r="4877" spans="1:17" x14ac:dyDescent="0.3">
      <c r="A4877" s="94" t="s">
        <v>2330</v>
      </c>
      <c r="B4877" s="546">
        <v>0.36</v>
      </c>
      <c r="C4877" s="546">
        <v>0.4</v>
      </c>
      <c r="D4877" s="546">
        <v>0.4</v>
      </c>
      <c r="E4877" s="546">
        <v>0.4</v>
      </c>
      <c r="F4877" s="546">
        <v>0.4</v>
      </c>
      <c r="G4877" s="546">
        <v>0.4</v>
      </c>
      <c r="H4877" s="546">
        <v>0.4</v>
      </c>
      <c r="I4877" s="546">
        <v>0.4</v>
      </c>
      <c r="J4877" s="546">
        <v>0.4</v>
      </c>
      <c r="K4877" s="546">
        <v>0.4</v>
      </c>
      <c r="L4877" s="546">
        <v>0.4</v>
      </c>
      <c r="M4877" s="546">
        <v>0.4</v>
      </c>
      <c r="N4877" s="546">
        <v>0.4</v>
      </c>
      <c r="O4877" s="97"/>
      <c r="P4877" s="97"/>
      <c r="Q4877" s="97"/>
    </row>
    <row r="4878" spans="1:17" x14ac:dyDescent="0.3">
      <c r="A4878" s="94" t="s">
        <v>2331</v>
      </c>
      <c r="B4878" s="75">
        <f>+B4876/B4873</f>
        <v>0.36</v>
      </c>
      <c r="C4878" s="75">
        <f t="shared" ref="C4878:N4878" si="1449">+C4876/C4873</f>
        <v>0.4</v>
      </c>
      <c r="D4878" s="75">
        <f t="shared" si="1449"/>
        <v>0.42356980910098685</v>
      </c>
      <c r="E4878" s="75">
        <f t="shared" si="1449"/>
        <v>0.42681398882142774</v>
      </c>
      <c r="F4878" s="75">
        <f t="shared" si="1449"/>
        <v>0.43375814785793337</v>
      </c>
      <c r="G4878" s="75">
        <f t="shared" si="1449"/>
        <v>0.44507301571337793</v>
      </c>
      <c r="H4878" s="75">
        <f t="shared" si="1449"/>
        <v>0.4564477402285167</v>
      </c>
      <c r="I4878" s="75">
        <f t="shared" si="1449"/>
        <v>0.46789237208103174</v>
      </c>
      <c r="J4878" s="75">
        <f t="shared" si="1449"/>
        <v>0.47941150527376725</v>
      </c>
      <c r="K4878" s="75">
        <f t="shared" si="1449"/>
        <v>0.49100975581037654</v>
      </c>
      <c r="L4878" s="75">
        <f t="shared" si="1449"/>
        <v>0.50269176327040777</v>
      </c>
      <c r="M4878" s="75">
        <f t="shared" si="1449"/>
        <v>0.51446219238827762</v>
      </c>
      <c r="N4878" s="75">
        <f t="shared" si="1449"/>
        <v>0.52632573463665122</v>
      </c>
      <c r="O4878" s="97"/>
      <c r="P4878" s="97"/>
      <c r="Q4878" s="97"/>
    </row>
    <row r="4879" spans="1:17" x14ac:dyDescent="0.3">
      <c r="I4879" s="97"/>
      <c r="J4879" s="97">
        <f>+J4878-C4878</f>
        <v>7.9411505273767224E-2</v>
      </c>
      <c r="K4879" s="97"/>
      <c r="M4879" s="97"/>
      <c r="O4879" s="87">
        <v>-9.2999999999999999E-2</v>
      </c>
      <c r="P4879" s="97"/>
      <c r="Q4879" s="97"/>
    </row>
    <row r="4880" spans="1:17" x14ac:dyDescent="0.3">
      <c r="A4880" s="90" t="s">
        <v>286</v>
      </c>
      <c r="B4880" s="76">
        <f>+B4868+B4869</f>
        <v>4954</v>
      </c>
      <c r="C4880" s="76">
        <f>+B4880*(1+C4881)</f>
        <v>4493.2780000000002</v>
      </c>
      <c r="D4880" s="76">
        <f>+C4880*(1+D4881)</f>
        <v>4075.4031460000006</v>
      </c>
      <c r="E4880" s="76">
        <f>+D4880*(1+E4881)</f>
        <v>3696.3906534220005</v>
      </c>
      <c r="F4880" s="76">
        <f>+E4880*(1+F4881)</f>
        <v>3352.6263226537544</v>
      </c>
      <c r="G4880" s="95">
        <f>+(B4880*(1+O4879)^5)</f>
        <v>3040.8320746469553</v>
      </c>
      <c r="H4880" s="97"/>
      <c r="I4880" s="97"/>
      <c r="J4880" s="97"/>
      <c r="K4880" s="97"/>
      <c r="L4880" s="97"/>
      <c r="M4880" s="97"/>
      <c r="N4880" s="97"/>
      <c r="O4880" s="97"/>
      <c r="P4880" s="97"/>
      <c r="Q4880" s="97"/>
    </row>
    <row r="4881" spans="1:17" x14ac:dyDescent="0.3">
      <c r="A4881" s="94" t="s">
        <v>2329</v>
      </c>
      <c r="C4881" s="87">
        <f>+$O$4879</f>
        <v>-9.2999999999999999E-2</v>
      </c>
      <c r="D4881" s="87">
        <f>+$O$4879</f>
        <v>-9.2999999999999999E-2</v>
      </c>
      <c r="E4881" s="87">
        <f>+$O$4879</f>
        <v>-9.2999999999999999E-2</v>
      </c>
      <c r="F4881" s="87">
        <f>+$O$4879</f>
        <v>-9.2999999999999999E-2</v>
      </c>
      <c r="G4881" s="375">
        <f>+G4880/F4880-1</f>
        <v>-9.2999999999999972E-2</v>
      </c>
      <c r="H4881" s="97"/>
      <c r="I4881" s="97"/>
      <c r="J4881" s="97"/>
      <c r="K4881" s="97"/>
      <c r="L4881" s="97"/>
      <c r="M4881" s="97"/>
      <c r="N4881" s="97"/>
      <c r="O4881" s="97"/>
      <c r="P4881" s="97"/>
      <c r="Q4881" s="97"/>
    </row>
    <row r="4882" spans="1:17" x14ac:dyDescent="0.3">
      <c r="C4882" s="97"/>
      <c r="D4882" s="97"/>
      <c r="E4882" s="97"/>
      <c r="F4882" s="97"/>
      <c r="G4882" s="97"/>
      <c r="H4882" s="97"/>
      <c r="I4882" s="97"/>
      <c r="J4882" s="97"/>
      <c r="K4882" s="97"/>
      <c r="L4882" s="97"/>
      <c r="M4882" s="97"/>
      <c r="N4882" s="97"/>
      <c r="O4882" s="97"/>
      <c r="P4882" s="97"/>
      <c r="Q4882" s="97"/>
    </row>
    <row r="4883" spans="1:17" x14ac:dyDescent="0.3">
      <c r="A4883" s="90" t="s">
        <v>299</v>
      </c>
      <c r="B4883" s="76">
        <f>+B4880*B4884</f>
        <v>2179.7600000000002</v>
      </c>
      <c r="C4883" s="76">
        <f>+C4890-C4876</f>
        <v>1768.1399999999999</v>
      </c>
      <c r="D4883" s="76">
        <f>+D4890-D4876</f>
        <v>1408.811255021451</v>
      </c>
      <c r="E4883" s="76">
        <f>+E4880*E4884</f>
        <v>1222.345948503126</v>
      </c>
      <c r="F4883" s="76">
        <f>+F4880*F4884</f>
        <v>1058.378380452529</v>
      </c>
      <c r="G4883" s="76">
        <f>+G4880*G4884</f>
        <v>914.33670995073942</v>
      </c>
      <c r="H4883" s="97"/>
      <c r="I4883" s="97"/>
      <c r="J4883" s="97"/>
      <c r="K4883" s="97"/>
      <c r="L4883" s="97"/>
      <c r="M4883" s="97"/>
      <c r="N4883" s="97"/>
      <c r="O4883" s="97"/>
      <c r="P4883" s="97"/>
      <c r="Q4883" s="97"/>
    </row>
    <row r="4884" spans="1:17" x14ac:dyDescent="0.3">
      <c r="A4884" s="94" t="s">
        <v>2329</v>
      </c>
      <c r="B4884" s="546">
        <v>0.44</v>
      </c>
      <c r="C4884" s="547">
        <f>+C4883/C4880</f>
        <v>0.39350781322678002</v>
      </c>
      <c r="D4884" s="547">
        <f>+D4883/D4880</f>
        <v>0.3456863540982924</v>
      </c>
      <c r="E4884" s="546">
        <f>+D4884-1.5%</f>
        <v>0.33068635409829239</v>
      </c>
      <c r="F4884" s="546">
        <f>+E4884-1.5%</f>
        <v>0.31568635409829238</v>
      </c>
      <c r="G4884" s="546">
        <f>+F4884-1.5%</f>
        <v>0.30068635409829236</v>
      </c>
      <c r="H4884" s="97"/>
      <c r="I4884" s="97"/>
      <c r="J4884" s="97"/>
      <c r="K4884" s="97"/>
      <c r="L4884" s="97"/>
      <c r="M4884" s="97"/>
      <c r="N4884" s="97"/>
      <c r="O4884" s="97"/>
      <c r="P4884" s="97"/>
      <c r="Q4884" s="97"/>
    </row>
    <row r="4885" spans="1:17" x14ac:dyDescent="0.3">
      <c r="C4885" s="97"/>
      <c r="D4885" s="97"/>
      <c r="E4885" s="97"/>
      <c r="F4885" s="97"/>
      <c r="G4885" s="97"/>
      <c r="H4885" s="97"/>
      <c r="I4885" s="97"/>
      <c r="J4885" s="97"/>
      <c r="K4885" s="97"/>
      <c r="L4885" s="97"/>
      <c r="M4885" s="97"/>
      <c r="N4885" s="97"/>
      <c r="O4885" s="97"/>
      <c r="P4885" s="97"/>
      <c r="Q4885" s="97"/>
    </row>
    <row r="4886" spans="1:17" x14ac:dyDescent="0.3">
      <c r="A4886" s="90" t="s">
        <v>19</v>
      </c>
      <c r="B4886" s="76">
        <f t="shared" ref="B4886:G4886" si="1450">+B4873+B4880</f>
        <v>7549</v>
      </c>
      <c r="C4886" s="76">
        <f t="shared" si="1450"/>
        <v>7010.4279999999999</v>
      </c>
      <c r="D4886" s="76">
        <f t="shared" si="1450"/>
        <v>6592.5531460000002</v>
      </c>
      <c r="E4886" s="76">
        <f t="shared" si="1450"/>
        <v>6213.5406534220001</v>
      </c>
      <c r="F4886" s="76">
        <f t="shared" si="1450"/>
        <v>5882.3620726537538</v>
      </c>
      <c r="G4886" s="76">
        <f t="shared" si="1450"/>
        <v>5584.3456171658981</v>
      </c>
      <c r="H4886" s="97"/>
      <c r="I4886" s="97"/>
      <c r="J4886" s="97"/>
      <c r="K4886" s="97"/>
      <c r="L4886" s="97"/>
      <c r="M4886" s="97"/>
      <c r="N4886" s="97"/>
      <c r="O4886" s="97"/>
      <c r="P4886" s="97"/>
      <c r="Q4886" s="97"/>
    </row>
    <row r="4887" spans="1:17" x14ac:dyDescent="0.3">
      <c r="A4887" s="90" t="s">
        <v>301</v>
      </c>
      <c r="B4887" s="76">
        <f t="shared" ref="B4887:G4887" si="1451">+B4883+B4876</f>
        <v>3113.96</v>
      </c>
      <c r="C4887" s="76">
        <f t="shared" si="1451"/>
        <v>2775</v>
      </c>
      <c r="D4887" s="76">
        <f t="shared" si="1451"/>
        <v>2475</v>
      </c>
      <c r="E4887" s="76">
        <f t="shared" si="1451"/>
        <v>2296.7007804649829</v>
      </c>
      <c r="F4887" s="76">
        <f t="shared" si="1451"/>
        <v>2155.6718739425287</v>
      </c>
      <c r="G4887" s="76">
        <f t="shared" si="1451"/>
        <v>2046.3859528274625</v>
      </c>
      <c r="H4887" s="97"/>
      <c r="I4887" s="97"/>
      <c r="J4887" s="97"/>
      <c r="K4887" s="97"/>
      <c r="L4887" s="97"/>
      <c r="M4887" s="97"/>
      <c r="N4887" s="97"/>
      <c r="O4887" s="97"/>
      <c r="P4887" s="97"/>
      <c r="Q4887" s="97"/>
    </row>
    <row r="4888" spans="1:17" x14ac:dyDescent="0.3">
      <c r="A4888" s="141" t="s">
        <v>2332</v>
      </c>
      <c r="C4888" s="97"/>
      <c r="D4888" s="97"/>
      <c r="E4888" s="97"/>
      <c r="F4888" s="97"/>
      <c r="G4888" s="97"/>
      <c r="H4888" s="97"/>
      <c r="I4888" s="97"/>
      <c r="J4888" s="97"/>
      <c r="K4888" s="97"/>
      <c r="L4888" s="97"/>
      <c r="M4888" s="97"/>
      <c r="N4888" s="97"/>
      <c r="O4888" s="97"/>
      <c r="P4888" s="97"/>
      <c r="Q4888" s="97"/>
    </row>
    <row r="4889" spans="1:17" x14ac:dyDescent="0.3">
      <c r="A4889" t="s">
        <v>284</v>
      </c>
      <c r="B4889" s="79" t="e">
        <f>+Drivers!#REF!</f>
        <v>#REF!</v>
      </c>
      <c r="C4889" s="79" t="e">
        <f>+Drivers!#REF!</f>
        <v>#REF!</v>
      </c>
      <c r="D4889" s="79" t="e">
        <f>+Drivers!#REF!</f>
        <v>#REF!</v>
      </c>
      <c r="E4889" s="79" t="e">
        <f>+Drivers!#REF!</f>
        <v>#REF!</v>
      </c>
      <c r="F4889" s="79" t="e">
        <f>+Drivers!#REF!</f>
        <v>#REF!</v>
      </c>
      <c r="G4889" s="79" t="e">
        <f>+Drivers!#REF!</f>
        <v>#REF!</v>
      </c>
      <c r="I4889" s="97"/>
      <c r="J4889" s="97"/>
      <c r="K4889" s="97"/>
      <c r="L4889" s="97"/>
      <c r="M4889" s="97"/>
      <c r="N4889" s="97"/>
      <c r="O4889" s="97"/>
      <c r="P4889" s="97"/>
      <c r="Q4889" s="97"/>
    </row>
    <row r="4890" spans="1:17" x14ac:dyDescent="0.3">
      <c r="A4890" t="s">
        <v>44</v>
      </c>
      <c r="B4890" s="79">
        <f>+Drivers!DY30</f>
        <v>0</v>
      </c>
      <c r="C4890" s="79">
        <f>+Drivers!ED30</f>
        <v>2775</v>
      </c>
      <c r="D4890" s="79">
        <f>+Drivers!EI30</f>
        <v>2475</v>
      </c>
      <c r="E4890" s="79">
        <f>+Drivers!EN30</f>
        <v>2080</v>
      </c>
      <c r="F4890" s="79">
        <f>+Drivers!ES30</f>
        <v>2127</v>
      </c>
      <c r="G4890" s="79">
        <f>+Drivers!EX30</f>
        <v>2251</v>
      </c>
      <c r="H4890" s="97"/>
      <c r="I4890" s="97"/>
      <c r="J4890" s="97"/>
      <c r="K4890" s="97"/>
      <c r="L4890" s="97"/>
      <c r="M4890" s="97"/>
      <c r="N4890" s="97"/>
      <c r="O4890" s="97"/>
      <c r="P4890" s="97"/>
      <c r="Q4890" s="97"/>
    </row>
    <row r="4891" spans="1:17" x14ac:dyDescent="0.3">
      <c r="C4891" s="97"/>
      <c r="D4891" s="97"/>
      <c r="E4891" s="97"/>
      <c r="F4891" s="97"/>
      <c r="G4891" s="97"/>
      <c r="H4891" s="97"/>
      <c r="I4891" s="97"/>
      <c r="J4891" s="97"/>
      <c r="K4891" s="97"/>
      <c r="L4891" s="97"/>
      <c r="M4891" s="97"/>
      <c r="N4891" s="97"/>
      <c r="O4891" s="97"/>
      <c r="P4891" s="97"/>
      <c r="Q4891" s="97"/>
    </row>
    <row r="4892" spans="1:17" x14ac:dyDescent="0.3">
      <c r="A4892" s="141" t="s">
        <v>2333</v>
      </c>
      <c r="C4892" s="97"/>
      <c r="D4892" s="97"/>
      <c r="E4892" s="97"/>
      <c r="F4892" s="97"/>
      <c r="G4892" s="97"/>
      <c r="H4892" s="97"/>
      <c r="I4892" s="97"/>
      <c r="J4892" s="97"/>
      <c r="K4892" s="97"/>
      <c r="L4892" s="97"/>
      <c r="M4892" s="97"/>
      <c r="N4892" s="97"/>
      <c r="O4892" s="97"/>
      <c r="P4892" s="97"/>
      <c r="Q4892" s="97"/>
    </row>
    <row r="4893" spans="1:17" x14ac:dyDescent="0.3">
      <c r="A4893" t="s">
        <v>1866</v>
      </c>
      <c r="B4893" s="95">
        <v>1800</v>
      </c>
      <c r="C4893" s="97"/>
      <c r="D4893" s="97"/>
      <c r="E4893" s="97"/>
      <c r="F4893" s="97"/>
      <c r="G4893" s="97"/>
      <c r="H4893" s="97"/>
      <c r="I4893" s="97"/>
      <c r="J4893" s="97"/>
      <c r="K4893" s="97"/>
      <c r="L4893" s="97"/>
      <c r="M4893" s="97"/>
      <c r="N4893" s="97"/>
      <c r="O4893" s="97"/>
      <c r="P4893" s="97"/>
      <c r="Q4893" s="97"/>
    </row>
    <row r="4894" spans="1:17" x14ac:dyDescent="0.3">
      <c r="A4894" t="s">
        <v>1868</v>
      </c>
      <c r="B4894" s="95">
        <v>300</v>
      </c>
      <c r="C4894" s="97"/>
      <c r="D4894" s="97"/>
      <c r="E4894" s="97"/>
      <c r="F4894" s="97"/>
      <c r="G4894" s="97"/>
      <c r="H4894" s="97"/>
      <c r="I4894" s="97"/>
      <c r="J4894" s="97"/>
      <c r="K4894" s="97"/>
      <c r="L4894" s="97"/>
      <c r="M4894" s="97"/>
      <c r="N4894" s="97"/>
      <c r="O4894" s="97"/>
      <c r="P4894" s="97"/>
      <c r="Q4894" s="97"/>
    </row>
    <row r="4895" spans="1:17" x14ac:dyDescent="0.3">
      <c r="A4895" t="s">
        <v>2334</v>
      </c>
      <c r="B4895" s="95">
        <v>500</v>
      </c>
      <c r="C4895" s="97"/>
      <c r="D4895" s="97"/>
      <c r="E4895" s="97"/>
      <c r="F4895" s="97"/>
      <c r="G4895" s="97"/>
      <c r="H4895" s="97"/>
      <c r="I4895" s="97"/>
      <c r="J4895" s="97"/>
      <c r="K4895" s="97"/>
      <c r="L4895" s="97"/>
      <c r="M4895" s="97"/>
      <c r="N4895" s="97"/>
      <c r="O4895" s="97"/>
      <c r="P4895" s="97"/>
      <c r="Q4895" s="97"/>
    </row>
    <row r="4896" spans="1:17" x14ac:dyDescent="0.3">
      <c r="A4896" t="s">
        <v>1897</v>
      </c>
      <c r="B4896" s="95">
        <v>2100</v>
      </c>
      <c r="C4896" s="97"/>
      <c r="D4896" s="97"/>
      <c r="E4896" s="97"/>
      <c r="F4896" s="97"/>
      <c r="G4896" s="97"/>
      <c r="H4896" s="97"/>
      <c r="I4896" s="97"/>
      <c r="J4896" s="97"/>
      <c r="K4896" s="97"/>
      <c r="L4896" s="97"/>
      <c r="M4896" s="97"/>
      <c r="N4896" s="97"/>
      <c r="O4896" s="97"/>
      <c r="P4896" s="97"/>
      <c r="Q4896" s="97"/>
    </row>
    <row r="4897" spans="1:17" x14ac:dyDescent="0.3">
      <c r="A4897" t="s">
        <v>2335</v>
      </c>
      <c r="B4897" s="95">
        <v>1400</v>
      </c>
      <c r="C4897" s="97"/>
      <c r="D4897" s="97"/>
      <c r="E4897" s="97"/>
      <c r="F4897" s="97"/>
      <c r="G4897" s="97"/>
      <c r="H4897" s="97"/>
      <c r="I4897" s="97"/>
      <c r="J4897" s="97"/>
      <c r="K4897" s="97"/>
      <c r="L4897" s="97"/>
      <c r="M4897" s="97"/>
      <c r="N4897" s="97"/>
      <c r="O4897" s="97"/>
      <c r="P4897" s="97"/>
      <c r="Q4897" s="97"/>
    </row>
    <row r="4898" spans="1:17" x14ac:dyDescent="0.3">
      <c r="A4898" t="s">
        <v>2336</v>
      </c>
      <c r="B4898" s="95">
        <v>1500</v>
      </c>
      <c r="C4898" s="97"/>
      <c r="D4898" s="97"/>
      <c r="E4898" s="97"/>
      <c r="F4898" s="97"/>
      <c r="G4898" s="97"/>
      <c r="H4898" s="97"/>
      <c r="I4898" s="97"/>
      <c r="J4898" s="97"/>
      <c r="K4898" s="97"/>
      <c r="L4898" s="97"/>
      <c r="M4898" s="97"/>
      <c r="N4898" s="97"/>
      <c r="O4898" s="97"/>
      <c r="P4898" s="97"/>
      <c r="Q4898" s="97"/>
    </row>
    <row r="4899" spans="1:17" x14ac:dyDescent="0.3">
      <c r="A4899" s="90" t="s">
        <v>266</v>
      </c>
      <c r="B4899" s="803">
        <f>+SUM(B4893:B4898)</f>
        <v>7600</v>
      </c>
      <c r="C4899" s="97"/>
      <c r="D4899" s="97"/>
      <c r="E4899" s="97"/>
      <c r="F4899" s="97"/>
      <c r="G4899" s="97"/>
      <c r="H4899" s="97"/>
      <c r="I4899" s="97"/>
      <c r="J4899" s="97"/>
      <c r="K4899" s="97"/>
      <c r="L4899" s="97"/>
      <c r="M4899" s="97"/>
      <c r="N4899" s="97"/>
      <c r="O4899" s="97"/>
      <c r="P4899" s="97"/>
      <c r="Q4899" s="97"/>
    </row>
    <row r="4900" spans="1:17" x14ac:dyDescent="0.3">
      <c r="A4900" s="94"/>
      <c r="C4900" s="97"/>
      <c r="D4900" s="97"/>
      <c r="E4900" s="97"/>
      <c r="F4900" s="97"/>
      <c r="G4900" s="97"/>
      <c r="H4900" s="97"/>
      <c r="I4900" s="97"/>
      <c r="J4900" s="97"/>
      <c r="K4900" s="97"/>
      <c r="L4900" s="97"/>
      <c r="M4900" s="97"/>
      <c r="N4900" s="97"/>
      <c r="O4900" s="97"/>
      <c r="P4900" s="97"/>
      <c r="Q4900" s="97"/>
    </row>
    <row r="4901" spans="1:17" hidden="1" outlineLevel="1" x14ac:dyDescent="0.3">
      <c r="A4901" s="755" t="s">
        <v>2337</v>
      </c>
      <c r="B4901" s="705"/>
      <c r="C4901" s="756"/>
      <c r="D4901" s="756"/>
      <c r="E4901" s="756"/>
      <c r="F4901" s="756"/>
      <c r="G4901" s="756"/>
      <c r="H4901" s="756"/>
      <c r="I4901" s="756"/>
      <c r="J4901" s="97"/>
      <c r="K4901" s="97"/>
      <c r="L4901" s="97"/>
      <c r="M4901" s="97"/>
      <c r="N4901" s="97"/>
      <c r="O4901" s="97"/>
      <c r="P4901" s="97"/>
      <c r="Q4901" s="97"/>
    </row>
    <row r="4902" spans="1:17" ht="24" hidden="1" outlineLevel="1" x14ac:dyDescent="0.3">
      <c r="A4902" s="757"/>
      <c r="B4902" s="758">
        <v>2019</v>
      </c>
      <c r="C4902" s="758">
        <f>+B4902+1</f>
        <v>2020</v>
      </c>
      <c r="D4902" s="758">
        <f>+C4902+1</f>
        <v>2021</v>
      </c>
      <c r="E4902" s="758">
        <f>+D4902+1</f>
        <v>2022</v>
      </c>
      <c r="F4902" s="758">
        <f>+E4902+1</f>
        <v>2023</v>
      </c>
      <c r="G4902" s="758">
        <f>+F4902+1</f>
        <v>2024</v>
      </c>
      <c r="H4902" s="759" t="s">
        <v>2327</v>
      </c>
      <c r="I4902" s="756"/>
      <c r="J4902" s="97"/>
      <c r="K4902" s="97"/>
      <c r="L4902" s="97"/>
      <c r="M4902" s="97"/>
      <c r="N4902" s="97"/>
      <c r="O4902" s="97"/>
      <c r="P4902" s="97"/>
      <c r="Q4902" s="97"/>
    </row>
    <row r="4903" spans="1:17" hidden="1" outlineLevel="1" x14ac:dyDescent="0.3">
      <c r="A4903" s="705" t="s">
        <v>541</v>
      </c>
      <c r="B4903" s="1806">
        <f>+Drivers!DY$617</f>
        <v>822.63068999999984</v>
      </c>
      <c r="C4903" s="1806">
        <f>+Drivers!ED$617</f>
        <v>847.11354000000006</v>
      </c>
      <c r="D4903" s="756"/>
      <c r="E4903" s="756"/>
      <c r="F4903" s="756"/>
      <c r="G4903" s="756"/>
      <c r="H4903" s="756"/>
      <c r="I4903" s="756"/>
      <c r="J4903" s="97"/>
      <c r="K4903" s="97"/>
      <c r="L4903" s="97"/>
      <c r="M4903" s="97"/>
      <c r="N4903" s="97"/>
      <c r="O4903" s="97"/>
      <c r="P4903" s="97"/>
      <c r="Q4903" s="97"/>
    </row>
    <row r="4904" spans="1:17" hidden="1" outlineLevel="1" x14ac:dyDescent="0.3">
      <c r="A4904" s="705" t="s">
        <v>542</v>
      </c>
      <c r="B4904" s="609">
        <f>+B4862/B4864*B4906</f>
        <v>124.85549132947976</v>
      </c>
      <c r="C4904" s="756"/>
      <c r="D4904" s="756"/>
      <c r="E4904" s="756"/>
      <c r="F4904" s="756"/>
      <c r="G4904" s="756"/>
      <c r="H4904" s="756"/>
      <c r="I4904" s="756"/>
      <c r="J4904" s="97"/>
      <c r="K4904" s="97"/>
      <c r="L4904" s="97"/>
      <c r="M4904" s="97"/>
      <c r="N4904" s="97"/>
      <c r="O4904" s="97"/>
      <c r="P4904" s="97"/>
      <c r="Q4904" s="97"/>
    </row>
    <row r="4905" spans="1:17" hidden="1" outlineLevel="1" x14ac:dyDescent="0.3">
      <c r="A4905" s="705" t="s">
        <v>34</v>
      </c>
      <c r="B4905" s="609">
        <f>+B4906-SUM(B4903:B4904)</f>
        <v>852.51381867052044</v>
      </c>
      <c r="C4905" s="756"/>
      <c r="D4905" s="756"/>
      <c r="E4905" s="756"/>
      <c r="F4905" s="756"/>
      <c r="G4905" s="756"/>
      <c r="H4905" s="756"/>
      <c r="I4905" s="756"/>
      <c r="J4905" s="97"/>
      <c r="K4905" s="97"/>
      <c r="L4905" s="97"/>
      <c r="M4905" s="97"/>
      <c r="N4905" s="97"/>
      <c r="O4905" s="97"/>
      <c r="P4905" s="97"/>
      <c r="Q4905" s="97"/>
    </row>
    <row r="4906" spans="1:17" hidden="1" outlineLevel="1" x14ac:dyDescent="0.3">
      <c r="A4906" s="760" t="s">
        <v>266</v>
      </c>
      <c r="B4906" s="731">
        <f>+B4893</f>
        <v>1800</v>
      </c>
      <c r="C4906" s="756"/>
      <c r="D4906" s="756"/>
      <c r="E4906" s="756"/>
      <c r="F4906" s="756"/>
      <c r="G4906" s="756"/>
      <c r="H4906" s="756"/>
      <c r="I4906" s="756"/>
      <c r="J4906" s="97"/>
      <c r="K4906" s="97"/>
      <c r="L4906" s="97"/>
      <c r="M4906" s="97"/>
      <c r="N4906" s="97"/>
      <c r="O4906" s="97"/>
      <c r="P4906" s="97"/>
      <c r="Q4906" s="97"/>
    </row>
    <row r="4907" spans="1:17" collapsed="1" x14ac:dyDescent="0.3">
      <c r="A4907" s="94"/>
      <c r="C4907" s="97"/>
      <c r="D4907" s="97"/>
      <c r="E4907" s="97"/>
      <c r="F4907" s="97"/>
      <c r="G4907" s="97"/>
      <c r="H4907" s="97"/>
      <c r="I4907" s="97"/>
      <c r="J4907" s="97"/>
      <c r="K4907" s="97"/>
      <c r="L4907" s="97"/>
      <c r="M4907" s="97"/>
      <c r="N4907" s="97"/>
      <c r="O4907" s="97"/>
      <c r="P4907" s="97"/>
      <c r="Q4907" s="97"/>
    </row>
    <row r="4908" spans="1:17" x14ac:dyDescent="0.3">
      <c r="A4908" s="94"/>
      <c r="C4908" s="97"/>
      <c r="D4908" s="97"/>
      <c r="E4908" s="97"/>
      <c r="F4908" s="97"/>
      <c r="G4908" s="97"/>
      <c r="H4908" s="97"/>
      <c r="I4908" s="97"/>
      <c r="J4908" s="97"/>
      <c r="K4908" s="97"/>
      <c r="L4908" s="97"/>
      <c r="M4908" s="97"/>
      <c r="N4908" s="97"/>
      <c r="O4908" s="97"/>
      <c r="P4908" s="97"/>
      <c r="Q4908" s="97"/>
    </row>
    <row r="4909" spans="1:17" x14ac:dyDescent="0.3">
      <c r="A4909" s="141" t="s">
        <v>2338</v>
      </c>
      <c r="C4909" s="97"/>
      <c r="D4909" s="97"/>
      <c r="E4909" s="97"/>
      <c r="F4909" s="97"/>
      <c r="G4909" s="97"/>
      <c r="H4909" s="97"/>
      <c r="I4909" s="97"/>
      <c r="J4909" s="97"/>
      <c r="K4909" s="97"/>
      <c r="L4909" s="97"/>
      <c r="M4909" s="97"/>
      <c r="N4909" s="97"/>
      <c r="O4909" s="97"/>
      <c r="P4909" s="97"/>
      <c r="Q4909" s="97"/>
    </row>
    <row r="4910" spans="1:17" x14ac:dyDescent="0.3">
      <c r="A4910" s="536"/>
      <c r="B4910" s="537">
        <v>2019</v>
      </c>
      <c r="C4910" s="537">
        <f t="shared" ref="C4910:N4910" si="1452">+B4910+1</f>
        <v>2020</v>
      </c>
      <c r="D4910" s="537">
        <f t="shared" si="1452"/>
        <v>2021</v>
      </c>
      <c r="E4910" s="537">
        <f t="shared" si="1452"/>
        <v>2022</v>
      </c>
      <c r="F4910" s="537">
        <f t="shared" si="1452"/>
        <v>2023</v>
      </c>
      <c r="G4910" s="537">
        <f t="shared" si="1452"/>
        <v>2024</v>
      </c>
      <c r="H4910" s="537">
        <f t="shared" si="1452"/>
        <v>2025</v>
      </c>
      <c r="I4910" s="537">
        <f t="shared" si="1452"/>
        <v>2026</v>
      </c>
      <c r="J4910" s="537">
        <f t="shared" si="1452"/>
        <v>2027</v>
      </c>
      <c r="K4910" s="537">
        <f t="shared" si="1452"/>
        <v>2028</v>
      </c>
      <c r="L4910" s="537">
        <f t="shared" si="1452"/>
        <v>2029</v>
      </c>
      <c r="M4910" s="537">
        <f t="shared" si="1452"/>
        <v>2030</v>
      </c>
      <c r="N4910" s="537">
        <f t="shared" si="1452"/>
        <v>2031</v>
      </c>
      <c r="O4910" s="97"/>
      <c r="P4910" s="97"/>
      <c r="Q4910" s="97"/>
    </row>
    <row r="4911" spans="1:17" x14ac:dyDescent="0.3">
      <c r="A4911" t="s">
        <v>2339</v>
      </c>
      <c r="B4911" s="855">
        <f>+Drivers!DY$617</f>
        <v>822.63068999999984</v>
      </c>
      <c r="C4911" s="855">
        <f>+Drivers!ED$617</f>
        <v>847.11354000000006</v>
      </c>
      <c r="D4911" s="803">
        <f t="shared" ref="D4911:N4911" si="1453">+D4848*D4913*12/1000</f>
        <v>938.38853227469065</v>
      </c>
      <c r="E4911" s="803">
        <f t="shared" si="1453"/>
        <v>950.95174301824136</v>
      </c>
      <c r="F4911" s="803">
        <f t="shared" si="1453"/>
        <v>978.49691459999997</v>
      </c>
      <c r="G4911" s="803">
        <f t="shared" si="1453"/>
        <v>1023.4886567217628</v>
      </c>
      <c r="H4911" s="803">
        <f t="shared" si="1453"/>
        <v>1072.4167762309844</v>
      </c>
      <c r="I4911" s="803">
        <f t="shared" si="1453"/>
        <v>1123.5160763105255</v>
      </c>
      <c r="J4911" s="803">
        <f t="shared" si="1453"/>
        <v>1176.8786021572421</v>
      </c>
      <c r="K4911" s="803">
        <f t="shared" si="1453"/>
        <v>1232.6001824181878</v>
      </c>
      <c r="L4911" s="803">
        <f t="shared" si="1453"/>
        <v>1290.7805812761546</v>
      </c>
      <c r="M4911" s="803">
        <f t="shared" si="1453"/>
        <v>1351.5236565464506</v>
      </c>
      <c r="N4911" s="803">
        <f t="shared" si="1453"/>
        <v>1414.937524019402</v>
      </c>
      <c r="O4911" s="97"/>
      <c r="P4911" s="97"/>
      <c r="Q4911" s="97"/>
    </row>
    <row r="4912" spans="1:17" x14ac:dyDescent="0.3">
      <c r="A4912" s="90" t="s">
        <v>2340</v>
      </c>
      <c r="B4912" s="100">
        <f>+B4911*B4914</f>
        <v>329.05227599999995</v>
      </c>
      <c r="C4912" s="100">
        <f>+C4911*C4914</f>
        <v>338.84541600000006</v>
      </c>
      <c r="D4912" s="100">
        <f t="shared" ref="D4912:N4912" si="1454">+C4912+(D4911-C4911)*D4915</f>
        <v>398.17416097854891</v>
      </c>
      <c r="E4912" s="100">
        <f t="shared" si="1454"/>
        <v>406.3402479618569</v>
      </c>
      <c r="F4912" s="100">
        <f t="shared" si="1454"/>
        <v>424.24460949000002</v>
      </c>
      <c r="G4912" s="100">
        <f t="shared" si="1454"/>
        <v>453.48924186914587</v>
      </c>
      <c r="H4912" s="100">
        <f t="shared" si="1454"/>
        <v>485.2925195501399</v>
      </c>
      <c r="I4912" s="100">
        <f t="shared" si="1454"/>
        <v>518.50706460184165</v>
      </c>
      <c r="J4912" s="100">
        <f t="shared" si="1454"/>
        <v>553.19270640220748</v>
      </c>
      <c r="K4912" s="100">
        <f t="shared" si="1454"/>
        <v>589.4117335718222</v>
      </c>
      <c r="L4912" s="100">
        <f t="shared" si="1454"/>
        <v>627.22899282950061</v>
      </c>
      <c r="M4912" s="100">
        <f t="shared" si="1454"/>
        <v>666.71199175519303</v>
      </c>
      <c r="N4912" s="100">
        <f t="shared" si="1454"/>
        <v>707.93100561261144</v>
      </c>
      <c r="O4912" s="97"/>
      <c r="P4912" s="97"/>
      <c r="Q4912" s="97"/>
    </row>
    <row r="4913" spans="1:17" x14ac:dyDescent="0.3">
      <c r="A4913" s="94" t="s">
        <v>2341</v>
      </c>
      <c r="B4913" s="540">
        <f>+Drivers!DY186</f>
        <v>56.837025598507608</v>
      </c>
      <c r="C4913" s="540">
        <f>+Drivers!ED186</f>
        <v>57.762336094916648</v>
      </c>
      <c r="D4913" s="540">
        <f>+Drivers!EI186</f>
        <v>62.353966228156288</v>
      </c>
      <c r="E4913" s="540">
        <f>+Drivers!EN186</f>
        <v>62.387109881559596</v>
      </c>
      <c r="F4913" s="540">
        <f>+Drivers!ES186</f>
        <v>63.39</v>
      </c>
      <c r="G4913" s="540">
        <f>+Drivers!EX186</f>
        <v>65.484330723001278</v>
      </c>
      <c r="H4913" s="540">
        <f>+Drivers!FC186</f>
        <v>67.776246846721165</v>
      </c>
      <c r="I4913" s="540">
        <f>+Drivers!FD186</f>
        <v>70.148378793984961</v>
      </c>
      <c r="J4913" s="540">
        <f>+Drivers!FE186</f>
        <v>72.603534075189856</v>
      </c>
      <c r="K4913" s="540">
        <f>+Drivers!FF186</f>
        <v>75.14461846207702</v>
      </c>
      <c r="L4913" s="540">
        <f>+Drivers!FG186</f>
        <v>77.774639426825459</v>
      </c>
      <c r="M4913" s="540">
        <f>+Drivers!FH186</f>
        <v>80.496709701512259</v>
      </c>
      <c r="N4913" s="540">
        <f>+Drivers!FI186</f>
        <v>83.314050962152066</v>
      </c>
      <c r="O4913" s="97"/>
      <c r="P4913" s="97"/>
      <c r="Q4913" s="97"/>
    </row>
    <row r="4914" spans="1:17" x14ac:dyDescent="0.3">
      <c r="A4914" s="94" t="s">
        <v>2342</v>
      </c>
      <c r="B4914" s="702">
        <f>+C4914</f>
        <v>0.4</v>
      </c>
      <c r="C4914" s="700">
        <v>0.4</v>
      </c>
      <c r="D4914" s="547">
        <f t="shared" ref="D4914:N4914" si="1455">+D4912/D4911</f>
        <v>0.42431695111763473</v>
      </c>
      <c r="E4914" s="547">
        <f t="shared" si="1455"/>
        <v>0.42729849431914063</v>
      </c>
      <c r="F4914" s="547">
        <f t="shared" si="1455"/>
        <v>0.43356765173186784</v>
      </c>
      <c r="G4914" s="547">
        <f t="shared" si="1455"/>
        <v>0.44308184452348814</v>
      </c>
      <c r="H4914" s="547">
        <f t="shared" si="1455"/>
        <v>0.45252231250587438</v>
      </c>
      <c r="I4914" s="547">
        <f t="shared" si="1455"/>
        <v>0.46150391216879477</v>
      </c>
      <c r="J4914" s="547">
        <f t="shared" si="1455"/>
        <v>0.4700507812685133</v>
      </c>
      <c r="K4914" s="547">
        <f t="shared" si="1455"/>
        <v>0.47818566148147035</v>
      </c>
      <c r="L4914" s="547">
        <f t="shared" si="1455"/>
        <v>0.48592998835586665</v>
      </c>
      <c r="M4914" s="547">
        <f t="shared" si="1455"/>
        <v>0.49330397475900839</v>
      </c>
      <c r="N4914" s="547">
        <f t="shared" si="1455"/>
        <v>0.50032668834847027</v>
      </c>
      <c r="O4914" s="97"/>
      <c r="P4914" s="97"/>
      <c r="Q4914" s="97"/>
    </row>
    <row r="4915" spans="1:17" x14ac:dyDescent="0.3">
      <c r="A4915" s="94" t="s">
        <v>2343</v>
      </c>
      <c r="B4915" s="702">
        <f>+C4915</f>
        <v>0.65</v>
      </c>
      <c r="C4915" s="546">
        <v>0.65</v>
      </c>
      <c r="D4915" s="546">
        <f>+C4915</f>
        <v>0.65</v>
      </c>
      <c r="E4915" s="546">
        <f t="shared" ref="E4915:N4915" si="1456">+D4915</f>
        <v>0.65</v>
      </c>
      <c r="F4915" s="546">
        <f t="shared" si="1456"/>
        <v>0.65</v>
      </c>
      <c r="G4915" s="546">
        <f t="shared" si="1456"/>
        <v>0.65</v>
      </c>
      <c r="H4915" s="546">
        <f t="shared" si="1456"/>
        <v>0.65</v>
      </c>
      <c r="I4915" s="546">
        <f t="shared" si="1456"/>
        <v>0.65</v>
      </c>
      <c r="J4915" s="546">
        <f t="shared" si="1456"/>
        <v>0.65</v>
      </c>
      <c r="K4915" s="546">
        <f t="shared" si="1456"/>
        <v>0.65</v>
      </c>
      <c r="L4915" s="546">
        <f t="shared" si="1456"/>
        <v>0.65</v>
      </c>
      <c r="M4915" s="546">
        <f t="shared" si="1456"/>
        <v>0.65</v>
      </c>
      <c r="N4915" s="546">
        <f t="shared" si="1456"/>
        <v>0.65</v>
      </c>
      <c r="O4915" s="97"/>
      <c r="P4915" s="97"/>
      <c r="Q4915" s="97"/>
    </row>
    <row r="4916" spans="1:17" x14ac:dyDescent="0.3">
      <c r="A4916" s="94"/>
      <c r="B4916" s="546"/>
      <c r="C4916" s="546"/>
      <c r="D4916" s="546"/>
      <c r="E4916" s="546"/>
      <c r="F4916" s="546"/>
      <c r="G4916" s="546"/>
      <c r="H4916" s="546"/>
      <c r="I4916" s="546"/>
      <c r="J4916" s="546"/>
      <c r="K4916" s="546"/>
      <c r="L4916" s="546"/>
      <c r="M4916" s="546"/>
      <c r="N4916" s="546"/>
      <c r="O4916" s="97"/>
      <c r="P4916" s="97"/>
      <c r="Q4916" s="97"/>
    </row>
    <row r="4917" spans="1:17" x14ac:dyDescent="0.3">
      <c r="A4917" s="141" t="s">
        <v>2344</v>
      </c>
      <c r="B4917" s="546"/>
      <c r="C4917" s="546"/>
      <c r="D4917" s="546"/>
      <c r="E4917" s="546"/>
      <c r="F4917" s="546"/>
      <c r="G4917" s="546"/>
      <c r="H4917" s="546"/>
      <c r="I4917" s="546"/>
      <c r="J4917" s="546"/>
      <c r="K4917" s="546"/>
      <c r="L4917" s="546"/>
      <c r="M4917" s="546"/>
      <c r="N4917" s="546"/>
      <c r="O4917" s="97"/>
      <c r="P4917" s="97"/>
      <c r="Q4917" s="97"/>
    </row>
    <row r="4918" spans="1:17" x14ac:dyDescent="0.3">
      <c r="A4918" t="s">
        <v>2345</v>
      </c>
      <c r="B4918" s="546"/>
      <c r="C4918" s="76">
        <f t="shared" ref="C4918:N4918" si="1457">+C4912+C4426</f>
        <v>340.50956640000004</v>
      </c>
      <c r="D4918" s="76">
        <f t="shared" si="1457"/>
        <v>414.29419842673269</v>
      </c>
      <c r="E4918" s="76">
        <f t="shared" si="1457"/>
        <v>470.17407003684957</v>
      </c>
      <c r="F4918" s="76">
        <f t="shared" si="1457"/>
        <v>588.74938358472002</v>
      </c>
      <c r="G4918" s="76">
        <f t="shared" si="1457"/>
        <v>783.03098342028886</v>
      </c>
      <c r="H4918" s="76">
        <f t="shared" si="1457"/>
        <v>1041.160185676338</v>
      </c>
      <c r="I4918" s="76">
        <f t="shared" si="1457"/>
        <v>1355.6854642609987</v>
      </c>
      <c r="J4918" s="76">
        <f t="shared" si="1457"/>
        <v>1717.8722779879779</v>
      </c>
      <c r="K4918" s="76">
        <f t="shared" si="1457"/>
        <v>2116.8400861764376</v>
      </c>
      <c r="L4918" s="76">
        <f t="shared" si="1457"/>
        <v>2518.2509980119003</v>
      </c>
      <c r="M4918" s="76">
        <f t="shared" si="1457"/>
        <v>2881.4617868118808</v>
      </c>
      <c r="N4918" s="76">
        <f t="shared" si="1457"/>
        <v>3185.644615401347</v>
      </c>
      <c r="O4918" s="97"/>
      <c r="P4918" s="97"/>
      <c r="Q4918" s="97"/>
    </row>
    <row r="4919" spans="1:17" x14ac:dyDescent="0.3">
      <c r="A4919" t="s">
        <v>2346</v>
      </c>
      <c r="B4919" s="546"/>
      <c r="C4919" s="76" t="e">
        <f>+C4920-C4918</f>
        <v>#REF!</v>
      </c>
      <c r="D4919" s="76" t="e">
        <f t="shared" ref="D4919:I4919" si="1458">+D4920-D4918</f>
        <v>#REF!</v>
      </c>
      <c r="E4919" s="76" t="e">
        <f t="shared" si="1458"/>
        <v>#REF!</v>
      </c>
      <c r="F4919" s="76" t="e">
        <f t="shared" si="1458"/>
        <v>#REF!</v>
      </c>
      <c r="G4919" s="76" t="e">
        <f t="shared" si="1458"/>
        <v>#REF!</v>
      </c>
      <c r="H4919" s="76" t="e">
        <f t="shared" si="1458"/>
        <v>#REF!</v>
      </c>
      <c r="I4919" s="76" t="e">
        <f t="shared" si="1458"/>
        <v>#REF!</v>
      </c>
      <c r="J4919" s="76" t="e">
        <f>+J4920-J4918</f>
        <v>#REF!</v>
      </c>
      <c r="K4919" s="76" t="e">
        <f>+K4920-K4918</f>
        <v>#REF!</v>
      </c>
      <c r="L4919" s="76" t="e">
        <f>+L4920-L4918</f>
        <v>#REF!</v>
      </c>
      <c r="M4919" s="76" t="e">
        <f>+M4920-M4918</f>
        <v>#REF!</v>
      </c>
      <c r="N4919" s="76" t="e">
        <f>+N4920-N4918</f>
        <v>#REF!</v>
      </c>
      <c r="O4919" s="97"/>
      <c r="P4919" s="97"/>
      <c r="Q4919" s="97"/>
    </row>
    <row r="4920" spans="1:17" x14ac:dyDescent="0.3">
      <c r="A4920" t="s">
        <v>301</v>
      </c>
      <c r="B4920" s="546"/>
      <c r="C4920" s="803" t="e">
        <f>+C4958</f>
        <v>#REF!</v>
      </c>
      <c r="D4920" s="803" t="e">
        <f t="shared" ref="D4920:I4920" si="1459">+D4958</f>
        <v>#REF!</v>
      </c>
      <c r="E4920" s="803" t="e">
        <f t="shared" si="1459"/>
        <v>#REF!</v>
      </c>
      <c r="F4920" s="803" t="e">
        <f t="shared" si="1459"/>
        <v>#REF!</v>
      </c>
      <c r="G4920" s="803" t="e">
        <f t="shared" si="1459"/>
        <v>#REF!</v>
      </c>
      <c r="H4920" s="803" t="e">
        <f t="shared" si="1459"/>
        <v>#REF!</v>
      </c>
      <c r="I4920" s="803" t="e">
        <f t="shared" si="1459"/>
        <v>#REF!</v>
      </c>
      <c r="J4920" s="803" t="e">
        <f>+J4958</f>
        <v>#REF!</v>
      </c>
      <c r="K4920" s="803" t="e">
        <f>+K4958</f>
        <v>#REF!</v>
      </c>
      <c r="L4920" s="803" t="e">
        <f>+L4958</f>
        <v>#REF!</v>
      </c>
      <c r="M4920" s="803" t="e">
        <f>+M4958</f>
        <v>#REF!</v>
      </c>
      <c r="N4920" s="803" t="e">
        <f>+N4958</f>
        <v>#REF!</v>
      </c>
      <c r="O4920" s="97"/>
      <c r="P4920" s="97"/>
      <c r="Q4920" s="97"/>
    </row>
    <row r="4921" spans="1:17" x14ac:dyDescent="0.3">
      <c r="A4921" t="s">
        <v>2347</v>
      </c>
      <c r="B4921" s="546"/>
      <c r="C4921" s="547" t="e">
        <f>+C4918/C4920</f>
        <v>#REF!</v>
      </c>
      <c r="D4921" s="547" t="e">
        <f t="shared" ref="D4921:N4921" si="1460">+D4918/D4920</f>
        <v>#REF!</v>
      </c>
      <c r="E4921" s="547" t="e">
        <f t="shared" si="1460"/>
        <v>#REF!</v>
      </c>
      <c r="F4921" s="547" t="e">
        <f t="shared" si="1460"/>
        <v>#REF!</v>
      </c>
      <c r="G4921" s="547" t="e">
        <f t="shared" si="1460"/>
        <v>#REF!</v>
      </c>
      <c r="H4921" s="547" t="e">
        <f t="shared" si="1460"/>
        <v>#REF!</v>
      </c>
      <c r="I4921" s="547" t="e">
        <f t="shared" si="1460"/>
        <v>#REF!</v>
      </c>
      <c r="J4921" s="547" t="e">
        <f t="shared" si="1460"/>
        <v>#REF!</v>
      </c>
      <c r="K4921" s="547" t="e">
        <f t="shared" si="1460"/>
        <v>#REF!</v>
      </c>
      <c r="L4921" s="547" t="e">
        <f t="shared" si="1460"/>
        <v>#REF!</v>
      </c>
      <c r="M4921" s="547" t="e">
        <f t="shared" si="1460"/>
        <v>#REF!</v>
      </c>
      <c r="N4921" s="547" t="e">
        <f t="shared" si="1460"/>
        <v>#REF!</v>
      </c>
      <c r="O4921" s="97"/>
      <c r="P4921" s="97"/>
      <c r="Q4921" s="97"/>
    </row>
    <row r="4922" spans="1:17" x14ac:dyDescent="0.3">
      <c r="A4922" s="94" t="s">
        <v>2348</v>
      </c>
      <c r="B4922" s="546"/>
      <c r="C4922" s="547" t="e">
        <f>+C4919/C4920</f>
        <v>#REF!</v>
      </c>
      <c r="D4922" s="547" t="e">
        <f t="shared" ref="D4922:N4922" si="1461">+D4919/D4920</f>
        <v>#REF!</v>
      </c>
      <c r="E4922" s="547" t="e">
        <f t="shared" si="1461"/>
        <v>#REF!</v>
      </c>
      <c r="F4922" s="547" t="e">
        <f t="shared" si="1461"/>
        <v>#REF!</v>
      </c>
      <c r="G4922" s="547" t="e">
        <f t="shared" si="1461"/>
        <v>#REF!</v>
      </c>
      <c r="H4922" s="547" t="e">
        <f t="shared" si="1461"/>
        <v>#REF!</v>
      </c>
      <c r="I4922" s="547" t="e">
        <f t="shared" si="1461"/>
        <v>#REF!</v>
      </c>
      <c r="J4922" s="547" t="e">
        <f t="shared" si="1461"/>
        <v>#REF!</v>
      </c>
      <c r="K4922" s="547" t="e">
        <f t="shared" si="1461"/>
        <v>#REF!</v>
      </c>
      <c r="L4922" s="547" t="e">
        <f t="shared" si="1461"/>
        <v>#REF!</v>
      </c>
      <c r="M4922" s="547" t="e">
        <f t="shared" si="1461"/>
        <v>#REF!</v>
      </c>
      <c r="N4922" s="547" t="e">
        <f t="shared" si="1461"/>
        <v>#REF!</v>
      </c>
      <c r="O4922" s="97"/>
      <c r="P4922" s="97"/>
      <c r="Q4922" s="97"/>
    </row>
    <row r="4923" spans="1:17" x14ac:dyDescent="0.3">
      <c r="A4923" s="94"/>
      <c r="B4923" s="546"/>
      <c r="C4923" s="546"/>
      <c r="D4923" s="546"/>
      <c r="E4923" s="546"/>
      <c r="F4923" s="546"/>
      <c r="G4923" s="546"/>
      <c r="H4923" s="546"/>
      <c r="I4923" s="546"/>
      <c r="J4923" s="546"/>
      <c r="K4923" s="546"/>
      <c r="L4923" s="546"/>
      <c r="M4923" s="546"/>
      <c r="N4923" s="546"/>
      <c r="O4923" s="97"/>
      <c r="P4923" s="97"/>
      <c r="Q4923" s="97"/>
    </row>
    <row r="4924" spans="1:17" x14ac:dyDescent="0.3">
      <c r="A4924" s="141" t="s">
        <v>2349</v>
      </c>
      <c r="B4924" s="546"/>
      <c r="C4924" s="546"/>
      <c r="D4924" s="546"/>
      <c r="E4924" s="546"/>
      <c r="F4924" s="546"/>
      <c r="G4924" s="546"/>
      <c r="H4924" s="546"/>
      <c r="I4924" s="546"/>
      <c r="J4924" s="546"/>
      <c r="K4924" s="546"/>
      <c r="L4924" s="546"/>
      <c r="M4924" s="546"/>
      <c r="N4924" s="546"/>
      <c r="O4924" s="97"/>
      <c r="P4924" s="97"/>
      <c r="Q4924" s="97"/>
    </row>
    <row r="4925" spans="1:17" x14ac:dyDescent="0.3">
      <c r="A4925" t="s">
        <v>2345</v>
      </c>
      <c r="B4925" s="546"/>
      <c r="C4925" s="546"/>
      <c r="D4925" s="546"/>
      <c r="E4925" s="546"/>
      <c r="F4925" s="546"/>
      <c r="G4925" s="546"/>
      <c r="H4925" s="546"/>
      <c r="I4925" s="546"/>
      <c r="J4925" s="546"/>
      <c r="K4925" s="546"/>
      <c r="L4925" s="546"/>
      <c r="M4925" s="546"/>
      <c r="N4925" s="546"/>
      <c r="O4925" s="97"/>
      <c r="P4925" s="97"/>
      <c r="Q4925" s="97"/>
    </row>
    <row r="4926" spans="1:17" x14ac:dyDescent="0.3">
      <c r="A4926" t="s">
        <v>2346</v>
      </c>
      <c r="B4926" s="546"/>
      <c r="C4926" s="546"/>
      <c r="D4926" s="546"/>
      <c r="E4926" s="546"/>
      <c r="F4926" s="546"/>
      <c r="G4926" s="546"/>
      <c r="H4926" s="546"/>
      <c r="I4926" s="546"/>
      <c r="J4926" s="546"/>
      <c r="K4926" s="546"/>
      <c r="L4926" s="546"/>
      <c r="M4926" s="546"/>
      <c r="N4926" s="546"/>
      <c r="O4926" s="97"/>
      <c r="P4926" s="97"/>
      <c r="Q4926" s="97"/>
    </row>
    <row r="4927" spans="1:17" x14ac:dyDescent="0.3">
      <c r="A4927" t="s">
        <v>301</v>
      </c>
      <c r="B4927" s="546"/>
      <c r="C4927" s="546"/>
      <c r="D4927" s="546"/>
      <c r="E4927" s="546"/>
      <c r="F4927" s="546"/>
      <c r="G4927" s="546"/>
      <c r="H4927" s="546"/>
      <c r="I4927" s="546"/>
      <c r="J4927" s="546"/>
      <c r="K4927" s="546"/>
      <c r="L4927" s="546"/>
      <c r="M4927" s="546"/>
      <c r="N4927" s="546"/>
      <c r="O4927" s="97"/>
      <c r="P4927" s="97"/>
      <c r="Q4927" s="97"/>
    </row>
    <row r="4928" spans="1:17" x14ac:dyDescent="0.3">
      <c r="A4928" t="s">
        <v>2347</v>
      </c>
      <c r="B4928" s="546"/>
      <c r="C4928" s="546"/>
      <c r="D4928" s="546"/>
      <c r="E4928" s="546"/>
      <c r="F4928" s="546"/>
      <c r="G4928" s="546"/>
      <c r="H4928" s="546"/>
      <c r="I4928" s="546"/>
      <c r="J4928" s="546"/>
      <c r="K4928" s="546"/>
      <c r="L4928" s="546"/>
      <c r="M4928" s="546"/>
      <c r="N4928" s="546"/>
      <c r="O4928" s="97"/>
      <c r="P4928" s="97"/>
      <c r="Q4928" s="97"/>
    </row>
    <row r="4929" spans="1:17" x14ac:dyDescent="0.3">
      <c r="A4929" s="94" t="s">
        <v>2348</v>
      </c>
      <c r="B4929" s="546"/>
      <c r="C4929" s="546"/>
      <c r="D4929" s="546"/>
      <c r="E4929" s="546"/>
      <c r="F4929" s="546"/>
      <c r="G4929" s="546"/>
      <c r="H4929" s="546"/>
      <c r="I4929" s="546"/>
      <c r="J4929" s="546"/>
      <c r="K4929" s="546"/>
      <c r="L4929" s="546"/>
      <c r="M4929" s="546"/>
      <c r="N4929" s="546"/>
      <c r="O4929" s="97"/>
      <c r="P4929" s="97"/>
      <c r="Q4929" s="97"/>
    </row>
    <row r="4930" spans="1:17" x14ac:dyDescent="0.3">
      <c r="A4930" s="94"/>
      <c r="B4930" s="546"/>
      <c r="C4930" s="546"/>
      <c r="D4930" s="546"/>
      <c r="E4930" s="546"/>
      <c r="F4930" s="546"/>
      <c r="G4930" s="546"/>
      <c r="H4930" s="546"/>
      <c r="I4930" s="546"/>
      <c r="J4930" s="546"/>
      <c r="K4930" s="546"/>
      <c r="L4930" s="546"/>
      <c r="M4930" s="546"/>
      <c r="N4930" s="546"/>
      <c r="O4930" s="97"/>
      <c r="P4930" s="97"/>
      <c r="Q4930" s="97"/>
    </row>
    <row r="4931" spans="1:17" x14ac:dyDescent="0.3">
      <c r="A4931" s="535" t="s">
        <v>2350</v>
      </c>
      <c r="B4931" s="538"/>
      <c r="C4931" s="538"/>
      <c r="D4931" s="538"/>
      <c r="E4931" s="538"/>
      <c r="F4931" s="538"/>
      <c r="G4931" s="538"/>
      <c r="H4931" s="538"/>
      <c r="I4931" s="538"/>
      <c r="J4931" s="538"/>
      <c r="K4931" s="538"/>
      <c r="L4931" s="538"/>
      <c r="M4931" s="538"/>
      <c r="N4931" s="538"/>
      <c r="O4931" s="538"/>
    </row>
    <row r="4932" spans="1:17" x14ac:dyDescent="0.3">
      <c r="A4932" s="177" t="s">
        <v>2351</v>
      </c>
      <c r="B4932" s="76">
        <f t="shared" ref="B4932:G4932" si="1462">+B4239</f>
        <v>3831</v>
      </c>
      <c r="C4932" s="76">
        <f t="shared" si="1462"/>
        <v>3443</v>
      </c>
      <c r="D4932" s="76">
        <f t="shared" si="1462"/>
        <v>3130</v>
      </c>
      <c r="E4932" s="76">
        <f t="shared" si="1462"/>
        <v>2925</v>
      </c>
      <c r="F4932" s="76">
        <f t="shared" si="1462"/>
        <v>2794</v>
      </c>
      <c r="G4932" s="76">
        <f t="shared" si="1462"/>
        <v>2684</v>
      </c>
      <c r="H4932" s="76"/>
      <c r="I4932" s="76"/>
      <c r="J4932" s="76"/>
      <c r="K4932" s="76"/>
      <c r="L4932" s="76"/>
      <c r="M4932" s="76"/>
      <c r="N4932" s="76"/>
      <c r="O4932" s="538"/>
    </row>
    <row r="4933" spans="1:17" x14ac:dyDescent="0.3">
      <c r="A4933" s="177" t="s">
        <v>2352</v>
      </c>
      <c r="B4933" s="120">
        <f t="shared" ref="B4933:G4933" si="1463">+B4417</f>
        <v>0</v>
      </c>
      <c r="C4933" s="120">
        <f t="shared" si="1463"/>
        <v>1.7619479999999998</v>
      </c>
      <c r="D4933" s="120">
        <f t="shared" si="1463"/>
        <v>18.74360224818378</v>
      </c>
      <c r="E4933" s="120">
        <f t="shared" si="1463"/>
        <v>81.437637754992636</v>
      </c>
      <c r="F4933" s="120">
        <f t="shared" si="1463"/>
        <v>222.82903511999996</v>
      </c>
      <c r="G4933" s="120">
        <f t="shared" si="1463"/>
        <v>457.91809445529918</v>
      </c>
      <c r="H4933" s="120"/>
      <c r="I4933" s="120"/>
      <c r="J4933" s="120"/>
      <c r="K4933" s="120"/>
      <c r="L4933" s="120"/>
      <c r="M4933" s="120"/>
      <c r="N4933" s="120"/>
      <c r="O4933" s="538"/>
    </row>
    <row r="4934" spans="1:17" x14ac:dyDescent="0.3">
      <c r="A4934" s="539" t="s">
        <v>266</v>
      </c>
      <c r="B4934" s="803">
        <f t="shared" ref="B4934:G4934" si="1464">+SUM(B4932:B4933)</f>
        <v>3831</v>
      </c>
      <c r="C4934" s="803">
        <f t="shared" si="1464"/>
        <v>3444.7619479999998</v>
      </c>
      <c r="D4934" s="803">
        <f t="shared" si="1464"/>
        <v>3148.7436022481838</v>
      </c>
      <c r="E4934" s="803">
        <f t="shared" si="1464"/>
        <v>3006.4376377549925</v>
      </c>
      <c r="F4934" s="803">
        <f t="shared" si="1464"/>
        <v>3016.8290351199998</v>
      </c>
      <c r="G4934" s="803">
        <f t="shared" si="1464"/>
        <v>3141.9180944552991</v>
      </c>
      <c r="H4934" s="120"/>
      <c r="I4934" s="120"/>
      <c r="J4934" s="120"/>
      <c r="K4934" s="120"/>
      <c r="L4934" s="120"/>
      <c r="M4934" s="120"/>
      <c r="N4934" s="120"/>
      <c r="O4934" s="538"/>
    </row>
    <row r="4935" spans="1:17" x14ac:dyDescent="0.3">
      <c r="A4935" s="541" t="s">
        <v>2353</v>
      </c>
      <c r="B4935" s="80" t="e">
        <f>+Drivers!DY632</f>
        <v>#REF!</v>
      </c>
      <c r="C4935" s="80" t="e">
        <f>+Drivers!ED632</f>
        <v>#REF!</v>
      </c>
      <c r="D4935" s="80" t="e">
        <f>+Drivers!EI632</f>
        <v>#REF!</v>
      </c>
      <c r="E4935" s="80" t="e">
        <f>+Drivers!EN632</f>
        <v>#REF!</v>
      </c>
      <c r="F4935" s="80" t="e">
        <f>+Drivers!ES632</f>
        <v>#REF!</v>
      </c>
      <c r="G4935" s="80" t="e">
        <f>+Drivers!EX632</f>
        <v>#REF!</v>
      </c>
      <c r="I4935" s="120"/>
      <c r="J4935" s="120"/>
      <c r="K4935" s="120"/>
      <c r="L4935" s="120"/>
      <c r="M4935" s="120"/>
      <c r="N4935" s="120"/>
      <c r="O4935" s="538"/>
    </row>
    <row r="4936" spans="1:17" x14ac:dyDescent="0.3">
      <c r="H4936" s="120"/>
      <c r="I4936" s="120"/>
      <c r="J4936" s="120"/>
      <c r="K4936" s="120"/>
      <c r="L4936" s="120"/>
      <c r="M4936" s="120"/>
      <c r="N4936" s="120"/>
      <c r="O4936" s="538"/>
    </row>
    <row r="4937" spans="1:17" x14ac:dyDescent="0.3">
      <c r="A4937" s="535" t="s">
        <v>2354</v>
      </c>
      <c r="B4937" s="85"/>
      <c r="C4937" s="85"/>
      <c r="D4937" s="85"/>
      <c r="E4937" s="85"/>
      <c r="F4937" s="85"/>
      <c r="G4937" s="85"/>
      <c r="H4937" s="120"/>
      <c r="I4937" s="120"/>
      <c r="J4937" s="120"/>
      <c r="K4937" s="120"/>
      <c r="L4937" s="120"/>
      <c r="M4937" s="120"/>
      <c r="N4937" s="120"/>
      <c r="O4937" s="538"/>
    </row>
    <row r="4938" spans="1:17" x14ac:dyDescent="0.3">
      <c r="A4938" s="177" t="s">
        <v>2351</v>
      </c>
      <c r="B4938" s="76">
        <f t="shared" ref="B4938:G4938" si="1465">+B4240+B4241</f>
        <v>3327</v>
      </c>
      <c r="C4938" s="76">
        <f t="shared" si="1465"/>
        <v>3092</v>
      </c>
      <c r="D4938" s="76">
        <f t="shared" si="1465"/>
        <v>2865</v>
      </c>
      <c r="E4938" s="76">
        <f t="shared" si="1465"/>
        <v>2803</v>
      </c>
      <c r="F4938" s="76">
        <f t="shared" si="1465"/>
        <v>2802</v>
      </c>
      <c r="G4938" s="76">
        <f t="shared" si="1465"/>
        <v>2830</v>
      </c>
      <c r="H4938" s="120"/>
      <c r="I4938" s="120"/>
      <c r="J4938" s="120"/>
      <c r="K4938" s="120"/>
      <c r="L4938" s="120"/>
      <c r="M4938" s="120"/>
      <c r="N4938" s="120"/>
      <c r="O4938" s="538"/>
    </row>
    <row r="4939" spans="1:17" x14ac:dyDescent="0.3">
      <c r="A4939" s="177" t="s">
        <v>2352</v>
      </c>
      <c r="B4939" s="120">
        <f t="shared" ref="B4939:G4939" si="1466">+B4418+B4419</f>
        <v>0</v>
      </c>
      <c r="C4939" s="120">
        <f t="shared" si="1466"/>
        <v>0.58962800000000004</v>
      </c>
      <c r="D4939" s="120">
        <f t="shared" si="1466"/>
        <v>4.0233439999999998</v>
      </c>
      <c r="E4939" s="120">
        <f t="shared" si="1466"/>
        <v>10.960144000000001</v>
      </c>
      <c r="F4939" s="120">
        <f t="shared" si="1466"/>
        <v>18.671553333333335</v>
      </c>
      <c r="G4939" s="120">
        <f t="shared" si="1466"/>
        <v>26.382962666666671</v>
      </c>
      <c r="H4939" s="120"/>
      <c r="I4939" s="120"/>
      <c r="J4939" s="120"/>
      <c r="K4939" s="120"/>
      <c r="L4939" s="120"/>
      <c r="M4939" s="120"/>
      <c r="N4939" s="120"/>
      <c r="O4939" s="538"/>
    </row>
    <row r="4940" spans="1:17" x14ac:dyDescent="0.3">
      <c r="A4940" s="539" t="s">
        <v>266</v>
      </c>
      <c r="B4940" s="803">
        <f t="shared" ref="B4940:G4940" si="1467">+SUM(B4938:B4939)</f>
        <v>3327</v>
      </c>
      <c r="C4940" s="803">
        <f t="shared" si="1467"/>
        <v>3092.5896280000002</v>
      </c>
      <c r="D4940" s="803">
        <f t="shared" si="1467"/>
        <v>2869.0233440000002</v>
      </c>
      <c r="E4940" s="803">
        <f t="shared" si="1467"/>
        <v>2813.9601440000001</v>
      </c>
      <c r="F4940" s="803">
        <f t="shared" si="1467"/>
        <v>2820.6715533333331</v>
      </c>
      <c r="G4940" s="803">
        <f t="shared" si="1467"/>
        <v>2856.3829626666666</v>
      </c>
      <c r="H4940" s="120"/>
      <c r="I4940" s="120"/>
      <c r="J4940" s="120"/>
      <c r="K4940" s="120"/>
      <c r="L4940" s="120"/>
      <c r="M4940" s="120"/>
      <c r="N4940" s="120"/>
      <c r="O4940" s="538"/>
    </row>
    <row r="4941" spans="1:17" x14ac:dyDescent="0.3">
      <c r="A4941" s="541" t="s">
        <v>2353</v>
      </c>
      <c r="B4941" s="80" t="e">
        <f>+Drivers!DY633</f>
        <v>#REF!</v>
      </c>
      <c r="C4941" s="80" t="e">
        <f>+Drivers!ED633</f>
        <v>#REF!</v>
      </c>
      <c r="D4941" s="80" t="e">
        <f>+Drivers!EI633</f>
        <v>#REF!</v>
      </c>
      <c r="E4941" s="80">
        <f>+Drivers!EN633</f>
        <v>2617</v>
      </c>
      <c r="F4941" s="80">
        <f>+Drivers!ES633</f>
        <v>2579</v>
      </c>
      <c r="G4941" s="80">
        <f>+Drivers!EX633</f>
        <v>2710</v>
      </c>
      <c r="H4941" s="120"/>
      <c r="I4941" s="120"/>
      <c r="J4941" s="120"/>
      <c r="K4941" s="120"/>
      <c r="L4941" s="120"/>
      <c r="M4941" s="120"/>
      <c r="N4941" s="120"/>
      <c r="O4941" s="538"/>
    </row>
    <row r="4942" spans="1:17" x14ac:dyDescent="0.3">
      <c r="A4942" s="541"/>
      <c r="B4942" s="80"/>
      <c r="C4942" s="80"/>
      <c r="D4942" s="80"/>
      <c r="E4942" s="80"/>
      <c r="F4942" s="80"/>
      <c r="G4942" s="80"/>
      <c r="H4942" s="120"/>
      <c r="I4942" s="120"/>
      <c r="J4942" s="120"/>
      <c r="K4942" s="120"/>
      <c r="L4942" s="120"/>
      <c r="M4942" s="120"/>
      <c r="N4942" s="120"/>
      <c r="O4942" s="538"/>
    </row>
    <row r="4943" spans="1:17" x14ac:dyDescent="0.3">
      <c r="A4943" s="536"/>
      <c r="B4943" s="537">
        <v>2019</v>
      </c>
      <c r="C4943" s="537">
        <f t="shared" ref="C4943:N4943" si="1468">+B4943+1</f>
        <v>2020</v>
      </c>
      <c r="D4943" s="537">
        <f t="shared" si="1468"/>
        <v>2021</v>
      </c>
      <c r="E4943" s="537">
        <f t="shared" si="1468"/>
        <v>2022</v>
      </c>
      <c r="F4943" s="537">
        <f t="shared" si="1468"/>
        <v>2023</v>
      </c>
      <c r="G4943" s="537">
        <f t="shared" si="1468"/>
        <v>2024</v>
      </c>
      <c r="H4943" s="537">
        <f t="shared" si="1468"/>
        <v>2025</v>
      </c>
      <c r="I4943" s="537">
        <f t="shared" si="1468"/>
        <v>2026</v>
      </c>
      <c r="J4943" s="537">
        <f t="shared" si="1468"/>
        <v>2027</v>
      </c>
      <c r="K4943" s="537">
        <f t="shared" si="1468"/>
        <v>2028</v>
      </c>
      <c r="L4943" s="537">
        <f t="shared" si="1468"/>
        <v>2029</v>
      </c>
      <c r="M4943" s="537">
        <f t="shared" si="1468"/>
        <v>2030</v>
      </c>
      <c r="N4943" s="537">
        <f t="shared" si="1468"/>
        <v>2031</v>
      </c>
      <c r="O4943" s="538"/>
      <c r="P4943" s="108"/>
    </row>
    <row r="4944" spans="1:17" x14ac:dyDescent="0.3">
      <c r="A4944" s="535" t="s">
        <v>284</v>
      </c>
      <c r="B4944" s="108"/>
      <c r="C4944" s="108"/>
      <c r="D4944" s="108"/>
      <c r="E4944" s="108"/>
      <c r="F4944" s="108"/>
      <c r="G4944" s="108"/>
      <c r="H4944" s="108"/>
      <c r="I4944" s="108"/>
      <c r="J4944" s="108"/>
      <c r="K4944" s="108"/>
      <c r="L4944" s="108"/>
      <c r="M4944" s="108"/>
      <c r="N4944" s="108"/>
      <c r="O4944" s="108"/>
      <c r="P4944" s="108"/>
    </row>
    <row r="4945" spans="1:16" x14ac:dyDescent="0.3">
      <c r="A4945" s="177" t="s">
        <v>2351</v>
      </c>
      <c r="B4945" s="76" t="e">
        <f t="shared" ref="B4945:N4945" si="1469">+B4343</f>
        <v>#REF!</v>
      </c>
      <c r="C4945" s="76" t="e">
        <f t="shared" si="1469"/>
        <v>#REF!</v>
      </c>
      <c r="D4945" s="76" t="e">
        <f t="shared" si="1469"/>
        <v>#REF!</v>
      </c>
      <c r="E4945" s="76" t="e">
        <f t="shared" si="1469"/>
        <v>#REF!</v>
      </c>
      <c r="F4945" s="76" t="e">
        <f t="shared" si="1469"/>
        <v>#REF!</v>
      </c>
      <c r="G4945" s="76" t="e">
        <f t="shared" si="1469"/>
        <v>#REF!</v>
      </c>
      <c r="H4945" s="76" t="e">
        <f t="shared" si="1469"/>
        <v>#REF!</v>
      </c>
      <c r="I4945" s="76" t="e">
        <f t="shared" si="1469"/>
        <v>#REF!</v>
      </c>
      <c r="J4945" s="76" t="e">
        <f t="shared" si="1469"/>
        <v>#REF!</v>
      </c>
      <c r="K4945" s="76" t="e">
        <f t="shared" si="1469"/>
        <v>#REF!</v>
      </c>
      <c r="L4945" s="76" t="e">
        <f t="shared" si="1469"/>
        <v>#REF!</v>
      </c>
      <c r="M4945" s="76" t="e">
        <f t="shared" si="1469"/>
        <v>#REF!</v>
      </c>
      <c r="N4945" s="76" t="e">
        <f t="shared" si="1469"/>
        <v>#REF!</v>
      </c>
      <c r="O4945" s="76">
        <f>+N4912-C4912</f>
        <v>369.08558961261139</v>
      </c>
      <c r="P4945" s="108"/>
    </row>
    <row r="4946" spans="1:16" x14ac:dyDescent="0.3">
      <c r="A4946" s="177" t="s">
        <v>2352</v>
      </c>
      <c r="B4946" s="76">
        <f t="shared" ref="B4946:N4946" si="1470">+B4420</f>
        <v>0</v>
      </c>
      <c r="C4946" s="76">
        <f t="shared" si="1470"/>
        <v>2.3515759999999997</v>
      </c>
      <c r="D4946" s="76">
        <f t="shared" si="1470"/>
        <v>22.766946248183778</v>
      </c>
      <c r="E4946" s="76">
        <f t="shared" si="1470"/>
        <v>92.397781754992636</v>
      </c>
      <c r="F4946" s="76">
        <f t="shared" si="1470"/>
        <v>241.50058845333331</v>
      </c>
      <c r="G4946" s="76">
        <f t="shared" si="1470"/>
        <v>484.30105712196581</v>
      </c>
      <c r="H4946" s="76">
        <f t="shared" si="1470"/>
        <v>814.48000063568588</v>
      </c>
      <c r="I4946" s="76">
        <f t="shared" si="1470"/>
        <v>1221.2091832664328</v>
      </c>
      <c r="J4946" s="76">
        <f t="shared" si="1470"/>
        <v>1690.156210349292</v>
      </c>
      <c r="K4946" s="76">
        <f t="shared" si="1470"/>
        <v>2204.29183874405</v>
      </c>
      <c r="L4946" s="76">
        <f t="shared" si="1470"/>
        <v>2715.1936395141643</v>
      </c>
      <c r="M4946" s="76">
        <f t="shared" si="1470"/>
        <v>3162.5835923891059</v>
      </c>
      <c r="N4946" s="76">
        <f t="shared" si="1470"/>
        <v>3518.0022316042941</v>
      </c>
      <c r="P4946" s="108"/>
    </row>
    <row r="4947" spans="1:16" x14ac:dyDescent="0.3">
      <c r="A4947" s="298" t="s">
        <v>266</v>
      </c>
      <c r="B4947" s="803" t="e">
        <f>+SUM(B4945:B4946)</f>
        <v>#REF!</v>
      </c>
      <c r="C4947" s="803" t="e">
        <f>+Drivers!#REF!</f>
        <v>#REF!</v>
      </c>
      <c r="D4947" s="803" t="e">
        <f t="shared" ref="D4947:N4947" si="1471">+SUM(D4945:D4946)</f>
        <v>#REF!</v>
      </c>
      <c r="E4947" s="803" t="e">
        <f t="shared" si="1471"/>
        <v>#REF!</v>
      </c>
      <c r="F4947" s="803" t="e">
        <f t="shared" si="1471"/>
        <v>#REF!</v>
      </c>
      <c r="G4947" s="803" t="e">
        <f t="shared" si="1471"/>
        <v>#REF!</v>
      </c>
      <c r="H4947" s="803" t="e">
        <f t="shared" si="1471"/>
        <v>#REF!</v>
      </c>
      <c r="I4947" s="803" t="e">
        <f t="shared" si="1471"/>
        <v>#REF!</v>
      </c>
      <c r="J4947" s="803" t="e">
        <f t="shared" si="1471"/>
        <v>#REF!</v>
      </c>
      <c r="K4947" s="803" t="e">
        <f t="shared" si="1471"/>
        <v>#REF!</v>
      </c>
      <c r="L4947" s="803" t="e">
        <f t="shared" si="1471"/>
        <v>#REF!</v>
      </c>
      <c r="M4947" s="803" t="e">
        <f t="shared" si="1471"/>
        <v>#REF!</v>
      </c>
      <c r="N4947" s="803" t="e">
        <f t="shared" si="1471"/>
        <v>#REF!</v>
      </c>
      <c r="P4947" s="108"/>
    </row>
    <row r="4948" spans="1:16" hidden="1" outlineLevel="1" x14ac:dyDescent="0.3">
      <c r="A4948" s="541" t="s">
        <v>2353</v>
      </c>
      <c r="B4948" s="80" t="e">
        <f>+Drivers!DY636</f>
        <v>#REF!</v>
      </c>
      <c r="C4948" s="80" t="e">
        <f>+Drivers!ED636</f>
        <v>#REF!</v>
      </c>
      <c r="D4948" s="80" t="e">
        <f>+Drivers!EI636</f>
        <v>#REF!</v>
      </c>
      <c r="E4948" s="80" t="e">
        <f>+Drivers!EN636</f>
        <v>#REF!</v>
      </c>
      <c r="F4948" s="80" t="e">
        <f>+Drivers!ES636</f>
        <v>#REF!</v>
      </c>
      <c r="G4948" s="80" t="e">
        <f>+Drivers!EX636</f>
        <v>#REF!</v>
      </c>
      <c r="H4948" s="80" t="e">
        <f>+Drivers!FC636</f>
        <v>#REF!</v>
      </c>
      <c r="I4948" s="80" t="e">
        <f>+Drivers!FD636</f>
        <v>#REF!</v>
      </c>
      <c r="J4948" s="80" t="e">
        <f>+Drivers!FE636</f>
        <v>#REF!</v>
      </c>
      <c r="K4948" s="80" t="e">
        <f>+Drivers!FF636</f>
        <v>#REF!</v>
      </c>
      <c r="L4948" s="80" t="e">
        <f>+Drivers!FG636</f>
        <v>#REF!</v>
      </c>
      <c r="M4948" s="80" t="e">
        <f>+Drivers!FH636</f>
        <v>#REF!</v>
      </c>
      <c r="N4948" s="80" t="e">
        <f>+Drivers!FI636</f>
        <v>#REF!</v>
      </c>
      <c r="P4948" s="108"/>
    </row>
    <row r="4949" spans="1:16" hidden="1" outlineLevel="1" x14ac:dyDescent="0.3">
      <c r="A4949" s="541" t="s">
        <v>482</v>
      </c>
      <c r="B4949" s="77" t="e">
        <f t="shared" ref="B4949:G4949" si="1472">+B4947-B4948</f>
        <v>#REF!</v>
      </c>
      <c r="C4949" s="77" t="e">
        <f t="shared" si="1472"/>
        <v>#REF!</v>
      </c>
      <c r="D4949" s="77" t="e">
        <f t="shared" si="1472"/>
        <v>#REF!</v>
      </c>
      <c r="E4949" s="77" t="e">
        <f t="shared" si="1472"/>
        <v>#REF!</v>
      </c>
      <c r="F4949" s="77" t="e">
        <f t="shared" si="1472"/>
        <v>#REF!</v>
      </c>
      <c r="G4949" s="77" t="e">
        <f t="shared" si="1472"/>
        <v>#REF!</v>
      </c>
      <c r="H4949" s="77" t="e">
        <f t="shared" ref="H4949:N4949" si="1473">+H4947-H4948</f>
        <v>#REF!</v>
      </c>
      <c r="I4949" s="77" t="e">
        <f t="shared" si="1473"/>
        <v>#REF!</v>
      </c>
      <c r="J4949" s="77" t="e">
        <f t="shared" si="1473"/>
        <v>#REF!</v>
      </c>
      <c r="K4949" s="77" t="e">
        <f t="shared" si="1473"/>
        <v>#REF!</v>
      </c>
      <c r="L4949" s="77" t="e">
        <f t="shared" si="1473"/>
        <v>#REF!</v>
      </c>
      <c r="M4949" s="77" t="e">
        <f t="shared" si="1473"/>
        <v>#REF!</v>
      </c>
      <c r="N4949" s="77" t="e">
        <f t="shared" si="1473"/>
        <v>#REF!</v>
      </c>
      <c r="P4949" s="108"/>
    </row>
    <row r="4950" spans="1:16" collapsed="1" x14ac:dyDescent="0.3">
      <c r="A4950" s="541" t="s">
        <v>2355</v>
      </c>
      <c r="B4950" s="77"/>
      <c r="C4950" s="126" t="e">
        <f t="shared" ref="C4950:H4950" si="1474">+C4945/B4945-1</f>
        <v>#REF!</v>
      </c>
      <c r="D4950" s="126" t="e">
        <f t="shared" si="1474"/>
        <v>#REF!</v>
      </c>
      <c r="E4950" s="126" t="e">
        <f t="shared" si="1474"/>
        <v>#REF!</v>
      </c>
      <c r="F4950" s="126" t="e">
        <f t="shared" si="1474"/>
        <v>#REF!</v>
      </c>
      <c r="G4950" s="126" t="e">
        <f t="shared" si="1474"/>
        <v>#REF!</v>
      </c>
      <c r="H4950" s="126" t="e">
        <f t="shared" si="1474"/>
        <v>#REF!</v>
      </c>
      <c r="I4950" s="126" t="e">
        <f t="shared" ref="I4950:N4950" si="1475">+I4945/H4945-1</f>
        <v>#REF!</v>
      </c>
      <c r="J4950" s="126" t="e">
        <f t="shared" si="1475"/>
        <v>#REF!</v>
      </c>
      <c r="K4950" s="126" t="e">
        <f t="shared" si="1475"/>
        <v>#REF!</v>
      </c>
      <c r="L4950" s="126" t="e">
        <f t="shared" si="1475"/>
        <v>#REF!</v>
      </c>
      <c r="M4950" s="126" t="e">
        <f t="shared" si="1475"/>
        <v>#REF!</v>
      </c>
      <c r="N4950" s="126" t="e">
        <f t="shared" si="1475"/>
        <v>#REF!</v>
      </c>
      <c r="P4950" s="108"/>
    </row>
    <row r="4951" spans="1:16" x14ac:dyDescent="0.3">
      <c r="A4951" s="541" t="s">
        <v>2356</v>
      </c>
      <c r="B4951" s="77"/>
      <c r="C4951" s="126"/>
      <c r="D4951" s="126">
        <f t="shared" ref="D4951:E4953" si="1476">+D4946/C4946-1</f>
        <v>8.6815694020451737</v>
      </c>
      <c r="E4951" s="126">
        <f t="shared" si="1476"/>
        <v>3.0584178812458704</v>
      </c>
      <c r="F4951" s="126">
        <f t="shared" ref="F4951:N4951" si="1477">+F4946/E4946-1</f>
        <v>1.6137054793556667</v>
      </c>
      <c r="G4951" s="126">
        <f t="shared" si="1477"/>
        <v>1.0053825136560706</v>
      </c>
      <c r="H4951" s="126">
        <f t="shared" si="1477"/>
        <v>0.68176382987032835</v>
      </c>
      <c r="I4951" s="126">
        <f t="shared" si="1477"/>
        <v>0.49937282967451946</v>
      </c>
      <c r="J4951" s="126">
        <f t="shared" si="1477"/>
        <v>0.38400221150363589</v>
      </c>
      <c r="K4951" s="126">
        <f t="shared" si="1477"/>
        <v>0.30419414800038247</v>
      </c>
      <c r="L4951" s="126">
        <f t="shared" si="1477"/>
        <v>0.23177593447028011</v>
      </c>
      <c r="M4951" s="126">
        <f t="shared" si="1477"/>
        <v>0.16477276108933214</v>
      </c>
      <c r="N4951" s="126">
        <f t="shared" si="1477"/>
        <v>0.11238236993024264</v>
      </c>
      <c r="P4951" s="108"/>
    </row>
    <row r="4952" spans="1:16" x14ac:dyDescent="0.3">
      <c r="A4952" s="541" t="s">
        <v>2357</v>
      </c>
      <c r="B4952" s="77"/>
      <c r="C4952" s="126" t="e">
        <f>+C4947/B4947-1</f>
        <v>#REF!</v>
      </c>
      <c r="D4952" s="126" t="e">
        <f t="shared" si="1476"/>
        <v>#REF!</v>
      </c>
      <c r="E4952" s="126" t="e">
        <f t="shared" si="1476"/>
        <v>#REF!</v>
      </c>
      <c r="F4952" s="126" t="e">
        <f t="shared" ref="F4952:M4952" si="1478">+F4947/E4947-1</f>
        <v>#REF!</v>
      </c>
      <c r="G4952" s="126" t="e">
        <f t="shared" si="1478"/>
        <v>#REF!</v>
      </c>
      <c r="H4952" s="126" t="e">
        <f t="shared" si="1478"/>
        <v>#REF!</v>
      </c>
      <c r="I4952" s="126" t="e">
        <f t="shared" si="1478"/>
        <v>#REF!</v>
      </c>
      <c r="J4952" s="126" t="e">
        <f t="shared" si="1478"/>
        <v>#REF!</v>
      </c>
      <c r="K4952" s="126" t="e">
        <f t="shared" si="1478"/>
        <v>#REF!</v>
      </c>
      <c r="L4952" s="126" t="e">
        <f t="shared" si="1478"/>
        <v>#REF!</v>
      </c>
      <c r="M4952" s="126" t="e">
        <f t="shared" si="1478"/>
        <v>#REF!</v>
      </c>
      <c r="N4952" s="126" t="e">
        <f>+N4947/M4947-1</f>
        <v>#REF!</v>
      </c>
      <c r="P4952" s="108"/>
    </row>
    <row r="4953" spans="1:16" hidden="1" outlineLevel="1" x14ac:dyDescent="0.3">
      <c r="A4953" s="541" t="s">
        <v>2358</v>
      </c>
      <c r="B4953" s="77"/>
      <c r="C4953" s="126" t="e">
        <f>+C4948/B4948-1</f>
        <v>#REF!</v>
      </c>
      <c r="D4953" s="126" t="e">
        <f t="shared" si="1476"/>
        <v>#REF!</v>
      </c>
      <c r="E4953" s="126" t="e">
        <f t="shared" si="1476"/>
        <v>#REF!</v>
      </c>
      <c r="F4953" s="126" t="e">
        <f t="shared" ref="F4953:M4953" si="1479">+F4948/E4948-1</f>
        <v>#REF!</v>
      </c>
      <c r="G4953" s="126" t="e">
        <f t="shared" si="1479"/>
        <v>#REF!</v>
      </c>
      <c r="H4953" s="126" t="e">
        <f t="shared" si="1479"/>
        <v>#REF!</v>
      </c>
      <c r="I4953" s="126" t="e">
        <f t="shared" si="1479"/>
        <v>#REF!</v>
      </c>
      <c r="J4953" s="126" t="e">
        <f t="shared" si="1479"/>
        <v>#REF!</v>
      </c>
      <c r="K4953" s="126" t="e">
        <f t="shared" si="1479"/>
        <v>#REF!</v>
      </c>
      <c r="L4953" s="126" t="e">
        <f t="shared" si="1479"/>
        <v>#REF!</v>
      </c>
      <c r="M4953" s="126" t="e">
        <f t="shared" si="1479"/>
        <v>#REF!</v>
      </c>
      <c r="N4953" s="126" t="e">
        <f>+N4948/M4948-1</f>
        <v>#REF!</v>
      </c>
      <c r="P4953" s="108"/>
    </row>
    <row r="4954" spans="1:16" collapsed="1" x14ac:dyDescent="0.3">
      <c r="A4954" s="541"/>
      <c r="B4954" s="77"/>
      <c r="C4954" s="126"/>
      <c r="D4954" s="126"/>
      <c r="E4954" s="126"/>
      <c r="F4954" s="126"/>
      <c r="G4954" s="126"/>
      <c r="H4954" s="126"/>
      <c r="I4954" s="126"/>
      <c r="J4954" s="126"/>
      <c r="K4954" s="126"/>
      <c r="L4954" s="126"/>
      <c r="M4954" s="126"/>
      <c r="N4954" s="126"/>
      <c r="P4954" s="108"/>
    </row>
    <row r="4955" spans="1:16" x14ac:dyDescent="0.3">
      <c r="A4955" s="535" t="s">
        <v>44</v>
      </c>
      <c r="B4955" s="92"/>
      <c r="C4955" s="92"/>
      <c r="D4955" s="92"/>
      <c r="E4955" s="92"/>
      <c r="F4955" s="92"/>
      <c r="G4955" s="92"/>
      <c r="H4955" s="85"/>
      <c r="I4955" s="85"/>
      <c r="J4955" s="85"/>
      <c r="K4955" s="85"/>
      <c r="L4955" s="85"/>
      <c r="M4955" s="85"/>
      <c r="N4955" s="85"/>
      <c r="P4955" s="108"/>
    </row>
    <row r="4956" spans="1:16" x14ac:dyDescent="0.3">
      <c r="A4956" s="177" t="s">
        <v>2351</v>
      </c>
      <c r="B4956" s="76" t="e">
        <f t="shared" ref="B4956:N4956" si="1480">+B4345</f>
        <v>#REF!</v>
      </c>
      <c r="C4956" s="76" t="e">
        <f t="shared" si="1480"/>
        <v>#REF!</v>
      </c>
      <c r="D4956" s="76" t="e">
        <f t="shared" si="1480"/>
        <v>#REF!</v>
      </c>
      <c r="E4956" s="76" t="e">
        <f t="shared" si="1480"/>
        <v>#REF!</v>
      </c>
      <c r="F4956" s="76" t="e">
        <f t="shared" si="1480"/>
        <v>#REF!</v>
      </c>
      <c r="G4956" s="76" t="e">
        <f t="shared" si="1480"/>
        <v>#REF!</v>
      </c>
      <c r="H4956" s="76" t="e">
        <f t="shared" si="1480"/>
        <v>#REF!</v>
      </c>
      <c r="I4956" s="76" t="e">
        <f t="shared" si="1480"/>
        <v>#REF!</v>
      </c>
      <c r="J4956" s="76" t="e">
        <f t="shared" si="1480"/>
        <v>#REF!</v>
      </c>
      <c r="K4956" s="76" t="e">
        <f t="shared" si="1480"/>
        <v>#REF!</v>
      </c>
      <c r="L4956" s="76" t="e">
        <f t="shared" si="1480"/>
        <v>#REF!</v>
      </c>
      <c r="M4956" s="76" t="e">
        <f t="shared" si="1480"/>
        <v>#REF!</v>
      </c>
      <c r="N4956" s="76" t="e">
        <f t="shared" si="1480"/>
        <v>#REF!</v>
      </c>
      <c r="P4956" s="120"/>
    </row>
    <row r="4957" spans="1:16" x14ac:dyDescent="0.3">
      <c r="A4957" s="177" t="s">
        <v>2352</v>
      </c>
      <c r="B4957" s="76">
        <f t="shared" ref="B4957:N4957" si="1481">+B4426</f>
        <v>0</v>
      </c>
      <c r="C4957" s="76">
        <f t="shared" si="1481"/>
        <v>1.6641503999999998</v>
      </c>
      <c r="D4957" s="76">
        <f t="shared" si="1481"/>
        <v>16.12003744818378</v>
      </c>
      <c r="E4957" s="76">
        <f t="shared" si="1481"/>
        <v>63.833822074992639</v>
      </c>
      <c r="F4957" s="76">
        <f t="shared" si="1481"/>
        <v>164.50477409471998</v>
      </c>
      <c r="G4957" s="76">
        <f t="shared" si="1481"/>
        <v>329.54174155114299</v>
      </c>
      <c r="H4957" s="76">
        <f t="shared" si="1481"/>
        <v>555.86766612619806</v>
      </c>
      <c r="I4957" s="76">
        <f t="shared" si="1481"/>
        <v>837.17839965915698</v>
      </c>
      <c r="J4957" s="76">
        <f t="shared" si="1481"/>
        <v>1164.6795715857704</v>
      </c>
      <c r="K4957" s="76">
        <f t="shared" si="1481"/>
        <v>1527.4283526046154</v>
      </c>
      <c r="L4957" s="76">
        <f t="shared" si="1481"/>
        <v>1891.0220051823994</v>
      </c>
      <c r="M4957" s="76">
        <f t="shared" si="1481"/>
        <v>2214.7497950566876</v>
      </c>
      <c r="N4957" s="76">
        <f t="shared" si="1481"/>
        <v>2477.7136097887355</v>
      </c>
      <c r="P4957" s="108"/>
    </row>
    <row r="4958" spans="1:16" x14ac:dyDescent="0.3">
      <c r="A4958" s="298" t="s">
        <v>266</v>
      </c>
      <c r="B4958" s="803" t="e">
        <f>+SUM(B4956:B4957)</f>
        <v>#REF!</v>
      </c>
      <c r="C4958" s="803" t="e">
        <f t="shared" ref="C4958:N4958" si="1482">+SUM(C4956:C4957)</f>
        <v>#REF!</v>
      </c>
      <c r="D4958" s="803" t="e">
        <f t="shared" si="1482"/>
        <v>#REF!</v>
      </c>
      <c r="E4958" s="803" t="e">
        <f t="shared" si="1482"/>
        <v>#REF!</v>
      </c>
      <c r="F4958" s="803" t="e">
        <f t="shared" si="1482"/>
        <v>#REF!</v>
      </c>
      <c r="G4958" s="803" t="e">
        <f t="shared" si="1482"/>
        <v>#REF!</v>
      </c>
      <c r="H4958" s="803" t="e">
        <f t="shared" si="1482"/>
        <v>#REF!</v>
      </c>
      <c r="I4958" s="803" t="e">
        <f t="shared" si="1482"/>
        <v>#REF!</v>
      </c>
      <c r="J4958" s="803" t="e">
        <f t="shared" si="1482"/>
        <v>#REF!</v>
      </c>
      <c r="K4958" s="803" t="e">
        <f t="shared" si="1482"/>
        <v>#REF!</v>
      </c>
      <c r="L4958" s="803" t="e">
        <f t="shared" si="1482"/>
        <v>#REF!</v>
      </c>
      <c r="M4958" s="803" t="e">
        <f t="shared" si="1482"/>
        <v>#REF!</v>
      </c>
      <c r="N4958" s="803" t="e">
        <f t="shared" si="1482"/>
        <v>#REF!</v>
      </c>
      <c r="P4958" s="108"/>
    </row>
    <row r="4959" spans="1:16" hidden="1" outlineLevel="1" x14ac:dyDescent="0.3">
      <c r="A4959" s="541" t="s">
        <v>2353</v>
      </c>
      <c r="B4959" s="80">
        <f>+Drivers!DY30</f>
        <v>0</v>
      </c>
      <c r="C4959" s="80">
        <f>+Drivers!ED30</f>
        <v>2775</v>
      </c>
      <c r="D4959" s="80">
        <f>+Drivers!EI30</f>
        <v>2475</v>
      </c>
      <c r="E4959" s="80">
        <f>+Drivers!EN30</f>
        <v>2080</v>
      </c>
      <c r="F4959" s="80">
        <f>+Drivers!ES30</f>
        <v>2127</v>
      </c>
      <c r="G4959" s="80">
        <f>+Drivers!EX30</f>
        <v>2251</v>
      </c>
      <c r="H4959" s="80">
        <f>+Drivers!FC30</f>
        <v>2416.4545969116934</v>
      </c>
      <c r="I4959" s="80">
        <f>+Drivers!FD30</f>
        <v>2677.013038976258</v>
      </c>
      <c r="J4959" s="80">
        <f>+Drivers!FE30</f>
        <v>2993.8763244864958</v>
      </c>
      <c r="K4959" s="80">
        <f>+Drivers!FF30</f>
        <v>3272.0038286472327</v>
      </c>
      <c r="L4959" s="80">
        <f>+Drivers!FG30</f>
        <v>3533.6794470944569</v>
      </c>
      <c r="M4959" s="80">
        <f>+Drivers!FH30</f>
        <v>3778.5031908761962</v>
      </c>
      <c r="N4959" s="80">
        <f>+Drivers!FI30</f>
        <v>4001.9646887265139</v>
      </c>
      <c r="P4959" s="108"/>
    </row>
    <row r="4960" spans="1:16" collapsed="1" x14ac:dyDescent="0.3">
      <c r="A4960" s="541" t="s">
        <v>482</v>
      </c>
      <c r="B4960" s="77" t="e">
        <f t="shared" ref="B4960:G4960" si="1483">+B4958-B4959</f>
        <v>#REF!</v>
      </c>
      <c r="C4960" s="77" t="e">
        <f t="shared" si="1483"/>
        <v>#REF!</v>
      </c>
      <c r="D4960" s="77" t="e">
        <f t="shared" si="1483"/>
        <v>#REF!</v>
      </c>
      <c r="E4960" s="77" t="e">
        <f t="shared" si="1483"/>
        <v>#REF!</v>
      </c>
      <c r="F4960" s="77" t="e">
        <f t="shared" si="1483"/>
        <v>#REF!</v>
      </c>
      <c r="G4960" s="77" t="e">
        <f t="shared" si="1483"/>
        <v>#REF!</v>
      </c>
      <c r="H4960" s="77" t="e">
        <f t="shared" ref="H4960:M4960" si="1484">+H4958-H4959</f>
        <v>#REF!</v>
      </c>
      <c r="I4960" s="77" t="e">
        <f t="shared" si="1484"/>
        <v>#REF!</v>
      </c>
      <c r="J4960" s="77" t="e">
        <f t="shared" si="1484"/>
        <v>#REF!</v>
      </c>
      <c r="K4960" s="77" t="e">
        <f t="shared" si="1484"/>
        <v>#REF!</v>
      </c>
      <c r="L4960" s="77" t="e">
        <f t="shared" si="1484"/>
        <v>#REF!</v>
      </c>
      <c r="M4960" s="77" t="e">
        <f t="shared" si="1484"/>
        <v>#REF!</v>
      </c>
      <c r="N4960" s="77" t="e">
        <f>+N4958-N4959</f>
        <v>#REF!</v>
      </c>
      <c r="P4960" s="108"/>
    </row>
    <row r="4961" spans="1:16" x14ac:dyDescent="0.3">
      <c r="A4961" s="541" t="s">
        <v>2355</v>
      </c>
      <c r="B4961" s="124"/>
      <c r="C4961" s="126" t="e">
        <f t="shared" ref="C4961:H4961" si="1485">+C4956/B4956-1</f>
        <v>#REF!</v>
      </c>
      <c r="D4961" s="126" t="e">
        <f t="shared" si="1485"/>
        <v>#REF!</v>
      </c>
      <c r="E4961" s="126" t="e">
        <f t="shared" si="1485"/>
        <v>#REF!</v>
      </c>
      <c r="F4961" s="126" t="e">
        <f t="shared" si="1485"/>
        <v>#REF!</v>
      </c>
      <c r="G4961" s="126" t="e">
        <f t="shared" si="1485"/>
        <v>#REF!</v>
      </c>
      <c r="H4961" s="126" t="e">
        <f t="shared" si="1485"/>
        <v>#REF!</v>
      </c>
      <c r="I4961" s="126" t="e">
        <f t="shared" ref="I4961:N4961" si="1486">+I4956/H4956-1</f>
        <v>#REF!</v>
      </c>
      <c r="J4961" s="126" t="e">
        <f t="shared" si="1486"/>
        <v>#REF!</v>
      </c>
      <c r="K4961" s="126" t="e">
        <f t="shared" si="1486"/>
        <v>#REF!</v>
      </c>
      <c r="L4961" s="126" t="e">
        <f t="shared" si="1486"/>
        <v>#REF!</v>
      </c>
      <c r="M4961" s="126" t="e">
        <f t="shared" si="1486"/>
        <v>#REF!</v>
      </c>
      <c r="N4961" s="126" t="e">
        <f t="shared" si="1486"/>
        <v>#REF!</v>
      </c>
      <c r="P4961" s="108"/>
    </row>
    <row r="4962" spans="1:16" x14ac:dyDescent="0.3">
      <c r="A4962" s="541" t="s">
        <v>2356</v>
      </c>
      <c r="B4962" s="124"/>
      <c r="C4962" s="126"/>
      <c r="D4962" s="126">
        <f t="shared" ref="D4962:H4963" si="1487">+D4957/C4957-1</f>
        <v>8.6866469810563895</v>
      </c>
      <c r="E4962" s="126">
        <f t="shared" si="1487"/>
        <v>2.9599053215713651</v>
      </c>
      <c r="F4962" s="126">
        <f t="shared" si="1487"/>
        <v>1.5770785572178032</v>
      </c>
      <c r="G4962" s="126">
        <f t="shared" si="1487"/>
        <v>1.0032351241149793</v>
      </c>
      <c r="H4962" s="126">
        <f t="shared" si="1487"/>
        <v>0.68678985402500392</v>
      </c>
      <c r="I4962" s="126">
        <f t="shared" ref="I4962:N4962" si="1488">+I4957/H4957-1</f>
        <v>0.50607500791221272</v>
      </c>
      <c r="J4962" s="126">
        <f t="shared" si="1488"/>
        <v>0.39119639500965375</v>
      </c>
      <c r="K4962" s="126">
        <f t="shared" si="1488"/>
        <v>0.31145800945486157</v>
      </c>
      <c r="L4962" s="126">
        <f t="shared" si="1488"/>
        <v>0.2380430165236711</v>
      </c>
      <c r="M4962" s="126">
        <f t="shared" si="1488"/>
        <v>0.17119197396281116</v>
      </c>
      <c r="N4962" s="126">
        <f t="shared" si="1488"/>
        <v>0.11873296718165727</v>
      </c>
      <c r="P4962" s="108"/>
    </row>
    <row r="4963" spans="1:16" x14ac:dyDescent="0.3">
      <c r="A4963" s="541" t="s">
        <v>2357</v>
      </c>
      <c r="B4963" s="124"/>
      <c r="C4963" s="126" t="e">
        <f>+C4958/B4958-1</f>
        <v>#REF!</v>
      </c>
      <c r="D4963" s="126" t="e">
        <f t="shared" si="1487"/>
        <v>#REF!</v>
      </c>
      <c r="E4963" s="126" t="e">
        <f t="shared" si="1487"/>
        <v>#REF!</v>
      </c>
      <c r="F4963" s="126" t="e">
        <f t="shared" si="1487"/>
        <v>#REF!</v>
      </c>
      <c r="G4963" s="126" t="e">
        <f t="shared" si="1487"/>
        <v>#REF!</v>
      </c>
      <c r="H4963" s="126" t="e">
        <f t="shared" si="1487"/>
        <v>#REF!</v>
      </c>
      <c r="I4963" s="126" t="e">
        <f t="shared" ref="I4963:N4963" si="1489">+I4958/H4958-1</f>
        <v>#REF!</v>
      </c>
      <c r="J4963" s="126" t="e">
        <f t="shared" si="1489"/>
        <v>#REF!</v>
      </c>
      <c r="K4963" s="126" t="e">
        <f t="shared" si="1489"/>
        <v>#REF!</v>
      </c>
      <c r="L4963" s="126" t="e">
        <f t="shared" si="1489"/>
        <v>#REF!</v>
      </c>
      <c r="M4963" s="126" t="e">
        <f t="shared" si="1489"/>
        <v>#REF!</v>
      </c>
      <c r="N4963" s="126" t="e">
        <f t="shared" si="1489"/>
        <v>#REF!</v>
      </c>
      <c r="P4963" s="108"/>
    </row>
    <row r="4964" spans="1:16" x14ac:dyDescent="0.3">
      <c r="A4964" s="541" t="s">
        <v>2359</v>
      </c>
      <c r="B4964" s="126" t="e">
        <f t="shared" ref="B4964:N4964" si="1490">+B4956/B4945</f>
        <v>#REF!</v>
      </c>
      <c r="C4964" s="126" t="e">
        <f t="shared" si="1490"/>
        <v>#REF!</v>
      </c>
      <c r="D4964" s="126" t="e">
        <f t="shared" si="1490"/>
        <v>#REF!</v>
      </c>
      <c r="E4964" s="126" t="e">
        <f t="shared" si="1490"/>
        <v>#REF!</v>
      </c>
      <c r="F4964" s="126" t="e">
        <f t="shared" si="1490"/>
        <v>#REF!</v>
      </c>
      <c r="G4964" s="126" t="e">
        <f t="shared" si="1490"/>
        <v>#REF!</v>
      </c>
      <c r="H4964" s="126" t="e">
        <f t="shared" si="1490"/>
        <v>#REF!</v>
      </c>
      <c r="I4964" s="126" t="e">
        <f t="shared" si="1490"/>
        <v>#REF!</v>
      </c>
      <c r="J4964" s="126" t="e">
        <f t="shared" si="1490"/>
        <v>#REF!</v>
      </c>
      <c r="K4964" s="126" t="e">
        <f t="shared" si="1490"/>
        <v>#REF!</v>
      </c>
      <c r="L4964" s="126" t="e">
        <f t="shared" si="1490"/>
        <v>#REF!</v>
      </c>
      <c r="M4964" s="126" t="e">
        <f t="shared" si="1490"/>
        <v>#REF!</v>
      </c>
      <c r="N4964" s="126" t="e">
        <f t="shared" si="1490"/>
        <v>#REF!</v>
      </c>
      <c r="P4964" s="108"/>
    </row>
    <row r="4965" spans="1:16" x14ac:dyDescent="0.3">
      <c r="A4965" s="541" t="s">
        <v>2360</v>
      </c>
      <c r="B4965" s="126"/>
      <c r="C4965" s="126">
        <f t="shared" ref="C4965:N4965" si="1491">+C4957/C4946</f>
        <v>0.70767451275229887</v>
      </c>
      <c r="D4965" s="126">
        <f t="shared" si="1491"/>
        <v>0.70804565849360446</v>
      </c>
      <c r="E4965" s="126">
        <f t="shared" si="1491"/>
        <v>0.69085881568302299</v>
      </c>
      <c r="F4965" s="126">
        <f t="shared" si="1491"/>
        <v>0.6811775290001344</v>
      </c>
      <c r="G4965" s="126">
        <f t="shared" si="1491"/>
        <v>0.68044811528906401</v>
      </c>
      <c r="H4965" s="126">
        <f t="shared" si="1491"/>
        <v>0.6824816639970952</v>
      </c>
      <c r="I4965" s="126">
        <f t="shared" si="1491"/>
        <v>0.68553234870041813</v>
      </c>
      <c r="J4965" s="126">
        <f t="shared" si="1491"/>
        <v>0.68909581519987129</v>
      </c>
      <c r="K4965" s="126">
        <f t="shared" si="1491"/>
        <v>0.69293381473249283</v>
      </c>
      <c r="L4965" s="126">
        <f t="shared" si="1491"/>
        <v>0.69645935290300853</v>
      </c>
      <c r="M4965" s="126">
        <f t="shared" si="1491"/>
        <v>0.70029763019911273</v>
      </c>
      <c r="N4965" s="126">
        <f t="shared" si="1491"/>
        <v>0.70429563333700285</v>
      </c>
      <c r="P4965" s="108"/>
    </row>
    <row r="4966" spans="1:16" x14ac:dyDescent="0.3">
      <c r="A4966" s="541" t="s">
        <v>2361</v>
      </c>
      <c r="B4966" s="126" t="e">
        <f t="shared" ref="B4966:N4966" si="1492">+B4958/B4947</f>
        <v>#REF!</v>
      </c>
      <c r="C4966" s="126" t="e">
        <f t="shared" si="1492"/>
        <v>#REF!</v>
      </c>
      <c r="D4966" s="126" t="e">
        <f t="shared" si="1492"/>
        <v>#REF!</v>
      </c>
      <c r="E4966" s="126" t="e">
        <f t="shared" si="1492"/>
        <v>#REF!</v>
      </c>
      <c r="F4966" s="126" t="e">
        <f t="shared" si="1492"/>
        <v>#REF!</v>
      </c>
      <c r="G4966" s="126" t="e">
        <f t="shared" si="1492"/>
        <v>#REF!</v>
      </c>
      <c r="H4966" s="126" t="e">
        <f t="shared" si="1492"/>
        <v>#REF!</v>
      </c>
      <c r="I4966" s="126" t="e">
        <f t="shared" si="1492"/>
        <v>#REF!</v>
      </c>
      <c r="J4966" s="126" t="e">
        <f t="shared" si="1492"/>
        <v>#REF!</v>
      </c>
      <c r="K4966" s="126" t="e">
        <f t="shared" si="1492"/>
        <v>#REF!</v>
      </c>
      <c r="L4966" s="126" t="e">
        <f t="shared" si="1492"/>
        <v>#REF!</v>
      </c>
      <c r="M4966" s="126" t="e">
        <f t="shared" si="1492"/>
        <v>#REF!</v>
      </c>
      <c r="N4966" s="126" t="e">
        <f t="shared" si="1492"/>
        <v>#REF!</v>
      </c>
      <c r="P4966" s="108"/>
    </row>
    <row r="4967" spans="1:16" hidden="1" outlineLevel="1" x14ac:dyDescent="0.3">
      <c r="A4967" s="541" t="s">
        <v>2362</v>
      </c>
      <c r="B4967" s="126"/>
      <c r="C4967" s="126" t="e">
        <f>+C4959/C4948</f>
        <v>#REF!</v>
      </c>
      <c r="D4967" s="126" t="e">
        <f t="shared" ref="D4967:N4967" si="1493">+D4959/D4948</f>
        <v>#REF!</v>
      </c>
      <c r="E4967" s="126" t="e">
        <f t="shared" si="1493"/>
        <v>#REF!</v>
      </c>
      <c r="F4967" s="126" t="e">
        <f t="shared" si="1493"/>
        <v>#REF!</v>
      </c>
      <c r="G4967" s="126" t="e">
        <f t="shared" si="1493"/>
        <v>#REF!</v>
      </c>
      <c r="H4967" s="126" t="e">
        <f t="shared" si="1493"/>
        <v>#REF!</v>
      </c>
      <c r="I4967" s="126" t="e">
        <f t="shared" si="1493"/>
        <v>#REF!</v>
      </c>
      <c r="J4967" s="126" t="e">
        <f t="shared" si="1493"/>
        <v>#REF!</v>
      </c>
      <c r="K4967" s="126" t="e">
        <f t="shared" si="1493"/>
        <v>#REF!</v>
      </c>
      <c r="L4967" s="126" t="e">
        <f t="shared" si="1493"/>
        <v>#REF!</v>
      </c>
      <c r="M4967" s="126" t="e">
        <f t="shared" si="1493"/>
        <v>#REF!</v>
      </c>
      <c r="N4967" s="126" t="e">
        <f t="shared" si="1493"/>
        <v>#REF!</v>
      </c>
      <c r="P4967" s="108"/>
    </row>
    <row r="4968" spans="1:16" collapsed="1" x14ac:dyDescent="0.3">
      <c r="E4968" s="126"/>
      <c r="F4968" s="126"/>
      <c r="G4968" s="126"/>
      <c r="H4968" s="126"/>
      <c r="I4968" s="126"/>
      <c r="J4968" s="126"/>
      <c r="K4968" s="126"/>
      <c r="L4968" s="126"/>
      <c r="M4968" s="126"/>
      <c r="N4968" s="126"/>
      <c r="P4968" s="108"/>
    </row>
    <row r="4969" spans="1:16" x14ac:dyDescent="0.3">
      <c r="A4969" s="541" t="s">
        <v>2363</v>
      </c>
      <c r="B4969" s="124"/>
      <c r="C4969" s="126" t="e">
        <f>+C4959/C4948</f>
        <v>#REF!</v>
      </c>
      <c r="D4969" s="126" t="e">
        <f>+C4969-C4964+D4964</f>
        <v>#REF!</v>
      </c>
      <c r="E4969" s="126" t="e">
        <f t="shared" ref="E4969:N4969" si="1494">+D4969-D4964+E4964</f>
        <v>#REF!</v>
      </c>
      <c r="F4969" s="126" t="e">
        <f t="shared" si="1494"/>
        <v>#REF!</v>
      </c>
      <c r="G4969" s="126" t="e">
        <f t="shared" si="1494"/>
        <v>#REF!</v>
      </c>
      <c r="H4969" s="126" t="e">
        <f t="shared" si="1494"/>
        <v>#REF!</v>
      </c>
      <c r="I4969" s="126" t="e">
        <f t="shared" si="1494"/>
        <v>#REF!</v>
      </c>
      <c r="J4969" s="126" t="e">
        <f t="shared" si="1494"/>
        <v>#REF!</v>
      </c>
      <c r="K4969" s="126" t="e">
        <f t="shared" si="1494"/>
        <v>#REF!</v>
      </c>
      <c r="L4969" s="126" t="e">
        <f t="shared" si="1494"/>
        <v>#REF!</v>
      </c>
      <c r="M4969" s="126" t="e">
        <f t="shared" si="1494"/>
        <v>#REF!</v>
      </c>
      <c r="N4969" s="126" t="e">
        <f t="shared" si="1494"/>
        <v>#REF!</v>
      </c>
      <c r="P4969" s="108"/>
    </row>
    <row r="4970" spans="1:16" x14ac:dyDescent="0.3">
      <c r="A4970" s="541" t="s">
        <v>2364</v>
      </c>
      <c r="B4970" s="124"/>
      <c r="C4970" s="126" t="e">
        <f>+C4966</f>
        <v>#REF!</v>
      </c>
      <c r="D4970" s="126" t="e">
        <f>+D4966+$C$4971-$C$4970</f>
        <v>#REF!</v>
      </c>
      <c r="E4970" s="126" t="e">
        <f t="shared" ref="E4970:N4970" si="1495">+E4966+$C$4971-$C$4970</f>
        <v>#REF!</v>
      </c>
      <c r="F4970" s="126" t="e">
        <f t="shared" si="1495"/>
        <v>#REF!</v>
      </c>
      <c r="G4970" s="126" t="e">
        <f t="shared" si="1495"/>
        <v>#REF!</v>
      </c>
      <c r="H4970" s="126" t="e">
        <f t="shared" si="1495"/>
        <v>#REF!</v>
      </c>
      <c r="I4970" s="126" t="e">
        <f t="shared" si="1495"/>
        <v>#REF!</v>
      </c>
      <c r="J4970" s="126" t="e">
        <f t="shared" si="1495"/>
        <v>#REF!</v>
      </c>
      <c r="K4970" s="126" t="e">
        <f t="shared" si="1495"/>
        <v>#REF!</v>
      </c>
      <c r="L4970" s="126" t="e">
        <f t="shared" si="1495"/>
        <v>#REF!</v>
      </c>
      <c r="M4970" s="126" t="e">
        <f t="shared" si="1495"/>
        <v>#REF!</v>
      </c>
      <c r="N4970" s="126" t="e">
        <f t="shared" si="1495"/>
        <v>#REF!</v>
      </c>
      <c r="P4970" s="108"/>
    </row>
    <row r="4971" spans="1:16" x14ac:dyDescent="0.3">
      <c r="A4971" s="541" t="s">
        <v>2362</v>
      </c>
      <c r="B4971" s="124"/>
      <c r="C4971" s="126" t="e">
        <f>+C4959/C4948</f>
        <v>#REF!</v>
      </c>
      <c r="D4971" s="126" t="e">
        <f>+D4959/D4948</f>
        <v>#REF!</v>
      </c>
      <c r="E4971" s="126" t="e">
        <f t="shared" ref="E4971:N4971" si="1496">+E4959/E4948</f>
        <v>#REF!</v>
      </c>
      <c r="F4971" s="126" t="e">
        <f t="shared" si="1496"/>
        <v>#REF!</v>
      </c>
      <c r="G4971" s="126" t="e">
        <f t="shared" si="1496"/>
        <v>#REF!</v>
      </c>
      <c r="H4971" s="126" t="e">
        <f t="shared" si="1496"/>
        <v>#REF!</v>
      </c>
      <c r="I4971" s="126" t="e">
        <f t="shared" si="1496"/>
        <v>#REF!</v>
      </c>
      <c r="J4971" s="126" t="e">
        <f t="shared" si="1496"/>
        <v>#REF!</v>
      </c>
      <c r="K4971" s="126" t="e">
        <f t="shared" si="1496"/>
        <v>#REF!</v>
      </c>
      <c r="L4971" s="126" t="e">
        <f t="shared" si="1496"/>
        <v>#REF!</v>
      </c>
      <c r="M4971" s="126" t="e">
        <f t="shared" si="1496"/>
        <v>#REF!</v>
      </c>
      <c r="N4971" s="126" t="e">
        <f t="shared" si="1496"/>
        <v>#REF!</v>
      </c>
      <c r="P4971" s="108"/>
    </row>
    <row r="4972" spans="1:16" x14ac:dyDescent="0.3">
      <c r="A4972" s="541"/>
      <c r="B4972" s="124"/>
      <c r="C4972" s="126"/>
      <c r="D4972" s="126"/>
      <c r="E4972" s="126"/>
      <c r="F4972" s="126"/>
      <c r="G4972" s="126"/>
      <c r="H4972" s="126"/>
      <c r="I4972" s="126"/>
      <c r="J4972" s="126"/>
      <c r="K4972" s="126"/>
      <c r="L4972" s="126"/>
      <c r="M4972" s="126"/>
      <c r="N4972" s="126"/>
      <c r="P4972" s="108"/>
    </row>
    <row r="4973" spans="1:16" x14ac:dyDescent="0.3">
      <c r="A4973" s="535" t="s">
        <v>198</v>
      </c>
      <c r="P4973" s="108"/>
    </row>
    <row r="4974" spans="1:16" x14ac:dyDescent="0.3">
      <c r="A4974" s="177" t="s">
        <v>2351</v>
      </c>
      <c r="B4974" s="76">
        <f t="shared" ref="B4974:N4974" si="1497">+B4349</f>
        <v>1141</v>
      </c>
      <c r="C4974" s="76">
        <f t="shared" si="1497"/>
        <v>1427</v>
      </c>
      <c r="D4974" s="76">
        <f t="shared" si="1497"/>
        <v>1200</v>
      </c>
      <c r="E4974" s="76">
        <f t="shared" si="1497"/>
        <v>983</v>
      </c>
      <c r="F4974" s="76">
        <f t="shared" si="1497"/>
        <v>984</v>
      </c>
      <c r="G4974" s="76">
        <f t="shared" si="1497"/>
        <v>995</v>
      </c>
      <c r="H4974" s="76" t="e">
        <f t="shared" si="1497"/>
        <v>#REF!</v>
      </c>
      <c r="I4974" s="76" t="e">
        <f t="shared" si="1497"/>
        <v>#REF!</v>
      </c>
      <c r="J4974" s="76" t="e">
        <f t="shared" si="1497"/>
        <v>#REF!</v>
      </c>
      <c r="K4974" s="76" t="e">
        <f t="shared" si="1497"/>
        <v>#REF!</v>
      </c>
      <c r="L4974" s="76" t="e">
        <f t="shared" si="1497"/>
        <v>#REF!</v>
      </c>
      <c r="M4974" s="76" t="e">
        <f t="shared" si="1497"/>
        <v>#REF!</v>
      </c>
      <c r="N4974" s="76" t="e">
        <f t="shared" si="1497"/>
        <v>#REF!</v>
      </c>
      <c r="P4974" s="108"/>
    </row>
    <row r="4975" spans="1:16" x14ac:dyDescent="0.3">
      <c r="A4975" s="177" t="s">
        <v>2352</v>
      </c>
      <c r="B4975" s="76">
        <f t="shared" ref="B4975:N4975" si="1498">+SUM(B4436:B4438)</f>
        <v>0</v>
      </c>
      <c r="C4975" s="76" t="e">
        <f t="shared" si="1498"/>
        <v>#REF!</v>
      </c>
      <c r="D4975" s="76" t="e">
        <f t="shared" si="1498"/>
        <v>#REF!</v>
      </c>
      <c r="E4975" s="76" t="e">
        <f t="shared" si="1498"/>
        <v>#REF!</v>
      </c>
      <c r="F4975" s="76" t="e">
        <f t="shared" si="1498"/>
        <v>#REF!</v>
      </c>
      <c r="G4975" s="76" t="e">
        <f t="shared" si="1498"/>
        <v>#REF!</v>
      </c>
      <c r="H4975" s="76" t="e">
        <f t="shared" si="1498"/>
        <v>#REF!</v>
      </c>
      <c r="I4975" s="76" t="e">
        <f t="shared" si="1498"/>
        <v>#REF!</v>
      </c>
      <c r="J4975" s="76" t="e">
        <f t="shared" si="1498"/>
        <v>#REF!</v>
      </c>
      <c r="K4975" s="76" t="e">
        <f t="shared" si="1498"/>
        <v>#REF!</v>
      </c>
      <c r="L4975" s="76" t="e">
        <f t="shared" si="1498"/>
        <v>#REF!</v>
      </c>
      <c r="M4975" s="76" t="e">
        <f t="shared" si="1498"/>
        <v>#REF!</v>
      </c>
      <c r="N4975" s="76" t="e">
        <f t="shared" si="1498"/>
        <v>#REF!</v>
      </c>
      <c r="P4975" s="108"/>
    </row>
    <row r="4976" spans="1:16" x14ac:dyDescent="0.3">
      <c r="A4976" s="298" t="s">
        <v>266</v>
      </c>
      <c r="B4976" s="803">
        <f t="shared" ref="B4976:N4976" si="1499">+SUM(B4974:B4975)</f>
        <v>1141</v>
      </c>
      <c r="C4976" s="803" t="e">
        <f t="shared" si="1499"/>
        <v>#REF!</v>
      </c>
      <c r="D4976" s="803" t="e">
        <f t="shared" si="1499"/>
        <v>#REF!</v>
      </c>
      <c r="E4976" s="803" t="e">
        <f t="shared" si="1499"/>
        <v>#REF!</v>
      </c>
      <c r="F4976" s="803" t="e">
        <f t="shared" si="1499"/>
        <v>#REF!</v>
      </c>
      <c r="G4976" s="803" t="e">
        <f t="shared" si="1499"/>
        <v>#REF!</v>
      </c>
      <c r="H4976" s="803" t="e">
        <f t="shared" si="1499"/>
        <v>#REF!</v>
      </c>
      <c r="I4976" s="803" t="e">
        <f t="shared" si="1499"/>
        <v>#REF!</v>
      </c>
      <c r="J4976" s="803" t="e">
        <f t="shared" si="1499"/>
        <v>#REF!</v>
      </c>
      <c r="K4976" s="803" t="e">
        <f t="shared" si="1499"/>
        <v>#REF!</v>
      </c>
      <c r="L4976" s="803" t="e">
        <f t="shared" si="1499"/>
        <v>#REF!</v>
      </c>
      <c r="M4976" s="803" t="e">
        <f t="shared" si="1499"/>
        <v>#REF!</v>
      </c>
      <c r="N4976" s="803" t="e">
        <f t="shared" si="1499"/>
        <v>#REF!</v>
      </c>
      <c r="P4976" s="108"/>
    </row>
    <row r="4977" spans="1:16" x14ac:dyDescent="0.3">
      <c r="A4977" s="541" t="s">
        <v>2353</v>
      </c>
      <c r="B4977" s="80">
        <f>+Drivers!DY572</f>
        <v>1226</v>
      </c>
      <c r="C4977" s="80">
        <f>+Drivers!ED572</f>
        <v>1181</v>
      </c>
      <c r="D4977" s="80">
        <f>+Drivers!EI572</f>
        <v>1705</v>
      </c>
      <c r="E4977" s="80">
        <f>+Drivers!EN572</f>
        <v>2738</v>
      </c>
      <c r="F4977" s="80">
        <f>+Drivers!ES572</f>
        <v>3211</v>
      </c>
      <c r="G4977" s="80">
        <f>+Drivers!EX572</f>
        <v>2783</v>
      </c>
      <c r="H4977" s="80">
        <f>+Drivers!FC572</f>
        <v>3194.4479521510066</v>
      </c>
      <c r="I4977" s="80">
        <f>+Drivers!FD572</f>
        <v>2782.4684202674325</v>
      </c>
      <c r="J4977" s="80">
        <f>+Drivers!FE572</f>
        <v>1926.0215850968652</v>
      </c>
      <c r="K4977" s="80">
        <f>+Drivers!FF572</f>
        <v>1586.100905365895</v>
      </c>
      <c r="L4977" s="80">
        <f>+Drivers!FG572</f>
        <v>1521.0656290142479</v>
      </c>
      <c r="M4977" s="80">
        <f>+Drivers!FH572</f>
        <v>1496.8753495613416</v>
      </c>
      <c r="N4977" s="80">
        <f>+Drivers!FI572</f>
        <v>1474.2957441032881</v>
      </c>
      <c r="P4977" s="108"/>
    </row>
    <row r="4978" spans="1:16" x14ac:dyDescent="0.3">
      <c r="A4978" s="541" t="s">
        <v>482</v>
      </c>
      <c r="B4978" s="77">
        <f t="shared" ref="B4978:N4978" si="1500">+B4976-B4977</f>
        <v>-85</v>
      </c>
      <c r="C4978" s="77" t="e">
        <f t="shared" si="1500"/>
        <v>#REF!</v>
      </c>
      <c r="D4978" s="77" t="e">
        <f t="shared" si="1500"/>
        <v>#REF!</v>
      </c>
      <c r="E4978" s="77" t="e">
        <f t="shared" si="1500"/>
        <v>#REF!</v>
      </c>
      <c r="F4978" s="77" t="e">
        <f t="shared" si="1500"/>
        <v>#REF!</v>
      </c>
      <c r="G4978" s="77" t="e">
        <f t="shared" si="1500"/>
        <v>#REF!</v>
      </c>
      <c r="H4978" s="77" t="e">
        <f t="shared" si="1500"/>
        <v>#REF!</v>
      </c>
      <c r="I4978" s="77" t="e">
        <f t="shared" si="1500"/>
        <v>#REF!</v>
      </c>
      <c r="J4978" s="77" t="e">
        <f t="shared" si="1500"/>
        <v>#REF!</v>
      </c>
      <c r="K4978" s="77" t="e">
        <f t="shared" si="1500"/>
        <v>#REF!</v>
      </c>
      <c r="L4978" s="77" t="e">
        <f t="shared" si="1500"/>
        <v>#REF!</v>
      </c>
      <c r="M4978" s="77" t="e">
        <f t="shared" si="1500"/>
        <v>#REF!</v>
      </c>
      <c r="N4978" s="77" t="e">
        <f t="shared" si="1500"/>
        <v>#REF!</v>
      </c>
      <c r="P4978" s="108"/>
    </row>
    <row r="4979" spans="1:16" x14ac:dyDescent="0.3">
      <c r="P4979" s="108"/>
    </row>
    <row r="4980" spans="1:16" x14ac:dyDescent="0.3">
      <c r="A4980" s="535" t="s">
        <v>99</v>
      </c>
      <c r="P4980" s="108"/>
    </row>
    <row r="4981" spans="1:16" x14ac:dyDescent="0.3">
      <c r="A4981" s="177" t="s">
        <v>2351</v>
      </c>
      <c r="B4981" s="76">
        <f>+B4350</f>
        <v>282</v>
      </c>
      <c r="C4981" s="76" t="e">
        <f>+C4983-C4982</f>
        <v>#REF!</v>
      </c>
      <c r="D4981" s="76" t="e">
        <f t="shared" ref="D4981:N4981" si="1501">+D4350</f>
        <v>#REF!</v>
      </c>
      <c r="E4981" s="76" t="e">
        <f t="shared" si="1501"/>
        <v>#REF!</v>
      </c>
      <c r="F4981" s="76" t="e">
        <f t="shared" si="1501"/>
        <v>#REF!</v>
      </c>
      <c r="G4981" s="76" t="e">
        <f t="shared" si="1501"/>
        <v>#REF!</v>
      </c>
      <c r="H4981" s="76" t="e">
        <f t="shared" si="1501"/>
        <v>#REF!</v>
      </c>
      <c r="I4981" s="76" t="e">
        <f t="shared" si="1501"/>
        <v>#REF!</v>
      </c>
      <c r="J4981" s="76" t="e">
        <f t="shared" si="1501"/>
        <v>#REF!</v>
      </c>
      <c r="K4981" s="76" t="e">
        <f t="shared" si="1501"/>
        <v>#REF!</v>
      </c>
      <c r="L4981" s="76" t="e">
        <f t="shared" si="1501"/>
        <v>#REF!</v>
      </c>
      <c r="M4981" s="76" t="e">
        <f t="shared" si="1501"/>
        <v>#REF!</v>
      </c>
      <c r="N4981" s="76" t="e">
        <f t="shared" si="1501"/>
        <v>#REF!</v>
      </c>
      <c r="P4981" s="108"/>
    </row>
    <row r="4982" spans="1:16" x14ac:dyDescent="0.3">
      <c r="A4982" s="177" t="s">
        <v>2352</v>
      </c>
      <c r="B4982" s="76">
        <f t="shared" ref="B4982:N4982" si="1502">+B4439</f>
        <v>0</v>
      </c>
      <c r="C4982" s="76" t="e">
        <f t="shared" si="1502"/>
        <v>#REF!</v>
      </c>
      <c r="D4982" s="76" t="e">
        <f t="shared" si="1502"/>
        <v>#REF!</v>
      </c>
      <c r="E4982" s="76" t="e">
        <f t="shared" si="1502"/>
        <v>#REF!</v>
      </c>
      <c r="F4982" s="76" t="e">
        <f t="shared" si="1502"/>
        <v>#REF!</v>
      </c>
      <c r="G4982" s="76" t="e">
        <f t="shared" si="1502"/>
        <v>#REF!</v>
      </c>
      <c r="H4982" s="76" t="e">
        <f t="shared" si="1502"/>
        <v>#REF!</v>
      </c>
      <c r="I4982" s="76" t="e">
        <f t="shared" si="1502"/>
        <v>#REF!</v>
      </c>
      <c r="J4982" s="76" t="e">
        <f t="shared" si="1502"/>
        <v>#REF!</v>
      </c>
      <c r="K4982" s="76" t="e">
        <f t="shared" si="1502"/>
        <v>#REF!</v>
      </c>
      <c r="L4982" s="76" t="e">
        <f t="shared" si="1502"/>
        <v>#REF!</v>
      </c>
      <c r="M4982" s="76" t="e">
        <f t="shared" si="1502"/>
        <v>#REF!</v>
      </c>
      <c r="N4982" s="76" t="e">
        <f t="shared" si="1502"/>
        <v>#REF!</v>
      </c>
      <c r="P4982" s="108"/>
    </row>
    <row r="4983" spans="1:16" x14ac:dyDescent="0.3">
      <c r="A4983" s="298" t="s">
        <v>266</v>
      </c>
      <c r="B4983" s="803">
        <f>+SUM(B4981:B4982)</f>
        <v>282</v>
      </c>
      <c r="C4983" s="1807">
        <f>+C4350</f>
        <v>1211</v>
      </c>
      <c r="D4983" s="803" t="e">
        <f t="shared" ref="D4983:N4983" si="1503">+SUM(D4981:D4982)</f>
        <v>#REF!</v>
      </c>
      <c r="E4983" s="803" t="e">
        <f t="shared" si="1503"/>
        <v>#REF!</v>
      </c>
      <c r="F4983" s="803" t="e">
        <f t="shared" si="1503"/>
        <v>#REF!</v>
      </c>
      <c r="G4983" s="803" t="e">
        <f t="shared" si="1503"/>
        <v>#REF!</v>
      </c>
      <c r="H4983" s="803" t="e">
        <f t="shared" si="1503"/>
        <v>#REF!</v>
      </c>
      <c r="I4983" s="803" t="e">
        <f t="shared" si="1503"/>
        <v>#REF!</v>
      </c>
      <c r="J4983" s="803" t="e">
        <f t="shared" si="1503"/>
        <v>#REF!</v>
      </c>
      <c r="K4983" s="803" t="e">
        <f t="shared" si="1503"/>
        <v>#REF!</v>
      </c>
      <c r="L4983" s="803" t="e">
        <f t="shared" si="1503"/>
        <v>#REF!</v>
      </c>
      <c r="M4983" s="803" t="e">
        <f t="shared" si="1503"/>
        <v>#REF!</v>
      </c>
      <c r="N4983" s="803" t="e">
        <f t="shared" si="1503"/>
        <v>#REF!</v>
      </c>
      <c r="P4983" s="108"/>
    </row>
    <row r="4984" spans="1:16" x14ac:dyDescent="0.3">
      <c r="A4984" s="541" t="s">
        <v>2353</v>
      </c>
      <c r="B4984" s="80">
        <f>+'Model Main'!DY132</f>
        <v>282</v>
      </c>
      <c r="C4984" s="80">
        <f>+'Model Main'!ED132</f>
        <v>1211</v>
      </c>
      <c r="D4984" s="80">
        <f>+'Model Main'!EI132</f>
        <v>406</v>
      </c>
      <c r="E4984" s="80">
        <f>+'Model Main'!EN132</f>
        <v>-1337</v>
      </c>
      <c r="F4984" s="80">
        <f>+'Model Main'!ES132</f>
        <v>-1867</v>
      </c>
      <c r="G4984" s="80">
        <f>+'Model Main'!EX132</f>
        <v>-1651</v>
      </c>
      <c r="H4984" s="80">
        <f>+'Model Main'!FC132</f>
        <v>-1838.2067340418082</v>
      </c>
      <c r="I4984" s="80">
        <f>+'Model Main'!FD132</f>
        <v>-1579.7485151072758</v>
      </c>
      <c r="J4984" s="80">
        <f>+'Model Main'!FE132</f>
        <v>-202.61652438049714</v>
      </c>
      <c r="K4984" s="80">
        <f>+'Model Main'!FF132</f>
        <v>390.17106686817488</v>
      </c>
      <c r="L4984" s="80">
        <f>+'Model Main'!FG132</f>
        <v>591.64815932460897</v>
      </c>
      <c r="M4984" s="80">
        <f>+'Model Main'!FH132</f>
        <v>895.51751512356009</v>
      </c>
      <c r="N4984" s="80">
        <f>+'Model Main'!FI132</f>
        <v>1132.3785514169017</v>
      </c>
      <c r="P4984" s="108"/>
    </row>
    <row r="4985" spans="1:16" x14ac:dyDescent="0.3">
      <c r="A4985" s="541" t="s">
        <v>482</v>
      </c>
      <c r="B4985" s="77">
        <f t="shared" ref="B4985:G4985" si="1504">+B4983-B4984</f>
        <v>0</v>
      </c>
      <c r="C4985" s="77">
        <f t="shared" si="1504"/>
        <v>0</v>
      </c>
      <c r="D4985" s="77" t="e">
        <f t="shared" si="1504"/>
        <v>#REF!</v>
      </c>
      <c r="E4985" s="77" t="e">
        <f t="shared" si="1504"/>
        <v>#REF!</v>
      </c>
      <c r="F4985" s="77" t="e">
        <f t="shared" si="1504"/>
        <v>#REF!</v>
      </c>
      <c r="G4985" s="77" t="e">
        <f t="shared" si="1504"/>
        <v>#REF!</v>
      </c>
      <c r="H4985" s="77" t="e">
        <f t="shared" ref="H4985:N4985" si="1505">+H4983-H4984</f>
        <v>#REF!</v>
      </c>
      <c r="I4985" s="77" t="e">
        <f t="shared" si="1505"/>
        <v>#REF!</v>
      </c>
      <c r="J4985" s="77" t="e">
        <f t="shared" si="1505"/>
        <v>#REF!</v>
      </c>
      <c r="K4985" s="77" t="e">
        <f t="shared" si="1505"/>
        <v>#REF!</v>
      </c>
      <c r="L4985" s="77" t="e">
        <f t="shared" si="1505"/>
        <v>#REF!</v>
      </c>
      <c r="M4985" s="77" t="e">
        <f t="shared" si="1505"/>
        <v>#REF!</v>
      </c>
      <c r="N4985" s="77" t="e">
        <f t="shared" si="1505"/>
        <v>#REF!</v>
      </c>
      <c r="P4985" s="108"/>
    </row>
    <row r="4986" spans="1:16" x14ac:dyDescent="0.3">
      <c r="A4986" s="298"/>
      <c r="B4986" s="85"/>
      <c r="C4986" s="85"/>
      <c r="D4986" s="85"/>
      <c r="E4986" s="85"/>
      <c r="F4986" s="85"/>
      <c r="G4986" s="85"/>
      <c r="H4986" s="85"/>
      <c r="I4986" s="90"/>
      <c r="J4986" s="90"/>
      <c r="K4986" s="90"/>
      <c r="L4986" s="90"/>
      <c r="M4986" s="90"/>
      <c r="N4986" s="90"/>
      <c r="P4986" s="108"/>
    </row>
    <row r="4987" spans="1:16" x14ac:dyDescent="0.3">
      <c r="A4987" s="298"/>
      <c r="B4987" s="85"/>
      <c r="C4987" s="85"/>
      <c r="D4987" s="85"/>
      <c r="E4987" s="85"/>
      <c r="F4987" s="85"/>
      <c r="G4987" s="85"/>
      <c r="H4987" s="85"/>
      <c r="I4987" s="90"/>
      <c r="J4987" s="90"/>
      <c r="K4987" s="90"/>
      <c r="L4987" s="90"/>
      <c r="M4987" s="90"/>
      <c r="N4987" s="90"/>
      <c r="P4987" s="108"/>
    </row>
    <row r="4988" spans="1:16" x14ac:dyDescent="0.3">
      <c r="A4988" s="141" t="s">
        <v>2365</v>
      </c>
      <c r="P4988" s="108"/>
    </row>
    <row r="4989" spans="1:16" x14ac:dyDescent="0.3">
      <c r="A4989" s="147"/>
      <c r="B4989" s="147">
        <v>2019</v>
      </c>
      <c r="C4989" s="147">
        <f>+B4989+1</f>
        <v>2020</v>
      </c>
      <c r="D4989" s="147">
        <f>+C4989+1</f>
        <v>2021</v>
      </c>
      <c r="E4989" s="147">
        <f>+D4989+1</f>
        <v>2022</v>
      </c>
      <c r="F4989" s="147">
        <f>+E4989+1</f>
        <v>2023</v>
      </c>
      <c r="G4989" s="147">
        <f>+F4989+1</f>
        <v>2024</v>
      </c>
      <c r="P4989" s="108"/>
    </row>
    <row r="4990" spans="1:16" x14ac:dyDescent="0.3">
      <c r="A4990" s="141" t="s">
        <v>2366</v>
      </c>
      <c r="B4990" s="90"/>
      <c r="C4990" s="90"/>
      <c r="D4990" s="90"/>
      <c r="E4990" s="90"/>
      <c r="F4990" s="90"/>
      <c r="G4990" s="90"/>
      <c r="P4990" s="108"/>
    </row>
    <row r="4991" spans="1:16" x14ac:dyDescent="0.3">
      <c r="A4991" t="s">
        <v>2081</v>
      </c>
      <c r="B4991" s="90"/>
      <c r="C4991" s="79" t="e">
        <f>+'Model Main'!ED36</f>
        <v>#REF!</v>
      </c>
      <c r="D4991" s="79" t="e">
        <f>+'Model Main'!EI36</f>
        <v>#REF!</v>
      </c>
      <c r="E4991" s="79" t="e">
        <f>+'Model Main'!EN36</f>
        <v>#REF!</v>
      </c>
      <c r="F4991" s="79" t="e">
        <f>+'Model Main'!ES36</f>
        <v>#REF!</v>
      </c>
      <c r="G4991" s="79" t="e">
        <f>+'Model Main'!EX36</f>
        <v>#REF!</v>
      </c>
      <c r="P4991" s="108"/>
    </row>
    <row r="4992" spans="1:16" x14ac:dyDescent="0.3">
      <c r="A4992" t="s">
        <v>1865</v>
      </c>
      <c r="B4992" s="90"/>
      <c r="C4992" s="79" t="e">
        <f>+'Model Main'!ED37</f>
        <v>#REF!</v>
      </c>
      <c r="D4992" s="79" t="e">
        <f>+'Model Main'!EI37</f>
        <v>#REF!</v>
      </c>
      <c r="E4992" s="79" t="e">
        <f>+'Model Main'!EN37</f>
        <v>#REF!</v>
      </c>
      <c r="F4992" s="79" t="e">
        <f>+'Model Main'!ES37</f>
        <v>#REF!</v>
      </c>
      <c r="G4992" s="79" t="e">
        <f>+'Model Main'!EX37</f>
        <v>#REF!</v>
      </c>
      <c r="P4992" s="108"/>
    </row>
    <row r="4993" spans="1:16" x14ac:dyDescent="0.3">
      <c r="A4993" t="s">
        <v>465</v>
      </c>
      <c r="B4993" s="90"/>
      <c r="C4993" s="79" t="e">
        <f>+'Model Main'!ED39</f>
        <v>#REF!</v>
      </c>
      <c r="D4993" s="79" t="e">
        <f>+'Model Main'!EI39</f>
        <v>#REF!</v>
      </c>
      <c r="E4993" s="79" t="e">
        <f>+'Model Main'!EN39</f>
        <v>#REF!</v>
      </c>
      <c r="F4993" s="79" t="e">
        <f>+'Model Main'!ES39</f>
        <v>#REF!</v>
      </c>
      <c r="G4993" s="79" t="e">
        <f>+'Model Main'!EX39</f>
        <v>#REF!</v>
      </c>
      <c r="P4993" s="108"/>
    </row>
    <row r="4994" spans="1:16" x14ac:dyDescent="0.3">
      <c r="A4994" s="90" t="s">
        <v>19</v>
      </c>
      <c r="B4994" s="90"/>
      <c r="C4994" s="803" t="e">
        <f>+'Model Main'!ED40</f>
        <v>#REF!</v>
      </c>
      <c r="D4994" s="803" t="e">
        <f>+'Model Main'!EI40</f>
        <v>#REF!</v>
      </c>
      <c r="E4994" s="803" t="e">
        <f>+'Model Main'!EN40</f>
        <v>#REF!</v>
      </c>
      <c r="F4994" s="803" t="e">
        <f>+'Model Main'!ES40</f>
        <v>#REF!</v>
      </c>
      <c r="G4994" s="803" t="e">
        <f>+'Model Main'!EX40</f>
        <v>#REF!</v>
      </c>
      <c r="P4994" s="108"/>
    </row>
    <row r="4995" spans="1:16" x14ac:dyDescent="0.3">
      <c r="A4995" t="s">
        <v>2367</v>
      </c>
      <c r="B4995" s="90"/>
      <c r="C4995" s="76" t="e">
        <f>+C4994-C4946</f>
        <v>#REF!</v>
      </c>
      <c r="D4995" s="76" t="e">
        <f>+D4994-D4946</f>
        <v>#REF!</v>
      </c>
      <c r="E4995" s="76" t="e">
        <f>+E4994-E4946</f>
        <v>#REF!</v>
      </c>
      <c r="F4995" s="76" t="e">
        <f>+F4994-F4946</f>
        <v>#REF!</v>
      </c>
      <c r="G4995" s="76" t="e">
        <f>+G4994-G4946</f>
        <v>#REF!</v>
      </c>
      <c r="P4995" s="108"/>
    </row>
    <row r="4996" spans="1:16" x14ac:dyDescent="0.3">
      <c r="B4996" s="90"/>
      <c r="C4996" s="90"/>
      <c r="D4996" s="90"/>
      <c r="E4996" s="90"/>
      <c r="F4996" s="90"/>
      <c r="G4996" s="90"/>
      <c r="P4996" s="108"/>
    </row>
    <row r="4997" spans="1:16" x14ac:dyDescent="0.3">
      <c r="A4997" s="141" t="s">
        <v>643</v>
      </c>
      <c r="B4997" s="90"/>
      <c r="C4997" s="90"/>
      <c r="D4997" s="90"/>
      <c r="E4997" s="90"/>
      <c r="F4997" s="90"/>
      <c r="G4997" s="90"/>
    </row>
    <row r="4998" spans="1:16" x14ac:dyDescent="0.3">
      <c r="A4998" t="s">
        <v>2081</v>
      </c>
      <c r="B4998" s="90"/>
      <c r="C4998" s="76" t="e">
        <f>+C4991-C4239</f>
        <v>#REF!</v>
      </c>
      <c r="D4998" s="76" t="e">
        <f>+D4991-D4239</f>
        <v>#REF!</v>
      </c>
      <c r="E4998" s="76" t="e">
        <f>+E4991-E4239</f>
        <v>#REF!</v>
      </c>
      <c r="F4998" s="76" t="e">
        <f>+F4991-F4239</f>
        <v>#REF!</v>
      </c>
      <c r="G4998" s="76" t="e">
        <f>+G4991-G4239</f>
        <v>#REF!</v>
      </c>
    </row>
    <row r="4999" spans="1:16" x14ac:dyDescent="0.3">
      <c r="A4999" t="s">
        <v>1865</v>
      </c>
      <c r="B4999" s="90"/>
      <c r="C4999" s="76" t="e">
        <f>+C4992-SUM(C4240:C4241)</f>
        <v>#REF!</v>
      </c>
      <c r="D4999" s="76" t="e">
        <f>+D4992-SUM(D4240:D4241)</f>
        <v>#REF!</v>
      </c>
      <c r="E4999" s="76" t="e">
        <f>+E4992-SUM(E4240:E4241)</f>
        <v>#REF!</v>
      </c>
      <c r="F4999" s="76" t="e">
        <f>+F4992-SUM(F4240:F4241)</f>
        <v>#REF!</v>
      </c>
      <c r="G4999" s="76" t="e">
        <f>+G4992-SUM(G4240:G4241)</f>
        <v>#REF!</v>
      </c>
    </row>
    <row r="5000" spans="1:16" x14ac:dyDescent="0.3">
      <c r="A5000" t="s">
        <v>465</v>
      </c>
      <c r="B5000" s="90"/>
      <c r="C5000" s="76" t="e">
        <f t="shared" ref="C5000:G5001" si="1506">+C4993-C4242</f>
        <v>#REF!</v>
      </c>
      <c r="D5000" s="76" t="e">
        <f t="shared" si="1506"/>
        <v>#REF!</v>
      </c>
      <c r="E5000" s="76" t="e">
        <f t="shared" si="1506"/>
        <v>#REF!</v>
      </c>
      <c r="F5000" s="76" t="e">
        <f t="shared" si="1506"/>
        <v>#REF!</v>
      </c>
      <c r="G5000" s="76" t="e">
        <f t="shared" si="1506"/>
        <v>#REF!</v>
      </c>
    </row>
    <row r="5001" spans="1:16" x14ac:dyDescent="0.3">
      <c r="A5001" s="90" t="s">
        <v>266</v>
      </c>
      <c r="B5001" s="90"/>
      <c r="C5001" s="803" t="e">
        <f t="shared" si="1506"/>
        <v>#REF!</v>
      </c>
      <c r="D5001" s="803" t="e">
        <f t="shared" si="1506"/>
        <v>#REF!</v>
      </c>
      <c r="E5001" s="803" t="e">
        <f t="shared" si="1506"/>
        <v>#REF!</v>
      </c>
      <c r="F5001" s="803" t="e">
        <f t="shared" si="1506"/>
        <v>#REF!</v>
      </c>
      <c r="G5001" s="803" t="e">
        <f t="shared" si="1506"/>
        <v>#REF!</v>
      </c>
    </row>
    <row r="5002" spans="1:16" x14ac:dyDescent="0.3">
      <c r="A5002" t="s">
        <v>2367</v>
      </c>
      <c r="B5002" s="90"/>
      <c r="C5002" s="76" t="e">
        <f>+C4995-C4243</f>
        <v>#REF!</v>
      </c>
      <c r="D5002" s="76" t="e">
        <f>+D4995-D4243</f>
        <v>#REF!</v>
      </c>
      <c r="E5002" s="76" t="e">
        <f>+E4995-E4243</f>
        <v>#REF!</v>
      </c>
      <c r="F5002" s="76" t="e">
        <f>+F4995-F4243</f>
        <v>#REF!</v>
      </c>
      <c r="G5002" s="76" t="e">
        <f>+G4995-G4243</f>
        <v>#REF!</v>
      </c>
    </row>
    <row r="5003" spans="1:16" x14ac:dyDescent="0.3">
      <c r="A5003" s="90"/>
      <c r="B5003" s="90"/>
      <c r="C5003" s="85"/>
      <c r="D5003" s="85"/>
      <c r="E5003" s="85"/>
      <c r="F5003" s="85"/>
      <c r="G5003" s="85"/>
    </row>
    <row r="5004" spans="1:16" x14ac:dyDescent="0.3">
      <c r="A5004" s="141" t="s">
        <v>2368</v>
      </c>
      <c r="B5004" s="90"/>
      <c r="C5004" s="85"/>
      <c r="D5004" s="85"/>
      <c r="E5004" s="85"/>
      <c r="F5004" s="85"/>
      <c r="G5004" s="85"/>
    </row>
    <row r="5005" spans="1:16" x14ac:dyDescent="0.3">
      <c r="A5005" t="s">
        <v>2081</v>
      </c>
      <c r="B5005" s="90"/>
      <c r="C5005" s="75" t="e">
        <f>+C4991/C4239-1</f>
        <v>#REF!</v>
      </c>
      <c r="D5005" s="75" t="e">
        <f>+D4991/D4239-1</f>
        <v>#REF!</v>
      </c>
      <c r="E5005" s="75" t="e">
        <f>+E4991/E4239-1</f>
        <v>#REF!</v>
      </c>
      <c r="F5005" s="75" t="e">
        <f>+F4991/F4239-1</f>
        <v>#REF!</v>
      </c>
      <c r="G5005" s="75" t="e">
        <f>+G4991/G4239-1</f>
        <v>#REF!</v>
      </c>
    </row>
    <row r="5006" spans="1:16" x14ac:dyDescent="0.3">
      <c r="A5006" t="s">
        <v>1865</v>
      </c>
      <c r="B5006" s="90"/>
      <c r="C5006" s="75" t="e">
        <f>+C4992/SUM(C4240:C4241)-1</f>
        <v>#REF!</v>
      </c>
      <c r="D5006" s="75" t="e">
        <f>+D4992/SUM(D4240:D4241)-1</f>
        <v>#REF!</v>
      </c>
      <c r="E5006" s="75" t="e">
        <f>+E4992/SUM(E4240:E4241)-1</f>
        <v>#REF!</v>
      </c>
      <c r="F5006" s="75" t="e">
        <f>+F4992/SUM(F4240:F4241)-1</f>
        <v>#REF!</v>
      </c>
      <c r="G5006" s="75" t="e">
        <f>+G4992/SUM(G4240:G4241)-1</f>
        <v>#REF!</v>
      </c>
    </row>
    <row r="5007" spans="1:16" x14ac:dyDescent="0.3">
      <c r="A5007" t="s">
        <v>465</v>
      </c>
      <c r="B5007" s="90"/>
      <c r="C5007" s="75" t="e">
        <f t="shared" ref="C5007:G5008" si="1507">+C4993/C4242-1</f>
        <v>#REF!</v>
      </c>
      <c r="D5007" s="75" t="e">
        <f t="shared" si="1507"/>
        <v>#REF!</v>
      </c>
      <c r="E5007" s="75" t="e">
        <f t="shared" si="1507"/>
        <v>#REF!</v>
      </c>
      <c r="F5007" s="75" t="e">
        <f t="shared" si="1507"/>
        <v>#REF!</v>
      </c>
      <c r="G5007" s="75" t="e">
        <f t="shared" si="1507"/>
        <v>#REF!</v>
      </c>
    </row>
    <row r="5008" spans="1:16" x14ac:dyDescent="0.3">
      <c r="A5008" s="90" t="s">
        <v>266</v>
      </c>
      <c r="B5008" s="90"/>
      <c r="C5008" s="808" t="e">
        <f t="shared" si="1507"/>
        <v>#REF!</v>
      </c>
      <c r="D5008" s="808" t="e">
        <f t="shared" si="1507"/>
        <v>#REF!</v>
      </c>
      <c r="E5008" s="808" t="e">
        <f t="shared" si="1507"/>
        <v>#REF!</v>
      </c>
      <c r="F5008" s="808" t="e">
        <f t="shared" si="1507"/>
        <v>#REF!</v>
      </c>
      <c r="G5008" s="808" t="e">
        <f t="shared" si="1507"/>
        <v>#REF!</v>
      </c>
    </row>
    <row r="5009" spans="1:7" x14ac:dyDescent="0.3">
      <c r="A5009" t="s">
        <v>2367</v>
      </c>
      <c r="B5009" s="90"/>
      <c r="C5009" s="75" t="e">
        <f>+C4995/C4243-1</f>
        <v>#REF!</v>
      </c>
      <c r="D5009" s="75" t="e">
        <f>+D4995/D4243-1</f>
        <v>#REF!</v>
      </c>
      <c r="E5009" s="75" t="e">
        <f>+E4995/E4243-1</f>
        <v>#REF!</v>
      </c>
      <c r="F5009" s="75" t="e">
        <f>+F4995/F4243-1</f>
        <v>#REF!</v>
      </c>
      <c r="G5009" s="75" t="e">
        <f>+G4995/G4243-1</f>
        <v>#REF!</v>
      </c>
    </row>
    <row r="5010" spans="1:7" x14ac:dyDescent="0.3">
      <c r="A5010" s="90"/>
      <c r="B5010" s="90"/>
      <c r="C5010" s="90"/>
      <c r="D5010" s="90"/>
      <c r="E5010" s="90"/>
      <c r="F5010" s="90"/>
      <c r="G5010" s="90"/>
    </row>
    <row r="5011" spans="1:7" x14ac:dyDescent="0.3">
      <c r="A5011" s="141" t="s">
        <v>44</v>
      </c>
    </row>
    <row r="5012" spans="1:7" x14ac:dyDescent="0.3">
      <c r="A5012" t="s">
        <v>722</v>
      </c>
      <c r="C5012" s="79">
        <f>+'Model Main'!ED48</f>
        <v>2775</v>
      </c>
      <c r="D5012" s="79">
        <f>+'Model Main'!EI48</f>
        <v>2475</v>
      </c>
      <c r="E5012" s="79">
        <f>+'Model Main'!EN48</f>
        <v>2080</v>
      </c>
      <c r="F5012" s="79">
        <f>+'Model Main'!ES48</f>
        <v>2127</v>
      </c>
      <c r="G5012" s="79">
        <f>+'Model Main'!EX48</f>
        <v>2251</v>
      </c>
    </row>
    <row r="5013" spans="1:7" x14ac:dyDescent="0.3">
      <c r="A5013" t="s">
        <v>2369</v>
      </c>
      <c r="C5013" s="76">
        <f>+C4253</f>
        <v>2775</v>
      </c>
      <c r="D5013" s="76">
        <f>+D4253</f>
        <v>2437</v>
      </c>
      <c r="E5013" s="76">
        <f>+E4253</f>
        <v>2055</v>
      </c>
      <c r="F5013" s="76">
        <f>+F4253</f>
        <v>2048</v>
      </c>
      <c r="G5013" s="76">
        <f>+G4253</f>
        <v>2040</v>
      </c>
    </row>
    <row r="5014" spans="1:7" x14ac:dyDescent="0.3">
      <c r="A5014" t="s">
        <v>2370</v>
      </c>
      <c r="C5014" s="76">
        <f>+C5012-C5013</f>
        <v>0</v>
      </c>
      <c r="D5014" s="76">
        <f>+D5012-D5013</f>
        <v>38</v>
      </c>
      <c r="E5014" s="76">
        <f>+E5012-E5013</f>
        <v>25</v>
      </c>
      <c r="F5014" s="76">
        <f>+F5012-F5013</f>
        <v>79</v>
      </c>
      <c r="G5014" s="76">
        <f>+G5012-G5013</f>
        <v>211</v>
      </c>
    </row>
    <row r="5015" spans="1:7" x14ac:dyDescent="0.3">
      <c r="A5015" t="s">
        <v>2371</v>
      </c>
      <c r="C5015" s="75">
        <f>+C5012/C5013-1</f>
        <v>0</v>
      </c>
      <c r="D5015" s="75">
        <f>+D5012/D5013-1</f>
        <v>1.5592942141977817E-2</v>
      </c>
      <c r="E5015" s="75">
        <f>+E5012/E5013-1</f>
        <v>1.2165450121654597E-2</v>
      </c>
      <c r="F5015" s="75">
        <f>+F5012/F5013-1</f>
        <v>3.857421875E-2</v>
      </c>
      <c r="G5015" s="75">
        <f>+G5012/G5013-1</f>
        <v>0.10343137254901968</v>
      </c>
    </row>
    <row r="5016" spans="1:7" x14ac:dyDescent="0.3">
      <c r="A5016" t="s">
        <v>2372</v>
      </c>
      <c r="C5016" s="76">
        <f>+C5012-C4957</f>
        <v>2773.3358496000001</v>
      </c>
      <c r="D5016" s="76">
        <f>+D5012-D4957</f>
        <v>2458.8799625518163</v>
      </c>
      <c r="E5016" s="76">
        <f>+E5012-E4957</f>
        <v>2016.1661779250073</v>
      </c>
      <c r="F5016" s="76">
        <f>+F5012-F4957</f>
        <v>1962.49522590528</v>
      </c>
      <c r="G5016" s="76">
        <f>+G5012-G4957</f>
        <v>1921.4582584488571</v>
      </c>
    </row>
    <row r="5017" spans="1:7" x14ac:dyDescent="0.3">
      <c r="A5017" t="s">
        <v>2370</v>
      </c>
      <c r="C5017" s="76">
        <f>+C5016-C5013</f>
        <v>-1.6641503999999259</v>
      </c>
      <c r="D5017" s="76">
        <f>+D5016-D5013</f>
        <v>21.879962551816334</v>
      </c>
      <c r="E5017" s="76">
        <f>+E5016-E5013</f>
        <v>-38.833822074992668</v>
      </c>
      <c r="F5017" s="76">
        <f>+F5016-F5013</f>
        <v>-85.504774094720005</v>
      </c>
      <c r="G5017" s="76">
        <f>+G5016-G5013</f>
        <v>-118.54174155114288</v>
      </c>
    </row>
    <row r="5018" spans="1:7" x14ac:dyDescent="0.3">
      <c r="A5018" t="s">
        <v>2371</v>
      </c>
      <c r="C5018" s="75">
        <f>+C5016/C5013-1</f>
        <v>-5.9969383783775587E-4</v>
      </c>
      <c r="D5018" s="75">
        <f>+D5016/D5013-1</f>
        <v>8.9782365826083232E-3</v>
      </c>
      <c r="E5018" s="75">
        <f>+E5016/E5013-1</f>
        <v>-1.8897237019461111E-2</v>
      </c>
      <c r="F5018" s="75">
        <f>+F5016/F5013-1</f>
        <v>-4.1750377975937503E-2</v>
      </c>
      <c r="G5018" s="75">
        <f>+G5016/G5013-1</f>
        <v>-5.8108696838795493E-2</v>
      </c>
    </row>
    <row r="5019" spans="1:7" x14ac:dyDescent="0.3">
      <c r="C5019" s="76"/>
      <c r="D5019" s="76"/>
      <c r="E5019" s="76"/>
      <c r="F5019" s="76"/>
      <c r="G5019" s="76"/>
    </row>
    <row r="5020" spans="1:7" x14ac:dyDescent="0.3">
      <c r="A5020" s="141" t="s">
        <v>198</v>
      </c>
    </row>
    <row r="5021" spans="1:7" x14ac:dyDescent="0.3">
      <c r="A5021" t="s">
        <v>722</v>
      </c>
      <c r="C5021" s="79">
        <f>+'Model Main'!ED107*-1</f>
        <v>1181</v>
      </c>
      <c r="D5021" s="79">
        <f>+'Model Main'!EI107*-1</f>
        <v>1705</v>
      </c>
      <c r="E5021" s="79">
        <f>+'Model Main'!EN107*-1</f>
        <v>2738</v>
      </c>
      <c r="F5021" s="79">
        <f>+'Model Main'!ES107*-1</f>
        <v>3211</v>
      </c>
      <c r="G5021" s="79">
        <f>+'Model Main'!EX107*-1</f>
        <v>2783</v>
      </c>
    </row>
    <row r="5022" spans="1:7" x14ac:dyDescent="0.3">
      <c r="A5022" t="s">
        <v>2369</v>
      </c>
      <c r="C5022" s="76">
        <f>+C4256</f>
        <v>1427</v>
      </c>
      <c r="D5022" s="76">
        <f>+D4256</f>
        <v>986</v>
      </c>
      <c r="E5022" s="76">
        <f>+E4256</f>
        <v>983</v>
      </c>
      <c r="F5022" s="76">
        <f>+F4256</f>
        <v>984</v>
      </c>
      <c r="G5022" s="76">
        <f>+G4256</f>
        <v>995</v>
      </c>
    </row>
    <row r="5023" spans="1:7" x14ac:dyDescent="0.3">
      <c r="A5023" t="s">
        <v>2370</v>
      </c>
      <c r="C5023" s="76">
        <f>+C5021-C5022</f>
        <v>-246</v>
      </c>
      <c r="D5023" s="76">
        <f>+D5021-D5022</f>
        <v>719</v>
      </c>
      <c r="E5023" s="76">
        <f>+E5021-E5022</f>
        <v>1755</v>
      </c>
      <c r="F5023" s="76">
        <f>+F5021-F5022</f>
        <v>2227</v>
      </c>
      <c r="G5023" s="76">
        <f>+G5021-G5022</f>
        <v>1788</v>
      </c>
    </row>
    <row r="5024" spans="1:7" x14ac:dyDescent="0.3">
      <c r="A5024" t="s">
        <v>2371</v>
      </c>
      <c r="C5024" s="75">
        <f>+C5021/C5022-1</f>
        <v>-0.17238962859145057</v>
      </c>
      <c r="D5024" s="75">
        <f>+D5021/D5022-1</f>
        <v>0.72920892494929013</v>
      </c>
      <c r="E5024" s="75">
        <f>+E5021/E5022-1</f>
        <v>1.7853509664292981</v>
      </c>
      <c r="F5024" s="75">
        <f>+F5021/F5022-1</f>
        <v>2.2632113821138211</v>
      </c>
      <c r="G5024" s="75">
        <f>+G5021/G5022-1</f>
        <v>1.7969849246231155</v>
      </c>
    </row>
    <row r="5025" spans="1:7" x14ac:dyDescent="0.3">
      <c r="A5025" t="s">
        <v>2372</v>
      </c>
      <c r="C5025" s="76" t="e">
        <f>+C5021-C4975</f>
        <v>#REF!</v>
      </c>
      <c r="D5025" s="76" t="e">
        <f>+D5021-D4975</f>
        <v>#REF!</v>
      </c>
      <c r="E5025" s="76" t="e">
        <f>+E5021-E4975</f>
        <v>#REF!</v>
      </c>
      <c r="F5025" s="76" t="e">
        <f>+F5021-F4975</f>
        <v>#REF!</v>
      </c>
      <c r="G5025" s="76" t="e">
        <f>+G5021-G4975</f>
        <v>#REF!</v>
      </c>
    </row>
    <row r="5026" spans="1:7" x14ac:dyDescent="0.3">
      <c r="A5026" t="s">
        <v>2370</v>
      </c>
      <c r="C5026" s="76" t="e">
        <f>+C5025-C5022</f>
        <v>#REF!</v>
      </c>
      <c r="D5026" s="76" t="e">
        <f>+D5025-D5022</f>
        <v>#REF!</v>
      </c>
      <c r="E5026" s="76" t="e">
        <f>+E5025-E5022</f>
        <v>#REF!</v>
      </c>
      <c r="F5026" s="76" t="e">
        <f>+F5025-F5022</f>
        <v>#REF!</v>
      </c>
      <c r="G5026" s="76" t="e">
        <f>+G5025-G5022</f>
        <v>#REF!</v>
      </c>
    </row>
    <row r="5027" spans="1:7" x14ac:dyDescent="0.3">
      <c r="A5027" t="s">
        <v>2371</v>
      </c>
      <c r="C5027" s="75" t="e">
        <f>+C5025/C5022-1</f>
        <v>#REF!</v>
      </c>
      <c r="D5027" s="75" t="e">
        <f>+D5025/D5022-1</f>
        <v>#REF!</v>
      </c>
      <c r="E5027" s="75" t="e">
        <f>+E5025/E5022-1</f>
        <v>#REF!</v>
      </c>
      <c r="F5027" s="75" t="e">
        <f>+F5025/F5022-1</f>
        <v>#REF!</v>
      </c>
      <c r="G5027" s="75" t="e">
        <f>+G5025/G5022-1</f>
        <v>#REF!</v>
      </c>
    </row>
    <row r="5028" spans="1:7" x14ac:dyDescent="0.3">
      <c r="A5028" s="114"/>
      <c r="B5028" s="114"/>
      <c r="C5028" s="115"/>
      <c r="D5028" s="115"/>
      <c r="E5028" s="115"/>
      <c r="F5028" s="115"/>
      <c r="G5028" s="115"/>
    </row>
    <row r="5029" spans="1:7" x14ac:dyDescent="0.3">
      <c r="A5029" s="298"/>
    </row>
    <row r="5030" spans="1:7" x14ac:dyDescent="0.3">
      <c r="A5030" s="141" t="s">
        <v>2373</v>
      </c>
    </row>
    <row r="5031" spans="1:7" ht="48" x14ac:dyDescent="0.3">
      <c r="A5031" s="457"/>
      <c r="B5031" s="383" t="s">
        <v>2374</v>
      </c>
      <c r="C5031" s="383" t="s">
        <v>2375</v>
      </c>
      <c r="D5031" s="383" t="s">
        <v>2376</v>
      </c>
      <c r="E5031" s="383" t="s">
        <v>722</v>
      </c>
    </row>
    <row r="5032" spans="1:7" x14ac:dyDescent="0.3">
      <c r="A5032" t="s">
        <v>2377</v>
      </c>
      <c r="B5032" s="95">
        <v>3200</v>
      </c>
      <c r="C5032" s="95">
        <v>3700</v>
      </c>
      <c r="D5032" s="95">
        <v>3140</v>
      </c>
    </row>
    <row r="5033" spans="1:7" x14ac:dyDescent="0.3">
      <c r="A5033" t="s">
        <v>2378</v>
      </c>
      <c r="B5033" s="191">
        <v>0.42</v>
      </c>
      <c r="C5033" s="191">
        <v>0.48</v>
      </c>
      <c r="D5033" s="191">
        <v>0.44</v>
      </c>
    </row>
    <row r="5035" spans="1:7" x14ac:dyDescent="0.3">
      <c r="A5035" s="141" t="s">
        <v>2309</v>
      </c>
    </row>
    <row r="5036" spans="1:7" x14ac:dyDescent="0.3">
      <c r="A5036" t="s">
        <v>2165</v>
      </c>
      <c r="B5036" s="95">
        <v>1190</v>
      </c>
      <c r="C5036" s="95">
        <v>1520</v>
      </c>
      <c r="D5036" s="95">
        <v>1340</v>
      </c>
    </row>
    <row r="5037" spans="1:7" x14ac:dyDescent="0.3">
      <c r="A5037" t="s">
        <v>2379</v>
      </c>
      <c r="B5037" s="95">
        <v>110</v>
      </c>
      <c r="C5037" s="95">
        <v>110</v>
      </c>
      <c r="D5037" s="95">
        <v>110</v>
      </c>
    </row>
    <row r="5038" spans="1:7" x14ac:dyDescent="0.3">
      <c r="A5038" t="s">
        <v>2167</v>
      </c>
      <c r="B5038" s="95">
        <v>260</v>
      </c>
      <c r="C5038" s="95">
        <v>0</v>
      </c>
      <c r="D5038" s="95">
        <v>410</v>
      </c>
    </row>
    <row r="5039" spans="1:7" x14ac:dyDescent="0.3">
      <c r="A5039" s="90" t="s">
        <v>266</v>
      </c>
      <c r="B5039" s="803">
        <f>+SUM(B5036:B5038)</f>
        <v>1560</v>
      </c>
      <c r="C5039" s="803">
        <f>+SUM(C5036:C5038)</f>
        <v>1630</v>
      </c>
      <c r="D5039" s="803">
        <f>+SUM(D5036:D5038)</f>
        <v>1860</v>
      </c>
    </row>
    <row r="5041" spans="1:5" x14ac:dyDescent="0.3">
      <c r="A5041" s="141" t="s">
        <v>188</v>
      </c>
    </row>
    <row r="5042" spans="1:5" x14ac:dyDescent="0.3">
      <c r="A5042" t="s">
        <v>2165</v>
      </c>
      <c r="B5042" s="95">
        <v>820</v>
      </c>
      <c r="C5042" s="95">
        <v>1050</v>
      </c>
      <c r="D5042" s="95">
        <v>950</v>
      </c>
    </row>
    <row r="5043" spans="1:5" x14ac:dyDescent="0.3">
      <c r="A5043" t="s">
        <v>2379</v>
      </c>
      <c r="B5043" s="95">
        <v>100</v>
      </c>
      <c r="C5043" s="95">
        <v>100</v>
      </c>
      <c r="D5043" s="95">
        <v>100</v>
      </c>
    </row>
    <row r="5044" spans="1:5" x14ac:dyDescent="0.3">
      <c r="A5044" t="s">
        <v>2167</v>
      </c>
      <c r="B5044" s="95">
        <v>220</v>
      </c>
      <c r="C5044" s="95">
        <v>0</v>
      </c>
      <c r="D5044" s="95">
        <v>350</v>
      </c>
    </row>
    <row r="5045" spans="1:5" x14ac:dyDescent="0.3">
      <c r="A5045" s="90" t="s">
        <v>266</v>
      </c>
      <c r="B5045" s="803">
        <f>+SUM(B5042:B5044)</f>
        <v>1140</v>
      </c>
      <c r="C5045" s="803">
        <f>+SUM(C5042:C5044)</f>
        <v>1150</v>
      </c>
      <c r="D5045" s="803">
        <f>+SUM(D5042:D5044)</f>
        <v>1400</v>
      </c>
    </row>
    <row r="5046" spans="1:5" x14ac:dyDescent="0.3">
      <c r="A5046" s="141"/>
    </row>
    <row r="5047" spans="1:5" x14ac:dyDescent="0.3">
      <c r="A5047" s="141" t="s">
        <v>2380</v>
      </c>
    </row>
    <row r="5048" spans="1:5" x14ac:dyDescent="0.3">
      <c r="A5048" t="s">
        <v>2165</v>
      </c>
      <c r="B5048" s="95">
        <v>3340</v>
      </c>
      <c r="C5048" s="95">
        <v>4550</v>
      </c>
      <c r="D5048" s="95">
        <v>3560</v>
      </c>
    </row>
    <row r="5049" spans="1:5" x14ac:dyDescent="0.3">
      <c r="A5049" t="s">
        <v>2379</v>
      </c>
      <c r="B5049" s="95">
        <v>650</v>
      </c>
      <c r="C5049" s="95">
        <v>650</v>
      </c>
      <c r="D5049" s="95">
        <v>650</v>
      </c>
    </row>
    <row r="5050" spans="1:5" x14ac:dyDescent="0.3">
      <c r="A5050" t="s">
        <v>2167</v>
      </c>
      <c r="B5050" s="95">
        <v>1640</v>
      </c>
      <c r="C5050" s="95">
        <v>10</v>
      </c>
      <c r="D5050" s="95">
        <v>2710</v>
      </c>
    </row>
    <row r="5051" spans="1:5" x14ac:dyDescent="0.3">
      <c r="A5051" s="90" t="s">
        <v>266</v>
      </c>
      <c r="B5051" s="803">
        <f>+SUM(B5048:B5050)</f>
        <v>5630</v>
      </c>
      <c r="C5051" s="803">
        <f>+SUM(C5048:C5050)</f>
        <v>5210</v>
      </c>
      <c r="D5051" s="803">
        <f>+SUM(D5048:D5050)</f>
        <v>6920</v>
      </c>
    </row>
    <row r="5052" spans="1:5" x14ac:dyDescent="0.3">
      <c r="A5052" s="141"/>
    </row>
    <row r="5053" spans="1:5" x14ac:dyDescent="0.3">
      <c r="A5053" s="90" t="s">
        <v>2381</v>
      </c>
      <c r="B5053" s="463">
        <v>870</v>
      </c>
      <c r="C5053" s="463">
        <v>830</v>
      </c>
      <c r="D5053" s="463">
        <v>1120</v>
      </c>
    </row>
    <row r="5054" spans="1:5" x14ac:dyDescent="0.3">
      <c r="A5054" s="478"/>
      <c r="B5054" s="114"/>
      <c r="C5054" s="114"/>
      <c r="D5054" s="114"/>
    </row>
    <row r="5055" spans="1:5" x14ac:dyDescent="0.3">
      <c r="A5055" s="141"/>
    </row>
    <row r="5056" spans="1:5" ht="48" x14ac:dyDescent="0.3">
      <c r="A5056" s="457"/>
      <c r="B5056" s="383" t="s">
        <v>2374</v>
      </c>
      <c r="C5056" s="383" t="s">
        <v>2375</v>
      </c>
      <c r="D5056" s="383" t="s">
        <v>2376</v>
      </c>
      <c r="E5056" s="383" t="s">
        <v>722</v>
      </c>
    </row>
    <row r="5057" spans="1:7" x14ac:dyDescent="0.3">
      <c r="A5057" s="141" t="s">
        <v>2382</v>
      </c>
    </row>
    <row r="5058" spans="1:7" x14ac:dyDescent="0.3">
      <c r="A5058" t="s">
        <v>2165</v>
      </c>
      <c r="B5058" s="480">
        <f t="shared" ref="B5058:D5061" si="1508">+B5036/B$5032/12*1000</f>
        <v>30.989583333333336</v>
      </c>
      <c r="C5058" s="480">
        <f t="shared" si="1508"/>
        <v>34.234234234234236</v>
      </c>
      <c r="D5058" s="480">
        <f t="shared" si="1508"/>
        <v>35.562632696390658</v>
      </c>
      <c r="E5058" s="480">
        <f>+N4568/N4564/12*1000</f>
        <v>34.95730941014439</v>
      </c>
    </row>
    <row r="5059" spans="1:7" x14ac:dyDescent="0.3">
      <c r="A5059" t="s">
        <v>2379</v>
      </c>
      <c r="B5059" s="480">
        <f t="shared" si="1508"/>
        <v>2.8645833333333335</v>
      </c>
      <c r="C5059" s="480">
        <f t="shared" si="1508"/>
        <v>2.4774774774774779</v>
      </c>
      <c r="D5059" s="480">
        <f t="shared" si="1508"/>
        <v>2.9193205944798297</v>
      </c>
      <c r="E5059" s="480">
        <f>+SUM(N4621,N4614)/N4564/12*1000</f>
        <v>0.57806666666666662</v>
      </c>
    </row>
    <row r="5060" spans="1:7" x14ac:dyDescent="0.3">
      <c r="A5060" t="s">
        <v>2167</v>
      </c>
      <c r="B5060" s="480">
        <f t="shared" si="1508"/>
        <v>6.7708333333333339</v>
      </c>
      <c r="C5060" s="480">
        <f t="shared" si="1508"/>
        <v>0</v>
      </c>
      <c r="D5060" s="480">
        <f t="shared" si="1508"/>
        <v>10.881104033970276</v>
      </c>
      <c r="E5060" s="650">
        <v>0</v>
      </c>
    </row>
    <row r="5061" spans="1:7" x14ac:dyDescent="0.3">
      <c r="A5061" s="90" t="s">
        <v>266</v>
      </c>
      <c r="B5061" s="1808">
        <f t="shared" si="1508"/>
        <v>40.625</v>
      </c>
      <c r="C5061" s="1808">
        <f t="shared" si="1508"/>
        <v>36.711711711711715</v>
      </c>
      <c r="D5061" s="1808">
        <f t="shared" si="1508"/>
        <v>49.36305732484076</v>
      </c>
      <c r="E5061" s="1808">
        <f>+SUM(E5058:E5060)</f>
        <v>35.535376076811055</v>
      </c>
    </row>
    <row r="5062" spans="1:7" x14ac:dyDescent="0.3">
      <c r="A5062" s="90"/>
      <c r="B5062" s="479"/>
      <c r="C5062" s="479"/>
      <c r="D5062" s="479"/>
    </row>
    <row r="5063" spans="1:7" x14ac:dyDescent="0.3">
      <c r="A5063" s="141" t="s">
        <v>2383</v>
      </c>
      <c r="F5063" s="76">
        <v>5500</v>
      </c>
      <c r="G5063" s="76">
        <v>6000</v>
      </c>
    </row>
    <row r="5064" spans="1:7" x14ac:dyDescent="0.3">
      <c r="A5064" t="s">
        <v>2165</v>
      </c>
      <c r="B5064" s="480">
        <f t="shared" ref="B5064:D5067" si="1509">+B5042/B$5032/12*1000</f>
        <v>21.354166666666664</v>
      </c>
      <c r="C5064" s="480">
        <f t="shared" si="1509"/>
        <v>23.648648648648646</v>
      </c>
      <c r="D5064" s="480">
        <f t="shared" si="1509"/>
        <v>25.212314225053078</v>
      </c>
      <c r="E5064" s="480">
        <f>+N4957/N4843/12*1000</f>
        <v>25.027410199886219</v>
      </c>
      <c r="F5064" s="76">
        <f>+AVERAGE(B5064:D5064)*F5063*12/1000</f>
        <v>1544.7328498881047</v>
      </c>
      <c r="G5064" s="76">
        <f>+AVERAGE(B5064:D5064)*G5063*12/1000</f>
        <v>1685.1631089688419</v>
      </c>
    </row>
    <row r="5065" spans="1:7" x14ac:dyDescent="0.3">
      <c r="A5065" t="s">
        <v>2379</v>
      </c>
      <c r="B5065" s="480">
        <f t="shared" si="1509"/>
        <v>2.6041666666666665</v>
      </c>
      <c r="C5065" s="480">
        <f t="shared" si="1509"/>
        <v>2.2522522522522523</v>
      </c>
      <c r="D5065" s="480">
        <f t="shared" si="1509"/>
        <v>2.6539278131634818</v>
      </c>
      <c r="E5065" s="480">
        <f>+SUM(N4623,N4616)/N4564/12*1000</f>
        <v>0.5041199999999999</v>
      </c>
    </row>
    <row r="5066" spans="1:7" x14ac:dyDescent="0.3">
      <c r="A5066" t="s">
        <v>2167</v>
      </c>
      <c r="B5066" s="480">
        <f t="shared" si="1509"/>
        <v>5.729166666666667</v>
      </c>
      <c r="C5066" s="480">
        <f t="shared" si="1509"/>
        <v>0</v>
      </c>
      <c r="D5066" s="480">
        <f t="shared" si="1509"/>
        <v>9.2887473460721868</v>
      </c>
      <c r="E5066" s="650">
        <v>0</v>
      </c>
    </row>
    <row r="5067" spans="1:7" x14ac:dyDescent="0.3">
      <c r="A5067" s="90" t="s">
        <v>266</v>
      </c>
      <c r="B5067" s="1808">
        <f t="shared" si="1509"/>
        <v>29.687500000000004</v>
      </c>
      <c r="C5067" s="1808">
        <f t="shared" si="1509"/>
        <v>25.900900900900901</v>
      </c>
      <c r="D5067" s="1808">
        <f t="shared" si="1509"/>
        <v>37.154989384288747</v>
      </c>
      <c r="E5067" s="1808">
        <f>+SUM(E5064:E5066)</f>
        <v>25.53153019988622</v>
      </c>
    </row>
    <row r="5068" spans="1:7" x14ac:dyDescent="0.3">
      <c r="A5068" s="141"/>
    </row>
    <row r="5069" spans="1:7" x14ac:dyDescent="0.3">
      <c r="A5069" s="141" t="s">
        <v>2384</v>
      </c>
    </row>
    <row r="5070" spans="1:7" x14ac:dyDescent="0.3">
      <c r="A5070" t="s">
        <v>2165</v>
      </c>
      <c r="B5070" s="74">
        <f t="shared" ref="B5070:D5073" si="1510">+B5042/B5036</f>
        <v>0.68907563025210083</v>
      </c>
      <c r="C5070" s="74">
        <f t="shared" si="1510"/>
        <v>0.69078947368421051</v>
      </c>
      <c r="D5070" s="74">
        <f t="shared" si="1510"/>
        <v>0.70895522388059706</v>
      </c>
      <c r="E5070" s="74">
        <f>+E5064/E5058</f>
        <v>0.71594211975088173</v>
      </c>
    </row>
    <row r="5071" spans="1:7" x14ac:dyDescent="0.3">
      <c r="A5071" t="s">
        <v>2379</v>
      </c>
      <c r="B5071" s="74">
        <f t="shared" si="1510"/>
        <v>0.90909090909090906</v>
      </c>
      <c r="C5071" s="74">
        <f t="shared" si="1510"/>
        <v>0.90909090909090906</v>
      </c>
      <c r="D5071" s="74">
        <f t="shared" si="1510"/>
        <v>0.90909090909090906</v>
      </c>
      <c r="E5071" s="74">
        <f>+E5065/E5059</f>
        <v>0.87207934494291306</v>
      </c>
    </row>
    <row r="5072" spans="1:7" x14ac:dyDescent="0.3">
      <c r="A5072" t="s">
        <v>2167</v>
      </c>
      <c r="B5072" s="74">
        <f t="shared" si="1510"/>
        <v>0.84615384615384615</v>
      </c>
      <c r="C5072" s="74" t="str">
        <f>+IFERROR(C5066/C5060,"")</f>
        <v/>
      </c>
      <c r="D5072" s="74">
        <f t="shared" si="1510"/>
        <v>0.85365853658536583</v>
      </c>
      <c r="E5072" s="74" t="str">
        <f>+IFERROR(E5066/E5060,"")</f>
        <v/>
      </c>
    </row>
    <row r="5073" spans="1:8" x14ac:dyDescent="0.3">
      <c r="A5073" s="90" t="s">
        <v>266</v>
      </c>
      <c r="B5073" s="1809">
        <f t="shared" si="1510"/>
        <v>0.73076923076923073</v>
      </c>
      <c r="C5073" s="1809">
        <f t="shared" si="1510"/>
        <v>0.70552147239263807</v>
      </c>
      <c r="D5073" s="1809">
        <f t="shared" si="1510"/>
        <v>0.75268817204301075</v>
      </c>
      <c r="E5073" s="1809">
        <f>+N4957/N4946</f>
        <v>0.70429563333700285</v>
      </c>
    </row>
    <row r="5074" spans="1:8" x14ac:dyDescent="0.3">
      <c r="A5074" s="478"/>
      <c r="B5074" s="114"/>
      <c r="C5074" s="114"/>
      <c r="D5074" s="114"/>
      <c r="E5074" s="114"/>
    </row>
    <row r="5075" spans="1:8" x14ac:dyDescent="0.3">
      <c r="A5075" s="141"/>
      <c r="D5075" s="74"/>
    </row>
    <row r="5076" spans="1:8" x14ac:dyDescent="0.3">
      <c r="A5076" s="298"/>
    </row>
    <row r="5077" spans="1:8" x14ac:dyDescent="0.3">
      <c r="C5077" s="75"/>
      <c r="D5077" s="75"/>
      <c r="E5077" s="75"/>
      <c r="F5077" s="75"/>
      <c r="G5077" s="75"/>
    </row>
    <row r="5078" spans="1:8" x14ac:dyDescent="0.3">
      <c r="A5078" s="141" t="s">
        <v>2385</v>
      </c>
    </row>
    <row r="5079" spans="1:8" x14ac:dyDescent="0.3">
      <c r="A5079" s="147"/>
      <c r="B5079" s="147">
        <v>2019</v>
      </c>
      <c r="C5079" s="147">
        <v>2020</v>
      </c>
      <c r="D5079" s="147">
        <f>+C5079+1</f>
        <v>2021</v>
      </c>
      <c r="E5079" s="147">
        <f>+D5079+1</f>
        <v>2022</v>
      </c>
      <c r="F5079" s="147">
        <f>+E5079+1</f>
        <v>2023</v>
      </c>
      <c r="G5079" s="147">
        <f>+F5079+1</f>
        <v>2024</v>
      </c>
    </row>
    <row r="5080" spans="1:8" x14ac:dyDescent="0.3">
      <c r="A5080" t="s">
        <v>598</v>
      </c>
      <c r="B5080" s="76">
        <f t="shared" ref="B5080:G5080" si="1511">+B4243</f>
        <v>7502</v>
      </c>
      <c r="C5080" s="76" t="e">
        <f t="shared" si="1511"/>
        <v>#REF!</v>
      </c>
      <c r="D5080" s="76">
        <f t="shared" si="1511"/>
        <v>6374</v>
      </c>
      <c r="E5080" s="76">
        <f t="shared" si="1511"/>
        <v>5778</v>
      </c>
      <c r="F5080" s="76">
        <f t="shared" si="1511"/>
        <v>5618</v>
      </c>
      <c r="G5080" s="76">
        <f t="shared" si="1511"/>
        <v>5535</v>
      </c>
    </row>
    <row r="5081" spans="1:8" x14ac:dyDescent="0.3">
      <c r="A5081" s="177" t="s">
        <v>2140</v>
      </c>
      <c r="B5081" s="76">
        <f t="shared" ref="B5081:G5081" si="1512">+B5080-B5082</f>
        <v>4575</v>
      </c>
      <c r="C5081" s="76" t="e">
        <f t="shared" si="1512"/>
        <v>#REF!</v>
      </c>
      <c r="D5081" s="76">
        <f t="shared" si="1512"/>
        <v>3937</v>
      </c>
      <c r="E5081" s="76">
        <f t="shared" si="1512"/>
        <v>3723</v>
      </c>
      <c r="F5081" s="76">
        <f t="shared" si="1512"/>
        <v>3570</v>
      </c>
      <c r="G5081" s="76">
        <f t="shared" si="1512"/>
        <v>3495</v>
      </c>
    </row>
    <row r="5082" spans="1:8" x14ac:dyDescent="0.3">
      <c r="A5082" s="298" t="s">
        <v>218</v>
      </c>
      <c r="B5082" s="803">
        <f t="shared" ref="B5082:G5082" si="1513">+B4253</f>
        <v>2927</v>
      </c>
      <c r="C5082" s="803">
        <f t="shared" si="1513"/>
        <v>2775</v>
      </c>
      <c r="D5082" s="803">
        <f t="shared" si="1513"/>
        <v>2437</v>
      </c>
      <c r="E5082" s="803">
        <f t="shared" si="1513"/>
        <v>2055</v>
      </c>
      <c r="F5082" s="803">
        <f t="shared" si="1513"/>
        <v>2048</v>
      </c>
      <c r="G5082" s="803">
        <f t="shared" si="1513"/>
        <v>2040</v>
      </c>
    </row>
    <row r="5083" spans="1:8" x14ac:dyDescent="0.3">
      <c r="A5083" s="177" t="s">
        <v>587</v>
      </c>
      <c r="B5083" s="79">
        <f>+'Model Main'!DY65</f>
        <v>1780</v>
      </c>
      <c r="C5083" s="79">
        <f>+'Model Main'!ED65</f>
        <v>1598</v>
      </c>
      <c r="D5083" s="76" t="e">
        <f>+C5083/C5080*D5080</f>
        <v>#REF!</v>
      </c>
      <c r="E5083" s="76" t="e">
        <f>+D5083/D5080*E5080</f>
        <v>#REF!</v>
      </c>
      <c r="F5083" s="76" t="e">
        <f>+E5083/E5080*F5080</f>
        <v>#REF!</v>
      </c>
      <c r="G5083" s="76" t="e">
        <f>+F5083/F5080*G5080</f>
        <v>#REF!</v>
      </c>
    </row>
    <row r="5084" spans="1:8" x14ac:dyDescent="0.3">
      <c r="A5084" s="177" t="s">
        <v>2386</v>
      </c>
      <c r="B5084" s="365">
        <f>+B5082-B5083-B5085</f>
        <v>6020</v>
      </c>
      <c r="C5084" s="365">
        <f>+C5082-C5083-C5085</f>
        <v>218</v>
      </c>
      <c r="D5084" s="79">
        <f>+SUM('Model Main'!EI66:EI68)</f>
        <v>122</v>
      </c>
      <c r="E5084" s="79">
        <f>+SUM('Model Main'!EN66:EN68)</f>
        <v>306</v>
      </c>
      <c r="F5084" s="79">
        <f>+SUM('Model Main'!ES66:ES68)</f>
        <v>220</v>
      </c>
      <c r="G5084" s="79">
        <f>+SUM('Model Main'!EX66:EX68)</f>
        <v>277</v>
      </c>
    </row>
    <row r="5085" spans="1:8" x14ac:dyDescent="0.3">
      <c r="A5085" s="298" t="s">
        <v>589</v>
      </c>
      <c r="B5085" s="855">
        <f>+'Model Main'!DY69</f>
        <v>-4873</v>
      </c>
      <c r="C5085" s="855">
        <f>+'Model Main'!ED69</f>
        <v>959</v>
      </c>
      <c r="D5085" s="803" t="e">
        <f>+D5082-D5083-D5084</f>
        <v>#REF!</v>
      </c>
      <c r="E5085" s="803" t="e">
        <f>+E5082-E5083-E5084</f>
        <v>#REF!</v>
      </c>
      <c r="F5085" s="803" t="e">
        <f>+F5082-F5083-F5084</f>
        <v>#REF!</v>
      </c>
      <c r="G5085" s="803" t="e">
        <f>+G5082-G5083-G5084</f>
        <v>#REF!</v>
      </c>
    </row>
    <row r="5086" spans="1:8" x14ac:dyDescent="0.3">
      <c r="A5086" s="177" t="s">
        <v>1246</v>
      </c>
      <c r="B5086" s="79">
        <f>+'Model Main'!DY73</f>
        <v>1535</v>
      </c>
      <c r="C5086" s="79">
        <f>+'Model Main'!ED73</f>
        <v>762</v>
      </c>
      <c r="D5086" s="79">
        <f>+'Model Main'!EI73</f>
        <v>375</v>
      </c>
      <c r="E5086" s="79">
        <f>+'Model Main'!EN73</f>
        <v>492</v>
      </c>
      <c r="F5086" s="79">
        <f>+'Model Main'!ES73</f>
        <v>653</v>
      </c>
      <c r="G5086" s="79">
        <f>+'Model Main'!EX73</f>
        <v>804</v>
      </c>
    </row>
    <row r="5087" spans="1:8" x14ac:dyDescent="0.3">
      <c r="A5087" s="177" t="s">
        <v>2386</v>
      </c>
      <c r="B5087" s="79">
        <f>+B5085-B5086-B5088</f>
        <v>114</v>
      </c>
      <c r="C5087" s="79">
        <f>+C5085-C5086-C5088</f>
        <v>683</v>
      </c>
      <c r="D5087" s="79">
        <f>+SUM('Model Main'!EI71:EI72)</f>
        <v>-4167</v>
      </c>
      <c r="E5087" s="79">
        <f>+SUM('Model Main'!EN71:EN72)</f>
        <v>-499</v>
      </c>
      <c r="F5087" s="79">
        <f>+SUM('Model Main'!ES71:ES72)</f>
        <v>-278</v>
      </c>
      <c r="G5087" s="79">
        <f>+SUM('Model Main'!EX71:EX72)</f>
        <v>-105</v>
      </c>
      <c r="H5087" s="76"/>
    </row>
    <row r="5088" spans="1:8" x14ac:dyDescent="0.3">
      <c r="A5088" s="298" t="s">
        <v>2180</v>
      </c>
      <c r="B5088" s="855">
        <f>+'Model Main'!DY74</f>
        <v>-6522</v>
      </c>
      <c r="C5088" s="855">
        <f>+'Model Main'!ED74</f>
        <v>-486</v>
      </c>
      <c r="D5088" s="803" t="e">
        <f>+D5085-D5086-D5087</f>
        <v>#REF!</v>
      </c>
      <c r="E5088" s="803" t="e">
        <f>+E5085-E5086-E5087</f>
        <v>#REF!</v>
      </c>
      <c r="F5088" s="803" t="e">
        <f>+F5085-F5086-F5087</f>
        <v>#REF!</v>
      </c>
      <c r="G5088" s="803" t="e">
        <f>+G5085-G5086-G5087</f>
        <v>#REF!</v>
      </c>
    </row>
    <row r="5089" spans="1:14" x14ac:dyDescent="0.3">
      <c r="A5089" s="177" t="s">
        <v>1248</v>
      </c>
      <c r="B5089" s="79">
        <f>+'Model Main'!DY75</f>
        <v>-611</v>
      </c>
      <c r="C5089" s="79">
        <f>+'Model Main'!ED75</f>
        <v>-84</v>
      </c>
      <c r="D5089" s="76" t="e">
        <f>+D5088*D5090</f>
        <v>#REF!</v>
      </c>
      <c r="E5089" s="76" t="e">
        <f>+E5088*E5090</f>
        <v>#REF!</v>
      </c>
      <c r="F5089" s="76" t="e">
        <f>+F5088*F5090</f>
        <v>#REF!</v>
      </c>
      <c r="G5089" s="76" t="e">
        <f>+G5088*G5090</f>
        <v>#REF!</v>
      </c>
    </row>
    <row r="5090" spans="1:14" x14ac:dyDescent="0.3">
      <c r="A5090" s="465" t="s">
        <v>2387</v>
      </c>
      <c r="B5090" s="75">
        <f>+B5089/B5088</f>
        <v>9.3682919349892674E-2</v>
      </c>
      <c r="C5090" s="75">
        <f>+C5089/C5088</f>
        <v>0.1728395061728395</v>
      </c>
      <c r="D5090" s="376">
        <f>+'Model Main'!EI77</f>
        <v>-1.0193679918450561E-2</v>
      </c>
      <c r="E5090" s="376">
        <f>+'Model Main'!EN77</f>
        <v>0.26377295492487479</v>
      </c>
      <c r="F5090" s="376">
        <f>+'Model Main'!ES77</f>
        <v>0.75213675213675213</v>
      </c>
      <c r="G5090" s="376">
        <f>+'Model Main'!EX77</f>
        <v>6.9364161849710976E-2</v>
      </c>
    </row>
    <row r="5091" spans="1:14" ht="12.5" thickBot="1" x14ac:dyDescent="0.35">
      <c r="A5091" s="298" t="s">
        <v>242</v>
      </c>
      <c r="B5091" s="466">
        <f t="shared" ref="B5091:G5091" si="1514">+B5088-B5089</f>
        <v>-5911</v>
      </c>
      <c r="C5091" s="466">
        <f t="shared" si="1514"/>
        <v>-402</v>
      </c>
      <c r="D5091" s="466" t="e">
        <f t="shared" si="1514"/>
        <v>#REF!</v>
      </c>
      <c r="E5091" s="466" t="e">
        <f t="shared" si="1514"/>
        <v>#REF!</v>
      </c>
      <c r="F5091" s="466" t="e">
        <f t="shared" si="1514"/>
        <v>#REF!</v>
      </c>
      <c r="G5091" s="466" t="e">
        <f t="shared" si="1514"/>
        <v>#REF!</v>
      </c>
    </row>
    <row r="5092" spans="1:14" ht="12.5" thickTop="1" x14ac:dyDescent="0.3">
      <c r="A5092" s="177" t="s">
        <v>2182</v>
      </c>
      <c r="B5092" s="76">
        <f t="shared" ref="B5092:G5092" si="1515">+B5083</f>
        <v>1780</v>
      </c>
      <c r="C5092" s="76">
        <f t="shared" si="1515"/>
        <v>1598</v>
      </c>
      <c r="D5092" s="76" t="e">
        <f t="shared" si="1515"/>
        <v>#REF!</v>
      </c>
      <c r="E5092" s="76" t="e">
        <f t="shared" si="1515"/>
        <v>#REF!</v>
      </c>
      <c r="F5092" s="76" t="e">
        <f t="shared" si="1515"/>
        <v>#REF!</v>
      </c>
      <c r="G5092" s="76" t="e">
        <f t="shared" si="1515"/>
        <v>#REF!</v>
      </c>
    </row>
    <row r="5093" spans="1:14" x14ac:dyDescent="0.3">
      <c r="A5093" s="177" t="s">
        <v>2388</v>
      </c>
      <c r="B5093" s="79" t="e">
        <f>+SUM('Model Main'!#REF!)</f>
        <v>#REF!</v>
      </c>
      <c r="C5093" s="79" t="e">
        <f>+SUM('Model Main'!#REF!)</f>
        <v>#REF!</v>
      </c>
      <c r="D5093" s="79" t="e">
        <f>+SUM('Model Main'!#REF!)</f>
        <v>#REF!</v>
      </c>
      <c r="E5093" s="79" t="e">
        <f>+SUM('Model Main'!#REF!)</f>
        <v>#REF!</v>
      </c>
      <c r="F5093" s="79" t="e">
        <f>+SUM('Model Main'!#REF!)</f>
        <v>#REF!</v>
      </c>
      <c r="G5093" s="79" t="e">
        <f>+SUM('Model Main'!#REF!)</f>
        <v>#REF!</v>
      </c>
    </row>
    <row r="5094" spans="1:14" x14ac:dyDescent="0.3">
      <c r="A5094" s="177" t="s">
        <v>101</v>
      </c>
      <c r="B5094" s="76">
        <f t="shared" ref="B5094:G5094" si="1516">+B4256</f>
        <v>1141</v>
      </c>
      <c r="C5094" s="76">
        <f t="shared" si="1516"/>
        <v>1427</v>
      </c>
      <c r="D5094" s="76">
        <f t="shared" si="1516"/>
        <v>986</v>
      </c>
      <c r="E5094" s="76">
        <f t="shared" si="1516"/>
        <v>983</v>
      </c>
      <c r="F5094" s="76">
        <f t="shared" si="1516"/>
        <v>984</v>
      </c>
      <c r="G5094" s="76">
        <f t="shared" si="1516"/>
        <v>995</v>
      </c>
    </row>
    <row r="5095" spans="1:14" ht="12.5" thickBot="1" x14ac:dyDescent="0.35">
      <c r="A5095" s="298" t="s">
        <v>248</v>
      </c>
      <c r="B5095" s="466" t="e">
        <f t="shared" ref="B5095:G5095" si="1517">+B5091+B5092+B5093-B5094</f>
        <v>#REF!</v>
      </c>
      <c r="C5095" s="466" t="e">
        <f t="shared" si="1517"/>
        <v>#REF!</v>
      </c>
      <c r="D5095" s="466" t="e">
        <f t="shared" si="1517"/>
        <v>#REF!</v>
      </c>
      <c r="E5095" s="466" t="e">
        <f t="shared" si="1517"/>
        <v>#REF!</v>
      </c>
      <c r="F5095" s="466" t="e">
        <f t="shared" si="1517"/>
        <v>#REF!</v>
      </c>
      <c r="G5095" s="466" t="e">
        <f t="shared" si="1517"/>
        <v>#REF!</v>
      </c>
    </row>
    <row r="5096" spans="1:14" ht="12.5" thickTop="1" x14ac:dyDescent="0.3">
      <c r="A5096" s="114"/>
      <c r="B5096" s="114"/>
      <c r="C5096" s="114"/>
      <c r="D5096" s="114"/>
      <c r="E5096" s="114"/>
      <c r="F5096" s="114"/>
      <c r="G5096" s="114"/>
    </row>
    <row r="5099" spans="1:14" x14ac:dyDescent="0.3">
      <c r="A5099" s="627" t="s">
        <v>2389</v>
      </c>
      <c r="B5099" s="627"/>
      <c r="C5099" s="627"/>
      <c r="D5099" s="627"/>
      <c r="E5099" s="627"/>
      <c r="F5099" s="627"/>
      <c r="G5099" s="627"/>
      <c r="H5099" s="627"/>
      <c r="I5099" s="627"/>
      <c r="J5099" s="627"/>
      <c r="K5099" s="627"/>
      <c r="L5099" s="627"/>
      <c r="M5099" s="627"/>
      <c r="N5099" s="627"/>
    </row>
    <row r="5101" spans="1:14" x14ac:dyDescent="0.3">
      <c r="A5101" t="s">
        <v>2390</v>
      </c>
      <c r="B5101" s="95">
        <v>10540</v>
      </c>
    </row>
    <row r="5102" spans="1:14" x14ac:dyDescent="0.3">
      <c r="A5102" t="s">
        <v>2391</v>
      </c>
      <c r="B5102" s="549">
        <f>+B5101/B5113</f>
        <v>4.562770562770563</v>
      </c>
    </row>
    <row r="5103" spans="1:14" x14ac:dyDescent="0.3">
      <c r="A5103" t="s">
        <v>2392</v>
      </c>
      <c r="B5103" s="95">
        <v>3708</v>
      </c>
    </row>
    <row r="5104" spans="1:14" x14ac:dyDescent="0.3">
      <c r="A5104" t="s">
        <v>2393</v>
      </c>
      <c r="B5104" s="95">
        <v>2192</v>
      </c>
    </row>
    <row r="5105" spans="1:6" x14ac:dyDescent="0.3">
      <c r="A5105" t="s">
        <v>2394</v>
      </c>
      <c r="B5105" s="95">
        <v>1181</v>
      </c>
    </row>
    <row r="5106" spans="1:6" x14ac:dyDescent="0.3">
      <c r="A5106" t="s">
        <v>324</v>
      </c>
      <c r="B5106" s="95">
        <v>6059</v>
      </c>
      <c r="C5106">
        <f>+B5107/B5106</f>
        <v>0.54</v>
      </c>
      <c r="D5106" t="s">
        <v>2395</v>
      </c>
    </row>
    <row r="5107" spans="1:6" x14ac:dyDescent="0.3">
      <c r="A5107" t="s">
        <v>2396</v>
      </c>
      <c r="B5107" s="95">
        <f>+B5106*0.54</f>
        <v>3271.86</v>
      </c>
      <c r="F5107">
        <f>+B5107*3000/1000</f>
        <v>9815.58</v>
      </c>
    </row>
    <row r="5108" spans="1:6" x14ac:dyDescent="0.3">
      <c r="B5108" s="95"/>
    </row>
    <row r="5109" spans="1:6" x14ac:dyDescent="0.3">
      <c r="A5109" t="s">
        <v>2397</v>
      </c>
      <c r="B5109" s="95">
        <f>1600-225</f>
        <v>1375</v>
      </c>
      <c r="D5109" t="s">
        <v>2395</v>
      </c>
    </row>
    <row r="5110" spans="1:6" x14ac:dyDescent="0.3">
      <c r="A5110" t="s">
        <v>2398</v>
      </c>
      <c r="B5110" s="95">
        <v>1200</v>
      </c>
    </row>
    <row r="5111" spans="1:6" x14ac:dyDescent="0.3">
      <c r="B5111" s="95"/>
    </row>
    <row r="5112" spans="1:6" x14ac:dyDescent="0.3">
      <c r="A5112" t="s">
        <v>2399</v>
      </c>
      <c r="B5112" s="95">
        <v>5780</v>
      </c>
    </row>
    <row r="5113" spans="1:6" ht="12" customHeight="1" x14ac:dyDescent="0.3">
      <c r="A5113" t="s">
        <v>2400</v>
      </c>
      <c r="B5113" s="95">
        <v>2310</v>
      </c>
      <c r="C5113" s="74"/>
    </row>
    <row r="5114" spans="1:6" x14ac:dyDescent="0.3">
      <c r="A5114" t="s">
        <v>2401</v>
      </c>
      <c r="B5114" s="75">
        <f>+B5113/B5112</f>
        <v>0.39965397923875434</v>
      </c>
    </row>
    <row r="5116" spans="1:6" x14ac:dyDescent="0.3">
      <c r="A5116" s="147"/>
      <c r="B5116" s="374" t="s">
        <v>2269</v>
      </c>
      <c r="C5116" s="374" t="s">
        <v>2270</v>
      </c>
      <c r="D5116" s="374" t="s">
        <v>2271</v>
      </c>
    </row>
    <row r="5117" spans="1:6" x14ac:dyDescent="0.3">
      <c r="A5117" t="s">
        <v>2402</v>
      </c>
      <c r="B5117" s="95">
        <v>525</v>
      </c>
      <c r="C5117" s="365">
        <f>+AVERAGE(B5117,D5117)</f>
        <v>612.5</v>
      </c>
      <c r="D5117" s="95">
        <v>700</v>
      </c>
    </row>
    <row r="5118" spans="1:6" x14ac:dyDescent="0.3">
      <c r="A5118" t="s">
        <v>2403</v>
      </c>
      <c r="B5118" s="74">
        <f>+($B$5113+B5117)/$B$5112</f>
        <v>0.49048442906574397</v>
      </c>
      <c r="C5118" s="74">
        <f>+($B$5113+C5117)/$B$5112</f>
        <v>0.50562283737024216</v>
      </c>
      <c r="D5118" s="74">
        <f>+($B$5113+D5117)/$B$5112</f>
        <v>0.52076124567474047</v>
      </c>
    </row>
    <row r="5119" spans="1:6" x14ac:dyDescent="0.3">
      <c r="D5119" s="76"/>
    </row>
    <row r="5120" spans="1:6" x14ac:dyDescent="0.3">
      <c r="A5120" s="141" t="s">
        <v>2404</v>
      </c>
    </row>
    <row r="5121" spans="1:6" x14ac:dyDescent="0.3">
      <c r="A5121" s="147"/>
      <c r="B5121" s="147">
        <v>2012</v>
      </c>
      <c r="C5121" s="147">
        <f>+B5121+1</f>
        <v>2013</v>
      </c>
      <c r="D5121" s="147">
        <f>+C5121+1</f>
        <v>2014</v>
      </c>
    </row>
    <row r="5122" spans="1:6" x14ac:dyDescent="0.3">
      <c r="A5122" t="s">
        <v>284</v>
      </c>
      <c r="B5122" s="95">
        <v>5908</v>
      </c>
      <c r="C5122" s="95">
        <v>5824</v>
      </c>
      <c r="D5122" s="95">
        <v>5791</v>
      </c>
    </row>
    <row r="5123" spans="1:6" x14ac:dyDescent="0.3">
      <c r="A5123" t="s">
        <v>44</v>
      </c>
      <c r="B5123" s="95">
        <v>1675</v>
      </c>
      <c r="C5123" s="95">
        <v>1637</v>
      </c>
      <c r="D5123" s="95">
        <v>1584</v>
      </c>
      <c r="F5123" s="76"/>
    </row>
    <row r="5124" spans="1:6" x14ac:dyDescent="0.3">
      <c r="A5124" s="94" t="s">
        <v>2405</v>
      </c>
      <c r="B5124" s="74">
        <f>+B5123/B5122</f>
        <v>0.28351387948544349</v>
      </c>
      <c r="C5124" s="74">
        <f>+C5123/C5122</f>
        <v>0.2810782967032967</v>
      </c>
      <c r="D5124" s="74">
        <f>+D5123/D5122</f>
        <v>0.27352788810222761</v>
      </c>
    </row>
    <row r="5125" spans="1:6" x14ac:dyDescent="0.3">
      <c r="A5125" s="94"/>
      <c r="B5125" s="74"/>
      <c r="C5125" s="74"/>
      <c r="D5125" s="74"/>
    </row>
    <row r="5126" spans="1:6" x14ac:dyDescent="0.3">
      <c r="A5126" s="94"/>
      <c r="B5126" s="74"/>
      <c r="C5126" s="74"/>
      <c r="D5126" s="74"/>
    </row>
    <row r="5127" spans="1:6" x14ac:dyDescent="0.3">
      <c r="A5127" s="761"/>
      <c r="B5127" s="762" t="s">
        <v>628</v>
      </c>
      <c r="C5127" s="762" t="s">
        <v>629</v>
      </c>
      <c r="D5127" s="762" t="s">
        <v>266</v>
      </c>
    </row>
    <row r="5128" spans="1:6" x14ac:dyDescent="0.3">
      <c r="A5128" t="s">
        <v>44</v>
      </c>
      <c r="B5128" s="76">
        <f>+B4876</f>
        <v>934.19999999999993</v>
      </c>
      <c r="C5128" s="76">
        <f>+D5128-B5128</f>
        <v>1375.8000000000002</v>
      </c>
      <c r="D5128" s="76">
        <f>+B5113</f>
        <v>2310</v>
      </c>
    </row>
    <row r="5129" spans="1:6" x14ac:dyDescent="0.3">
      <c r="A5129" t="s">
        <v>2391</v>
      </c>
      <c r="B5129" s="299">
        <f>+B5130/B5128</f>
        <v>5.3915649753800041</v>
      </c>
      <c r="C5129" s="299">
        <v>4</v>
      </c>
      <c r="D5129" s="459">
        <f>+D5130/D5128</f>
        <v>4.562770562770563</v>
      </c>
    </row>
    <row r="5130" spans="1:6" x14ac:dyDescent="0.3">
      <c r="A5130" s="90" t="s">
        <v>865</v>
      </c>
      <c r="B5130" s="803">
        <f>+D5130-C5130</f>
        <v>5036.7999999999993</v>
      </c>
      <c r="C5130" s="803">
        <f>+C5128*C5129</f>
        <v>5503.2000000000007</v>
      </c>
      <c r="D5130" s="803">
        <f>+B5101</f>
        <v>10540</v>
      </c>
    </row>
    <row r="5131" spans="1:6" x14ac:dyDescent="0.3">
      <c r="B5131" s="76"/>
    </row>
    <row r="5132" spans="1:6" x14ac:dyDescent="0.3">
      <c r="A5132" s="141" t="s">
        <v>2406</v>
      </c>
      <c r="B5132" s="76"/>
    </row>
    <row r="5133" spans="1:6" x14ac:dyDescent="0.3">
      <c r="A5133" s="147" t="s">
        <v>2407</v>
      </c>
      <c r="B5133" s="381" t="s">
        <v>2408</v>
      </c>
    </row>
    <row r="5134" spans="1:6" hidden="1" outlineLevel="1" x14ac:dyDescent="0.3">
      <c r="B5134" s="76">
        <f>+B5129</f>
        <v>5.3915649753800041</v>
      </c>
    </row>
    <row r="5135" spans="1:6" collapsed="1" x14ac:dyDescent="0.3">
      <c r="A5135" s="763">
        <v>-1</v>
      </c>
      <c r="B5135" s="459"/>
    </row>
    <row r="5136" spans="1:6" x14ac:dyDescent="0.3">
      <c r="A5136" s="764">
        <f>+A5135+1</f>
        <v>0</v>
      </c>
      <c r="B5136" s="459"/>
    </row>
    <row r="5137" spans="1:10" x14ac:dyDescent="0.3">
      <c r="A5137" s="764">
        <f>+A5136+1</f>
        <v>1</v>
      </c>
      <c r="B5137" s="459"/>
    </row>
    <row r="5138" spans="1:10" x14ac:dyDescent="0.3">
      <c r="A5138" s="764">
        <f>+A5137+1</f>
        <v>2</v>
      </c>
      <c r="B5138" s="459"/>
    </row>
    <row r="5139" spans="1:10" x14ac:dyDescent="0.3">
      <c r="A5139" s="764">
        <f>+A5138+1</f>
        <v>3</v>
      </c>
      <c r="B5139" s="459"/>
    </row>
    <row r="5140" spans="1:10" x14ac:dyDescent="0.3">
      <c r="A5140" s="764">
        <f>+A5139+1</f>
        <v>4</v>
      </c>
      <c r="B5140" s="459"/>
    </row>
    <row r="5141" spans="1:10" x14ac:dyDescent="0.3">
      <c r="A5141" s="459"/>
      <c r="B5141" s="76"/>
    </row>
    <row r="5142" spans="1:10" x14ac:dyDescent="0.3">
      <c r="A5142" s="459"/>
      <c r="B5142" s="76"/>
    </row>
    <row r="5143" spans="1:10" x14ac:dyDescent="0.3">
      <c r="A5143" s="141" t="s">
        <v>2409</v>
      </c>
      <c r="B5143" s="76"/>
    </row>
    <row r="5144" spans="1:10" x14ac:dyDescent="0.3">
      <c r="A5144" s="606"/>
      <c r="B5144" s="606">
        <v>2012</v>
      </c>
      <c r="C5144" s="606">
        <f>+B5144+1</f>
        <v>2013</v>
      </c>
      <c r="D5144" s="606">
        <f t="shared" ref="D5144:J5144" si="1518">+C5144+1</f>
        <v>2014</v>
      </c>
      <c r="E5144" s="606">
        <f t="shared" si="1518"/>
        <v>2015</v>
      </c>
      <c r="F5144" s="606">
        <f t="shared" si="1518"/>
        <v>2016</v>
      </c>
      <c r="G5144" s="606">
        <f t="shared" si="1518"/>
        <v>2017</v>
      </c>
      <c r="H5144" s="606">
        <f t="shared" si="1518"/>
        <v>2018</v>
      </c>
      <c r="I5144" s="606">
        <f t="shared" si="1518"/>
        <v>2019</v>
      </c>
      <c r="J5144" s="606">
        <f t="shared" si="1518"/>
        <v>2020</v>
      </c>
    </row>
    <row r="5145" spans="1:10" x14ac:dyDescent="0.3">
      <c r="A5145" t="s">
        <v>284</v>
      </c>
      <c r="B5145" s="76">
        <f>+B5122</f>
        <v>5908</v>
      </c>
      <c r="C5145" s="76">
        <f>+C5122</f>
        <v>5824</v>
      </c>
      <c r="D5145" s="76">
        <f>+B5112</f>
        <v>5780</v>
      </c>
      <c r="E5145" s="76">
        <f t="shared" ref="E5145:J5145" si="1519">+D5145*(1+E5146)</f>
        <v>5736.3324175824173</v>
      </c>
      <c r="F5145" s="76">
        <f t="shared" si="1519"/>
        <v>5692.9947413506825</v>
      </c>
      <c r="G5145" s="76">
        <f t="shared" si="1519"/>
        <v>5649.9844788816872</v>
      </c>
      <c r="H5145" s="76">
        <f t="shared" si="1519"/>
        <v>5607.2991565824441</v>
      </c>
      <c r="I5145" s="76">
        <f t="shared" si="1519"/>
        <v>5564.9363195478245</v>
      </c>
      <c r="J5145" s="76">
        <f t="shared" si="1519"/>
        <v>5522.8935314193723</v>
      </c>
    </row>
    <row r="5146" spans="1:10" x14ac:dyDescent="0.3">
      <c r="A5146" s="94" t="s">
        <v>2164</v>
      </c>
      <c r="B5146" s="76"/>
      <c r="C5146" s="75">
        <f>+C5145/B5145-1</f>
        <v>-1.4218009478673022E-2</v>
      </c>
      <c r="D5146" s="75">
        <f>+D5145/C5145-1</f>
        <v>-7.5549450549450281E-3</v>
      </c>
      <c r="E5146" s="75">
        <f t="shared" ref="E5146:J5146" si="1520">+D5146</f>
        <v>-7.5549450549450281E-3</v>
      </c>
      <c r="F5146" s="75">
        <f t="shared" si="1520"/>
        <v>-7.5549450549450281E-3</v>
      </c>
      <c r="G5146" s="75">
        <f t="shared" si="1520"/>
        <v>-7.5549450549450281E-3</v>
      </c>
      <c r="H5146" s="75">
        <f t="shared" si="1520"/>
        <v>-7.5549450549450281E-3</v>
      </c>
      <c r="I5146" s="75">
        <f t="shared" si="1520"/>
        <v>-7.5549450549450281E-3</v>
      </c>
      <c r="J5146" s="75">
        <f t="shared" si="1520"/>
        <v>-7.5549450549450281E-3</v>
      </c>
    </row>
    <row r="5147" spans="1:10" x14ac:dyDescent="0.3">
      <c r="B5147" s="76"/>
    </row>
    <row r="5148" spans="1:10" x14ac:dyDescent="0.3">
      <c r="A5148" t="s">
        <v>2410</v>
      </c>
      <c r="B5148" s="76">
        <f t="shared" ref="B5148:G5148" si="1521">+B5150-B5149</f>
        <v>1675</v>
      </c>
      <c r="C5148" s="76">
        <f t="shared" si="1521"/>
        <v>1637</v>
      </c>
      <c r="D5148" s="76">
        <f t="shared" si="1521"/>
        <v>1584</v>
      </c>
      <c r="E5148" s="76">
        <f t="shared" si="1521"/>
        <v>1572.0329670329666</v>
      </c>
      <c r="F5148" s="76">
        <f t="shared" si="1521"/>
        <v>1591.0164835164833</v>
      </c>
      <c r="G5148" s="76">
        <f t="shared" si="1521"/>
        <v>1610</v>
      </c>
      <c r="H5148" s="76">
        <f>+H5151*H5145</f>
        <v>1597.8365384615386</v>
      </c>
      <c r="I5148" s="76">
        <f>+I5151*I5145</f>
        <v>1585.7649712066782</v>
      </c>
      <c r="J5148" s="76">
        <f>+J5151*J5145</f>
        <v>1573.784603979155</v>
      </c>
    </row>
    <row r="5149" spans="1:10" x14ac:dyDescent="0.3">
      <c r="A5149" t="s">
        <v>830</v>
      </c>
      <c r="B5149" s="95">
        <v>0</v>
      </c>
      <c r="C5149" s="95">
        <v>0</v>
      </c>
      <c r="D5149" s="95">
        <v>0</v>
      </c>
      <c r="E5149" s="95">
        <f>+B5117</f>
        <v>525</v>
      </c>
      <c r="F5149" s="95">
        <f>+C5117</f>
        <v>612.5</v>
      </c>
      <c r="G5149" s="95">
        <f>+D5117</f>
        <v>700</v>
      </c>
      <c r="H5149" s="365">
        <f>+H5150-H5148</f>
        <v>694.71153846153857</v>
      </c>
      <c r="I5149" s="365">
        <f>+I5150-I5148</f>
        <v>689.4630309594254</v>
      </c>
      <c r="J5149" s="365">
        <f>+J5150-J5148</f>
        <v>684.25417564311124</v>
      </c>
    </row>
    <row r="5150" spans="1:10" x14ac:dyDescent="0.3">
      <c r="A5150" s="90" t="s">
        <v>44</v>
      </c>
      <c r="B5150" s="381">
        <f>+B5123</f>
        <v>1675</v>
      </c>
      <c r="C5150" s="381">
        <f>+C5123</f>
        <v>1637</v>
      </c>
      <c r="D5150" s="381">
        <f>+D5123</f>
        <v>1584</v>
      </c>
      <c r="E5150" s="381">
        <f>+$D$5151*E5145+E5149</f>
        <v>2097.0329670329666</v>
      </c>
      <c r="F5150" s="381">
        <f>+AVERAGE(E5150,G5150)</f>
        <v>2203.5164835164833</v>
      </c>
      <c r="G5150" s="381">
        <f>+B5113</f>
        <v>2310</v>
      </c>
      <c r="H5150" s="381">
        <f>+H5152*H5145</f>
        <v>2292.5480769230771</v>
      </c>
      <c r="I5150" s="381">
        <f>+I5152*I5145</f>
        <v>2275.2280021661036</v>
      </c>
      <c r="J5150" s="381">
        <f>+J5152*J5145</f>
        <v>2258.0387796222662</v>
      </c>
    </row>
    <row r="5151" spans="1:10" x14ac:dyDescent="0.3">
      <c r="A5151" s="94" t="s">
        <v>2411</v>
      </c>
      <c r="B5151" s="75">
        <f t="shared" ref="B5151:G5151" si="1522">+B5148/B5145</f>
        <v>0.28351387948544349</v>
      </c>
      <c r="C5151" s="75">
        <f t="shared" si="1522"/>
        <v>0.2810782967032967</v>
      </c>
      <c r="D5151" s="75">
        <f t="shared" si="1522"/>
        <v>0.27404844290657437</v>
      </c>
      <c r="E5151" s="75">
        <f t="shared" si="1522"/>
        <v>0.27404844290657432</v>
      </c>
      <c r="F5151" s="75">
        <f t="shared" si="1522"/>
        <v>0.27946916443822484</v>
      </c>
      <c r="G5151" s="75">
        <f t="shared" si="1522"/>
        <v>0.2849565350166538</v>
      </c>
      <c r="H5151" s="87">
        <f t="shared" ref="H5151:J5152" si="1523">+G5151</f>
        <v>0.2849565350166538</v>
      </c>
      <c r="I5151" s="87">
        <f t="shared" si="1523"/>
        <v>0.2849565350166538</v>
      </c>
      <c r="J5151" s="87">
        <f t="shared" si="1523"/>
        <v>0.2849565350166538</v>
      </c>
    </row>
    <row r="5152" spans="1:10" x14ac:dyDescent="0.3">
      <c r="A5152" s="94" t="s">
        <v>2412</v>
      </c>
      <c r="B5152" s="75">
        <f t="shared" ref="B5152:G5152" si="1524">+B5150/B5145</f>
        <v>0.28351387948544349</v>
      </c>
      <c r="C5152" s="75">
        <f t="shared" si="1524"/>
        <v>0.2810782967032967</v>
      </c>
      <c r="D5152" s="75">
        <f t="shared" si="1524"/>
        <v>0.27404844290657437</v>
      </c>
      <c r="E5152" s="75">
        <f t="shared" si="1524"/>
        <v>0.36557033560421925</v>
      </c>
      <c r="F5152" s="75">
        <f t="shared" si="1524"/>
        <v>0.38705753011001226</v>
      </c>
      <c r="G5152" s="75">
        <f t="shared" si="1524"/>
        <v>0.4088506806760685</v>
      </c>
      <c r="H5152" s="87">
        <f t="shared" si="1523"/>
        <v>0.4088506806760685</v>
      </c>
      <c r="I5152" s="87">
        <f t="shared" si="1523"/>
        <v>0.4088506806760685</v>
      </c>
      <c r="J5152" s="87">
        <f t="shared" si="1523"/>
        <v>0.4088506806760685</v>
      </c>
    </row>
    <row r="5153" spans="1:11" x14ac:dyDescent="0.3">
      <c r="D5153" s="76"/>
    </row>
    <row r="5154" spans="1:11" x14ac:dyDescent="0.3">
      <c r="A5154" t="s">
        <v>203</v>
      </c>
      <c r="E5154" s="76">
        <f>+B5107</f>
        <v>3271.86</v>
      </c>
      <c r="F5154" s="76">
        <f>+E5154</f>
        <v>3271.86</v>
      </c>
      <c r="I5154" s="79">
        <f>+Drivers!DY90</f>
        <v>3223</v>
      </c>
      <c r="J5154" s="79">
        <f>+Drivers!ED90</f>
        <v>3309</v>
      </c>
    </row>
    <row r="5155" spans="1:11" x14ac:dyDescent="0.3">
      <c r="A5155" t="s">
        <v>2413</v>
      </c>
      <c r="D5155" s="76"/>
      <c r="E5155" s="95">
        <v>1600</v>
      </c>
      <c r="F5155" s="76">
        <f>+E5155+F5156</f>
        <v>1429</v>
      </c>
      <c r="G5155" s="76">
        <f>+F5155+G5156</f>
        <v>1315</v>
      </c>
      <c r="H5155" s="76">
        <f>+G5155-F5155+G5155</f>
        <v>1201</v>
      </c>
      <c r="I5155" s="79">
        <f>+Drivers!DY115</f>
        <v>1205</v>
      </c>
      <c r="J5155" s="79">
        <f>+Drivers!ED115</f>
        <v>1238</v>
      </c>
      <c r="K5155" s="75">
        <f>+(I5155/E5155)^(1/4)-1</f>
        <v>-6.8427271821738467E-2</v>
      </c>
    </row>
    <row r="5156" spans="1:11" x14ac:dyDescent="0.3">
      <c r="A5156" s="94" t="s">
        <v>2414</v>
      </c>
      <c r="D5156" s="76"/>
      <c r="F5156" s="96">
        <f>-46-49-76</f>
        <v>-171</v>
      </c>
      <c r="G5156" s="96">
        <f>-57-44-11-2</f>
        <v>-114</v>
      </c>
      <c r="H5156" s="77">
        <f>+H5155-G5155</f>
        <v>-114</v>
      </c>
      <c r="I5156" s="77">
        <f>+I5155-H5155</f>
        <v>4</v>
      </c>
      <c r="J5156" s="77">
        <f>+J5155-I5155</f>
        <v>33</v>
      </c>
    </row>
    <row r="5157" spans="1:11" x14ac:dyDescent="0.3">
      <c r="D5157" s="76"/>
      <c r="E5157" s="75">
        <f t="shared" ref="E5157:J5157" si="1525">+E5155/E5154</f>
        <v>0.4890184787857671</v>
      </c>
      <c r="F5157" s="75">
        <f t="shared" si="1525"/>
        <v>0.43675462886553823</v>
      </c>
      <c r="G5157" s="75" t="e">
        <f t="shared" si="1525"/>
        <v>#DIV/0!</v>
      </c>
      <c r="H5157" s="75" t="e">
        <f t="shared" si="1525"/>
        <v>#DIV/0!</v>
      </c>
      <c r="I5157" s="75">
        <f t="shared" si="1525"/>
        <v>0.37387527148619298</v>
      </c>
      <c r="J5157" s="75">
        <f t="shared" si="1525"/>
        <v>0.37413115744938047</v>
      </c>
    </row>
    <row r="5158" spans="1:11" x14ac:dyDescent="0.3">
      <c r="D5158" s="76"/>
    </row>
    <row r="5159" spans="1:11" x14ac:dyDescent="0.3">
      <c r="D5159" s="76"/>
    </row>
    <row r="5160" spans="1:11" x14ac:dyDescent="0.3">
      <c r="D5160" s="76"/>
    </row>
    <row r="5161" spans="1:11" x14ac:dyDescent="0.3">
      <c r="A5161" s="147"/>
      <c r="B5161" s="147">
        <v>2015</v>
      </c>
      <c r="C5161" s="147">
        <v>2020</v>
      </c>
      <c r="D5161" s="76"/>
    </row>
    <row r="5162" spans="1:11" x14ac:dyDescent="0.3">
      <c r="A5162" t="s">
        <v>2415</v>
      </c>
      <c r="B5162" s="76">
        <f>+B5107</f>
        <v>3271.86</v>
      </c>
      <c r="C5162" s="76">
        <f>+J5154</f>
        <v>3309</v>
      </c>
      <c r="D5162" s="76"/>
    </row>
    <row r="5163" spans="1:11" x14ac:dyDescent="0.3">
      <c r="A5163" t="s">
        <v>2416</v>
      </c>
      <c r="B5163" s="76">
        <f>+B5109</f>
        <v>1375</v>
      </c>
      <c r="C5163" s="76">
        <f>+J5155</f>
        <v>1238</v>
      </c>
      <c r="D5163" s="76"/>
    </row>
    <row r="5164" spans="1:11" x14ac:dyDescent="0.3">
      <c r="A5164" t="s">
        <v>284</v>
      </c>
      <c r="B5164" s="76">
        <f>+D5122</f>
        <v>5791</v>
      </c>
      <c r="C5164" s="76">
        <v>3864.8231460934812</v>
      </c>
      <c r="D5164" s="76">
        <f>+C5163*C5170*0.012</f>
        <v>858.11726502608167</v>
      </c>
    </row>
    <row r="5165" spans="1:11" x14ac:dyDescent="0.3">
      <c r="A5165" t="s">
        <v>2417</v>
      </c>
      <c r="B5165" s="76">
        <f>+B5164-B5168</f>
        <v>4207</v>
      </c>
      <c r="C5165" s="76">
        <f>+C5164-C5168</f>
        <v>2318.8938876560887</v>
      </c>
      <c r="D5165" s="76"/>
    </row>
    <row r="5166" spans="1:11" x14ac:dyDescent="0.3">
      <c r="B5166" s="76">
        <f>+B5164/B5163*C5163</f>
        <v>5214.0058181818185</v>
      </c>
      <c r="C5166" s="76"/>
      <c r="D5166" s="76"/>
    </row>
    <row r="5167" spans="1:11" x14ac:dyDescent="0.3">
      <c r="B5167" s="76"/>
      <c r="C5167" s="76"/>
      <c r="D5167" s="76"/>
    </row>
    <row r="5168" spans="1:11" x14ac:dyDescent="0.3">
      <c r="A5168" t="s">
        <v>44</v>
      </c>
      <c r="B5168" s="76">
        <f>+D5123</f>
        <v>1584</v>
      </c>
      <c r="C5168" s="76">
        <f>+C5169*C5164</f>
        <v>1545.9292584373925</v>
      </c>
      <c r="D5168" s="76"/>
    </row>
    <row r="5169" spans="1:14" ht="12" customHeight="1" x14ac:dyDescent="0.3">
      <c r="A5169" s="94" t="s">
        <v>2418</v>
      </c>
      <c r="B5169" s="546">
        <f>+B5168/B5164</f>
        <v>0.27352788810222761</v>
      </c>
      <c r="C5169" s="546">
        <v>0.4</v>
      </c>
      <c r="D5169" s="76"/>
    </row>
    <row r="5170" spans="1:14" x14ac:dyDescent="0.3">
      <c r="A5170" s="94" t="s">
        <v>2419</v>
      </c>
      <c r="B5170" s="379">
        <f>+C5170/((1+C5171)^(5))</f>
        <v>52.317127448916636</v>
      </c>
      <c r="C5170" s="150">
        <f>+Drivers!ED186</f>
        <v>57.762336094916648</v>
      </c>
      <c r="D5170" s="76"/>
    </row>
    <row r="5171" spans="1:14" x14ac:dyDescent="0.3">
      <c r="A5171" s="94" t="s">
        <v>2420</v>
      </c>
      <c r="C5171" s="376">
        <v>0.02</v>
      </c>
      <c r="D5171" s="76"/>
    </row>
    <row r="5172" spans="1:14" x14ac:dyDescent="0.3">
      <c r="D5172" s="76"/>
    </row>
    <row r="5173" spans="1:14" x14ac:dyDescent="0.3">
      <c r="A5173" t="s">
        <v>2421</v>
      </c>
      <c r="B5173" s="74">
        <f>+B5163/B5162</f>
        <v>0.4202502552065186</v>
      </c>
      <c r="C5173" s="74">
        <f>+C5163/C5162</f>
        <v>0.37413115744938047</v>
      </c>
      <c r="D5173" s="76"/>
    </row>
    <row r="5174" spans="1:14" x14ac:dyDescent="0.3">
      <c r="A5174" s="114"/>
      <c r="B5174" s="114"/>
      <c r="C5174" s="114"/>
      <c r="D5174" s="76"/>
    </row>
    <row r="5175" spans="1:14" x14ac:dyDescent="0.3">
      <c r="D5175" s="76"/>
    </row>
    <row r="5177" spans="1:14" x14ac:dyDescent="0.3">
      <c r="A5177" s="627" t="s">
        <v>2422</v>
      </c>
      <c r="B5177" s="627"/>
      <c r="C5177" s="627"/>
      <c r="D5177" s="627"/>
      <c r="E5177" s="627"/>
      <c r="F5177" s="627"/>
      <c r="G5177" s="627"/>
      <c r="H5177" s="627"/>
      <c r="I5177" s="627"/>
      <c r="J5177" s="627"/>
      <c r="K5177" s="627"/>
      <c r="L5177" s="627"/>
      <c r="M5177" s="627"/>
      <c r="N5177" s="627"/>
    </row>
    <row r="5178" spans="1:14" x14ac:dyDescent="0.3">
      <c r="A5178" s="141" t="s">
        <v>2423</v>
      </c>
    </row>
    <row r="5179" spans="1:14" x14ac:dyDescent="0.3">
      <c r="A5179" t="s">
        <v>2424</v>
      </c>
      <c r="B5179" s="469">
        <v>100</v>
      </c>
    </row>
    <row r="5180" spans="1:14" x14ac:dyDescent="0.3">
      <c r="A5180" t="s">
        <v>2425</v>
      </c>
      <c r="B5180" s="474">
        <f>+B5181-B5179</f>
        <v>100</v>
      </c>
    </row>
    <row r="5181" spans="1:14" x14ac:dyDescent="0.3">
      <c r="A5181" s="90" t="s">
        <v>2426</v>
      </c>
      <c r="B5181" s="469">
        <v>200</v>
      </c>
    </row>
    <row r="5183" spans="1:14" x14ac:dyDescent="0.3">
      <c r="A5183" s="147"/>
      <c r="B5183" s="147">
        <v>2019</v>
      </c>
      <c r="C5183" s="147">
        <v>2020</v>
      </c>
      <c r="D5183" s="147">
        <f t="shared" ref="D5183:N5183" si="1526">+C5183+1</f>
        <v>2021</v>
      </c>
      <c r="E5183" s="147">
        <f t="shared" si="1526"/>
        <v>2022</v>
      </c>
      <c r="F5183" s="147">
        <f t="shared" si="1526"/>
        <v>2023</v>
      </c>
      <c r="G5183" s="147">
        <f t="shared" si="1526"/>
        <v>2024</v>
      </c>
      <c r="H5183" s="147">
        <f t="shared" si="1526"/>
        <v>2025</v>
      </c>
      <c r="I5183" s="147">
        <f t="shared" si="1526"/>
        <v>2026</v>
      </c>
      <c r="J5183" s="147">
        <f t="shared" si="1526"/>
        <v>2027</v>
      </c>
      <c r="K5183" s="147">
        <f t="shared" si="1526"/>
        <v>2028</v>
      </c>
      <c r="L5183" s="147">
        <f t="shared" si="1526"/>
        <v>2029</v>
      </c>
      <c r="M5183" s="147">
        <f t="shared" si="1526"/>
        <v>2030</v>
      </c>
      <c r="N5183" s="147">
        <f t="shared" si="1526"/>
        <v>2031</v>
      </c>
    </row>
    <row r="5184" spans="1:14" x14ac:dyDescent="0.3">
      <c r="A5184" t="s">
        <v>2427</v>
      </c>
      <c r="B5184" s="76">
        <f t="shared" ref="B5184:N5184" si="1527">+B4564</f>
        <v>0</v>
      </c>
      <c r="C5184" s="76">
        <f t="shared" si="1527"/>
        <v>85</v>
      </c>
      <c r="D5184" s="76">
        <f t="shared" si="1527"/>
        <v>580</v>
      </c>
      <c r="E5184" s="76">
        <f t="shared" si="1527"/>
        <v>1580</v>
      </c>
      <c r="F5184" s="76">
        <f t="shared" si="1527"/>
        <v>2691.666666666667</v>
      </c>
      <c r="G5184" s="76">
        <f t="shared" si="1527"/>
        <v>3803.3333333333335</v>
      </c>
      <c r="H5184" s="76">
        <f t="shared" si="1527"/>
        <v>4915</v>
      </c>
      <c r="I5184" s="76">
        <f t="shared" si="1527"/>
        <v>6026.666666666667</v>
      </c>
      <c r="J5184" s="76">
        <f t="shared" si="1527"/>
        <v>7138.3333333333339</v>
      </c>
      <c r="K5184" s="76">
        <f t="shared" si="1527"/>
        <v>8250</v>
      </c>
      <c r="L5184" s="76">
        <f t="shared" si="1527"/>
        <v>8250</v>
      </c>
      <c r="M5184" s="76">
        <f t="shared" si="1527"/>
        <v>8250</v>
      </c>
      <c r="N5184" s="76">
        <f t="shared" si="1527"/>
        <v>8250</v>
      </c>
    </row>
    <row r="5185" spans="1:14" x14ac:dyDescent="0.3">
      <c r="A5185" s="298"/>
    </row>
    <row r="5186" spans="1:14" x14ac:dyDescent="0.3">
      <c r="A5186" t="s">
        <v>2428</v>
      </c>
      <c r="B5186" s="95">
        <f>+B4566</f>
        <v>0</v>
      </c>
      <c r="C5186" s="76">
        <f>+B5189</f>
        <v>0</v>
      </c>
      <c r="D5186" s="76">
        <f t="shared" ref="D5186:N5186" si="1528">+C5189</f>
        <v>5.0999999999999996</v>
      </c>
      <c r="E5186" s="76">
        <f t="shared" si="1528"/>
        <v>45</v>
      </c>
      <c r="F5186" s="76">
        <f t="shared" si="1528"/>
        <v>172.56</v>
      </c>
      <c r="G5186" s="76">
        <f t="shared" si="1528"/>
        <v>413.30799999999999</v>
      </c>
      <c r="H5186" s="76">
        <f t="shared" si="1528"/>
        <v>752.15679999999998</v>
      </c>
      <c r="I5186" s="76">
        <f t="shared" si="1528"/>
        <v>1166.8676</v>
      </c>
      <c r="J5186" s="76">
        <f t="shared" si="1528"/>
        <v>1635.296</v>
      </c>
      <c r="K5186" s="76">
        <f t="shared" si="1528"/>
        <v>2130.9096</v>
      </c>
      <c r="L5186" s="76">
        <f t="shared" si="1528"/>
        <v>2631.1596</v>
      </c>
      <c r="M5186" s="76">
        <f t="shared" si="1528"/>
        <v>3064.7096000000001</v>
      </c>
      <c r="N5186" s="76">
        <f t="shared" si="1528"/>
        <v>3364.8595999999998</v>
      </c>
    </row>
    <row r="5187" spans="1:14" x14ac:dyDescent="0.3">
      <c r="A5187" t="s">
        <v>336</v>
      </c>
      <c r="B5187" s="76">
        <f>+B5189-B5188-B5186</f>
        <v>0</v>
      </c>
      <c r="C5187" s="76">
        <f>+C5189-C5188-C5186</f>
        <v>5.0999999999999996</v>
      </c>
      <c r="D5187" s="76">
        <f t="shared" ref="D5187:N5187" si="1529">+D5189-D5188-D5186</f>
        <v>40.817999999999998</v>
      </c>
      <c r="E5187" s="76">
        <f t="shared" si="1529"/>
        <v>135.66</v>
      </c>
      <c r="F5187" s="76">
        <f t="shared" si="1529"/>
        <v>271.80879999999996</v>
      </c>
      <c r="G5187" s="76">
        <f t="shared" si="1529"/>
        <v>413.24423999999999</v>
      </c>
      <c r="H5187" s="76">
        <f t="shared" si="1529"/>
        <v>550.0990240000001</v>
      </c>
      <c r="I5187" s="76">
        <f t="shared" si="1529"/>
        <v>678.4645680000001</v>
      </c>
      <c r="J5187" s="76">
        <f t="shared" si="1529"/>
        <v>789.96688000000017</v>
      </c>
      <c r="K5187" s="76">
        <f t="shared" si="1529"/>
        <v>883.81372800000008</v>
      </c>
      <c r="L5187" s="76">
        <f t="shared" si="1529"/>
        <v>907.15872800000034</v>
      </c>
      <c r="M5187" s="76">
        <f t="shared" si="1529"/>
        <v>851.79772799999955</v>
      </c>
      <c r="N5187" s="76">
        <f t="shared" si="1529"/>
        <v>799.10472800000025</v>
      </c>
    </row>
    <row r="5188" spans="1:14" x14ac:dyDescent="0.3">
      <c r="A5188" t="s">
        <v>190</v>
      </c>
      <c r="B5188" s="76">
        <f>+B5186*B5191*-12</f>
        <v>0</v>
      </c>
      <c r="C5188" s="76">
        <f>+C5186*C5191*-12</f>
        <v>0</v>
      </c>
      <c r="D5188" s="76">
        <f t="shared" ref="D5188:N5188" si="1530">+D5186*D5191*-12</f>
        <v>-0.91799999999999993</v>
      </c>
      <c r="E5188" s="76">
        <f t="shared" si="1530"/>
        <v>-8.1</v>
      </c>
      <c r="F5188" s="76">
        <f t="shared" si="1530"/>
        <v>-31.0608</v>
      </c>
      <c r="G5188" s="76">
        <f t="shared" si="1530"/>
        <v>-74.395439999999994</v>
      </c>
      <c r="H5188" s="76">
        <f t="shared" si="1530"/>
        <v>-135.38822399999998</v>
      </c>
      <c r="I5188" s="76">
        <f t="shared" si="1530"/>
        <v>-210.036168</v>
      </c>
      <c r="J5188" s="76">
        <f t="shared" si="1530"/>
        <v>-294.35328000000004</v>
      </c>
      <c r="K5188" s="76">
        <f t="shared" si="1530"/>
        <v>-383.56372799999997</v>
      </c>
      <c r="L5188" s="76">
        <f t="shared" si="1530"/>
        <v>-473.60872799999999</v>
      </c>
      <c r="M5188" s="76">
        <f t="shared" si="1530"/>
        <v>-551.64772800000003</v>
      </c>
      <c r="N5188" s="76">
        <f t="shared" si="1530"/>
        <v>-605.67472799999996</v>
      </c>
    </row>
    <row r="5189" spans="1:14" x14ac:dyDescent="0.3">
      <c r="A5189" s="90" t="s">
        <v>2429</v>
      </c>
      <c r="B5189" s="381">
        <f t="shared" ref="B5189:N5189" si="1531">+B4566</f>
        <v>0</v>
      </c>
      <c r="C5189" s="381">
        <f t="shared" si="1531"/>
        <v>5.0999999999999996</v>
      </c>
      <c r="D5189" s="381">
        <f t="shared" si="1531"/>
        <v>45</v>
      </c>
      <c r="E5189" s="381">
        <f t="shared" si="1531"/>
        <v>172.56</v>
      </c>
      <c r="F5189" s="381">
        <f t="shared" si="1531"/>
        <v>413.30799999999999</v>
      </c>
      <c r="G5189" s="381">
        <f t="shared" si="1531"/>
        <v>752.15679999999998</v>
      </c>
      <c r="H5189" s="381">
        <f t="shared" si="1531"/>
        <v>1166.8676</v>
      </c>
      <c r="I5189" s="381">
        <f t="shared" si="1531"/>
        <v>1635.296</v>
      </c>
      <c r="J5189" s="381">
        <f t="shared" si="1531"/>
        <v>2130.9096</v>
      </c>
      <c r="K5189" s="381">
        <f t="shared" si="1531"/>
        <v>2631.1596</v>
      </c>
      <c r="L5189" s="381">
        <f t="shared" si="1531"/>
        <v>3064.7096000000001</v>
      </c>
      <c r="M5189" s="381">
        <f t="shared" si="1531"/>
        <v>3364.8595999999998</v>
      </c>
      <c r="N5189" s="381">
        <f t="shared" si="1531"/>
        <v>3558.2896000000001</v>
      </c>
    </row>
    <row r="5190" spans="1:14" ht="12.75" customHeight="1" x14ac:dyDescent="0.3">
      <c r="A5190" s="94" t="s">
        <v>209</v>
      </c>
      <c r="B5190" s="77">
        <f>+B5189-B5186</f>
        <v>0</v>
      </c>
      <c r="C5190" s="77">
        <f t="shared" ref="C5190:N5190" si="1532">+C5189-C5186</f>
        <v>5.0999999999999996</v>
      </c>
      <c r="D5190" s="77">
        <f t="shared" si="1532"/>
        <v>39.9</v>
      </c>
      <c r="E5190" s="77">
        <f t="shared" si="1532"/>
        <v>127.56</v>
      </c>
      <c r="F5190" s="77">
        <f t="shared" si="1532"/>
        <v>240.74799999999999</v>
      </c>
      <c r="G5190" s="77">
        <f t="shared" si="1532"/>
        <v>338.84879999999998</v>
      </c>
      <c r="H5190" s="77">
        <f t="shared" si="1532"/>
        <v>414.71080000000006</v>
      </c>
      <c r="I5190" s="77">
        <f t="shared" si="1532"/>
        <v>468.42840000000001</v>
      </c>
      <c r="J5190" s="77">
        <f t="shared" si="1532"/>
        <v>495.61359999999991</v>
      </c>
      <c r="K5190" s="77">
        <f t="shared" si="1532"/>
        <v>500.25</v>
      </c>
      <c r="L5190" s="77">
        <f t="shared" si="1532"/>
        <v>433.55000000000018</v>
      </c>
      <c r="M5190" s="77">
        <f t="shared" si="1532"/>
        <v>300.14999999999964</v>
      </c>
      <c r="N5190" s="77">
        <f t="shared" si="1532"/>
        <v>193.43000000000029</v>
      </c>
    </row>
    <row r="5191" spans="1:14" x14ac:dyDescent="0.3">
      <c r="A5191" s="94" t="s">
        <v>693</v>
      </c>
      <c r="B5191" s="87">
        <f>18%/12</f>
        <v>1.4999999999999999E-2</v>
      </c>
      <c r="C5191" s="87">
        <f>+B5191</f>
        <v>1.4999999999999999E-2</v>
      </c>
      <c r="D5191" s="87">
        <f t="shared" ref="D5191:N5191" si="1533">+C5191</f>
        <v>1.4999999999999999E-2</v>
      </c>
      <c r="E5191" s="87">
        <f t="shared" si="1533"/>
        <v>1.4999999999999999E-2</v>
      </c>
      <c r="F5191" s="87">
        <f t="shared" si="1533"/>
        <v>1.4999999999999999E-2</v>
      </c>
      <c r="G5191" s="87">
        <f t="shared" si="1533"/>
        <v>1.4999999999999999E-2</v>
      </c>
      <c r="H5191" s="87">
        <f t="shared" si="1533"/>
        <v>1.4999999999999999E-2</v>
      </c>
      <c r="I5191" s="87">
        <f t="shared" si="1533"/>
        <v>1.4999999999999999E-2</v>
      </c>
      <c r="J5191" s="87">
        <f t="shared" si="1533"/>
        <v>1.4999999999999999E-2</v>
      </c>
      <c r="K5191" s="87">
        <f t="shared" si="1533"/>
        <v>1.4999999999999999E-2</v>
      </c>
      <c r="L5191" s="87">
        <f t="shared" si="1533"/>
        <v>1.4999999999999999E-2</v>
      </c>
      <c r="M5191" s="87">
        <f t="shared" si="1533"/>
        <v>1.4999999999999999E-2</v>
      </c>
      <c r="N5191" s="87">
        <f t="shared" si="1533"/>
        <v>1.4999999999999999E-2</v>
      </c>
    </row>
    <row r="5192" spans="1:14" x14ac:dyDescent="0.3">
      <c r="A5192" s="467"/>
      <c r="B5192" s="90"/>
      <c r="C5192" s="90"/>
      <c r="D5192" s="90"/>
      <c r="E5192" s="90"/>
      <c r="F5192" s="90"/>
      <c r="G5192" s="90"/>
      <c r="H5192" s="90"/>
      <c r="I5192" s="90"/>
      <c r="J5192" s="90"/>
      <c r="K5192" s="90"/>
      <c r="L5192" s="90"/>
      <c r="M5192" s="90"/>
    </row>
    <row r="5193" spans="1:14" x14ac:dyDescent="0.3">
      <c r="A5193" s="467" t="s">
        <v>1503</v>
      </c>
      <c r="B5193" s="76">
        <f>+B5187</f>
        <v>0</v>
      </c>
      <c r="C5193" s="76">
        <f t="shared" ref="C5193:N5193" si="1534">+C5187</f>
        <v>5.0999999999999996</v>
      </c>
      <c r="D5193" s="76">
        <f t="shared" si="1534"/>
        <v>40.817999999999998</v>
      </c>
      <c r="E5193" s="76">
        <f t="shared" si="1534"/>
        <v>135.66</v>
      </c>
      <c r="F5193" s="76">
        <f t="shared" si="1534"/>
        <v>271.80879999999996</v>
      </c>
      <c r="G5193" s="76">
        <f t="shared" si="1534"/>
        <v>413.24423999999999</v>
      </c>
      <c r="H5193" s="76">
        <f t="shared" si="1534"/>
        <v>550.0990240000001</v>
      </c>
      <c r="I5193" s="76">
        <f t="shared" si="1534"/>
        <v>678.4645680000001</v>
      </c>
      <c r="J5193" s="76">
        <f t="shared" si="1534"/>
        <v>789.96688000000017</v>
      </c>
      <c r="K5193" s="76">
        <f t="shared" si="1534"/>
        <v>883.81372800000008</v>
      </c>
      <c r="L5193" s="76">
        <f t="shared" si="1534"/>
        <v>907.15872800000034</v>
      </c>
      <c r="M5193" s="76">
        <f t="shared" si="1534"/>
        <v>851.79772799999955</v>
      </c>
      <c r="N5193" s="76">
        <f t="shared" si="1534"/>
        <v>799.10472800000025</v>
      </c>
    </row>
    <row r="5194" spans="1:14" x14ac:dyDescent="0.3">
      <c r="A5194" s="177" t="s">
        <v>794</v>
      </c>
      <c r="B5194" s="474">
        <f>+B5181</f>
        <v>200</v>
      </c>
      <c r="C5194" s="474">
        <f>+B5194</f>
        <v>200</v>
      </c>
      <c r="D5194" s="474">
        <f t="shared" ref="D5194:N5194" si="1535">+C5194</f>
        <v>200</v>
      </c>
      <c r="E5194" s="474">
        <f t="shared" si="1535"/>
        <v>200</v>
      </c>
      <c r="F5194" s="474">
        <f t="shared" si="1535"/>
        <v>200</v>
      </c>
      <c r="G5194" s="474">
        <f t="shared" si="1535"/>
        <v>200</v>
      </c>
      <c r="H5194" s="474">
        <f t="shared" si="1535"/>
        <v>200</v>
      </c>
      <c r="I5194" s="474">
        <f t="shared" si="1535"/>
        <v>200</v>
      </c>
      <c r="J5194" s="474">
        <f t="shared" si="1535"/>
        <v>200</v>
      </c>
      <c r="K5194" s="474">
        <f t="shared" si="1535"/>
        <v>200</v>
      </c>
      <c r="L5194" s="474">
        <f t="shared" si="1535"/>
        <v>200</v>
      </c>
      <c r="M5194" s="474">
        <f t="shared" si="1535"/>
        <v>200</v>
      </c>
      <c r="N5194" s="474">
        <f t="shared" si="1535"/>
        <v>200</v>
      </c>
    </row>
    <row r="5195" spans="1:14" x14ac:dyDescent="0.3">
      <c r="A5195" s="468" t="s">
        <v>2430</v>
      </c>
      <c r="B5195" s="803">
        <f>+B5193*B5194/1000</f>
        <v>0</v>
      </c>
      <c r="C5195" s="803">
        <f t="shared" ref="C5195:N5195" si="1536">+C5193*C5194/1000</f>
        <v>1.0199999999999998</v>
      </c>
      <c r="D5195" s="803">
        <f t="shared" si="1536"/>
        <v>8.1635999999999989</v>
      </c>
      <c r="E5195" s="803">
        <f t="shared" si="1536"/>
        <v>27.132000000000001</v>
      </c>
      <c r="F5195" s="803">
        <f t="shared" si="1536"/>
        <v>54.361759999999997</v>
      </c>
      <c r="G5195" s="803">
        <f t="shared" si="1536"/>
        <v>82.648848000000001</v>
      </c>
      <c r="H5195" s="803">
        <f t="shared" si="1536"/>
        <v>110.01980480000002</v>
      </c>
      <c r="I5195" s="803">
        <f t="shared" si="1536"/>
        <v>135.69291360000003</v>
      </c>
      <c r="J5195" s="803">
        <f t="shared" si="1536"/>
        <v>157.99337600000004</v>
      </c>
      <c r="K5195" s="803">
        <f t="shared" si="1536"/>
        <v>176.76274560000002</v>
      </c>
      <c r="L5195" s="803">
        <f t="shared" si="1536"/>
        <v>181.43174560000008</v>
      </c>
      <c r="M5195" s="803">
        <f t="shared" si="1536"/>
        <v>170.3595455999999</v>
      </c>
      <c r="N5195" s="803">
        <f t="shared" si="1536"/>
        <v>159.82094560000004</v>
      </c>
    </row>
    <row r="5196" spans="1:14" x14ac:dyDescent="0.3">
      <c r="A5196" s="298"/>
      <c r="B5196" s="90"/>
      <c r="C5196" s="90"/>
      <c r="D5196" s="90"/>
      <c r="E5196" s="90"/>
      <c r="F5196" s="90"/>
      <c r="G5196" s="90"/>
      <c r="H5196" s="90"/>
      <c r="I5196" s="90"/>
      <c r="J5196" s="90"/>
      <c r="K5196" s="90"/>
      <c r="L5196" s="90"/>
      <c r="M5196" s="90"/>
    </row>
    <row r="5197" spans="1:14" x14ac:dyDescent="0.3">
      <c r="A5197" s="177" t="s">
        <v>2424</v>
      </c>
      <c r="B5197" s="76">
        <f>+M5195/2</f>
        <v>85.179772799999952</v>
      </c>
      <c r="C5197" s="76">
        <f>+B5197</f>
        <v>85.179772799999952</v>
      </c>
      <c r="D5197" s="76">
        <f t="shared" ref="D5197:N5197" si="1537">+C5197</f>
        <v>85.179772799999952</v>
      </c>
      <c r="E5197" s="76">
        <f t="shared" si="1537"/>
        <v>85.179772799999952</v>
      </c>
      <c r="F5197" s="76">
        <f t="shared" si="1537"/>
        <v>85.179772799999952</v>
      </c>
      <c r="G5197" s="76">
        <f t="shared" si="1537"/>
        <v>85.179772799999952</v>
      </c>
      <c r="H5197" s="76">
        <f t="shared" si="1537"/>
        <v>85.179772799999952</v>
      </c>
      <c r="I5197" s="76">
        <f t="shared" si="1537"/>
        <v>85.179772799999952</v>
      </c>
      <c r="J5197" s="76">
        <f t="shared" si="1537"/>
        <v>85.179772799999952</v>
      </c>
      <c r="K5197" s="76">
        <f t="shared" si="1537"/>
        <v>85.179772799999952</v>
      </c>
      <c r="L5197" s="76">
        <f t="shared" si="1537"/>
        <v>85.179772799999952</v>
      </c>
      <c r="M5197" s="76">
        <f t="shared" si="1537"/>
        <v>85.179772799999952</v>
      </c>
      <c r="N5197" s="76">
        <f t="shared" si="1537"/>
        <v>85.179772799999952</v>
      </c>
    </row>
    <row r="5198" spans="1:14" x14ac:dyDescent="0.3">
      <c r="A5198" t="s">
        <v>2425</v>
      </c>
      <c r="B5198" s="76">
        <f>+B5193*$B$5179/1000</f>
        <v>0</v>
      </c>
      <c r="C5198" s="76">
        <f t="shared" ref="C5198:N5198" si="1538">+C5193*$B$5179/1000</f>
        <v>0.5099999999999999</v>
      </c>
      <c r="D5198" s="76">
        <f t="shared" si="1538"/>
        <v>4.0817999999999994</v>
      </c>
      <c r="E5198" s="76">
        <f t="shared" si="1538"/>
        <v>13.566000000000001</v>
      </c>
      <c r="F5198" s="76">
        <f t="shared" si="1538"/>
        <v>27.180879999999998</v>
      </c>
      <c r="G5198" s="76">
        <f t="shared" si="1538"/>
        <v>41.324424</v>
      </c>
      <c r="H5198" s="76">
        <f t="shared" si="1538"/>
        <v>55.009902400000009</v>
      </c>
      <c r="I5198" s="76">
        <f t="shared" si="1538"/>
        <v>67.846456800000013</v>
      </c>
      <c r="J5198" s="76">
        <f t="shared" si="1538"/>
        <v>78.99668800000002</v>
      </c>
      <c r="K5198" s="76">
        <f t="shared" si="1538"/>
        <v>88.381372800000008</v>
      </c>
      <c r="L5198" s="76">
        <f t="shared" si="1538"/>
        <v>90.715872800000042</v>
      </c>
      <c r="M5198" s="76">
        <f t="shared" si="1538"/>
        <v>85.179772799999952</v>
      </c>
      <c r="N5198" s="76">
        <f t="shared" si="1538"/>
        <v>79.910472800000022</v>
      </c>
    </row>
    <row r="5199" spans="1:14" x14ac:dyDescent="0.3">
      <c r="A5199" s="90" t="s">
        <v>2426</v>
      </c>
      <c r="B5199" s="803">
        <f>+B5197+B5198</f>
        <v>85.179772799999952</v>
      </c>
      <c r="C5199" s="803">
        <f t="shared" ref="C5199:N5199" si="1539">+C5197+C5198</f>
        <v>85.689772799999957</v>
      </c>
      <c r="D5199" s="803">
        <f t="shared" si="1539"/>
        <v>89.261572799999954</v>
      </c>
      <c r="E5199" s="803">
        <f t="shared" si="1539"/>
        <v>98.745772799999955</v>
      </c>
      <c r="F5199" s="803">
        <f t="shared" si="1539"/>
        <v>112.36065279999995</v>
      </c>
      <c r="G5199" s="803">
        <f t="shared" si="1539"/>
        <v>126.50419679999996</v>
      </c>
      <c r="H5199" s="803">
        <f t="shared" si="1539"/>
        <v>140.18967519999995</v>
      </c>
      <c r="I5199" s="803">
        <f t="shared" si="1539"/>
        <v>153.02622959999997</v>
      </c>
      <c r="J5199" s="803">
        <f t="shared" si="1539"/>
        <v>164.17646079999997</v>
      </c>
      <c r="K5199" s="803">
        <f t="shared" si="1539"/>
        <v>173.56114559999997</v>
      </c>
      <c r="L5199" s="803">
        <f t="shared" si="1539"/>
        <v>175.89564559999999</v>
      </c>
      <c r="M5199" s="803">
        <f t="shared" si="1539"/>
        <v>170.3595455999999</v>
      </c>
      <c r="N5199" s="803">
        <f t="shared" si="1539"/>
        <v>165.09024559999997</v>
      </c>
    </row>
    <row r="5202" spans="1:14" x14ac:dyDescent="0.3">
      <c r="A5202" s="627" t="s">
        <v>2431</v>
      </c>
      <c r="B5202" s="627"/>
      <c r="C5202" s="627"/>
      <c r="D5202" s="627"/>
      <c r="E5202" s="627"/>
      <c r="F5202" s="627"/>
      <c r="G5202" s="627"/>
      <c r="H5202" s="627"/>
      <c r="I5202" s="627"/>
      <c r="J5202" s="627"/>
      <c r="K5202" s="627"/>
      <c r="L5202" s="627"/>
      <c r="M5202" s="627"/>
      <c r="N5202" s="627"/>
    </row>
    <row r="5203" spans="1:14" x14ac:dyDescent="0.3">
      <c r="A5203" s="147"/>
      <c r="B5203" s="374" t="s">
        <v>2432</v>
      </c>
      <c r="C5203" s="374" t="s">
        <v>2433</v>
      </c>
      <c r="D5203" s="374" t="s">
        <v>34</v>
      </c>
      <c r="E5203" s="374" t="s">
        <v>266</v>
      </c>
    </row>
    <row r="5204" spans="1:14" x14ac:dyDescent="0.3">
      <c r="A5204" s="141" t="s">
        <v>2434</v>
      </c>
    </row>
    <row r="5205" spans="1:14" x14ac:dyDescent="0.3">
      <c r="A5205" t="s">
        <v>2435</v>
      </c>
      <c r="B5205" s="628">
        <v>1</v>
      </c>
      <c r="C5205" s="628">
        <v>0.6</v>
      </c>
      <c r="D5205" s="628">
        <v>0.6</v>
      </c>
      <c r="E5205" s="629">
        <f>+SUM(B5205:D5205)</f>
        <v>2.2000000000000002</v>
      </c>
    </row>
    <row r="5206" spans="1:14" x14ac:dyDescent="0.3">
      <c r="A5206" t="s">
        <v>2436</v>
      </c>
      <c r="B5206" s="628">
        <v>2.8</v>
      </c>
      <c r="C5206" s="628">
        <v>0</v>
      </c>
      <c r="D5206" s="628">
        <v>0.1</v>
      </c>
      <c r="E5206" s="629">
        <f>+SUM(B5206:D5206)</f>
        <v>2.9</v>
      </c>
    </row>
    <row r="5207" spans="1:14" x14ac:dyDescent="0.3">
      <c r="A5207" t="s">
        <v>2437</v>
      </c>
      <c r="B5207" s="628">
        <v>5.0999999999999996</v>
      </c>
      <c r="C5207" s="628">
        <v>3</v>
      </c>
      <c r="D5207" s="628">
        <v>2.9</v>
      </c>
      <c r="E5207" s="629">
        <f>+SUM(B5207:D5207)</f>
        <v>11</v>
      </c>
    </row>
    <row r="5208" spans="1:14" x14ac:dyDescent="0.3">
      <c r="A5208" s="90" t="s">
        <v>2438</v>
      </c>
      <c r="B5208" s="1810">
        <f>+SUM(B5205:B5207)</f>
        <v>8.8999999999999986</v>
      </c>
      <c r="C5208" s="1810">
        <f>+SUM(C5205:C5207)</f>
        <v>3.6</v>
      </c>
      <c r="D5208" s="1810">
        <f>+SUM(D5205:D5207)</f>
        <v>3.5999999999999996</v>
      </c>
      <c r="E5208" s="1810">
        <f>+SUM(B5208:D5208)</f>
        <v>16.099999999999998</v>
      </c>
      <c r="G5208" s="633"/>
      <c r="H5208" s="633"/>
      <c r="I5208" s="633"/>
    </row>
    <row r="5210" spans="1:14" x14ac:dyDescent="0.3">
      <c r="A5210" t="s">
        <v>2439</v>
      </c>
      <c r="B5210" s="628">
        <v>1.1000000000000001</v>
      </c>
      <c r="C5210" s="628">
        <v>0.4</v>
      </c>
      <c r="D5210" s="628">
        <v>0.2</v>
      </c>
      <c r="E5210" s="629">
        <f>+SUM(B5210:D5210)</f>
        <v>1.7</v>
      </c>
    </row>
    <row r="5211" spans="1:14" x14ac:dyDescent="0.3">
      <c r="A5211" t="s">
        <v>2440</v>
      </c>
      <c r="B5211" s="628">
        <v>1.8</v>
      </c>
      <c r="C5211" s="628">
        <v>1.2</v>
      </c>
      <c r="D5211" s="628">
        <v>0.9</v>
      </c>
      <c r="E5211" s="629">
        <f>+SUM(B5211:D5211)</f>
        <v>3.9</v>
      </c>
    </row>
    <row r="5212" spans="1:14" x14ac:dyDescent="0.3">
      <c r="A5212" s="90" t="s">
        <v>2441</v>
      </c>
      <c r="B5212" s="1810">
        <f>+SUM(B5210:B5211)</f>
        <v>2.9000000000000004</v>
      </c>
      <c r="C5212" s="1810">
        <f>+SUM(C5210:C5211)</f>
        <v>1.6</v>
      </c>
      <c r="D5212" s="1810">
        <f>+SUM(D5210:D5211)</f>
        <v>1.1000000000000001</v>
      </c>
      <c r="E5212" s="1810">
        <f>+SUM(B5212:D5212)</f>
        <v>5.6</v>
      </c>
    </row>
    <row r="5213" spans="1:14" x14ac:dyDescent="0.3">
      <c r="A5213" s="94" t="s">
        <v>2442</v>
      </c>
      <c r="B5213" s="375">
        <f>+B5212/B5207</f>
        <v>0.56862745098039225</v>
      </c>
      <c r="C5213" s="375">
        <f>+C5212/C5207</f>
        <v>0.53333333333333333</v>
      </c>
      <c r="D5213" s="375">
        <f>+D5212/D5207</f>
        <v>0.37931034482758624</v>
      </c>
      <c r="E5213" s="630">
        <f>+E5212/E5207</f>
        <v>0.50909090909090904</v>
      </c>
    </row>
    <row r="5214" spans="1:14" x14ac:dyDescent="0.3">
      <c r="B5214" s="628"/>
      <c r="C5214" s="628"/>
      <c r="D5214" s="628"/>
      <c r="E5214" s="629"/>
    </row>
    <row r="5215" spans="1:14" x14ac:dyDescent="0.3">
      <c r="A5215" t="s">
        <v>2443</v>
      </c>
      <c r="B5215" s="628">
        <v>3.4</v>
      </c>
      <c r="C5215" s="628">
        <v>0.9</v>
      </c>
      <c r="D5215" s="628">
        <v>1.5</v>
      </c>
      <c r="E5215" s="629">
        <f>+SUM(B5215:D5215)</f>
        <v>5.8</v>
      </c>
    </row>
    <row r="5216" spans="1:14" x14ac:dyDescent="0.3">
      <c r="B5216" s="628"/>
      <c r="C5216" s="628"/>
      <c r="D5216" s="628"/>
      <c r="E5216" s="629"/>
    </row>
    <row r="5218" spans="1:7" x14ac:dyDescent="0.3">
      <c r="A5218" s="381" t="s">
        <v>2444</v>
      </c>
      <c r="B5218" s="381">
        <v>3000</v>
      </c>
      <c r="C5218" s="381">
        <v>6000</v>
      </c>
      <c r="D5218" s="381">
        <v>9000</v>
      </c>
      <c r="E5218" s="381">
        <v>12000</v>
      </c>
      <c r="G5218" s="76"/>
    </row>
    <row r="5219" spans="1:7" x14ac:dyDescent="0.3">
      <c r="A5219" s="76" t="s">
        <v>270</v>
      </c>
      <c r="B5219" s="146">
        <v>0.45</v>
      </c>
      <c r="C5219" s="146">
        <f>B5219</f>
        <v>0.45</v>
      </c>
      <c r="D5219" s="146">
        <f>C5219</f>
        <v>0.45</v>
      </c>
      <c r="E5219" s="146">
        <f>D5219</f>
        <v>0.45</v>
      </c>
      <c r="G5219" s="76"/>
    </row>
    <row r="5220" spans="1:7" x14ac:dyDescent="0.3">
      <c r="A5220" s="76" t="s">
        <v>1090</v>
      </c>
      <c r="B5220" s="76">
        <f>B5218*B5219</f>
        <v>1350</v>
      </c>
      <c r="C5220" s="76">
        <f>C5218*C5219</f>
        <v>2700</v>
      </c>
      <c r="D5220" s="76">
        <f>D5218*D5219</f>
        <v>4050</v>
      </c>
      <c r="E5220" s="76">
        <f>E5218*E5219</f>
        <v>5400</v>
      </c>
      <c r="G5220" s="76"/>
    </row>
    <row r="5221" spans="1:7" x14ac:dyDescent="0.3">
      <c r="A5221" s="76" t="s">
        <v>280</v>
      </c>
      <c r="B5221" s="104">
        <v>65</v>
      </c>
      <c r="C5221" s="104">
        <f>B5221</f>
        <v>65</v>
      </c>
      <c r="D5221" s="104">
        <f>C5221</f>
        <v>65</v>
      </c>
      <c r="E5221" s="104">
        <f>D5221</f>
        <v>65</v>
      </c>
      <c r="G5221" s="76"/>
    </row>
    <row r="5222" spans="1:7" x14ac:dyDescent="0.3">
      <c r="A5222" s="76" t="s">
        <v>284</v>
      </c>
      <c r="B5222" s="76">
        <f>B5220*B5221*12/1000</f>
        <v>1053</v>
      </c>
      <c r="C5222" s="76">
        <f>C5220*C5221*12/1000</f>
        <v>2106</v>
      </c>
      <c r="D5222" s="76">
        <f>D5220*D5221*12/1000</f>
        <v>3159</v>
      </c>
      <c r="E5222" s="76">
        <f>E5220*E5221*12/1000</f>
        <v>4212</v>
      </c>
      <c r="G5222" s="76"/>
    </row>
    <row r="5223" spans="1:7" x14ac:dyDescent="0.3">
      <c r="A5223" s="76" t="s">
        <v>2445</v>
      </c>
      <c r="B5223" s="634">
        <v>0.75</v>
      </c>
      <c r="C5223" s="634">
        <f>B5223</f>
        <v>0.75</v>
      </c>
      <c r="D5223" s="634">
        <f>C5223</f>
        <v>0.75</v>
      </c>
      <c r="E5223" s="634">
        <f>D5223</f>
        <v>0.75</v>
      </c>
      <c r="G5223" s="76"/>
    </row>
    <row r="5224" spans="1:7" x14ac:dyDescent="0.3">
      <c r="A5224" s="76">
        <v>7</v>
      </c>
      <c r="B5224" s="76">
        <f>B5222*B5223</f>
        <v>789.75</v>
      </c>
      <c r="C5224" s="76">
        <f>C5222*C5223</f>
        <v>1579.5</v>
      </c>
      <c r="D5224" s="76">
        <f>D5222*D5223</f>
        <v>2369.25</v>
      </c>
      <c r="E5224" s="76">
        <f>E5222*E5223</f>
        <v>3159</v>
      </c>
      <c r="G5224" s="76"/>
    </row>
    <row r="5225" spans="1:7" x14ac:dyDescent="0.3">
      <c r="A5225" s="76" t="s">
        <v>2391</v>
      </c>
      <c r="B5225" s="633">
        <v>12.5</v>
      </c>
      <c r="C5225" s="633">
        <f>B5225</f>
        <v>12.5</v>
      </c>
      <c r="D5225" s="633">
        <f>C5225</f>
        <v>12.5</v>
      </c>
      <c r="E5225" s="633">
        <f>D5225</f>
        <v>12.5</v>
      </c>
      <c r="G5225" s="76"/>
    </row>
    <row r="5226" spans="1:7" x14ac:dyDescent="0.3">
      <c r="A5226" s="76" t="s">
        <v>865</v>
      </c>
      <c r="B5226" s="257">
        <f>B5224*B5225</f>
        <v>9871.875</v>
      </c>
      <c r="C5226" s="257">
        <f>C5224*C5225</f>
        <v>19743.75</v>
      </c>
      <c r="D5226" s="257">
        <f>D5224*D5225</f>
        <v>29615.625</v>
      </c>
      <c r="E5226" s="257">
        <f>E5224*E5225</f>
        <v>39487.5</v>
      </c>
      <c r="G5226" s="76"/>
    </row>
    <row r="5227" spans="1:7" x14ac:dyDescent="0.3">
      <c r="A5227" s="76"/>
      <c r="B5227" s="76"/>
      <c r="C5227" s="76"/>
      <c r="D5227" s="76"/>
      <c r="E5227" s="76"/>
      <c r="G5227" s="76"/>
    </row>
    <row r="5228" spans="1:7" x14ac:dyDescent="0.3">
      <c r="A5228" s="85" t="s">
        <v>2446</v>
      </c>
      <c r="B5228" s="381">
        <f>14000-B5218</f>
        <v>11000</v>
      </c>
      <c r="C5228" s="381">
        <f>14000-C5218</f>
        <v>8000</v>
      </c>
      <c r="D5228" s="381">
        <f>14000-D5218</f>
        <v>5000</v>
      </c>
      <c r="E5228" s="381">
        <f>14000-E5218</f>
        <v>2000</v>
      </c>
      <c r="G5228" s="76"/>
    </row>
    <row r="5229" spans="1:7" x14ac:dyDescent="0.3">
      <c r="A5229" s="76" t="s">
        <v>270</v>
      </c>
      <c r="B5229" s="146">
        <v>0.1</v>
      </c>
      <c r="C5229" s="146">
        <f>B5229</f>
        <v>0.1</v>
      </c>
      <c r="D5229" s="146">
        <f>C5229</f>
        <v>0.1</v>
      </c>
      <c r="E5229" s="146">
        <f>D5229</f>
        <v>0.1</v>
      </c>
      <c r="G5229" s="76"/>
    </row>
    <row r="5230" spans="1:7" x14ac:dyDescent="0.3">
      <c r="A5230" s="76" t="s">
        <v>284</v>
      </c>
      <c r="B5230" s="76">
        <f>B5228*B5229</f>
        <v>1100</v>
      </c>
      <c r="C5230" s="76">
        <f>C5228*C5229</f>
        <v>800</v>
      </c>
      <c r="D5230" s="76">
        <f>D5228*D5229</f>
        <v>500</v>
      </c>
      <c r="E5230" s="76">
        <f>E5228*E5229</f>
        <v>200</v>
      </c>
      <c r="G5230" s="76"/>
    </row>
    <row r="5231" spans="1:7" x14ac:dyDescent="0.3">
      <c r="A5231" s="76" t="s">
        <v>280</v>
      </c>
      <c r="B5231" s="104">
        <v>45</v>
      </c>
      <c r="C5231" s="104">
        <f>B5231</f>
        <v>45</v>
      </c>
      <c r="D5231" s="104">
        <f>C5231</f>
        <v>45</v>
      </c>
      <c r="E5231" s="104">
        <f>D5231</f>
        <v>45</v>
      </c>
      <c r="G5231" s="76"/>
    </row>
    <row r="5232" spans="1:7" x14ac:dyDescent="0.3">
      <c r="A5232" s="76" t="s">
        <v>284</v>
      </c>
      <c r="B5232" s="76">
        <f>B5230*B5231*12/1000</f>
        <v>594</v>
      </c>
      <c r="C5232" s="76">
        <f>C5230*C5231*12/1000</f>
        <v>432</v>
      </c>
      <c r="D5232" s="76">
        <f>D5230*D5231*12/1000</f>
        <v>270</v>
      </c>
      <c r="E5232" s="76">
        <f>E5230*E5231*12/1000</f>
        <v>108</v>
      </c>
      <c r="G5232" s="76"/>
    </row>
    <row r="5233" spans="1:7" x14ac:dyDescent="0.3">
      <c r="A5233" s="76" t="s">
        <v>2447</v>
      </c>
      <c r="B5233" s="104">
        <v>3000</v>
      </c>
      <c r="C5233" s="104">
        <f>B5233</f>
        <v>3000</v>
      </c>
      <c r="D5233" s="104">
        <f>C5233</f>
        <v>3000</v>
      </c>
      <c r="E5233" s="104">
        <f>D5233</f>
        <v>3000</v>
      </c>
      <c r="G5233" s="76"/>
    </row>
    <row r="5234" spans="1:7" x14ac:dyDescent="0.3">
      <c r="A5234" s="76" t="s">
        <v>651</v>
      </c>
      <c r="B5234" s="76">
        <f>B5233+B5232</f>
        <v>3594</v>
      </c>
      <c r="C5234" s="76">
        <f>C5233+C5232</f>
        <v>3432</v>
      </c>
      <c r="D5234" s="76">
        <f>D5233+D5232</f>
        <v>3270</v>
      </c>
      <c r="E5234" s="76">
        <f>E5233+E5232</f>
        <v>3108</v>
      </c>
      <c r="G5234" s="76"/>
    </row>
    <row r="5235" spans="1:7" x14ac:dyDescent="0.3">
      <c r="A5235" s="76" t="s">
        <v>2445</v>
      </c>
      <c r="B5235" s="634">
        <v>0.3</v>
      </c>
      <c r="C5235" s="634">
        <f>B5235</f>
        <v>0.3</v>
      </c>
      <c r="D5235" s="634">
        <f>C5235</f>
        <v>0.3</v>
      </c>
      <c r="E5235" s="634">
        <f>D5235</f>
        <v>0.3</v>
      </c>
      <c r="G5235" s="76"/>
    </row>
    <row r="5236" spans="1:7" x14ac:dyDescent="0.3">
      <c r="A5236" s="76" t="s">
        <v>44</v>
      </c>
      <c r="B5236" s="76">
        <f>B5234*B5235</f>
        <v>1078.2</v>
      </c>
      <c r="C5236" s="76">
        <f>C5234*C5235</f>
        <v>1029.5999999999999</v>
      </c>
      <c r="D5236" s="76">
        <f>D5234*D5235</f>
        <v>981</v>
      </c>
      <c r="E5236" s="76">
        <f>E5234*E5235</f>
        <v>932.4</v>
      </c>
      <c r="G5236" s="76"/>
    </row>
    <row r="5237" spans="1:7" x14ac:dyDescent="0.3">
      <c r="A5237" s="76" t="s">
        <v>2391</v>
      </c>
      <c r="B5237" s="633">
        <v>3.5</v>
      </c>
      <c r="C5237" s="633">
        <f>B5237</f>
        <v>3.5</v>
      </c>
      <c r="D5237" s="633">
        <f>C5237</f>
        <v>3.5</v>
      </c>
      <c r="E5237" s="633">
        <f>D5237</f>
        <v>3.5</v>
      </c>
      <c r="G5237" s="76"/>
    </row>
    <row r="5238" spans="1:7" x14ac:dyDescent="0.3">
      <c r="A5238" s="76" t="s">
        <v>865</v>
      </c>
      <c r="B5238" s="257">
        <f>B5236*B5237</f>
        <v>3773.7000000000003</v>
      </c>
      <c r="C5238" s="257">
        <f>C5236*C5237</f>
        <v>3603.5999999999995</v>
      </c>
      <c r="D5238" s="257">
        <f>D5236*D5237</f>
        <v>3433.5</v>
      </c>
      <c r="E5238" s="257">
        <f>E5236*E5237</f>
        <v>3263.4</v>
      </c>
      <c r="G5238" s="76"/>
    </row>
    <row r="5239" spans="1:7" x14ac:dyDescent="0.3">
      <c r="G5239" s="76"/>
    </row>
    <row r="5240" spans="1:7" x14ac:dyDescent="0.3">
      <c r="A5240" s="76" t="s">
        <v>1110</v>
      </c>
      <c r="B5240" s="76">
        <f>B5238+B5226</f>
        <v>13645.575000000001</v>
      </c>
      <c r="C5240" s="76">
        <f>C5238+C5226</f>
        <v>23347.35</v>
      </c>
      <c r="D5240" s="76">
        <f>D5238+D5226</f>
        <v>33049.125</v>
      </c>
      <c r="E5240" s="76">
        <f>E5238+E5226</f>
        <v>42750.9</v>
      </c>
      <c r="G5240" s="76"/>
    </row>
    <row r="5241" spans="1:7" x14ac:dyDescent="0.3">
      <c r="A5241" s="76" t="s">
        <v>866</v>
      </c>
      <c r="B5241" s="76">
        <v>6194</v>
      </c>
      <c r="C5241" s="76">
        <v>6194</v>
      </c>
      <c r="D5241" s="76">
        <v>6194</v>
      </c>
      <c r="E5241" s="76">
        <v>6194</v>
      </c>
      <c r="G5241" s="76"/>
    </row>
    <row r="5242" spans="1:7" ht="12.5" thickBot="1" x14ac:dyDescent="0.35">
      <c r="A5242" s="76" t="s">
        <v>867</v>
      </c>
      <c r="B5242" s="632">
        <f>B5240-B5241</f>
        <v>7451.5750000000007</v>
      </c>
      <c r="C5242" s="632">
        <f>C5240-C5241</f>
        <v>17153.349999999999</v>
      </c>
      <c r="D5242" s="632">
        <f>D5240-D5241</f>
        <v>26855.125</v>
      </c>
      <c r="E5242" s="632">
        <f>E5240-E5241</f>
        <v>36556.9</v>
      </c>
      <c r="G5242" s="146"/>
    </row>
    <row r="5243" spans="1:7" ht="12.5" thickTop="1" x14ac:dyDescent="0.3"/>
    <row r="5244" spans="1:7" x14ac:dyDescent="0.3">
      <c r="A5244" t="s">
        <v>2448</v>
      </c>
      <c r="C5244" s="98">
        <v>3000</v>
      </c>
      <c r="D5244" s="98">
        <v>3000</v>
      </c>
      <c r="F5244" s="98">
        <v>3000</v>
      </c>
      <c r="G5244" s="98">
        <v>3000</v>
      </c>
    </row>
    <row r="5245" spans="1:7" x14ac:dyDescent="0.3">
      <c r="A5245" s="177" t="s">
        <v>1292</v>
      </c>
      <c r="C5245" s="191">
        <v>0.4</v>
      </c>
      <c r="D5245" s="191">
        <v>0.45</v>
      </c>
      <c r="F5245" s="191">
        <v>0.4</v>
      </c>
      <c r="G5245" s="191">
        <v>0.4</v>
      </c>
    </row>
    <row r="5246" spans="1:7" x14ac:dyDescent="0.3">
      <c r="A5246" s="177" t="s">
        <v>2449</v>
      </c>
      <c r="C5246">
        <f>+C5244*C5245</f>
        <v>1200</v>
      </c>
      <c r="D5246">
        <f>+D5244*D5245</f>
        <v>1350</v>
      </c>
      <c r="F5246">
        <f>+F5244*F5245</f>
        <v>1200</v>
      </c>
      <c r="G5246">
        <f>+G5244*G5245</f>
        <v>1200</v>
      </c>
    </row>
    <row r="5247" spans="1:7" x14ac:dyDescent="0.3">
      <c r="A5247" s="177" t="s">
        <v>213</v>
      </c>
      <c r="C5247">
        <v>53</v>
      </c>
      <c r="D5247">
        <v>53</v>
      </c>
      <c r="F5247">
        <f>+C5247+5</f>
        <v>58</v>
      </c>
      <c r="G5247">
        <f>+F5247+5</f>
        <v>63</v>
      </c>
    </row>
    <row r="5248" spans="1:7" x14ac:dyDescent="0.3">
      <c r="A5248" s="177" t="s">
        <v>214</v>
      </c>
      <c r="C5248">
        <f>+C5246*C5247*12/1000</f>
        <v>763.2</v>
      </c>
      <c r="D5248">
        <f>+D5246*D5247*12/1000</f>
        <v>858.6</v>
      </c>
      <c r="F5248">
        <f>+F5246*F5247*12/1000</f>
        <v>835.2</v>
      </c>
      <c r="G5248">
        <f>+G5246*G5247*12/1000</f>
        <v>907.2</v>
      </c>
    </row>
    <row r="5249" spans="1:14" x14ac:dyDescent="0.3">
      <c r="A5249" s="177" t="s">
        <v>2261</v>
      </c>
      <c r="C5249" s="231">
        <v>0.4</v>
      </c>
      <c r="D5249" s="231">
        <f>+D5250/D5248</f>
        <v>0.43333333333333335</v>
      </c>
      <c r="F5249" s="231">
        <f>+F5250/F5248</f>
        <v>0.4517241379310345</v>
      </c>
      <c r="G5249" s="231">
        <f>+G5250/G5248</f>
        <v>0.49523809523809526</v>
      </c>
    </row>
    <row r="5250" spans="1:14" x14ac:dyDescent="0.3">
      <c r="A5250" s="177" t="s">
        <v>218</v>
      </c>
      <c r="C5250">
        <f>+C5248*C5249</f>
        <v>305.28000000000003</v>
      </c>
      <c r="D5250">
        <f>+(D5248-C5248)*D5251+C5250</f>
        <v>372.06</v>
      </c>
      <c r="F5250">
        <f>+(F5248-C5248)*F5251+C5250</f>
        <v>377.28000000000003</v>
      </c>
      <c r="G5250">
        <f>+(G5248-C5248)*G5251+C5250</f>
        <v>449.28000000000003</v>
      </c>
    </row>
    <row r="5251" spans="1:14" x14ac:dyDescent="0.3">
      <c r="A5251" s="94" t="s">
        <v>2450</v>
      </c>
      <c r="D5251" s="657">
        <v>0.7</v>
      </c>
      <c r="F5251" s="657">
        <v>1</v>
      </c>
      <c r="G5251" s="657">
        <v>1</v>
      </c>
    </row>
    <row r="5253" spans="1:14" x14ac:dyDescent="0.3">
      <c r="A5253" s="627" t="s">
        <v>2451</v>
      </c>
      <c r="B5253" s="627"/>
      <c r="C5253" s="627"/>
      <c r="D5253" s="627"/>
      <c r="E5253" s="627"/>
      <c r="F5253" s="627"/>
      <c r="G5253" s="627"/>
      <c r="H5253" s="627"/>
      <c r="I5253" s="627"/>
      <c r="J5253" s="627"/>
      <c r="K5253" s="627"/>
      <c r="L5253" s="627"/>
      <c r="M5253" s="627"/>
      <c r="N5253" s="627"/>
    </row>
    <row r="5255" spans="1:14" ht="24" x14ac:dyDescent="0.3">
      <c r="A5255" s="679"/>
      <c r="B5255" s="678" t="s">
        <v>2452</v>
      </c>
      <c r="C5255" s="678" t="s">
        <v>865</v>
      </c>
      <c r="D5255" s="678" t="s">
        <v>2453</v>
      </c>
      <c r="E5255" s="678" t="s">
        <v>2454</v>
      </c>
      <c r="F5255" s="678" t="s">
        <v>2455</v>
      </c>
      <c r="G5255" s="108"/>
    </row>
    <row r="5256" spans="1:14" x14ac:dyDescent="0.3">
      <c r="A5256" s="108" t="s">
        <v>798</v>
      </c>
      <c r="B5256" s="676" cm="1">
        <f t="array" ref="B5256">IFERROR(_xll.FDS($A5256,"RTP_MKT_CAP"),"")</f>
        <v>10177.508</v>
      </c>
      <c r="C5256" s="676" cm="1">
        <f t="array" ref="C5256">IFERROR(_xll.FDS(A5256,"FF_ENTRPR_VAL_DAILY(0,,,,,""DIL"")"),"")</f>
        <v>39616.77332</v>
      </c>
      <c r="D5256" s="675">
        <f>+C5256/B5284</f>
        <v>4.7028458357075023</v>
      </c>
      <c r="E5256" s="120">
        <v>527.03346007604569</v>
      </c>
      <c r="F5256" s="120">
        <f>+C5256/E5256*1000</f>
        <v>75169.370298204012</v>
      </c>
      <c r="G5256" s="677"/>
    </row>
    <row r="5257" spans="1:14" x14ac:dyDescent="0.3">
      <c r="A5257" s="108" t="s">
        <v>2456</v>
      </c>
      <c r="B5257" s="676" t="str" cm="1">
        <f t="array" ref="B5257">IFERROR(_xll.FDS($A5257,"RTP_MKT_CAP"),"")</f>
        <v/>
      </c>
      <c r="C5257" s="676" t="str" cm="1">
        <f t="array" ref="C5257">IFERROR(_xll.FDS(A5257,"FF_ENTRPR_VAL_DAILY(0,,,,,""DIL"")"),"")</f>
        <v/>
      </c>
      <c r="D5257" s="108"/>
      <c r="E5257" s="108"/>
      <c r="F5257" s="108"/>
      <c r="G5257" s="108"/>
    </row>
    <row r="5258" spans="1:14" x14ac:dyDescent="0.3">
      <c r="A5258" s="108" t="s">
        <v>2457</v>
      </c>
      <c r="B5258" s="676" t="str" cm="1">
        <f t="array" ref="B5258">IFERROR(_xll.FDS($A5258,"RTP_MKT_CAP"),"")</f>
        <v/>
      </c>
      <c r="C5258" s="676" t="str" cm="1">
        <f t="array" ref="C5258">IFERROR(_xll.FDS(A5258,"FF_ENTRPR_VAL_DAILY(0,,,,,""DIL"")"),"")</f>
        <v/>
      </c>
      <c r="D5258" s="108"/>
      <c r="E5258" s="108"/>
      <c r="F5258" s="108"/>
      <c r="G5258" s="108"/>
    </row>
    <row r="5259" spans="1:14" x14ac:dyDescent="0.3">
      <c r="A5259" s="108" t="s">
        <v>2458</v>
      </c>
      <c r="B5259" s="676" cm="1">
        <f t="array" ref="B5259">IFERROR(_xll.FDS($A5259,"RTP_MKT_CAP"),"")</f>
        <v>1988.7184</v>
      </c>
      <c r="C5259" s="676" cm="1">
        <f t="array" ref="C5259">IFERROR(_xll.FDS(A5259,"FF_ENTRPR_VAL_DAILY(0,,,,,""DIL"")"),"")</f>
        <v>7661.32</v>
      </c>
      <c r="D5259" s="675">
        <f>+C5259/B5287</f>
        <v>6.0589562992007666</v>
      </c>
      <c r="E5259" s="120">
        <v>258.88897338403046</v>
      </c>
      <c r="F5259" s="120">
        <f>+C5259/E5259*1000</f>
        <v>29593.071886593483</v>
      </c>
      <c r="G5259" s="108"/>
    </row>
    <row r="5260" spans="1:14" x14ac:dyDescent="0.3">
      <c r="A5260" s="108"/>
      <c r="B5260" s="676"/>
      <c r="C5260" s="676"/>
      <c r="D5260" s="675"/>
      <c r="E5260" s="120"/>
      <c r="F5260" s="120"/>
      <c r="G5260" s="108"/>
    </row>
    <row r="5261" spans="1:14" x14ac:dyDescent="0.3">
      <c r="A5261" s="108" t="s">
        <v>2459</v>
      </c>
      <c r="B5261" s="676"/>
      <c r="C5261" s="676" cm="1">
        <f t="array" ref="C5261">IFERROR(_xll.FDS(A5261,"FF_ENTRPR_VAL_DAILY(0,,,,,""DIL"")"),"")</f>
        <v>317471.56</v>
      </c>
      <c r="D5261" s="673" cm="1">
        <f t="array" ref="D5261">_xll.FDS($A5261,"FE_ESTIMATE(EBITDA,MEDIAN,ANNUAL,"&amp;B$5283&amp;",NOW,,,'')")</f>
        <v>34707.050000000003</v>
      </c>
      <c r="E5261" s="120"/>
      <c r="F5261" s="120"/>
      <c r="G5261" s="108"/>
    </row>
    <row r="5262" spans="1:14" x14ac:dyDescent="0.3">
      <c r="A5262" s="108" t="s">
        <v>2460</v>
      </c>
      <c r="B5262" s="108"/>
      <c r="C5262" s="676" cm="1">
        <f t="array" ref="C5262">IFERROR(_xll.FDS(A5262,"FF_ENTRPR_VAL_DAILY(0,,,,,""DIL"")"),"")</f>
        <v>211730.82265484001</v>
      </c>
      <c r="D5262" s="673" cm="1">
        <f t="array" ref="D5262">_xll.FDS($A5262,"FE_ESTIMATE(EBITDA,MEDIAN,ANNUAL,"&amp;B$5283&amp;",NOW,,,'')")</f>
        <v>20630</v>
      </c>
      <c r="E5262" s="108"/>
      <c r="F5262" s="108"/>
      <c r="G5262" s="108"/>
    </row>
    <row r="5263" spans="1:14" x14ac:dyDescent="0.3">
      <c r="A5263" s="108" t="s">
        <v>2461</v>
      </c>
      <c r="B5263" s="108"/>
      <c r="C5263" s="676" cm="1">
        <f t="array" ref="C5263">IFERROR(_xll.FDS(A5263,"FF_ENTRPR_VAL_DAILY(0,,,,,""DIL"")"),"")</f>
        <v>31901.080399999999</v>
      </c>
      <c r="D5263" s="673" cm="1">
        <f t="array" ref="D5263">_xll.FDS($A5263,"FE_ESTIMATE(EBITDA,MEDIAN,ANNUAL,"&amp;B$5283&amp;",NOW,,,'')")</f>
        <v>4427.1000000000004</v>
      </c>
      <c r="E5263" s="108"/>
      <c r="F5263" s="108"/>
      <c r="G5263" s="108"/>
    </row>
    <row r="5264" spans="1:14" x14ac:dyDescent="0.3">
      <c r="A5264" s="108"/>
      <c r="B5264" s="108"/>
      <c r="C5264" s="108"/>
      <c r="D5264" s="108"/>
      <c r="E5264" s="108"/>
      <c r="F5264" s="108"/>
      <c r="G5264" s="108"/>
    </row>
    <row r="5265" spans="1:7" x14ac:dyDescent="0.3">
      <c r="A5265" s="108" t="s">
        <v>798</v>
      </c>
      <c r="B5265" s="675">
        <f>+D5256</f>
        <v>4.7028458357075023</v>
      </c>
      <c r="D5265" s="108"/>
      <c r="E5265" s="108"/>
      <c r="F5265" s="108"/>
      <c r="G5265" s="108"/>
    </row>
    <row r="5266" spans="1:7" x14ac:dyDescent="0.3">
      <c r="A5266" s="108" t="s">
        <v>2458</v>
      </c>
      <c r="B5266" s="675">
        <f>+D5259</f>
        <v>6.0589562992007666</v>
      </c>
      <c r="D5266" s="108"/>
      <c r="E5266" s="108"/>
      <c r="F5266" s="108"/>
      <c r="G5266" s="108"/>
    </row>
    <row r="5267" spans="1:7" x14ac:dyDescent="0.3">
      <c r="A5267" s="108" t="s">
        <v>2462</v>
      </c>
      <c r="B5267" s="699">
        <v>4.8</v>
      </c>
      <c r="D5267" s="108"/>
      <c r="E5267" s="108"/>
      <c r="F5267" s="108"/>
      <c r="G5267" s="108"/>
    </row>
    <row r="5268" spans="1:7" x14ac:dyDescent="0.3">
      <c r="A5268" s="108" t="s">
        <v>2463</v>
      </c>
      <c r="B5268" s="675">
        <f>+B5102</f>
        <v>4.562770562770563</v>
      </c>
      <c r="C5268" s="108"/>
      <c r="D5268" s="108"/>
      <c r="E5268" s="108"/>
      <c r="F5268" s="108"/>
      <c r="G5268" s="108"/>
    </row>
    <row r="5269" spans="1:7" x14ac:dyDescent="0.3">
      <c r="A5269" s="108" t="s">
        <v>2464</v>
      </c>
      <c r="B5269" s="699">
        <v>7.1</v>
      </c>
      <c r="E5269" s="108"/>
      <c r="F5269" s="108"/>
      <c r="G5269" s="108"/>
    </row>
    <row r="5270" spans="1:7" x14ac:dyDescent="0.3">
      <c r="A5270" s="108" t="s">
        <v>2465</v>
      </c>
      <c r="B5270" s="699">
        <v>5.0081015973917369</v>
      </c>
      <c r="C5270" s="108"/>
      <c r="D5270" s="108"/>
      <c r="E5270" s="108"/>
      <c r="F5270" s="108"/>
      <c r="G5270" s="108"/>
    </row>
    <row r="5271" spans="1:7" x14ac:dyDescent="0.3">
      <c r="A5271" s="108"/>
      <c r="B5271" s="675"/>
      <c r="C5271" s="108"/>
      <c r="D5271" s="108"/>
      <c r="E5271" s="108"/>
      <c r="F5271" s="108"/>
      <c r="G5271" s="108"/>
    </row>
    <row r="5272" spans="1:7" x14ac:dyDescent="0.3">
      <c r="A5272" s="108" t="s">
        <v>2459</v>
      </c>
      <c r="B5272" s="675">
        <f>+C5261/D5261</f>
        <v>9.1471778788459392</v>
      </c>
      <c r="C5272" s="108"/>
      <c r="D5272" s="108"/>
      <c r="E5272" s="108"/>
      <c r="F5272" s="108"/>
      <c r="G5272" s="108"/>
    </row>
    <row r="5273" spans="1:7" x14ac:dyDescent="0.3">
      <c r="A5273" s="108" t="s">
        <v>2460</v>
      </c>
      <c r="B5273" s="675">
        <f>+C5262/D5262</f>
        <v>10.263248795678139</v>
      </c>
      <c r="C5273" s="108"/>
      <c r="D5273" s="108"/>
      <c r="E5273" s="108"/>
      <c r="F5273" s="108"/>
      <c r="G5273" s="108"/>
    </row>
    <row r="5274" spans="1:7" x14ac:dyDescent="0.3">
      <c r="A5274" s="108" t="s">
        <v>2461</v>
      </c>
      <c r="B5274" s="675">
        <f>+C5263/D5263</f>
        <v>7.205863974159155</v>
      </c>
      <c r="C5274" s="108"/>
      <c r="D5274" s="108"/>
      <c r="E5274" s="108"/>
      <c r="F5274" s="108"/>
      <c r="G5274" s="108"/>
    </row>
    <row r="5275" spans="1:7" x14ac:dyDescent="0.3">
      <c r="A5275" s="108" t="s">
        <v>2466</v>
      </c>
      <c r="B5275" s="698">
        <v>12.461538461538462</v>
      </c>
      <c r="C5275" s="108"/>
      <c r="D5275" s="108"/>
      <c r="E5275" s="108"/>
      <c r="F5275" s="108"/>
      <c r="G5275" s="108"/>
    </row>
    <row r="5276" spans="1:7" x14ac:dyDescent="0.3">
      <c r="A5276" s="108" t="s">
        <v>2467</v>
      </c>
      <c r="B5276" s="698">
        <v>12.512891937964625</v>
      </c>
      <c r="C5276" s="108"/>
      <c r="D5276" s="108"/>
      <c r="E5276" s="108"/>
      <c r="F5276" s="108"/>
      <c r="G5276" s="108"/>
    </row>
    <row r="5277" spans="1:7" x14ac:dyDescent="0.3">
      <c r="A5277" s="108" t="s">
        <v>2468</v>
      </c>
      <c r="B5277" s="698">
        <v>13.653846153846153</v>
      </c>
      <c r="C5277" s="108"/>
      <c r="D5277" s="108"/>
      <c r="E5277" s="108"/>
      <c r="F5277" s="108"/>
      <c r="G5277" s="108"/>
    </row>
    <row r="5278" spans="1:7" x14ac:dyDescent="0.3">
      <c r="A5278" s="108" t="s">
        <v>2469</v>
      </c>
      <c r="B5278" s="698">
        <v>10.175648727272726</v>
      </c>
      <c r="C5278" s="108"/>
      <c r="D5278" s="108"/>
      <c r="E5278" s="108"/>
      <c r="F5278" s="108"/>
      <c r="G5278" s="108"/>
    </row>
    <row r="5279" spans="1:7" x14ac:dyDescent="0.3">
      <c r="A5279" s="108"/>
      <c r="B5279" s="675"/>
      <c r="C5279" s="108"/>
      <c r="D5279" s="108"/>
      <c r="E5279" s="108"/>
      <c r="F5279" s="108"/>
      <c r="G5279" s="108"/>
    </row>
    <row r="5280" spans="1:7" x14ac:dyDescent="0.3">
      <c r="A5280" s="108"/>
      <c r="B5280" s="108"/>
      <c r="C5280" s="108"/>
      <c r="D5280" s="108"/>
      <c r="E5280" s="108"/>
      <c r="F5280" s="108"/>
      <c r="G5280" s="108"/>
    </row>
    <row r="5281" spans="1:7" x14ac:dyDescent="0.3">
      <c r="A5281" s="108"/>
      <c r="B5281" s="108"/>
      <c r="C5281" s="108"/>
      <c r="D5281" s="108"/>
      <c r="E5281" s="108"/>
      <c r="F5281" s="108"/>
      <c r="G5281" s="108"/>
    </row>
    <row r="5282" spans="1:7" x14ac:dyDescent="0.3">
      <c r="A5282" s="108"/>
      <c r="B5282" s="108"/>
      <c r="C5282" s="108"/>
      <c r="D5282" s="108"/>
      <c r="E5282" s="108"/>
      <c r="F5282" s="108"/>
      <c r="G5282" s="108"/>
    </row>
    <row r="5283" spans="1:7" x14ac:dyDescent="0.3">
      <c r="A5283" s="108"/>
      <c r="B5283" s="674">
        <v>2021</v>
      </c>
      <c r="C5283" s="674">
        <f>+B5283+1</f>
        <v>2022</v>
      </c>
      <c r="D5283" s="674">
        <f>+C5283+1</f>
        <v>2023</v>
      </c>
      <c r="E5283" s="674">
        <f>+D5283+1</f>
        <v>2024</v>
      </c>
      <c r="F5283" s="674">
        <f>+E5283+1</f>
        <v>2025</v>
      </c>
      <c r="G5283" s="108"/>
    </row>
    <row r="5284" spans="1:7" x14ac:dyDescent="0.3">
      <c r="A5284" s="108" t="s">
        <v>798</v>
      </c>
      <c r="B5284" s="673" cm="1">
        <f t="array" ref="B5284">_xll.FDS($A5284,"FE_ESTIMATE(EBITDA,MEDIAN,ANNUAL,"&amp;B$5283&amp;",NOW,,,'')")</f>
        <v>8424</v>
      </c>
      <c r="C5284" s="673" cm="1">
        <f t="array" ref="C5284">_xll.FDS($A5284,"FE_ESTIMATE(EBITDA,MEDIAN,ANNUAL,"&amp;C$5283&amp;",NOW,,,'')")</f>
        <v>6609.4546</v>
      </c>
      <c r="D5284" s="673" cm="1">
        <f t="array" ref="D5284">_xll.FDS($A5284,"FE_ESTIMATE(EBITDA,MEDIAN,ANNUAL,"&amp;D$5283&amp;",NOW,,,'')")</f>
        <v>5808</v>
      </c>
      <c r="E5284" s="673" cm="1">
        <f t="array" ref="E5284">_xll.FDS($A5284,"FE_ESTIMATE(EBITDA,MEDIAN,ANNUAL,"&amp;E$5283&amp;",NOW,,,'')")</f>
        <v>5700.9139999999998</v>
      </c>
      <c r="F5284" s="673" cm="1">
        <f t="array" ref="F5284">_xll.FDS($A5284,"FE_ESTIMATE(EBITDA,MEDIAN,ANNUAL,"&amp;F$5283&amp;",NOW,,,'')")</f>
        <v>6117</v>
      </c>
      <c r="G5284" s="108"/>
    </row>
    <row r="5285" spans="1:7" x14ac:dyDescent="0.3">
      <c r="A5285" s="108" t="s">
        <v>2456</v>
      </c>
      <c r="B5285" s="673" t="e" cm="1">
        <f t="array" ref="B5285">_xll.FDS($A5285,"FE_ESTIMATE(EBITDA,MEDIAN,ANNUAL,"&amp;B$5283&amp;",NOW,,,'')")</f>
        <v>#N/A</v>
      </c>
      <c r="C5285" s="673" t="e" cm="1">
        <f t="array" ref="C5285">_xll.FDS($A5285,"FE_ESTIMATE(EBITDA,MEDIAN,ANNUAL,"&amp;C$5283&amp;",NOW,,,'')")</f>
        <v>#N/A</v>
      </c>
      <c r="D5285" s="673" t="e" cm="1">
        <f t="array" ref="D5285">_xll.FDS($A5285,"FE_ESTIMATE(EBITDA,MEDIAN,ANNUAL,"&amp;D$5283&amp;",NOW,,,'')")</f>
        <v>#N/A</v>
      </c>
      <c r="E5285" s="673" t="e" cm="1">
        <f t="array" ref="E5285">_xll.FDS($A5285,"FE_ESTIMATE(EBITDA,MEDIAN,ANNUAL,"&amp;E$5283&amp;",NOW,,,'')")</f>
        <v>#N/A</v>
      </c>
      <c r="F5285" s="673" t="e" cm="1">
        <f t="array" ref="F5285">_xll.FDS($A5285,"FE_ESTIMATE(EBITDA,MEDIAN,ANNUAL,"&amp;F$5283&amp;",NOW,,,'')")</f>
        <v>#N/A</v>
      </c>
      <c r="G5285" s="108"/>
    </row>
    <row r="5286" spans="1:7" x14ac:dyDescent="0.3">
      <c r="A5286" s="108" t="s">
        <v>2457</v>
      </c>
      <c r="B5286" s="673" t="e" cm="1">
        <f t="array" ref="B5286">_xll.FDS($A5286,"FE_ESTIMATE(EBITDA,MEDIAN,ANNUAL,"&amp;B$5283&amp;",NOW,,,'')")</f>
        <v>#N/A</v>
      </c>
      <c r="C5286" s="673" t="e" cm="1">
        <f t="array" ref="C5286">_xll.FDS($A5286,"FE_ESTIMATE(EBITDA,MEDIAN,ANNUAL,"&amp;C$5283&amp;",NOW,,,'')")</f>
        <v>#N/A</v>
      </c>
      <c r="D5286" s="673" t="e" cm="1">
        <f t="array" ref="D5286">_xll.FDS($A5286,"FE_ESTIMATE(EBITDA,MEDIAN,ANNUAL,"&amp;D$5283&amp;",NOW,,,'')")</f>
        <v>#N/A</v>
      </c>
      <c r="E5286" s="673" t="e" cm="1">
        <f t="array" ref="E5286">_xll.FDS($A5286,"FE_ESTIMATE(EBITDA,MEDIAN,ANNUAL,"&amp;E$5283&amp;",NOW,,,'')")</f>
        <v>#N/A</v>
      </c>
      <c r="F5286" s="673" t="e" cm="1">
        <f t="array" ref="F5286">_xll.FDS($A5286,"FE_ESTIMATE(EBITDA,MEDIAN,ANNUAL,"&amp;F$5283&amp;",NOW,,,'')")</f>
        <v>#N/A</v>
      </c>
      <c r="G5286" s="108"/>
    </row>
    <row r="5287" spans="1:7" x14ac:dyDescent="0.3">
      <c r="A5287" s="108" t="s">
        <v>2458</v>
      </c>
      <c r="B5287" s="673" cm="1">
        <f t="array" ref="B5287">_xll.FDS($A5287,"FE_ESTIMATE(EBITDA,MEDIAN,ANNUAL,"&amp;B$5283&amp;",NOW,,,'')")</f>
        <v>1264.462</v>
      </c>
      <c r="C5287" s="673" cm="1">
        <f t="array" ref="C5287">_xll.FDS($A5287,"FE_ESTIMATE(EBITDA,MEDIAN,ANNUAL,"&amp;C$5283&amp;",NOW,,,'')")</f>
        <v>1289.2627</v>
      </c>
      <c r="D5287" s="673" cm="1">
        <f t="array" ref="D5287">_xll.FDS($A5287,"FE_ESTIMATE(EBITDA,MEDIAN,ANNUAL,"&amp;D$5283&amp;",NOW,,,'')")</f>
        <v>1352.2245</v>
      </c>
      <c r="E5287" s="673" cm="1">
        <f t="array" ref="E5287">_xll.FDS($A5287,"FE_ESTIMATE(EBITDA,MEDIAN,ANNUAL,"&amp;E$5283&amp;",NOW,,,'')")</f>
        <v>1375.6515999999999</v>
      </c>
      <c r="F5287" s="673" t="e" cm="1">
        <f t="array" ref="F5287">_xll.FDS($A5287,"FE_ESTIMATE(EBITDA,MEDIAN,ANNUAL,"&amp;F$5283&amp;",NOW,,,'')")</f>
        <v>#N/A</v>
      </c>
      <c r="G5287" s="108"/>
    </row>
    <row r="5288" spans="1:7" x14ac:dyDescent="0.3">
      <c r="A5288" s="108"/>
      <c r="B5288" s="108"/>
      <c r="C5288" s="108"/>
      <c r="D5288" s="108"/>
      <c r="E5288" s="108"/>
      <c r="F5288" s="108"/>
      <c r="G5288" s="108"/>
    </row>
    <row r="5289" spans="1:7" x14ac:dyDescent="0.3">
      <c r="A5289" s="108"/>
      <c r="B5289" s="108"/>
      <c r="C5289" s="108"/>
      <c r="D5289" s="108"/>
      <c r="E5289" s="108"/>
      <c r="F5289" s="108"/>
      <c r="G5289" s="108"/>
    </row>
    <row r="5290" spans="1:7" x14ac:dyDescent="0.3">
      <c r="A5290" s="147"/>
      <c r="B5290" s="682" t="s">
        <v>629</v>
      </c>
      <c r="C5290" s="682" t="s">
        <v>628</v>
      </c>
      <c r="D5290" s="682" t="s">
        <v>266</v>
      </c>
      <c r="E5290" s="108"/>
      <c r="F5290" s="108"/>
      <c r="G5290" s="108"/>
    </row>
    <row r="5291" spans="1:7" x14ac:dyDescent="0.3">
      <c r="A5291" t="s">
        <v>324</v>
      </c>
      <c r="B5291" s="76">
        <v>16600</v>
      </c>
      <c r="C5291" s="76">
        <f>+D5291-B5291</f>
        <v>-16072.966539923955</v>
      </c>
      <c r="D5291" s="76">
        <f>+E5256</f>
        <v>527.03346007604569</v>
      </c>
      <c r="E5291" s="108"/>
      <c r="F5291" s="646">
        <f>+C5291/D5291</f>
        <v>-30.497051435035615</v>
      </c>
      <c r="G5291" s="108"/>
    </row>
    <row r="5292" spans="1:7" x14ac:dyDescent="0.3">
      <c r="A5292" t="s">
        <v>44</v>
      </c>
      <c r="B5292" s="76">
        <f>+D5292-C5292</f>
        <v>22327.116057034218</v>
      </c>
      <c r="C5292" s="120">
        <f>+C5291*C5295/1000</f>
        <v>-13903.11605703422</v>
      </c>
      <c r="D5292" s="120">
        <f>+B5284</f>
        <v>8424</v>
      </c>
    </row>
    <row r="5293" spans="1:7" x14ac:dyDescent="0.3">
      <c r="A5293" s="177" t="s">
        <v>881</v>
      </c>
      <c r="B5293" s="683">
        <v>3.5</v>
      </c>
      <c r="C5293" s="459">
        <f>+C5294/C5292</f>
        <v>2.7711868851246924</v>
      </c>
      <c r="D5293" s="459">
        <f>+D5294/D5292</f>
        <v>4.7028458357075023</v>
      </c>
    </row>
    <row r="5294" spans="1:7" x14ac:dyDescent="0.3">
      <c r="A5294" s="539" t="s">
        <v>2470</v>
      </c>
      <c r="B5294" s="803">
        <f>+B5292*B5293</f>
        <v>78144.906199619756</v>
      </c>
      <c r="C5294" s="1026">
        <f>+D5294-B5294</f>
        <v>-38528.132879619756</v>
      </c>
      <c r="D5294" s="803">
        <f>+C5256</f>
        <v>39616.77332</v>
      </c>
    </row>
    <row r="5295" spans="1:7" x14ac:dyDescent="0.3">
      <c r="A5295" s="680" t="s">
        <v>2471</v>
      </c>
      <c r="B5295" s="681">
        <f>+B5292/B5291*1000</f>
        <v>1345.0069913876034</v>
      </c>
      <c r="C5295" s="684">
        <v>865</v>
      </c>
      <c r="D5295" s="681">
        <f>+D5292/D5291*1000</f>
        <v>15983.80489691205</v>
      </c>
    </row>
    <row r="5296" spans="1:7" x14ac:dyDescent="0.3">
      <c r="A5296" s="680" t="s">
        <v>2472</v>
      </c>
      <c r="B5296" s="681">
        <f>+B5294/B5291*1000</f>
        <v>4707.5244698566121</v>
      </c>
      <c r="C5296" s="681">
        <f>+C5294/C5291*1000</f>
        <v>2397.076655632859</v>
      </c>
      <c r="D5296" s="681">
        <f>+D5294/D5291*1000</f>
        <v>75169.370298204012</v>
      </c>
    </row>
    <row r="5297" spans="1:9" x14ac:dyDescent="0.3">
      <c r="I5297" t="e">
        <f>+N4958/14000*1000</f>
        <v>#REF!</v>
      </c>
    </row>
    <row r="5298" spans="1:9" x14ac:dyDescent="0.3">
      <c r="A5298" t="s">
        <v>2473</v>
      </c>
      <c r="B5298" s="76">
        <f>+B5294</f>
        <v>78144.906199619756</v>
      </c>
      <c r="C5298" s="76">
        <f>+C5294</f>
        <v>-38528.132879619756</v>
      </c>
      <c r="D5298" s="76">
        <f>+D5294</f>
        <v>39616.77332</v>
      </c>
    </row>
    <row r="5300" spans="1:9" x14ac:dyDescent="0.3">
      <c r="A5300" t="s">
        <v>2474</v>
      </c>
      <c r="B5300" s="76">
        <f>+B5291</f>
        <v>16600</v>
      </c>
      <c r="C5300" s="76">
        <f>+C5291</f>
        <v>-16072.966539923955</v>
      </c>
      <c r="D5300" s="76">
        <f>+D5291</f>
        <v>527.03346007604569</v>
      </c>
    </row>
    <row r="5301" spans="1:9" x14ac:dyDescent="0.3">
      <c r="A5301" s="177" t="s">
        <v>2475</v>
      </c>
      <c r="B5301" s="99">
        <f>+AVERAGE(50%,80%)</f>
        <v>0.65</v>
      </c>
      <c r="C5301" s="99">
        <v>0</v>
      </c>
      <c r="D5301" s="74">
        <f>+D5302/D5300</f>
        <v>20.473083432773148</v>
      </c>
    </row>
    <row r="5302" spans="1:9" x14ac:dyDescent="0.3">
      <c r="A5302" s="298" t="s">
        <v>2476</v>
      </c>
      <c r="B5302" s="803">
        <f>+B5300*B5301</f>
        <v>10790</v>
      </c>
      <c r="C5302" s="803">
        <f>+C5300*C5301</f>
        <v>0</v>
      </c>
      <c r="D5302" s="803">
        <f>+SUM(B5302:C5302)</f>
        <v>10790</v>
      </c>
    </row>
    <row r="5303" spans="1:9" x14ac:dyDescent="0.3">
      <c r="A5303" s="177" t="s">
        <v>2477</v>
      </c>
      <c r="B5303" s="76" t="e">
        <f>+B5332</f>
        <v>#REF!</v>
      </c>
      <c r="C5303" s="76">
        <v>0</v>
      </c>
      <c r="D5303" s="76" t="e">
        <f>+SUM(B5303:C5303)</f>
        <v>#REF!</v>
      </c>
    </row>
    <row r="5304" spans="1:9" x14ac:dyDescent="0.3">
      <c r="A5304" s="298" t="s">
        <v>2478</v>
      </c>
      <c r="B5304" s="803" t="e">
        <f>+B5302*B5303/1000</f>
        <v>#REF!</v>
      </c>
      <c r="C5304" s="803">
        <f>+C5302*C5303/1000</f>
        <v>0</v>
      </c>
      <c r="D5304" s="803" t="e">
        <f>+SUM(B5304:C5304)</f>
        <v>#REF!</v>
      </c>
    </row>
    <row r="5305" spans="1:9" x14ac:dyDescent="0.3">
      <c r="A5305" s="472"/>
      <c r="B5305" s="85"/>
      <c r="C5305" s="85"/>
      <c r="D5305" s="85"/>
    </row>
    <row r="5306" spans="1:9" x14ac:dyDescent="0.3">
      <c r="A5306" t="s">
        <v>2474</v>
      </c>
      <c r="B5306" s="76">
        <f>+B5300-B5302</f>
        <v>5810</v>
      </c>
      <c r="C5306" s="76">
        <f>+D5306-B5306</f>
        <v>-5282.9665399239548</v>
      </c>
      <c r="D5306" s="76">
        <f>+D5300</f>
        <v>527.03346007604569</v>
      </c>
    </row>
    <row r="5307" spans="1:9" x14ac:dyDescent="0.3">
      <c r="A5307" s="177" t="s">
        <v>2479</v>
      </c>
      <c r="B5307" s="681">
        <f>+B5308/B5306*1000</f>
        <v>4707.5244698566121</v>
      </c>
      <c r="C5307" s="681" t="e">
        <f>+C5308/C5306*1000</f>
        <v>#REF!</v>
      </c>
      <c r="D5307" s="681" t="e">
        <f>+D5308/D5306*1000</f>
        <v>#REF!</v>
      </c>
    </row>
    <row r="5308" spans="1:9" x14ac:dyDescent="0.3">
      <c r="A5308" s="298" t="s">
        <v>2480</v>
      </c>
      <c r="B5308" s="803">
        <f>+(1-B5301)*B5298</f>
        <v>27350.717169866912</v>
      </c>
      <c r="C5308" s="803" t="e">
        <f>+B5301*B5298+B5304+C5298</f>
        <v>#REF!</v>
      </c>
      <c r="D5308" s="803" t="e">
        <f>+SUM(B5308:C5308)</f>
        <v>#REF!</v>
      </c>
    </row>
    <row r="5309" spans="1:9" x14ac:dyDescent="0.3">
      <c r="B5309" s="623"/>
    </row>
    <row r="5310" spans="1:9" x14ac:dyDescent="0.3">
      <c r="A5310" t="s">
        <v>2481</v>
      </c>
      <c r="B5310" s="76">
        <f>+Drivers!ED30-Analysis!C4912</f>
        <v>2436.1545839999999</v>
      </c>
    </row>
    <row r="5311" spans="1:9" x14ac:dyDescent="0.3">
      <c r="A5311" s="177" t="s">
        <v>2482</v>
      </c>
      <c r="B5311" s="104">
        <f>+Drivers!ED94</f>
        <v>11891</v>
      </c>
    </row>
    <row r="5312" spans="1:9" x14ac:dyDescent="0.3">
      <c r="A5312" s="298" t="s">
        <v>2483</v>
      </c>
      <c r="B5312" s="639">
        <f>+B5310/B5311*1000</f>
        <v>204.87381919098476</v>
      </c>
      <c r="E5312" s="639" t="e">
        <f>+SUM(C4299:C4301)/11000*1000</f>
        <v>#REF!</v>
      </c>
    </row>
    <row r="5313" spans="1:5" x14ac:dyDescent="0.3">
      <c r="A5313" s="177" t="s">
        <v>881</v>
      </c>
      <c r="B5313" s="683">
        <v>3.5</v>
      </c>
    </row>
    <row r="5314" spans="1:5" x14ac:dyDescent="0.3">
      <c r="A5314" s="298" t="s">
        <v>2484</v>
      </c>
      <c r="B5314" s="1803">
        <f>+B5312*B5313</f>
        <v>717.05836716844669</v>
      </c>
    </row>
    <row r="5315" spans="1:5" x14ac:dyDescent="0.3">
      <c r="A5315" t="s">
        <v>2485</v>
      </c>
      <c r="B5315" s="686">
        <v>0.25</v>
      </c>
    </row>
    <row r="5316" spans="1:5" x14ac:dyDescent="0.3">
      <c r="A5316" s="298" t="s">
        <v>2486</v>
      </c>
      <c r="B5316" s="639">
        <f>+B5314*(1+B5315)</f>
        <v>896.32295896055837</v>
      </c>
    </row>
    <row r="5317" spans="1:5" x14ac:dyDescent="0.3">
      <c r="A5317" s="465" t="s">
        <v>2487</v>
      </c>
      <c r="B5317" s="523">
        <f>+B5316/B5312</f>
        <v>4.375</v>
      </c>
    </row>
    <row r="5320" spans="1:5" x14ac:dyDescent="0.3">
      <c r="A5320" t="s">
        <v>2488</v>
      </c>
      <c r="B5320" s="379">
        <f>+B5316</f>
        <v>896.32295896055837</v>
      </c>
      <c r="C5320" s="379"/>
    </row>
    <row r="5321" spans="1:5" x14ac:dyDescent="0.3">
      <c r="A5321" s="177" t="s">
        <v>2489</v>
      </c>
      <c r="B5321" s="621" t="e">
        <f>+SUM(D5321:D5322)</f>
        <v>#REF!</v>
      </c>
      <c r="D5321" s="76">
        <f>+SUM(C4506:K4506)/B4502*1000</f>
        <v>1083.665870797927</v>
      </c>
      <c r="E5321" t="s">
        <v>2490</v>
      </c>
    </row>
    <row r="5322" spans="1:5" x14ac:dyDescent="0.3">
      <c r="A5322" s="177" t="s">
        <v>2491</v>
      </c>
      <c r="B5322" s="687" t="e">
        <f>+SUM(B5320:B5321)</f>
        <v>#REF!</v>
      </c>
      <c r="D5322" s="76" t="e">
        <f>+SUM(C4582:N4582)/B4502*1000</f>
        <v>#REF!</v>
      </c>
      <c r="E5322" t="s">
        <v>2492</v>
      </c>
    </row>
    <row r="5323" spans="1:5" x14ac:dyDescent="0.3">
      <c r="A5323" s="177" t="s">
        <v>2493</v>
      </c>
      <c r="B5323" s="621" t="e">
        <f>+B5332+B5314</f>
        <v>#REF!</v>
      </c>
      <c r="C5323" s="379" t="e">
        <f>+B5323-B5322</f>
        <v>#REF!</v>
      </c>
      <c r="D5323" s="76"/>
    </row>
    <row r="5324" spans="1:5" x14ac:dyDescent="0.3">
      <c r="A5324" s="177"/>
      <c r="B5324" s="99" t="e">
        <f>+B5323/B5322-1</f>
        <v>#REF!</v>
      </c>
      <c r="D5324" s="76"/>
    </row>
    <row r="5325" spans="1:5" x14ac:dyDescent="0.3">
      <c r="B5325" s="379" t="e">
        <f>+B5323-B5320</f>
        <v>#REF!</v>
      </c>
      <c r="C5325" s="379" t="e">
        <f>+B5325</f>
        <v>#REF!</v>
      </c>
      <c r="D5325" s="76"/>
    </row>
    <row r="5326" spans="1:5" x14ac:dyDescent="0.3">
      <c r="A5326" s="177"/>
      <c r="B5326" s="621"/>
      <c r="D5326" s="76"/>
    </row>
    <row r="5327" spans="1:5" x14ac:dyDescent="0.3">
      <c r="A5327" s="177" t="s">
        <v>2494</v>
      </c>
      <c r="B5327" s="379" t="e">
        <f>+B5303-B5321</f>
        <v>#REF!</v>
      </c>
    </row>
    <row r="5328" spans="1:5" x14ac:dyDescent="0.3">
      <c r="A5328" s="298" t="s">
        <v>2495</v>
      </c>
      <c r="B5328" s="380" t="e">
        <f>+SUM(B5320:B5327)</f>
        <v>#REF!</v>
      </c>
    </row>
    <row r="5329" spans="1:14" x14ac:dyDescent="0.3">
      <c r="B5329" s="480"/>
    </row>
    <row r="5330" spans="1:14" x14ac:dyDescent="0.3">
      <c r="A5330" t="s">
        <v>2496</v>
      </c>
      <c r="B5330" s="685">
        <f>+E5067*12</f>
        <v>306.37836239863464</v>
      </c>
    </row>
    <row r="5331" spans="1:14" x14ac:dyDescent="0.3">
      <c r="A5331" s="177" t="s">
        <v>2497</v>
      </c>
      <c r="B5331" s="459" t="e">
        <f>+B5332/B5330</f>
        <v>#REF!</v>
      </c>
    </row>
    <row r="5332" spans="1:14" x14ac:dyDescent="0.3">
      <c r="A5332" s="298" t="s">
        <v>2498</v>
      </c>
      <c r="B5332" s="381" t="e">
        <f>+B4477/B4502*1000</f>
        <v>#REF!</v>
      </c>
    </row>
    <row r="5333" spans="1:14" x14ac:dyDescent="0.3">
      <c r="A5333" s="501"/>
      <c r="B5333" s="114"/>
      <c r="C5333" s="114"/>
      <c r="D5333" s="114"/>
    </row>
    <row r="5335" spans="1:14" x14ac:dyDescent="0.3">
      <c r="A5335" s="627" t="s">
        <v>2499</v>
      </c>
      <c r="B5335" s="627"/>
      <c r="C5335" s="627"/>
      <c r="D5335" s="627"/>
      <c r="E5335" s="627"/>
      <c r="F5335" s="627"/>
      <c r="G5335" s="627"/>
      <c r="H5335" s="627"/>
      <c r="I5335" s="627"/>
      <c r="J5335" s="627"/>
      <c r="K5335" s="627"/>
      <c r="L5335" s="627"/>
      <c r="M5335" s="627"/>
      <c r="N5335" s="627"/>
    </row>
    <row r="5337" spans="1:14" x14ac:dyDescent="0.3">
      <c r="A5337" t="s">
        <v>2500</v>
      </c>
      <c r="B5337" s="79">
        <f>+Drivers!$FH$90</f>
        <v>10429.97399223</v>
      </c>
    </row>
    <row r="5338" spans="1:14" x14ac:dyDescent="0.3">
      <c r="A5338" s="177" t="s">
        <v>2501</v>
      </c>
      <c r="B5338" s="628">
        <v>2.5</v>
      </c>
    </row>
    <row r="5339" spans="1:14" x14ac:dyDescent="0.3">
      <c r="A5339" s="298" t="s">
        <v>2502</v>
      </c>
      <c r="B5339" s="803">
        <f>+B5337*B5338</f>
        <v>26074.934980574999</v>
      </c>
    </row>
    <row r="5340" spans="1:14" x14ac:dyDescent="0.3">
      <c r="A5340" s="177" t="s">
        <v>2503</v>
      </c>
      <c r="B5340" s="650">
        <v>0.22</v>
      </c>
    </row>
    <row r="5341" spans="1:14" x14ac:dyDescent="0.3">
      <c r="A5341" s="177" t="s">
        <v>2504</v>
      </c>
      <c r="B5341" s="95">
        <v>20</v>
      </c>
      <c r="E5341" s="74"/>
    </row>
    <row r="5342" spans="1:14" ht="12.5" thickBot="1" x14ac:dyDescent="0.35">
      <c r="A5342" s="298" t="s">
        <v>2505</v>
      </c>
      <c r="B5342" s="466">
        <f>+B5340*B5341*B5339/1000</f>
        <v>114.72971391453001</v>
      </c>
    </row>
    <row r="5343" spans="1:14" ht="12.5" thickTop="1" x14ac:dyDescent="0.3">
      <c r="A5343" s="298"/>
      <c r="B5343" s="85"/>
    </row>
    <row r="5344" spans="1:14" x14ac:dyDescent="0.3">
      <c r="A5344" s="141" t="s">
        <v>2506</v>
      </c>
    </row>
    <row r="5345" spans="1:5" x14ac:dyDescent="0.3">
      <c r="A5345" t="s">
        <v>2507</v>
      </c>
      <c r="B5345" s="79">
        <f>+Drivers!$FH$90</f>
        <v>10429.97399223</v>
      </c>
    </row>
    <row r="5346" spans="1:5" ht="12" customHeight="1" x14ac:dyDescent="0.3">
      <c r="A5346" s="177" t="s">
        <v>1292</v>
      </c>
      <c r="B5346" s="616">
        <v>0.45</v>
      </c>
    </row>
    <row r="5347" spans="1:5" x14ac:dyDescent="0.3">
      <c r="A5347" s="298" t="s">
        <v>2508</v>
      </c>
      <c r="B5347" s="803">
        <f>+B5345*B5346</f>
        <v>4693.4882965035004</v>
      </c>
    </row>
    <row r="5348" spans="1:5" x14ac:dyDescent="0.3">
      <c r="A5348" s="177" t="s">
        <v>2501</v>
      </c>
      <c r="B5348" s="628">
        <f>+B5338</f>
        <v>2.5</v>
      </c>
    </row>
    <row r="5349" spans="1:5" x14ac:dyDescent="0.3">
      <c r="A5349" s="298" t="s">
        <v>2509</v>
      </c>
      <c r="B5349" s="803">
        <f>+B5347*B5348</f>
        <v>11733.72074125875</v>
      </c>
    </row>
    <row r="5350" spans="1:5" x14ac:dyDescent="0.3">
      <c r="A5350" s="177" t="s">
        <v>2510</v>
      </c>
      <c r="B5350" s="688">
        <v>0.2</v>
      </c>
    </row>
    <row r="5351" spans="1:5" x14ac:dyDescent="0.3">
      <c r="A5351" s="298" t="s">
        <v>2511</v>
      </c>
      <c r="B5351" s="85">
        <f>+B5349*B5350</f>
        <v>2346.7441482517502</v>
      </c>
      <c r="E5351">
        <f>+B5351*45*12/1000</f>
        <v>1267.2418400559452</v>
      </c>
    </row>
    <row r="5352" spans="1:5" x14ac:dyDescent="0.3">
      <c r="A5352" s="177" t="s">
        <v>2512</v>
      </c>
      <c r="B5352" s="474">
        <f>+AVERAGE(B5371:C5371)</f>
        <v>688.67005595563307</v>
      </c>
    </row>
    <row r="5353" spans="1:5" ht="12.5" thickBot="1" x14ac:dyDescent="0.35">
      <c r="A5353" s="298" t="s">
        <v>2513</v>
      </c>
      <c r="B5353" s="466">
        <f>+B5351*B5352/1000</f>
        <v>1616.1324238900872</v>
      </c>
    </row>
    <row r="5354" spans="1:5" ht="12.5" thickTop="1" x14ac:dyDescent="0.3"/>
    <row r="5355" spans="1:5" x14ac:dyDescent="0.3">
      <c r="A5355" s="141" t="s">
        <v>2514</v>
      </c>
    </row>
    <row r="5356" spans="1:5" x14ac:dyDescent="0.3">
      <c r="A5356" t="s">
        <v>2515</v>
      </c>
      <c r="B5356" s="76">
        <f>+B5351</f>
        <v>2346.7441482517502</v>
      </c>
    </row>
    <row r="5357" spans="1:5" x14ac:dyDescent="0.3">
      <c r="A5357" s="177" t="s">
        <v>2512</v>
      </c>
      <c r="B5357" s="379">
        <f>+AVERAGE(B5379:C5379)</f>
        <v>2503.8131519178669</v>
      </c>
    </row>
    <row r="5358" spans="1:5" x14ac:dyDescent="0.3">
      <c r="A5358" s="298" t="s">
        <v>2516</v>
      </c>
      <c r="B5358" s="803">
        <f>+B5356*B5357/1000</f>
        <v>5875.8088625790242</v>
      </c>
    </row>
    <row r="5359" spans="1:5" x14ac:dyDescent="0.3">
      <c r="A5359" s="177" t="s">
        <v>2517</v>
      </c>
      <c r="B5359" s="76">
        <f>+B5342</f>
        <v>114.72971391453001</v>
      </c>
    </row>
    <row r="5360" spans="1:5" ht="12.5" thickBot="1" x14ac:dyDescent="0.35">
      <c r="A5360" s="298" t="s">
        <v>2513</v>
      </c>
      <c r="B5360" s="466">
        <f>+B5358-B5359</f>
        <v>5761.0791486644939</v>
      </c>
      <c r="C5360" s="76"/>
    </row>
    <row r="5361" spans="1:3" ht="12.5" thickTop="1" x14ac:dyDescent="0.3">
      <c r="A5361" s="114"/>
      <c r="B5361" s="114"/>
    </row>
    <row r="5363" spans="1:3" x14ac:dyDescent="0.3">
      <c r="A5363" s="177"/>
    </row>
    <row r="5364" spans="1:3" x14ac:dyDescent="0.3">
      <c r="A5364" s="177"/>
    </row>
    <row r="5366" spans="1:3" x14ac:dyDescent="0.3">
      <c r="A5366" s="374"/>
      <c r="B5366" s="374" t="s">
        <v>2459</v>
      </c>
      <c r="C5366" s="374" t="s">
        <v>2460</v>
      </c>
    </row>
    <row r="5367" spans="1:3" x14ac:dyDescent="0.3">
      <c r="A5367" t="s">
        <v>2518</v>
      </c>
      <c r="B5367" s="76">
        <v>14987.601453850506</v>
      </c>
      <c r="C5367" s="76">
        <v>0.94915518070253624</v>
      </c>
    </row>
    <row r="5368" spans="1:3" x14ac:dyDescent="0.3">
      <c r="A5368" t="s">
        <v>2519</v>
      </c>
      <c r="B5368" s="76">
        <v>10882.271609845977</v>
      </c>
      <c r="C5368" s="76">
        <v>10457.136515800516</v>
      </c>
    </row>
    <row r="5369" spans="1:3" x14ac:dyDescent="0.3">
      <c r="A5369" t="s">
        <v>2520</v>
      </c>
      <c r="B5369" s="74">
        <v>0.12247436701514583</v>
      </c>
      <c r="C5369" s="74">
        <v>0.12883278119199656</v>
      </c>
    </row>
    <row r="5371" spans="1:3" x14ac:dyDescent="0.3">
      <c r="A5371" t="s">
        <v>2521</v>
      </c>
      <c r="B5371" s="379">
        <f>+B5367/B5368*1000</f>
        <v>1377.2493456504194</v>
      </c>
      <c r="C5371" s="379">
        <f>+C5367/C5368*1000</f>
        <v>9.0766260846684224E-2</v>
      </c>
    </row>
    <row r="5373" spans="1:3" x14ac:dyDescent="0.3">
      <c r="A5373" s="141" t="s">
        <v>2514</v>
      </c>
    </row>
    <row r="5374" spans="1:3" x14ac:dyDescent="0.3">
      <c r="A5374" s="374"/>
      <c r="B5374" s="374" t="s">
        <v>2459</v>
      </c>
      <c r="C5374" s="374" t="s">
        <v>2460</v>
      </c>
    </row>
    <row r="5375" spans="1:3" x14ac:dyDescent="0.3">
      <c r="A5375" t="s">
        <v>2518</v>
      </c>
      <c r="B5375" s="76">
        <v>25823.524994453663</v>
      </c>
      <c r="C5375" s="76">
        <v>23610.656626840948</v>
      </c>
    </row>
    <row r="5376" spans="1:3" x14ac:dyDescent="0.3">
      <c r="A5376" t="s">
        <v>2519</v>
      </c>
      <c r="B5376" s="76">
        <v>10054.767159341673</v>
      </c>
      <c r="C5376" s="76">
        <v>9679.1184010352226</v>
      </c>
    </row>
    <row r="5377" spans="1:14" x14ac:dyDescent="0.3">
      <c r="A5377" t="s">
        <v>2520</v>
      </c>
      <c r="B5377" s="74">
        <v>0.1131612302536967</v>
      </c>
      <c r="C5377" s="74">
        <v>0.11099742595833688</v>
      </c>
    </row>
    <row r="5379" spans="1:14" x14ac:dyDescent="0.3">
      <c r="A5379" t="s">
        <v>2521</v>
      </c>
      <c r="B5379" s="379">
        <v>2568.2867226280391</v>
      </c>
      <c r="C5379" s="379">
        <v>2439.3395812076942</v>
      </c>
    </row>
    <row r="5380" spans="1:14" x14ac:dyDescent="0.3">
      <c r="A5380" s="114"/>
      <c r="B5380" s="114"/>
      <c r="C5380" s="114"/>
    </row>
    <row r="5383" spans="1:14" x14ac:dyDescent="0.3">
      <c r="A5383" s="627" t="s">
        <v>2522</v>
      </c>
      <c r="B5383" s="627"/>
      <c r="C5383" s="627"/>
      <c r="D5383" s="627"/>
      <c r="E5383" s="627"/>
      <c r="F5383" s="627"/>
      <c r="G5383" s="627"/>
      <c r="H5383" s="627"/>
      <c r="I5383" s="627"/>
      <c r="J5383" s="627"/>
      <c r="K5383" s="627"/>
      <c r="L5383" s="627"/>
      <c r="M5383" s="627"/>
      <c r="N5383" s="627"/>
    </row>
    <row r="5385" spans="1:14" x14ac:dyDescent="0.3">
      <c r="A5385" t="s">
        <v>2523</v>
      </c>
      <c r="B5385" s="637">
        <v>4.7497446373850893E-2</v>
      </c>
    </row>
    <row r="5386" spans="1:14" x14ac:dyDescent="0.3">
      <c r="A5386" t="s">
        <v>2524</v>
      </c>
      <c r="B5386" s="637">
        <v>7</v>
      </c>
    </row>
    <row r="5387" spans="1:14" x14ac:dyDescent="0.3">
      <c r="A5387" t="s">
        <v>2525</v>
      </c>
      <c r="B5387" s="76">
        <f>+B5385+B5386</f>
        <v>7.0474974463738507</v>
      </c>
    </row>
    <row r="5388" spans="1:14" x14ac:dyDescent="0.3">
      <c r="A5388" t="s">
        <v>2159</v>
      </c>
      <c r="B5388" s="76">
        <v>1146</v>
      </c>
    </row>
    <row r="5389" spans="1:14" x14ac:dyDescent="0.3">
      <c r="A5389" t="s">
        <v>2526</v>
      </c>
      <c r="B5389" s="74">
        <f>+B5385/B5388</f>
        <v>4.14462882843376E-5</v>
      </c>
    </row>
    <row r="5390" spans="1:14" x14ac:dyDescent="0.3">
      <c r="A5390" t="s">
        <v>2527</v>
      </c>
      <c r="B5390" s="74">
        <f>+B5386/B5388</f>
        <v>6.1082024432809771E-3</v>
      </c>
    </row>
    <row r="5391" spans="1:14" x14ac:dyDescent="0.3">
      <c r="A5391" t="s">
        <v>2528</v>
      </c>
      <c r="B5391" s="74">
        <f>+B5387/B5388</f>
        <v>6.149648731565315E-3</v>
      </c>
    </row>
    <row r="5393" spans="1:7" x14ac:dyDescent="0.3">
      <c r="A5393" t="s">
        <v>2529</v>
      </c>
      <c r="B5393" s="637">
        <v>2.4819027921406445E-2</v>
      </c>
      <c r="C5393" s="690">
        <f>+B5393/B5388*1000</f>
        <v>2.1657092427056237E-2</v>
      </c>
    </row>
    <row r="5394" spans="1:7" x14ac:dyDescent="0.3">
      <c r="A5394" t="s">
        <v>2530</v>
      </c>
      <c r="B5394" s="637">
        <v>150</v>
      </c>
      <c r="C5394" s="690">
        <f>+B5394/B$5388*1000</f>
        <v>130.89005235602093</v>
      </c>
    </row>
    <row r="5395" spans="1:7" x14ac:dyDescent="0.3">
      <c r="A5395" t="s">
        <v>2531</v>
      </c>
      <c r="B5395" s="76">
        <f>+SUM(B5393:B5394)</f>
        <v>150.02481902792141</v>
      </c>
      <c r="C5395" s="691">
        <f>+B5395/B$5388*1000</f>
        <v>130.91170944844799</v>
      </c>
    </row>
    <row r="5396" spans="1:7" x14ac:dyDescent="0.3">
      <c r="B5396" s="76"/>
      <c r="C5396" s="691"/>
    </row>
    <row r="5397" spans="1:7" x14ac:dyDescent="0.3">
      <c r="A5397" t="s">
        <v>2532</v>
      </c>
      <c r="B5397" s="76">
        <v>2426</v>
      </c>
      <c r="C5397" s="690"/>
    </row>
    <row r="5398" spans="1:7" x14ac:dyDescent="0.3">
      <c r="A5398" t="s">
        <v>2533</v>
      </c>
      <c r="B5398" s="76">
        <v>8191</v>
      </c>
      <c r="C5398" s="690">
        <f>+B5398/B$5399*1000</f>
        <v>137.17051277757312</v>
      </c>
    </row>
    <row r="5399" spans="1:7" x14ac:dyDescent="0.3">
      <c r="A5399" t="s">
        <v>2534</v>
      </c>
      <c r="B5399" s="76">
        <v>59714</v>
      </c>
      <c r="C5399" s="690"/>
    </row>
    <row r="5400" spans="1:7" x14ac:dyDescent="0.3">
      <c r="B5400" s="76"/>
      <c r="C5400" s="691"/>
    </row>
    <row r="5401" spans="1:7" x14ac:dyDescent="0.3">
      <c r="A5401" t="s">
        <v>2535</v>
      </c>
      <c r="B5401" s="76" t="e">
        <f>+Drivers!#REF!</f>
        <v>#REF!</v>
      </c>
      <c r="C5401" s="691"/>
    </row>
    <row r="5402" spans="1:7" x14ac:dyDescent="0.3">
      <c r="A5402" t="s">
        <v>2536</v>
      </c>
      <c r="B5402" s="76">
        <f>+Drivers!ED99</f>
        <v>15200</v>
      </c>
      <c r="C5402" s="76" t="e">
        <f>+B5401/B5402*1000</f>
        <v>#REF!</v>
      </c>
    </row>
    <row r="5403" spans="1:7" x14ac:dyDescent="0.3">
      <c r="C5403" s="691"/>
    </row>
    <row r="5405" spans="1:7" ht="36" x14ac:dyDescent="0.3">
      <c r="A5405" s="457"/>
      <c r="B5405" s="457" t="s">
        <v>2537</v>
      </c>
      <c r="C5405" s="457" t="s">
        <v>2538</v>
      </c>
      <c r="D5405" s="457" t="s">
        <v>2539</v>
      </c>
      <c r="E5405" s="457" t="s">
        <v>2540</v>
      </c>
    </row>
    <row r="5406" spans="1:7" x14ac:dyDescent="0.3">
      <c r="A5406" t="s">
        <v>2541</v>
      </c>
      <c r="B5406" s="76">
        <v>34567.9012345679</v>
      </c>
      <c r="C5406" s="689">
        <v>6.9940466092903372E-2</v>
      </c>
      <c r="D5406" s="191">
        <v>0.4</v>
      </c>
      <c r="E5406" s="76">
        <f>+B5406*C5406*D5406</f>
        <v>967.07804967965149</v>
      </c>
      <c r="G5406">
        <v>34567.9012345679</v>
      </c>
    </row>
    <row r="5407" spans="1:7" x14ac:dyDescent="0.3">
      <c r="A5407" s="177" t="s">
        <v>2542</v>
      </c>
      <c r="B5407" s="76">
        <v>28886.419753086422</v>
      </c>
      <c r="C5407" s="689">
        <f>+C5406</f>
        <v>6.9940466092903372E-2</v>
      </c>
      <c r="D5407" s="191">
        <v>0.45</v>
      </c>
      <c r="E5407" s="76">
        <f>+B5407*C5407*D5407</f>
        <v>909.1483475787519</v>
      </c>
      <c r="G5407">
        <v>28886.419753086422</v>
      </c>
    </row>
    <row r="5408" spans="1:7" x14ac:dyDescent="0.3">
      <c r="A5408" t="s">
        <v>2543</v>
      </c>
      <c r="B5408" s="76">
        <v>26669.135802469129</v>
      </c>
      <c r="C5408" s="689">
        <f>+C5407</f>
        <v>6.9940466092903372E-2</v>
      </c>
      <c r="D5408" s="686">
        <v>0.5</v>
      </c>
      <c r="E5408" s="76">
        <f>+B5408*C5408*D5408</f>
        <v>932.6258941598137</v>
      </c>
      <c r="G5408">
        <v>26669.135802469129</v>
      </c>
    </row>
    <row r="5409" spans="1:14" x14ac:dyDescent="0.3">
      <c r="A5409" s="90" t="s">
        <v>2544</v>
      </c>
      <c r="B5409" s="803">
        <f>+SUM(B5406:B5408)</f>
        <v>90123.456790123455</v>
      </c>
      <c r="C5409" s="1809">
        <f>+C5408</f>
        <v>6.9940466092903372E-2</v>
      </c>
      <c r="D5409" s="1801">
        <f>+E5409/C5409/B5409</f>
        <v>0.44561780821917801</v>
      </c>
      <c r="E5409" s="803">
        <f>+SUM(E5406:E5408)</f>
        <v>2808.8522914182167</v>
      </c>
      <c r="G5409">
        <v>90123.456790123455</v>
      </c>
      <c r="I5409">
        <f>+B5409*C5409</f>
        <v>6303.276573804872</v>
      </c>
    </row>
    <row r="5410" spans="1:14" x14ac:dyDescent="0.3">
      <c r="A5410" t="s">
        <v>2545</v>
      </c>
      <c r="E5410" s="76" t="e">
        <f>+Drivers!#REF!</f>
        <v>#REF!</v>
      </c>
    </row>
    <row r="5411" spans="1:14" x14ac:dyDescent="0.3">
      <c r="A5411" t="s">
        <v>2546</v>
      </c>
      <c r="E5411" s="76" t="e">
        <f>+E5409-E5410</f>
        <v>#REF!</v>
      </c>
    </row>
    <row r="5412" spans="1:14" x14ac:dyDescent="0.3">
      <c r="A5412" t="s">
        <v>2547</v>
      </c>
      <c r="E5412" s="381" t="e">
        <f>+E5411*E5413</f>
        <v>#REF!</v>
      </c>
    </row>
    <row r="5413" spans="1:14" x14ac:dyDescent="0.3">
      <c r="A5413" s="94" t="s">
        <v>2405</v>
      </c>
      <c r="E5413" s="546">
        <v>0.6</v>
      </c>
    </row>
    <row r="5414" spans="1:14" x14ac:dyDescent="0.3">
      <c r="A5414" t="s">
        <v>2391</v>
      </c>
      <c r="E5414" s="459">
        <v>12.5</v>
      </c>
    </row>
    <row r="5415" spans="1:14" ht="12.5" thickBot="1" x14ac:dyDescent="0.35">
      <c r="A5415" s="90" t="s">
        <v>2548</v>
      </c>
      <c r="E5415" s="466" t="e">
        <f>+E5412*E5414</f>
        <v>#REF!</v>
      </c>
    </row>
    <row r="5416" spans="1:14" ht="12.5" thickTop="1" x14ac:dyDescent="0.3"/>
    <row r="5417" spans="1:14" x14ac:dyDescent="0.3">
      <c r="A5417" s="627" t="s">
        <v>2549</v>
      </c>
      <c r="B5417" s="627"/>
      <c r="C5417" s="627"/>
      <c r="D5417" s="627"/>
      <c r="E5417" s="627"/>
      <c r="F5417" s="627"/>
      <c r="G5417" s="627"/>
      <c r="H5417" s="627"/>
      <c r="I5417" s="627"/>
      <c r="J5417" s="627"/>
      <c r="K5417" s="627"/>
      <c r="L5417" s="627"/>
      <c r="M5417" s="627"/>
      <c r="N5417" s="627"/>
    </row>
    <row r="5419" spans="1:14" ht="24" x14ac:dyDescent="0.3">
      <c r="A5419" s="383"/>
      <c r="B5419" s="383">
        <v>2030</v>
      </c>
      <c r="C5419" s="383">
        <v>2031</v>
      </c>
      <c r="D5419" s="383">
        <f>+C5419+1</f>
        <v>2032</v>
      </c>
      <c r="E5419" s="383">
        <f t="shared" ref="E5419:L5419" si="1540">+D5419+1</f>
        <v>2033</v>
      </c>
      <c r="F5419" s="383">
        <f t="shared" si="1540"/>
        <v>2034</v>
      </c>
      <c r="G5419" s="383">
        <f t="shared" si="1540"/>
        <v>2035</v>
      </c>
      <c r="H5419" s="383">
        <f t="shared" si="1540"/>
        <v>2036</v>
      </c>
      <c r="I5419" s="383">
        <f t="shared" si="1540"/>
        <v>2037</v>
      </c>
      <c r="J5419" s="383">
        <f t="shared" si="1540"/>
        <v>2038</v>
      </c>
      <c r="K5419" s="383">
        <f t="shared" si="1540"/>
        <v>2039</v>
      </c>
      <c r="L5419" s="383">
        <f t="shared" si="1540"/>
        <v>2040</v>
      </c>
      <c r="M5419" s="383">
        <f>+L5419+1</f>
        <v>2041</v>
      </c>
      <c r="N5419" s="524" t="s">
        <v>2550</v>
      </c>
    </row>
    <row r="5420" spans="1:14" x14ac:dyDescent="0.3">
      <c r="A5420" t="s">
        <v>284</v>
      </c>
      <c r="B5420" s="79" t="e">
        <f>+Drivers!#REF!</f>
        <v>#REF!</v>
      </c>
      <c r="C5420" s="79" t="e">
        <f>+Drivers!#REF!</f>
        <v>#REF!</v>
      </c>
      <c r="D5420" s="76" t="e">
        <f>+C5420*(1+D5421)</f>
        <v>#REF!</v>
      </c>
      <c r="E5420" s="76" t="e">
        <f>+D5420*(1+E5421)</f>
        <v>#REF!</v>
      </c>
      <c r="F5420" s="76" t="e">
        <f>+E5420*(1+F5421)</f>
        <v>#REF!</v>
      </c>
      <c r="G5420" s="76" t="e">
        <f>+F5420*(1+G5421)</f>
        <v>#REF!</v>
      </c>
      <c r="H5420" s="76" t="e">
        <f t="shared" ref="H5420:M5420" si="1541">+G5420*(1+H5421)</f>
        <v>#REF!</v>
      </c>
      <c r="I5420" s="76" t="e">
        <f t="shared" si="1541"/>
        <v>#REF!</v>
      </c>
      <c r="J5420" s="76" t="e">
        <f t="shared" si="1541"/>
        <v>#REF!</v>
      </c>
      <c r="K5420" s="76" t="e">
        <f t="shared" si="1541"/>
        <v>#REF!</v>
      </c>
      <c r="L5420" s="76" t="e">
        <f t="shared" si="1541"/>
        <v>#REF!</v>
      </c>
      <c r="M5420" s="76" t="e">
        <f t="shared" si="1541"/>
        <v>#REF!</v>
      </c>
      <c r="N5420" s="75" t="e">
        <f>+(M5420/C5420)^(1/10)-1</f>
        <v>#REF!</v>
      </c>
    </row>
    <row r="5421" spans="1:14" x14ac:dyDescent="0.3">
      <c r="A5421" s="94" t="s">
        <v>2329</v>
      </c>
      <c r="D5421" s="376">
        <v>4.4999999999999998E-2</v>
      </c>
      <c r="E5421" s="376">
        <f>+D5421</f>
        <v>4.4999999999999998E-2</v>
      </c>
      <c r="F5421" s="376">
        <f t="shared" ref="F5421:L5421" si="1542">+E5421</f>
        <v>4.4999999999999998E-2</v>
      </c>
      <c r="G5421" s="376">
        <f t="shared" si="1542"/>
        <v>4.4999999999999998E-2</v>
      </c>
      <c r="H5421" s="376">
        <f t="shared" si="1542"/>
        <v>4.4999999999999998E-2</v>
      </c>
      <c r="I5421" s="376">
        <f t="shared" si="1542"/>
        <v>4.4999999999999998E-2</v>
      </c>
      <c r="J5421" s="376">
        <f t="shared" si="1542"/>
        <v>4.4999999999999998E-2</v>
      </c>
      <c r="K5421" s="376">
        <f t="shared" si="1542"/>
        <v>4.4999999999999998E-2</v>
      </c>
      <c r="L5421" s="376">
        <f t="shared" si="1542"/>
        <v>4.4999999999999998E-2</v>
      </c>
      <c r="M5421" s="376">
        <f>+L5421</f>
        <v>4.4999999999999998E-2</v>
      </c>
    </row>
    <row r="5423" spans="1:14" x14ac:dyDescent="0.3">
      <c r="A5423" t="s">
        <v>44</v>
      </c>
      <c r="B5423" s="79">
        <f>+'Model Main'!FH48</f>
        <v>3778.5031908761971</v>
      </c>
      <c r="C5423" s="79">
        <f>+'Model Main'!FI48</f>
        <v>4001.9646887265144</v>
      </c>
      <c r="D5423" s="76" t="e">
        <f>+C5423+(D5420-C5420)*D5426</f>
        <v>#REF!</v>
      </c>
      <c r="E5423" s="76" t="e">
        <f t="shared" ref="E5423:L5423" si="1543">+D5423+(E5420-D5420)*E5426</f>
        <v>#REF!</v>
      </c>
      <c r="F5423" s="76" t="e">
        <f t="shared" si="1543"/>
        <v>#REF!</v>
      </c>
      <c r="G5423" s="76" t="e">
        <f t="shared" si="1543"/>
        <v>#REF!</v>
      </c>
      <c r="H5423" s="76" t="e">
        <f t="shared" si="1543"/>
        <v>#REF!</v>
      </c>
      <c r="I5423" s="76" t="e">
        <f t="shared" si="1543"/>
        <v>#REF!</v>
      </c>
      <c r="J5423" s="76" t="e">
        <f t="shared" si="1543"/>
        <v>#REF!</v>
      </c>
      <c r="K5423" s="76" t="e">
        <f t="shared" si="1543"/>
        <v>#REF!</v>
      </c>
      <c r="L5423" s="76" t="e">
        <f t="shared" si="1543"/>
        <v>#REF!</v>
      </c>
      <c r="M5423" s="76" t="e">
        <f>+L5423+(M5420-L5420)*M5426</f>
        <v>#REF!</v>
      </c>
      <c r="N5423" s="75" t="e">
        <f>+(M5423/C5423)^(1/10)-1</f>
        <v>#REF!</v>
      </c>
    </row>
    <row r="5424" spans="1:14" x14ac:dyDescent="0.3">
      <c r="A5424" s="94" t="s">
        <v>2329</v>
      </c>
      <c r="B5424" s="79"/>
      <c r="C5424" s="79"/>
      <c r="D5424" s="75" t="e">
        <f>+D5423/C5423-1</f>
        <v>#REF!</v>
      </c>
      <c r="E5424" s="75" t="e">
        <f t="shared" ref="E5424:M5424" si="1544">+E5423/D5423-1</f>
        <v>#REF!</v>
      </c>
      <c r="F5424" s="75" t="e">
        <f t="shared" si="1544"/>
        <v>#REF!</v>
      </c>
      <c r="G5424" s="75" t="e">
        <f t="shared" si="1544"/>
        <v>#REF!</v>
      </c>
      <c r="H5424" s="75" t="e">
        <f t="shared" si="1544"/>
        <v>#REF!</v>
      </c>
      <c r="I5424" s="75" t="e">
        <f t="shared" si="1544"/>
        <v>#REF!</v>
      </c>
      <c r="J5424" s="75" t="e">
        <f t="shared" si="1544"/>
        <v>#REF!</v>
      </c>
      <c r="K5424" s="75" t="e">
        <f t="shared" si="1544"/>
        <v>#REF!</v>
      </c>
      <c r="L5424" s="75" t="e">
        <f t="shared" si="1544"/>
        <v>#REF!</v>
      </c>
      <c r="M5424" s="75" t="e">
        <f t="shared" si="1544"/>
        <v>#REF!</v>
      </c>
    </row>
    <row r="5425" spans="1:14" x14ac:dyDescent="0.3">
      <c r="A5425" s="94" t="s">
        <v>2418</v>
      </c>
      <c r="B5425" s="75" t="e">
        <f>+B5423/B5420</f>
        <v>#REF!</v>
      </c>
      <c r="C5425" s="75" t="e">
        <f>+C5423/C5420</f>
        <v>#REF!</v>
      </c>
      <c r="D5425" s="75" t="e">
        <f t="shared" ref="D5425:M5425" si="1545">+D5423/D5420</f>
        <v>#REF!</v>
      </c>
      <c r="E5425" s="75" t="e">
        <f t="shared" si="1545"/>
        <v>#REF!</v>
      </c>
      <c r="F5425" s="75" t="e">
        <f t="shared" si="1545"/>
        <v>#REF!</v>
      </c>
      <c r="G5425" s="75" t="e">
        <f t="shared" si="1545"/>
        <v>#REF!</v>
      </c>
      <c r="H5425" s="75" t="e">
        <f t="shared" si="1545"/>
        <v>#REF!</v>
      </c>
      <c r="I5425" s="75" t="e">
        <f t="shared" si="1545"/>
        <v>#REF!</v>
      </c>
      <c r="J5425" s="75" t="e">
        <f t="shared" si="1545"/>
        <v>#REF!</v>
      </c>
      <c r="K5425" s="75" t="e">
        <f t="shared" si="1545"/>
        <v>#REF!</v>
      </c>
      <c r="L5425" s="75" t="e">
        <f t="shared" si="1545"/>
        <v>#REF!</v>
      </c>
      <c r="M5425" s="75" t="e">
        <f t="shared" si="1545"/>
        <v>#REF!</v>
      </c>
    </row>
    <row r="5426" spans="1:14" x14ac:dyDescent="0.3">
      <c r="A5426" s="94" t="s">
        <v>2551</v>
      </c>
      <c r="D5426" s="546">
        <v>0.7</v>
      </c>
      <c r="E5426" s="546">
        <f>+D5426</f>
        <v>0.7</v>
      </c>
      <c r="F5426" s="546">
        <f t="shared" ref="F5426:L5426" si="1546">+E5426</f>
        <v>0.7</v>
      </c>
      <c r="G5426" s="546">
        <f t="shared" si="1546"/>
        <v>0.7</v>
      </c>
      <c r="H5426" s="546">
        <f t="shared" si="1546"/>
        <v>0.7</v>
      </c>
      <c r="I5426" s="546">
        <f t="shared" si="1546"/>
        <v>0.7</v>
      </c>
      <c r="J5426" s="546">
        <f t="shared" si="1546"/>
        <v>0.7</v>
      </c>
      <c r="K5426" s="546">
        <f t="shared" si="1546"/>
        <v>0.7</v>
      </c>
      <c r="L5426" s="546">
        <f t="shared" si="1546"/>
        <v>0.7</v>
      </c>
      <c r="M5426" s="546">
        <f>+L5426</f>
        <v>0.7</v>
      </c>
    </row>
    <row r="5427" spans="1:14" x14ac:dyDescent="0.3">
      <c r="A5427" s="94"/>
      <c r="D5427" s="546"/>
      <c r="E5427" s="546"/>
      <c r="F5427" s="546"/>
      <c r="G5427" s="546"/>
      <c r="H5427" s="546"/>
      <c r="I5427" s="546"/>
      <c r="J5427" s="546"/>
      <c r="K5427" s="546"/>
      <c r="L5427" s="546"/>
      <c r="M5427" s="546"/>
    </row>
    <row r="5428" spans="1:14" x14ac:dyDescent="0.3">
      <c r="A5428" t="s">
        <v>2552</v>
      </c>
      <c r="B5428" s="79">
        <f>+Drivers!FH587</f>
        <v>1720.9729247345799</v>
      </c>
      <c r="C5428" s="79">
        <f>+Drivers!FI587</f>
        <v>1696.3052066714506</v>
      </c>
      <c r="D5428" s="76" t="e">
        <f t="shared" ref="D5428:M5428" si="1547">+C5428*(1-D5429)+D5431/10</f>
        <v>#REF!</v>
      </c>
      <c r="E5428" s="76" t="e">
        <f t="shared" si="1547"/>
        <v>#REF!</v>
      </c>
      <c r="F5428" s="76" t="e">
        <f t="shared" si="1547"/>
        <v>#REF!</v>
      </c>
      <c r="G5428" s="76" t="e">
        <f t="shared" si="1547"/>
        <v>#REF!</v>
      </c>
      <c r="H5428" s="76" t="e">
        <f t="shared" si="1547"/>
        <v>#REF!</v>
      </c>
      <c r="I5428" s="76" t="e">
        <f t="shared" si="1547"/>
        <v>#REF!</v>
      </c>
      <c r="J5428" s="76" t="e">
        <f t="shared" si="1547"/>
        <v>#REF!</v>
      </c>
      <c r="K5428" s="76" t="e">
        <f t="shared" si="1547"/>
        <v>#REF!</v>
      </c>
      <c r="L5428" s="76" t="e">
        <f t="shared" si="1547"/>
        <v>#REF!</v>
      </c>
      <c r="M5428" s="76" t="e">
        <f t="shared" si="1547"/>
        <v>#REF!</v>
      </c>
    </row>
    <row r="5429" spans="1:14" x14ac:dyDescent="0.3">
      <c r="A5429" s="94" t="s">
        <v>515</v>
      </c>
      <c r="B5429" s="97">
        <f>+Drivers!FH591</f>
        <v>0.1</v>
      </c>
      <c r="C5429" s="97">
        <f>+Drivers!FI591</f>
        <v>0.1</v>
      </c>
      <c r="D5429" s="87">
        <f>+C5429</f>
        <v>0.1</v>
      </c>
      <c r="E5429" s="87">
        <f t="shared" ref="E5429:L5429" si="1548">+D5429</f>
        <v>0.1</v>
      </c>
      <c r="F5429" s="87">
        <f t="shared" si="1548"/>
        <v>0.1</v>
      </c>
      <c r="G5429" s="87">
        <f t="shared" si="1548"/>
        <v>0.1</v>
      </c>
      <c r="H5429" s="87">
        <f t="shared" si="1548"/>
        <v>0.1</v>
      </c>
      <c r="I5429" s="87">
        <f t="shared" si="1548"/>
        <v>0.1</v>
      </c>
      <c r="J5429" s="87">
        <f t="shared" si="1548"/>
        <v>0.1</v>
      </c>
      <c r="K5429" s="87">
        <f t="shared" si="1548"/>
        <v>0.1</v>
      </c>
      <c r="L5429" s="87">
        <f t="shared" si="1548"/>
        <v>0.1</v>
      </c>
      <c r="M5429" s="87">
        <f>+L5429</f>
        <v>0.1</v>
      </c>
    </row>
    <row r="5431" spans="1:14" x14ac:dyDescent="0.3">
      <c r="A5431" t="s">
        <v>198</v>
      </c>
      <c r="B5431" s="79">
        <f>+Drivers!FH572</f>
        <v>1496.8753495613416</v>
      </c>
      <c r="C5431" s="79">
        <f>+Drivers!FI572</f>
        <v>1474.2957441032881</v>
      </c>
      <c r="D5431" s="76" t="e">
        <f t="shared" ref="D5431:M5431" si="1549">+D5432*D5420</f>
        <v>#REF!</v>
      </c>
      <c r="E5431" s="76" t="e">
        <f t="shared" si="1549"/>
        <v>#REF!</v>
      </c>
      <c r="F5431" s="76" t="e">
        <f t="shared" si="1549"/>
        <v>#REF!</v>
      </c>
      <c r="G5431" s="76" t="e">
        <f t="shared" si="1549"/>
        <v>#REF!</v>
      </c>
      <c r="H5431" s="76" t="e">
        <f t="shared" si="1549"/>
        <v>#REF!</v>
      </c>
      <c r="I5431" s="76" t="e">
        <f t="shared" si="1549"/>
        <v>#REF!</v>
      </c>
      <c r="J5431" s="76" t="e">
        <f t="shared" si="1549"/>
        <v>#REF!</v>
      </c>
      <c r="K5431" s="76" t="e">
        <f t="shared" si="1549"/>
        <v>#REF!</v>
      </c>
      <c r="L5431" s="76" t="e">
        <f t="shared" si="1549"/>
        <v>#REF!</v>
      </c>
      <c r="M5431" s="76" t="e">
        <f t="shared" si="1549"/>
        <v>#REF!</v>
      </c>
      <c r="N5431" s="75" t="e">
        <f>+(M5431/C5431)^(1/10)-1</f>
        <v>#REF!</v>
      </c>
    </row>
    <row r="5432" spans="1:14" x14ac:dyDescent="0.3">
      <c r="A5432" s="94" t="s">
        <v>503</v>
      </c>
      <c r="B5432" s="75" t="e">
        <f>+B5431/B5420</f>
        <v>#REF!</v>
      </c>
      <c r="C5432" s="75" t="e">
        <f>+C5431/C5420</f>
        <v>#REF!</v>
      </c>
      <c r="D5432" s="87" t="e">
        <f>+C5432</f>
        <v>#REF!</v>
      </c>
      <c r="E5432" s="87" t="e">
        <f t="shared" ref="E5432:L5432" si="1550">+D5432</f>
        <v>#REF!</v>
      </c>
      <c r="F5432" s="87" t="e">
        <f t="shared" si="1550"/>
        <v>#REF!</v>
      </c>
      <c r="G5432" s="87" t="e">
        <f t="shared" si="1550"/>
        <v>#REF!</v>
      </c>
      <c r="H5432" s="87" t="e">
        <f t="shared" si="1550"/>
        <v>#REF!</v>
      </c>
      <c r="I5432" s="87" t="e">
        <f t="shared" si="1550"/>
        <v>#REF!</v>
      </c>
      <c r="J5432" s="87" t="e">
        <f t="shared" si="1550"/>
        <v>#REF!</v>
      </c>
      <c r="K5432" s="87" t="e">
        <f t="shared" si="1550"/>
        <v>#REF!</v>
      </c>
      <c r="L5432" s="87" t="e">
        <f t="shared" si="1550"/>
        <v>#REF!</v>
      </c>
      <c r="M5432" s="87" t="e">
        <f>+L5432</f>
        <v>#REF!</v>
      </c>
    </row>
    <row r="5433" spans="1:14" x14ac:dyDescent="0.3">
      <c r="A5433" s="94" t="s">
        <v>2551</v>
      </c>
    </row>
    <row r="5435" spans="1:14" x14ac:dyDescent="0.3">
      <c r="A5435" t="s">
        <v>642</v>
      </c>
      <c r="B5435" s="76">
        <f>+B5423-B5431</f>
        <v>2281.6278413148557</v>
      </c>
      <c r="C5435" s="76">
        <f t="shared" ref="C5435:M5435" si="1551">+C5423-C5431</f>
        <v>2527.6689446232263</v>
      </c>
      <c r="D5435" s="76" t="e">
        <f t="shared" si="1551"/>
        <v>#REF!</v>
      </c>
      <c r="E5435" s="76" t="e">
        <f t="shared" si="1551"/>
        <v>#REF!</v>
      </c>
      <c r="F5435" s="76" t="e">
        <f t="shared" si="1551"/>
        <v>#REF!</v>
      </c>
      <c r="G5435" s="76" t="e">
        <f t="shared" si="1551"/>
        <v>#REF!</v>
      </c>
      <c r="H5435" s="76" t="e">
        <f t="shared" si="1551"/>
        <v>#REF!</v>
      </c>
      <c r="I5435" s="76" t="e">
        <f t="shared" si="1551"/>
        <v>#REF!</v>
      </c>
      <c r="J5435" s="76" t="e">
        <f t="shared" si="1551"/>
        <v>#REF!</v>
      </c>
      <c r="K5435" s="76" t="e">
        <f t="shared" si="1551"/>
        <v>#REF!</v>
      </c>
      <c r="L5435" s="76" t="e">
        <f t="shared" si="1551"/>
        <v>#REF!</v>
      </c>
      <c r="M5435" s="76" t="e">
        <f t="shared" si="1551"/>
        <v>#REF!</v>
      </c>
      <c r="N5435" s="75" t="e">
        <f>+(M5435/C5435)^(1/10)-1</f>
        <v>#REF!</v>
      </c>
    </row>
    <row r="5436" spans="1:14" x14ac:dyDescent="0.3">
      <c r="A5436" s="94" t="s">
        <v>2329</v>
      </c>
      <c r="D5436" s="75" t="e">
        <f>+D5435/C5435-1</f>
        <v>#REF!</v>
      </c>
      <c r="E5436" s="75" t="e">
        <f t="shared" ref="E5436:M5436" si="1552">+E5435/D5435-1</f>
        <v>#REF!</v>
      </c>
      <c r="F5436" s="75" t="e">
        <f t="shared" si="1552"/>
        <v>#REF!</v>
      </c>
      <c r="G5436" s="75" t="e">
        <f t="shared" si="1552"/>
        <v>#REF!</v>
      </c>
      <c r="H5436" s="75" t="e">
        <f t="shared" si="1552"/>
        <v>#REF!</v>
      </c>
      <c r="I5436" s="75" t="e">
        <f t="shared" si="1552"/>
        <v>#REF!</v>
      </c>
      <c r="J5436" s="75" t="e">
        <f t="shared" si="1552"/>
        <v>#REF!</v>
      </c>
      <c r="K5436" s="75" t="e">
        <f t="shared" si="1552"/>
        <v>#REF!</v>
      </c>
      <c r="L5436" s="75" t="e">
        <f t="shared" si="1552"/>
        <v>#REF!</v>
      </c>
      <c r="M5436" s="75" t="e">
        <f t="shared" si="1552"/>
        <v>#REF!</v>
      </c>
    </row>
    <row r="5438" spans="1:14" x14ac:dyDescent="0.3">
      <c r="A5438" t="s">
        <v>2553</v>
      </c>
      <c r="B5438" s="79">
        <f>+'Model Main'!FH204</f>
        <v>1073.3536189670058</v>
      </c>
      <c r="C5438" s="79">
        <f>+'Model Main'!FI204</f>
        <v>1082.7279519056276</v>
      </c>
      <c r="D5438" s="76" t="e">
        <f t="shared" ref="D5438:M5438" si="1553">+AVERAGE(C5463:D5463)*D5439</f>
        <v>#REF!</v>
      </c>
      <c r="E5438" s="76" t="e">
        <f t="shared" si="1553"/>
        <v>#REF!</v>
      </c>
      <c r="F5438" s="76" t="e">
        <f t="shared" si="1553"/>
        <v>#REF!</v>
      </c>
      <c r="G5438" s="76" t="e">
        <f t="shared" si="1553"/>
        <v>#REF!</v>
      </c>
      <c r="H5438" s="76" t="e">
        <f t="shared" si="1553"/>
        <v>#REF!</v>
      </c>
      <c r="I5438" s="76" t="e">
        <f t="shared" si="1553"/>
        <v>#REF!</v>
      </c>
      <c r="J5438" s="76" t="e">
        <f t="shared" si="1553"/>
        <v>#REF!</v>
      </c>
      <c r="K5438" s="76" t="e">
        <f t="shared" si="1553"/>
        <v>#REF!</v>
      </c>
      <c r="L5438" s="76" t="e">
        <f t="shared" si="1553"/>
        <v>#REF!</v>
      </c>
      <c r="M5438" s="76" t="e">
        <f t="shared" si="1553"/>
        <v>#REF!</v>
      </c>
    </row>
    <row r="5439" spans="1:14" x14ac:dyDescent="0.3">
      <c r="A5439" s="94" t="s">
        <v>2554</v>
      </c>
      <c r="B5439" s="97">
        <f>+'Model Main'!FH203</f>
        <v>8.1038986301097002E-2</v>
      </c>
      <c r="C5439" s="97">
        <f>+'Model Main'!FI203</f>
        <v>8.0494436788298623E-2</v>
      </c>
      <c r="D5439" s="87">
        <f>+C5439</f>
        <v>8.0494436788298623E-2</v>
      </c>
      <c r="E5439" s="87">
        <f t="shared" ref="E5439:L5439" si="1554">+D5439</f>
        <v>8.0494436788298623E-2</v>
      </c>
      <c r="F5439" s="87">
        <f t="shared" si="1554"/>
        <v>8.0494436788298623E-2</v>
      </c>
      <c r="G5439" s="87">
        <f t="shared" si="1554"/>
        <v>8.0494436788298623E-2</v>
      </c>
      <c r="H5439" s="87">
        <f t="shared" si="1554"/>
        <v>8.0494436788298623E-2</v>
      </c>
      <c r="I5439" s="87">
        <f t="shared" si="1554"/>
        <v>8.0494436788298623E-2</v>
      </c>
      <c r="J5439" s="87">
        <f t="shared" si="1554"/>
        <v>8.0494436788298623E-2</v>
      </c>
      <c r="K5439" s="87">
        <f t="shared" si="1554"/>
        <v>8.0494436788298623E-2</v>
      </c>
      <c r="L5439" s="87">
        <f t="shared" si="1554"/>
        <v>8.0494436788298623E-2</v>
      </c>
      <c r="M5439" s="87">
        <f>+L5439</f>
        <v>8.0494436788298623E-2</v>
      </c>
    </row>
    <row r="5440" spans="1:14" x14ac:dyDescent="0.3">
      <c r="A5440" s="94"/>
      <c r="C5440" s="97"/>
      <c r="D5440" s="87"/>
      <c r="E5440" s="87"/>
      <c r="F5440" s="87"/>
      <c r="G5440" s="87"/>
      <c r="H5440" s="87"/>
      <c r="I5440" s="87"/>
      <c r="J5440" s="87"/>
      <c r="K5440" s="87"/>
      <c r="L5440" s="87"/>
      <c r="M5440" s="87"/>
    </row>
    <row r="5441" spans="1:14" x14ac:dyDescent="0.3">
      <c r="A5441" t="s">
        <v>2555</v>
      </c>
      <c r="B5441" s="79">
        <f>+SUM('Model Main'!FH71:FH72,'Model Main'!FG66:FG68)</f>
        <v>108</v>
      </c>
      <c r="C5441" s="79">
        <f>+SUM('Model Main'!FI71:FI72,'Model Main'!FH66:FH68)</f>
        <v>108</v>
      </c>
      <c r="D5441" s="95">
        <f>+C5441</f>
        <v>108</v>
      </c>
      <c r="E5441" s="95">
        <f t="shared" ref="E5441:M5441" si="1555">+D5441</f>
        <v>108</v>
      </c>
      <c r="F5441" s="95">
        <f t="shared" si="1555"/>
        <v>108</v>
      </c>
      <c r="G5441" s="95">
        <f t="shared" si="1555"/>
        <v>108</v>
      </c>
      <c r="H5441" s="95">
        <f t="shared" si="1555"/>
        <v>108</v>
      </c>
      <c r="I5441" s="95">
        <f t="shared" si="1555"/>
        <v>108</v>
      </c>
      <c r="J5441" s="95">
        <f t="shared" si="1555"/>
        <v>108</v>
      </c>
      <c r="K5441" s="95">
        <f t="shared" si="1555"/>
        <v>108</v>
      </c>
      <c r="L5441" s="95">
        <f t="shared" si="1555"/>
        <v>108</v>
      </c>
      <c r="M5441" s="95">
        <f t="shared" si="1555"/>
        <v>108</v>
      </c>
    </row>
    <row r="5443" spans="1:14" x14ac:dyDescent="0.3">
      <c r="A5443" t="s">
        <v>2556</v>
      </c>
      <c r="B5443" s="76">
        <f t="shared" ref="B5443:M5443" si="1556">+(B5423-B5438-B5428)*B5444</f>
        <v>246.04416179365285</v>
      </c>
      <c r="C5443" s="76">
        <f t="shared" si="1556"/>
        <v>305.7328825373591</v>
      </c>
      <c r="D5443" s="76" t="e">
        <f t="shared" si="1556"/>
        <v>#REF!</v>
      </c>
      <c r="E5443" s="76" t="e">
        <f t="shared" si="1556"/>
        <v>#REF!</v>
      </c>
      <c r="F5443" s="76" t="e">
        <f t="shared" si="1556"/>
        <v>#REF!</v>
      </c>
      <c r="G5443" s="76" t="e">
        <f t="shared" si="1556"/>
        <v>#REF!</v>
      </c>
      <c r="H5443" s="76" t="e">
        <f t="shared" si="1556"/>
        <v>#REF!</v>
      </c>
      <c r="I5443" s="76" t="e">
        <f t="shared" si="1556"/>
        <v>#REF!</v>
      </c>
      <c r="J5443" s="76" t="e">
        <f t="shared" si="1556"/>
        <v>#REF!</v>
      </c>
      <c r="K5443" s="76" t="e">
        <f t="shared" si="1556"/>
        <v>#REF!</v>
      </c>
      <c r="L5443" s="76" t="e">
        <f t="shared" si="1556"/>
        <v>#REF!</v>
      </c>
      <c r="M5443" s="76" t="e">
        <f t="shared" si="1556"/>
        <v>#REF!</v>
      </c>
    </row>
    <row r="5444" spans="1:14" x14ac:dyDescent="0.3">
      <c r="A5444" s="94" t="s">
        <v>2557</v>
      </c>
      <c r="B5444" s="546">
        <v>0.25</v>
      </c>
      <c r="C5444" s="546">
        <v>0.25</v>
      </c>
      <c r="D5444" s="546">
        <f>+C5444</f>
        <v>0.25</v>
      </c>
      <c r="E5444" s="546">
        <f t="shared" ref="E5444:L5444" si="1557">+D5444</f>
        <v>0.25</v>
      </c>
      <c r="F5444" s="546">
        <f t="shared" si="1557"/>
        <v>0.25</v>
      </c>
      <c r="G5444" s="546">
        <f t="shared" si="1557"/>
        <v>0.25</v>
      </c>
      <c r="H5444" s="546">
        <f t="shared" si="1557"/>
        <v>0.25</v>
      </c>
      <c r="I5444" s="546">
        <f t="shared" si="1557"/>
        <v>0.25</v>
      </c>
      <c r="J5444" s="546">
        <f t="shared" si="1557"/>
        <v>0.25</v>
      </c>
      <c r="K5444" s="546">
        <f t="shared" si="1557"/>
        <v>0.25</v>
      </c>
      <c r="L5444" s="546">
        <f t="shared" si="1557"/>
        <v>0.25</v>
      </c>
      <c r="M5444" s="546">
        <f>+L5444</f>
        <v>0.25</v>
      </c>
    </row>
    <row r="5446" spans="1:14" x14ac:dyDescent="0.3">
      <c r="A5446" t="s">
        <v>199</v>
      </c>
      <c r="B5446" s="76">
        <f t="shared" ref="B5446:M5446" si="1558">+B5435-B5438-B5441-B5443</f>
        <v>854.23006055419705</v>
      </c>
      <c r="C5446" s="76">
        <f t="shared" si="1558"/>
        <v>1031.2081101802396</v>
      </c>
      <c r="D5446" s="76" t="e">
        <f t="shared" si="1558"/>
        <v>#REF!</v>
      </c>
      <c r="E5446" s="76" t="e">
        <f t="shared" si="1558"/>
        <v>#REF!</v>
      </c>
      <c r="F5446" s="76" t="e">
        <f t="shared" si="1558"/>
        <v>#REF!</v>
      </c>
      <c r="G5446" s="76" t="e">
        <f t="shared" si="1558"/>
        <v>#REF!</v>
      </c>
      <c r="H5446" s="76" t="e">
        <f t="shared" si="1558"/>
        <v>#REF!</v>
      </c>
      <c r="I5446" s="76" t="e">
        <f t="shared" si="1558"/>
        <v>#REF!</v>
      </c>
      <c r="J5446" s="76" t="e">
        <f t="shared" si="1558"/>
        <v>#REF!</v>
      </c>
      <c r="K5446" s="76" t="e">
        <f t="shared" si="1558"/>
        <v>#REF!</v>
      </c>
      <c r="L5446" s="76" t="e">
        <f t="shared" si="1558"/>
        <v>#REF!</v>
      </c>
      <c r="M5446" s="76" t="e">
        <f t="shared" si="1558"/>
        <v>#REF!</v>
      </c>
      <c r="N5446" s="75" t="e">
        <f>+(M5446/C5446)^(1/10)-1</f>
        <v>#REF!</v>
      </c>
    </row>
    <row r="5447" spans="1:14" x14ac:dyDescent="0.3">
      <c r="A5447" s="94" t="s">
        <v>2329</v>
      </c>
      <c r="D5447" s="75" t="e">
        <f t="shared" ref="D5447:M5447" si="1559">+D5446/C5446-1</f>
        <v>#REF!</v>
      </c>
      <c r="E5447" s="75" t="e">
        <f t="shared" si="1559"/>
        <v>#REF!</v>
      </c>
      <c r="F5447" s="75" t="e">
        <f t="shared" si="1559"/>
        <v>#REF!</v>
      </c>
      <c r="G5447" s="75" t="e">
        <f t="shared" si="1559"/>
        <v>#REF!</v>
      </c>
      <c r="H5447" s="75" t="e">
        <f t="shared" si="1559"/>
        <v>#REF!</v>
      </c>
      <c r="I5447" s="75" t="e">
        <f t="shared" si="1559"/>
        <v>#REF!</v>
      </c>
      <c r="J5447" s="75" t="e">
        <f t="shared" si="1559"/>
        <v>#REF!</v>
      </c>
      <c r="K5447" s="75" t="e">
        <f t="shared" si="1559"/>
        <v>#REF!</v>
      </c>
      <c r="L5447" s="75" t="e">
        <f t="shared" si="1559"/>
        <v>#REF!</v>
      </c>
      <c r="M5447" s="75" t="e">
        <f t="shared" si="1559"/>
        <v>#REF!</v>
      </c>
    </row>
    <row r="5449" spans="1:14" x14ac:dyDescent="0.3">
      <c r="A5449" t="s">
        <v>2558</v>
      </c>
      <c r="B5449" s="480" t="e">
        <f>+B5446/AVERAGE(B5460,B5458)</f>
        <v>#REF!</v>
      </c>
      <c r="C5449" s="480" t="e">
        <f t="shared" ref="C5449:M5449" si="1560">+C5446/AVERAGE(C5460,C5458)</f>
        <v>#REF!</v>
      </c>
      <c r="D5449" s="480" t="e">
        <f t="shared" si="1560"/>
        <v>#REF!</v>
      </c>
      <c r="E5449" s="480" t="e">
        <f t="shared" si="1560"/>
        <v>#REF!</v>
      </c>
      <c r="F5449" s="480" t="e">
        <f t="shared" si="1560"/>
        <v>#REF!</v>
      </c>
      <c r="G5449" s="480" t="e">
        <f t="shared" si="1560"/>
        <v>#REF!</v>
      </c>
      <c r="H5449" s="480" t="e">
        <f t="shared" si="1560"/>
        <v>#REF!</v>
      </c>
      <c r="I5449" s="480" t="e">
        <f t="shared" si="1560"/>
        <v>#REF!</v>
      </c>
      <c r="J5449" s="480" t="e">
        <f t="shared" si="1560"/>
        <v>#REF!</v>
      </c>
      <c r="K5449" s="480" t="e">
        <f t="shared" si="1560"/>
        <v>#REF!</v>
      </c>
      <c r="L5449" s="480" t="e">
        <f t="shared" si="1560"/>
        <v>#REF!</v>
      </c>
      <c r="M5449" s="480" t="e">
        <f t="shared" si="1560"/>
        <v>#REF!</v>
      </c>
      <c r="N5449" s="75" t="e">
        <f>+(M5449/C5449)^(1/10)-1</f>
        <v>#REF!</v>
      </c>
    </row>
    <row r="5450" spans="1:14" x14ac:dyDescent="0.3">
      <c r="A5450" s="94" t="s">
        <v>2329</v>
      </c>
      <c r="C5450" s="75" t="e">
        <f t="shared" ref="C5450:M5450" si="1561">+C5449/B5449-1</f>
        <v>#REF!</v>
      </c>
      <c r="D5450" s="75" t="e">
        <f t="shared" si="1561"/>
        <v>#REF!</v>
      </c>
      <c r="E5450" s="75" t="e">
        <f t="shared" si="1561"/>
        <v>#REF!</v>
      </c>
      <c r="F5450" s="75" t="e">
        <f t="shared" si="1561"/>
        <v>#REF!</v>
      </c>
      <c r="G5450" s="75" t="e">
        <f t="shared" si="1561"/>
        <v>#REF!</v>
      </c>
      <c r="H5450" s="75" t="e">
        <f t="shared" si="1561"/>
        <v>#REF!</v>
      </c>
      <c r="I5450" s="75" t="e">
        <f t="shared" si="1561"/>
        <v>#REF!</v>
      </c>
      <c r="J5450" s="75" t="e">
        <f t="shared" si="1561"/>
        <v>#REF!</v>
      </c>
      <c r="K5450" s="75" t="e">
        <f t="shared" si="1561"/>
        <v>#REF!</v>
      </c>
      <c r="L5450" s="75" t="e">
        <f t="shared" si="1561"/>
        <v>#REF!</v>
      </c>
      <c r="M5450" s="75" t="e">
        <f t="shared" si="1561"/>
        <v>#REF!</v>
      </c>
      <c r="N5450" s="75"/>
    </row>
    <row r="5451" spans="1:14" x14ac:dyDescent="0.3">
      <c r="A5451" s="94"/>
      <c r="D5451" s="75"/>
      <c r="E5451" s="75"/>
      <c r="F5451" s="75"/>
      <c r="G5451" s="75"/>
      <c r="H5451" s="75"/>
      <c r="I5451" s="75"/>
      <c r="J5451" s="75"/>
      <c r="K5451" s="75"/>
      <c r="L5451" s="75"/>
      <c r="M5451" s="75"/>
      <c r="N5451" s="75"/>
    </row>
    <row r="5452" spans="1:14" x14ac:dyDescent="0.3">
      <c r="A5452" t="s">
        <v>2559</v>
      </c>
      <c r="B5452" s="76">
        <f>+B5446</f>
        <v>854.23006055419705</v>
      </c>
      <c r="C5452" s="76">
        <f t="shared" ref="C5452:M5452" si="1562">+C5446</f>
        <v>1031.2081101802396</v>
      </c>
      <c r="D5452" s="76" t="e">
        <f t="shared" si="1562"/>
        <v>#REF!</v>
      </c>
      <c r="E5452" s="76" t="e">
        <f t="shared" si="1562"/>
        <v>#REF!</v>
      </c>
      <c r="F5452" s="76" t="e">
        <f t="shared" si="1562"/>
        <v>#REF!</v>
      </c>
      <c r="G5452" s="76" t="e">
        <f t="shared" si="1562"/>
        <v>#REF!</v>
      </c>
      <c r="H5452" s="76" t="e">
        <f t="shared" si="1562"/>
        <v>#REF!</v>
      </c>
      <c r="I5452" s="76" t="e">
        <f t="shared" si="1562"/>
        <v>#REF!</v>
      </c>
      <c r="J5452" s="76" t="e">
        <f t="shared" si="1562"/>
        <v>#REF!</v>
      </c>
      <c r="K5452" s="76" t="e">
        <f t="shared" si="1562"/>
        <v>#REF!</v>
      </c>
      <c r="L5452" s="76" t="e">
        <f t="shared" si="1562"/>
        <v>#REF!</v>
      </c>
      <c r="M5452" s="76" t="e">
        <f t="shared" si="1562"/>
        <v>#REF!</v>
      </c>
    </row>
    <row r="5453" spans="1:14" x14ac:dyDescent="0.3">
      <c r="A5453" s="177" t="s">
        <v>2560</v>
      </c>
      <c r="B5453" s="76">
        <f>+B5454-B5452</f>
        <v>-91.703924700746938</v>
      </c>
      <c r="C5453" s="76">
        <f>+C5465-B5465</f>
        <v>782.11524247610942</v>
      </c>
      <c r="D5453" s="76" t="e">
        <f>+D5465-C5465</f>
        <v>#REF!</v>
      </c>
      <c r="E5453" s="76" t="e">
        <f t="shared" ref="E5453:L5453" si="1563">+E5465-D5465</f>
        <v>#REF!</v>
      </c>
      <c r="F5453" s="76" t="e">
        <f t="shared" si="1563"/>
        <v>#REF!</v>
      </c>
      <c r="G5453" s="76" t="e">
        <f t="shared" si="1563"/>
        <v>#REF!</v>
      </c>
      <c r="H5453" s="76" t="e">
        <f t="shared" si="1563"/>
        <v>#REF!</v>
      </c>
      <c r="I5453" s="76" t="e">
        <f t="shared" si="1563"/>
        <v>#REF!</v>
      </c>
      <c r="J5453" s="76" t="e">
        <f t="shared" si="1563"/>
        <v>#REF!</v>
      </c>
      <c r="K5453" s="76" t="e">
        <f t="shared" si="1563"/>
        <v>#REF!</v>
      </c>
      <c r="L5453" s="76" t="e">
        <f t="shared" si="1563"/>
        <v>#REF!</v>
      </c>
      <c r="M5453" s="76" t="e">
        <f>+M5465-L5465</f>
        <v>#REF!</v>
      </c>
    </row>
    <row r="5454" spans="1:14" x14ac:dyDescent="0.3">
      <c r="A5454" s="298" t="s">
        <v>2561</v>
      </c>
      <c r="B5454" s="803">
        <f>+'Model Main'!FH119*-1</f>
        <v>762.52613585345011</v>
      </c>
      <c r="C5454" s="803">
        <f>+C5452+C5453</f>
        <v>1813.323352656349</v>
      </c>
      <c r="D5454" s="803" t="e">
        <f>+D5452+D5453</f>
        <v>#REF!</v>
      </c>
      <c r="E5454" s="803" t="e">
        <f t="shared" ref="E5454:M5454" si="1564">+E5452+E5453</f>
        <v>#REF!</v>
      </c>
      <c r="F5454" s="803" t="e">
        <f t="shared" si="1564"/>
        <v>#REF!</v>
      </c>
      <c r="G5454" s="803" t="e">
        <f t="shared" si="1564"/>
        <v>#REF!</v>
      </c>
      <c r="H5454" s="803" t="e">
        <f t="shared" si="1564"/>
        <v>#REF!</v>
      </c>
      <c r="I5454" s="803" t="e">
        <f t="shared" si="1564"/>
        <v>#REF!</v>
      </c>
      <c r="J5454" s="803" t="e">
        <f t="shared" si="1564"/>
        <v>#REF!</v>
      </c>
      <c r="K5454" s="803" t="e">
        <f t="shared" si="1564"/>
        <v>#REF!</v>
      </c>
      <c r="L5454" s="803" t="e">
        <f t="shared" si="1564"/>
        <v>#REF!</v>
      </c>
      <c r="M5454" s="803" t="e">
        <f t="shared" si="1564"/>
        <v>#REF!</v>
      </c>
    </row>
    <row r="5455" spans="1:14" x14ac:dyDescent="0.3">
      <c r="A5455" s="177" t="s">
        <v>2562</v>
      </c>
      <c r="B5455" s="101" t="e">
        <f>+B5461</f>
        <v>#REF!</v>
      </c>
      <c r="C5455" s="101" t="e">
        <f>+C5461</f>
        <v>#REF!</v>
      </c>
      <c r="D5455" s="101" t="e">
        <f>+D5461</f>
        <v>#REF!</v>
      </c>
      <c r="E5455" s="101" t="e">
        <f t="shared" ref="E5455:L5455" si="1565">+E5461</f>
        <v>#REF!</v>
      </c>
      <c r="F5455" s="101" t="e">
        <f t="shared" si="1565"/>
        <v>#REF!</v>
      </c>
      <c r="G5455" s="101" t="e">
        <f t="shared" si="1565"/>
        <v>#REF!</v>
      </c>
      <c r="H5455" s="101" t="e">
        <f t="shared" si="1565"/>
        <v>#REF!</v>
      </c>
      <c r="I5455" s="101" t="e">
        <f t="shared" si="1565"/>
        <v>#REF!</v>
      </c>
      <c r="J5455" s="101" t="e">
        <f t="shared" si="1565"/>
        <v>#REF!</v>
      </c>
      <c r="K5455" s="101" t="e">
        <f t="shared" si="1565"/>
        <v>#REF!</v>
      </c>
      <c r="L5455" s="101" t="e">
        <f t="shared" si="1565"/>
        <v>#REF!</v>
      </c>
      <c r="M5455" s="101" t="e">
        <f>+M5461</f>
        <v>#REF!</v>
      </c>
    </row>
    <row r="5456" spans="1:14" x14ac:dyDescent="0.3">
      <c r="A5456" s="298" t="s">
        <v>2563</v>
      </c>
      <c r="B5456" s="697" t="e">
        <f>+B5454/B5455</f>
        <v>#REF!</v>
      </c>
      <c r="C5456" s="697" t="e">
        <f>+C5454/C5455</f>
        <v>#REF!</v>
      </c>
      <c r="D5456" s="697" t="e">
        <f>+D5454/D5455</f>
        <v>#REF!</v>
      </c>
      <c r="E5456" s="697" t="e">
        <f t="shared" ref="E5456:M5456" si="1566">+E5454/E5455</f>
        <v>#REF!</v>
      </c>
      <c r="F5456" s="697" t="e">
        <f t="shared" si="1566"/>
        <v>#REF!</v>
      </c>
      <c r="G5456" s="697" t="e">
        <f t="shared" si="1566"/>
        <v>#REF!</v>
      </c>
      <c r="H5456" s="697" t="e">
        <f t="shared" si="1566"/>
        <v>#REF!</v>
      </c>
      <c r="I5456" s="697" t="e">
        <f t="shared" si="1566"/>
        <v>#REF!</v>
      </c>
      <c r="J5456" s="697" t="e">
        <f t="shared" si="1566"/>
        <v>#REF!</v>
      </c>
      <c r="K5456" s="697" t="e">
        <f t="shared" si="1566"/>
        <v>#REF!</v>
      </c>
      <c r="L5456" s="697" t="e">
        <f t="shared" si="1566"/>
        <v>#REF!</v>
      </c>
      <c r="M5456" s="697" t="e">
        <f t="shared" si="1566"/>
        <v>#REF!</v>
      </c>
    </row>
    <row r="5457" spans="1:14" x14ac:dyDescent="0.3">
      <c r="A5457" s="177"/>
      <c r="B5457" s="620"/>
      <c r="C5457" s="620"/>
    </row>
    <row r="5458" spans="1:14" x14ac:dyDescent="0.3">
      <c r="A5458" s="177" t="s">
        <v>2564</v>
      </c>
      <c r="B5458" s="620">
        <f>+B5470</f>
        <v>1000</v>
      </c>
      <c r="C5458" s="620" t="e">
        <f>+B5460</f>
        <v>#REF!</v>
      </c>
      <c r="D5458" s="620" t="e">
        <f>+C5460</f>
        <v>#REF!</v>
      </c>
      <c r="E5458" s="620" t="e">
        <f t="shared" ref="E5458:L5458" si="1567">+D5460</f>
        <v>#REF!</v>
      </c>
      <c r="F5458" s="620" t="e">
        <f t="shared" si="1567"/>
        <v>#REF!</v>
      </c>
      <c r="G5458" s="620" t="e">
        <f t="shared" si="1567"/>
        <v>#REF!</v>
      </c>
      <c r="H5458" s="620" t="e">
        <f t="shared" si="1567"/>
        <v>#REF!</v>
      </c>
      <c r="I5458" s="620" t="e">
        <f t="shared" si="1567"/>
        <v>#REF!</v>
      </c>
      <c r="J5458" s="620" t="e">
        <f t="shared" si="1567"/>
        <v>#REF!</v>
      </c>
      <c r="K5458" s="620" t="e">
        <f t="shared" si="1567"/>
        <v>#REF!</v>
      </c>
      <c r="L5458" s="620" t="e">
        <f t="shared" si="1567"/>
        <v>#REF!</v>
      </c>
      <c r="M5458" s="620" t="e">
        <f>+L5460</f>
        <v>#REF!</v>
      </c>
    </row>
    <row r="5459" spans="1:14" x14ac:dyDescent="0.3">
      <c r="A5459" s="177" t="s">
        <v>2565</v>
      </c>
      <c r="B5459" s="620" t="e">
        <f>+B5456</f>
        <v>#REF!</v>
      </c>
      <c r="C5459" s="620" t="e">
        <f>+C5456</f>
        <v>#REF!</v>
      </c>
      <c r="D5459" s="620" t="e">
        <f>+D5456</f>
        <v>#REF!</v>
      </c>
      <c r="E5459" s="620" t="e">
        <f t="shared" ref="E5459:L5459" si="1568">+E5456</f>
        <v>#REF!</v>
      </c>
      <c r="F5459" s="620" t="e">
        <f t="shared" si="1568"/>
        <v>#REF!</v>
      </c>
      <c r="G5459" s="620" t="e">
        <f t="shared" si="1568"/>
        <v>#REF!</v>
      </c>
      <c r="H5459" s="620" t="e">
        <f t="shared" si="1568"/>
        <v>#REF!</v>
      </c>
      <c r="I5459" s="620" t="e">
        <f t="shared" si="1568"/>
        <v>#REF!</v>
      </c>
      <c r="J5459" s="620" t="e">
        <f t="shared" si="1568"/>
        <v>#REF!</v>
      </c>
      <c r="K5459" s="620" t="e">
        <f t="shared" si="1568"/>
        <v>#REF!</v>
      </c>
      <c r="L5459" s="620" t="e">
        <f t="shared" si="1568"/>
        <v>#REF!</v>
      </c>
      <c r="M5459" s="620" t="e">
        <f>+M5456</f>
        <v>#REF!</v>
      </c>
    </row>
    <row r="5460" spans="1:14" x14ac:dyDescent="0.3">
      <c r="A5460" s="298" t="s">
        <v>2566</v>
      </c>
      <c r="B5460" s="1811" t="e">
        <f>+B5458-B5459</f>
        <v>#REF!</v>
      </c>
      <c r="C5460" s="1811" t="e">
        <f>+C5458-C5459</f>
        <v>#REF!</v>
      </c>
      <c r="D5460" s="1811" t="e">
        <f>+D5458-D5459</f>
        <v>#REF!</v>
      </c>
      <c r="E5460" s="1811" t="e">
        <f t="shared" ref="E5460:M5460" si="1569">+E5458-E5459</f>
        <v>#REF!</v>
      </c>
      <c r="F5460" s="1811" t="e">
        <f t="shared" si="1569"/>
        <v>#REF!</v>
      </c>
      <c r="G5460" s="1811" t="e">
        <f t="shared" si="1569"/>
        <v>#REF!</v>
      </c>
      <c r="H5460" s="1811" t="e">
        <f t="shared" si="1569"/>
        <v>#REF!</v>
      </c>
      <c r="I5460" s="1811" t="e">
        <f t="shared" si="1569"/>
        <v>#REF!</v>
      </c>
      <c r="J5460" s="1811" t="e">
        <f t="shared" si="1569"/>
        <v>#REF!</v>
      </c>
      <c r="K5460" s="1811" t="e">
        <f t="shared" si="1569"/>
        <v>#REF!</v>
      </c>
      <c r="L5460" s="1811" t="e">
        <f t="shared" si="1569"/>
        <v>#REF!</v>
      </c>
      <c r="M5460" s="1811" t="e">
        <f t="shared" si="1569"/>
        <v>#REF!</v>
      </c>
    </row>
    <row r="5461" spans="1:14" x14ac:dyDescent="0.3">
      <c r="A5461" s="94" t="s">
        <v>2567</v>
      </c>
      <c r="B5461" s="111" t="e">
        <f>+B5471</f>
        <v>#REF!</v>
      </c>
      <c r="C5461" s="111" t="e">
        <f>+B5461/(B5460/B5458)</f>
        <v>#REF!</v>
      </c>
      <c r="D5461" s="111" t="e">
        <f>+C5461/(C5460/C5458)</f>
        <v>#REF!</v>
      </c>
      <c r="E5461" s="111" t="e">
        <f t="shared" ref="E5461:L5461" si="1570">+D5461/(D5460/D5458)</f>
        <v>#REF!</v>
      </c>
      <c r="F5461" s="111" t="e">
        <f t="shared" si="1570"/>
        <v>#REF!</v>
      </c>
      <c r="G5461" s="111" t="e">
        <f t="shared" si="1570"/>
        <v>#REF!</v>
      </c>
      <c r="H5461" s="111" t="e">
        <f t="shared" si="1570"/>
        <v>#REF!</v>
      </c>
      <c r="I5461" s="111" t="e">
        <f t="shared" si="1570"/>
        <v>#REF!</v>
      </c>
      <c r="J5461" s="111" t="e">
        <f t="shared" si="1570"/>
        <v>#REF!</v>
      </c>
      <c r="K5461" s="111" t="e">
        <f t="shared" si="1570"/>
        <v>#REF!</v>
      </c>
      <c r="L5461" s="111" t="e">
        <f t="shared" si="1570"/>
        <v>#REF!</v>
      </c>
      <c r="M5461" s="111" t="e">
        <f>+L5461/(L5460/L5458)</f>
        <v>#REF!</v>
      </c>
      <c r="N5461" s="75" t="e">
        <f>+(M5461/C5461)^(1/10)-1</f>
        <v>#REF!</v>
      </c>
    </row>
    <row r="5463" spans="1:14" x14ac:dyDescent="0.3">
      <c r="A5463" t="s">
        <v>2568</v>
      </c>
      <c r="B5463" s="76">
        <f>+'Model Main'!FH196</f>
        <v>13059.908620729893</v>
      </c>
      <c r="C5463" s="76">
        <f>+'Model Main'!FI196</f>
        <v>13842.023863206003</v>
      </c>
      <c r="D5463" s="76" t="e">
        <f>+D5465+D5464</f>
        <v>#REF!</v>
      </c>
      <c r="E5463" s="76" t="e">
        <f t="shared" ref="E5463:M5463" si="1571">+E5465+E5464</f>
        <v>#REF!</v>
      </c>
      <c r="F5463" s="76" t="e">
        <f t="shared" si="1571"/>
        <v>#REF!</v>
      </c>
      <c r="G5463" s="76" t="e">
        <f t="shared" si="1571"/>
        <v>#REF!</v>
      </c>
      <c r="H5463" s="76" t="e">
        <f t="shared" si="1571"/>
        <v>#REF!</v>
      </c>
      <c r="I5463" s="76" t="e">
        <f t="shared" si="1571"/>
        <v>#REF!</v>
      </c>
      <c r="J5463" s="76" t="e">
        <f t="shared" si="1571"/>
        <v>#REF!</v>
      </c>
      <c r="K5463" s="76" t="e">
        <f t="shared" si="1571"/>
        <v>#REF!</v>
      </c>
      <c r="L5463" s="76" t="e">
        <f t="shared" si="1571"/>
        <v>#REF!</v>
      </c>
      <c r="M5463" s="76" t="e">
        <f t="shared" si="1571"/>
        <v>#REF!</v>
      </c>
    </row>
    <row r="5464" spans="1:14" x14ac:dyDescent="0.3">
      <c r="A5464" t="s">
        <v>2569</v>
      </c>
      <c r="B5464" s="76">
        <f>+'Model Main'!FH197</f>
        <v>-164.85254733679716</v>
      </c>
      <c r="C5464" s="76">
        <f>+'Model Main'!FI197</f>
        <v>-164.85254733679716</v>
      </c>
      <c r="D5464" s="95">
        <f>+C5464</f>
        <v>-164.85254733679716</v>
      </c>
      <c r="E5464" s="95">
        <f t="shared" ref="E5464:L5464" si="1572">+D5464</f>
        <v>-164.85254733679716</v>
      </c>
      <c r="F5464" s="95">
        <f t="shared" si="1572"/>
        <v>-164.85254733679716</v>
      </c>
      <c r="G5464" s="95">
        <f t="shared" si="1572"/>
        <v>-164.85254733679716</v>
      </c>
      <c r="H5464" s="95">
        <f t="shared" si="1572"/>
        <v>-164.85254733679716</v>
      </c>
      <c r="I5464" s="95">
        <f t="shared" si="1572"/>
        <v>-164.85254733679716</v>
      </c>
      <c r="J5464" s="95">
        <f t="shared" si="1572"/>
        <v>-164.85254733679716</v>
      </c>
      <c r="K5464" s="95">
        <f t="shared" si="1572"/>
        <v>-164.85254733679716</v>
      </c>
      <c r="L5464" s="95">
        <f t="shared" si="1572"/>
        <v>-164.85254733679716</v>
      </c>
      <c r="M5464" s="95">
        <f>+L5464</f>
        <v>-164.85254733679716</v>
      </c>
    </row>
    <row r="5465" spans="1:14" x14ac:dyDescent="0.3">
      <c r="A5465" t="s">
        <v>148</v>
      </c>
      <c r="B5465" s="76">
        <f>+'Model Main'!FH198</f>
        <v>13224.761168066691</v>
      </c>
      <c r="C5465" s="76">
        <f>+'Model Main'!FI198</f>
        <v>14006.8764105428</v>
      </c>
      <c r="D5465" s="76" t="e">
        <f t="shared" ref="D5465:M5465" si="1573">+D5466*D5423</f>
        <v>#REF!</v>
      </c>
      <c r="E5465" s="76" t="e">
        <f t="shared" si="1573"/>
        <v>#REF!</v>
      </c>
      <c r="F5465" s="76" t="e">
        <f t="shared" si="1573"/>
        <v>#REF!</v>
      </c>
      <c r="G5465" s="76" t="e">
        <f t="shared" si="1573"/>
        <v>#REF!</v>
      </c>
      <c r="H5465" s="76" t="e">
        <f t="shared" si="1573"/>
        <v>#REF!</v>
      </c>
      <c r="I5465" s="76" t="e">
        <f t="shared" si="1573"/>
        <v>#REF!</v>
      </c>
      <c r="J5465" s="76" t="e">
        <f t="shared" si="1573"/>
        <v>#REF!</v>
      </c>
      <c r="K5465" s="76" t="e">
        <f t="shared" si="1573"/>
        <v>#REF!</v>
      </c>
      <c r="L5465" s="76" t="e">
        <f t="shared" si="1573"/>
        <v>#REF!</v>
      </c>
      <c r="M5465" s="76" t="e">
        <f t="shared" si="1573"/>
        <v>#REF!</v>
      </c>
    </row>
    <row r="5466" spans="1:14" x14ac:dyDescent="0.3">
      <c r="A5466" s="94" t="s">
        <v>2570</v>
      </c>
      <c r="B5466" s="386">
        <f>+B5465/B5423</f>
        <v>3.5</v>
      </c>
      <c r="C5466" s="386">
        <f>+C5465/C5423</f>
        <v>3.5</v>
      </c>
      <c r="D5466" s="385">
        <f>+C5466</f>
        <v>3.5</v>
      </c>
      <c r="E5466" s="385">
        <f t="shared" ref="E5466:L5466" si="1574">+D5466</f>
        <v>3.5</v>
      </c>
      <c r="F5466" s="385">
        <f t="shared" si="1574"/>
        <v>3.5</v>
      </c>
      <c r="G5466" s="385">
        <f t="shared" si="1574"/>
        <v>3.5</v>
      </c>
      <c r="H5466" s="385">
        <f t="shared" si="1574"/>
        <v>3.5</v>
      </c>
      <c r="I5466" s="385">
        <f t="shared" si="1574"/>
        <v>3.5</v>
      </c>
      <c r="J5466" s="385">
        <f t="shared" si="1574"/>
        <v>3.5</v>
      </c>
      <c r="K5466" s="385">
        <f t="shared" si="1574"/>
        <v>3.5</v>
      </c>
      <c r="L5466" s="385">
        <f t="shared" si="1574"/>
        <v>3.5</v>
      </c>
      <c r="M5466" s="385">
        <f>+L5466</f>
        <v>3.5</v>
      </c>
    </row>
    <row r="5468" spans="1:14" x14ac:dyDescent="0.3">
      <c r="D5468" s="76" t="e">
        <f>+D5465-C5465</f>
        <v>#REF!</v>
      </c>
      <c r="E5468" s="76" t="e">
        <f t="shared" ref="E5468:L5468" si="1575">+E5465-D5465</f>
        <v>#REF!</v>
      </c>
      <c r="F5468" s="76" t="e">
        <f t="shared" si="1575"/>
        <v>#REF!</v>
      </c>
      <c r="G5468" s="76" t="e">
        <f t="shared" si="1575"/>
        <v>#REF!</v>
      </c>
      <c r="H5468" s="76" t="e">
        <f t="shared" si="1575"/>
        <v>#REF!</v>
      </c>
      <c r="I5468" s="76" t="e">
        <f t="shared" si="1575"/>
        <v>#REF!</v>
      </c>
      <c r="J5468" s="76" t="e">
        <f t="shared" si="1575"/>
        <v>#REF!</v>
      </c>
      <c r="K5468" s="76" t="e">
        <f t="shared" si="1575"/>
        <v>#REF!</v>
      </c>
      <c r="L5468" s="76" t="e">
        <f t="shared" si="1575"/>
        <v>#REF!</v>
      </c>
      <c r="M5468" s="76" t="e">
        <f>+M5465-L5465</f>
        <v>#REF!</v>
      </c>
    </row>
    <row r="5469" spans="1:14" x14ac:dyDescent="0.3">
      <c r="A5469" t="s">
        <v>754</v>
      </c>
      <c r="B5469" s="76" t="e">
        <f>+Valuation!$C$91</f>
        <v>#REF!</v>
      </c>
      <c r="C5469" s="76" t="e">
        <f>+Valuation!$C$91</f>
        <v>#REF!</v>
      </c>
    </row>
    <row r="5470" spans="1:14" x14ac:dyDescent="0.3">
      <c r="A5470" t="s">
        <v>868</v>
      </c>
      <c r="B5470" s="95">
        <v>1000</v>
      </c>
      <c r="C5470" s="95">
        <v>1000</v>
      </c>
    </row>
    <row r="5471" spans="1:14" x14ac:dyDescent="0.3">
      <c r="A5471" t="s">
        <v>2571</v>
      </c>
      <c r="B5471" s="101" t="e">
        <f>+B5469/B5470</f>
        <v>#REF!</v>
      </c>
      <c r="C5471" s="101" t="e">
        <f>+C5469/C5470</f>
        <v>#REF!</v>
      </c>
    </row>
    <row r="5474" spans="1:14" x14ac:dyDescent="0.3">
      <c r="A5474" s="627" t="s">
        <v>2572</v>
      </c>
      <c r="B5474" s="627"/>
      <c r="C5474" s="627"/>
      <c r="D5474" s="627"/>
      <c r="E5474" s="627"/>
      <c r="F5474" s="627"/>
      <c r="G5474" s="627"/>
      <c r="H5474" s="627"/>
      <c r="I5474" s="627"/>
      <c r="J5474" s="627"/>
      <c r="K5474" s="627"/>
      <c r="L5474" s="627"/>
      <c r="M5474" s="627"/>
      <c r="N5474" s="627"/>
    </row>
    <row r="5476" spans="1:14" x14ac:dyDescent="0.3">
      <c r="A5476" s="147"/>
      <c r="B5476" s="374" t="s">
        <v>2573</v>
      </c>
      <c r="C5476" s="374" t="s">
        <v>2459</v>
      </c>
      <c r="D5476" s="374" t="s">
        <v>2460</v>
      </c>
      <c r="E5476" s="374" t="s">
        <v>2461</v>
      </c>
    </row>
    <row r="5477" spans="1:14" x14ac:dyDescent="0.3">
      <c r="A5477" t="s">
        <v>2574</v>
      </c>
      <c r="B5477" s="378" t="e">
        <f>+B5509/B$5502/12*1000</f>
        <v>#REF!</v>
      </c>
      <c r="C5477" s="378">
        <f>+C5509/C$5502/12*1000</f>
        <v>126.52857876143602</v>
      </c>
      <c r="D5477" s="378">
        <f>+D5509/D$5502/12*1000</f>
        <v>106.94232157262344</v>
      </c>
      <c r="E5477" s="378">
        <f>+E5509/E$5502/12*1000</f>
        <v>138.68681792549839</v>
      </c>
    </row>
    <row r="5478" spans="1:14" x14ac:dyDescent="0.3">
      <c r="A5478" t="s">
        <v>2575</v>
      </c>
      <c r="B5478" s="378" t="e">
        <f>+B5510/B5502/12*1000</f>
        <v>#REF!</v>
      </c>
      <c r="C5478" s="378">
        <f>+C5510/C5502/12*1000</f>
        <v>20.610022444316957</v>
      </c>
      <c r="D5478" s="378">
        <f>+D5510/D5502/12*1000</f>
        <v>17.067889440835561</v>
      </c>
      <c r="E5478" s="378">
        <f>+E5510/E5502/12*1000</f>
        <v>24.123992437058416</v>
      </c>
    </row>
    <row r="5479" spans="1:14" x14ac:dyDescent="0.3">
      <c r="A5479" t="s">
        <v>2576</v>
      </c>
      <c r="B5479" s="378" t="e">
        <f>+B5511/B5502/12*1000</f>
        <v>#REF!</v>
      </c>
      <c r="C5479" s="378">
        <f>+C5511/C5502/12*1000</f>
        <v>0</v>
      </c>
      <c r="D5479" s="378">
        <f>+D5511/D5502/12*1000</f>
        <v>0</v>
      </c>
      <c r="E5479" s="378">
        <f>+E5511/E5502/12*1000</f>
        <v>0</v>
      </c>
    </row>
    <row r="5480" spans="1:14" x14ac:dyDescent="0.3">
      <c r="A5480" s="90" t="s">
        <v>2577</v>
      </c>
      <c r="B5480" s="1812" t="e">
        <f>+SUM(B5477:B5479)</f>
        <v>#REF!</v>
      </c>
      <c r="C5480" s="1812">
        <f>+SUM(C5477:C5479)</f>
        <v>147.13860120575299</v>
      </c>
      <c r="D5480" s="1812">
        <f>+SUM(D5477:D5479)</f>
        <v>124.010211013459</v>
      </c>
      <c r="E5480" s="1812">
        <f>+SUM(E5477:E5479)</f>
        <v>162.81081036255679</v>
      </c>
    </row>
    <row r="5481" spans="1:14" x14ac:dyDescent="0.3">
      <c r="A5481" t="s">
        <v>2578</v>
      </c>
      <c r="B5481" s="378" t="e">
        <f>+SUM(B5513,B5515)/B5502/12*1000</f>
        <v>#REF!</v>
      </c>
      <c r="C5481" s="378">
        <f>+C5480-C5482-C5483</f>
        <v>36.723255533077705</v>
      </c>
      <c r="D5481" s="378">
        <f>+D5480-D5482-D5483</f>
        <v>32.566445887997268</v>
      </c>
      <c r="E5481" s="378">
        <f>+E5480-E5482-E5483</f>
        <v>47.85787889342221</v>
      </c>
    </row>
    <row r="5482" spans="1:14" x14ac:dyDescent="0.3">
      <c r="A5482" t="s">
        <v>2579</v>
      </c>
      <c r="B5482" s="101">
        <f>+SUM(B5514/B5502)/12*1000</f>
        <v>83.419910054443207</v>
      </c>
      <c r="C5482" s="101">
        <f>+SUM(C5514/C5502)/12*1000</f>
        <v>46.313168674577526</v>
      </c>
      <c r="D5482" s="101">
        <f>+SUM(D5514/D5502)/12*1000</f>
        <v>41.240500148601029</v>
      </c>
      <c r="E5482" s="101">
        <f>+SUM(E5514/E5502)/12*1000</f>
        <v>40.520749162437383</v>
      </c>
    </row>
    <row r="5483" spans="1:14" ht="12.5" thickBot="1" x14ac:dyDescent="0.35">
      <c r="A5483" s="90" t="s">
        <v>2580</v>
      </c>
      <c r="B5483" s="384" t="e">
        <f>+B5480-B5481-B5482</f>
        <v>#REF!</v>
      </c>
      <c r="C5483" s="384">
        <f>+C5505</f>
        <v>64.102176998097761</v>
      </c>
      <c r="D5483" s="384">
        <f>+D5505</f>
        <v>50.203264976860702</v>
      </c>
      <c r="E5483" s="384">
        <f>+E5505</f>
        <v>74.4321823066972</v>
      </c>
    </row>
    <row r="5484" spans="1:14" ht="12.5" thickTop="1" x14ac:dyDescent="0.3">
      <c r="A5484" s="94" t="s">
        <v>2581</v>
      </c>
      <c r="B5484" s="75" t="e">
        <f>+B5483/B5480</f>
        <v>#REF!</v>
      </c>
      <c r="C5484" s="75">
        <f>+C5483/C5480</f>
        <v>0.43565846401149166</v>
      </c>
      <c r="D5484" s="75">
        <f>+D5483/D5480</f>
        <v>0.40483170350715775</v>
      </c>
      <c r="E5484" s="75">
        <f>+E5483/E5480</f>
        <v>0.45716977970287842</v>
      </c>
    </row>
    <row r="5485" spans="1:14" x14ac:dyDescent="0.3">
      <c r="A5485" s="114"/>
      <c r="B5485" s="114"/>
      <c r="C5485" s="114"/>
      <c r="D5485" s="114"/>
      <c r="E5485" s="114"/>
    </row>
    <row r="5488" spans="1:14" x14ac:dyDescent="0.3">
      <c r="A5488" t="s">
        <v>2582</v>
      </c>
      <c r="B5488" s="101" t="e">
        <f>+B5489*B5478</f>
        <v>#REF!</v>
      </c>
      <c r="C5488" s="101">
        <f>+C5489*C5478</f>
        <v>10.305011222158479</v>
      </c>
      <c r="D5488" s="101">
        <f>+D5489*D5478</f>
        <v>8.5339447204177805</v>
      </c>
      <c r="E5488" s="101">
        <f>+E5489*E5478</f>
        <v>12.061996218529208</v>
      </c>
    </row>
    <row r="5489" spans="1:6" x14ac:dyDescent="0.3">
      <c r="A5489" s="94" t="s">
        <v>2583</v>
      </c>
      <c r="B5489" s="657">
        <v>0.5</v>
      </c>
      <c r="C5489" s="657">
        <v>0.5</v>
      </c>
      <c r="D5489" s="657">
        <v>0.5</v>
      </c>
      <c r="E5489" s="657">
        <v>0.5</v>
      </c>
    </row>
    <row r="5491" spans="1:6" x14ac:dyDescent="0.3">
      <c r="A5491" t="s">
        <v>2584</v>
      </c>
      <c r="B5491" s="101" t="e">
        <f>+B5483-B5488</f>
        <v>#REF!</v>
      </c>
      <c r="C5491" s="101">
        <f>+C5483-C5488</f>
        <v>53.797165775939284</v>
      </c>
      <c r="D5491" s="101">
        <f>+D5483-D5488</f>
        <v>41.669320256442923</v>
      </c>
      <c r="E5491" s="101">
        <f>+E5483-E5488</f>
        <v>62.370186088167991</v>
      </c>
    </row>
    <row r="5492" spans="1:6" x14ac:dyDescent="0.3">
      <c r="A5492" s="94" t="s">
        <v>2585</v>
      </c>
      <c r="B5492" s="75" t="e">
        <f>+B5491/(B5480-B5478)</f>
        <v>#REF!</v>
      </c>
      <c r="C5492" s="75">
        <f>+C5491/(C5480-C5478)</f>
        <v>0.42517798194328438</v>
      </c>
      <c r="D5492" s="75">
        <f>+D5491/(D5480-D5478)</f>
        <v>0.38964293689982887</v>
      </c>
      <c r="E5492" s="75">
        <f>+E5491/(E5480-E5478)</f>
        <v>0.44971964186007085</v>
      </c>
    </row>
    <row r="5498" spans="1:6" x14ac:dyDescent="0.3">
      <c r="A5498" t="s">
        <v>2586</v>
      </c>
      <c r="B5498" s="101">
        <f>+Drivers!ED514</f>
        <v>81.519524246716372</v>
      </c>
      <c r="C5498" s="485">
        <v>47.529608928449228</v>
      </c>
      <c r="D5498" s="485">
        <v>42.326148885293939</v>
      </c>
      <c r="E5498" s="485">
        <v>40.803662405356398</v>
      </c>
      <c r="F5498" s="101">
        <f>+E5498-B5498</f>
        <v>-40.715861841359974</v>
      </c>
    </row>
    <row r="5499" spans="1:6" x14ac:dyDescent="0.3">
      <c r="B5499" s="101"/>
      <c r="C5499" s="485"/>
      <c r="D5499" s="485"/>
      <c r="E5499" s="485"/>
      <c r="F5499" s="101"/>
    </row>
    <row r="5500" spans="1:6" x14ac:dyDescent="0.3">
      <c r="A5500" t="s">
        <v>2587</v>
      </c>
      <c r="B5500" s="76" t="e">
        <f>+Drivers!#REF!</f>
        <v>#REF!</v>
      </c>
      <c r="C5500" s="701">
        <v>58477</v>
      </c>
      <c r="D5500" s="701">
        <v>46733</v>
      </c>
      <c r="E5500" s="701">
        <v>9816.5149999999994</v>
      </c>
      <c r="F5500" s="101"/>
    </row>
    <row r="5501" spans="1:6" x14ac:dyDescent="0.3">
      <c r="A5501" t="s">
        <v>2588</v>
      </c>
      <c r="B5501" s="76">
        <f>+Drivers!ED30</f>
        <v>2775</v>
      </c>
      <c r="C5501" s="701">
        <v>25476</v>
      </c>
      <c r="D5501" s="701">
        <v>18919</v>
      </c>
      <c r="E5501" s="701">
        <v>4487.8140000000012</v>
      </c>
    </row>
    <row r="5502" spans="1:6" x14ac:dyDescent="0.3">
      <c r="A5502" t="s">
        <v>2589</v>
      </c>
      <c r="B5502" s="76">
        <f>+Drivers!ED442+Drivers!ED431</f>
        <v>3537.3249999999998</v>
      </c>
      <c r="C5502" s="701">
        <v>33119</v>
      </c>
      <c r="D5502" s="701">
        <v>31404</v>
      </c>
      <c r="E5502" s="701">
        <v>5024.5</v>
      </c>
    </row>
    <row r="5503" spans="1:6" x14ac:dyDescent="0.3">
      <c r="A5503" t="s">
        <v>2384</v>
      </c>
      <c r="B5503" s="75" t="e">
        <f>+B5501/B5500</f>
        <v>#REF!</v>
      </c>
      <c r="C5503" s="75">
        <f>+C5501/C5500</f>
        <v>0.43565846401149172</v>
      </c>
      <c r="D5503" s="75">
        <f>+D5501/D5500</f>
        <v>0.40483170350715769</v>
      </c>
      <c r="E5503" s="75">
        <f>+E5501/E5500</f>
        <v>0.45716977970287842</v>
      </c>
    </row>
    <row r="5504" spans="1:6" x14ac:dyDescent="0.3">
      <c r="A5504" t="s">
        <v>2590</v>
      </c>
      <c r="B5504" s="378" t="e">
        <f>+B5500/B5502/12*1000</f>
        <v>#REF!</v>
      </c>
      <c r="C5504" s="378">
        <f>+C5500/C5502/12*1000</f>
        <v>147.13860120575299</v>
      </c>
      <c r="D5504" s="378">
        <f>+D5500/D5502/12*1000</f>
        <v>124.01021101345901</v>
      </c>
      <c r="E5504" s="378">
        <f>+E5500/E5502/12*1000</f>
        <v>162.81081036255679</v>
      </c>
    </row>
    <row r="5505" spans="1:14" x14ac:dyDescent="0.3">
      <c r="A5505" t="s">
        <v>2591</v>
      </c>
      <c r="B5505" s="378">
        <f>+B5501/B5502/12*1000</f>
        <v>65.374258797254996</v>
      </c>
      <c r="C5505" s="378">
        <f>+C5501/C5502/12*1000</f>
        <v>64.102176998097761</v>
      </c>
      <c r="D5505" s="378">
        <f>+D5501/D5502/12*1000</f>
        <v>50.203264976860702</v>
      </c>
      <c r="E5505" s="378">
        <f>+E5501/E5502/12*1000</f>
        <v>74.4321823066972</v>
      </c>
      <c r="F5505" s="101">
        <f>+E5505-B5505</f>
        <v>9.0579235094422046</v>
      </c>
    </row>
    <row r="5507" spans="1:14" x14ac:dyDescent="0.3">
      <c r="A5507" t="s">
        <v>2592</v>
      </c>
    </row>
    <row r="5509" spans="1:14" x14ac:dyDescent="0.3">
      <c r="A5509" t="s">
        <v>2593</v>
      </c>
      <c r="B5509" s="365" t="e">
        <f>+B5500-B5510-B5511</f>
        <v>#REF!</v>
      </c>
      <c r="C5509" s="365">
        <f>+C5500-C5510</f>
        <v>50286</v>
      </c>
      <c r="D5509" s="365">
        <f>+D5500-D5510</f>
        <v>40301</v>
      </c>
      <c r="E5509" s="365">
        <f>+E5500-E5510</f>
        <v>8361.9830000000002</v>
      </c>
    </row>
    <row r="5510" spans="1:14" x14ac:dyDescent="0.3">
      <c r="A5510" t="s">
        <v>1436</v>
      </c>
      <c r="B5510" s="76" t="e">
        <f>+Drivers!#REF!</f>
        <v>#REF!</v>
      </c>
      <c r="C5510" s="637">
        <v>8191</v>
      </c>
      <c r="D5510" s="637">
        <v>6432</v>
      </c>
      <c r="E5510" s="637">
        <v>1454.5319999999999</v>
      </c>
    </row>
    <row r="5511" spans="1:14" x14ac:dyDescent="0.3">
      <c r="A5511" t="s">
        <v>36</v>
      </c>
      <c r="B5511" s="76" t="e">
        <f>+Drivers!#REF!</f>
        <v>#REF!</v>
      </c>
      <c r="C5511" s="76"/>
      <c r="D5511" s="76"/>
      <c r="E5511" s="76"/>
    </row>
    <row r="5512" spans="1:14" x14ac:dyDescent="0.3">
      <c r="A5512" s="90" t="s">
        <v>19</v>
      </c>
      <c r="B5512" s="85" t="e">
        <f>+SUM(B5509:B5511)</f>
        <v>#REF!</v>
      </c>
      <c r="C5512" s="85">
        <f>+SUM(C5509:C5511)</f>
        <v>58477</v>
      </c>
      <c r="D5512" s="85">
        <f>+SUM(D5509:D5511)</f>
        <v>46733</v>
      </c>
      <c r="E5512" s="85">
        <f>+SUM(E5509:E5511)</f>
        <v>9816.5149999999994</v>
      </c>
    </row>
    <row r="5513" spans="1:14" x14ac:dyDescent="0.3">
      <c r="A5513" t="s">
        <v>2594</v>
      </c>
      <c r="B5513" s="76">
        <f>+Drivers!ED483</f>
        <v>577</v>
      </c>
      <c r="C5513" s="701">
        <v>13498</v>
      </c>
      <c r="D5513" s="701">
        <v>11401</v>
      </c>
      <c r="E5513" s="701">
        <v>2702</v>
      </c>
    </row>
    <row r="5514" spans="1:14" x14ac:dyDescent="0.3">
      <c r="A5514" t="s">
        <v>445</v>
      </c>
      <c r="B5514" s="76">
        <f>+Drivers!ED510</f>
        <v>3541</v>
      </c>
      <c r="C5514" s="701">
        <v>18406.149999999998</v>
      </c>
      <c r="D5514" s="701">
        <v>15541.4</v>
      </c>
      <c r="E5514" s="701">
        <v>2443.1580499999995</v>
      </c>
    </row>
    <row r="5515" spans="1:14" x14ac:dyDescent="0.3">
      <c r="A5515" t="s">
        <v>2595</v>
      </c>
      <c r="B5515" s="76" t="e">
        <f>+Drivers!#REF!</f>
        <v>#REF!</v>
      </c>
      <c r="C5515" s="701">
        <v>1625</v>
      </c>
      <c r="D5515" s="701">
        <v>2183</v>
      </c>
      <c r="E5515" s="701">
        <v>183.54295000000002</v>
      </c>
    </row>
    <row r="5516" spans="1:14" x14ac:dyDescent="0.3">
      <c r="A5516" s="90" t="s">
        <v>44</v>
      </c>
      <c r="B5516" s="76" t="e">
        <f>+B5512-SUM(B5513:B5515)</f>
        <v>#REF!</v>
      </c>
      <c r="C5516" s="76">
        <f>+C5501</f>
        <v>25476</v>
      </c>
      <c r="D5516" s="76">
        <f>+D5512-SUM(D5513:D5515)</f>
        <v>17607.599999999999</v>
      </c>
      <c r="E5516" s="76">
        <f>+E5512-SUM(E5513:E5515)</f>
        <v>4487.8139999999994</v>
      </c>
    </row>
    <row r="5519" spans="1:14" x14ac:dyDescent="0.3">
      <c r="A5519" s="627" t="s">
        <v>2596</v>
      </c>
      <c r="B5519" s="627"/>
      <c r="C5519" s="627"/>
      <c r="D5519" s="627"/>
      <c r="E5519" s="627"/>
      <c r="F5519" s="627"/>
      <c r="G5519" s="627"/>
      <c r="H5519" s="627"/>
      <c r="I5519" s="627"/>
      <c r="J5519" s="627"/>
      <c r="K5519" s="627"/>
      <c r="L5519" s="627"/>
      <c r="M5519" s="627"/>
      <c r="N5519" s="627"/>
    </row>
    <row r="5521" spans="1:11" x14ac:dyDescent="0.3">
      <c r="A5521" s="1813" t="s">
        <v>2597</v>
      </c>
      <c r="B5521" s="872"/>
      <c r="C5521" s="1851" t="s">
        <v>2598</v>
      </c>
      <c r="D5521" s="1851">
        <v>0</v>
      </c>
      <c r="E5521" s="1851">
        <v>0</v>
      </c>
      <c r="F5521" s="1851">
        <v>0</v>
      </c>
      <c r="G5521" s="1814"/>
      <c r="H5521" s="1852" t="s">
        <v>2599</v>
      </c>
      <c r="I5521" s="1852">
        <v>0</v>
      </c>
      <c r="J5521" s="1852">
        <v>0</v>
      </c>
      <c r="K5521" s="1852">
        <v>0</v>
      </c>
    </row>
    <row r="5522" spans="1:11" ht="24" x14ac:dyDescent="0.3">
      <c r="A5522" s="722"/>
      <c r="B5522" s="722" t="s">
        <v>2600</v>
      </c>
      <c r="C5522" s="723" t="s">
        <v>2601</v>
      </c>
      <c r="D5522" s="723" t="s">
        <v>2602</v>
      </c>
      <c r="E5522" s="723" t="s">
        <v>2603</v>
      </c>
      <c r="F5522" s="723" t="s">
        <v>266</v>
      </c>
      <c r="G5522" s="716"/>
      <c r="H5522" s="715" t="s">
        <v>2601</v>
      </c>
      <c r="I5522" s="715" t="s">
        <v>2602</v>
      </c>
      <c r="J5522" s="715" t="s">
        <v>2603</v>
      </c>
      <c r="K5522" s="715" t="s">
        <v>266</v>
      </c>
    </row>
    <row r="5523" spans="1:11" x14ac:dyDescent="0.3">
      <c r="A5523" s="724">
        <v>1</v>
      </c>
      <c r="B5523" s="725" t="s">
        <v>2604</v>
      </c>
      <c r="C5523" s="719">
        <v>0</v>
      </c>
      <c r="D5523" s="719">
        <v>0</v>
      </c>
      <c r="E5523" s="719">
        <v>6384</v>
      </c>
      <c r="F5523" s="720">
        <v>32103</v>
      </c>
      <c r="G5523" s="1"/>
      <c r="H5523" s="189">
        <f>+C5523/$F5523</f>
        <v>0</v>
      </c>
      <c r="I5523" s="189">
        <f>+D5523/$F5523</f>
        <v>0</v>
      </c>
      <c r="J5523" s="189">
        <f>+E5523/$F5523</f>
        <v>0.19885991963367911</v>
      </c>
      <c r="K5523" s="717">
        <f>+F5523/$F5523</f>
        <v>1</v>
      </c>
    </row>
    <row r="5524" spans="1:11" x14ac:dyDescent="0.3">
      <c r="A5524" s="724">
        <v>2</v>
      </c>
      <c r="B5524" s="725" t="s">
        <v>2605</v>
      </c>
      <c r="C5524" s="719">
        <v>21870</v>
      </c>
      <c r="D5524" s="719">
        <v>37046</v>
      </c>
      <c r="E5524" s="719">
        <v>65698</v>
      </c>
      <c r="F5524" s="720">
        <v>114669</v>
      </c>
      <c r="G5524" s="1"/>
      <c r="H5524" s="189">
        <f t="shared" ref="H5524:K5549" si="1576">+C5524/$F5524</f>
        <v>0.19072286319755122</v>
      </c>
      <c r="I5524" s="189">
        <f t="shared" si="1576"/>
        <v>0.32306900731671157</v>
      </c>
      <c r="J5524" s="189">
        <f t="shared" si="1576"/>
        <v>0.57293601583688702</v>
      </c>
      <c r="K5524" s="717">
        <f t="shared" si="1576"/>
        <v>1</v>
      </c>
    </row>
    <row r="5525" spans="1:11" x14ac:dyDescent="0.3">
      <c r="A5525" s="724">
        <v>3</v>
      </c>
      <c r="B5525" s="725" t="s">
        <v>2606</v>
      </c>
      <c r="C5525" s="719">
        <v>923245</v>
      </c>
      <c r="D5525" s="719">
        <v>1245834</v>
      </c>
      <c r="E5525" s="719">
        <v>1545079</v>
      </c>
      <c r="F5525" s="720">
        <v>1935099</v>
      </c>
      <c r="G5525" s="1"/>
      <c r="H5525" s="189">
        <f t="shared" si="1576"/>
        <v>0.47710478895395014</v>
      </c>
      <c r="I5525" s="189">
        <f t="shared" si="1576"/>
        <v>0.64380892140402124</v>
      </c>
      <c r="J5525" s="189">
        <f t="shared" si="1576"/>
        <v>0.7984495883673135</v>
      </c>
      <c r="K5525" s="717">
        <f t="shared" si="1576"/>
        <v>1</v>
      </c>
    </row>
    <row r="5526" spans="1:11" x14ac:dyDescent="0.3">
      <c r="A5526" s="724">
        <v>4</v>
      </c>
      <c r="B5526" s="725" t="s">
        <v>2607</v>
      </c>
      <c r="C5526" s="719">
        <v>434233</v>
      </c>
      <c r="D5526" s="719">
        <v>665918</v>
      </c>
      <c r="E5526" s="719">
        <v>778492</v>
      </c>
      <c r="F5526" s="720">
        <v>822430</v>
      </c>
      <c r="G5526" s="1"/>
      <c r="H5526" s="189">
        <f t="shared" si="1576"/>
        <v>0.52798779227411452</v>
      </c>
      <c r="I5526" s="189">
        <f t="shared" si="1576"/>
        <v>0.80969565798912979</v>
      </c>
      <c r="J5526" s="189">
        <f t="shared" si="1576"/>
        <v>0.94657539243461453</v>
      </c>
      <c r="K5526" s="717">
        <f t="shared" si="1576"/>
        <v>1</v>
      </c>
    </row>
    <row r="5527" spans="1:11" x14ac:dyDescent="0.3">
      <c r="A5527" s="724">
        <v>5</v>
      </c>
      <c r="B5527" s="725" t="s">
        <v>2608</v>
      </c>
      <c r="C5527" s="719">
        <v>544699</v>
      </c>
      <c r="D5527" s="719">
        <v>801948</v>
      </c>
      <c r="E5527" s="719">
        <v>1002694</v>
      </c>
      <c r="F5527" s="720">
        <v>1079849</v>
      </c>
      <c r="G5527" s="1"/>
      <c r="H5527" s="189">
        <f t="shared" si="1576"/>
        <v>0.50442145151775852</v>
      </c>
      <c r="I5527" s="189">
        <f t="shared" si="1576"/>
        <v>0.74264827767586028</v>
      </c>
      <c r="J5527" s="189">
        <f t="shared" si="1576"/>
        <v>0.92855019544399264</v>
      </c>
      <c r="K5527" s="717">
        <f t="shared" si="1576"/>
        <v>1</v>
      </c>
    </row>
    <row r="5528" spans="1:11" x14ac:dyDescent="0.3">
      <c r="A5528" s="724">
        <v>6</v>
      </c>
      <c r="B5528" s="725" t="s">
        <v>2609</v>
      </c>
      <c r="C5528" s="719">
        <v>16461</v>
      </c>
      <c r="D5528" s="719">
        <v>20477</v>
      </c>
      <c r="E5528" s="719">
        <v>28005</v>
      </c>
      <c r="F5528" s="720">
        <v>31388</v>
      </c>
      <c r="G5528" s="1"/>
      <c r="H5528" s="189">
        <f t="shared" si="1576"/>
        <v>0.52443609022556392</v>
      </c>
      <c r="I5528" s="189">
        <f t="shared" si="1576"/>
        <v>0.65238307633490511</v>
      </c>
      <c r="J5528" s="189">
        <f t="shared" si="1576"/>
        <v>0.89221995667133935</v>
      </c>
      <c r="K5528" s="717">
        <f t="shared" si="1576"/>
        <v>1</v>
      </c>
    </row>
    <row r="5529" spans="1:11" x14ac:dyDescent="0.3">
      <c r="A5529" s="724">
        <v>7</v>
      </c>
      <c r="B5529" s="725" t="s">
        <v>2610</v>
      </c>
      <c r="C5529" s="719">
        <v>238594</v>
      </c>
      <c r="D5529" s="719">
        <v>410163</v>
      </c>
      <c r="E5529" s="719">
        <v>620169</v>
      </c>
      <c r="F5529" s="720">
        <v>686816</v>
      </c>
      <c r="G5529" s="1"/>
      <c r="H5529" s="189">
        <f t="shared" si="1576"/>
        <v>0.3473914410846573</v>
      </c>
      <c r="I5529" s="189">
        <f t="shared" si="1576"/>
        <v>0.59719488188976377</v>
      </c>
      <c r="J5529" s="189">
        <f t="shared" si="1576"/>
        <v>0.90296236546615105</v>
      </c>
      <c r="K5529" s="717">
        <f t="shared" si="1576"/>
        <v>1</v>
      </c>
    </row>
    <row r="5530" spans="1:11" x14ac:dyDescent="0.3">
      <c r="A5530" s="724">
        <v>8</v>
      </c>
      <c r="B5530" s="725" t="s">
        <v>2611</v>
      </c>
      <c r="C5530" s="719">
        <v>9354</v>
      </c>
      <c r="D5530" s="719">
        <v>24193</v>
      </c>
      <c r="E5530" s="719">
        <v>39320</v>
      </c>
      <c r="F5530" s="720">
        <v>72811</v>
      </c>
      <c r="G5530" s="1"/>
      <c r="H5530" s="189">
        <f t="shared" si="1576"/>
        <v>0.12846959937372102</v>
      </c>
      <c r="I5530" s="189">
        <f t="shared" si="1576"/>
        <v>0.33227122275480353</v>
      </c>
      <c r="J5530" s="189">
        <f t="shared" si="1576"/>
        <v>0.54002829242834183</v>
      </c>
      <c r="K5530" s="717">
        <f t="shared" si="1576"/>
        <v>1</v>
      </c>
    </row>
    <row r="5531" spans="1:11" x14ac:dyDescent="0.3">
      <c r="A5531" s="724">
        <v>9</v>
      </c>
      <c r="B5531" s="725" t="s">
        <v>2612</v>
      </c>
      <c r="C5531" s="719">
        <v>88193</v>
      </c>
      <c r="D5531" s="719">
        <v>239012</v>
      </c>
      <c r="E5531" s="719">
        <v>389217</v>
      </c>
      <c r="F5531" s="720">
        <v>622820</v>
      </c>
      <c r="G5531" s="1"/>
      <c r="H5531" s="189">
        <f t="shared" si="1576"/>
        <v>0.14160271025336374</v>
      </c>
      <c r="I5531" s="189">
        <f t="shared" si="1576"/>
        <v>0.38375774702161136</v>
      </c>
      <c r="J5531" s="189">
        <f t="shared" si="1576"/>
        <v>0.62492694518480463</v>
      </c>
      <c r="K5531" s="717">
        <f t="shared" si="1576"/>
        <v>1</v>
      </c>
    </row>
    <row r="5532" spans="1:11" x14ac:dyDescent="0.3">
      <c r="A5532" s="724">
        <v>10</v>
      </c>
      <c r="B5532" s="725" t="s">
        <v>2613</v>
      </c>
      <c r="C5532" s="719">
        <v>77746</v>
      </c>
      <c r="D5532" s="719">
        <v>245594</v>
      </c>
      <c r="E5532" s="719">
        <v>455318</v>
      </c>
      <c r="F5532" s="720">
        <v>658120</v>
      </c>
      <c r="G5532" s="1"/>
      <c r="H5532" s="189">
        <f t="shared" si="1576"/>
        <v>0.11813347109949553</v>
      </c>
      <c r="I5532" s="189">
        <f t="shared" si="1576"/>
        <v>0.37317510484410138</v>
      </c>
      <c r="J5532" s="189">
        <f t="shared" si="1576"/>
        <v>0.69184647176806657</v>
      </c>
      <c r="K5532" s="717">
        <f t="shared" si="1576"/>
        <v>1</v>
      </c>
    </row>
    <row r="5533" spans="1:11" x14ac:dyDescent="0.3">
      <c r="A5533" s="724">
        <v>11</v>
      </c>
      <c r="B5533" s="725" t="s">
        <v>2614</v>
      </c>
      <c r="C5533" s="719">
        <v>7781</v>
      </c>
      <c r="D5533" s="719">
        <v>47101</v>
      </c>
      <c r="E5533" s="719">
        <v>188857</v>
      </c>
      <c r="F5533" s="720">
        <v>300021</v>
      </c>
      <c r="G5533" s="1"/>
      <c r="H5533" s="189">
        <f t="shared" si="1576"/>
        <v>2.5934851227080773E-2</v>
      </c>
      <c r="I5533" s="189">
        <f t="shared" si="1576"/>
        <v>0.15699234386926247</v>
      </c>
      <c r="J5533" s="189">
        <f t="shared" si="1576"/>
        <v>0.62947926978444846</v>
      </c>
      <c r="K5533" s="717">
        <f t="shared" si="1576"/>
        <v>1</v>
      </c>
    </row>
    <row r="5534" spans="1:11" x14ac:dyDescent="0.3">
      <c r="A5534" s="724">
        <v>12</v>
      </c>
      <c r="B5534" s="725" t="s">
        <v>2615</v>
      </c>
      <c r="C5534" s="719">
        <v>3963</v>
      </c>
      <c r="D5534" s="719">
        <v>3963</v>
      </c>
      <c r="E5534" s="719">
        <v>8366</v>
      </c>
      <c r="F5534" s="720">
        <v>11863</v>
      </c>
      <c r="G5534" s="1"/>
      <c r="H5534" s="189">
        <f t="shared" si="1576"/>
        <v>0.33406389614768606</v>
      </c>
      <c r="I5534" s="189">
        <f t="shared" si="1576"/>
        <v>0.33406389614768606</v>
      </c>
      <c r="J5534" s="189">
        <f t="shared" si="1576"/>
        <v>0.70521790440866561</v>
      </c>
      <c r="K5534" s="717">
        <f t="shared" si="1576"/>
        <v>1</v>
      </c>
    </row>
    <row r="5535" spans="1:11" x14ac:dyDescent="0.3">
      <c r="A5535" s="724">
        <v>13</v>
      </c>
      <c r="B5535" s="725" t="s">
        <v>2616</v>
      </c>
      <c r="C5535" s="719">
        <v>6861</v>
      </c>
      <c r="D5535" s="719">
        <v>15150</v>
      </c>
      <c r="E5535" s="719">
        <v>31984</v>
      </c>
      <c r="F5535" s="720">
        <v>61400</v>
      </c>
      <c r="G5535" s="1"/>
      <c r="H5535" s="189">
        <f t="shared" si="1576"/>
        <v>0.11174267100977199</v>
      </c>
      <c r="I5535" s="189">
        <f t="shared" si="1576"/>
        <v>0.24674267100977199</v>
      </c>
      <c r="J5535" s="189">
        <f t="shared" si="1576"/>
        <v>0.52091205211726388</v>
      </c>
      <c r="K5535" s="717">
        <f t="shared" si="1576"/>
        <v>1</v>
      </c>
    </row>
    <row r="5536" spans="1:11" x14ac:dyDescent="0.3">
      <c r="A5536" s="724">
        <v>14</v>
      </c>
      <c r="B5536" s="725" t="s">
        <v>2617</v>
      </c>
      <c r="C5536" s="719">
        <v>4019</v>
      </c>
      <c r="D5536" s="719">
        <v>7453</v>
      </c>
      <c r="E5536" s="719">
        <v>19355</v>
      </c>
      <c r="F5536" s="720">
        <v>50817</v>
      </c>
      <c r="G5536" s="1"/>
      <c r="H5536" s="189">
        <f t="shared" si="1576"/>
        <v>7.9087706869748309E-2</v>
      </c>
      <c r="I5536" s="189">
        <f t="shared" si="1576"/>
        <v>0.14666351811401696</v>
      </c>
      <c r="J5536" s="189">
        <f t="shared" si="1576"/>
        <v>0.38087647834386129</v>
      </c>
      <c r="K5536" s="717">
        <f t="shared" si="1576"/>
        <v>1</v>
      </c>
    </row>
    <row r="5537" spans="1:11" x14ac:dyDescent="0.3">
      <c r="A5537" s="724">
        <v>15</v>
      </c>
      <c r="B5537" s="725" t="s">
        <v>2618</v>
      </c>
      <c r="C5537" s="719">
        <v>4333</v>
      </c>
      <c r="D5537" s="719">
        <v>8523</v>
      </c>
      <c r="E5537" s="719">
        <v>17523</v>
      </c>
      <c r="F5537" s="720">
        <v>23555</v>
      </c>
      <c r="G5537" s="1"/>
      <c r="H5537" s="189">
        <f t="shared" si="1576"/>
        <v>0.18395245170876673</v>
      </c>
      <c r="I5537" s="189">
        <f t="shared" si="1576"/>
        <v>0.36183400551899808</v>
      </c>
      <c r="J5537" s="189">
        <f t="shared" si="1576"/>
        <v>0.74391848864360011</v>
      </c>
      <c r="K5537" s="717">
        <f t="shared" si="1576"/>
        <v>1</v>
      </c>
    </row>
    <row r="5538" spans="1:11" x14ac:dyDescent="0.3">
      <c r="A5538" s="724">
        <v>16</v>
      </c>
      <c r="B5538" s="725" t="s">
        <v>2619</v>
      </c>
      <c r="C5538" s="719">
        <v>93634</v>
      </c>
      <c r="D5538" s="719">
        <v>239395</v>
      </c>
      <c r="E5538" s="719">
        <v>514337</v>
      </c>
      <c r="F5538" s="720">
        <v>710615</v>
      </c>
      <c r="G5538" s="1"/>
      <c r="H5538" s="189">
        <f t="shared" si="1576"/>
        <v>0.13176473899368857</v>
      </c>
      <c r="I5538" s="189">
        <f t="shared" si="1576"/>
        <v>0.33688424815124929</v>
      </c>
      <c r="J5538" s="189">
        <f t="shared" si="1576"/>
        <v>0.72379136381866416</v>
      </c>
      <c r="K5538" s="717">
        <f t="shared" si="1576"/>
        <v>1</v>
      </c>
    </row>
    <row r="5539" spans="1:11" x14ac:dyDescent="0.3">
      <c r="A5539" s="724">
        <v>17</v>
      </c>
      <c r="B5539" s="725" t="s">
        <v>2620</v>
      </c>
      <c r="C5539" s="719">
        <v>53341</v>
      </c>
      <c r="D5539" s="719">
        <v>98526</v>
      </c>
      <c r="E5539" s="719">
        <v>252613</v>
      </c>
      <c r="F5539" s="720">
        <v>326386</v>
      </c>
      <c r="G5539" s="1"/>
      <c r="H5539" s="189">
        <f t="shared" si="1576"/>
        <v>0.16342919120305405</v>
      </c>
      <c r="I5539" s="189">
        <f t="shared" si="1576"/>
        <v>0.30186956548381366</v>
      </c>
      <c r="J5539" s="189">
        <f t="shared" si="1576"/>
        <v>0.77397008450117344</v>
      </c>
      <c r="K5539" s="717">
        <f t="shared" si="1576"/>
        <v>1</v>
      </c>
    </row>
    <row r="5540" spans="1:11" x14ac:dyDescent="0.3">
      <c r="A5540" s="724">
        <v>18</v>
      </c>
      <c r="B5540" s="725" t="s">
        <v>2621</v>
      </c>
      <c r="C5540" s="719">
        <v>191640</v>
      </c>
      <c r="D5540" s="719">
        <v>378007</v>
      </c>
      <c r="E5540" s="719">
        <v>740082</v>
      </c>
      <c r="F5540" s="720">
        <v>989029</v>
      </c>
      <c r="G5540" s="1"/>
      <c r="H5540" s="189">
        <f t="shared" si="1576"/>
        <v>0.19376580464273546</v>
      </c>
      <c r="I5540" s="189">
        <f t="shared" si="1576"/>
        <v>0.38220011748897148</v>
      </c>
      <c r="J5540" s="189">
        <f t="shared" si="1576"/>
        <v>0.74829150611357198</v>
      </c>
      <c r="K5540" s="717">
        <f t="shared" si="1576"/>
        <v>1</v>
      </c>
    </row>
    <row r="5541" spans="1:11" x14ac:dyDescent="0.3">
      <c r="A5541" s="724">
        <v>19</v>
      </c>
      <c r="B5541" s="725" t="s">
        <v>2622</v>
      </c>
      <c r="C5541" s="719">
        <v>72818</v>
      </c>
      <c r="D5541" s="719">
        <v>146764</v>
      </c>
      <c r="E5541" s="719">
        <v>216362</v>
      </c>
      <c r="F5541" s="720">
        <v>279893</v>
      </c>
      <c r="G5541" s="1"/>
      <c r="H5541" s="189">
        <f t="shared" si="1576"/>
        <v>0.26016370541599826</v>
      </c>
      <c r="I5541" s="189">
        <f t="shared" si="1576"/>
        <v>0.52435752233889377</v>
      </c>
      <c r="J5541" s="189">
        <f t="shared" si="1576"/>
        <v>0.7730168314320115</v>
      </c>
      <c r="K5541" s="717">
        <f t="shared" si="1576"/>
        <v>1</v>
      </c>
    </row>
    <row r="5542" spans="1:11" x14ac:dyDescent="0.3">
      <c r="A5542" s="724">
        <v>20</v>
      </c>
      <c r="B5542" s="725" t="s">
        <v>2623</v>
      </c>
      <c r="C5542" s="719">
        <v>26225</v>
      </c>
      <c r="D5542" s="719">
        <v>51476</v>
      </c>
      <c r="E5542" s="719">
        <v>102737</v>
      </c>
      <c r="F5542" s="720">
        <v>151616</v>
      </c>
      <c r="G5542" s="1"/>
      <c r="H5542" s="189">
        <f t="shared" si="1576"/>
        <v>0.17296987125369354</v>
      </c>
      <c r="I5542" s="189">
        <f t="shared" si="1576"/>
        <v>0.33951561840439004</v>
      </c>
      <c r="J5542" s="189">
        <f t="shared" si="1576"/>
        <v>0.67761318066694809</v>
      </c>
      <c r="K5542" s="717">
        <f t="shared" si="1576"/>
        <v>1</v>
      </c>
    </row>
    <row r="5543" spans="1:11" x14ac:dyDescent="0.3">
      <c r="A5543" s="724">
        <v>21</v>
      </c>
      <c r="B5543" s="725" t="s">
        <v>2624</v>
      </c>
      <c r="C5543" s="719">
        <v>19644</v>
      </c>
      <c r="D5543" s="719">
        <v>28857</v>
      </c>
      <c r="E5543" s="719">
        <v>35791</v>
      </c>
      <c r="F5543" s="720">
        <v>74172</v>
      </c>
      <c r="G5543" s="1"/>
      <c r="H5543" s="189">
        <f t="shared" si="1576"/>
        <v>0.2648438763954053</v>
      </c>
      <c r="I5543" s="189">
        <f t="shared" si="1576"/>
        <v>0.38905516906649412</v>
      </c>
      <c r="J5543" s="189">
        <f t="shared" si="1576"/>
        <v>0.48254058135145339</v>
      </c>
      <c r="K5543" s="717">
        <f t="shared" si="1576"/>
        <v>1</v>
      </c>
    </row>
    <row r="5544" spans="1:11" x14ac:dyDescent="0.3">
      <c r="A5544" s="724">
        <v>22</v>
      </c>
      <c r="B5544" s="725" t="s">
        <v>2625</v>
      </c>
      <c r="C5544" s="719">
        <v>109753</v>
      </c>
      <c r="D5544" s="719">
        <v>217987</v>
      </c>
      <c r="E5544" s="719">
        <v>424650</v>
      </c>
      <c r="F5544" s="720">
        <v>665416</v>
      </c>
      <c r="G5544" s="1"/>
      <c r="H5544" s="189">
        <f t="shared" si="1576"/>
        <v>0.16493892542409561</v>
      </c>
      <c r="I5544" s="189">
        <f t="shared" si="1576"/>
        <v>0.32759506834822127</v>
      </c>
      <c r="J5544" s="189">
        <f t="shared" si="1576"/>
        <v>0.63817221106796351</v>
      </c>
      <c r="K5544" s="717">
        <f t="shared" si="1576"/>
        <v>1</v>
      </c>
    </row>
    <row r="5545" spans="1:11" x14ac:dyDescent="0.3">
      <c r="A5545" s="724">
        <v>23</v>
      </c>
      <c r="B5545" s="725" t="s">
        <v>2626</v>
      </c>
      <c r="C5545" s="719">
        <v>7394</v>
      </c>
      <c r="D5545" s="719">
        <v>12824</v>
      </c>
      <c r="E5545" s="719">
        <v>24188</v>
      </c>
      <c r="F5545" s="720">
        <v>24629</v>
      </c>
      <c r="G5545" s="1"/>
      <c r="H5545" s="189">
        <f t="shared" si="1576"/>
        <v>0.30021519347111131</v>
      </c>
      <c r="I5545" s="189">
        <f t="shared" si="1576"/>
        <v>0.52068699500588733</v>
      </c>
      <c r="J5545" s="189">
        <f t="shared" si="1576"/>
        <v>0.98209427910187175</v>
      </c>
      <c r="K5545" s="717">
        <f t="shared" si="1576"/>
        <v>1</v>
      </c>
    </row>
    <row r="5546" spans="1:11" x14ac:dyDescent="0.3">
      <c r="A5546" s="724">
        <v>24</v>
      </c>
      <c r="B5546" s="725" t="s">
        <v>2627</v>
      </c>
      <c r="C5546" s="719">
        <v>2152</v>
      </c>
      <c r="D5546" s="719">
        <v>3273</v>
      </c>
      <c r="E5546" s="719">
        <v>3273</v>
      </c>
      <c r="F5546" s="720">
        <v>3273</v>
      </c>
      <c r="G5546" s="1"/>
      <c r="H5546" s="189">
        <f t="shared" si="1576"/>
        <v>0.65750076382523681</v>
      </c>
      <c r="I5546" s="189">
        <f t="shared" si="1576"/>
        <v>1</v>
      </c>
      <c r="J5546" s="189">
        <f t="shared" si="1576"/>
        <v>1</v>
      </c>
      <c r="K5546" s="717">
        <f t="shared" si="1576"/>
        <v>1</v>
      </c>
    </row>
    <row r="5547" spans="1:11" x14ac:dyDescent="0.3">
      <c r="A5547" s="724">
        <v>25</v>
      </c>
      <c r="B5547" s="725" t="s">
        <v>2628</v>
      </c>
      <c r="C5547" s="719">
        <v>107992</v>
      </c>
      <c r="D5547" s="719">
        <v>246597</v>
      </c>
      <c r="E5547" s="719">
        <v>453190</v>
      </c>
      <c r="F5547" s="720">
        <v>558185</v>
      </c>
      <c r="G5547" s="1"/>
      <c r="H5547" s="189">
        <f t="shared" si="1576"/>
        <v>0.19346990693049795</v>
      </c>
      <c r="I5547" s="189">
        <f t="shared" si="1576"/>
        <v>0.44178363804115123</v>
      </c>
      <c r="J5547" s="189">
        <f t="shared" si="1576"/>
        <v>0.81189928070442596</v>
      </c>
      <c r="K5547" s="717">
        <f t="shared" si="1576"/>
        <v>1</v>
      </c>
    </row>
    <row r="5548" spans="1:11" x14ac:dyDescent="0.3">
      <c r="A5548" s="724">
        <v>26</v>
      </c>
      <c r="B5548" s="725" t="s">
        <v>2629</v>
      </c>
      <c r="C5548" s="719">
        <v>60175</v>
      </c>
      <c r="D5548" s="719">
        <v>155586</v>
      </c>
      <c r="E5548" s="719">
        <v>285870</v>
      </c>
      <c r="F5548" s="720">
        <v>346075</v>
      </c>
      <c r="G5548" s="1"/>
      <c r="H5548" s="189">
        <f t="shared" si="1576"/>
        <v>0.17387849454597992</v>
      </c>
      <c r="I5548" s="189">
        <f t="shared" si="1576"/>
        <v>0.44957306942136821</v>
      </c>
      <c r="J5548" s="189">
        <f t="shared" si="1576"/>
        <v>0.82603481904211518</v>
      </c>
      <c r="K5548" s="717">
        <f t="shared" si="1576"/>
        <v>1</v>
      </c>
    </row>
    <row r="5549" spans="1:11" x14ac:dyDescent="0.3">
      <c r="A5549" s="726"/>
      <c r="B5549" s="726" t="s">
        <v>266</v>
      </c>
      <c r="C5549" s="1815">
        <f>+SUM(C5523:C5548)</f>
        <v>3126120</v>
      </c>
      <c r="D5549" s="1815">
        <f>+SUM(D5523:D5548)</f>
        <v>5351667</v>
      </c>
      <c r="E5549" s="1815">
        <f>+SUM(E5523:E5548)</f>
        <v>8249554</v>
      </c>
      <c r="F5549" s="1815">
        <f>+SUM(F5523:F5548)</f>
        <v>10633050</v>
      </c>
      <c r="G5549" s="1"/>
      <c r="H5549" s="1816">
        <f t="shared" si="1576"/>
        <v>0.29400031035309721</v>
      </c>
      <c r="I5549" s="1816">
        <f t="shared" si="1576"/>
        <v>0.503304978345818</v>
      </c>
      <c r="J5549" s="1816">
        <f t="shared" si="1576"/>
        <v>0.77584079826578456</v>
      </c>
      <c r="K5549" s="1816">
        <f t="shared" si="1576"/>
        <v>1</v>
      </c>
    </row>
    <row r="5550" spans="1:11" x14ac:dyDescent="0.3">
      <c r="A5550" s="714"/>
      <c r="B5550" s="718"/>
      <c r="C5550" s="714"/>
      <c r="D5550" s="714"/>
      <c r="E5550" s="714"/>
      <c r="F5550" s="714"/>
      <c r="G5550" s="714"/>
      <c r="H5550" s="714"/>
      <c r="I5550" s="714"/>
      <c r="J5550" s="714"/>
      <c r="K5550" s="716"/>
    </row>
    <row r="5553" spans="1:7" x14ac:dyDescent="0.3">
      <c r="A5553" s="141" t="s">
        <v>2630</v>
      </c>
      <c r="G5553">
        <f>+A5548-A5555</f>
        <v>15</v>
      </c>
    </row>
    <row r="5554" spans="1:7" ht="36" x14ac:dyDescent="0.3">
      <c r="A5554" s="457" t="s">
        <v>2597</v>
      </c>
      <c r="B5554" s="383" t="s">
        <v>271</v>
      </c>
      <c r="C5554" s="383" t="s">
        <v>2631</v>
      </c>
    </row>
    <row r="5555" spans="1:7" x14ac:dyDescent="0.3">
      <c r="A5555" s="368">
        <f>+COUNTIF(E5523:E5548,"&lt;100000")</f>
        <v>11</v>
      </c>
      <c r="B5555" s="76">
        <f>+SUMIF($E$5523:$E$5548,"&lt;100000",E5523:E5548)/1000</f>
        <v>279.887</v>
      </c>
      <c r="C5555" s="76">
        <f>+SUMIF($E$5523:$E$5548,"&lt;100000",F5523:F5548)/1000</f>
        <v>500.68</v>
      </c>
    </row>
    <row r="5556" spans="1:7" x14ac:dyDescent="0.3">
      <c r="A5556" t="s">
        <v>2632</v>
      </c>
      <c r="B5556" s="721" t="e">
        <f>+$B$5323</f>
        <v>#REF!</v>
      </c>
      <c r="C5556" s="721">
        <f>+B5320</f>
        <v>896.32295896055837</v>
      </c>
      <c r="F5556" s="474"/>
    </row>
    <row r="5557" spans="1:7" x14ac:dyDescent="0.3">
      <c r="A5557" s="90" t="s">
        <v>2633</v>
      </c>
      <c r="B5557" s="381" t="e">
        <f>+B5555*B5556/1000</f>
        <v>#REF!</v>
      </c>
      <c r="C5557" s="381">
        <f>+C5555*C5556/1000</f>
        <v>448.77097909237233</v>
      </c>
      <c r="E5557" s="76" t="e">
        <f>+B5557-C5557</f>
        <v>#REF!</v>
      </c>
      <c r="F5557" s="480"/>
    </row>
    <row r="5558" spans="1:7" x14ac:dyDescent="0.3">
      <c r="A5558" s="522"/>
      <c r="B5558" s="100"/>
      <c r="C5558" s="100"/>
    </row>
    <row r="5559" spans="1:7" x14ac:dyDescent="0.3">
      <c r="A5559" s="90"/>
      <c r="B5559" s="85"/>
      <c r="C5559" s="85"/>
    </row>
    <row r="5560" spans="1:7" x14ac:dyDescent="0.3">
      <c r="A5560" s="635" t="s">
        <v>2634</v>
      </c>
      <c r="B5560" s="635"/>
      <c r="C5560" s="635"/>
    </row>
    <row r="5561" spans="1:7" x14ac:dyDescent="0.3">
      <c r="A5561" s="374"/>
      <c r="B5561" s="383" t="s">
        <v>628</v>
      </c>
      <c r="C5561" s="383" t="s">
        <v>629</v>
      </c>
      <c r="D5561" s="374" t="s">
        <v>266</v>
      </c>
      <c r="F5561" t="s">
        <v>2635</v>
      </c>
      <c r="G5561" t="s">
        <v>2636</v>
      </c>
    </row>
    <row r="5562" spans="1:7" x14ac:dyDescent="0.3">
      <c r="A5562" s="90" t="s">
        <v>324</v>
      </c>
      <c r="B5562" s="76">
        <f>+B5555</f>
        <v>279.887</v>
      </c>
      <c r="C5562" s="76">
        <f>+D5562-B5562</f>
        <v>220.79300000000001</v>
      </c>
      <c r="D5562" s="76">
        <f>+C5555</f>
        <v>500.68</v>
      </c>
      <c r="F5562" s="76">
        <f>+D5562</f>
        <v>500.68</v>
      </c>
    </row>
    <row r="5563" spans="1:7" x14ac:dyDescent="0.3">
      <c r="A5563" t="s">
        <v>2632</v>
      </c>
      <c r="B5563" s="721" t="e">
        <f>+$B$5323</f>
        <v>#REF!</v>
      </c>
      <c r="C5563" s="721">
        <f>+C5556</f>
        <v>896.32295896055837</v>
      </c>
      <c r="D5563" s="721" t="e">
        <f>+D5564/D5562*1000</f>
        <v>#REF!</v>
      </c>
      <c r="F5563" s="474">
        <f>+C5563</f>
        <v>896.32295896055837</v>
      </c>
    </row>
    <row r="5564" spans="1:7" x14ac:dyDescent="0.3">
      <c r="A5564" s="90" t="s">
        <v>2633</v>
      </c>
      <c r="B5564" s="803" t="e">
        <f>+B5562*B5563/1000</f>
        <v>#REF!</v>
      </c>
      <c r="C5564" s="803">
        <f>+C5562*C5563/1000</f>
        <v>197.90183507777857</v>
      </c>
      <c r="D5564" s="803" t="e">
        <f>+SUM(B5564:C5564)</f>
        <v>#REF!</v>
      </c>
      <c r="F5564" s="803">
        <f>+F5562*F5563/1000</f>
        <v>448.77097909237233</v>
      </c>
      <c r="G5564" s="85" t="e">
        <f>+D5564-F5564</f>
        <v>#REF!</v>
      </c>
    </row>
    <row r="5565" spans="1:7" x14ac:dyDescent="0.3">
      <c r="A5565" s="522"/>
      <c r="B5565" s="100"/>
      <c r="C5565" s="100"/>
      <c r="D5565" s="114"/>
    </row>
    <row r="5566" spans="1:7" x14ac:dyDescent="0.3">
      <c r="A5566" s="90"/>
      <c r="B5566" s="85"/>
      <c r="C5566" s="85"/>
    </row>
    <row r="5567" spans="1:7" x14ac:dyDescent="0.3">
      <c r="A5567" s="90"/>
      <c r="B5567" s="85"/>
      <c r="C5567" s="85"/>
    </row>
    <row r="5568" spans="1:7" x14ac:dyDescent="0.3">
      <c r="A5568" s="635"/>
      <c r="B5568" s="85"/>
      <c r="C5568" s="85"/>
    </row>
    <row r="5569" spans="1:4" x14ac:dyDescent="0.3">
      <c r="A5569" s="374"/>
      <c r="B5569" s="383" t="s">
        <v>628</v>
      </c>
      <c r="C5569" s="383" t="s">
        <v>629</v>
      </c>
      <c r="D5569" s="374" t="s">
        <v>266</v>
      </c>
    </row>
    <row r="5570" spans="1:4" x14ac:dyDescent="0.3">
      <c r="A5570" t="s">
        <v>1430</v>
      </c>
      <c r="B5570" s="76">
        <f>+B5562</f>
        <v>279.887</v>
      </c>
      <c r="C5570" s="76">
        <f>+C5562</f>
        <v>220.79300000000001</v>
      </c>
      <c r="D5570" s="85">
        <f>+D5562</f>
        <v>500.68</v>
      </c>
    </row>
    <row r="5571" spans="1:4" x14ac:dyDescent="0.3">
      <c r="A5571" s="177" t="s">
        <v>2637</v>
      </c>
      <c r="B5571" s="474">
        <f>+B5572/B5570/12*1000</f>
        <v>13.993742712832915</v>
      </c>
      <c r="C5571" s="474">
        <f>+C5572/C5570/12*1000</f>
        <v>20.003653497468971</v>
      </c>
      <c r="D5571" s="474">
        <f>+D5572/D5570/12*1000</f>
        <v>16.644030784799337</v>
      </c>
    </row>
    <row r="5572" spans="1:4" x14ac:dyDescent="0.3">
      <c r="A5572" s="298" t="s">
        <v>218</v>
      </c>
      <c r="B5572" s="463">
        <v>47</v>
      </c>
      <c r="C5572" s="463">
        <v>53</v>
      </c>
      <c r="D5572" s="85">
        <f>+SUM(B5572:C5572)</f>
        <v>100</v>
      </c>
    </row>
    <row r="5573" spans="1:4" x14ac:dyDescent="0.3">
      <c r="A5573" s="177" t="s">
        <v>881</v>
      </c>
      <c r="B5573" s="550">
        <f>+'Debt-old'!$C149</f>
        <v>12.5</v>
      </c>
      <c r="C5573" s="550">
        <f>+'Debt-old'!$C150</f>
        <v>2.3606987620139637</v>
      </c>
      <c r="D5573" s="459">
        <f>+D5574/D5572</f>
        <v>7.1261703438674013</v>
      </c>
    </row>
    <row r="5574" spans="1:4" x14ac:dyDescent="0.3">
      <c r="A5574" s="298" t="s">
        <v>1395</v>
      </c>
      <c r="B5574" s="854">
        <f>+B5572*B5573</f>
        <v>587.5</v>
      </c>
      <c r="C5574" s="854">
        <f>+C5572*C5573</f>
        <v>125.11703438674007</v>
      </c>
      <c r="D5574" s="803">
        <f>+SUM(B5574:C5574)</f>
        <v>712.6170343867401</v>
      </c>
    </row>
    <row r="5575" spans="1:4" x14ac:dyDescent="0.3">
      <c r="A5575" s="472" t="s">
        <v>2638</v>
      </c>
      <c r="B5575" s="463">
        <f>+B5574/B5570*1000</f>
        <v>2099.0614069249377</v>
      </c>
      <c r="C5575" s="463">
        <f>+C5574/C5570*1000</f>
        <v>566.67120056677561</v>
      </c>
      <c r="D5575" s="463">
        <f>+D5574/D5570*1000</f>
        <v>1423.2983829726372</v>
      </c>
    </row>
    <row r="5576" spans="1:4" x14ac:dyDescent="0.3">
      <c r="A5576" s="298"/>
      <c r="B5576" s="463"/>
      <c r="C5576" s="463"/>
      <c r="D5576" s="85"/>
    </row>
    <row r="5577" spans="1:4" x14ac:dyDescent="0.3">
      <c r="A5577" s="298"/>
      <c r="B5577" s="463"/>
      <c r="C5577" s="463"/>
      <c r="D5577" s="85"/>
    </row>
    <row r="5578" spans="1:4" x14ac:dyDescent="0.3">
      <c r="A5578" s="522"/>
      <c r="B5578" s="85"/>
      <c r="C5578" s="85"/>
    </row>
    <row r="5579" spans="1:4" x14ac:dyDescent="0.3">
      <c r="A5579" s="90"/>
      <c r="B5579" s="85"/>
      <c r="C5579" s="85"/>
    </row>
    <row r="5580" spans="1:4" x14ac:dyDescent="0.3">
      <c r="A5580" t="s">
        <v>2493</v>
      </c>
      <c r="B5580" s="379" t="e">
        <f>+B5323</f>
        <v>#REF!</v>
      </c>
      <c r="C5580" s="85"/>
    </row>
    <row r="5581" spans="1:4" x14ac:dyDescent="0.3">
      <c r="A5581" t="s">
        <v>2639</v>
      </c>
      <c r="B5581" s="379" t="e">
        <f>+B5321</f>
        <v>#REF!</v>
      </c>
      <c r="C5581" s="85"/>
    </row>
    <row r="5582" spans="1:4" x14ac:dyDescent="0.3">
      <c r="A5582" t="s">
        <v>2640</v>
      </c>
      <c r="B5582" s="379">
        <f>+B5320</f>
        <v>896.32295896055837</v>
      </c>
      <c r="C5582" s="85"/>
    </row>
    <row r="5583" spans="1:4" x14ac:dyDescent="0.3">
      <c r="A5583" t="s">
        <v>2641</v>
      </c>
      <c r="B5583" s="379" t="e">
        <f>+B5580-B5581-B5582</f>
        <v>#REF!</v>
      </c>
      <c r="C5583" s="85"/>
    </row>
    <row r="5584" spans="1:4" x14ac:dyDescent="0.3">
      <c r="C5584" s="85"/>
    </row>
    <row r="5585" spans="1:14" x14ac:dyDescent="0.3">
      <c r="A5585" s="90" t="s">
        <v>324</v>
      </c>
      <c r="B5585" s="85">
        <f>+D5562</f>
        <v>500.68</v>
      </c>
      <c r="C5585" s="85"/>
    </row>
    <row r="5586" spans="1:14" x14ac:dyDescent="0.3">
      <c r="A5586" s="90"/>
      <c r="B5586" s="85" t="e">
        <f>+B5580-B5581</f>
        <v>#REF!</v>
      </c>
      <c r="C5586" s="85"/>
    </row>
    <row r="5587" spans="1:14" x14ac:dyDescent="0.3">
      <c r="A5587" s="90"/>
      <c r="B5587" s="85"/>
      <c r="C5587" s="85"/>
    </row>
    <row r="5589" spans="1:14" x14ac:dyDescent="0.3">
      <c r="A5589" s="374"/>
      <c r="B5589" s="374" t="s">
        <v>628</v>
      </c>
      <c r="C5589" s="374" t="s">
        <v>629</v>
      </c>
      <c r="D5589" s="374" t="s">
        <v>266</v>
      </c>
    </row>
    <row r="5590" spans="1:14" x14ac:dyDescent="0.3">
      <c r="A5590" t="s">
        <v>2642</v>
      </c>
      <c r="B5590" s="76">
        <f>+'Debt-old'!B154</f>
        <v>1066.188744978549</v>
      </c>
      <c r="C5590" s="76">
        <f>+D5590-B5590</f>
        <v>1408.811255021451</v>
      </c>
      <c r="D5590" s="76">
        <f>+'Model Main'!$EI$48</f>
        <v>2475</v>
      </c>
    </row>
    <row r="5591" spans="1:14" x14ac:dyDescent="0.3">
      <c r="A5591" s="177" t="s">
        <v>2643</v>
      </c>
      <c r="B5591" s="299">
        <v>12.5</v>
      </c>
      <c r="C5591" s="459">
        <f>+C5592/C5590</f>
        <v>2.3606987620139637</v>
      </c>
      <c r="D5591" s="459">
        <f>+D5592/D5590</f>
        <v>6.7285407264130672</v>
      </c>
    </row>
    <row r="5592" spans="1:14" x14ac:dyDescent="0.3">
      <c r="A5592" s="298" t="s">
        <v>872</v>
      </c>
      <c r="B5592" s="803">
        <f>+B5590*B5591</f>
        <v>13327.359312231863</v>
      </c>
      <c r="C5592" s="803">
        <f>+D5592-B5592</f>
        <v>3325.7789856404779</v>
      </c>
      <c r="D5592" s="803">
        <f>+'Debt-old'!C145</f>
        <v>16653.138297872341</v>
      </c>
    </row>
    <row r="5593" spans="1:14" x14ac:dyDescent="0.3">
      <c r="A5593" s="177" t="s">
        <v>1711</v>
      </c>
      <c r="B5593" s="76">
        <f>+D5593-C5593</f>
        <v>4566.9500000000007</v>
      </c>
      <c r="C5593" s="76">
        <f>+F5549/1000</f>
        <v>10633.05</v>
      </c>
      <c r="D5593" s="76">
        <f>+Drivers!ED99</f>
        <v>15200</v>
      </c>
    </row>
    <row r="5594" spans="1:14" x14ac:dyDescent="0.3">
      <c r="A5594" s="298" t="s">
        <v>1712</v>
      </c>
      <c r="B5594" s="1803">
        <f>+B5592/B5593*1000</f>
        <v>2918.2187920235301</v>
      </c>
      <c r="C5594" s="1803">
        <f>+C5592/C5593*1000</f>
        <v>312.77751779973556</v>
      </c>
      <c r="D5594" s="1803">
        <f>+D5592/D5593*1000</f>
        <v>1095.6012038073909</v>
      </c>
    </row>
    <row r="5596" spans="1:14" x14ac:dyDescent="0.3">
      <c r="A5596" s="627" t="s">
        <v>1640</v>
      </c>
      <c r="B5596" s="627"/>
      <c r="C5596" s="627"/>
      <c r="D5596" s="627"/>
      <c r="E5596" s="627"/>
      <c r="F5596" s="627"/>
      <c r="G5596" s="627"/>
      <c r="H5596" s="627"/>
      <c r="I5596" s="627"/>
      <c r="J5596" s="627"/>
      <c r="K5596" s="627"/>
      <c r="L5596" s="627"/>
      <c r="M5596" s="627"/>
      <c r="N5596" s="627"/>
    </row>
    <row r="5598" spans="1:14" x14ac:dyDescent="0.3">
      <c r="A5598" s="147"/>
      <c r="B5598" s="147">
        <v>2019</v>
      </c>
      <c r="C5598" s="147">
        <f>+B5598+1</f>
        <v>2020</v>
      </c>
      <c r="D5598" s="147">
        <f t="shared" ref="D5598:N5598" si="1577">+C5598+1</f>
        <v>2021</v>
      </c>
      <c r="E5598" s="147">
        <f t="shared" si="1577"/>
        <v>2022</v>
      </c>
      <c r="F5598" s="147">
        <f t="shared" si="1577"/>
        <v>2023</v>
      </c>
      <c r="G5598" s="147">
        <f t="shared" si="1577"/>
        <v>2024</v>
      </c>
      <c r="H5598" s="147">
        <f t="shared" si="1577"/>
        <v>2025</v>
      </c>
      <c r="I5598" s="147">
        <f t="shared" si="1577"/>
        <v>2026</v>
      </c>
      <c r="J5598" s="147">
        <f t="shared" si="1577"/>
        <v>2027</v>
      </c>
      <c r="K5598" s="147">
        <f t="shared" si="1577"/>
        <v>2028</v>
      </c>
      <c r="L5598" s="147">
        <f t="shared" si="1577"/>
        <v>2029</v>
      </c>
      <c r="M5598" s="147">
        <f t="shared" si="1577"/>
        <v>2030</v>
      </c>
      <c r="N5598" s="147">
        <f t="shared" si="1577"/>
        <v>2031</v>
      </c>
    </row>
    <row r="5599" spans="1:14" x14ac:dyDescent="0.3">
      <c r="A5599" s="141" t="s">
        <v>2644</v>
      </c>
      <c r="B5599" s="90"/>
      <c r="C5599" s="90"/>
      <c r="D5599" s="90"/>
      <c r="E5599" s="90"/>
      <c r="F5599" s="90"/>
      <c r="G5599" s="90"/>
      <c r="H5599" s="90"/>
      <c r="I5599" s="90"/>
      <c r="J5599" s="90"/>
      <c r="K5599" s="90"/>
      <c r="L5599" s="90"/>
      <c r="M5599" s="90"/>
      <c r="N5599" s="90"/>
    </row>
    <row r="5600" spans="1:14" x14ac:dyDescent="0.3">
      <c r="A5600" t="s">
        <v>2459</v>
      </c>
      <c r="B5600" s="90"/>
      <c r="C5600" s="379">
        <f t="shared" ref="C5600:H5600" si="1578">+C5639</f>
        <v>77.939432408505525</v>
      </c>
      <c r="D5600" s="379">
        <f t="shared" si="1578"/>
        <v>78.339416034160791</v>
      </c>
      <c r="E5600" s="379">
        <f t="shared" si="1578"/>
        <v>78.997900318875708</v>
      </c>
      <c r="F5600" s="379">
        <f t="shared" si="1578"/>
        <v>79.532682058339702</v>
      </c>
      <c r="G5600" s="379">
        <f t="shared" si="1578"/>
        <v>80.053520884226032</v>
      </c>
      <c r="H5600" s="379">
        <f t="shared" si="1578"/>
        <v>80.555058936266377</v>
      </c>
      <c r="I5600" s="90"/>
      <c r="J5600" s="90"/>
      <c r="K5600" s="90"/>
      <c r="L5600" s="90"/>
      <c r="M5600" s="90"/>
      <c r="N5600" s="90"/>
    </row>
    <row r="5601" spans="1:14" x14ac:dyDescent="0.3">
      <c r="A5601" t="s">
        <v>2460</v>
      </c>
      <c r="B5601" s="90"/>
      <c r="C5601" s="379">
        <f t="shared" ref="C5601:H5601" si="1579">+C5665</f>
        <v>71.048335580949683</v>
      </c>
      <c r="D5601" s="379">
        <f t="shared" si="1579"/>
        <v>66.725197421283056</v>
      </c>
      <c r="E5601" s="379">
        <f t="shared" si="1579"/>
        <v>64.378257165902141</v>
      </c>
      <c r="F5601" s="379">
        <f t="shared" si="1579"/>
        <v>61.574968595760993</v>
      </c>
      <c r="G5601" s="379">
        <f t="shared" si="1579"/>
        <v>59.77503103457412</v>
      </c>
      <c r="H5601" s="379">
        <f t="shared" si="1579"/>
        <v>57.466146863118944</v>
      </c>
      <c r="I5601" s="90"/>
      <c r="J5601" s="90"/>
      <c r="K5601" s="90"/>
      <c r="L5601" s="90"/>
      <c r="M5601" s="90"/>
      <c r="N5601" s="90"/>
    </row>
    <row r="5602" spans="1:14" x14ac:dyDescent="0.3">
      <c r="A5602" t="s">
        <v>2461</v>
      </c>
      <c r="B5602" s="90"/>
      <c r="C5602" s="379">
        <f t="shared" ref="C5602:H5602" si="1580">+C5692</f>
        <v>0.38000522931526087</v>
      </c>
      <c r="D5602" s="379">
        <f t="shared" si="1580"/>
        <v>0.37440543599167614</v>
      </c>
      <c r="E5602" s="379">
        <f t="shared" si="1580"/>
        <v>0.36846624344195233</v>
      </c>
      <c r="F5602" s="379">
        <f t="shared" si="1580"/>
        <v>0.36232935199449057</v>
      </c>
      <c r="G5602" s="379">
        <f t="shared" si="1580"/>
        <v>0.36523006007667874</v>
      </c>
      <c r="H5602" s="379">
        <f t="shared" si="1580"/>
        <v>0.37127655285820749</v>
      </c>
      <c r="I5602" s="90"/>
      <c r="J5602" s="90"/>
      <c r="K5602" s="90"/>
      <c r="L5602" s="90"/>
      <c r="M5602" s="90"/>
      <c r="N5602" s="90"/>
    </row>
    <row r="5603" spans="1:14" x14ac:dyDescent="0.3">
      <c r="A5603" s="90"/>
      <c r="B5603" s="90"/>
      <c r="C5603" s="90"/>
      <c r="D5603" s="90"/>
      <c r="E5603" s="90"/>
      <c r="F5603" s="90"/>
      <c r="G5603" s="90"/>
      <c r="H5603" s="90"/>
      <c r="I5603" s="90"/>
      <c r="J5603" s="90"/>
      <c r="K5603" s="90"/>
      <c r="L5603" s="90"/>
      <c r="M5603" s="90"/>
      <c r="N5603" s="90"/>
    </row>
    <row r="5604" spans="1:14" x14ac:dyDescent="0.3">
      <c r="A5604" s="141" t="s">
        <v>2645</v>
      </c>
      <c r="B5604" s="90"/>
      <c r="C5604" s="90"/>
      <c r="D5604" s="90"/>
      <c r="E5604" s="90"/>
      <c r="F5604" s="90"/>
      <c r="G5604" s="90"/>
      <c r="H5604" s="90"/>
      <c r="I5604" s="90"/>
      <c r="J5604" s="90"/>
      <c r="K5604" s="90"/>
      <c r="L5604" s="90"/>
      <c r="M5604" s="90"/>
      <c r="N5604" s="90"/>
    </row>
    <row r="5605" spans="1:14" x14ac:dyDescent="0.3">
      <c r="A5605" t="s">
        <v>2459</v>
      </c>
      <c r="B5605" s="90"/>
      <c r="C5605" s="379">
        <f t="shared" ref="C5605:H5605" si="1581">+C5649</f>
        <v>9.9486521181001297</v>
      </c>
      <c r="D5605" s="379">
        <f t="shared" si="1581"/>
        <v>9.9273834521136273</v>
      </c>
      <c r="E5605" s="379">
        <f t="shared" si="1581"/>
        <v>9.9249486735634456</v>
      </c>
      <c r="F5605" s="379">
        <f t="shared" si="1581"/>
        <v>9.9249486735634473</v>
      </c>
      <c r="G5605" s="379">
        <f t="shared" si="1581"/>
        <v>9.9249486735634456</v>
      </c>
      <c r="H5605" s="379">
        <f t="shared" si="1581"/>
        <v>9.9249486735634473</v>
      </c>
      <c r="I5605" s="90"/>
      <c r="J5605" s="90"/>
      <c r="K5605" s="90"/>
      <c r="L5605" s="90"/>
      <c r="M5605" s="90"/>
      <c r="N5605" s="90"/>
    </row>
    <row r="5606" spans="1:14" x14ac:dyDescent="0.3">
      <c r="A5606" t="s">
        <v>2460</v>
      </c>
      <c r="B5606" s="90"/>
      <c r="C5606" s="379">
        <f t="shared" ref="C5606:H5606" si="1582">+C5675</f>
        <v>33.872588996149979</v>
      </c>
      <c r="D5606" s="379">
        <f t="shared" si="1582"/>
        <v>32.253432448264277</v>
      </c>
      <c r="E5606" s="379">
        <f t="shared" si="1582"/>
        <v>31.930898123781638</v>
      </c>
      <c r="F5606" s="379">
        <f t="shared" si="1582"/>
        <v>31.308245610367894</v>
      </c>
      <c r="G5606" s="379">
        <f t="shared" si="1582"/>
        <v>30.697734820965721</v>
      </c>
      <c r="H5606" s="379">
        <f t="shared" si="1582"/>
        <v>30.099128991956892</v>
      </c>
      <c r="I5606" s="90"/>
      <c r="J5606" s="90"/>
      <c r="K5606" s="90"/>
      <c r="L5606" s="90"/>
      <c r="M5606" s="90"/>
      <c r="N5606" s="90"/>
    </row>
    <row r="5607" spans="1:14" x14ac:dyDescent="0.3">
      <c r="A5607" t="s">
        <v>2461</v>
      </c>
      <c r="B5607" s="90"/>
      <c r="C5607" s="379">
        <f t="shared" ref="C5607:H5607" si="1583">+C5695</f>
        <v>174.55462215387189</v>
      </c>
      <c r="D5607" s="379">
        <f t="shared" si="1583"/>
        <v>298.18407576632461</v>
      </c>
      <c r="E5607" s="379">
        <f t="shared" si="1583"/>
        <v>636.74014934465538</v>
      </c>
      <c r="F5607" s="379">
        <f t="shared" si="1583"/>
        <v>620.30819413421636</v>
      </c>
      <c r="G5607" s="379">
        <f t="shared" si="1583"/>
        <v>611.98748362191679</v>
      </c>
      <c r="H5607" s="379">
        <f t="shared" si="1583"/>
        <v>614.37569429869029</v>
      </c>
      <c r="I5607" s="90"/>
      <c r="J5607" s="90"/>
      <c r="K5607" s="90"/>
      <c r="L5607" s="90"/>
      <c r="M5607" s="90"/>
      <c r="N5607" s="90"/>
    </row>
    <row r="5608" spans="1:14" x14ac:dyDescent="0.3">
      <c r="A5608" s="90"/>
      <c r="B5608" s="90"/>
      <c r="C5608" s="90"/>
      <c r="D5608" s="90"/>
      <c r="E5608" s="90"/>
      <c r="F5608" s="90"/>
      <c r="G5608" s="90"/>
      <c r="H5608" s="90"/>
      <c r="I5608" s="90"/>
      <c r="J5608" s="90"/>
      <c r="K5608" s="90"/>
      <c r="L5608" s="90"/>
      <c r="M5608" s="90"/>
      <c r="N5608" s="90"/>
    </row>
    <row r="5609" spans="1:14" x14ac:dyDescent="0.3">
      <c r="A5609" s="141" t="s">
        <v>2646</v>
      </c>
      <c r="B5609" s="90"/>
      <c r="C5609" s="90"/>
      <c r="D5609" s="90"/>
      <c r="E5609" s="90"/>
      <c r="F5609" s="90"/>
      <c r="G5609" s="90"/>
      <c r="H5609" s="90"/>
      <c r="I5609" s="90"/>
      <c r="J5609" s="90"/>
      <c r="K5609" s="90"/>
      <c r="L5609" s="90"/>
      <c r="M5609" s="90"/>
      <c r="N5609" s="90"/>
    </row>
    <row r="5610" spans="1:14" x14ac:dyDescent="0.3">
      <c r="A5610" t="s">
        <v>2459</v>
      </c>
      <c r="B5610" s="90"/>
      <c r="C5610" s="379">
        <f t="shared" ref="C5610:H5610" si="1584">+C5647</f>
        <v>38.66292818052834</v>
      </c>
      <c r="D5610" s="379">
        <f t="shared" si="1584"/>
        <v>42.544751320958447</v>
      </c>
      <c r="E5610" s="379">
        <f t="shared" si="1584"/>
        <v>43.845798482553377</v>
      </c>
      <c r="F5610" s="379">
        <f t="shared" si="1584"/>
        <v>45.190067161456291</v>
      </c>
      <c r="G5610" s="379">
        <f t="shared" si="1584"/>
        <v>46.567942557331769</v>
      </c>
      <c r="H5610" s="379">
        <f t="shared" si="1584"/>
        <v>47.980264838104148</v>
      </c>
      <c r="I5610" s="90"/>
      <c r="J5610" s="90"/>
      <c r="K5610" s="90"/>
      <c r="L5610" s="90"/>
      <c r="M5610" s="90"/>
      <c r="N5610" s="90"/>
    </row>
    <row r="5611" spans="1:14" x14ac:dyDescent="0.3">
      <c r="A5611" t="s">
        <v>2460</v>
      </c>
      <c r="B5611" s="90"/>
      <c r="C5611" s="379">
        <f t="shared" ref="C5611:H5611" si="1585">+C5675</f>
        <v>33.872588996149979</v>
      </c>
      <c r="D5611" s="379">
        <f t="shared" si="1585"/>
        <v>32.253432448264277</v>
      </c>
      <c r="E5611" s="379">
        <f t="shared" si="1585"/>
        <v>31.930898123781638</v>
      </c>
      <c r="F5611" s="379">
        <f t="shared" si="1585"/>
        <v>31.308245610367894</v>
      </c>
      <c r="G5611" s="379">
        <f t="shared" si="1585"/>
        <v>30.697734820965721</v>
      </c>
      <c r="H5611" s="379">
        <f t="shared" si="1585"/>
        <v>30.099128991956892</v>
      </c>
      <c r="I5611" s="90"/>
      <c r="J5611" s="90"/>
      <c r="K5611" s="90"/>
      <c r="L5611" s="90"/>
      <c r="M5611" s="90"/>
      <c r="N5611" s="90"/>
    </row>
    <row r="5612" spans="1:14" x14ac:dyDescent="0.3">
      <c r="B5612" s="90"/>
      <c r="C5612" s="379"/>
      <c r="D5612" s="379"/>
      <c r="E5612" s="379"/>
      <c r="F5612" s="379"/>
      <c r="G5612" s="379"/>
      <c r="H5612" s="379"/>
      <c r="I5612" s="90"/>
      <c r="J5612" s="90"/>
      <c r="K5612" s="90"/>
      <c r="L5612" s="90"/>
      <c r="M5612" s="90"/>
      <c r="N5612" s="90"/>
    </row>
    <row r="5613" spans="1:14" x14ac:dyDescent="0.3">
      <c r="A5613" s="90"/>
      <c r="B5613" s="90"/>
      <c r="C5613" s="90"/>
      <c r="D5613" s="90"/>
      <c r="E5613" s="90"/>
      <c r="F5613" s="90"/>
      <c r="G5613" s="90"/>
      <c r="H5613" s="90"/>
      <c r="I5613" s="90"/>
      <c r="J5613" s="90"/>
      <c r="K5613" s="90"/>
      <c r="L5613" s="90"/>
      <c r="M5613" s="90"/>
      <c r="N5613" s="90"/>
    </row>
    <row r="5614" spans="1:14" x14ac:dyDescent="0.3">
      <c r="A5614" s="90"/>
      <c r="B5614" s="90"/>
      <c r="C5614" s="90"/>
      <c r="D5614" s="90"/>
      <c r="E5614" s="90"/>
      <c r="F5614" s="90"/>
      <c r="G5614" s="90"/>
      <c r="H5614" s="90"/>
      <c r="I5614" s="90"/>
      <c r="J5614" s="90"/>
      <c r="K5614" s="90"/>
      <c r="L5614" s="90"/>
      <c r="M5614" s="90"/>
      <c r="N5614" s="90"/>
    </row>
    <row r="5615" spans="1:14" x14ac:dyDescent="0.3">
      <c r="A5615" s="141" t="s">
        <v>2647</v>
      </c>
    </row>
    <row r="5616" spans="1:14" x14ac:dyDescent="0.3">
      <c r="A5616" t="s">
        <v>2459</v>
      </c>
      <c r="C5616" s="379">
        <f>+C5643</f>
        <v>220.65578699450452</v>
      </c>
    </row>
    <row r="5617" spans="1:8" x14ac:dyDescent="0.3">
      <c r="A5617" t="s">
        <v>2460</v>
      </c>
      <c r="C5617" s="379">
        <f>+C5669</f>
        <v>245.12030662218754</v>
      </c>
    </row>
    <row r="5618" spans="1:8" x14ac:dyDescent="0.3">
      <c r="A5618" t="s">
        <v>2461</v>
      </c>
      <c r="C5618" s="379">
        <f>+C5696</f>
        <v>174.67707339088204</v>
      </c>
    </row>
    <row r="5619" spans="1:8" x14ac:dyDescent="0.3">
      <c r="A5619" t="s">
        <v>2573</v>
      </c>
      <c r="C5619" s="379">
        <f>+C5723</f>
        <v>294.47584543956867</v>
      </c>
    </row>
    <row r="5621" spans="1:8" x14ac:dyDescent="0.3">
      <c r="A5621" s="141" t="s">
        <v>2648</v>
      </c>
    </row>
    <row r="5622" spans="1:8" x14ac:dyDescent="0.3">
      <c r="A5622" t="s">
        <v>2459</v>
      </c>
      <c r="C5622" s="379">
        <f>+C5650</f>
        <v>111.56340787784607</v>
      </c>
    </row>
    <row r="5623" spans="1:8" x14ac:dyDescent="0.3">
      <c r="A5623" t="s">
        <v>2460</v>
      </c>
      <c r="C5623" s="379">
        <f>+C5676</f>
        <v>130.99550514916456</v>
      </c>
    </row>
    <row r="5624" spans="1:8" x14ac:dyDescent="0.3">
      <c r="A5624" t="s">
        <v>2461</v>
      </c>
      <c r="C5624" s="379">
        <f>+C5703</f>
        <v>23.542356775957032</v>
      </c>
    </row>
    <row r="5625" spans="1:8" x14ac:dyDescent="0.3">
      <c r="A5625" t="s">
        <v>2573</v>
      </c>
      <c r="C5625" s="474">
        <f>+C5722</f>
        <v>64.678132236842103</v>
      </c>
    </row>
    <row r="5627" spans="1:8" x14ac:dyDescent="0.3">
      <c r="A5627" s="141" t="s">
        <v>2649</v>
      </c>
    </row>
    <row r="5628" spans="1:8" x14ac:dyDescent="0.3">
      <c r="A5628" s="147"/>
      <c r="B5628" s="147">
        <v>2019</v>
      </c>
      <c r="C5628" s="147">
        <f t="shared" ref="C5628:H5628" si="1586">+B5628+1</f>
        <v>2020</v>
      </c>
      <c r="D5628" s="147">
        <f t="shared" si="1586"/>
        <v>2021</v>
      </c>
      <c r="E5628" s="147">
        <f t="shared" si="1586"/>
        <v>2022</v>
      </c>
      <c r="F5628" s="147">
        <f t="shared" si="1586"/>
        <v>2023</v>
      </c>
      <c r="G5628" s="147">
        <f t="shared" si="1586"/>
        <v>2024</v>
      </c>
      <c r="H5628" s="147">
        <f t="shared" si="1586"/>
        <v>2025</v>
      </c>
    </row>
    <row r="5629" spans="1:8" x14ac:dyDescent="0.3">
      <c r="A5629" t="s">
        <v>2650</v>
      </c>
      <c r="B5629" s="637">
        <v>29149</v>
      </c>
      <c r="C5629" s="637">
        <v>30718</v>
      </c>
      <c r="D5629" s="637">
        <v>31777.501286939259</v>
      </c>
      <c r="E5629" s="637">
        <v>32872.262330407793</v>
      </c>
      <c r="F5629" s="637">
        <v>33882.794456594311</v>
      </c>
      <c r="G5629" s="637">
        <v>34847.258534078828</v>
      </c>
      <c r="H5629" s="637">
        <v>35791.866954694058</v>
      </c>
    </row>
    <row r="5630" spans="1:8" x14ac:dyDescent="0.3">
      <c r="A5630" t="s">
        <v>324</v>
      </c>
      <c r="B5630" s="637">
        <v>58694</v>
      </c>
      <c r="C5630" s="637">
        <v>59714</v>
      </c>
      <c r="D5630" s="637">
        <v>60490.281999999992</v>
      </c>
      <c r="E5630" s="637">
        <v>61246.410524999992</v>
      </c>
      <c r="F5630" s="637">
        <v>62011.990656562491</v>
      </c>
      <c r="G5630" s="637">
        <v>62787.14053976952</v>
      </c>
      <c r="H5630" s="637">
        <v>63571.979796516636</v>
      </c>
    </row>
    <row r="5631" spans="1:8" x14ac:dyDescent="0.3">
      <c r="A5631" s="90"/>
      <c r="B5631" s="90"/>
      <c r="C5631" s="90"/>
      <c r="D5631" s="90"/>
      <c r="E5631" s="90"/>
      <c r="F5631" s="90"/>
      <c r="G5631" s="90"/>
      <c r="H5631" s="90"/>
    </row>
    <row r="5632" spans="1:8" x14ac:dyDescent="0.3">
      <c r="A5632" t="s">
        <v>2651</v>
      </c>
      <c r="B5632" s="637">
        <v>2659</v>
      </c>
      <c r="C5632" s="637">
        <v>2333</v>
      </c>
      <c r="D5632" s="637">
        <v>2447.930537790483</v>
      </c>
      <c r="E5632" s="637">
        <v>2553.5977909410303</v>
      </c>
      <c r="F5632" s="637">
        <v>2654.6043536135253</v>
      </c>
      <c r="G5632" s="637">
        <v>2751.0413662314068</v>
      </c>
      <c r="H5632" s="637">
        <v>2845.1694584772085</v>
      </c>
    </row>
    <row r="5633" spans="1:8" x14ac:dyDescent="0.3">
      <c r="A5633" t="s">
        <v>2652</v>
      </c>
      <c r="B5633" s="637">
        <v>2000</v>
      </c>
      <c r="C5633" s="637">
        <v>2289</v>
      </c>
      <c r="D5633" s="637">
        <v>2557.0306427021806</v>
      </c>
      <c r="E5633" s="637">
        <v>2668.8212441918558</v>
      </c>
      <c r="F5633" s="637">
        <v>2785.0277138042661</v>
      </c>
      <c r="G5633" s="637">
        <v>2905.8193863778506</v>
      </c>
      <c r="H5633" s="637">
        <v>3031.3720292224407</v>
      </c>
    </row>
    <row r="5634" spans="1:8" x14ac:dyDescent="0.3">
      <c r="A5634" t="s">
        <v>2653</v>
      </c>
      <c r="B5634" s="637">
        <v>1392</v>
      </c>
      <c r="C5634" s="637">
        <v>1394</v>
      </c>
      <c r="D5634" s="637">
        <v>1019.9081569230659</v>
      </c>
      <c r="E5634" s="637">
        <v>1018.2655163818785</v>
      </c>
      <c r="F5634" s="637">
        <v>1056.7686812200673</v>
      </c>
      <c r="G5634" s="637">
        <v>1096.7277469786973</v>
      </c>
      <c r="H5634" s="637">
        <v>1138.1977649113298</v>
      </c>
    </row>
    <row r="5635" spans="1:8" x14ac:dyDescent="0.3">
      <c r="A5635" t="s">
        <v>2654</v>
      </c>
      <c r="B5635" s="637">
        <v>858</v>
      </c>
      <c r="C5635" s="637">
        <v>589</v>
      </c>
      <c r="D5635" s="637">
        <v>596.65699999999993</v>
      </c>
      <c r="E5635" s="637">
        <v>604.11521249999987</v>
      </c>
      <c r="F5635" s="637">
        <v>611.66665265624988</v>
      </c>
      <c r="G5635" s="637">
        <v>619.312485814453</v>
      </c>
      <c r="H5635" s="637">
        <v>627.05389188713366</v>
      </c>
    </row>
    <row r="5636" spans="1:8" x14ac:dyDescent="0.3">
      <c r="A5636" s="90" t="s">
        <v>266</v>
      </c>
      <c r="B5636" s="803">
        <f t="shared" ref="B5636:H5636" si="1587">+SUM(B5632:B5635)</f>
        <v>6909</v>
      </c>
      <c r="C5636" s="803">
        <f t="shared" si="1587"/>
        <v>6605</v>
      </c>
      <c r="D5636" s="803">
        <f t="shared" si="1587"/>
        <v>6621.5263374157294</v>
      </c>
      <c r="E5636" s="803">
        <f t="shared" si="1587"/>
        <v>6844.7997640147642</v>
      </c>
      <c r="F5636" s="803">
        <f t="shared" si="1587"/>
        <v>7108.067401294109</v>
      </c>
      <c r="G5636" s="803">
        <f t="shared" si="1587"/>
        <v>7372.900985402408</v>
      </c>
      <c r="H5636" s="803">
        <f t="shared" si="1587"/>
        <v>7641.7931444981123</v>
      </c>
    </row>
    <row r="5638" spans="1:8" x14ac:dyDescent="0.3">
      <c r="A5638" s="141" t="s">
        <v>2655</v>
      </c>
    </row>
    <row r="5639" spans="1:8" x14ac:dyDescent="0.3">
      <c r="A5639" t="s">
        <v>2651</v>
      </c>
      <c r="C5639" s="379">
        <f t="shared" ref="C5639:H5642" si="1588">+C5632/AVERAGE(B$5629:C$5629)*1000</f>
        <v>77.939432408505525</v>
      </c>
      <c r="D5639" s="379">
        <f t="shared" si="1588"/>
        <v>78.339416034160791</v>
      </c>
      <c r="E5639" s="379">
        <f t="shared" si="1588"/>
        <v>78.997900318875708</v>
      </c>
      <c r="F5639" s="379">
        <f t="shared" si="1588"/>
        <v>79.532682058339702</v>
      </c>
      <c r="G5639" s="379">
        <f t="shared" si="1588"/>
        <v>80.053520884226032</v>
      </c>
      <c r="H5639" s="379">
        <f t="shared" si="1588"/>
        <v>80.555058936266377</v>
      </c>
    </row>
    <row r="5640" spans="1:8" x14ac:dyDescent="0.3">
      <c r="A5640" t="s">
        <v>2652</v>
      </c>
      <c r="C5640" s="379">
        <f t="shared" si="1588"/>
        <v>76.469507408087935</v>
      </c>
      <c r="D5640" s="379">
        <f t="shared" si="1588"/>
        <v>81.830870704178722</v>
      </c>
      <c r="E5640" s="379">
        <f t="shared" si="1588"/>
        <v>82.562444001751871</v>
      </c>
      <c r="F5640" s="379">
        <f t="shared" si="1588"/>
        <v>83.44020207159916</v>
      </c>
      <c r="G5640" s="379">
        <f t="shared" si="1588"/>
        <v>84.557460963173668</v>
      </c>
      <c r="H5640" s="379">
        <f t="shared" si="1588"/>
        <v>85.826997665882345</v>
      </c>
    </row>
    <row r="5641" spans="1:8" x14ac:dyDescent="0.3">
      <c r="A5641" t="s">
        <v>2653</v>
      </c>
      <c r="C5641" s="379">
        <f t="shared" si="1588"/>
        <v>46.569896604139174</v>
      </c>
      <c r="D5641" s="379">
        <f t="shared" si="1588"/>
        <v>32.639410387006954</v>
      </c>
      <c r="E5641" s="379">
        <f t="shared" si="1588"/>
        <v>31.50098188784882</v>
      </c>
      <c r="F5641" s="379">
        <f t="shared" si="1588"/>
        <v>31.661082533176156</v>
      </c>
      <c r="G5641" s="379">
        <f t="shared" si="1588"/>
        <v>31.914066678444911</v>
      </c>
      <c r="H5641" s="379">
        <f t="shared" si="1588"/>
        <v>32.225703731064186</v>
      </c>
    </row>
    <row r="5642" spans="1:8" x14ac:dyDescent="0.3">
      <c r="A5642" t="s">
        <v>2654</v>
      </c>
      <c r="C5642" s="379">
        <f t="shared" si="1588"/>
        <v>19.676950573771862</v>
      </c>
      <c r="D5642" s="379">
        <f t="shared" si="1588"/>
        <v>19.094398403511754</v>
      </c>
      <c r="E5642" s="379">
        <f t="shared" si="1588"/>
        <v>18.688860676294926</v>
      </c>
      <c r="F5642" s="379">
        <f t="shared" si="1588"/>
        <v>18.32570241406334</v>
      </c>
      <c r="G5642" s="379">
        <f t="shared" si="1588"/>
        <v>18.021591978068038</v>
      </c>
      <c r="H5642" s="379">
        <f t="shared" si="1588"/>
        <v>17.753727485960887</v>
      </c>
    </row>
    <row r="5643" spans="1:8" x14ac:dyDescent="0.3">
      <c r="A5643" s="90" t="s">
        <v>266</v>
      </c>
      <c r="C5643" s="1817">
        <f t="shared" ref="C5643:H5643" si="1589">+SUM(C5639:C5642)</f>
        <v>220.65578699450452</v>
      </c>
      <c r="D5643" s="1817">
        <f t="shared" si="1589"/>
        <v>211.90409552885822</v>
      </c>
      <c r="E5643" s="1817">
        <f t="shared" si="1589"/>
        <v>211.7501868847713</v>
      </c>
      <c r="F5643" s="1817">
        <f t="shared" si="1589"/>
        <v>212.95966907717835</v>
      </c>
      <c r="G5643" s="1817">
        <f t="shared" si="1589"/>
        <v>214.54664050391267</v>
      </c>
      <c r="H5643" s="1817">
        <f t="shared" si="1589"/>
        <v>216.36148781917382</v>
      </c>
    </row>
    <row r="5645" spans="1:8" x14ac:dyDescent="0.3">
      <c r="A5645" s="141" t="s">
        <v>2648</v>
      </c>
    </row>
    <row r="5646" spans="1:8" x14ac:dyDescent="0.3">
      <c r="A5646" t="s">
        <v>2651</v>
      </c>
      <c r="C5646" s="379">
        <f t="shared" ref="C5646:H5649" si="1590">+C5632/AVERAGE(B$5630:C$5630)*1000</f>
        <v>39.406121208026484</v>
      </c>
      <c r="D5646" s="379">
        <f t="shared" si="1590"/>
        <v>40.729506421251834</v>
      </c>
      <c r="E5646" s="379">
        <f t="shared" si="1590"/>
        <v>41.952803842056419</v>
      </c>
      <c r="F5646" s="379">
        <f t="shared" si="1590"/>
        <v>43.073808002802686</v>
      </c>
      <c r="G5646" s="379">
        <f t="shared" si="1590"/>
        <v>44.087508300094044</v>
      </c>
      <c r="H5646" s="379">
        <f t="shared" si="1590"/>
        <v>45.033068462414263</v>
      </c>
    </row>
    <row r="5647" spans="1:8" x14ac:dyDescent="0.3">
      <c r="A5647" t="s">
        <v>2652</v>
      </c>
      <c r="C5647" s="379">
        <f t="shared" si="1590"/>
        <v>38.66292818052834</v>
      </c>
      <c r="D5647" s="379">
        <f t="shared" si="1590"/>
        <v>42.544751320958447</v>
      </c>
      <c r="E5647" s="379">
        <f t="shared" si="1590"/>
        <v>43.845798482553377</v>
      </c>
      <c r="F5647" s="379">
        <f t="shared" si="1590"/>
        <v>45.190067161456291</v>
      </c>
      <c r="G5647" s="379">
        <f t="shared" si="1590"/>
        <v>46.567942557331769</v>
      </c>
      <c r="H5647" s="379">
        <f t="shared" si="1590"/>
        <v>47.980264838104148</v>
      </c>
    </row>
    <row r="5648" spans="1:8" x14ac:dyDescent="0.3">
      <c r="A5648" t="s">
        <v>2653</v>
      </c>
      <c r="C5648" s="379">
        <f t="shared" si="1590"/>
        <v>23.545706371191137</v>
      </c>
      <c r="D5648" s="379">
        <f t="shared" si="1590"/>
        <v>16.969581115638892</v>
      </c>
      <c r="E5648" s="379">
        <f t="shared" si="1590"/>
        <v>16.728982778512179</v>
      </c>
      <c r="F5648" s="379">
        <f t="shared" si="1590"/>
        <v>17.147207347974966</v>
      </c>
      <c r="G5648" s="379">
        <f t="shared" si="1590"/>
        <v>17.57588753167428</v>
      </c>
      <c r="H5648" s="379">
        <f t="shared" si="1590"/>
        <v>18.01528471996615</v>
      </c>
    </row>
    <row r="5649" spans="1:8" x14ac:dyDescent="0.3">
      <c r="A5649" t="s">
        <v>2654</v>
      </c>
      <c r="C5649" s="379">
        <f t="shared" si="1590"/>
        <v>9.9486521181001297</v>
      </c>
      <c r="D5649" s="379">
        <f t="shared" si="1590"/>
        <v>9.9273834521136273</v>
      </c>
      <c r="E5649" s="379">
        <f t="shared" si="1590"/>
        <v>9.9249486735634456</v>
      </c>
      <c r="F5649" s="379">
        <f t="shared" si="1590"/>
        <v>9.9249486735634473</v>
      </c>
      <c r="G5649" s="379">
        <f t="shared" si="1590"/>
        <v>9.9249486735634456</v>
      </c>
      <c r="H5649" s="379">
        <f t="shared" si="1590"/>
        <v>9.9249486735634473</v>
      </c>
    </row>
    <row r="5650" spans="1:8" x14ac:dyDescent="0.3">
      <c r="A5650" s="90" t="s">
        <v>266</v>
      </c>
      <c r="C5650" s="1817">
        <f t="shared" ref="C5650:H5650" si="1591">+SUM(C5646:C5649)</f>
        <v>111.56340787784607</v>
      </c>
      <c r="D5650" s="1817">
        <f t="shared" si="1591"/>
        <v>110.1712223099628</v>
      </c>
      <c r="E5650" s="1817">
        <f t="shared" si="1591"/>
        <v>112.45253377668541</v>
      </c>
      <c r="F5650" s="1817">
        <f t="shared" si="1591"/>
        <v>115.3360311857974</v>
      </c>
      <c r="G5650" s="1817">
        <f t="shared" si="1591"/>
        <v>118.15628706266355</v>
      </c>
      <c r="H5650" s="1817">
        <f t="shared" si="1591"/>
        <v>120.95356669404801</v>
      </c>
    </row>
    <row r="5651" spans="1:8" x14ac:dyDescent="0.3">
      <c r="A5651" s="114"/>
      <c r="B5651" s="114"/>
      <c r="C5651" s="114"/>
      <c r="D5651" s="114"/>
      <c r="E5651" s="114"/>
      <c r="F5651" s="114"/>
      <c r="G5651" s="114"/>
      <c r="H5651" s="114"/>
    </row>
    <row r="5653" spans="1:8" x14ac:dyDescent="0.3">
      <c r="A5653" s="141" t="s">
        <v>1969</v>
      </c>
    </row>
    <row r="5654" spans="1:8" x14ac:dyDescent="0.3">
      <c r="A5654" s="147"/>
      <c r="B5654" s="147">
        <v>2019</v>
      </c>
      <c r="C5654" s="147">
        <f t="shared" ref="C5654:H5654" si="1592">+B15992+1</f>
        <v>1</v>
      </c>
      <c r="D5654" s="147">
        <f t="shared" si="1592"/>
        <v>1</v>
      </c>
      <c r="E5654" s="147">
        <f t="shared" si="1592"/>
        <v>1</v>
      </c>
      <c r="F5654" s="147">
        <f t="shared" si="1592"/>
        <v>1</v>
      </c>
      <c r="G5654" s="147">
        <f t="shared" si="1592"/>
        <v>1</v>
      </c>
      <c r="H5654" s="147">
        <f t="shared" si="1592"/>
        <v>1</v>
      </c>
    </row>
    <row r="5655" spans="1:8" x14ac:dyDescent="0.3">
      <c r="A5655" t="s">
        <v>2650</v>
      </c>
      <c r="B5655" s="637">
        <v>27277</v>
      </c>
      <c r="C5655" s="637">
        <v>29079</v>
      </c>
      <c r="D5655" s="637">
        <v>30258.883905013194</v>
      </c>
      <c r="E5655" s="637">
        <v>31217.752570644872</v>
      </c>
      <c r="F5655" s="637">
        <v>31952.164534552474</v>
      </c>
      <c r="G5655" s="637">
        <v>32534.086951294263</v>
      </c>
      <c r="H5655" s="637">
        <v>32978.347075810772</v>
      </c>
    </row>
    <row r="5656" spans="1:8" x14ac:dyDescent="0.3">
      <c r="A5656" t="s">
        <v>324</v>
      </c>
      <c r="B5656" s="637">
        <v>52154</v>
      </c>
      <c r="C5656" s="637">
        <v>53300</v>
      </c>
      <c r="D5656" s="637">
        <v>54483.006411958871</v>
      </c>
      <c r="E5656" s="637">
        <v>55692.269937815225</v>
      </c>
      <c r="F5656" s="637">
        <v>56928.373360572819</v>
      </c>
      <c r="G5656" s="637">
        <v>58191.91239824536</v>
      </c>
      <c r="H5656" s="637">
        <v>59483.495990952179</v>
      </c>
    </row>
    <row r="5657" spans="1:8" x14ac:dyDescent="0.3">
      <c r="A5657" s="90"/>
      <c r="B5657" s="90"/>
      <c r="C5657" s="90"/>
      <c r="D5657" s="90"/>
      <c r="E5657" s="90"/>
      <c r="F5657" s="90"/>
      <c r="G5657" s="90"/>
      <c r="H5657" s="90"/>
    </row>
    <row r="5658" spans="1:8" x14ac:dyDescent="0.3">
      <c r="A5658" t="s">
        <v>2651</v>
      </c>
      <c r="B5658" s="637">
        <v>2070</v>
      </c>
      <c r="C5658" s="637">
        <v>2002</v>
      </c>
      <c r="D5658" s="637">
        <v>1979.6660090615899</v>
      </c>
      <c r="E5658" s="637">
        <v>1978.8793563622978</v>
      </c>
      <c r="F5658" s="637">
        <v>1944.8428309746757</v>
      </c>
      <c r="G5658" s="637">
        <v>1927.33384193492</v>
      </c>
      <c r="H5658" s="637">
        <v>1882.3735775810044</v>
      </c>
    </row>
    <row r="5659" spans="1:8" x14ac:dyDescent="0.3">
      <c r="A5659" t="s">
        <v>2652</v>
      </c>
      <c r="B5659" s="637">
        <v>1439</v>
      </c>
      <c r="C5659" s="637">
        <v>1478</v>
      </c>
      <c r="D5659" s="637">
        <v>1852.8088545737376</v>
      </c>
      <c r="E5659" s="637">
        <v>1704.5391563506114</v>
      </c>
      <c r="F5659" s="637">
        <v>1724.9480976929924</v>
      </c>
      <c r="G5659" s="637">
        <v>1745.6014012051505</v>
      </c>
      <c r="H5659" s="637">
        <v>1766.501992706168</v>
      </c>
    </row>
    <row r="5660" spans="1:8" x14ac:dyDescent="0.3">
      <c r="A5660" t="s">
        <v>2653</v>
      </c>
      <c r="B5660" s="637">
        <v>1444</v>
      </c>
      <c r="C5660" s="637">
        <v>1641</v>
      </c>
      <c r="D5660" s="637">
        <v>1675.6738472428879</v>
      </c>
      <c r="E5660" s="637">
        <v>1584.4008966493352</v>
      </c>
      <c r="F5660" s="637">
        <v>1587.1757172051421</v>
      </c>
      <c r="G5660" s="637">
        <v>1589.9553974079815</v>
      </c>
      <c r="H5660" s="637">
        <v>1592.7399457687347</v>
      </c>
    </row>
    <row r="5661" spans="1:8" x14ac:dyDescent="0.3">
      <c r="A5661" t="s">
        <v>2654</v>
      </c>
      <c r="B5661" s="637">
        <v>1810</v>
      </c>
      <c r="C5661" s="637">
        <v>1786</v>
      </c>
      <c r="D5661" s="637">
        <v>1738.1859581894753</v>
      </c>
      <c r="E5661" s="637">
        <v>1758.9977624420624</v>
      </c>
      <c r="F5661" s="637">
        <v>1762.977380591783</v>
      </c>
      <c r="G5661" s="637">
        <v>1766.9660023689985</v>
      </c>
      <c r="H5661" s="637">
        <v>1770.9636481438315</v>
      </c>
    </row>
    <row r="5662" spans="1:8" x14ac:dyDescent="0.3">
      <c r="A5662" s="90" t="s">
        <v>266</v>
      </c>
      <c r="B5662" s="803">
        <f t="shared" ref="B5662:H5662" si="1593">+SUM(B5658:B5661)</f>
        <v>6763</v>
      </c>
      <c r="C5662" s="803">
        <f t="shared" si="1593"/>
        <v>6907</v>
      </c>
      <c r="D5662" s="803">
        <f t="shared" si="1593"/>
        <v>7246.3346690676899</v>
      </c>
      <c r="E5662" s="803">
        <f t="shared" si="1593"/>
        <v>7026.8171718043068</v>
      </c>
      <c r="F5662" s="803">
        <f t="shared" si="1593"/>
        <v>7019.9440264645928</v>
      </c>
      <c r="G5662" s="803">
        <f t="shared" si="1593"/>
        <v>7029.8566429170505</v>
      </c>
      <c r="H5662" s="803">
        <f t="shared" si="1593"/>
        <v>7012.5791641997384</v>
      </c>
    </row>
    <row r="5664" spans="1:8" x14ac:dyDescent="0.3">
      <c r="A5664" s="141" t="s">
        <v>2655</v>
      </c>
    </row>
    <row r="5665" spans="1:8" x14ac:dyDescent="0.3">
      <c r="A5665" t="s">
        <v>2651</v>
      </c>
      <c r="C5665" s="379">
        <f t="shared" ref="C5665:H5668" si="1594">+C5658/AVERAGE(B$5655:C$5655)*1000</f>
        <v>71.048335580949683</v>
      </c>
      <c r="D5665" s="379">
        <f t="shared" si="1594"/>
        <v>66.725197421283056</v>
      </c>
      <c r="E5665" s="379">
        <f t="shared" si="1594"/>
        <v>64.378257165902141</v>
      </c>
      <c r="F5665" s="379">
        <f t="shared" si="1594"/>
        <v>61.574968595760993</v>
      </c>
      <c r="G5665" s="379">
        <f t="shared" si="1594"/>
        <v>59.77503103457412</v>
      </c>
      <c r="H5665" s="379">
        <f t="shared" si="1594"/>
        <v>57.466146863118944</v>
      </c>
    </row>
    <row r="5666" spans="1:8" x14ac:dyDescent="0.3">
      <c r="A5666" t="s">
        <v>2652</v>
      </c>
      <c r="C5666" s="379">
        <f t="shared" si="1594"/>
        <v>52.452267726595217</v>
      </c>
      <c r="D5666" s="379">
        <f t="shared" si="1594"/>
        <v>62.44944149136407</v>
      </c>
      <c r="E5666" s="379">
        <f t="shared" si="1594"/>
        <v>55.453234076185375</v>
      </c>
      <c r="F5666" s="379">
        <f t="shared" si="1594"/>
        <v>54.612960622393196</v>
      </c>
      <c r="G5666" s="379">
        <f t="shared" si="1594"/>
        <v>54.13871518298037</v>
      </c>
      <c r="H5666" s="379">
        <f t="shared" si="1594"/>
        <v>53.928754714724775</v>
      </c>
    </row>
    <row r="5667" spans="1:8" x14ac:dyDescent="0.3">
      <c r="A5667" t="s">
        <v>2653</v>
      </c>
      <c r="C5667" s="379">
        <f t="shared" si="1594"/>
        <v>58.236922421747458</v>
      </c>
      <c r="D5667" s="379">
        <f t="shared" si="1594"/>
        <v>56.479056446477614</v>
      </c>
      <c r="E5667" s="379">
        <f t="shared" si="1594"/>
        <v>51.544814013261295</v>
      </c>
      <c r="F5667" s="379">
        <f t="shared" si="1594"/>
        <v>50.250998891197092</v>
      </c>
      <c r="G5667" s="379">
        <f t="shared" si="1594"/>
        <v>49.311453550899621</v>
      </c>
      <c r="H5667" s="379">
        <f t="shared" si="1594"/>
        <v>48.624050363012202</v>
      </c>
    </row>
    <row r="5668" spans="1:8" x14ac:dyDescent="0.3">
      <c r="A5668" t="s">
        <v>2654</v>
      </c>
      <c r="C5668" s="379">
        <f t="shared" si="1594"/>
        <v>63.382780892895163</v>
      </c>
      <c r="D5668" s="379">
        <f t="shared" si="1594"/>
        <v>58.586044658145411</v>
      </c>
      <c r="E5668" s="379">
        <f t="shared" si="1594"/>
        <v>57.22491871000603</v>
      </c>
      <c r="F5668" s="379">
        <f t="shared" si="1594"/>
        <v>55.816992055122796</v>
      </c>
      <c r="G5668" s="379">
        <f t="shared" si="1594"/>
        <v>54.80132467482025</v>
      </c>
      <c r="H5668" s="379">
        <f t="shared" si="1594"/>
        <v>54.064962611864345</v>
      </c>
    </row>
    <row r="5669" spans="1:8" x14ac:dyDescent="0.3">
      <c r="A5669" s="90" t="s">
        <v>266</v>
      </c>
      <c r="C5669" s="1817">
        <f t="shared" ref="C5669:H5669" si="1595">+SUM(C5665:C5668)</f>
        <v>245.12030662218754</v>
      </c>
      <c r="D5669" s="1817">
        <f t="shared" si="1595"/>
        <v>244.23974001727015</v>
      </c>
      <c r="E5669" s="1817">
        <f t="shared" si="1595"/>
        <v>228.60122396535482</v>
      </c>
      <c r="F5669" s="1817">
        <f t="shared" si="1595"/>
        <v>222.25592016447408</v>
      </c>
      <c r="G5669" s="1817">
        <f t="shared" si="1595"/>
        <v>218.02652444327435</v>
      </c>
      <c r="H5669" s="1817">
        <f t="shared" si="1595"/>
        <v>214.08391455272027</v>
      </c>
    </row>
    <row r="5671" spans="1:8" x14ac:dyDescent="0.3">
      <c r="A5671" s="141" t="s">
        <v>2648</v>
      </c>
    </row>
    <row r="5672" spans="1:8" x14ac:dyDescent="0.3">
      <c r="A5672" t="s">
        <v>2651</v>
      </c>
      <c r="C5672" s="379">
        <f t="shared" ref="C5672:H5675" si="1596">+C5658/AVERAGE(B$5656:C$5656)*1000</f>
        <v>37.969161909458151</v>
      </c>
      <c r="D5672" s="379">
        <f t="shared" si="1596"/>
        <v>36.734288177026386</v>
      </c>
      <c r="E5672" s="379">
        <f t="shared" si="1596"/>
        <v>35.922385165251377</v>
      </c>
      <c r="F5672" s="379">
        <f t="shared" si="1596"/>
        <v>34.537945691214361</v>
      </c>
      <c r="G5672" s="379">
        <f t="shared" si="1596"/>
        <v>33.483826577233572</v>
      </c>
      <c r="H5672" s="379">
        <f t="shared" si="1596"/>
        <v>31.992641510200251</v>
      </c>
    </row>
    <row r="5673" spans="1:8" x14ac:dyDescent="0.3">
      <c r="A5673" t="s">
        <v>2652</v>
      </c>
      <c r="C5673" s="379">
        <f t="shared" si="1596"/>
        <v>28.031179471617957</v>
      </c>
      <c r="D5673" s="379">
        <f t="shared" si="1596"/>
        <v>34.380352084299673</v>
      </c>
      <c r="E5673" s="379">
        <f t="shared" si="1596"/>
        <v>30.9423168758697</v>
      </c>
      <c r="F5673" s="379">
        <f t="shared" si="1596"/>
        <v>30.632893707111005</v>
      </c>
      <c r="G5673" s="379">
        <f t="shared" si="1596"/>
        <v>30.326564770039898</v>
      </c>
      <c r="H5673" s="379">
        <f t="shared" si="1596"/>
        <v>30.023299122339491</v>
      </c>
    </row>
    <row r="5674" spans="1:8" x14ac:dyDescent="0.3">
      <c r="A5674" t="s">
        <v>2653</v>
      </c>
      <c r="C5674" s="379">
        <f t="shared" si="1596"/>
        <v>31.122574771938474</v>
      </c>
      <c r="D5674" s="379">
        <f t="shared" si="1596"/>
        <v>31.093470167983114</v>
      </c>
      <c r="E5674" s="379">
        <f t="shared" si="1596"/>
        <v>28.761459905384367</v>
      </c>
      <c r="F5674" s="379">
        <f t="shared" si="1596"/>
        <v>28.186230707276728</v>
      </c>
      <c r="G5674" s="379">
        <f t="shared" si="1596"/>
        <v>27.622506093131225</v>
      </c>
      <c r="H5674" s="379">
        <f t="shared" si="1596"/>
        <v>27.070055971268609</v>
      </c>
    </row>
    <row r="5675" spans="1:8" x14ac:dyDescent="0.3">
      <c r="A5675" t="s">
        <v>2654</v>
      </c>
      <c r="C5675" s="379">
        <f t="shared" si="1596"/>
        <v>33.872588996149979</v>
      </c>
      <c r="D5675" s="379">
        <f t="shared" si="1596"/>
        <v>32.253432448264277</v>
      </c>
      <c r="E5675" s="379">
        <f t="shared" si="1596"/>
        <v>31.930898123781638</v>
      </c>
      <c r="F5675" s="379">
        <f t="shared" si="1596"/>
        <v>31.308245610367894</v>
      </c>
      <c r="G5675" s="379">
        <f t="shared" si="1596"/>
        <v>30.697734820965721</v>
      </c>
      <c r="H5675" s="379">
        <f t="shared" si="1596"/>
        <v>30.099128991956892</v>
      </c>
    </row>
    <row r="5676" spans="1:8" x14ac:dyDescent="0.3">
      <c r="A5676" s="90" t="s">
        <v>266</v>
      </c>
      <c r="C5676" s="1817">
        <f t="shared" ref="C5676:H5676" si="1597">+SUM(C5672:C5675)</f>
        <v>130.99550514916456</v>
      </c>
      <c r="D5676" s="1817">
        <f t="shared" si="1597"/>
        <v>134.46154287757344</v>
      </c>
      <c r="E5676" s="1817">
        <f t="shared" si="1597"/>
        <v>127.55706007028709</v>
      </c>
      <c r="F5676" s="1817">
        <f t="shared" si="1597"/>
        <v>124.66531571597</v>
      </c>
      <c r="G5676" s="1817">
        <f t="shared" si="1597"/>
        <v>122.13063226137041</v>
      </c>
      <c r="H5676" s="1817">
        <f t="shared" si="1597"/>
        <v>119.18512559576524</v>
      </c>
    </row>
    <row r="5677" spans="1:8" x14ac:dyDescent="0.3">
      <c r="A5677" s="114"/>
      <c r="B5677" s="114"/>
      <c r="C5677" s="114"/>
      <c r="D5677" s="114"/>
      <c r="E5677" s="114"/>
      <c r="F5677" s="114"/>
      <c r="G5677" s="114"/>
      <c r="H5677" s="114"/>
    </row>
    <row r="5680" spans="1:8" x14ac:dyDescent="0.3">
      <c r="A5680" s="141" t="s">
        <v>1968</v>
      </c>
    </row>
    <row r="5681" spans="1:8" x14ac:dyDescent="0.3">
      <c r="A5681" s="147"/>
      <c r="B5681" s="147">
        <v>2019</v>
      </c>
      <c r="C5681" s="147">
        <f t="shared" ref="C5681:H5681" si="1598">+B5681+1</f>
        <v>2020</v>
      </c>
      <c r="D5681" s="147">
        <f t="shared" si="1598"/>
        <v>2021</v>
      </c>
      <c r="E5681" s="147">
        <f t="shared" si="1598"/>
        <v>2022</v>
      </c>
      <c r="F5681" s="147">
        <f t="shared" si="1598"/>
        <v>2023</v>
      </c>
      <c r="G5681" s="147">
        <f t="shared" si="1598"/>
        <v>2024</v>
      </c>
      <c r="H5681" s="147">
        <f t="shared" si="1598"/>
        <v>2025</v>
      </c>
    </row>
    <row r="5682" spans="1:8" x14ac:dyDescent="0.3">
      <c r="A5682" t="s">
        <v>2650</v>
      </c>
      <c r="B5682" s="637">
        <v>1145.2852019670427</v>
      </c>
      <c r="C5682" s="637">
        <v>1260.8384217876192</v>
      </c>
      <c r="D5682" s="637">
        <v>1163.7995661463119</v>
      </c>
      <c r="E5682" s="637">
        <v>1191.9494808453492</v>
      </c>
      <c r="F5682" s="637">
        <v>1226.203324783145</v>
      </c>
      <c r="G5682" s="637">
        <v>1224.8271948650208</v>
      </c>
      <c r="H5682" s="637">
        <v>1216.6756411354327</v>
      </c>
    </row>
    <row r="5683" spans="1:8" x14ac:dyDescent="0.3">
      <c r="A5683" t="s">
        <v>324</v>
      </c>
      <c r="B5683" s="637">
        <v>8818.6</v>
      </c>
      <c r="C5683" s="637">
        <v>9034.1</v>
      </c>
      <c r="D5683" s="637">
        <v>9259.9524999999994</v>
      </c>
      <c r="E5683" s="637">
        <v>0</v>
      </c>
      <c r="F5683" s="637">
        <v>0</v>
      </c>
      <c r="G5683" s="637">
        <v>0</v>
      </c>
      <c r="H5683" s="637">
        <v>0</v>
      </c>
    </row>
    <row r="5684" spans="1:8" x14ac:dyDescent="0.3">
      <c r="A5684" s="90"/>
      <c r="B5684" s="90"/>
      <c r="C5684" s="90"/>
      <c r="D5684" s="90"/>
      <c r="E5684" s="90"/>
      <c r="F5684" s="90"/>
      <c r="G5684" s="90"/>
      <c r="H5684" s="90"/>
    </row>
    <row r="5685" spans="1:8" x14ac:dyDescent="0.3">
      <c r="A5685" t="s">
        <v>2651</v>
      </c>
      <c r="B5685" s="637">
        <v>0.44194558397962136</v>
      </c>
      <c r="C5685" s="637">
        <v>0.45716977970287842</v>
      </c>
      <c r="D5685" s="637">
        <v>0.45389882149719196</v>
      </c>
      <c r="E5685" s="637">
        <v>0.43400700091848832</v>
      </c>
      <c r="F5685" s="637">
        <v>0.4380838695435158</v>
      </c>
      <c r="G5685" s="637">
        <v>0.44759501197043633</v>
      </c>
      <c r="H5685" s="637">
        <v>0.4532363783718929</v>
      </c>
    </row>
    <row r="5686" spans="1:8" x14ac:dyDescent="0.3">
      <c r="A5686" t="s">
        <v>2652</v>
      </c>
      <c r="B5686" s="637">
        <v>-7.0245659914787928E-2</v>
      </c>
      <c r="C5686" s="637">
        <v>-0.49495413778348352</v>
      </c>
      <c r="D5686" s="637">
        <v>1.5639228770368829E-2</v>
      </c>
      <c r="E5686" s="637">
        <v>-2.5000000000000001E-2</v>
      </c>
      <c r="F5686" s="637">
        <v>-2.5000000000000001E-2</v>
      </c>
      <c r="G5686" s="637">
        <v>-2.5000000000000001E-2</v>
      </c>
      <c r="H5686" s="637">
        <v>-2.5000000000000001E-2</v>
      </c>
    </row>
    <row r="5687" spans="1:8" x14ac:dyDescent="0.3">
      <c r="A5687" t="s">
        <v>2656</v>
      </c>
      <c r="B5687" s="637">
        <v>-0.32204173376551015</v>
      </c>
      <c r="C5687" s="637">
        <v>0.18510076514466034</v>
      </c>
      <c r="D5687" s="637">
        <v>-0.18265889876996255</v>
      </c>
      <c r="E5687" s="637">
        <v>0</v>
      </c>
      <c r="F5687" s="637">
        <v>0.02</v>
      </c>
      <c r="G5687" s="637">
        <v>0.02</v>
      </c>
      <c r="H5687" s="637">
        <v>1.95E-2</v>
      </c>
    </row>
    <row r="5688" spans="1:8" x14ac:dyDescent="0.3">
      <c r="A5688" t="s">
        <v>2654</v>
      </c>
      <c r="B5688" s="637">
        <v>348.60921500000001</v>
      </c>
      <c r="C5688" s="637">
        <v>210</v>
      </c>
      <c r="D5688" s="637">
        <v>361.49421875000007</v>
      </c>
      <c r="E5688" s="637">
        <v>750</v>
      </c>
      <c r="F5688" s="637">
        <v>750</v>
      </c>
      <c r="G5688" s="637">
        <v>750</v>
      </c>
      <c r="H5688" s="637">
        <v>750</v>
      </c>
    </row>
    <row r="5689" spans="1:8" x14ac:dyDescent="0.3">
      <c r="A5689" s="90" t="s">
        <v>266</v>
      </c>
      <c r="B5689" s="803">
        <f t="shared" ref="B5689:H5689" si="1599">+SUM(B5685:B5688)</f>
        <v>348.65887319029935</v>
      </c>
      <c r="C5689" s="803">
        <f t="shared" si="1599"/>
        <v>210.14731640706407</v>
      </c>
      <c r="D5689" s="803">
        <f t="shared" si="1599"/>
        <v>361.78109790149767</v>
      </c>
      <c r="E5689" s="803">
        <f t="shared" si="1599"/>
        <v>750.40900700091845</v>
      </c>
      <c r="F5689" s="803">
        <f t="shared" si="1599"/>
        <v>750.43308386954357</v>
      </c>
      <c r="G5689" s="803">
        <f t="shared" si="1599"/>
        <v>750.44259501197041</v>
      </c>
      <c r="H5689" s="803">
        <f t="shared" si="1599"/>
        <v>750.44773637837193</v>
      </c>
    </row>
    <row r="5691" spans="1:8" x14ac:dyDescent="0.3">
      <c r="A5691" s="141" t="s">
        <v>2655</v>
      </c>
    </row>
    <row r="5692" spans="1:8" x14ac:dyDescent="0.3">
      <c r="A5692" t="s">
        <v>2651</v>
      </c>
      <c r="C5692" s="379">
        <f t="shared" ref="C5692:H5695" si="1600">+C5685/AVERAGE(B$5682:C$5682)*1000</f>
        <v>0.38000522931526087</v>
      </c>
      <c r="D5692" s="379">
        <f t="shared" si="1600"/>
        <v>0.37440543599167614</v>
      </c>
      <c r="E5692" s="379">
        <f t="shared" si="1600"/>
        <v>0.36846624344195233</v>
      </c>
      <c r="F5692" s="379">
        <f t="shared" si="1600"/>
        <v>0.36232935199449057</v>
      </c>
      <c r="G5692" s="379">
        <f t="shared" si="1600"/>
        <v>0.36523006007667874</v>
      </c>
      <c r="H5692" s="379">
        <f t="shared" si="1600"/>
        <v>0.37127655285820749</v>
      </c>
    </row>
    <row r="5693" spans="1:8" x14ac:dyDescent="0.3">
      <c r="A5693" t="s">
        <v>2652</v>
      </c>
      <c r="C5693" s="379">
        <f t="shared" si="1600"/>
        <v>-0.41141205954424481</v>
      </c>
      <c r="D5693" s="379">
        <f t="shared" si="1600"/>
        <v>1.2900258800032446E-2</v>
      </c>
      <c r="E5693" s="379">
        <f t="shared" si="1600"/>
        <v>-2.1224671644821849E-2</v>
      </c>
      <c r="F5693" s="379">
        <f t="shared" si="1600"/>
        <v>-2.0676939804473882E-2</v>
      </c>
      <c r="G5693" s="379">
        <f t="shared" si="1600"/>
        <v>-2.0399582787397223E-2</v>
      </c>
      <c r="H5693" s="379">
        <f t="shared" si="1600"/>
        <v>-2.0479189809956347E-2</v>
      </c>
    </row>
    <row r="5694" spans="1:8" x14ac:dyDescent="0.3">
      <c r="A5694" t="s">
        <v>2653</v>
      </c>
      <c r="C5694" s="379">
        <f t="shared" si="1600"/>
        <v>0.15385806723913698</v>
      </c>
      <c r="D5694" s="379">
        <f t="shared" si="1600"/>
        <v>-0.1506690068199491</v>
      </c>
      <c r="E5694" s="379">
        <f t="shared" si="1600"/>
        <v>0</v>
      </c>
      <c r="F5694" s="379">
        <f t="shared" si="1600"/>
        <v>1.6541551843579104E-2</v>
      </c>
      <c r="G5694" s="379">
        <f t="shared" si="1600"/>
        <v>1.6319666229917779E-2</v>
      </c>
      <c r="H5694" s="379">
        <f t="shared" si="1600"/>
        <v>1.5973768051765945E-2</v>
      </c>
    </row>
    <row r="5695" spans="1:8" x14ac:dyDescent="0.3">
      <c r="A5695" t="s">
        <v>2654</v>
      </c>
      <c r="C5695" s="379">
        <f t="shared" si="1600"/>
        <v>174.55462215387189</v>
      </c>
      <c r="D5695" s="379">
        <f t="shared" si="1600"/>
        <v>298.18407576632461</v>
      </c>
      <c r="E5695" s="379">
        <f t="shared" si="1600"/>
        <v>636.74014934465538</v>
      </c>
      <c r="F5695" s="379">
        <f t="shared" si="1600"/>
        <v>620.30819413421636</v>
      </c>
      <c r="G5695" s="379">
        <f t="shared" si="1600"/>
        <v>611.98748362191679</v>
      </c>
      <c r="H5695" s="379">
        <f t="shared" si="1600"/>
        <v>614.37569429869029</v>
      </c>
    </row>
    <row r="5696" spans="1:8" x14ac:dyDescent="0.3">
      <c r="A5696" s="90" t="s">
        <v>266</v>
      </c>
      <c r="C5696" s="1817">
        <f t="shared" ref="C5696:H5696" si="1601">+SUM(C5692:C5695)</f>
        <v>174.67707339088204</v>
      </c>
      <c r="D5696" s="1817">
        <f t="shared" si="1601"/>
        <v>298.42071245429639</v>
      </c>
      <c r="E5696" s="1817">
        <f t="shared" si="1601"/>
        <v>637.08739091645248</v>
      </c>
      <c r="F5696" s="1817">
        <f t="shared" si="1601"/>
        <v>620.66638809824997</v>
      </c>
      <c r="G5696" s="1817">
        <f t="shared" si="1601"/>
        <v>612.34863376543603</v>
      </c>
      <c r="H5696" s="1817">
        <f t="shared" si="1601"/>
        <v>614.74246542979029</v>
      </c>
    </row>
    <row r="5698" spans="1:14" x14ac:dyDescent="0.3">
      <c r="A5698" s="141" t="s">
        <v>2648</v>
      </c>
    </row>
    <row r="5699" spans="1:14" x14ac:dyDescent="0.3">
      <c r="A5699" t="s">
        <v>2651</v>
      </c>
      <c r="C5699" s="379">
        <f t="shared" ref="C5699:H5702" si="1602">+C5685/AVERAGE(B$5683:C$5683)*1000</f>
        <v>5.1215757807264825E-2</v>
      </c>
      <c r="D5699" s="379">
        <f t="shared" si="1602"/>
        <v>4.9622555909598708E-2</v>
      </c>
      <c r="E5699" s="379">
        <f t="shared" si="1602"/>
        <v>9.3738493997347905E-2</v>
      </c>
      <c r="F5699" s="379" t="e">
        <f t="shared" si="1602"/>
        <v>#DIV/0!</v>
      </c>
      <c r="G5699" s="379" t="e">
        <f t="shared" si="1602"/>
        <v>#DIV/0!</v>
      </c>
      <c r="H5699" s="379" t="e">
        <f t="shared" si="1602"/>
        <v>#DIV/0!</v>
      </c>
    </row>
    <row r="5700" spans="1:14" x14ac:dyDescent="0.3">
      <c r="A5700" t="s">
        <v>2652</v>
      </c>
      <c r="C5700" s="379">
        <f t="shared" si="1602"/>
        <v>-5.5448659058123809E-2</v>
      </c>
      <c r="D5700" s="379">
        <f t="shared" si="1602"/>
        <v>1.7097610024207409E-3</v>
      </c>
      <c r="E5700" s="379">
        <f t="shared" si="1602"/>
        <v>-5.3995957322675262E-3</v>
      </c>
      <c r="F5700" s="379" t="e">
        <f t="shared" si="1602"/>
        <v>#DIV/0!</v>
      </c>
      <c r="G5700" s="379" t="e">
        <f t="shared" si="1602"/>
        <v>#DIV/0!</v>
      </c>
      <c r="H5700" s="379" t="e">
        <f t="shared" si="1602"/>
        <v>#DIV/0!</v>
      </c>
    </row>
    <row r="5701" spans="1:14" x14ac:dyDescent="0.3">
      <c r="A5701" t="s">
        <v>2656</v>
      </c>
      <c r="C5701" s="379">
        <f t="shared" si="1602"/>
        <v>2.0736444923698975E-2</v>
      </c>
      <c r="D5701" s="379">
        <f t="shared" si="1602"/>
        <v>-1.9969211170675558E-2</v>
      </c>
      <c r="E5701" s="379">
        <f t="shared" si="1602"/>
        <v>0</v>
      </c>
      <c r="F5701" s="379" t="e">
        <f t="shared" si="1602"/>
        <v>#DIV/0!</v>
      </c>
      <c r="G5701" s="379" t="e">
        <f t="shared" si="1602"/>
        <v>#DIV/0!</v>
      </c>
      <c r="H5701" s="379" t="e">
        <f t="shared" si="1602"/>
        <v>#DIV/0!</v>
      </c>
    </row>
    <row r="5702" spans="1:14" x14ac:dyDescent="0.3">
      <c r="A5702" t="s">
        <v>2654</v>
      </c>
      <c r="C5702" s="379">
        <f t="shared" si="1602"/>
        <v>23.525853232284192</v>
      </c>
      <c r="D5702" s="379">
        <f t="shared" si="1602"/>
        <v>39.520409023643083</v>
      </c>
      <c r="E5702" s="379">
        <f t="shared" si="1602"/>
        <v>161.98787196802579</v>
      </c>
      <c r="F5702" s="379" t="e">
        <f t="shared" si="1602"/>
        <v>#DIV/0!</v>
      </c>
      <c r="G5702" s="379" t="e">
        <f t="shared" si="1602"/>
        <v>#DIV/0!</v>
      </c>
      <c r="H5702" s="379" t="e">
        <f t="shared" si="1602"/>
        <v>#DIV/0!</v>
      </c>
    </row>
    <row r="5703" spans="1:14" x14ac:dyDescent="0.3">
      <c r="A5703" s="90" t="s">
        <v>266</v>
      </c>
      <c r="C5703" s="1817">
        <f t="shared" ref="C5703:H5703" si="1603">+SUM(C5699:C5702)</f>
        <v>23.542356775957032</v>
      </c>
      <c r="D5703" s="1817">
        <f t="shared" si="1603"/>
        <v>39.551772129384425</v>
      </c>
      <c r="E5703" s="1817">
        <f t="shared" si="1603"/>
        <v>162.07621086629086</v>
      </c>
      <c r="F5703" s="1817" t="e">
        <f t="shared" si="1603"/>
        <v>#DIV/0!</v>
      </c>
      <c r="G5703" s="1817" t="e">
        <f t="shared" si="1603"/>
        <v>#DIV/0!</v>
      </c>
      <c r="H5703" s="1817" t="e">
        <f t="shared" si="1603"/>
        <v>#DIV/0!</v>
      </c>
    </row>
    <row r="5704" spans="1:14" x14ac:dyDescent="0.3">
      <c r="A5704" s="114"/>
      <c r="B5704" s="114"/>
      <c r="C5704" s="114"/>
      <c r="D5704" s="114"/>
      <c r="E5704" s="114"/>
      <c r="F5704" s="114"/>
      <c r="G5704" s="114"/>
      <c r="H5704" s="114"/>
    </row>
    <row r="5708" spans="1:14" x14ac:dyDescent="0.3">
      <c r="A5708" s="147"/>
      <c r="B5708" s="147">
        <v>2019</v>
      </c>
      <c r="C5708" s="147">
        <f>+B5708+1</f>
        <v>2020</v>
      </c>
      <c r="D5708" s="147">
        <f t="shared" ref="D5708:N5708" si="1604">+C5708+1</f>
        <v>2021</v>
      </c>
      <c r="E5708" s="147">
        <f t="shared" si="1604"/>
        <v>2022</v>
      </c>
      <c r="F5708" s="147">
        <f t="shared" si="1604"/>
        <v>2023</v>
      </c>
      <c r="G5708" s="147">
        <f t="shared" si="1604"/>
        <v>2024</v>
      </c>
      <c r="H5708" s="147">
        <f t="shared" si="1604"/>
        <v>2025</v>
      </c>
      <c r="I5708" s="147">
        <f t="shared" si="1604"/>
        <v>2026</v>
      </c>
      <c r="J5708" s="147">
        <f t="shared" si="1604"/>
        <v>2027</v>
      </c>
      <c r="K5708" s="147">
        <f t="shared" si="1604"/>
        <v>2028</v>
      </c>
      <c r="L5708" s="147">
        <f t="shared" si="1604"/>
        <v>2029</v>
      </c>
      <c r="M5708" s="147">
        <f t="shared" si="1604"/>
        <v>2030</v>
      </c>
      <c r="N5708" s="147">
        <f t="shared" si="1604"/>
        <v>2031</v>
      </c>
    </row>
    <row r="5709" spans="1:14" x14ac:dyDescent="0.3">
      <c r="A5709" s="141" t="s">
        <v>324</v>
      </c>
    </row>
    <row r="5710" spans="1:14" x14ac:dyDescent="0.3">
      <c r="A5710" t="s">
        <v>628</v>
      </c>
      <c r="B5710" s="79">
        <f>+Drivers!DY90</f>
        <v>3223</v>
      </c>
      <c r="C5710" s="79">
        <f>+Drivers!ED90</f>
        <v>3309</v>
      </c>
      <c r="D5710" s="79">
        <f>+Drivers!EI90</f>
        <v>3947</v>
      </c>
      <c r="E5710" s="79">
        <f>+Drivers!EN90</f>
        <v>5171</v>
      </c>
      <c r="F5710" s="79">
        <f>+Drivers!ES90</f>
        <v>6491</v>
      </c>
      <c r="G5710" s="79">
        <f>+Drivers!EX90</f>
        <v>7823</v>
      </c>
      <c r="H5710" s="79">
        <f>+Drivers!FC90</f>
        <v>9123</v>
      </c>
      <c r="I5710" s="79">
        <f>+Drivers!FD90</f>
        <v>10023</v>
      </c>
      <c r="J5710" s="79">
        <f>+Drivers!FE90</f>
        <v>10123.23</v>
      </c>
      <c r="K5710" s="79">
        <f>+Drivers!FF90</f>
        <v>10224.462299999999</v>
      </c>
      <c r="L5710" s="79">
        <f>+Drivers!FG90</f>
        <v>10326.706922999998</v>
      </c>
      <c r="M5710" s="79">
        <f>+Drivers!FH90</f>
        <v>10429.97399223</v>
      </c>
      <c r="N5710" s="79">
        <f>+Drivers!FI90</f>
        <v>10534.273732152298</v>
      </c>
    </row>
    <row r="5711" spans="1:14" x14ac:dyDescent="0.3">
      <c r="A5711" t="s">
        <v>629</v>
      </c>
      <c r="B5711" s="79">
        <f>+Drivers!DY94</f>
        <v>11977</v>
      </c>
      <c r="C5711" s="79">
        <f>+Drivers!ED94</f>
        <v>11891</v>
      </c>
      <c r="D5711" s="79">
        <f>+Drivers!EI94</f>
        <v>11353</v>
      </c>
      <c r="E5711" s="79">
        <f>+Drivers!EN94</f>
        <v>10229</v>
      </c>
      <c r="F5711" s="79">
        <f>+Drivers!ES94</f>
        <v>8909</v>
      </c>
      <c r="G5711" s="79">
        <f>+Drivers!EX94</f>
        <v>7677</v>
      </c>
      <c r="H5711" s="79">
        <f>+Drivers!FC94</f>
        <v>6485.4999999999982</v>
      </c>
      <c r="I5711" s="79">
        <f>+Drivers!FD94</f>
        <v>5694.7594999999965</v>
      </c>
      <c r="J5711" s="79">
        <f>+Drivers!FE94</f>
        <v>5704.5538164999944</v>
      </c>
      <c r="K5711" s="79">
        <f>+Drivers!FF94</f>
        <v>5714.116003215493</v>
      </c>
      <c r="L5711" s="79">
        <f>+Drivers!FG94</f>
        <v>5723.4414283380011</v>
      </c>
      <c r="M5711" s="79">
        <f>+Drivers!FH94</f>
        <v>5732.5253975673641</v>
      </c>
      <c r="N5711" s="79">
        <f>+Drivers!FI94</f>
        <v>5741.3631533736461</v>
      </c>
    </row>
    <row r="5712" spans="1:14" x14ac:dyDescent="0.3">
      <c r="A5712" s="90" t="s">
        <v>266</v>
      </c>
      <c r="B5712" s="803">
        <f>+SUM(B5710:B5711)</f>
        <v>15200</v>
      </c>
      <c r="C5712" s="803">
        <f t="shared" ref="C5712:N5712" si="1605">+SUM(C5710:C5711)</f>
        <v>15200</v>
      </c>
      <c r="D5712" s="803">
        <f t="shared" si="1605"/>
        <v>15300</v>
      </c>
      <c r="E5712" s="803">
        <f t="shared" si="1605"/>
        <v>15400</v>
      </c>
      <c r="F5712" s="803">
        <f t="shared" si="1605"/>
        <v>15400</v>
      </c>
      <c r="G5712" s="803">
        <f t="shared" si="1605"/>
        <v>15500</v>
      </c>
      <c r="H5712" s="803">
        <f t="shared" si="1605"/>
        <v>15608.499999999998</v>
      </c>
      <c r="I5712" s="803">
        <f t="shared" si="1605"/>
        <v>15717.759499999996</v>
      </c>
      <c r="J5712" s="803">
        <f t="shared" si="1605"/>
        <v>15827.783816499994</v>
      </c>
      <c r="K5712" s="803">
        <f t="shared" si="1605"/>
        <v>15938.578303215492</v>
      </c>
      <c r="L5712" s="803">
        <f t="shared" si="1605"/>
        <v>16050.148351337999</v>
      </c>
      <c r="M5712" s="803">
        <f t="shared" si="1605"/>
        <v>16162.499389797364</v>
      </c>
      <c r="N5712" s="803">
        <f t="shared" si="1605"/>
        <v>16275.636885525944</v>
      </c>
    </row>
    <row r="5713" spans="1:14" x14ac:dyDescent="0.3">
      <c r="A5713" s="90"/>
      <c r="B5713" s="85"/>
      <c r="C5713" s="85"/>
      <c r="D5713" s="85"/>
      <c r="E5713" s="85"/>
      <c r="F5713" s="85"/>
      <c r="G5713" s="85"/>
      <c r="H5713" s="85"/>
      <c r="I5713" s="85"/>
      <c r="J5713" s="85"/>
      <c r="K5713" s="85"/>
      <c r="L5713" s="85"/>
      <c r="M5713" s="85"/>
      <c r="N5713" s="85"/>
    </row>
    <row r="5714" spans="1:14" x14ac:dyDescent="0.3">
      <c r="A5714" s="90" t="s">
        <v>2657</v>
      </c>
      <c r="B5714" s="79">
        <f>+Drivers!DY431</f>
        <v>3413</v>
      </c>
      <c r="C5714" s="79">
        <f>+Drivers!ED431</f>
        <v>3264</v>
      </c>
      <c r="D5714" s="79">
        <f>+Drivers!EI431</f>
        <v>3165</v>
      </c>
      <c r="E5714" s="79">
        <f>+Drivers!EN431</f>
        <v>3133</v>
      </c>
      <c r="F5714" s="79">
        <f>+Drivers!ES431</f>
        <v>3129</v>
      </c>
      <c r="G5714" s="79">
        <f>+Drivers!EX431</f>
        <v>3193</v>
      </c>
      <c r="H5714" s="79">
        <f>+Drivers!FC431</f>
        <v>3388.2322183429674</v>
      </c>
      <c r="I5714" s="79">
        <f>+Drivers!FD431</f>
        <v>3669.3671669780897</v>
      </c>
      <c r="J5714" s="79">
        <f>+Drivers!FE431</f>
        <v>3980.8126773359149</v>
      </c>
      <c r="K5714" s="79">
        <f>+Drivers!FF431</f>
        <v>4222.4929217166473</v>
      </c>
      <c r="L5714" s="79">
        <f>+Drivers!FG431</f>
        <v>4406.9622462608586</v>
      </c>
      <c r="M5714" s="79">
        <f>+Drivers!FH431</f>
        <v>4535.8814453318628</v>
      </c>
      <c r="N5714" s="79">
        <f>+Drivers!FI431</f>
        <v>4613.11615534885</v>
      </c>
    </row>
    <row r="5716" spans="1:14" x14ac:dyDescent="0.3">
      <c r="A5716" s="141" t="s">
        <v>499</v>
      </c>
    </row>
    <row r="5717" spans="1:14" x14ac:dyDescent="0.3">
      <c r="A5717" t="s">
        <v>628</v>
      </c>
      <c r="B5717" s="76">
        <f>+B5719*0.4</f>
        <v>490.40000000000003</v>
      </c>
      <c r="C5717" s="76">
        <f>+C5719*0.4</f>
        <v>393.24304400000005</v>
      </c>
      <c r="D5717" s="76">
        <f>+D5720*AVERAGE(C5710:D5710)/1000</f>
        <v>436.82968880342935</v>
      </c>
      <c r="E5717" s="76">
        <f t="shared" ref="E5717:N5717" si="1606">+E5720*AVERAGE(D5710:E5710)/1000</f>
        <v>548.92683331169644</v>
      </c>
      <c r="F5717" s="76">
        <f t="shared" si="1606"/>
        <v>702.0821156044093</v>
      </c>
      <c r="G5717" s="76">
        <f t="shared" si="1606"/>
        <v>861.73927308879388</v>
      </c>
      <c r="H5717" s="76">
        <f t="shared" si="1606"/>
        <v>1020.1923796117577</v>
      </c>
      <c r="I5717" s="76">
        <f t="shared" si="1606"/>
        <v>1152.6379853680346</v>
      </c>
      <c r="J5717" s="76">
        <f t="shared" si="1606"/>
        <v>1212.8543800251259</v>
      </c>
      <c r="K5717" s="76">
        <f t="shared" si="1606"/>
        <v>1224.9829238253769</v>
      </c>
      <c r="L5717" s="76">
        <f t="shared" si="1606"/>
        <v>1237.2327530636308</v>
      </c>
      <c r="M5717" s="76">
        <f t="shared" si="1606"/>
        <v>1249.6050805942671</v>
      </c>
      <c r="N5717" s="76">
        <f t="shared" si="1606"/>
        <v>1262.1011314002096</v>
      </c>
    </row>
    <row r="5718" spans="1:14" x14ac:dyDescent="0.3">
      <c r="A5718" t="s">
        <v>629</v>
      </c>
      <c r="B5718" s="76">
        <f>+B5719-B5717</f>
        <v>735.59999999999991</v>
      </c>
      <c r="C5718" s="76">
        <f>+C5719-C5717</f>
        <v>589.86456599999997</v>
      </c>
      <c r="D5718" s="76">
        <f>+D5721*AVERAGE(C5711:D5711)/1000</f>
        <v>574.4432701568627</v>
      </c>
      <c r="E5718" s="76">
        <f t="shared" ref="E5718:N5718" si="1607">+E5721*AVERAGE(D5711:E5711)/1000</f>
        <v>533.36924180542985</v>
      </c>
      <c r="F5718" s="76">
        <f t="shared" si="1607"/>
        <v>472.96916641980891</v>
      </c>
      <c r="G5718" s="76">
        <f t="shared" si="1607"/>
        <v>409.90002059979889</v>
      </c>
      <c r="H5718" s="76">
        <f t="shared" si="1607"/>
        <v>350.0065743244092</v>
      </c>
      <c r="I5718" s="76">
        <f t="shared" si="1607"/>
        <v>301.01824550590214</v>
      </c>
      <c r="J5718" s="76">
        <f t="shared" si="1607"/>
        <v>281.7182420871161</v>
      </c>
      <c r="K5718" s="76">
        <f t="shared" si="1607"/>
        <v>282.19661125790913</v>
      </c>
      <c r="L5718" s="76">
        <f t="shared" si="1607"/>
        <v>282.66339242765946</v>
      </c>
      <c r="M5718" s="76">
        <f t="shared" si="1607"/>
        <v>283.11835511450749</v>
      </c>
      <c r="N5718" s="76">
        <f t="shared" si="1607"/>
        <v>283.56126572956208</v>
      </c>
    </row>
    <row r="5719" spans="1:14" x14ac:dyDescent="0.3">
      <c r="A5719" s="90" t="s">
        <v>266</v>
      </c>
      <c r="B5719" s="855">
        <f>+Drivers!DY565</f>
        <v>1226</v>
      </c>
      <c r="C5719" s="855">
        <f>+Drivers!ED565</f>
        <v>983.10761000000002</v>
      </c>
      <c r="D5719" s="803">
        <f>+SUM(D5717:D5718)</f>
        <v>1011.272958960292</v>
      </c>
      <c r="E5719" s="803">
        <f t="shared" ref="E5719:N5719" si="1608">+SUM(E5717:E5718)</f>
        <v>1082.2960751171263</v>
      </c>
      <c r="F5719" s="803">
        <f t="shared" si="1608"/>
        <v>1175.0512820242182</v>
      </c>
      <c r="G5719" s="803">
        <f t="shared" si="1608"/>
        <v>1271.6392936885927</v>
      </c>
      <c r="H5719" s="803">
        <f t="shared" si="1608"/>
        <v>1370.1989539361668</v>
      </c>
      <c r="I5719" s="803">
        <f t="shared" si="1608"/>
        <v>1453.6562308739367</v>
      </c>
      <c r="J5719" s="803">
        <f t="shared" si="1608"/>
        <v>1494.572622112242</v>
      </c>
      <c r="K5719" s="803">
        <f t="shared" si="1608"/>
        <v>1507.1795350832861</v>
      </c>
      <c r="L5719" s="803">
        <f t="shared" si="1608"/>
        <v>1519.8961454912901</v>
      </c>
      <c r="M5719" s="803">
        <f t="shared" si="1608"/>
        <v>1532.7234357087746</v>
      </c>
      <c r="N5719" s="803">
        <f t="shared" si="1608"/>
        <v>1545.6623971297718</v>
      </c>
    </row>
    <row r="5720" spans="1:14" x14ac:dyDescent="0.3">
      <c r="A5720" s="94" t="s">
        <v>2658</v>
      </c>
      <c r="B5720" s="500">
        <f>+B5717/B5710*1000</f>
        <v>152.15637604716105</v>
      </c>
      <c r="C5720" s="500">
        <f>+C5717/AVERAGE(B5710:C5710)*1000</f>
        <v>120.40509614206984</v>
      </c>
      <c r="D5720" s="138">
        <f>+C5720</f>
        <v>120.40509614206984</v>
      </c>
      <c r="E5720" s="138">
        <f t="shared" ref="E5720:N5720" si="1609">+D5720</f>
        <v>120.40509614206984</v>
      </c>
      <c r="F5720" s="138">
        <f t="shared" si="1609"/>
        <v>120.40509614206984</v>
      </c>
      <c r="G5720" s="138">
        <f t="shared" si="1609"/>
        <v>120.40509614206984</v>
      </c>
      <c r="H5720" s="138">
        <f t="shared" si="1609"/>
        <v>120.40509614206984</v>
      </c>
      <c r="I5720" s="138">
        <f t="shared" si="1609"/>
        <v>120.40509614206984</v>
      </c>
      <c r="J5720" s="138">
        <f t="shared" si="1609"/>
        <v>120.40509614206984</v>
      </c>
      <c r="K5720" s="138">
        <f t="shared" si="1609"/>
        <v>120.40509614206984</v>
      </c>
      <c r="L5720" s="138">
        <f t="shared" si="1609"/>
        <v>120.40509614206984</v>
      </c>
      <c r="M5720" s="138">
        <f t="shared" si="1609"/>
        <v>120.40509614206984</v>
      </c>
      <c r="N5720" s="138">
        <f t="shared" si="1609"/>
        <v>120.40509614206984</v>
      </c>
    </row>
    <row r="5721" spans="1:14" x14ac:dyDescent="0.3">
      <c r="A5721" s="94" t="s">
        <v>2659</v>
      </c>
      <c r="B5721" s="500">
        <f>+B5718/B5711*1000</f>
        <v>61.41771729147532</v>
      </c>
      <c r="C5721" s="500">
        <f>+C5718/AVERAGE(B5711:C5711)*1000</f>
        <v>49.427230266465557</v>
      </c>
      <c r="D5721" s="138">
        <f>+C5721</f>
        <v>49.427230266465557</v>
      </c>
      <c r="E5721" s="138">
        <f t="shared" ref="E5721:N5721" si="1610">+D5721</f>
        <v>49.427230266465557</v>
      </c>
      <c r="F5721" s="138">
        <f t="shared" si="1610"/>
        <v>49.427230266465557</v>
      </c>
      <c r="G5721" s="138">
        <f t="shared" si="1610"/>
        <v>49.427230266465557</v>
      </c>
      <c r="H5721" s="138">
        <f t="shared" si="1610"/>
        <v>49.427230266465557</v>
      </c>
      <c r="I5721" s="138">
        <f t="shared" si="1610"/>
        <v>49.427230266465557</v>
      </c>
      <c r="J5721" s="138">
        <f t="shared" si="1610"/>
        <v>49.427230266465557</v>
      </c>
      <c r="K5721" s="138">
        <f t="shared" si="1610"/>
        <v>49.427230266465557</v>
      </c>
      <c r="L5721" s="138">
        <f t="shared" si="1610"/>
        <v>49.427230266465557</v>
      </c>
      <c r="M5721" s="138">
        <f t="shared" si="1610"/>
        <v>49.427230266465557</v>
      </c>
      <c r="N5721" s="138">
        <f t="shared" si="1610"/>
        <v>49.427230266465557</v>
      </c>
    </row>
    <row r="5722" spans="1:14" x14ac:dyDescent="0.3">
      <c r="A5722" s="94" t="s">
        <v>2660</v>
      </c>
      <c r="B5722" s="500">
        <f>+B5719/B5712*1000</f>
        <v>80.65789473684211</v>
      </c>
      <c r="C5722" s="500">
        <f>+C5719/AVERAGE(B5712:C5712)*1000</f>
        <v>64.678132236842103</v>
      </c>
      <c r="D5722" s="500">
        <f t="shared" ref="D5722:N5722" si="1611">+D5719/AVERAGE(C5712:D5712)*1000</f>
        <v>66.312980915428994</v>
      </c>
      <c r="E5722" s="500">
        <f t="shared" si="1611"/>
        <v>70.507887629780214</v>
      </c>
      <c r="F5722" s="500">
        <f t="shared" si="1611"/>
        <v>76.30203130027391</v>
      </c>
      <c r="G5722" s="500">
        <f t="shared" si="1611"/>
        <v>82.306750400556169</v>
      </c>
      <c r="H5722" s="500">
        <f t="shared" si="1611"/>
        <v>88.091611870464149</v>
      </c>
      <c r="I5722" s="500">
        <f t="shared" si="1611"/>
        <v>92.807520213125798</v>
      </c>
      <c r="J5722" s="500">
        <f t="shared" si="1611"/>
        <v>94.756499015853137</v>
      </c>
      <c r="K5722" s="500">
        <f t="shared" si="1611"/>
        <v>94.891541524540486</v>
      </c>
      <c r="L5722" s="500">
        <f t="shared" si="1611"/>
        <v>95.026986344574468</v>
      </c>
      <c r="M5722" s="500">
        <f t="shared" si="1611"/>
        <v>95.162834674499337</v>
      </c>
      <c r="N5722" s="500">
        <f t="shared" si="1611"/>
        <v>95.299087716429938</v>
      </c>
    </row>
    <row r="5723" spans="1:14" x14ac:dyDescent="0.3">
      <c r="A5723" s="94" t="s">
        <v>2661</v>
      </c>
      <c r="C5723" s="500">
        <f>+C5719/AVERAGE(B5714:C5714)*1000</f>
        <v>294.47584543956867</v>
      </c>
    </row>
    <row r="5725" spans="1:14" x14ac:dyDescent="0.3">
      <c r="A5725" s="147"/>
      <c r="B5725" s="147"/>
      <c r="C5725" s="147">
        <v>2020</v>
      </c>
      <c r="D5725" s="147">
        <v>2021</v>
      </c>
      <c r="E5725" s="147">
        <v>2022</v>
      </c>
      <c r="F5725" s="147">
        <v>2023</v>
      </c>
      <c r="G5725" s="147">
        <v>2024</v>
      </c>
      <c r="H5725" s="147">
        <v>2025</v>
      </c>
      <c r="I5725" s="147">
        <v>2026</v>
      </c>
      <c r="J5725" s="147">
        <v>2027</v>
      </c>
      <c r="K5725" s="147">
        <v>2028</v>
      </c>
      <c r="L5725" s="147">
        <v>2029</v>
      </c>
      <c r="M5725" s="147">
        <v>2030</v>
      </c>
      <c r="N5725" s="147">
        <v>2031</v>
      </c>
    </row>
    <row r="5726" spans="1:14" x14ac:dyDescent="0.3">
      <c r="A5726" t="s">
        <v>2662</v>
      </c>
      <c r="C5726" s="95" t="e">
        <f>+C5730-SUM(C5727:C5729)</f>
        <v>#REF!</v>
      </c>
      <c r="D5726" s="365" t="e">
        <f>+D5732*AVERAGE(C5710:D5710)/1000</f>
        <v>#REF!</v>
      </c>
      <c r="E5726" s="365" t="e">
        <f t="shared" ref="E5726:L5726" si="1612">+E5732*AVERAGE(D5710:E5710)/1000</f>
        <v>#REF!</v>
      </c>
      <c r="F5726" s="365" t="e">
        <f t="shared" si="1612"/>
        <v>#REF!</v>
      </c>
      <c r="G5726" s="365" t="e">
        <f t="shared" si="1612"/>
        <v>#REF!</v>
      </c>
      <c r="H5726" s="365" t="e">
        <f t="shared" si="1612"/>
        <v>#REF!</v>
      </c>
      <c r="I5726" s="365" t="e">
        <f t="shared" si="1612"/>
        <v>#REF!</v>
      </c>
      <c r="J5726" s="365" t="e">
        <f t="shared" si="1612"/>
        <v>#REF!</v>
      </c>
      <c r="K5726" s="365" t="e">
        <f t="shared" si="1612"/>
        <v>#REF!</v>
      </c>
      <c r="L5726" s="365" t="e">
        <f t="shared" si="1612"/>
        <v>#REF!</v>
      </c>
      <c r="M5726" s="365" t="e">
        <f t="shared" ref="L5726:N5727" si="1613">+M5732*AVERAGE(L5710:M5710)/1000</f>
        <v>#REF!</v>
      </c>
      <c r="N5726" s="365" t="e">
        <f t="shared" si="1613"/>
        <v>#REF!</v>
      </c>
    </row>
    <row r="5727" spans="1:14" x14ac:dyDescent="0.3">
      <c r="A5727" t="s">
        <v>2663</v>
      </c>
      <c r="C5727" s="95" t="e">
        <f>+(C5730-C5729-C5728)*0.5</f>
        <v>#REF!</v>
      </c>
      <c r="D5727" s="95">
        <v>584</v>
      </c>
      <c r="E5727" s="95">
        <v>552</v>
      </c>
      <c r="F5727" s="95">
        <v>490</v>
      </c>
      <c r="G5727" s="95">
        <v>421</v>
      </c>
      <c r="H5727" s="95">
        <v>351</v>
      </c>
      <c r="I5727" s="95">
        <v>281</v>
      </c>
      <c r="J5727" s="95">
        <v>212</v>
      </c>
      <c r="K5727" s="95">
        <v>142</v>
      </c>
      <c r="L5727" s="365">
        <f t="shared" si="1613"/>
        <v>138.67901002483293</v>
      </c>
      <c r="M5727" s="365">
        <f t="shared" si="1613"/>
        <v>135.42966617708578</v>
      </c>
      <c r="N5727" s="365">
        <f t="shared" si="1613"/>
        <v>132.25049415958978</v>
      </c>
    </row>
    <row r="5728" spans="1:14" x14ac:dyDescent="0.3">
      <c r="A5728" t="s">
        <v>2664</v>
      </c>
      <c r="C5728" s="76">
        <f t="shared" ref="C5728:N5728" si="1614">+C4506</f>
        <v>50</v>
      </c>
      <c r="D5728" s="76">
        <f t="shared" si="1614"/>
        <v>272.25</v>
      </c>
      <c r="E5728" s="76">
        <f t="shared" si="1614"/>
        <v>637.02049843145119</v>
      </c>
      <c r="F5728" s="76">
        <f t="shared" si="1614"/>
        <v>838.28865409543857</v>
      </c>
      <c r="G5728" s="76">
        <f t="shared" si="1614"/>
        <v>967.50470476617795</v>
      </c>
      <c r="H5728" s="76">
        <f t="shared" si="1614"/>
        <v>1119.8984898305766</v>
      </c>
      <c r="I5728" s="76">
        <f t="shared" si="1614"/>
        <v>1444.4129565912824</v>
      </c>
      <c r="J5728" s="76">
        <f t="shared" si="1614"/>
        <v>1691.5236472215088</v>
      </c>
      <c r="K5728" s="76">
        <f t="shared" si="1614"/>
        <v>1919.3444831464617</v>
      </c>
      <c r="L5728" s="76">
        <f t="shared" si="1614"/>
        <v>0</v>
      </c>
      <c r="M5728" s="76">
        <f t="shared" si="1614"/>
        <v>0</v>
      </c>
      <c r="N5728" s="76">
        <f t="shared" si="1614"/>
        <v>0</v>
      </c>
    </row>
    <row r="5729" spans="1:43" x14ac:dyDescent="0.3">
      <c r="A5729" t="s">
        <v>2665</v>
      </c>
      <c r="C5729" s="76" t="e">
        <f t="shared" ref="C5729:N5729" si="1615">+C4607</f>
        <v>#REF!</v>
      </c>
      <c r="D5729" s="76" t="e">
        <f t="shared" si="1615"/>
        <v>#REF!</v>
      </c>
      <c r="E5729" s="76" t="e">
        <f t="shared" si="1615"/>
        <v>#REF!</v>
      </c>
      <c r="F5729" s="76" t="e">
        <f t="shared" si="1615"/>
        <v>#REF!</v>
      </c>
      <c r="G5729" s="76" t="e">
        <f t="shared" si="1615"/>
        <v>#REF!</v>
      </c>
      <c r="H5729" s="76" t="e">
        <f t="shared" si="1615"/>
        <v>#REF!</v>
      </c>
      <c r="I5729" s="76" t="e">
        <f t="shared" si="1615"/>
        <v>#REF!</v>
      </c>
      <c r="J5729" s="76" t="e">
        <f t="shared" si="1615"/>
        <v>#REF!</v>
      </c>
      <c r="K5729" s="76" t="e">
        <f t="shared" si="1615"/>
        <v>#REF!</v>
      </c>
      <c r="L5729" s="76" t="e">
        <f t="shared" si="1615"/>
        <v>#REF!</v>
      </c>
      <c r="M5729" s="76" t="e">
        <f t="shared" si="1615"/>
        <v>#REF!</v>
      </c>
      <c r="N5729" s="76" t="e">
        <f t="shared" si="1615"/>
        <v>#REF!</v>
      </c>
    </row>
    <row r="5730" spans="1:43" x14ac:dyDescent="0.3">
      <c r="A5730" s="90" t="s">
        <v>266</v>
      </c>
      <c r="C5730" s="855">
        <f>+Drivers!ED572</f>
        <v>1181</v>
      </c>
      <c r="D5730" s="803" t="e">
        <f t="shared" ref="D5730:N5730" si="1616">+SUM(D5726:D5729)</f>
        <v>#REF!</v>
      </c>
      <c r="E5730" s="803" t="e">
        <f t="shared" si="1616"/>
        <v>#REF!</v>
      </c>
      <c r="F5730" s="803" t="e">
        <f t="shared" si="1616"/>
        <v>#REF!</v>
      </c>
      <c r="G5730" s="803" t="e">
        <f t="shared" si="1616"/>
        <v>#REF!</v>
      </c>
      <c r="H5730" s="803" t="e">
        <f t="shared" si="1616"/>
        <v>#REF!</v>
      </c>
      <c r="I5730" s="803" t="e">
        <f t="shared" si="1616"/>
        <v>#REF!</v>
      </c>
      <c r="J5730" s="803" t="e">
        <f t="shared" si="1616"/>
        <v>#REF!</v>
      </c>
      <c r="K5730" s="803" t="e">
        <f t="shared" si="1616"/>
        <v>#REF!</v>
      </c>
      <c r="L5730" s="803" t="e">
        <f t="shared" si="1616"/>
        <v>#REF!</v>
      </c>
      <c r="M5730" s="803" t="e">
        <f t="shared" si="1616"/>
        <v>#REF!</v>
      </c>
      <c r="N5730" s="803" t="e">
        <f t="shared" si="1616"/>
        <v>#REF!</v>
      </c>
    </row>
    <row r="5732" spans="1:43" x14ac:dyDescent="0.3">
      <c r="C5732" s="379" t="e">
        <f>+C5726/AVERAGE(B5710:C5710)*1000</f>
        <v>#REF!</v>
      </c>
      <c r="D5732" s="621" t="e">
        <f>+C5732*0.975</f>
        <v>#REF!</v>
      </c>
      <c r="E5732" s="621" t="e">
        <f>+D5732*0.905</f>
        <v>#REF!</v>
      </c>
      <c r="F5732" s="621" t="e">
        <f t="shared" ref="F5732:K5732" si="1617">+E5732*0.905</f>
        <v>#REF!</v>
      </c>
      <c r="G5732" s="621" t="e">
        <f t="shared" si="1617"/>
        <v>#REF!</v>
      </c>
      <c r="H5732" s="621" t="e">
        <f t="shared" si="1617"/>
        <v>#REF!</v>
      </c>
      <c r="I5732" s="621" t="e">
        <f t="shared" si="1617"/>
        <v>#REF!</v>
      </c>
      <c r="J5732" s="621" t="e">
        <f t="shared" si="1617"/>
        <v>#REF!</v>
      </c>
      <c r="K5732" s="621" t="e">
        <f t="shared" si="1617"/>
        <v>#REF!</v>
      </c>
      <c r="L5732" s="621" t="e">
        <f>+K5732</f>
        <v>#REF!</v>
      </c>
      <c r="M5732" s="621" t="e">
        <f>+L5732</f>
        <v>#REF!</v>
      </c>
      <c r="N5732" s="621" t="e">
        <f>+M5732</f>
        <v>#REF!</v>
      </c>
    </row>
    <row r="5733" spans="1:43" x14ac:dyDescent="0.3">
      <c r="C5733" s="379" t="e">
        <f>+C5727/AVERAGE(B5711:C5711)*1000</f>
        <v>#REF!</v>
      </c>
      <c r="D5733" s="379">
        <f t="shared" ref="D5733:K5733" si="1618">+D5727/AVERAGE(C5711:D5711)*1000</f>
        <v>50.249526759593877</v>
      </c>
      <c r="E5733" s="379">
        <f t="shared" si="1618"/>
        <v>51.153739227133727</v>
      </c>
      <c r="F5733" s="379">
        <f t="shared" si="1618"/>
        <v>51.207022677395756</v>
      </c>
      <c r="G5733" s="379">
        <f t="shared" si="1618"/>
        <v>50.765706017122874</v>
      </c>
      <c r="H5733" s="379">
        <f t="shared" si="1618"/>
        <v>49.567519858781999</v>
      </c>
      <c r="I5733" s="379">
        <f t="shared" si="1618"/>
        <v>46.140232069768317</v>
      </c>
      <c r="J5733" s="379">
        <f t="shared" si="1618"/>
        <v>37.195222925075598</v>
      </c>
      <c r="K5733" s="379">
        <f t="shared" si="1618"/>
        <v>24.871548480160563</v>
      </c>
      <c r="L5733" s="621">
        <f>+K5733*0.975</f>
        <v>24.249759768156547</v>
      </c>
      <c r="M5733" s="621">
        <f>+L5733*0.975</f>
        <v>23.643515773952632</v>
      </c>
      <c r="N5733" s="621">
        <f>+M5733*0.975</f>
        <v>23.052427879603815</v>
      </c>
    </row>
    <row r="5736" spans="1:43" x14ac:dyDescent="0.3">
      <c r="A5736" s="627" t="s">
        <v>2666</v>
      </c>
      <c r="B5736" s="627"/>
      <c r="C5736" s="627"/>
      <c r="D5736" s="627"/>
      <c r="E5736" s="627"/>
      <c r="F5736" s="627"/>
      <c r="G5736" s="627"/>
      <c r="H5736" s="627"/>
      <c r="I5736" s="627"/>
      <c r="J5736" s="627"/>
      <c r="K5736" s="627"/>
      <c r="L5736" s="627"/>
      <c r="M5736" s="627"/>
      <c r="N5736" s="627"/>
    </row>
    <row r="5738" spans="1:43" x14ac:dyDescent="0.3">
      <c r="A5738" s="147"/>
      <c r="B5738" s="374" t="s">
        <v>1876</v>
      </c>
      <c r="C5738" s="374" t="s">
        <v>1877</v>
      </c>
      <c r="D5738" s="374" t="s">
        <v>1878</v>
      </c>
      <c r="E5738" s="374" t="s">
        <v>1879</v>
      </c>
      <c r="F5738" s="147">
        <v>2019</v>
      </c>
      <c r="G5738" s="374" t="s">
        <v>1166</v>
      </c>
      <c r="H5738" s="374" t="s">
        <v>1167</v>
      </c>
      <c r="I5738" s="374" t="s">
        <v>1168</v>
      </c>
      <c r="J5738" s="374" t="s">
        <v>1169</v>
      </c>
      <c r="K5738" s="147">
        <v>2020</v>
      </c>
      <c r="L5738" s="374" t="s">
        <v>1125</v>
      </c>
      <c r="M5738" s="374" t="s">
        <v>1126</v>
      </c>
      <c r="N5738" s="374" t="s">
        <v>1127</v>
      </c>
      <c r="O5738" s="374" t="s">
        <v>1128</v>
      </c>
      <c r="P5738" s="147">
        <v>2021</v>
      </c>
      <c r="Q5738" s="374" t="s">
        <v>922</v>
      </c>
      <c r="R5738" s="374" t="s">
        <v>923</v>
      </c>
      <c r="S5738" s="374" t="s">
        <v>924</v>
      </c>
      <c r="T5738" s="374" t="s">
        <v>925</v>
      </c>
      <c r="U5738" s="147">
        <f>+P5738+1</f>
        <v>2022</v>
      </c>
      <c r="V5738" s="374" t="s">
        <v>883</v>
      </c>
      <c r="W5738" s="374" t="s">
        <v>884</v>
      </c>
      <c r="X5738" s="374" t="s">
        <v>885</v>
      </c>
      <c r="Y5738" s="374" t="s">
        <v>886</v>
      </c>
      <c r="Z5738" s="147">
        <f>+U5738+1</f>
        <v>2023</v>
      </c>
      <c r="AA5738" s="374" t="s">
        <v>887</v>
      </c>
      <c r="AB5738" s="374" t="s">
        <v>888</v>
      </c>
      <c r="AC5738" s="374" t="s">
        <v>1027</v>
      </c>
      <c r="AD5738" s="374" t="s">
        <v>1028</v>
      </c>
      <c r="AE5738" s="147">
        <f>+Z5738+1</f>
        <v>2024</v>
      </c>
      <c r="AF5738" s="374" t="s">
        <v>1047</v>
      </c>
      <c r="AG5738" s="374" t="s">
        <v>1048</v>
      </c>
      <c r="AH5738" s="374" t="s">
        <v>1049</v>
      </c>
      <c r="AI5738" s="374" t="s">
        <v>1050</v>
      </c>
      <c r="AJ5738" s="147">
        <f>+AE5738+1</f>
        <v>2025</v>
      </c>
      <c r="AP5738" s="147">
        <f>+AJ5738+1</f>
        <v>2026</v>
      </c>
      <c r="AQ5738" s="147">
        <v>2027</v>
      </c>
    </row>
    <row r="5739" spans="1:43" x14ac:dyDescent="0.3">
      <c r="A5739" t="s">
        <v>2667</v>
      </c>
      <c r="B5739" s="76" t="e">
        <f>+Drivers!#REF!</f>
        <v>#REF!</v>
      </c>
      <c r="C5739" s="76" t="e">
        <f>+Drivers!#REF!</f>
        <v>#REF!</v>
      </c>
      <c r="D5739" s="76" t="e">
        <f>+Drivers!#REF!</f>
        <v>#REF!</v>
      </c>
      <c r="E5739" s="76" t="e">
        <f>+Drivers!#REF!</f>
        <v>#REF!</v>
      </c>
      <c r="F5739" s="85">
        <f>+B4243</f>
        <v>7502</v>
      </c>
      <c r="G5739" s="76" t="e">
        <f>+Drivers!#REF!</f>
        <v>#REF!</v>
      </c>
      <c r="H5739" s="76" t="e">
        <f>+Drivers!#REF!</f>
        <v>#REF!</v>
      </c>
      <c r="I5739" s="76" t="e">
        <f>+Drivers!#REF!</f>
        <v>#REF!</v>
      </c>
      <c r="J5739" s="76" t="e">
        <f>+Drivers!#REF!</f>
        <v>#REF!</v>
      </c>
      <c r="K5739" s="85" t="e">
        <f>+C4243</f>
        <v>#REF!</v>
      </c>
      <c r="L5739" s="76" t="e">
        <f t="shared" ref="L5739:N5742" si="1619">+G5739*(1+L5745)</f>
        <v>#REF!</v>
      </c>
      <c r="M5739" s="76" t="e">
        <f t="shared" si="1619"/>
        <v>#REF!</v>
      </c>
      <c r="N5739" s="76" t="e">
        <f t="shared" si="1619"/>
        <v>#REF!</v>
      </c>
      <c r="O5739" s="76" t="e">
        <f>+P5739-SUM(L5739:N5739)</f>
        <v>#REF!</v>
      </c>
      <c r="P5739" s="85">
        <f>+D4243</f>
        <v>6374</v>
      </c>
      <c r="Q5739" s="76" t="e">
        <f t="shared" ref="Q5739:S5742" si="1620">+L5739*(1+Q5745)</f>
        <v>#REF!</v>
      </c>
      <c r="R5739" s="76" t="e">
        <f t="shared" si="1620"/>
        <v>#REF!</v>
      </c>
      <c r="S5739" s="76" t="e">
        <f t="shared" si="1620"/>
        <v>#REF!</v>
      </c>
      <c r="T5739" s="76" t="e">
        <f>+U5739-SUM(Q5739:S5739)</f>
        <v>#REF!</v>
      </c>
      <c r="U5739" s="85">
        <f>+E4243</f>
        <v>5778</v>
      </c>
      <c r="V5739" s="76" t="e">
        <f t="shared" ref="V5739:X5742" si="1621">+Q5739*(1+V5745)</f>
        <v>#REF!</v>
      </c>
      <c r="W5739" s="76" t="e">
        <f t="shared" si="1621"/>
        <v>#REF!</v>
      </c>
      <c r="X5739" s="76" t="e">
        <f t="shared" si="1621"/>
        <v>#REF!</v>
      </c>
      <c r="Y5739" s="76" t="e">
        <f>+Z5739-SUM(V5739:X5739)</f>
        <v>#REF!</v>
      </c>
      <c r="Z5739" s="85">
        <f>+F4243</f>
        <v>5618</v>
      </c>
      <c r="AA5739" s="76" t="e">
        <f t="shared" ref="AA5739:AC5742" si="1622">+V5739*(1+AA5745)</f>
        <v>#REF!</v>
      </c>
      <c r="AB5739" s="76" t="e">
        <f t="shared" si="1622"/>
        <v>#REF!</v>
      </c>
      <c r="AC5739" s="76" t="e">
        <f t="shared" si="1622"/>
        <v>#REF!</v>
      </c>
      <c r="AD5739" s="76" t="e">
        <f>+AE5739-SUM(AA5739:AC5739)</f>
        <v>#REF!</v>
      </c>
      <c r="AE5739" s="85">
        <f>+G4243</f>
        <v>5535</v>
      </c>
      <c r="AF5739" s="76" t="e">
        <f t="shared" ref="AF5739:AH5742" si="1623">+AA5739*(1+AF5745)</f>
        <v>#REF!</v>
      </c>
      <c r="AG5739" s="76" t="e">
        <f t="shared" si="1623"/>
        <v>#REF!</v>
      </c>
      <c r="AH5739" s="76" t="e">
        <f t="shared" si="1623"/>
        <v>#REF!</v>
      </c>
      <c r="AI5739" s="76" t="e">
        <f>+AJ5739-SUM(AF5739:AH5739)</f>
        <v>#REF!</v>
      </c>
      <c r="AJ5739" s="85">
        <f>+H4243</f>
        <v>5442.6464274421351</v>
      </c>
      <c r="AP5739" s="85">
        <f>+I4243</f>
        <v>5351.8338092409458</v>
      </c>
      <c r="AQ5739" s="85">
        <f>+J4243</f>
        <v>5262.5364339890275</v>
      </c>
    </row>
    <row r="5740" spans="1:43" x14ac:dyDescent="0.3">
      <c r="A5740" t="s">
        <v>2668</v>
      </c>
      <c r="B5740" s="76" t="e">
        <f t="shared" ref="B5740:D5742" si="1624">+B5739</f>
        <v>#REF!</v>
      </c>
      <c r="C5740" s="76" t="e">
        <f t="shared" si="1624"/>
        <v>#REF!</v>
      </c>
      <c r="D5740" s="76" t="e">
        <f t="shared" si="1624"/>
        <v>#REF!</v>
      </c>
      <c r="E5740" s="76" t="e">
        <f>+E5739</f>
        <v>#REF!</v>
      </c>
      <c r="F5740" s="85">
        <f>+B4772</f>
        <v>0</v>
      </c>
      <c r="G5740" s="76" t="e">
        <f>+G5739</f>
        <v>#REF!</v>
      </c>
      <c r="H5740" s="76" t="e">
        <f>+H5739</f>
        <v>#REF!</v>
      </c>
      <c r="I5740" s="76" t="e">
        <f>+I5739</f>
        <v>#REF!</v>
      </c>
      <c r="J5740" s="76" t="e">
        <f>+J5739</f>
        <v>#REF!</v>
      </c>
      <c r="K5740" s="85">
        <f>+C4772</f>
        <v>0</v>
      </c>
      <c r="L5740" s="76" t="e">
        <f t="shared" si="1619"/>
        <v>#REF!</v>
      </c>
      <c r="M5740" s="76" t="e">
        <f t="shared" si="1619"/>
        <v>#REF!</v>
      </c>
      <c r="N5740" s="76" t="e">
        <f t="shared" si="1619"/>
        <v>#REF!</v>
      </c>
      <c r="O5740" s="76" t="e">
        <f>+P5740-SUM(L5740:N5740)</f>
        <v>#REF!</v>
      </c>
      <c r="P5740" s="85">
        <f>+D4772</f>
        <v>0</v>
      </c>
      <c r="Q5740" s="76" t="e">
        <f t="shared" si="1620"/>
        <v>#REF!</v>
      </c>
      <c r="R5740" s="76" t="e">
        <f t="shared" si="1620"/>
        <v>#REF!</v>
      </c>
      <c r="S5740" s="76" t="e">
        <f t="shared" si="1620"/>
        <v>#REF!</v>
      </c>
      <c r="T5740" s="76" t="e">
        <f>+U5740-SUM(Q5740:S5740)</f>
        <v>#REF!</v>
      </c>
      <c r="U5740" s="85">
        <f>+E4772</f>
        <v>0</v>
      </c>
      <c r="V5740" s="76" t="e">
        <f t="shared" si="1621"/>
        <v>#REF!</v>
      </c>
      <c r="W5740" s="76" t="e">
        <f t="shared" si="1621"/>
        <v>#REF!</v>
      </c>
      <c r="X5740" s="76" t="e">
        <f t="shared" si="1621"/>
        <v>#REF!</v>
      </c>
      <c r="Y5740" s="76" t="e">
        <f>+Z5740-SUM(V5740:X5740)</f>
        <v>#REF!</v>
      </c>
      <c r="Z5740" s="85">
        <f>+F4772</f>
        <v>0</v>
      </c>
      <c r="AA5740" s="76" t="e">
        <f t="shared" si="1622"/>
        <v>#REF!</v>
      </c>
      <c r="AB5740" s="76" t="e">
        <f t="shared" si="1622"/>
        <v>#REF!</v>
      </c>
      <c r="AC5740" s="76" t="e">
        <f t="shared" si="1622"/>
        <v>#REF!</v>
      </c>
      <c r="AD5740" s="76" t="e">
        <f>+AE5740-SUM(AA5740:AC5740)</f>
        <v>#REF!</v>
      </c>
      <c r="AE5740" s="85">
        <f>+G4772</f>
        <v>0</v>
      </c>
      <c r="AF5740" s="76" t="e">
        <f t="shared" si="1623"/>
        <v>#REF!</v>
      </c>
      <c r="AG5740" s="76" t="e">
        <f t="shared" si="1623"/>
        <v>#REF!</v>
      </c>
      <c r="AH5740" s="76" t="e">
        <f t="shared" si="1623"/>
        <v>#REF!</v>
      </c>
      <c r="AI5740" s="76" t="e">
        <f>+AJ5740-SUM(AF5740:AH5740)</f>
        <v>#REF!</v>
      </c>
      <c r="AJ5740" s="85">
        <f>+H4772</f>
        <v>0</v>
      </c>
      <c r="AP5740" s="85">
        <f t="shared" ref="AP5740:AQ5742" si="1625">+I4772</f>
        <v>0</v>
      </c>
      <c r="AQ5740" s="85">
        <f t="shared" si="1625"/>
        <v>0</v>
      </c>
    </row>
    <row r="5741" spans="1:43" x14ac:dyDescent="0.3">
      <c r="A5741" t="s">
        <v>2669</v>
      </c>
      <c r="B5741" s="76" t="e">
        <f t="shared" si="1624"/>
        <v>#REF!</v>
      </c>
      <c r="C5741" s="76" t="e">
        <f t="shared" si="1624"/>
        <v>#REF!</v>
      </c>
      <c r="D5741" s="76" t="e">
        <f t="shared" si="1624"/>
        <v>#REF!</v>
      </c>
      <c r="E5741" s="76" t="e">
        <f t="shared" ref="E5741:G5742" si="1626">+E5740</f>
        <v>#REF!</v>
      </c>
      <c r="F5741" s="85">
        <f>+B4773</f>
        <v>0</v>
      </c>
      <c r="G5741" s="76" t="e">
        <f t="shared" si="1626"/>
        <v>#REF!</v>
      </c>
      <c r="H5741" s="76" t="e">
        <f t="shared" ref="H5741:J5742" si="1627">+H5740</f>
        <v>#REF!</v>
      </c>
      <c r="I5741" s="76" t="e">
        <f t="shared" si="1627"/>
        <v>#REF!</v>
      </c>
      <c r="J5741" s="76" t="e">
        <f t="shared" si="1627"/>
        <v>#REF!</v>
      </c>
      <c r="K5741" s="85">
        <f>+C4773</f>
        <v>0</v>
      </c>
      <c r="L5741" s="76" t="e">
        <f t="shared" si="1619"/>
        <v>#REF!</v>
      </c>
      <c r="M5741" s="76" t="e">
        <f t="shared" si="1619"/>
        <v>#REF!</v>
      </c>
      <c r="N5741" s="76" t="e">
        <f t="shared" si="1619"/>
        <v>#REF!</v>
      </c>
      <c r="O5741" s="76" t="e">
        <f>+P5741-SUM(L5741:N5741)</f>
        <v>#REF!</v>
      </c>
      <c r="P5741" s="85">
        <f>+D4773</f>
        <v>0</v>
      </c>
      <c r="Q5741" s="76" t="e">
        <f t="shared" si="1620"/>
        <v>#REF!</v>
      </c>
      <c r="R5741" s="76" t="e">
        <f t="shared" si="1620"/>
        <v>#REF!</v>
      </c>
      <c r="S5741" s="76" t="e">
        <f t="shared" si="1620"/>
        <v>#REF!</v>
      </c>
      <c r="T5741" s="76" t="e">
        <f>+U5741-SUM(Q5741:S5741)</f>
        <v>#REF!</v>
      </c>
      <c r="U5741" s="85">
        <f>+E4773</f>
        <v>0</v>
      </c>
      <c r="V5741" s="76" t="e">
        <f t="shared" si="1621"/>
        <v>#REF!</v>
      </c>
      <c r="W5741" s="76" t="e">
        <f t="shared" si="1621"/>
        <v>#REF!</v>
      </c>
      <c r="X5741" s="76" t="e">
        <f t="shared" si="1621"/>
        <v>#REF!</v>
      </c>
      <c r="Y5741" s="76" t="e">
        <f>+Z5741-SUM(V5741:X5741)</f>
        <v>#REF!</v>
      </c>
      <c r="Z5741" s="85">
        <f>+F4773</f>
        <v>0</v>
      </c>
      <c r="AA5741" s="76" t="e">
        <f t="shared" si="1622"/>
        <v>#REF!</v>
      </c>
      <c r="AB5741" s="76" t="e">
        <f t="shared" si="1622"/>
        <v>#REF!</v>
      </c>
      <c r="AC5741" s="76" t="e">
        <f t="shared" si="1622"/>
        <v>#REF!</v>
      </c>
      <c r="AD5741" s="76" t="e">
        <f>+AE5741-SUM(AA5741:AC5741)</f>
        <v>#REF!</v>
      </c>
      <c r="AE5741" s="85">
        <f>+G4773</f>
        <v>0</v>
      </c>
      <c r="AF5741" s="76" t="e">
        <f t="shared" si="1623"/>
        <v>#REF!</v>
      </c>
      <c r="AG5741" s="76" t="e">
        <f t="shared" si="1623"/>
        <v>#REF!</v>
      </c>
      <c r="AH5741" s="76" t="e">
        <f t="shared" si="1623"/>
        <v>#REF!</v>
      </c>
      <c r="AI5741" s="76" t="e">
        <f>+AJ5741-SUM(AF5741:AH5741)</f>
        <v>#REF!</v>
      </c>
      <c r="AJ5741" s="85">
        <f>+H4773</f>
        <v>0</v>
      </c>
      <c r="AP5741" s="85">
        <f t="shared" si="1625"/>
        <v>0</v>
      </c>
      <c r="AQ5741" s="85">
        <f t="shared" si="1625"/>
        <v>0</v>
      </c>
    </row>
    <row r="5742" spans="1:43" x14ac:dyDescent="0.3">
      <c r="A5742" t="s">
        <v>2670</v>
      </c>
      <c r="B5742" s="76" t="e">
        <f t="shared" si="1624"/>
        <v>#REF!</v>
      </c>
      <c r="C5742" s="76" t="e">
        <f t="shared" si="1624"/>
        <v>#REF!</v>
      </c>
      <c r="D5742" s="76" t="e">
        <f t="shared" si="1624"/>
        <v>#REF!</v>
      </c>
      <c r="E5742" s="76" t="e">
        <f t="shared" si="1626"/>
        <v>#REF!</v>
      </c>
      <c r="F5742" s="85">
        <f>+B4774</f>
        <v>0</v>
      </c>
      <c r="G5742" s="76" t="e">
        <f t="shared" si="1626"/>
        <v>#REF!</v>
      </c>
      <c r="H5742" s="76" t="e">
        <f t="shared" si="1627"/>
        <v>#REF!</v>
      </c>
      <c r="I5742" s="76" t="e">
        <f t="shared" si="1627"/>
        <v>#REF!</v>
      </c>
      <c r="J5742" s="76" t="e">
        <f t="shared" si="1627"/>
        <v>#REF!</v>
      </c>
      <c r="K5742" s="85">
        <f>+C4774</f>
        <v>0</v>
      </c>
      <c r="L5742" s="76" t="e">
        <f t="shared" si="1619"/>
        <v>#REF!</v>
      </c>
      <c r="M5742" s="76" t="e">
        <f t="shared" si="1619"/>
        <v>#REF!</v>
      </c>
      <c r="N5742" s="76" t="e">
        <f t="shared" si="1619"/>
        <v>#REF!</v>
      </c>
      <c r="O5742" s="76" t="e">
        <f>+P5742-SUM(L5742:N5742)</f>
        <v>#REF!</v>
      </c>
      <c r="P5742" s="85">
        <f>+D4774</f>
        <v>0</v>
      </c>
      <c r="Q5742" s="76" t="e">
        <f t="shared" si="1620"/>
        <v>#REF!</v>
      </c>
      <c r="R5742" s="76" t="e">
        <f t="shared" si="1620"/>
        <v>#REF!</v>
      </c>
      <c r="S5742" s="76" t="e">
        <f t="shared" si="1620"/>
        <v>#REF!</v>
      </c>
      <c r="T5742" s="76" t="e">
        <f>+U5742-SUM(Q5742:S5742)</f>
        <v>#REF!</v>
      </c>
      <c r="U5742" s="85">
        <f>+E4774</f>
        <v>0</v>
      </c>
      <c r="V5742" s="76" t="e">
        <f t="shared" si="1621"/>
        <v>#REF!</v>
      </c>
      <c r="W5742" s="76" t="e">
        <f t="shared" si="1621"/>
        <v>#REF!</v>
      </c>
      <c r="X5742" s="76" t="e">
        <f t="shared" si="1621"/>
        <v>#REF!</v>
      </c>
      <c r="Y5742" s="76" t="e">
        <f>+Z5742-SUM(V5742:X5742)</f>
        <v>#REF!</v>
      </c>
      <c r="Z5742" s="85">
        <f>+F4774</f>
        <v>0</v>
      </c>
      <c r="AA5742" s="76" t="e">
        <f t="shared" si="1622"/>
        <v>#REF!</v>
      </c>
      <c r="AB5742" s="76" t="e">
        <f t="shared" si="1622"/>
        <v>#REF!</v>
      </c>
      <c r="AC5742" s="76" t="e">
        <f t="shared" si="1622"/>
        <v>#REF!</v>
      </c>
      <c r="AD5742" s="76" t="e">
        <f>+AE5742-SUM(AA5742:AC5742)</f>
        <v>#REF!</v>
      </c>
      <c r="AE5742" s="85">
        <f>+G4774</f>
        <v>0</v>
      </c>
      <c r="AF5742" s="76" t="e">
        <f t="shared" si="1623"/>
        <v>#REF!</v>
      </c>
      <c r="AG5742" s="76" t="e">
        <f t="shared" si="1623"/>
        <v>#REF!</v>
      </c>
      <c r="AH5742" s="76" t="e">
        <f t="shared" si="1623"/>
        <v>#REF!</v>
      </c>
      <c r="AI5742" s="76" t="e">
        <f>+AJ5742-SUM(AF5742:AH5742)</f>
        <v>#REF!</v>
      </c>
      <c r="AJ5742" s="85">
        <f>+H4774</f>
        <v>0</v>
      </c>
      <c r="AP5742" s="85">
        <f t="shared" si="1625"/>
        <v>0</v>
      </c>
      <c r="AQ5742" s="85">
        <f t="shared" si="1625"/>
        <v>0</v>
      </c>
    </row>
    <row r="5743" spans="1:43" x14ac:dyDescent="0.3">
      <c r="G5743" s="76"/>
      <c r="H5743" s="76"/>
      <c r="I5743" s="76"/>
      <c r="J5743" s="76"/>
    </row>
    <row r="5744" spans="1:43" x14ac:dyDescent="0.3">
      <c r="A5744" s="141" t="s">
        <v>2671</v>
      </c>
      <c r="L5744" s="87"/>
      <c r="AJ5744" s="74"/>
      <c r="AL5744" s="74"/>
      <c r="AP5744" s="74"/>
      <c r="AQ5744" s="74"/>
    </row>
    <row r="5745" spans="1:43" ht="12" customHeight="1" x14ac:dyDescent="0.3">
      <c r="A5745" t="s">
        <v>2667</v>
      </c>
      <c r="G5745" s="75" t="e">
        <f>+G5739/B5739-1</f>
        <v>#REF!</v>
      </c>
      <c r="H5745" s="75" t="e">
        <f t="shared" ref="H5745:K5748" si="1628">+H5739/C5739-1</f>
        <v>#REF!</v>
      </c>
      <c r="I5745" s="75" t="e">
        <f t="shared" si="1628"/>
        <v>#REF!</v>
      </c>
      <c r="J5745" s="75" t="e">
        <f t="shared" si="1628"/>
        <v>#REF!</v>
      </c>
      <c r="K5745" s="84" t="e">
        <f t="shared" si="1628"/>
        <v>#REF!</v>
      </c>
      <c r="L5745" s="87" t="e">
        <f>+J5745-2%</f>
        <v>#REF!</v>
      </c>
      <c r="M5745" s="87" t="e">
        <f>+(3*P5745+L5745)/4</f>
        <v>#REF!</v>
      </c>
      <c r="N5745" s="87" t="e">
        <f>+M5745-1%</f>
        <v>#REF!</v>
      </c>
      <c r="O5745" s="75" t="e">
        <f t="shared" ref="O5745:P5748" si="1629">+O5739/J5739-1</f>
        <v>#REF!</v>
      </c>
      <c r="P5745" s="84" t="e">
        <f t="shared" si="1629"/>
        <v>#REF!</v>
      </c>
      <c r="Q5745" s="87" t="e">
        <f>+(3*O5745+U5745)/3.5</f>
        <v>#REF!</v>
      </c>
      <c r="R5745" s="87" t="e">
        <f>+(2*U5745+Q5745)/3</f>
        <v>#REF!</v>
      </c>
      <c r="S5745" s="87" t="e">
        <f>+U5745/R5745*R5745</f>
        <v>#REF!</v>
      </c>
      <c r="T5745" s="75" t="e">
        <f t="shared" ref="T5745:U5748" si="1630">+T5739/O5739-1</f>
        <v>#REF!</v>
      </c>
      <c r="U5745" s="84">
        <f t="shared" si="1630"/>
        <v>-9.3504863508001246E-2</v>
      </c>
      <c r="V5745" s="87" t="e">
        <f>+(3*T5745+Z5745)/6</f>
        <v>#REF!</v>
      </c>
      <c r="W5745" s="87" t="e">
        <f>+V5745+1.5%</f>
        <v>#REF!</v>
      </c>
      <c r="X5745" s="87" t="e">
        <f>+W5745+1%</f>
        <v>#REF!</v>
      </c>
      <c r="Y5745" s="75" t="e">
        <f t="shared" ref="Y5745:Z5748" si="1631">+Y5739/T5739-1</f>
        <v>#REF!</v>
      </c>
      <c r="Z5745" s="84">
        <f t="shared" si="1631"/>
        <v>-2.7691242644513725E-2</v>
      </c>
      <c r="AA5745" s="87" t="e">
        <f>+Y5745*0.85</f>
        <v>#REF!</v>
      </c>
      <c r="AB5745" s="87" t="e">
        <f>+AA5745*0.85</f>
        <v>#REF!</v>
      </c>
      <c r="AC5745" s="87" t="e">
        <f>+AB5745*0.85</f>
        <v>#REF!</v>
      </c>
      <c r="AD5745" s="75" t="e">
        <f t="shared" ref="AD5745:AE5748" si="1632">+AD5739/Y5739-1</f>
        <v>#REF!</v>
      </c>
      <c r="AE5745" s="84">
        <f t="shared" si="1632"/>
        <v>-1.4773940904236338E-2</v>
      </c>
      <c r="AF5745" s="87" t="e">
        <f>+(3*AD5745+AJ5745)/4</f>
        <v>#REF!</v>
      </c>
      <c r="AG5745" s="87" t="e">
        <f>+(2*AJ5745+AF5745)/3</f>
        <v>#REF!</v>
      </c>
      <c r="AH5745" s="87" t="e">
        <f>+(3*AJ5745+AG5745)/4</f>
        <v>#REF!</v>
      </c>
      <c r="AI5745" s="75" t="e">
        <f t="shared" ref="AI5745:AJ5748" si="1633">+AI5739/AD5739-1</f>
        <v>#REF!</v>
      </c>
      <c r="AJ5745" s="84">
        <f t="shared" si="1633"/>
        <v>-1.6685378962577269E-2</v>
      </c>
      <c r="AL5745" s="74"/>
      <c r="AP5745" s="84">
        <f>+AP5739/AJ5739-1</f>
        <v>-1.6685378962577269E-2</v>
      </c>
      <c r="AQ5745" s="84">
        <f>+AQ5739/AP5739-1</f>
        <v>-1.6685378962577158E-2</v>
      </c>
    </row>
    <row r="5746" spans="1:43" ht="12" customHeight="1" x14ac:dyDescent="0.3">
      <c r="A5746" t="s">
        <v>2668</v>
      </c>
      <c r="G5746" s="75" t="e">
        <f>+G5740/B5740-1</f>
        <v>#REF!</v>
      </c>
      <c r="H5746" s="75" t="e">
        <f t="shared" si="1628"/>
        <v>#REF!</v>
      </c>
      <c r="I5746" s="75" t="e">
        <f t="shared" si="1628"/>
        <v>#REF!</v>
      </c>
      <c r="J5746" s="75" t="e">
        <f t="shared" si="1628"/>
        <v>#REF!</v>
      </c>
      <c r="K5746" s="84" t="e">
        <f t="shared" si="1628"/>
        <v>#DIV/0!</v>
      </c>
      <c r="L5746" s="87" t="e">
        <f>+J5746-2%</f>
        <v>#REF!</v>
      </c>
      <c r="M5746" s="87" t="e">
        <f>+(3*P5746+L5746)/4</f>
        <v>#DIV/0!</v>
      </c>
      <c r="N5746" s="87" t="e">
        <f>+M5746-1%</f>
        <v>#DIV/0!</v>
      </c>
      <c r="O5746" s="75" t="e">
        <f t="shared" si="1629"/>
        <v>#REF!</v>
      </c>
      <c r="P5746" s="84" t="e">
        <f t="shared" si="1629"/>
        <v>#DIV/0!</v>
      </c>
      <c r="Q5746" s="87" t="e">
        <f>+(3*O5746+U5746)/3.5</f>
        <v>#REF!</v>
      </c>
      <c r="R5746" s="87" t="e">
        <f>+(2*U5746+Q5746)/3</f>
        <v>#DIV/0!</v>
      </c>
      <c r="S5746" s="87" t="e">
        <f>+U5746/R5746*R5746</f>
        <v>#DIV/0!</v>
      </c>
      <c r="T5746" s="75" t="e">
        <f t="shared" si="1630"/>
        <v>#REF!</v>
      </c>
      <c r="U5746" s="84" t="e">
        <f t="shared" si="1630"/>
        <v>#DIV/0!</v>
      </c>
      <c r="V5746" s="87" t="e">
        <f>+(3*T5746+Z5746)/5</f>
        <v>#REF!</v>
      </c>
      <c r="W5746" s="87" t="e">
        <f>+V5746+3%</f>
        <v>#REF!</v>
      </c>
      <c r="X5746" s="87" t="e">
        <f>+W5746+3%</f>
        <v>#REF!</v>
      </c>
      <c r="Y5746" s="75" t="e">
        <f t="shared" si="1631"/>
        <v>#REF!</v>
      </c>
      <c r="Z5746" s="84" t="e">
        <f t="shared" si="1631"/>
        <v>#DIV/0!</v>
      </c>
      <c r="AA5746" s="87" t="e">
        <f>+Y5746*0.25</f>
        <v>#REF!</v>
      </c>
      <c r="AB5746" s="87" t="e">
        <f>+AA5746+1%</f>
        <v>#REF!</v>
      </c>
      <c r="AC5746" s="87" t="e">
        <f>+AB5746+0.15%</f>
        <v>#REF!</v>
      </c>
      <c r="AD5746" s="75" t="e">
        <f t="shared" si="1632"/>
        <v>#REF!</v>
      </c>
      <c r="AE5746" s="84" t="e">
        <f t="shared" si="1632"/>
        <v>#DIV/0!</v>
      </c>
      <c r="AF5746" s="87" t="e">
        <f>+(3*AD5746+AJ5746)/4</f>
        <v>#REF!</v>
      </c>
      <c r="AG5746" s="87" t="e">
        <f>+(2*AJ5746+AF5746)/3</f>
        <v>#DIV/0!</v>
      </c>
      <c r="AH5746" s="87" t="e">
        <f>+(3*AJ5746+AG5746)/4</f>
        <v>#DIV/0!</v>
      </c>
      <c r="AI5746" s="75" t="e">
        <f t="shared" si="1633"/>
        <v>#REF!</v>
      </c>
      <c r="AJ5746" s="84" t="e">
        <f t="shared" si="1633"/>
        <v>#DIV/0!</v>
      </c>
      <c r="AL5746" s="74"/>
      <c r="AP5746" s="84" t="e">
        <f>+AP5740/AJ5740-1</f>
        <v>#DIV/0!</v>
      </c>
      <c r="AQ5746" s="84" t="e">
        <f>+AQ5740/AP5740-1</f>
        <v>#DIV/0!</v>
      </c>
    </row>
    <row r="5747" spans="1:43" ht="12" customHeight="1" x14ac:dyDescent="0.3">
      <c r="A5747" t="s">
        <v>2669</v>
      </c>
      <c r="G5747" s="75" t="e">
        <f>+G5741/B5741-1</f>
        <v>#REF!</v>
      </c>
      <c r="H5747" s="75" t="e">
        <f t="shared" si="1628"/>
        <v>#REF!</v>
      </c>
      <c r="I5747" s="75" t="e">
        <f t="shared" si="1628"/>
        <v>#REF!</v>
      </c>
      <c r="J5747" s="75" t="e">
        <f t="shared" si="1628"/>
        <v>#REF!</v>
      </c>
      <c r="K5747" s="84" t="e">
        <f t="shared" si="1628"/>
        <v>#DIV/0!</v>
      </c>
      <c r="L5747" s="87" t="e">
        <f>+J5747-2%</f>
        <v>#REF!</v>
      </c>
      <c r="M5747" s="87" t="e">
        <f>+(3*P5747+L5747)/4</f>
        <v>#DIV/0!</v>
      </c>
      <c r="N5747" s="87" t="e">
        <f>+M5747-1%</f>
        <v>#DIV/0!</v>
      </c>
      <c r="O5747" s="75" t="e">
        <f t="shared" si="1629"/>
        <v>#REF!</v>
      </c>
      <c r="P5747" s="84" t="e">
        <f t="shared" si="1629"/>
        <v>#DIV/0!</v>
      </c>
      <c r="Q5747" s="87" t="e">
        <f>+(3*O5747+U5747)/3.5</f>
        <v>#REF!</v>
      </c>
      <c r="R5747" s="87" t="e">
        <f>+(2*U5747+Q5747)/3</f>
        <v>#DIV/0!</v>
      </c>
      <c r="S5747" s="87" t="e">
        <f>+U5747/R5747*R5747</f>
        <v>#DIV/0!</v>
      </c>
      <c r="T5747" s="75" t="e">
        <f t="shared" si="1630"/>
        <v>#REF!</v>
      </c>
      <c r="U5747" s="84" t="e">
        <f t="shared" si="1630"/>
        <v>#DIV/0!</v>
      </c>
      <c r="V5747" s="87" t="e">
        <f>+(3*T5747+Z5747)/5</f>
        <v>#REF!</v>
      </c>
      <c r="W5747" s="87" t="e">
        <f>+V5747+2.75%</f>
        <v>#REF!</v>
      </c>
      <c r="X5747" s="87" t="e">
        <f>+W5747+2.75%</f>
        <v>#REF!</v>
      </c>
      <c r="Y5747" s="75" t="e">
        <f t="shared" si="1631"/>
        <v>#REF!</v>
      </c>
      <c r="Z5747" s="84" t="e">
        <f t="shared" si="1631"/>
        <v>#DIV/0!</v>
      </c>
      <c r="AA5747" s="87" t="e">
        <f>+(3*Y5747+AE5747)/3</f>
        <v>#REF!</v>
      </c>
      <c r="AB5747" s="87" t="e">
        <f>+(2*AE5747+AA5747)/3</f>
        <v>#DIV/0!</v>
      </c>
      <c r="AC5747" s="87" t="e">
        <f>+AE5747/AB5747*AB5747</f>
        <v>#DIV/0!</v>
      </c>
      <c r="AD5747" s="75" t="e">
        <f t="shared" si="1632"/>
        <v>#REF!</v>
      </c>
      <c r="AE5747" s="84" t="e">
        <f t="shared" si="1632"/>
        <v>#DIV/0!</v>
      </c>
      <c r="AF5747" s="87" t="e">
        <f>+(3*AD5747+AJ5747)/4</f>
        <v>#REF!</v>
      </c>
      <c r="AG5747" s="87" t="e">
        <f>+(2*AJ5747+AF5747)/3</f>
        <v>#DIV/0!</v>
      </c>
      <c r="AH5747" s="87" t="e">
        <f>+(3*AJ5747+AG5747)/4</f>
        <v>#DIV/0!</v>
      </c>
      <c r="AI5747" s="75" t="e">
        <f t="shared" si="1633"/>
        <v>#REF!</v>
      </c>
      <c r="AJ5747" s="84" t="e">
        <f t="shared" si="1633"/>
        <v>#DIV/0!</v>
      </c>
      <c r="AL5747" s="74"/>
      <c r="AP5747" s="84" t="e">
        <f>+AP5741/AJ5741-1</f>
        <v>#DIV/0!</v>
      </c>
      <c r="AQ5747" s="84" t="e">
        <f>+AQ5741/AP5741-1</f>
        <v>#DIV/0!</v>
      </c>
    </row>
    <row r="5748" spans="1:43" ht="12" customHeight="1" x14ac:dyDescent="0.3">
      <c r="A5748" t="s">
        <v>2670</v>
      </c>
      <c r="G5748" s="75" t="e">
        <f>+G5742/B5742-1</f>
        <v>#REF!</v>
      </c>
      <c r="H5748" s="75" t="e">
        <f t="shared" si="1628"/>
        <v>#REF!</v>
      </c>
      <c r="I5748" s="75" t="e">
        <f t="shared" si="1628"/>
        <v>#REF!</v>
      </c>
      <c r="J5748" s="75" t="e">
        <f t="shared" si="1628"/>
        <v>#REF!</v>
      </c>
      <c r="K5748" s="84" t="e">
        <f t="shared" si="1628"/>
        <v>#DIV/0!</v>
      </c>
      <c r="L5748" s="87" t="e">
        <f>+J5748-2%</f>
        <v>#REF!</v>
      </c>
      <c r="M5748" s="87" t="e">
        <f>+(3*P5748+L5748)/4</f>
        <v>#DIV/0!</v>
      </c>
      <c r="N5748" s="87" t="e">
        <f>+M5748-1%</f>
        <v>#DIV/0!</v>
      </c>
      <c r="O5748" s="75" t="e">
        <f t="shared" si="1629"/>
        <v>#REF!</v>
      </c>
      <c r="P5748" s="84" t="e">
        <f t="shared" si="1629"/>
        <v>#DIV/0!</v>
      </c>
      <c r="Q5748" s="87" t="e">
        <f>+(3*O5748+U5748)/3.5</f>
        <v>#REF!</v>
      </c>
      <c r="R5748" s="87" t="e">
        <f>+(2*U5748+Q5748)/3</f>
        <v>#DIV/0!</v>
      </c>
      <c r="S5748" s="87" t="e">
        <f>+U5748/R5748*R5748</f>
        <v>#DIV/0!</v>
      </c>
      <c r="T5748" s="75" t="e">
        <f t="shared" si="1630"/>
        <v>#REF!</v>
      </c>
      <c r="U5748" s="84" t="e">
        <f t="shared" si="1630"/>
        <v>#DIV/0!</v>
      </c>
      <c r="V5748" s="87" t="e">
        <f>+(3*T5748+Z5748)/5</f>
        <v>#REF!</v>
      </c>
      <c r="W5748" s="87" t="e">
        <f>+V5748+2.75%</f>
        <v>#REF!</v>
      </c>
      <c r="X5748" s="87" t="e">
        <f>+W5748+2.75%</f>
        <v>#REF!</v>
      </c>
      <c r="Y5748" s="75" t="e">
        <f t="shared" si="1631"/>
        <v>#REF!</v>
      </c>
      <c r="Z5748" s="84" t="e">
        <f t="shared" si="1631"/>
        <v>#DIV/0!</v>
      </c>
      <c r="AA5748" s="87" t="e">
        <f>+(3*Y5748+AE5748)/4</f>
        <v>#REF!</v>
      </c>
      <c r="AB5748" s="87" t="e">
        <f>+(2*AE5748+AA5748)/3</f>
        <v>#DIV/0!</v>
      </c>
      <c r="AC5748" s="87" t="e">
        <f>+AE5748/AB5748*AB5748</f>
        <v>#DIV/0!</v>
      </c>
      <c r="AD5748" s="75" t="e">
        <f t="shared" si="1632"/>
        <v>#REF!</v>
      </c>
      <c r="AE5748" s="84" t="e">
        <f t="shared" si="1632"/>
        <v>#DIV/0!</v>
      </c>
      <c r="AF5748" s="87" t="e">
        <f>+(3*AD5748+AJ5748)/4</f>
        <v>#REF!</v>
      </c>
      <c r="AG5748" s="87" t="e">
        <f>+(2*AJ5748+AF5748)/3</f>
        <v>#DIV/0!</v>
      </c>
      <c r="AH5748" s="87" t="e">
        <f>+(3*AJ5748+AG5748)/4</f>
        <v>#DIV/0!</v>
      </c>
      <c r="AI5748" s="75" t="e">
        <f t="shared" si="1633"/>
        <v>#REF!</v>
      </c>
      <c r="AJ5748" s="84" t="e">
        <f t="shared" si="1633"/>
        <v>#DIV/0!</v>
      </c>
      <c r="AM5748" s="74" t="e">
        <f>+AVERAGE(AP5748,AJ5748)</f>
        <v>#DIV/0!</v>
      </c>
      <c r="AO5748" s="84" t="e">
        <f>+(3*AP5748+AQ5748)/4</f>
        <v>#DIV/0!</v>
      </c>
      <c r="AP5748" s="84" t="e">
        <f>+AP5742/AJ5742-1</f>
        <v>#DIV/0!</v>
      </c>
      <c r="AQ5748" s="84" t="e">
        <f>+AQ5742/AP5742-1</f>
        <v>#DIV/0!</v>
      </c>
    </row>
    <row r="5750" spans="1:43" x14ac:dyDescent="0.3">
      <c r="J5750" s="74"/>
    </row>
    <row r="5751" spans="1:43" x14ac:dyDescent="0.3">
      <c r="O5751" s="147"/>
      <c r="P5751" s="147">
        <v>2020</v>
      </c>
      <c r="Q5751" s="147">
        <f>+P5751+1</f>
        <v>2021</v>
      </c>
      <c r="R5751" s="147">
        <f>+Q5751+1</f>
        <v>2022</v>
      </c>
      <c r="S5751" s="147">
        <f>+R5751+1</f>
        <v>2023</v>
      </c>
      <c r="T5751" s="147">
        <f>+S5751+1</f>
        <v>2024</v>
      </c>
      <c r="U5751" s="147">
        <v>2025</v>
      </c>
    </row>
    <row r="5752" spans="1:43" x14ac:dyDescent="0.3">
      <c r="O5752" t="s">
        <v>2667</v>
      </c>
      <c r="P5752" s="74" t="e">
        <f>+K5745</f>
        <v>#REF!</v>
      </c>
      <c r="Q5752" s="74" t="e">
        <f>+P5745</f>
        <v>#REF!</v>
      </c>
      <c r="R5752" s="74">
        <f>+U5745</f>
        <v>-9.3504863508001246E-2</v>
      </c>
      <c r="S5752" s="74">
        <f>+Z5745</f>
        <v>-2.7691242644513725E-2</v>
      </c>
      <c r="T5752" s="74">
        <f>+AE5745</f>
        <v>-1.4773940904236338E-2</v>
      </c>
      <c r="U5752" s="74">
        <f>+AJ5745</f>
        <v>-1.6685378962577269E-2</v>
      </c>
    </row>
    <row r="5753" spans="1:43" x14ac:dyDescent="0.3">
      <c r="O5753" t="s">
        <v>2668</v>
      </c>
      <c r="P5753" s="74" t="e">
        <f>+K5746</f>
        <v>#DIV/0!</v>
      </c>
      <c r="Q5753" s="74" t="e">
        <f>+P5746</f>
        <v>#DIV/0!</v>
      </c>
      <c r="R5753" s="74" t="e">
        <f>+U5746</f>
        <v>#DIV/0!</v>
      </c>
      <c r="S5753" s="74" t="e">
        <f>+Z5746</f>
        <v>#DIV/0!</v>
      </c>
      <c r="T5753" s="74" t="e">
        <f>+AE5746</f>
        <v>#DIV/0!</v>
      </c>
      <c r="U5753" s="74" t="e">
        <f>+AJ5746</f>
        <v>#DIV/0!</v>
      </c>
    </row>
    <row r="5754" spans="1:43" x14ac:dyDescent="0.3">
      <c r="O5754" t="s">
        <v>2669</v>
      </c>
      <c r="P5754" s="74" t="e">
        <f>+K5747</f>
        <v>#DIV/0!</v>
      </c>
      <c r="Q5754" s="74" t="e">
        <f>+P5747</f>
        <v>#DIV/0!</v>
      </c>
      <c r="R5754" s="74" t="e">
        <f>+U5747</f>
        <v>#DIV/0!</v>
      </c>
      <c r="S5754" s="74" t="e">
        <f>+Z5747</f>
        <v>#DIV/0!</v>
      </c>
      <c r="T5754" s="74" t="e">
        <f>+AE5747</f>
        <v>#DIV/0!</v>
      </c>
      <c r="U5754" s="74" t="e">
        <f>+AJ5747</f>
        <v>#DIV/0!</v>
      </c>
    </row>
    <row r="5755" spans="1:43" x14ac:dyDescent="0.3">
      <c r="O5755" t="s">
        <v>2670</v>
      </c>
      <c r="P5755" s="74" t="e">
        <f>+K5748</f>
        <v>#DIV/0!</v>
      </c>
      <c r="Q5755" s="74" t="e">
        <f>+P5748</f>
        <v>#DIV/0!</v>
      </c>
      <c r="R5755" s="74" t="e">
        <f>+U5748</f>
        <v>#DIV/0!</v>
      </c>
      <c r="S5755" s="74" t="e">
        <f>+Z5748</f>
        <v>#DIV/0!</v>
      </c>
      <c r="T5755" s="74" t="e">
        <f>+AE5748</f>
        <v>#DIV/0!</v>
      </c>
      <c r="U5755" s="74" t="e">
        <f>+AJ5748</f>
        <v>#DIV/0!</v>
      </c>
    </row>
    <row r="5761" spans="1:25" x14ac:dyDescent="0.3">
      <c r="A5761" s="141" t="s">
        <v>2672</v>
      </c>
    </row>
    <row r="5762" spans="1:25" x14ac:dyDescent="0.3">
      <c r="A5762" s="141"/>
      <c r="B5762" s="374" t="str">
        <f t="shared" ref="B5762:E5766" si="1634">+G5738</f>
        <v>1Q20</v>
      </c>
      <c r="C5762" s="374" t="str">
        <f t="shared" si="1634"/>
        <v>2Q20</v>
      </c>
      <c r="D5762" s="374" t="str">
        <f t="shared" si="1634"/>
        <v>3Q20</v>
      </c>
      <c r="E5762" s="374" t="str">
        <f t="shared" si="1634"/>
        <v>4Q20</v>
      </c>
      <c r="F5762" s="374" t="str">
        <f t="shared" ref="F5762:I5766" si="1635">+L5738</f>
        <v>1Q21</v>
      </c>
      <c r="G5762" s="374" t="str">
        <f t="shared" si="1635"/>
        <v>2Q21</v>
      </c>
      <c r="H5762" s="374" t="str">
        <f t="shared" si="1635"/>
        <v>3Q21</v>
      </c>
      <c r="I5762" s="374" t="str">
        <f t="shared" si="1635"/>
        <v>4Q21</v>
      </c>
      <c r="J5762" s="374" t="str">
        <f t="shared" ref="J5762:M5766" si="1636">+Q5738</f>
        <v>1Q22</v>
      </c>
      <c r="K5762" s="374" t="str">
        <f t="shared" si="1636"/>
        <v>2Q22</v>
      </c>
      <c r="L5762" s="374" t="str">
        <f t="shared" si="1636"/>
        <v>3Q22</v>
      </c>
      <c r="M5762" s="374" t="str">
        <f t="shared" si="1636"/>
        <v>4Q22</v>
      </c>
      <c r="N5762" s="374" t="str">
        <f t="shared" ref="N5762:Q5766" si="1637">+V5738</f>
        <v>1Q23</v>
      </c>
      <c r="O5762" s="374" t="str">
        <f t="shared" si="1637"/>
        <v>2Q23</v>
      </c>
      <c r="P5762" s="374" t="str">
        <f t="shared" si="1637"/>
        <v>3Q23</v>
      </c>
      <c r="Q5762" s="374" t="str">
        <f t="shared" si="1637"/>
        <v>4Q23</v>
      </c>
      <c r="R5762" s="374" t="str">
        <f t="shared" ref="R5762:U5766" si="1638">+AA5738</f>
        <v>1Q24</v>
      </c>
      <c r="S5762" s="374" t="str">
        <f t="shared" si="1638"/>
        <v>2Q24</v>
      </c>
      <c r="T5762" s="374" t="str">
        <f t="shared" si="1638"/>
        <v>3Q24</v>
      </c>
      <c r="U5762" s="374" t="str">
        <f t="shared" si="1638"/>
        <v>4Q24</v>
      </c>
      <c r="V5762" s="374" t="str">
        <f t="shared" ref="V5762:Y5766" si="1639">+AF5738</f>
        <v>1Q25</v>
      </c>
      <c r="W5762" s="374" t="str">
        <f t="shared" si="1639"/>
        <v>2Q25</v>
      </c>
      <c r="X5762" s="374" t="str">
        <f t="shared" si="1639"/>
        <v>3Q25</v>
      </c>
      <c r="Y5762" s="374" t="str">
        <f t="shared" si="1639"/>
        <v>4Q25</v>
      </c>
    </row>
    <row r="5763" spans="1:25" x14ac:dyDescent="0.3">
      <c r="A5763" t="s">
        <v>2667</v>
      </c>
      <c r="B5763" s="76" t="e">
        <f t="shared" si="1634"/>
        <v>#REF!</v>
      </c>
      <c r="C5763" s="76" t="e">
        <f t="shared" si="1634"/>
        <v>#REF!</v>
      </c>
      <c r="D5763" s="76" t="e">
        <f t="shared" si="1634"/>
        <v>#REF!</v>
      </c>
      <c r="E5763" s="76" t="e">
        <f t="shared" si="1634"/>
        <v>#REF!</v>
      </c>
      <c r="F5763" s="76" t="e">
        <f t="shared" si="1635"/>
        <v>#REF!</v>
      </c>
      <c r="G5763" s="76" t="e">
        <f t="shared" si="1635"/>
        <v>#REF!</v>
      </c>
      <c r="H5763" s="76" t="e">
        <f t="shared" si="1635"/>
        <v>#REF!</v>
      </c>
      <c r="I5763" s="76" t="e">
        <f t="shared" si="1635"/>
        <v>#REF!</v>
      </c>
      <c r="J5763" s="76" t="e">
        <f t="shared" si="1636"/>
        <v>#REF!</v>
      </c>
      <c r="K5763" s="76" t="e">
        <f t="shared" si="1636"/>
        <v>#REF!</v>
      </c>
      <c r="L5763" s="76" t="e">
        <f t="shared" si="1636"/>
        <v>#REF!</v>
      </c>
      <c r="M5763" s="76" t="e">
        <f t="shared" si="1636"/>
        <v>#REF!</v>
      </c>
      <c r="N5763" s="76" t="e">
        <f t="shared" si="1637"/>
        <v>#REF!</v>
      </c>
      <c r="O5763" s="76" t="e">
        <f t="shared" si="1637"/>
        <v>#REF!</v>
      </c>
      <c r="P5763" s="76" t="e">
        <f t="shared" si="1637"/>
        <v>#REF!</v>
      </c>
      <c r="Q5763" s="76" t="e">
        <f t="shared" si="1637"/>
        <v>#REF!</v>
      </c>
      <c r="R5763" s="76" t="e">
        <f t="shared" si="1638"/>
        <v>#REF!</v>
      </c>
      <c r="S5763" s="76" t="e">
        <f t="shared" si="1638"/>
        <v>#REF!</v>
      </c>
      <c r="T5763" s="76" t="e">
        <f t="shared" si="1638"/>
        <v>#REF!</v>
      </c>
      <c r="U5763" s="76" t="e">
        <f t="shared" si="1638"/>
        <v>#REF!</v>
      </c>
      <c r="V5763" s="76" t="e">
        <f t="shared" si="1639"/>
        <v>#REF!</v>
      </c>
      <c r="W5763" s="76" t="e">
        <f t="shared" si="1639"/>
        <v>#REF!</v>
      </c>
      <c r="X5763" s="76" t="e">
        <f t="shared" si="1639"/>
        <v>#REF!</v>
      </c>
      <c r="Y5763" s="76" t="e">
        <f t="shared" si="1639"/>
        <v>#REF!</v>
      </c>
    </row>
    <row r="5764" spans="1:25" x14ac:dyDescent="0.3">
      <c r="A5764" t="s">
        <v>2668</v>
      </c>
      <c r="B5764" s="76" t="e">
        <f t="shared" si="1634"/>
        <v>#REF!</v>
      </c>
      <c r="C5764" s="76" t="e">
        <f t="shared" si="1634"/>
        <v>#REF!</v>
      </c>
      <c r="D5764" s="76" t="e">
        <f t="shared" si="1634"/>
        <v>#REF!</v>
      </c>
      <c r="E5764" s="76" t="e">
        <f t="shared" si="1634"/>
        <v>#REF!</v>
      </c>
      <c r="F5764" s="76" t="e">
        <f t="shared" si="1635"/>
        <v>#REF!</v>
      </c>
      <c r="G5764" s="76" t="e">
        <f t="shared" si="1635"/>
        <v>#REF!</v>
      </c>
      <c r="H5764" s="76" t="e">
        <f t="shared" si="1635"/>
        <v>#REF!</v>
      </c>
      <c r="I5764" s="76" t="e">
        <f t="shared" si="1635"/>
        <v>#REF!</v>
      </c>
      <c r="J5764" s="76" t="e">
        <f t="shared" si="1636"/>
        <v>#REF!</v>
      </c>
      <c r="K5764" s="76" t="e">
        <f t="shared" si="1636"/>
        <v>#REF!</v>
      </c>
      <c r="L5764" s="76" t="e">
        <f t="shared" si="1636"/>
        <v>#REF!</v>
      </c>
      <c r="M5764" s="76" t="e">
        <f t="shared" si="1636"/>
        <v>#REF!</v>
      </c>
      <c r="N5764" s="76" t="e">
        <f t="shared" si="1637"/>
        <v>#REF!</v>
      </c>
      <c r="O5764" s="76" t="e">
        <f t="shared" si="1637"/>
        <v>#REF!</v>
      </c>
      <c r="P5764" s="76" t="e">
        <f t="shared" si="1637"/>
        <v>#REF!</v>
      </c>
      <c r="Q5764" s="76" t="e">
        <f t="shared" si="1637"/>
        <v>#REF!</v>
      </c>
      <c r="R5764" s="76" t="e">
        <f t="shared" si="1638"/>
        <v>#REF!</v>
      </c>
      <c r="S5764" s="76" t="e">
        <f t="shared" si="1638"/>
        <v>#REF!</v>
      </c>
      <c r="T5764" s="76" t="e">
        <f t="shared" si="1638"/>
        <v>#REF!</v>
      </c>
      <c r="U5764" s="76" t="e">
        <f t="shared" si="1638"/>
        <v>#REF!</v>
      </c>
      <c r="V5764" s="76" t="e">
        <f t="shared" si="1639"/>
        <v>#REF!</v>
      </c>
      <c r="W5764" s="76" t="e">
        <f t="shared" si="1639"/>
        <v>#REF!</v>
      </c>
      <c r="X5764" s="76" t="e">
        <f t="shared" si="1639"/>
        <v>#REF!</v>
      </c>
      <c r="Y5764" s="76" t="e">
        <f t="shared" si="1639"/>
        <v>#REF!</v>
      </c>
    </row>
    <row r="5765" spans="1:25" x14ac:dyDescent="0.3">
      <c r="A5765" t="s">
        <v>2669</v>
      </c>
      <c r="B5765" s="76" t="e">
        <f t="shared" si="1634"/>
        <v>#REF!</v>
      </c>
      <c r="C5765" s="76" t="e">
        <f t="shared" si="1634"/>
        <v>#REF!</v>
      </c>
      <c r="D5765" s="76" t="e">
        <f t="shared" si="1634"/>
        <v>#REF!</v>
      </c>
      <c r="E5765" s="76" t="e">
        <f t="shared" si="1634"/>
        <v>#REF!</v>
      </c>
      <c r="F5765" s="76" t="e">
        <f t="shared" si="1635"/>
        <v>#REF!</v>
      </c>
      <c r="G5765" s="76" t="e">
        <f t="shared" si="1635"/>
        <v>#REF!</v>
      </c>
      <c r="H5765" s="76" t="e">
        <f t="shared" si="1635"/>
        <v>#REF!</v>
      </c>
      <c r="I5765" s="76" t="e">
        <f t="shared" si="1635"/>
        <v>#REF!</v>
      </c>
      <c r="J5765" s="76" t="e">
        <f t="shared" si="1636"/>
        <v>#REF!</v>
      </c>
      <c r="K5765" s="76" t="e">
        <f t="shared" si="1636"/>
        <v>#REF!</v>
      </c>
      <c r="L5765" s="76" t="e">
        <f t="shared" si="1636"/>
        <v>#REF!</v>
      </c>
      <c r="M5765" s="76" t="e">
        <f t="shared" si="1636"/>
        <v>#REF!</v>
      </c>
      <c r="N5765" s="76" t="e">
        <f t="shared" si="1637"/>
        <v>#REF!</v>
      </c>
      <c r="O5765" s="76" t="e">
        <f t="shared" si="1637"/>
        <v>#REF!</v>
      </c>
      <c r="P5765" s="76" t="e">
        <f t="shared" si="1637"/>
        <v>#REF!</v>
      </c>
      <c r="Q5765" s="76" t="e">
        <f t="shared" si="1637"/>
        <v>#REF!</v>
      </c>
      <c r="R5765" s="76" t="e">
        <f t="shared" si="1638"/>
        <v>#REF!</v>
      </c>
      <c r="S5765" s="76" t="e">
        <f t="shared" si="1638"/>
        <v>#REF!</v>
      </c>
      <c r="T5765" s="76" t="e">
        <f t="shared" si="1638"/>
        <v>#REF!</v>
      </c>
      <c r="U5765" s="76" t="e">
        <f t="shared" si="1638"/>
        <v>#REF!</v>
      </c>
      <c r="V5765" s="76" t="e">
        <f t="shared" si="1639"/>
        <v>#REF!</v>
      </c>
      <c r="W5765" s="76" t="e">
        <f t="shared" si="1639"/>
        <v>#REF!</v>
      </c>
      <c r="X5765" s="76" t="e">
        <f t="shared" si="1639"/>
        <v>#REF!</v>
      </c>
      <c r="Y5765" s="76" t="e">
        <f t="shared" si="1639"/>
        <v>#REF!</v>
      </c>
    </row>
    <row r="5766" spans="1:25" x14ac:dyDescent="0.3">
      <c r="A5766" t="s">
        <v>2670</v>
      </c>
      <c r="B5766" s="76" t="e">
        <f t="shared" si="1634"/>
        <v>#REF!</v>
      </c>
      <c r="C5766" s="76" t="e">
        <f t="shared" si="1634"/>
        <v>#REF!</v>
      </c>
      <c r="D5766" s="76" t="e">
        <f t="shared" si="1634"/>
        <v>#REF!</v>
      </c>
      <c r="E5766" s="76" t="e">
        <f t="shared" si="1634"/>
        <v>#REF!</v>
      </c>
      <c r="F5766" s="76" t="e">
        <f t="shared" si="1635"/>
        <v>#REF!</v>
      </c>
      <c r="G5766" s="76" t="e">
        <f t="shared" si="1635"/>
        <v>#REF!</v>
      </c>
      <c r="H5766" s="76" t="e">
        <f t="shared" si="1635"/>
        <v>#REF!</v>
      </c>
      <c r="I5766" s="76" t="e">
        <f t="shared" si="1635"/>
        <v>#REF!</v>
      </c>
      <c r="J5766" s="76" t="e">
        <f t="shared" si="1636"/>
        <v>#REF!</v>
      </c>
      <c r="K5766" s="76" t="e">
        <f t="shared" si="1636"/>
        <v>#REF!</v>
      </c>
      <c r="L5766" s="76" t="e">
        <f t="shared" si="1636"/>
        <v>#REF!</v>
      </c>
      <c r="M5766" s="76" t="e">
        <f t="shared" si="1636"/>
        <v>#REF!</v>
      </c>
      <c r="N5766" s="76" t="e">
        <f t="shared" si="1637"/>
        <v>#REF!</v>
      </c>
      <c r="O5766" s="76" t="e">
        <f t="shared" si="1637"/>
        <v>#REF!</v>
      </c>
      <c r="P5766" s="76" t="e">
        <f t="shared" si="1637"/>
        <v>#REF!</v>
      </c>
      <c r="Q5766" s="76" t="e">
        <f t="shared" si="1637"/>
        <v>#REF!</v>
      </c>
      <c r="R5766" s="76" t="e">
        <f t="shared" si="1638"/>
        <v>#REF!</v>
      </c>
      <c r="S5766" s="76" t="e">
        <f t="shared" si="1638"/>
        <v>#REF!</v>
      </c>
      <c r="T5766" s="76" t="e">
        <f t="shared" si="1638"/>
        <v>#REF!</v>
      </c>
      <c r="U5766" s="76" t="e">
        <f t="shared" si="1638"/>
        <v>#REF!</v>
      </c>
      <c r="V5766" s="76" t="e">
        <f t="shared" si="1639"/>
        <v>#REF!</v>
      </c>
      <c r="W5766" s="76" t="e">
        <f t="shared" si="1639"/>
        <v>#REF!</v>
      </c>
      <c r="X5766" s="76" t="e">
        <f t="shared" si="1639"/>
        <v>#REF!</v>
      </c>
      <c r="Y5766" s="76" t="e">
        <f t="shared" si="1639"/>
        <v>#REF!</v>
      </c>
    </row>
    <row r="5769" spans="1:25" x14ac:dyDescent="0.3">
      <c r="B5769">
        <v>2020</v>
      </c>
      <c r="C5769">
        <f>+B5769+1</f>
        <v>2021</v>
      </c>
      <c r="D5769">
        <f>+C5769+1</f>
        <v>2022</v>
      </c>
      <c r="E5769">
        <f>+D5769+1</f>
        <v>2023</v>
      </c>
      <c r="F5769">
        <f>+E5769+1</f>
        <v>2024</v>
      </c>
    </row>
    <row r="5770" spans="1:25" x14ac:dyDescent="0.3">
      <c r="A5770" t="s">
        <v>2667</v>
      </c>
      <c r="B5770" s="76" t="e">
        <f>+K5739</f>
        <v>#REF!</v>
      </c>
      <c r="C5770" s="76">
        <f>+P5739</f>
        <v>6374</v>
      </c>
      <c r="D5770" s="76">
        <f>+U5739</f>
        <v>5778</v>
      </c>
      <c r="E5770" s="76">
        <f>+Z5739</f>
        <v>5618</v>
      </c>
      <c r="F5770" s="76">
        <f>+AE5739</f>
        <v>5535</v>
      </c>
    </row>
    <row r="5771" spans="1:25" x14ac:dyDescent="0.3">
      <c r="A5771" t="s">
        <v>2668</v>
      </c>
      <c r="B5771" s="76">
        <f>+K5740</f>
        <v>0</v>
      </c>
      <c r="C5771" s="76">
        <f>+P5740</f>
        <v>0</v>
      </c>
      <c r="D5771" s="76">
        <f>+U5740</f>
        <v>0</v>
      </c>
      <c r="E5771" s="76">
        <f>+Z5740</f>
        <v>0</v>
      </c>
      <c r="F5771" s="76">
        <f>+AE5740</f>
        <v>0</v>
      </c>
    </row>
    <row r="5772" spans="1:25" x14ac:dyDescent="0.3">
      <c r="A5772" t="s">
        <v>2669</v>
      </c>
      <c r="B5772" s="76">
        <f>+K5741</f>
        <v>0</v>
      </c>
      <c r="C5772" s="76">
        <f>+P5741</f>
        <v>0</v>
      </c>
      <c r="D5772" s="76">
        <f>+U5741</f>
        <v>0</v>
      </c>
      <c r="E5772" s="76">
        <f>+Z5741</f>
        <v>0</v>
      </c>
      <c r="F5772" s="76">
        <f>+AE5741</f>
        <v>0</v>
      </c>
    </row>
    <row r="5773" spans="1:25" x14ac:dyDescent="0.3">
      <c r="A5773" t="s">
        <v>2670</v>
      </c>
      <c r="B5773" s="76">
        <f>+K5742</f>
        <v>0</v>
      </c>
      <c r="C5773" s="76">
        <f>+P5742</f>
        <v>0</v>
      </c>
      <c r="D5773" s="76">
        <f>+U5742</f>
        <v>0</v>
      </c>
      <c r="E5773" s="76">
        <f>+Z5742</f>
        <v>0</v>
      </c>
      <c r="F5773" s="76">
        <f>+AE5742</f>
        <v>0</v>
      </c>
    </row>
    <row r="5798" spans="1:4" x14ac:dyDescent="0.3">
      <c r="A5798" s="147"/>
      <c r="B5798" s="147">
        <v>2019</v>
      </c>
    </row>
    <row r="5799" spans="1:4" x14ac:dyDescent="0.3">
      <c r="A5799" s="141" t="s">
        <v>19</v>
      </c>
      <c r="B5799" s="90"/>
    </row>
    <row r="5800" spans="1:4" x14ac:dyDescent="0.3">
      <c r="A5800" t="s">
        <v>628</v>
      </c>
      <c r="B5800" s="76" t="e">
        <f>+B5802*B5803</f>
        <v>#REF!</v>
      </c>
      <c r="D5800" s="76" t="e">
        <f>+B5800-770</f>
        <v>#REF!</v>
      </c>
    </row>
    <row r="5801" spans="1:4" x14ac:dyDescent="0.3">
      <c r="A5801" t="s">
        <v>629</v>
      </c>
      <c r="B5801" s="76" t="e">
        <f>+B5802-B5800</f>
        <v>#REF!</v>
      </c>
    </row>
    <row r="5802" spans="1:4" x14ac:dyDescent="0.3">
      <c r="A5802" s="90" t="s">
        <v>266</v>
      </c>
      <c r="B5802" s="803" t="e">
        <f>+Drivers!#REF!</f>
        <v>#REF!</v>
      </c>
    </row>
    <row r="5803" spans="1:4" x14ac:dyDescent="0.3">
      <c r="A5803" s="94" t="s">
        <v>2673</v>
      </c>
      <c r="B5803" s="546">
        <v>0.33</v>
      </c>
    </row>
    <row r="5805" spans="1:4" x14ac:dyDescent="0.3">
      <c r="A5805" s="141" t="s">
        <v>301</v>
      </c>
      <c r="B5805" s="90"/>
    </row>
    <row r="5806" spans="1:4" x14ac:dyDescent="0.3">
      <c r="A5806" t="s">
        <v>628</v>
      </c>
      <c r="B5806" s="76" t="e">
        <f>+B5800*B5809</f>
        <v>#REF!</v>
      </c>
    </row>
    <row r="5807" spans="1:4" x14ac:dyDescent="0.3">
      <c r="A5807" t="s">
        <v>629</v>
      </c>
      <c r="B5807" s="76" t="e">
        <f>+B5808-B5806</f>
        <v>#REF!</v>
      </c>
    </row>
    <row r="5808" spans="1:4" x14ac:dyDescent="0.3">
      <c r="A5808" s="90" t="s">
        <v>266</v>
      </c>
      <c r="B5808" s="803">
        <f>+Drivers!DY30</f>
        <v>0</v>
      </c>
    </row>
    <row r="5809" spans="1:2" x14ac:dyDescent="0.3">
      <c r="A5809" s="94" t="s">
        <v>2674</v>
      </c>
      <c r="B5809" s="546">
        <v>0.4</v>
      </c>
    </row>
    <row r="5810" spans="1:2" x14ac:dyDescent="0.3">
      <c r="A5810" s="94" t="s">
        <v>2675</v>
      </c>
      <c r="B5810" s="657" t="e">
        <f>+B5807/B5801</f>
        <v>#REF!</v>
      </c>
    </row>
    <row r="5819" spans="1:2" x14ac:dyDescent="0.3">
      <c r="A5819" s="141" t="s">
        <v>2676</v>
      </c>
    </row>
    <row r="5820" spans="1:2" x14ac:dyDescent="0.3">
      <c r="A5820" t="s">
        <v>628</v>
      </c>
      <c r="B5820" s="76" t="e">
        <f>+B5800/B5823*1000</f>
        <v>#REF!</v>
      </c>
    </row>
    <row r="5821" spans="1:2" x14ac:dyDescent="0.3">
      <c r="A5821" t="s">
        <v>629</v>
      </c>
      <c r="B5821" s="76" t="e">
        <f>+B5801/B5824*1000</f>
        <v>#REF!</v>
      </c>
    </row>
    <row r="5822" spans="1:2" x14ac:dyDescent="0.3">
      <c r="A5822" s="90" t="s">
        <v>266</v>
      </c>
      <c r="B5822" s="803" t="e">
        <f>+B5802/SUM(B5823:B5824)*1000</f>
        <v>#REF!</v>
      </c>
    </row>
    <row r="5823" spans="1:2" x14ac:dyDescent="0.3">
      <c r="A5823" s="94" t="s">
        <v>2677</v>
      </c>
      <c r="B5823" s="96">
        <v>3000</v>
      </c>
    </row>
    <row r="5824" spans="1:2" x14ac:dyDescent="0.3">
      <c r="A5824" s="94" t="s">
        <v>501</v>
      </c>
      <c r="B5824" s="96">
        <v>11000</v>
      </c>
    </row>
    <row r="5826" spans="1:2" x14ac:dyDescent="0.3">
      <c r="A5826" s="141" t="s">
        <v>1714</v>
      </c>
    </row>
    <row r="5827" spans="1:2" x14ac:dyDescent="0.3">
      <c r="A5827" t="s">
        <v>628</v>
      </c>
      <c r="B5827" s="474" t="e">
        <f>+B5820/B5830*1000</f>
        <v>#REF!</v>
      </c>
    </row>
    <row r="5828" spans="1:2" x14ac:dyDescent="0.3">
      <c r="A5828" t="s">
        <v>629</v>
      </c>
      <c r="B5828" s="474" t="e">
        <f>+B5821/B5831*1000</f>
        <v>#REF!</v>
      </c>
    </row>
    <row r="5829" spans="1:2" x14ac:dyDescent="0.3">
      <c r="A5829" s="90" t="s">
        <v>266</v>
      </c>
      <c r="B5829" s="1803" t="e">
        <f>+B5822/SUM(B5830:B5831)*1000</f>
        <v>#REF!</v>
      </c>
    </row>
    <row r="5830" spans="1:2" x14ac:dyDescent="0.3">
      <c r="A5830" s="94" t="s">
        <v>2677</v>
      </c>
      <c r="B5830" s="96">
        <v>3000</v>
      </c>
    </row>
    <row r="5831" spans="1:2" x14ac:dyDescent="0.3">
      <c r="A5831" s="94" t="s">
        <v>501</v>
      </c>
      <c r="B5831" s="96">
        <v>11000</v>
      </c>
    </row>
    <row r="5832" spans="1:2" x14ac:dyDescent="0.3">
      <c r="A5832" s="806"/>
      <c r="B5832" s="806"/>
    </row>
    <row r="5840" spans="1:2" x14ac:dyDescent="0.3">
      <c r="A5840" s="141" t="s">
        <v>2678</v>
      </c>
    </row>
    <row r="5841" spans="1:9" x14ac:dyDescent="0.3">
      <c r="A5841" t="s">
        <v>2679</v>
      </c>
    </row>
    <row r="5842" spans="1:9" x14ac:dyDescent="0.3">
      <c r="A5842" s="141"/>
      <c r="B5842" s="141"/>
      <c r="C5842" s="1847" t="s">
        <v>2680</v>
      </c>
      <c r="D5842" s="1848"/>
      <c r="E5842" s="1848"/>
      <c r="F5842" s="1847" t="s">
        <v>2681</v>
      </c>
      <c r="G5842" s="1848"/>
      <c r="H5842" s="1849"/>
    </row>
    <row r="5843" spans="1:9" ht="48" x14ac:dyDescent="0.3">
      <c r="A5843" s="806"/>
      <c r="B5843" s="847"/>
      <c r="C5843" s="769" t="s">
        <v>2682</v>
      </c>
      <c r="D5843" s="847" t="s">
        <v>2683</v>
      </c>
      <c r="E5843" s="847" t="s">
        <v>266</v>
      </c>
      <c r="F5843" s="769" t="s">
        <v>2682</v>
      </c>
      <c r="G5843" s="847" t="s">
        <v>2683</v>
      </c>
      <c r="H5843" s="770" t="s">
        <v>266</v>
      </c>
      <c r="I5843" s="1818" t="s">
        <v>2684</v>
      </c>
    </row>
    <row r="5844" spans="1:9" x14ac:dyDescent="0.3">
      <c r="A5844" s="1853" t="s">
        <v>628</v>
      </c>
      <c r="B5844" s="806" t="s">
        <v>2685</v>
      </c>
      <c r="C5844" s="771">
        <v>0.44400000000000001</v>
      </c>
      <c r="D5844" s="1819"/>
      <c r="E5844" s="1812">
        <f>+SUM(C5844:D5844)</f>
        <v>0.44400000000000001</v>
      </c>
      <c r="F5844" s="771">
        <v>0.44400000000000001</v>
      </c>
      <c r="G5844" s="1819"/>
      <c r="H5844" s="772">
        <f>+SUM(F5844:G5844)</f>
        <v>0.44400000000000001</v>
      </c>
      <c r="I5844" s="75">
        <f>+E5844/H5844-1</f>
        <v>0</v>
      </c>
    </row>
    <row r="5845" spans="1:9" x14ac:dyDescent="0.3">
      <c r="A5845" s="1850"/>
      <c r="B5845" t="s">
        <v>2686</v>
      </c>
      <c r="C5845" s="773">
        <v>0.11799999999999999</v>
      </c>
      <c r="D5845" s="101"/>
      <c r="E5845" s="102">
        <f t="shared" ref="E5845:E5855" si="1640">+SUM(C5845:D5845)</f>
        <v>0.11799999999999999</v>
      </c>
      <c r="F5845" s="773">
        <v>0.11799999999999999</v>
      </c>
      <c r="G5845" s="101"/>
      <c r="H5845" s="774">
        <f t="shared" ref="H5845:H5855" si="1641">+SUM(F5845:G5845)</f>
        <v>0.11799999999999999</v>
      </c>
      <c r="I5845" s="75">
        <f t="shared" ref="I5845:I5855" si="1642">+E5845/H5845-1</f>
        <v>0</v>
      </c>
    </row>
    <row r="5846" spans="1:9" x14ac:dyDescent="0.3">
      <c r="A5846" s="1850"/>
      <c r="B5846" t="s">
        <v>2683</v>
      </c>
      <c r="C5846" s="773"/>
      <c r="D5846" s="101">
        <v>1.1850000000000001</v>
      </c>
      <c r="E5846" s="102">
        <f t="shared" si="1640"/>
        <v>1.1850000000000001</v>
      </c>
      <c r="F5846" s="773"/>
      <c r="G5846" s="101">
        <v>1.1850000000000001</v>
      </c>
      <c r="H5846" s="774">
        <f t="shared" si="1641"/>
        <v>1.1850000000000001</v>
      </c>
      <c r="I5846" s="75">
        <f t="shared" si="1642"/>
        <v>0</v>
      </c>
    </row>
    <row r="5847" spans="1:9" x14ac:dyDescent="0.3">
      <c r="A5847" s="1850"/>
      <c r="B5847" t="s">
        <v>2687</v>
      </c>
      <c r="C5847" s="773"/>
      <c r="D5847" s="101">
        <v>5.3E-3</v>
      </c>
      <c r="E5847" s="102">
        <f t="shared" si="1640"/>
        <v>5.3E-3</v>
      </c>
      <c r="F5847" s="773"/>
      <c r="G5847" s="101">
        <v>5.3E-3</v>
      </c>
      <c r="H5847" s="774">
        <f t="shared" si="1641"/>
        <v>5.3E-3</v>
      </c>
      <c r="I5847" s="75">
        <f t="shared" si="1642"/>
        <v>0</v>
      </c>
    </row>
    <row r="5848" spans="1:9" x14ac:dyDescent="0.3">
      <c r="A5848" s="1850"/>
      <c r="B5848" t="s">
        <v>2688</v>
      </c>
      <c r="C5848" s="773"/>
      <c r="D5848" s="101">
        <v>0.23</v>
      </c>
      <c r="E5848" s="102">
        <f t="shared" si="1640"/>
        <v>0.23</v>
      </c>
      <c r="F5848" s="773"/>
      <c r="G5848" s="101">
        <v>0.23</v>
      </c>
      <c r="H5848" s="774">
        <f t="shared" si="1641"/>
        <v>0.23</v>
      </c>
      <c r="I5848" s="75">
        <f t="shared" si="1642"/>
        <v>0</v>
      </c>
    </row>
    <row r="5849" spans="1:9" x14ac:dyDescent="0.3">
      <c r="A5849" s="1854"/>
      <c r="B5849" s="114" t="s">
        <v>2689</v>
      </c>
      <c r="C5849" s="775"/>
      <c r="D5849" s="776">
        <v>0.54</v>
      </c>
      <c r="E5849" s="777">
        <f t="shared" si="1640"/>
        <v>0.54</v>
      </c>
      <c r="F5849" s="775"/>
      <c r="G5849" s="776">
        <v>0.54</v>
      </c>
      <c r="H5849" s="778">
        <f t="shared" si="1641"/>
        <v>0.54</v>
      </c>
      <c r="I5849" s="75">
        <f t="shared" si="1642"/>
        <v>0</v>
      </c>
    </row>
    <row r="5850" spans="1:9" x14ac:dyDescent="0.3">
      <c r="A5850" s="1850" t="s">
        <v>2690</v>
      </c>
      <c r="B5850" t="s">
        <v>2691</v>
      </c>
      <c r="C5850" s="773">
        <v>1.25</v>
      </c>
      <c r="D5850" s="101">
        <v>2.64</v>
      </c>
      <c r="E5850" s="102">
        <f t="shared" si="1640"/>
        <v>3.89</v>
      </c>
      <c r="F5850" s="773">
        <v>0.25</v>
      </c>
      <c r="G5850" s="101">
        <v>0.52800000000000002</v>
      </c>
      <c r="H5850" s="774">
        <f t="shared" si="1641"/>
        <v>0.77800000000000002</v>
      </c>
      <c r="I5850" s="75">
        <f t="shared" si="1642"/>
        <v>4</v>
      </c>
    </row>
    <row r="5851" spans="1:9" x14ac:dyDescent="0.3">
      <c r="A5851" s="1850"/>
      <c r="B5851" t="s">
        <v>2692</v>
      </c>
      <c r="C5851" s="773">
        <v>7.1999999999999995E-2</v>
      </c>
      <c r="D5851" s="101">
        <v>0.154</v>
      </c>
      <c r="E5851" s="102">
        <f t="shared" si="1640"/>
        <v>0.22599999999999998</v>
      </c>
      <c r="F5851" s="773">
        <v>7.1999999999999995E-2</v>
      </c>
      <c r="G5851" s="101">
        <v>0.154</v>
      </c>
      <c r="H5851" s="774">
        <f t="shared" si="1641"/>
        <v>0.22599999999999998</v>
      </c>
      <c r="I5851" s="75">
        <f t="shared" si="1642"/>
        <v>0</v>
      </c>
    </row>
    <row r="5852" spans="1:9" x14ac:dyDescent="0.3">
      <c r="A5852" s="1850"/>
      <c r="B5852" t="s">
        <v>2693</v>
      </c>
      <c r="C5852" s="773">
        <v>4.5999999999999999E-3</v>
      </c>
      <c r="D5852" s="101">
        <v>2.1000000000000001E-2</v>
      </c>
      <c r="E5852" s="102">
        <f t="shared" si="1640"/>
        <v>2.5600000000000001E-2</v>
      </c>
      <c r="F5852" s="773">
        <v>4.5999999999999999E-3</v>
      </c>
      <c r="G5852" s="101">
        <v>2.1000000000000001E-2</v>
      </c>
      <c r="H5852" s="774">
        <f t="shared" si="1641"/>
        <v>2.5600000000000001E-2</v>
      </c>
      <c r="I5852" s="75">
        <f t="shared" si="1642"/>
        <v>0</v>
      </c>
    </row>
    <row r="5853" spans="1:9" x14ac:dyDescent="0.3">
      <c r="A5853" s="1850"/>
      <c r="B5853" t="s">
        <v>2686</v>
      </c>
      <c r="C5853" s="773">
        <v>0.13100000000000001</v>
      </c>
      <c r="D5853" s="101"/>
      <c r="E5853" s="102">
        <f t="shared" si="1640"/>
        <v>0.13100000000000001</v>
      </c>
      <c r="F5853" s="773">
        <v>0.13100000000000001</v>
      </c>
      <c r="G5853" s="101"/>
      <c r="H5853" s="774">
        <f t="shared" si="1641"/>
        <v>0.13100000000000001</v>
      </c>
      <c r="I5853" s="75">
        <f t="shared" si="1642"/>
        <v>0</v>
      </c>
    </row>
    <row r="5854" spans="1:9" x14ac:dyDescent="0.3">
      <c r="A5854" s="1850"/>
      <c r="B5854" t="s">
        <v>2688</v>
      </c>
      <c r="C5854" s="773"/>
      <c r="D5854" s="101">
        <v>0.40100000000000002</v>
      </c>
      <c r="E5854" s="102">
        <f t="shared" si="1640"/>
        <v>0.40100000000000002</v>
      </c>
      <c r="F5854" s="773"/>
      <c r="G5854" s="101">
        <v>0.40100000000000002</v>
      </c>
      <c r="H5854" s="774">
        <f t="shared" si="1641"/>
        <v>0.40100000000000002</v>
      </c>
      <c r="I5854" s="75">
        <f t="shared" si="1642"/>
        <v>0</v>
      </c>
    </row>
    <row r="5855" spans="1:9" x14ac:dyDescent="0.3">
      <c r="A5855" s="90"/>
      <c r="B5855" s="90" t="s">
        <v>266</v>
      </c>
      <c r="C5855" s="779">
        <f>+SUM(C5844:C5854)</f>
        <v>2.0196000000000001</v>
      </c>
      <c r="D5855" s="1812">
        <f>+SUM(D5844:D5854)</f>
        <v>5.1763000000000003</v>
      </c>
      <c r="E5855" s="1812">
        <f t="shared" si="1640"/>
        <v>7.1959</v>
      </c>
      <c r="F5855" s="779">
        <f>+SUM(F5844:F5854)</f>
        <v>1.0196000000000001</v>
      </c>
      <c r="G5855" s="1812">
        <f>+SUM(G5844:G5854)</f>
        <v>3.0643000000000002</v>
      </c>
      <c r="H5855" s="772">
        <f t="shared" si="1641"/>
        <v>4.0838999999999999</v>
      </c>
      <c r="I5855" s="807">
        <f t="shared" si="1642"/>
        <v>0.76201669972330377</v>
      </c>
    </row>
    <row r="5856" spans="1:9" x14ac:dyDescent="0.3">
      <c r="A5856" s="114"/>
      <c r="B5856" s="114"/>
      <c r="C5856" s="780"/>
      <c r="D5856" s="114"/>
      <c r="E5856" s="114"/>
      <c r="F5856" s="780"/>
      <c r="G5856" s="114"/>
      <c r="H5856" s="781"/>
      <c r="I5856" s="114"/>
    </row>
    <row r="5860" spans="1:11" x14ac:dyDescent="0.3">
      <c r="A5860" s="644" t="s">
        <v>2694</v>
      </c>
      <c r="B5860" s="534"/>
      <c r="C5860" s="534"/>
      <c r="D5860" s="534"/>
      <c r="E5860" s="534"/>
      <c r="F5860" s="534"/>
      <c r="G5860" s="534"/>
      <c r="H5860" s="534"/>
      <c r="I5860" s="534"/>
      <c r="J5860" s="534"/>
      <c r="K5860" s="534"/>
    </row>
    <row r="5861" spans="1:11" x14ac:dyDescent="0.3">
      <c r="A5861" s="538"/>
      <c r="B5861" s="108"/>
      <c r="C5861" s="108"/>
      <c r="D5861" s="108"/>
      <c r="E5861" s="108"/>
      <c r="F5861" s="108"/>
      <c r="G5861" s="108"/>
      <c r="H5861" s="108"/>
      <c r="I5861" s="108"/>
      <c r="J5861" s="108"/>
      <c r="K5861" s="108"/>
    </row>
    <row r="5862" spans="1:11" x14ac:dyDescent="0.3">
      <c r="A5862" s="141" t="s">
        <v>2695</v>
      </c>
    </row>
    <row r="5863" spans="1:11" x14ac:dyDescent="0.3">
      <c r="A5863" s="147"/>
      <c r="B5863" s="374" t="s">
        <v>2696</v>
      </c>
      <c r="C5863" s="374" t="s">
        <v>2697</v>
      </c>
      <c r="D5863" s="374" t="s">
        <v>2698</v>
      </c>
      <c r="E5863" s="374" t="s">
        <v>2699</v>
      </c>
      <c r="F5863" s="374" t="s">
        <v>266</v>
      </c>
    </row>
    <row r="5864" spans="1:11" x14ac:dyDescent="0.3">
      <c r="A5864" t="s">
        <v>2700</v>
      </c>
      <c r="B5864" s="782" t="s">
        <v>2701</v>
      </c>
      <c r="C5864" s="782" t="s">
        <v>628</v>
      </c>
      <c r="D5864" s="782" t="s">
        <v>628</v>
      </c>
      <c r="E5864" s="782" t="s">
        <v>628</v>
      </c>
      <c r="F5864" s="373"/>
    </row>
    <row r="5865" spans="1:11" x14ac:dyDescent="0.3">
      <c r="A5865" t="s">
        <v>2702</v>
      </c>
      <c r="B5865" s="782" t="s">
        <v>2703</v>
      </c>
      <c r="C5865" s="782" t="s">
        <v>2704</v>
      </c>
      <c r="D5865" s="782" t="s">
        <v>2703</v>
      </c>
      <c r="E5865" s="782" t="s">
        <v>2703</v>
      </c>
      <c r="F5865" s="373"/>
    </row>
    <row r="5866" spans="1:11" x14ac:dyDescent="0.3">
      <c r="A5866" t="s">
        <v>2159</v>
      </c>
      <c r="B5866" s="365">
        <f>+$F5945</f>
        <v>1734.8700137849758</v>
      </c>
      <c r="C5866" s="365">
        <f>+$F5947</f>
        <v>733.63498500552441</v>
      </c>
      <c r="D5866" s="365">
        <f>+$F5946</f>
        <v>525.5960737486007</v>
      </c>
      <c r="E5866" s="365">
        <f>+$F5948</f>
        <v>71.128927460899433</v>
      </c>
      <c r="F5866" s="475">
        <f>+SUM(B5866:E5866)</f>
        <v>3065.2300000000005</v>
      </c>
    </row>
    <row r="5867" spans="1:11" x14ac:dyDescent="0.3">
      <c r="A5867" t="s">
        <v>2705</v>
      </c>
      <c r="B5867" s="365">
        <f>+$F5952</f>
        <v>499.21252314034183</v>
      </c>
      <c r="C5867" s="365">
        <f>+$F5954</f>
        <v>264.7650981127299</v>
      </c>
      <c r="D5867" s="365">
        <f>+$F5953</f>
        <v>162.09037874692842</v>
      </c>
      <c r="E5867" s="365">
        <f>+$F5955</f>
        <v>22</v>
      </c>
      <c r="F5867" s="475">
        <f>+SUM(B5867:E5867)</f>
        <v>948.0680000000001</v>
      </c>
    </row>
    <row r="5868" spans="1:11" x14ac:dyDescent="0.3">
      <c r="A5868" s="94" t="s">
        <v>2706</v>
      </c>
      <c r="B5868" s="83">
        <f>+B5867/B$5866</f>
        <v>0.28775211927907329</v>
      </c>
      <c r="C5868" s="83">
        <f>+C5867/C$5866</f>
        <v>0.36089486396390458</v>
      </c>
      <c r="D5868" s="83">
        <f>+D5867/D$5866</f>
        <v>0.30839343526842689</v>
      </c>
      <c r="E5868" s="83">
        <f>+E5867/E$5866</f>
        <v>0.309297507854223</v>
      </c>
      <c r="F5868" s="91">
        <f>+F5867/F$5866</f>
        <v>0.309297507854223</v>
      </c>
    </row>
    <row r="5869" spans="1:11" x14ac:dyDescent="0.3">
      <c r="A5869" s="94"/>
      <c r="B5869" s="83"/>
      <c r="C5869" s="83"/>
      <c r="D5869" s="83"/>
      <c r="E5869" s="83"/>
      <c r="F5869" s="91"/>
    </row>
    <row r="5870" spans="1:11" x14ac:dyDescent="0.3">
      <c r="A5870" t="s">
        <v>2707</v>
      </c>
      <c r="B5870" s="231"/>
      <c r="C5870" s="231"/>
      <c r="D5870" s="231"/>
      <c r="F5870" s="74">
        <f>+(F5904/C5904)^(1/3)-1</f>
        <v>1.8854829687526165E-2</v>
      </c>
    </row>
    <row r="5871" spans="1:11" x14ac:dyDescent="0.3">
      <c r="A5871" t="s">
        <v>2708</v>
      </c>
      <c r="B5871" s="231"/>
      <c r="C5871" s="231"/>
      <c r="D5871" s="231"/>
      <c r="F5871" s="74">
        <f>+(F5907/C5907)^(1/3)-1</f>
        <v>8.5169120590362191E-2</v>
      </c>
    </row>
    <row r="5872" spans="1:11" x14ac:dyDescent="0.3">
      <c r="A5872" t="s">
        <v>2709</v>
      </c>
      <c r="F5872" s="74">
        <f>+F5909</f>
        <v>0.43825503355704698</v>
      </c>
    </row>
    <row r="5874" spans="1:6" x14ac:dyDescent="0.3">
      <c r="A5874" s="141" t="s">
        <v>2710</v>
      </c>
    </row>
    <row r="5875" spans="1:6" x14ac:dyDescent="0.3">
      <c r="A5875" s="806" t="s">
        <v>2711</v>
      </c>
      <c r="B5875" s="1820">
        <v>42597</v>
      </c>
      <c r="C5875" s="1820">
        <v>42877</v>
      </c>
      <c r="D5875" s="1820">
        <v>42597</v>
      </c>
      <c r="E5875" s="1820">
        <v>44092</v>
      </c>
      <c r="F5875" s="1820">
        <v>44137</v>
      </c>
    </row>
    <row r="5876" spans="1:6" x14ac:dyDescent="0.3">
      <c r="A5876" t="s">
        <v>2712</v>
      </c>
      <c r="B5876" s="95">
        <v>1600</v>
      </c>
      <c r="C5876" s="95">
        <v>2365</v>
      </c>
      <c r="D5876" s="95">
        <v>650</v>
      </c>
      <c r="F5876" s="95">
        <v>8100</v>
      </c>
    </row>
    <row r="5877" spans="1:6" x14ac:dyDescent="0.3">
      <c r="B5877" s="95"/>
      <c r="C5877" s="95"/>
      <c r="D5877" s="95"/>
      <c r="F5877" s="95"/>
    </row>
    <row r="5878" spans="1:6" x14ac:dyDescent="0.3">
      <c r="A5878" t="s">
        <v>1714</v>
      </c>
      <c r="B5878" s="474">
        <f>+B$5876/B5945*1000</f>
        <v>1051.0776482465553</v>
      </c>
      <c r="C5878" s="474">
        <f>+C$5876/C5947*1000</f>
        <v>3583.2158683789335</v>
      </c>
      <c r="D5878" s="474">
        <f>+D$5876/B5946*1000</f>
        <v>1474.2499020966131</v>
      </c>
      <c r="E5878" s="474"/>
      <c r="F5878" s="474">
        <f>+F$5876/F5896*1000</f>
        <v>2642.5423214571174</v>
      </c>
    </row>
    <row r="5879" spans="1:6" x14ac:dyDescent="0.3">
      <c r="A5879" t="s">
        <v>2713</v>
      </c>
      <c r="B5879" s="474">
        <f>+B$5876/B5952*1000</f>
        <v>3681.3732068317481</v>
      </c>
      <c r="C5879" s="474">
        <f>+C$5876/C5867*1000</f>
        <v>8932.446220661026</v>
      </c>
      <c r="D5879" s="474">
        <f>+D$5876/B5953*1000</f>
        <v>4663.8824354580256</v>
      </c>
      <c r="F5879" s="474">
        <f>+F$5876/F5897*1000</f>
        <v>8543.6909588763683</v>
      </c>
    </row>
    <row r="5880" spans="1:6" x14ac:dyDescent="0.3">
      <c r="A5880" t="s">
        <v>2714</v>
      </c>
      <c r="B5880" s="459">
        <f>+B5876/192</f>
        <v>8.3333333333333339</v>
      </c>
      <c r="C5880" s="459">
        <v>11.6</v>
      </c>
      <c r="D5880" s="459">
        <f>+D5876/76</f>
        <v>8.5526315789473681</v>
      </c>
      <c r="F5880" s="459">
        <f>+F5876/F5907</f>
        <v>12.404287901990811</v>
      </c>
    </row>
    <row r="5881" spans="1:6" x14ac:dyDescent="0.3">
      <c r="A5881" t="s">
        <v>2715</v>
      </c>
      <c r="F5881" s="459">
        <f>+F5876/F5920</f>
        <v>17.494600431965441</v>
      </c>
    </row>
    <row r="5882" spans="1:6" x14ac:dyDescent="0.3">
      <c r="A5882" t="s">
        <v>2716</v>
      </c>
      <c r="B5882" s="782" t="s">
        <v>2717</v>
      </c>
      <c r="C5882" s="782" t="s">
        <v>2718</v>
      </c>
      <c r="D5882" s="782" t="s">
        <v>2717</v>
      </c>
      <c r="E5882" s="782" t="s">
        <v>2696</v>
      </c>
      <c r="F5882" s="782" t="s">
        <v>2719</v>
      </c>
    </row>
    <row r="5883" spans="1:6" ht="36" x14ac:dyDescent="0.3">
      <c r="A5883" s="784" t="s">
        <v>2720</v>
      </c>
      <c r="B5883" s="785" t="s">
        <v>2721</v>
      </c>
      <c r="C5883" s="786" t="s">
        <v>2722</v>
      </c>
      <c r="D5883" s="785" t="s">
        <v>2721</v>
      </c>
      <c r="E5883" s="786" t="s">
        <v>2699</v>
      </c>
      <c r="F5883" s="785" t="s">
        <v>2723</v>
      </c>
    </row>
    <row r="5884" spans="1:6" hidden="1" outlineLevel="1" x14ac:dyDescent="0.3">
      <c r="A5884" s="94"/>
    </row>
    <row r="5885" spans="1:6" hidden="1" outlineLevel="1" x14ac:dyDescent="0.3">
      <c r="A5885" t="s">
        <v>2724</v>
      </c>
      <c r="B5885" s="95">
        <v>1479.3</v>
      </c>
      <c r="D5885" s="95">
        <v>428.46300000000002</v>
      </c>
    </row>
    <row r="5886" spans="1:6" hidden="1" outlineLevel="1" x14ac:dyDescent="0.3">
      <c r="A5886" t="s">
        <v>2725</v>
      </c>
      <c r="B5886" s="95">
        <v>449.1</v>
      </c>
      <c r="D5886" s="95">
        <v>144.012</v>
      </c>
    </row>
    <row r="5887" spans="1:6" hidden="1" outlineLevel="1" x14ac:dyDescent="0.3"/>
    <row r="5888" spans="1:6" hidden="1" outlineLevel="1" x14ac:dyDescent="0.3"/>
    <row r="5889" spans="1:9" hidden="1" outlineLevel="1" x14ac:dyDescent="0.3">
      <c r="A5889" t="s">
        <v>2726</v>
      </c>
      <c r="B5889" s="95">
        <v>220.12899999999999</v>
      </c>
      <c r="D5889" s="95">
        <v>50.826000000000001</v>
      </c>
      <c r="F5889" s="95">
        <f>+F5898</f>
        <v>374.62200000000001</v>
      </c>
    </row>
    <row r="5890" spans="1:9" hidden="1" outlineLevel="1" x14ac:dyDescent="0.3">
      <c r="A5890" t="s">
        <v>2727</v>
      </c>
      <c r="B5890" s="231">
        <f>+B5889/B$5866</f>
        <v>0.12688501054885565</v>
      </c>
      <c r="D5890" s="231">
        <f>+D5889/D$5866</f>
        <v>9.670163560679626E-2</v>
      </c>
    </row>
    <row r="5891" spans="1:9" collapsed="1" x14ac:dyDescent="0.3"/>
    <row r="5893" spans="1:9" x14ac:dyDescent="0.3">
      <c r="B5893" s="76"/>
      <c r="C5893" s="76"/>
      <c r="D5893" s="76"/>
      <c r="E5893" s="76"/>
      <c r="F5893" s="74"/>
    </row>
    <row r="5894" spans="1:9" x14ac:dyDescent="0.3">
      <c r="A5894" s="141" t="s">
        <v>2728</v>
      </c>
      <c r="B5894" s="76"/>
      <c r="C5894" s="76"/>
      <c r="D5894" s="76"/>
      <c r="E5894" s="76"/>
      <c r="F5894" s="76"/>
    </row>
    <row r="5895" spans="1:9" ht="24" x14ac:dyDescent="0.3">
      <c r="A5895" s="374"/>
      <c r="B5895" s="374">
        <v>2016</v>
      </c>
      <c r="C5895" s="374">
        <f>+B5895+1</f>
        <v>2017</v>
      </c>
      <c r="D5895" s="374">
        <f>+C5895+1</f>
        <v>2018</v>
      </c>
      <c r="E5895" s="374">
        <f>+D5895+1</f>
        <v>2019</v>
      </c>
      <c r="F5895" s="374">
        <f>+E5895+1</f>
        <v>2020</v>
      </c>
      <c r="G5895" s="524" t="s">
        <v>2729</v>
      </c>
    </row>
    <row r="5896" spans="1:9" x14ac:dyDescent="0.3">
      <c r="A5896" t="s">
        <v>2159</v>
      </c>
      <c r="B5896" s="95">
        <v>2665.5610000000001</v>
      </c>
      <c r="C5896" s="95">
        <v>2765.0619999999999</v>
      </c>
      <c r="D5896" s="95">
        <v>2872.453</v>
      </c>
      <c r="E5896" s="95">
        <v>3012.2620000000002</v>
      </c>
      <c r="F5896" s="95">
        <v>3065.23</v>
      </c>
      <c r="G5896" s="74">
        <f>+(F5896/B5896)^(1/4)-1</f>
        <v>3.5544128231894456E-2</v>
      </c>
      <c r="I5896" s="76"/>
    </row>
    <row r="5897" spans="1:9" x14ac:dyDescent="0.3">
      <c r="A5897" t="s">
        <v>2730</v>
      </c>
      <c r="B5897" s="95">
        <v>827.87800000000004</v>
      </c>
      <c r="C5897" s="95">
        <v>879.26199999999994</v>
      </c>
      <c r="D5897" s="95">
        <v>914.2</v>
      </c>
      <c r="E5897" s="95">
        <v>930.07</v>
      </c>
      <c r="F5897" s="95">
        <v>948.06799999999998</v>
      </c>
      <c r="G5897" s="74">
        <f>+(F5897/B5897)^(1/4)-1</f>
        <v>3.4470919654879584E-2</v>
      </c>
    </row>
    <row r="5898" spans="1:9" x14ac:dyDescent="0.3">
      <c r="A5898" t="s">
        <v>2731</v>
      </c>
      <c r="B5898" s="95">
        <v>538.69899999999996</v>
      </c>
      <c r="C5898" s="95">
        <v>501.94200000000001</v>
      </c>
      <c r="D5898" s="95">
        <v>470.22899999999998</v>
      </c>
      <c r="E5898" s="95">
        <v>405.52199999999999</v>
      </c>
      <c r="F5898" s="95">
        <v>374.62200000000001</v>
      </c>
      <c r="G5898" s="74">
        <f>+(F5898/B5898)^(1/4)-1</f>
        <v>-8.6808675007499003E-2</v>
      </c>
    </row>
    <row r="5899" spans="1:9" x14ac:dyDescent="0.3">
      <c r="A5899" s="94" t="s">
        <v>2732</v>
      </c>
      <c r="B5899" s="75">
        <f>+B5897/B5896</f>
        <v>0.3105830254869425</v>
      </c>
      <c r="C5899" s="75">
        <f t="shared" ref="C5899:F5900" si="1643">+C5897/C5896</f>
        <v>0.31798997635496057</v>
      </c>
      <c r="D5899" s="75">
        <f t="shared" si="1643"/>
        <v>0.31826456342366616</v>
      </c>
      <c r="E5899" s="75">
        <f t="shared" si="1643"/>
        <v>0.30876132288625624</v>
      </c>
      <c r="F5899" s="75">
        <f t="shared" si="1643"/>
        <v>0.309297507854223</v>
      </c>
    </row>
    <row r="5900" spans="1:9" x14ac:dyDescent="0.3">
      <c r="A5900" s="94" t="s">
        <v>2727</v>
      </c>
      <c r="B5900" s="75">
        <f>+B5898/B5897</f>
        <v>0.65069853287561685</v>
      </c>
      <c r="C5900" s="75">
        <f t="shared" si="1643"/>
        <v>0.57086738651278013</v>
      </c>
      <c r="D5900" s="75">
        <f t="shared" si="1643"/>
        <v>0.51436119011157289</v>
      </c>
      <c r="E5900" s="75">
        <f t="shared" si="1643"/>
        <v>0.43601234315696663</v>
      </c>
      <c r="F5900" s="75">
        <f t="shared" si="1643"/>
        <v>0.39514254251804726</v>
      </c>
    </row>
    <row r="5902" spans="1:9" x14ac:dyDescent="0.3">
      <c r="A5902" t="s">
        <v>2593</v>
      </c>
      <c r="B5902" s="95">
        <v>1166.5</v>
      </c>
      <c r="C5902" s="95">
        <v>1199.4000000000001</v>
      </c>
      <c r="D5902" s="95">
        <v>1223</v>
      </c>
      <c r="E5902" s="95">
        <v>1248</v>
      </c>
      <c r="F5902" s="95">
        <v>1242</v>
      </c>
      <c r="G5902" s="74">
        <f t="shared" ref="G5902:G5907" si="1644">+(F5902/B5902)^(1/4)-1</f>
        <v>1.5802349926988368E-2</v>
      </c>
    </row>
    <row r="5903" spans="1:9" x14ac:dyDescent="0.3">
      <c r="A5903" t="s">
        <v>1436</v>
      </c>
      <c r="B5903" s="95">
        <v>190.4</v>
      </c>
      <c r="C5903" s="95">
        <v>209.4</v>
      </c>
      <c r="D5903" s="95">
        <v>222</v>
      </c>
      <c r="E5903" s="95">
        <v>242</v>
      </c>
      <c r="F5903" s="95">
        <v>248</v>
      </c>
      <c r="G5903" s="74">
        <f t="shared" si="1644"/>
        <v>6.8307270855553215E-2</v>
      </c>
    </row>
    <row r="5904" spans="1:9" x14ac:dyDescent="0.3">
      <c r="A5904" s="90" t="s">
        <v>19</v>
      </c>
      <c r="B5904" s="803">
        <f>+SUM(B5902:B5903)</f>
        <v>1356.9</v>
      </c>
      <c r="C5904" s="803">
        <f>+SUM(C5902:C5903)</f>
        <v>1408.8000000000002</v>
      </c>
      <c r="D5904" s="803">
        <f>+SUM(D5902:D5903)</f>
        <v>1445</v>
      </c>
      <c r="E5904" s="803">
        <f>+SUM(E5902:E5903)</f>
        <v>1490</v>
      </c>
      <c r="F5904" s="803">
        <f>+SUM(F5902:F5903)</f>
        <v>1490</v>
      </c>
      <c r="G5904" s="74">
        <f t="shared" si="1644"/>
        <v>2.3669129259818789E-2</v>
      </c>
    </row>
    <row r="5905" spans="1:8" x14ac:dyDescent="0.3">
      <c r="A5905" s="94" t="s">
        <v>2164</v>
      </c>
      <c r="B5905" s="76"/>
      <c r="C5905" s="75">
        <f>+C5904/B5904-1</f>
        <v>3.824894981207172E-2</v>
      </c>
      <c r="D5905" s="75">
        <f>+D5904/C5904-1</f>
        <v>2.569562748438381E-2</v>
      </c>
      <c r="E5905" s="75">
        <f>+E5904/D5904-1</f>
        <v>3.114186851211076E-2</v>
      </c>
      <c r="F5905" s="75">
        <f>+F5904/E5904-1</f>
        <v>0</v>
      </c>
      <c r="G5905" s="74"/>
    </row>
    <row r="5906" spans="1:8" x14ac:dyDescent="0.3">
      <c r="A5906" s="94"/>
      <c r="B5906" s="76"/>
      <c r="C5906" s="75"/>
      <c r="D5906" s="75"/>
      <c r="E5906" s="75"/>
      <c r="F5906" s="75"/>
      <c r="G5906" s="74"/>
    </row>
    <row r="5907" spans="1:8" x14ac:dyDescent="0.3">
      <c r="A5907" s="90" t="s">
        <v>44</v>
      </c>
      <c r="B5907" s="463">
        <v>471</v>
      </c>
      <c r="C5907" s="463">
        <v>511</v>
      </c>
      <c r="D5907" s="463">
        <v>558</v>
      </c>
      <c r="E5907" s="463">
        <v>613</v>
      </c>
      <c r="F5907" s="783">
        <f>638+15</f>
        <v>653</v>
      </c>
      <c r="G5907" s="74">
        <f t="shared" si="1644"/>
        <v>8.5108257827950284E-2</v>
      </c>
    </row>
    <row r="5908" spans="1:8" x14ac:dyDescent="0.3">
      <c r="A5908" s="94" t="s">
        <v>2164</v>
      </c>
      <c r="B5908" s="95"/>
      <c r="C5908" s="75">
        <f>+C5907/B5907-1</f>
        <v>8.4925690021231404E-2</v>
      </c>
      <c r="D5908" s="75">
        <f>+D5907/C5907-1</f>
        <v>9.1976516634050931E-2</v>
      </c>
      <c r="E5908" s="75">
        <f>+E5907/D5907-1</f>
        <v>9.8566308243727585E-2</v>
      </c>
      <c r="F5908" s="75">
        <f>+F5907/E5907-1</f>
        <v>6.5252854812398065E-2</v>
      </c>
      <c r="G5908" s="74"/>
    </row>
    <row r="5909" spans="1:8" x14ac:dyDescent="0.3">
      <c r="A5909" s="94" t="s">
        <v>2057</v>
      </c>
      <c r="B5909" s="75">
        <f>+B5907/B5904</f>
        <v>0.34711474684943622</v>
      </c>
      <c r="C5909" s="75">
        <f>+C5907/C5904</f>
        <v>0.36272004542873365</v>
      </c>
      <c r="D5909" s="75">
        <f>+D5907/D5904</f>
        <v>0.38615916955017299</v>
      </c>
      <c r="E5909" s="75">
        <f>+E5907/E5904</f>
        <v>0.41140939597315435</v>
      </c>
      <c r="F5909" s="75">
        <f>+F5907/F5904</f>
        <v>0.43825503355704698</v>
      </c>
    </row>
    <row r="5910" spans="1:8" x14ac:dyDescent="0.3">
      <c r="A5910" s="94"/>
      <c r="B5910" s="75"/>
      <c r="C5910" s="75"/>
      <c r="D5910" s="75"/>
      <c r="E5910" s="75"/>
      <c r="F5910" s="75"/>
    </row>
    <row r="5911" spans="1:8" x14ac:dyDescent="0.3">
      <c r="A5911" t="s">
        <v>2733</v>
      </c>
      <c r="B5911" s="95">
        <v>173</v>
      </c>
      <c r="C5911" s="95">
        <v>178</v>
      </c>
      <c r="D5911" s="95">
        <v>174</v>
      </c>
      <c r="E5911" s="95">
        <v>175</v>
      </c>
      <c r="F5911" s="95">
        <v>190</v>
      </c>
    </row>
    <row r="5912" spans="1:8" x14ac:dyDescent="0.3">
      <c r="A5912" t="s">
        <v>2734</v>
      </c>
      <c r="B5912" s="95">
        <v>212</v>
      </c>
      <c r="C5912" s="95">
        <v>211</v>
      </c>
      <c r="D5912" s="95">
        <v>187</v>
      </c>
      <c r="E5912" s="95">
        <v>177</v>
      </c>
      <c r="F5912" s="95">
        <v>172</v>
      </c>
    </row>
    <row r="5913" spans="1:8" x14ac:dyDescent="0.3">
      <c r="A5913" s="90" t="s">
        <v>504</v>
      </c>
      <c r="B5913" s="850">
        <f>+SUM(B5911:B5912)</f>
        <v>385</v>
      </c>
      <c r="C5913" s="850">
        <f>+SUM(C5911:C5912)</f>
        <v>389</v>
      </c>
      <c r="D5913" s="850">
        <f>+SUM(D5911:D5912)</f>
        <v>361</v>
      </c>
      <c r="E5913" s="850">
        <f>+SUM(E5911:E5912)</f>
        <v>352</v>
      </c>
      <c r="F5913" s="850">
        <f>+SUM(F5911:F5912)</f>
        <v>362</v>
      </c>
      <c r="G5913" s="74">
        <f>+(F5913/B5913)^(1/4)-1</f>
        <v>-1.5281810342449464E-2</v>
      </c>
    </row>
    <row r="5914" spans="1:8" x14ac:dyDescent="0.3">
      <c r="A5914" s="94" t="s">
        <v>2735</v>
      </c>
      <c r="B5914" s="75">
        <f>+B5911/B5904</f>
        <v>0.1274964993735721</v>
      </c>
      <c r="C5914" s="75">
        <f>+C5911/C5904</f>
        <v>0.12634866553094831</v>
      </c>
      <c r="D5914" s="75">
        <f>+D5911/D5904</f>
        <v>0.12041522491349481</v>
      </c>
      <c r="E5914" s="75">
        <f>+E5911/E5904</f>
        <v>0.1174496644295302</v>
      </c>
      <c r="F5914" s="75">
        <f>+F5911/F5904</f>
        <v>0.12751677852348994</v>
      </c>
      <c r="G5914" s="74"/>
    </row>
    <row r="5915" spans="1:8" x14ac:dyDescent="0.3">
      <c r="A5915" s="94" t="s">
        <v>2736</v>
      </c>
      <c r="B5915" s="75">
        <f>+B5913/B5904</f>
        <v>0.28373498415505932</v>
      </c>
      <c r="C5915" s="75">
        <f>+C5913/C5904</f>
        <v>0.27612152186257805</v>
      </c>
      <c r="D5915" s="75">
        <f>+D5913/D5904</f>
        <v>0.24982698961937716</v>
      </c>
      <c r="E5915" s="75">
        <f>+E5913/E5904</f>
        <v>0.23624161073825503</v>
      </c>
      <c r="F5915" s="75">
        <f>+F5913/F5904</f>
        <v>0.24295302013422818</v>
      </c>
      <c r="G5915" s="74"/>
    </row>
    <row r="5916" spans="1:8" x14ac:dyDescent="0.3">
      <c r="A5916" s="94" t="s">
        <v>2737</v>
      </c>
      <c r="B5916" s="500">
        <f>+B5911/B5896*1000</f>
        <v>64.901909954414847</v>
      </c>
      <c r="C5916" s="500">
        <f>+C5911/C5896*1000</f>
        <v>64.374686715885574</v>
      </c>
      <c r="D5916" s="500">
        <f>+D5911/D5896*1000</f>
        <v>60.575403670660585</v>
      </c>
      <c r="E5916" s="500">
        <f>+E5911/E5896*1000</f>
        <v>58.095876122329329</v>
      </c>
      <c r="F5916" s="500">
        <f>+F5911/F5896*1000</f>
        <v>61.985560626771885</v>
      </c>
      <c r="G5916" s="74"/>
    </row>
    <row r="5917" spans="1:8" x14ac:dyDescent="0.3">
      <c r="A5917" s="94" t="s">
        <v>2070</v>
      </c>
      <c r="B5917" s="500">
        <f>+B5913/B5896*1000</f>
        <v>144.43488631473824</v>
      </c>
      <c r="C5917" s="500">
        <f>+C5913/C5896*1000</f>
        <v>140.6840063622443</v>
      </c>
      <c r="D5917" s="500">
        <f>+D5913/D5896*1000</f>
        <v>125.67655589142798</v>
      </c>
      <c r="E5917" s="500">
        <f>+E5913/E5896*1000</f>
        <v>116.85570511462814</v>
      </c>
      <c r="F5917" s="500">
        <f>+F5913/F5896*1000</f>
        <v>118.09880498363907</v>
      </c>
      <c r="H5917" s="500"/>
    </row>
    <row r="5918" spans="1:8" x14ac:dyDescent="0.3">
      <c r="A5918" s="94" t="s">
        <v>2738</v>
      </c>
      <c r="B5918" s="500">
        <f>+B5913/B5897*1000</f>
        <v>465.04436644046581</v>
      </c>
      <c r="C5918" s="500">
        <f>+C5913/C5897*1000</f>
        <v>442.41648109437239</v>
      </c>
      <c r="D5918" s="500">
        <f>+D5913/D5897*1000</f>
        <v>394.88077007219425</v>
      </c>
      <c r="E5918" s="500">
        <f>+E5913/E5897*1000</f>
        <v>378.46613695743332</v>
      </c>
      <c r="F5918" s="500">
        <f>+F5913/F5897*1000</f>
        <v>381.82915149546238</v>
      </c>
    </row>
    <row r="5920" spans="1:8" x14ac:dyDescent="0.3">
      <c r="A5920" s="90" t="s">
        <v>2739</v>
      </c>
      <c r="B5920" s="85">
        <f>+B5907-B5911</f>
        <v>298</v>
      </c>
      <c r="C5920" s="85">
        <f>+C5907-C5911</f>
        <v>333</v>
      </c>
      <c r="D5920" s="85">
        <f>+D5907-D5911</f>
        <v>384</v>
      </c>
      <c r="E5920" s="85">
        <f>+E5907-E5911</f>
        <v>438</v>
      </c>
      <c r="F5920" s="85">
        <f>+F5907-F5911</f>
        <v>463</v>
      </c>
      <c r="G5920" s="74">
        <f>+(F5920/B5920)^(1/4)-1</f>
        <v>0.11645489386135699</v>
      </c>
    </row>
    <row r="5921" spans="1:7" x14ac:dyDescent="0.3">
      <c r="A5921" s="94" t="s">
        <v>2164</v>
      </c>
      <c r="C5921" s="75">
        <f>+C5920/B5920-1</f>
        <v>0.1174496644295302</v>
      </c>
      <c r="D5921" s="75">
        <f>+D5920/C5920-1</f>
        <v>0.15315315315315314</v>
      </c>
      <c r="E5921" s="75">
        <f>+E5920/D5920-1</f>
        <v>0.140625</v>
      </c>
      <c r="F5921" s="75">
        <f>+F5920/E5920-1</f>
        <v>5.7077625570776336E-2</v>
      </c>
    </row>
    <row r="5922" spans="1:7" x14ac:dyDescent="0.3">
      <c r="A5922" s="94" t="s">
        <v>2057</v>
      </c>
      <c r="C5922" s="75">
        <f>+C5920/C5904</f>
        <v>0.23637137989778531</v>
      </c>
      <c r="D5922" s="75">
        <f>+D5920/D5904</f>
        <v>0.26574394463667822</v>
      </c>
      <c r="E5922" s="75">
        <f>+E5920/E5904</f>
        <v>0.29395973154362415</v>
      </c>
      <c r="F5922" s="75">
        <f>+F5920/F5904</f>
        <v>0.31073825503355706</v>
      </c>
    </row>
    <row r="5923" spans="1:7" x14ac:dyDescent="0.3">
      <c r="A5923" s="114"/>
      <c r="B5923" s="114"/>
      <c r="C5923" s="114"/>
      <c r="D5923" s="114"/>
      <c r="E5923" s="114"/>
      <c r="F5923" s="114"/>
      <c r="G5923" s="114"/>
    </row>
    <row r="5926" spans="1:7" ht="24" x14ac:dyDescent="0.3">
      <c r="A5926" s="374"/>
      <c r="B5926" s="374">
        <v>2016</v>
      </c>
      <c r="C5926" s="374">
        <f>+B5926+1</f>
        <v>2017</v>
      </c>
      <c r="D5926" s="374">
        <f>+C5926+1</f>
        <v>2018</v>
      </c>
      <c r="E5926" s="374">
        <f>+D5926+1</f>
        <v>2019</v>
      </c>
      <c r="F5926" s="374">
        <f>+E5926+1</f>
        <v>2020</v>
      </c>
      <c r="G5926" s="524" t="s">
        <v>2729</v>
      </c>
    </row>
    <row r="5927" spans="1:7" x14ac:dyDescent="0.3">
      <c r="A5927" s="141" t="s">
        <v>2696</v>
      </c>
    </row>
    <row r="5928" spans="1:7" x14ac:dyDescent="0.3">
      <c r="A5928" t="s">
        <v>2159</v>
      </c>
      <c r="B5928" s="95">
        <v>1479.3</v>
      </c>
      <c r="C5928" s="95">
        <v>1493.9390000000001</v>
      </c>
      <c r="D5928" s="95">
        <v>1499.384</v>
      </c>
      <c r="E5928" s="95">
        <v>1505.454</v>
      </c>
      <c r="F5928" s="95">
        <v>1516.2929999999999</v>
      </c>
      <c r="G5928" s="74">
        <f>+(F5928/B5928)^(1/4)-1</f>
        <v>6.1939882489172593E-3</v>
      </c>
    </row>
    <row r="5929" spans="1:7" x14ac:dyDescent="0.3">
      <c r="A5929" t="s">
        <v>2730</v>
      </c>
      <c r="B5929" s="95">
        <v>449.1</v>
      </c>
      <c r="C5929" s="95">
        <v>475.95</v>
      </c>
      <c r="D5929" s="95">
        <v>501.73399999999998</v>
      </c>
      <c r="E5929" s="95">
        <v>523.48900000000003</v>
      </c>
      <c r="F5929" s="95">
        <v>557.87</v>
      </c>
      <c r="G5929" s="74">
        <f>+(F5929/B5929)^(1/4)-1</f>
        <v>5.5716934667111584E-2</v>
      </c>
    </row>
    <row r="5930" spans="1:7" x14ac:dyDescent="0.3">
      <c r="A5930" s="94" t="s">
        <v>2706</v>
      </c>
      <c r="B5930" s="375">
        <f>+B5929/B5928</f>
        <v>0.30358953559115798</v>
      </c>
      <c r="C5930" s="375">
        <f>+C5929/C5928</f>
        <v>0.3185873051041575</v>
      </c>
      <c r="D5930" s="375">
        <f>+D5929/D5928</f>
        <v>0.33462675338672415</v>
      </c>
      <c r="E5930" s="375">
        <f>+E5929/E5928</f>
        <v>0.34772832647161589</v>
      </c>
      <c r="F5930" s="375">
        <f>+F5929/F5928</f>
        <v>0.36791701867646953</v>
      </c>
      <c r="G5930" s="74"/>
    </row>
    <row r="5932" spans="1:7" x14ac:dyDescent="0.3">
      <c r="A5932" s="141" t="s">
        <v>2698</v>
      </c>
    </row>
    <row r="5933" spans="1:7" x14ac:dyDescent="0.3">
      <c r="A5933" t="s">
        <v>2159</v>
      </c>
      <c r="B5933" s="95">
        <v>428.46300000000002</v>
      </c>
      <c r="C5933" s="95">
        <v>448.70800000000003</v>
      </c>
      <c r="D5933" s="95">
        <v>451.59199999999998</v>
      </c>
      <c r="E5933" s="95">
        <v>453.916</v>
      </c>
      <c r="F5933" s="95">
        <v>459.37599999999998</v>
      </c>
      <c r="G5933" s="74">
        <f>+(F5933/B5933)^(1/4)-1</f>
        <v>1.7568710765618833E-2</v>
      </c>
    </row>
    <row r="5934" spans="1:7" x14ac:dyDescent="0.3">
      <c r="A5934" t="s">
        <v>2730</v>
      </c>
      <c r="B5934" s="95">
        <v>144.012</v>
      </c>
      <c r="C5934" s="95">
        <v>150.08699999999999</v>
      </c>
      <c r="D5934" s="95">
        <v>158.251</v>
      </c>
      <c r="E5934" s="95">
        <v>165.09200000000001</v>
      </c>
      <c r="F5934" s="95">
        <v>181.136</v>
      </c>
      <c r="G5934" s="74">
        <f>+(F5934/B5934)^(1/4)-1</f>
        <v>5.9013564399928331E-2</v>
      </c>
    </row>
    <row r="5935" spans="1:7" x14ac:dyDescent="0.3">
      <c r="A5935" s="94" t="s">
        <v>2706</v>
      </c>
      <c r="B5935" s="375">
        <f>+B5934/B5933</f>
        <v>0.33611303659825936</v>
      </c>
      <c r="C5935" s="375">
        <f>+C5934/C5933</f>
        <v>0.33448701605498449</v>
      </c>
      <c r="D5935" s="375">
        <f>+D5934/D5933</f>
        <v>0.35042914843487044</v>
      </c>
      <c r="E5935" s="375">
        <f>+E5934/E5933</f>
        <v>0.36370606015209866</v>
      </c>
      <c r="F5935" s="375">
        <f>+F5934/F5933</f>
        <v>0.39430880150464981</v>
      </c>
    </row>
    <row r="5936" spans="1:7" x14ac:dyDescent="0.3">
      <c r="A5936" s="94"/>
      <c r="B5936" s="375"/>
      <c r="C5936" s="375"/>
      <c r="D5936" s="375"/>
      <c r="E5936" s="375"/>
      <c r="F5936" s="375"/>
    </row>
    <row r="5937" spans="1:7" x14ac:dyDescent="0.3">
      <c r="A5937" s="141" t="s">
        <v>2697</v>
      </c>
    </row>
    <row r="5938" spans="1:7" x14ac:dyDescent="0.3">
      <c r="A5938" t="s">
        <v>2159</v>
      </c>
      <c r="B5938" s="95">
        <v>622.48500000000001</v>
      </c>
      <c r="C5938" s="95">
        <v>628.25400000000002</v>
      </c>
      <c r="D5938" s="95">
        <v>831.34</v>
      </c>
      <c r="E5938" s="95">
        <v>633.58299999999997</v>
      </c>
      <c r="F5938" s="95">
        <v>641.20399999999995</v>
      </c>
      <c r="G5938" s="74">
        <f>+(F5938/B5938)^(1/4)-1</f>
        <v>7.4345317550168488E-3</v>
      </c>
    </row>
    <row r="5939" spans="1:7" x14ac:dyDescent="0.3">
      <c r="A5939" t="s">
        <v>2730</v>
      </c>
      <c r="B5939" s="95">
        <v>243.83099999999999</v>
      </c>
      <c r="C5939" s="95">
        <v>258.13499999999999</v>
      </c>
      <c r="D5939" s="95">
        <v>271.464</v>
      </c>
      <c r="E5939" s="95">
        <v>284.09500000000003</v>
      </c>
      <c r="F5939" s="95">
        <v>295.875</v>
      </c>
      <c r="G5939" s="74">
        <f>+(F5939/B5939)^(1/4)-1</f>
        <v>4.9554120004631441E-2</v>
      </c>
    </row>
    <row r="5940" spans="1:7" x14ac:dyDescent="0.3">
      <c r="A5940" s="94" t="s">
        <v>2706</v>
      </c>
      <c r="B5940" s="375">
        <f>+B5939/B5938</f>
        <v>0.39170582423672856</v>
      </c>
      <c r="C5940" s="375">
        <f>+C5939/C5938</f>
        <v>0.4108768109713587</v>
      </c>
      <c r="D5940" s="375">
        <f>+D5939/D5938</f>
        <v>0.32653787860562467</v>
      </c>
      <c r="E5940" s="375">
        <f>+E5939/E5938</f>
        <v>0.44839429088217336</v>
      </c>
      <c r="F5940" s="375">
        <f>+F5939/F5938</f>
        <v>0.46143660987766766</v>
      </c>
    </row>
    <row r="5942" spans="1:7" x14ac:dyDescent="0.3">
      <c r="A5942" t="s">
        <v>2740</v>
      </c>
      <c r="B5942" s="76">
        <f>+SUM(B5938,B5933,B5928)</f>
        <v>2530.248</v>
      </c>
      <c r="C5942" s="76">
        <f t="shared" ref="C5942:F5943" si="1645">+SUM(C5938,C5933,C5928)</f>
        <v>2570.9009999999998</v>
      </c>
      <c r="D5942" s="76">
        <f t="shared" si="1645"/>
        <v>2782.3159999999998</v>
      </c>
      <c r="E5942" s="76">
        <f t="shared" si="1645"/>
        <v>2592.953</v>
      </c>
      <c r="F5942" s="76">
        <f t="shared" si="1645"/>
        <v>2616.8729999999996</v>
      </c>
    </row>
    <row r="5943" spans="1:7" x14ac:dyDescent="0.3">
      <c r="A5943" t="s">
        <v>2741</v>
      </c>
      <c r="B5943" s="76">
        <f>+SUM(B5939,B5934,B5929)</f>
        <v>836.94299999999998</v>
      </c>
      <c r="C5943" s="76">
        <f t="shared" si="1645"/>
        <v>884.17200000000003</v>
      </c>
      <c r="D5943" s="76">
        <f t="shared" si="1645"/>
        <v>931.44900000000007</v>
      </c>
      <c r="E5943" s="76">
        <f t="shared" si="1645"/>
        <v>972.67600000000004</v>
      </c>
      <c r="F5943" s="76">
        <f t="shared" si="1645"/>
        <v>1034.8809999999999</v>
      </c>
    </row>
    <row r="5944" spans="1:7" x14ac:dyDescent="0.3">
      <c r="A5944" s="141" t="s">
        <v>324</v>
      </c>
    </row>
    <row r="5945" spans="1:7" x14ac:dyDescent="0.3">
      <c r="A5945" t="s">
        <v>2742</v>
      </c>
      <c r="B5945" s="76">
        <f>+(B$5949-B$5948)/B$5942*B5928</f>
        <v>1522.2471933155236</v>
      </c>
      <c r="C5945" s="76">
        <f>+(C$5949-C$5948)/C$5942*C5928</f>
        <v>1569.4799603913666</v>
      </c>
      <c r="D5945" s="76">
        <f>+(D$5949-D$5948)/D$5942*D5928</f>
        <v>1512.0381178908092</v>
      </c>
      <c r="E5945" s="76">
        <f>+(E$5949-E$5948)/E$5942*E5928</f>
        <v>1708.3190257525059</v>
      </c>
      <c r="F5945" s="76">
        <f>+(F$5949-F$5948)/F$5942*F5928</f>
        <v>1734.8700137849758</v>
      </c>
      <c r="G5945" s="74">
        <f>+(F5945/B5945)^(1/4)-1</f>
        <v>3.3226269933221086E-2</v>
      </c>
    </row>
    <row r="5946" spans="1:7" x14ac:dyDescent="0.3">
      <c r="A5946" t="s">
        <v>2698</v>
      </c>
      <c r="B5946" s="76">
        <f>+(B$5949-B$5948)/B$5942*B5933</f>
        <v>440.9021829172915</v>
      </c>
      <c r="C5946" s="76">
        <f>+(C$5949-C$5948)/C$5942*C5933</f>
        <v>471.39690045396054</v>
      </c>
      <c r="D5946" s="76">
        <f>+(D$5949-D$5948)/D$5942*D5933</f>
        <v>455.4032307497921</v>
      </c>
      <c r="E5946" s="76">
        <f>+(E$5949-E$5948)/E$5942*E5933</f>
        <v>515.08271849785808</v>
      </c>
      <c r="F5946" s="76">
        <f>+(F$5949-F$5948)/F$5942*F5933</f>
        <v>525.5960737486007</v>
      </c>
      <c r="G5946" s="74">
        <f>+(F5946/B5946)^(1/4)-1</f>
        <v>4.4906584320618892E-2</v>
      </c>
    </row>
    <row r="5947" spans="1:7" x14ac:dyDescent="0.3">
      <c r="A5947" t="s">
        <v>2697</v>
      </c>
      <c r="B5947" s="76">
        <f>+(B$5949-B$5948)/B$5942*B5938</f>
        <v>640.55705004462504</v>
      </c>
      <c r="C5947" s="76">
        <f>+(C$5949-C$5948)/C$5942*C5938</f>
        <v>660.02163611480626</v>
      </c>
      <c r="D5947" s="76">
        <f>+(D$5949-D$5948)/D$5942*D5938</f>
        <v>838.35613086930732</v>
      </c>
      <c r="E5947" s="76">
        <f>+(E$5949-E$5948)/E$5942*E5938</f>
        <v>718.96045531338052</v>
      </c>
      <c r="F5947" s="76">
        <f>+(F$5949-F$5948)/F$5942*F5938</f>
        <v>733.63498500552441</v>
      </c>
      <c r="G5947" s="74">
        <f>+(F5947/B5947)^(1/4)-1</f>
        <v>3.4500141725804401E-2</v>
      </c>
    </row>
    <row r="5948" spans="1:7" x14ac:dyDescent="0.3">
      <c r="A5948" t="s">
        <v>2699</v>
      </c>
      <c r="B5948" s="95">
        <f>+B5896/C5896*C5948</f>
        <v>61.854573722559998</v>
      </c>
      <c r="C5948" s="95">
        <f>+C5896/D5896*D5948</f>
        <v>64.163503039866342</v>
      </c>
      <c r="D5948" s="95">
        <f>+D5896/E5896*E5948</f>
        <v>66.655520490091433</v>
      </c>
      <c r="E5948" s="95">
        <f>+E5896/F5896*F5948</f>
        <v>69.899800436255632</v>
      </c>
      <c r="F5948" s="95">
        <f>+F5955/F5899</f>
        <v>71.128927460899433</v>
      </c>
      <c r="G5948" s="74">
        <f>+(F5948/B5948)^(1/4)-1</f>
        <v>3.5544128231894456E-2</v>
      </c>
    </row>
    <row r="5949" spans="1:7" x14ac:dyDescent="0.3">
      <c r="A5949" s="90" t="s">
        <v>266</v>
      </c>
      <c r="B5949" s="803">
        <f>+B5896</f>
        <v>2665.5610000000001</v>
      </c>
      <c r="C5949" s="803">
        <f>+C5896</f>
        <v>2765.0619999999999</v>
      </c>
      <c r="D5949" s="803">
        <f>+D5896</f>
        <v>2872.453</v>
      </c>
      <c r="E5949" s="803">
        <f>+E5896</f>
        <v>3012.2620000000002</v>
      </c>
      <c r="F5949" s="803">
        <f>+F5896</f>
        <v>3065.23</v>
      </c>
      <c r="G5949" s="92">
        <f>+(F5949/B5949)^(1/4)-1</f>
        <v>3.5544128231894456E-2</v>
      </c>
    </row>
    <row r="5951" spans="1:7" x14ac:dyDescent="0.3">
      <c r="A5951" s="141" t="s">
        <v>2705</v>
      </c>
    </row>
    <row r="5952" spans="1:7" x14ac:dyDescent="0.3">
      <c r="A5952" t="s">
        <v>2742</v>
      </c>
      <c r="B5952" s="76">
        <f>+(B$5956-B$5955)/B$5943*B5929</f>
        <v>434.62042833114089</v>
      </c>
      <c r="C5952" s="76">
        <f>+(C$5956-C$5955)/C$5943*C5929</f>
        <v>463.15339211431706</v>
      </c>
      <c r="D5952" s="76">
        <f>+(D$5956-D$5955)/D$5943*D5929</f>
        <v>481.74757204098125</v>
      </c>
      <c r="E5952" s="76">
        <f>+(E$5956-E$5955)/E$5943*E5929</f>
        <v>489.31041182264192</v>
      </c>
      <c r="F5952" s="76">
        <f>+(F$5956-F$5955)/F$5943*F5929</f>
        <v>499.21252314034183</v>
      </c>
      <c r="G5952" s="74">
        <f>+(F5952/B5952)^(1/4)-1</f>
        <v>3.5246650392974033E-2</v>
      </c>
    </row>
    <row r="5953" spans="1:11" x14ac:dyDescent="0.3">
      <c r="A5953" t="s">
        <v>2698</v>
      </c>
      <c r="B5953" s="76">
        <f>+(B$5956-B$5955)/B$5943*B5934</f>
        <v>139.36886467340071</v>
      </c>
      <c r="C5953" s="76">
        <f>+(C$5956-C$5955)/C$5943*C5934</f>
        <v>146.05169274558568</v>
      </c>
      <c r="D5953" s="76">
        <f>+(D$5956-D$5955)/D$5943*D5934</f>
        <v>151.94711744282296</v>
      </c>
      <c r="E5953" s="76">
        <f>+(E$5956-E$5955)/E$5943*E5934</f>
        <v>154.31314604246433</v>
      </c>
      <c r="F5953" s="76">
        <f>+(F$5956-F$5955)/F$5943*F5934</f>
        <v>162.09037874692842</v>
      </c>
      <c r="G5953" s="74">
        <f>+(F5953/B5953)^(1/4)-1</f>
        <v>3.8479358684766707E-2</v>
      </c>
    </row>
    <row r="5954" spans="1:11" x14ac:dyDescent="0.3">
      <c r="A5954" t="s">
        <v>2697</v>
      </c>
      <c r="B5954" s="76">
        <f>+(B$5956-B$5955)/B$5943*B5939</f>
        <v>235.96956949545847</v>
      </c>
      <c r="C5954" s="76">
        <f>+(C$5956-C$5955)/C$5943*C5939</f>
        <v>251.19466514009713</v>
      </c>
      <c r="D5954" s="76">
        <f>+(D$5956-D$5955)/D$5943*D5939</f>
        <v>260.6503105161957</v>
      </c>
      <c r="E5954" s="76">
        <f>+(E$5956-E$5955)/E$5943*E5939</f>
        <v>265.54644213489388</v>
      </c>
      <c r="F5954" s="76">
        <f>+(F$5956-F$5955)/F$5943*F5939</f>
        <v>264.7650981127299</v>
      </c>
      <c r="G5954" s="74">
        <f>+(F5954/B5954)^(1/4)-1</f>
        <v>2.9203332315162589E-2</v>
      </c>
    </row>
    <row r="5955" spans="1:11" x14ac:dyDescent="0.3">
      <c r="A5955" t="s">
        <v>2699</v>
      </c>
      <c r="B5955" s="95">
        <f>+C5955*0.95</f>
        <v>17.919137499999994</v>
      </c>
      <c r="C5955" s="95">
        <f>+D5955*0.95</f>
        <v>18.862249999999996</v>
      </c>
      <c r="D5955" s="95">
        <f>+E5955*0.95</f>
        <v>19.854999999999997</v>
      </c>
      <c r="E5955" s="95">
        <f>+F5955*0.95</f>
        <v>20.9</v>
      </c>
      <c r="F5955" s="95">
        <v>22</v>
      </c>
      <c r="G5955" s="74">
        <f>+(F5955/B5955)^(1/4)-1</f>
        <v>5.2631578947368585E-2</v>
      </c>
    </row>
    <row r="5956" spans="1:11" x14ac:dyDescent="0.3">
      <c r="A5956" s="90" t="s">
        <v>266</v>
      </c>
      <c r="B5956" s="803">
        <f>+B5897</f>
        <v>827.87800000000004</v>
      </c>
      <c r="C5956" s="803">
        <f>+C5897</f>
        <v>879.26199999999994</v>
      </c>
      <c r="D5956" s="803">
        <f>+D5897</f>
        <v>914.2</v>
      </c>
      <c r="E5956" s="803">
        <f>+E5897</f>
        <v>930.07</v>
      </c>
      <c r="F5956" s="803">
        <f>+F5897</f>
        <v>948.06799999999998</v>
      </c>
      <c r="G5956" s="92">
        <f>+(F5956/B5956)^(1/4)-1</f>
        <v>3.4470919654879584E-2</v>
      </c>
    </row>
    <row r="5959" spans="1:11" x14ac:dyDescent="0.3">
      <c r="A5959" s="644" t="s">
        <v>2743</v>
      </c>
      <c r="B5959" s="534"/>
      <c r="C5959" s="534"/>
      <c r="D5959" s="534"/>
      <c r="E5959" s="534"/>
      <c r="F5959" s="534"/>
      <c r="G5959" s="534"/>
      <c r="H5959" s="534"/>
      <c r="I5959" s="534"/>
      <c r="J5959" s="534"/>
      <c r="K5959" s="534"/>
    </row>
    <row r="5962" spans="1:11" x14ac:dyDescent="0.3">
      <c r="A5962" s="90" t="s">
        <v>2744</v>
      </c>
      <c r="B5962" s="382"/>
      <c r="C5962" s="382"/>
      <c r="D5962" s="382"/>
    </row>
    <row r="5963" spans="1:11" ht="24" x14ac:dyDescent="0.3">
      <c r="A5963" s="383"/>
      <c r="B5963" s="383" t="s">
        <v>2745</v>
      </c>
      <c r="C5963" s="383" t="s">
        <v>2746</v>
      </c>
      <c r="D5963" s="383" t="s">
        <v>2747</v>
      </c>
      <c r="E5963" s="383" t="s">
        <v>2748</v>
      </c>
      <c r="F5963" s="383" t="s">
        <v>2749</v>
      </c>
      <c r="G5963" s="383" t="s">
        <v>628</v>
      </c>
    </row>
    <row r="5964" spans="1:11" x14ac:dyDescent="0.3">
      <c r="A5964" t="s">
        <v>2750</v>
      </c>
      <c r="B5964" s="103">
        <v>24.99</v>
      </c>
      <c r="C5964" s="103">
        <v>27.99</v>
      </c>
      <c r="D5964" s="103">
        <v>39.99</v>
      </c>
      <c r="E5964" s="103">
        <v>74.989999999999995</v>
      </c>
    </row>
    <row r="5965" spans="1:11" x14ac:dyDescent="0.3">
      <c r="A5965" t="s">
        <v>2751</v>
      </c>
      <c r="B5965" s="103">
        <v>10</v>
      </c>
      <c r="C5965" s="103">
        <v>10</v>
      </c>
      <c r="D5965" s="103">
        <v>10</v>
      </c>
      <c r="E5965" s="103">
        <v>10</v>
      </c>
    </row>
    <row r="5966" spans="1:11" x14ac:dyDescent="0.3">
      <c r="A5966" s="90" t="s">
        <v>266</v>
      </c>
      <c r="B5966" s="1812">
        <f>+B5964+B5965</f>
        <v>34.989999999999995</v>
      </c>
      <c r="C5966" s="1812">
        <f>+C5964+C5965</f>
        <v>37.989999999999995</v>
      </c>
      <c r="D5966" s="1812">
        <f>+D5964+D5965</f>
        <v>49.99</v>
      </c>
      <c r="E5966" s="1812">
        <f>+E5964+E5965</f>
        <v>84.99</v>
      </c>
    </row>
    <row r="5967" spans="1:11" x14ac:dyDescent="0.3">
      <c r="A5967" t="s">
        <v>2752</v>
      </c>
      <c r="B5967" s="103">
        <f>+B5966*0.08</f>
        <v>2.7991999999999995</v>
      </c>
      <c r="C5967" s="103">
        <f>+C5966*0.08</f>
        <v>3.0391999999999997</v>
      </c>
      <c r="D5967" s="103">
        <f>+D5966*0.08</f>
        <v>3.9992000000000001</v>
      </c>
      <c r="E5967" s="103">
        <f>+E5966*0.08</f>
        <v>6.7991999999999999</v>
      </c>
    </row>
    <row r="5968" spans="1:11" ht="12.5" thickBot="1" x14ac:dyDescent="0.35">
      <c r="A5968" s="90" t="s">
        <v>266</v>
      </c>
      <c r="B5968" s="384">
        <f>+B5966+B5967</f>
        <v>37.789199999999994</v>
      </c>
      <c r="C5968" s="384">
        <f>+C5966+C5967</f>
        <v>41.029199999999996</v>
      </c>
      <c r="D5968" s="384">
        <f>+D5966+D5967</f>
        <v>53.989200000000004</v>
      </c>
      <c r="E5968" s="384">
        <f>+E5966+E5967</f>
        <v>91.789199999999994</v>
      </c>
      <c r="F5968" s="384">
        <f>+SUMPRODUCT(B5968:C5968,B5969:C5969)</f>
        <v>40.219199999999994</v>
      </c>
      <c r="G5968" s="384">
        <f>+SUMPRODUCT(D5968:E5968,D5970:E5970)</f>
        <v>57.769200000000005</v>
      </c>
    </row>
    <row r="5969" spans="1:14" ht="12.5" thickTop="1" x14ac:dyDescent="0.3">
      <c r="A5969" t="s">
        <v>2753</v>
      </c>
      <c r="B5969" s="191">
        <f>1-C5969</f>
        <v>0.25</v>
      </c>
      <c r="C5969" s="191">
        <v>0.75</v>
      </c>
    </row>
    <row r="5970" spans="1:14" x14ac:dyDescent="0.3">
      <c r="A5970" t="s">
        <v>2754</v>
      </c>
      <c r="D5970" s="191">
        <f>1-E5970</f>
        <v>0.9</v>
      </c>
      <c r="E5970" s="191">
        <v>0.1</v>
      </c>
    </row>
    <row r="5973" spans="1:14" x14ac:dyDescent="0.3">
      <c r="A5973" s="141" t="s">
        <v>2755</v>
      </c>
    </row>
    <row r="5974" spans="1:14" x14ac:dyDescent="0.3">
      <c r="D5974" s="1847" t="s">
        <v>766</v>
      </c>
      <c r="E5974" s="1848"/>
      <c r="F5974" s="1848"/>
      <c r="G5974" s="1847" t="s">
        <v>2756</v>
      </c>
      <c r="H5974" s="1848"/>
      <c r="I5974" s="1848"/>
      <c r="J5974" s="1848"/>
      <c r="K5974" s="1848"/>
      <c r="L5974" s="1848"/>
      <c r="M5974" s="1848"/>
      <c r="N5974" s="1849"/>
    </row>
    <row r="5975" spans="1:14" x14ac:dyDescent="0.3">
      <c r="A5975" s="147" t="s">
        <v>2757</v>
      </c>
      <c r="B5975" s="147" t="s">
        <v>2758</v>
      </c>
      <c r="C5975" s="366"/>
      <c r="D5975" s="692" t="s">
        <v>2759</v>
      </c>
      <c r="E5975" s="692" t="s">
        <v>2760</v>
      </c>
      <c r="F5975" s="692" t="s">
        <v>2761</v>
      </c>
      <c r="G5975" s="692" t="s">
        <v>2762</v>
      </c>
      <c r="H5975" s="692" t="s">
        <v>2763</v>
      </c>
      <c r="I5975" s="692" t="s">
        <v>2764</v>
      </c>
      <c r="J5975" s="692" t="s">
        <v>2765</v>
      </c>
      <c r="K5975" s="692" t="s">
        <v>2766</v>
      </c>
      <c r="L5975" s="692" t="s">
        <v>2767</v>
      </c>
      <c r="M5975" s="692" t="s">
        <v>2768</v>
      </c>
      <c r="N5975" s="692" t="s">
        <v>2769</v>
      </c>
    </row>
    <row r="5976" spans="1:14" x14ac:dyDescent="0.3">
      <c r="A5976" t="s">
        <v>2770</v>
      </c>
      <c r="B5976" t="s">
        <v>2771</v>
      </c>
      <c r="D5976" s="103">
        <v>49.99</v>
      </c>
      <c r="E5976" s="103">
        <v>59.99</v>
      </c>
      <c r="F5976" s="103">
        <v>79.989999999999995</v>
      </c>
      <c r="G5976" s="103">
        <f>56-21-10</f>
        <v>25</v>
      </c>
      <c r="H5976" s="103">
        <f>76-21-10</f>
        <v>45</v>
      </c>
      <c r="I5976" s="103">
        <f>86-26-10</f>
        <v>50</v>
      </c>
      <c r="J5976" s="103">
        <f>96-36-10</f>
        <v>50</v>
      </c>
      <c r="K5976" s="103">
        <f>106-36-10</f>
        <v>60</v>
      </c>
      <c r="L5976" s="103"/>
      <c r="M5976" s="103">
        <f>116-36-10</f>
        <v>70</v>
      </c>
      <c r="N5976" s="372" t="s">
        <v>2649</v>
      </c>
    </row>
    <row r="5977" spans="1:14" x14ac:dyDescent="0.3">
      <c r="A5977" t="s">
        <v>2772</v>
      </c>
      <c r="B5977" t="s">
        <v>2773</v>
      </c>
      <c r="D5977" s="103">
        <v>49.99</v>
      </c>
      <c r="E5977" s="103">
        <v>59.99</v>
      </c>
      <c r="F5977" s="103">
        <v>79.989999999999995</v>
      </c>
      <c r="J5977" s="103">
        <v>49.99</v>
      </c>
      <c r="L5977" s="103">
        <v>109.99</v>
      </c>
      <c r="N5977" s="372" t="s">
        <v>1969</v>
      </c>
    </row>
    <row r="5978" spans="1:14" x14ac:dyDescent="0.3">
      <c r="A5978" t="s">
        <v>2774</v>
      </c>
      <c r="B5978" t="s">
        <v>2775</v>
      </c>
      <c r="D5978" s="103">
        <v>49.99</v>
      </c>
      <c r="E5978" s="103">
        <v>59.99</v>
      </c>
      <c r="F5978" s="103">
        <v>79.989999999999995</v>
      </c>
      <c r="J5978" s="103">
        <v>49.99</v>
      </c>
      <c r="L5978" s="103">
        <v>109.99</v>
      </c>
      <c r="N5978" s="372" t="s">
        <v>1969</v>
      </c>
    </row>
    <row r="5979" spans="1:14" x14ac:dyDescent="0.3">
      <c r="A5979" t="s">
        <v>2776</v>
      </c>
      <c r="B5979" t="s">
        <v>2777</v>
      </c>
      <c r="D5979" s="103">
        <v>49.99</v>
      </c>
      <c r="E5979" s="103">
        <v>59.99</v>
      </c>
      <c r="F5979" s="103">
        <v>79.989999999999995</v>
      </c>
      <c r="J5979" s="103">
        <v>49.99</v>
      </c>
      <c r="L5979" s="103">
        <v>109.99</v>
      </c>
      <c r="N5979" s="372" t="s">
        <v>1969</v>
      </c>
    </row>
    <row r="5980" spans="1:14" x14ac:dyDescent="0.3">
      <c r="A5980" s="114"/>
      <c r="B5980" s="114"/>
      <c r="C5980" s="114"/>
      <c r="D5980" s="114"/>
      <c r="E5980" s="114"/>
      <c r="F5980" s="114"/>
      <c r="G5980" s="114"/>
      <c r="H5980" s="114"/>
      <c r="I5980" s="114"/>
      <c r="J5980" s="114"/>
      <c r="K5980" s="114"/>
      <c r="L5980" s="114"/>
      <c r="M5980" s="114"/>
      <c r="N5980" s="114"/>
    </row>
    <row r="5984" spans="1:14" x14ac:dyDescent="0.3">
      <c r="A5984" s="141" t="s">
        <v>2778</v>
      </c>
    </row>
    <row r="5985" spans="1:30" x14ac:dyDescent="0.3">
      <c r="A5985" s="374"/>
      <c r="B5985" s="374" t="s">
        <v>2779</v>
      </c>
      <c r="C5985" s="374" t="s">
        <v>2780</v>
      </c>
      <c r="D5985" s="374" t="s">
        <v>2781</v>
      </c>
      <c r="E5985" s="374" t="s">
        <v>2782</v>
      </c>
      <c r="F5985" s="374" t="s">
        <v>2783</v>
      </c>
      <c r="G5985" s="374" t="s">
        <v>2784</v>
      </c>
      <c r="H5985" s="374" t="s">
        <v>2785</v>
      </c>
      <c r="I5985" s="374" t="s">
        <v>2786</v>
      </c>
      <c r="J5985" s="374" t="s">
        <v>2787</v>
      </c>
      <c r="K5985" s="374" t="s">
        <v>2788</v>
      </c>
      <c r="L5985" s="374" t="s">
        <v>2789</v>
      </c>
      <c r="M5985" s="374" t="s">
        <v>2790</v>
      </c>
      <c r="N5985" s="374" t="s">
        <v>2791</v>
      </c>
      <c r="O5985" s="374" t="s">
        <v>2792</v>
      </c>
      <c r="P5985" s="374" t="s">
        <v>2793</v>
      </c>
      <c r="Q5985" s="374" t="s">
        <v>2794</v>
      </c>
      <c r="R5985" s="374" t="s">
        <v>2795</v>
      </c>
      <c r="S5985" s="374" t="s">
        <v>2796</v>
      </c>
      <c r="T5985" s="374" t="s">
        <v>2797</v>
      </c>
      <c r="U5985" s="374" t="s">
        <v>2798</v>
      </c>
      <c r="V5985" s="374" t="s">
        <v>1876</v>
      </c>
      <c r="W5985" s="374" t="s">
        <v>1877</v>
      </c>
      <c r="X5985" s="374" t="s">
        <v>1878</v>
      </c>
      <c r="Y5985" s="374" t="s">
        <v>1879</v>
      </c>
      <c r="Z5985" s="374" t="s">
        <v>1166</v>
      </c>
      <c r="AA5985" s="374" t="s">
        <v>1167</v>
      </c>
      <c r="AB5985" s="374" t="s">
        <v>1168</v>
      </c>
      <c r="AC5985" s="374" t="s">
        <v>1169</v>
      </c>
      <c r="AD5985" s="374" t="s">
        <v>1125</v>
      </c>
    </row>
    <row r="5986" spans="1:30" x14ac:dyDescent="0.3">
      <c r="A5986" t="s">
        <v>2799</v>
      </c>
      <c r="B5986" s="701">
        <v>100</v>
      </c>
      <c r="C5986" s="701">
        <v>150</v>
      </c>
      <c r="D5986" s="701">
        <v>270</v>
      </c>
      <c r="E5986" s="701">
        <v>390</v>
      </c>
      <c r="F5986" s="701">
        <v>510</v>
      </c>
      <c r="G5986" s="701">
        <v>750</v>
      </c>
      <c r="H5986" s="701">
        <v>1000</v>
      </c>
      <c r="I5986" s="701">
        <v>1000</v>
      </c>
      <c r="J5986" s="701">
        <v>1000</v>
      </c>
      <c r="K5986" s="701">
        <v>2200</v>
      </c>
      <c r="L5986" s="701">
        <v>3000</v>
      </c>
      <c r="M5986" s="701">
        <v>3800</v>
      </c>
      <c r="N5986" s="701">
        <v>4650</v>
      </c>
      <c r="O5986" s="701">
        <v>5500</v>
      </c>
      <c r="P5986" s="701">
        <v>6450</v>
      </c>
      <c r="Q5986" s="701">
        <v>7400</v>
      </c>
      <c r="R5986" s="701">
        <v>8200</v>
      </c>
      <c r="S5986" s="701">
        <v>9100</v>
      </c>
      <c r="T5986" s="701">
        <v>10100</v>
      </c>
      <c r="U5986" s="701">
        <v>11100</v>
      </c>
      <c r="V5986" s="701">
        <v>12300</v>
      </c>
      <c r="W5986" s="701">
        <v>14000</v>
      </c>
      <c r="X5986" s="701">
        <v>14093.627450980392</v>
      </c>
      <c r="Y5986" s="701">
        <v>14187.254901960783</v>
      </c>
      <c r="Z5986" s="701">
        <v>14280.882352941175</v>
      </c>
      <c r="AA5986" s="701">
        <v>14374.509803921566</v>
      </c>
      <c r="AB5986" s="701">
        <v>14468.137254901958</v>
      </c>
      <c r="AC5986" s="701">
        <v>14561.764705882351</v>
      </c>
      <c r="AD5986" s="701">
        <v>15311.764705882351</v>
      </c>
    </row>
    <row r="5987" spans="1:30" x14ac:dyDescent="0.3">
      <c r="A5987" t="s">
        <v>2800</v>
      </c>
      <c r="B5987" s="701">
        <v>597.45760702822156</v>
      </c>
      <c r="C5987" s="701">
        <v>606.402714516125</v>
      </c>
      <c r="D5987" s="701">
        <v>621.29711592981005</v>
      </c>
      <c r="E5987" s="701">
        <v>661.24429066965331</v>
      </c>
      <c r="F5987" s="701">
        <v>665.1370932728297</v>
      </c>
      <c r="G5987" s="701">
        <v>677.60056367964819</v>
      </c>
      <c r="H5987" s="701">
        <v>707.19174696403627</v>
      </c>
      <c r="I5987" s="701">
        <v>744.36270495395365</v>
      </c>
      <c r="J5987" s="701">
        <v>770.17834199900585</v>
      </c>
      <c r="K5987" s="701">
        <v>832.47348408456617</v>
      </c>
      <c r="L5987" s="701">
        <v>954.60663570980159</v>
      </c>
      <c r="M5987" s="701">
        <v>1121.0039294154885</v>
      </c>
      <c r="N5987" s="701">
        <v>1230.6747547890627</v>
      </c>
      <c r="O5987" s="701">
        <v>1368.1886031250001</v>
      </c>
      <c r="P5987" s="701">
        <v>1534.11625</v>
      </c>
      <c r="Q5987" s="701">
        <v>1729</v>
      </c>
      <c r="R5987" s="701">
        <v>1955</v>
      </c>
      <c r="S5987" s="701">
        <v>2204</v>
      </c>
      <c r="T5987" s="701">
        <v>2504</v>
      </c>
      <c r="U5987" s="701">
        <v>2763</v>
      </c>
      <c r="V5987" s="701">
        <v>3060</v>
      </c>
      <c r="W5987" s="701">
        <v>3378</v>
      </c>
      <c r="X5987" s="701">
        <v>3696</v>
      </c>
      <c r="Y5987" s="701">
        <v>3887</v>
      </c>
      <c r="Z5987" s="701">
        <v>4096</v>
      </c>
      <c r="AA5987" s="701">
        <v>4321</v>
      </c>
      <c r="AB5987" s="701">
        <v>4678</v>
      </c>
      <c r="AC5987" s="701">
        <v>4951</v>
      </c>
      <c r="AD5987" s="701">
        <v>5186</v>
      </c>
    </row>
    <row r="5988" spans="1:30" x14ac:dyDescent="0.3">
      <c r="A5988" s="94" t="s">
        <v>2801</v>
      </c>
      <c r="B5988" s="75">
        <f>+B5987/B5986</f>
        <v>5.9745760702822155</v>
      </c>
      <c r="C5988" s="75">
        <f t="shared" ref="C5988:AD5988" si="1646">+C5987/C5986</f>
        <v>4.0426847634408336</v>
      </c>
      <c r="D5988" s="75">
        <f t="shared" si="1646"/>
        <v>2.3011004293696669</v>
      </c>
      <c r="E5988" s="75">
        <f t="shared" si="1646"/>
        <v>1.6954981812042393</v>
      </c>
      <c r="F5988" s="75">
        <f t="shared" si="1646"/>
        <v>1.3041903789663327</v>
      </c>
      <c r="G5988" s="75">
        <f t="shared" si="1646"/>
        <v>0.90346741823953092</v>
      </c>
      <c r="H5988" s="75">
        <f t="shared" si="1646"/>
        <v>0.70719174696403631</v>
      </c>
      <c r="I5988" s="75">
        <f t="shared" si="1646"/>
        <v>0.74436270495395362</v>
      </c>
      <c r="J5988" s="75">
        <f t="shared" si="1646"/>
        <v>0.77017834199900581</v>
      </c>
      <c r="K5988" s="75">
        <f t="shared" si="1646"/>
        <v>0.37839703822025733</v>
      </c>
      <c r="L5988" s="75">
        <f t="shared" si="1646"/>
        <v>0.3182022119032672</v>
      </c>
      <c r="M5988" s="75">
        <f t="shared" si="1646"/>
        <v>0.29500103405670752</v>
      </c>
      <c r="N5988" s="75">
        <f t="shared" si="1646"/>
        <v>0.26466123758904575</v>
      </c>
      <c r="O5988" s="75">
        <f t="shared" si="1646"/>
        <v>0.24876156420454548</v>
      </c>
      <c r="P5988" s="75">
        <f t="shared" si="1646"/>
        <v>0.23784748062015504</v>
      </c>
      <c r="Q5988" s="75">
        <f t="shared" si="1646"/>
        <v>0.23364864864864865</v>
      </c>
      <c r="R5988" s="75">
        <f t="shared" si="1646"/>
        <v>0.23841463414634145</v>
      </c>
      <c r="S5988" s="75">
        <f t="shared" si="1646"/>
        <v>0.24219780219780221</v>
      </c>
      <c r="T5988" s="75">
        <f t="shared" si="1646"/>
        <v>0.24792079207920792</v>
      </c>
      <c r="U5988" s="75">
        <f t="shared" si="1646"/>
        <v>0.24891891891891893</v>
      </c>
      <c r="V5988" s="75">
        <f t="shared" si="1646"/>
        <v>0.24878048780487805</v>
      </c>
      <c r="W5988" s="75">
        <f t="shared" si="1646"/>
        <v>0.2412857142857143</v>
      </c>
      <c r="X5988" s="75">
        <f t="shared" si="1646"/>
        <v>0.26224618274146988</v>
      </c>
      <c r="Y5988" s="75">
        <f t="shared" si="1646"/>
        <v>0.2739783014304471</v>
      </c>
      <c r="Z5988" s="75">
        <f t="shared" si="1646"/>
        <v>0.28681701163628875</v>
      </c>
      <c r="AA5988" s="75">
        <f t="shared" si="1646"/>
        <v>0.30060155504024011</v>
      </c>
      <c r="AB5988" s="75">
        <f t="shared" si="1646"/>
        <v>0.3233311875317636</v>
      </c>
      <c r="AC5988" s="75">
        <f t="shared" si="1646"/>
        <v>0.34</v>
      </c>
      <c r="AD5988" s="75">
        <f t="shared" si="1646"/>
        <v>0.33869381482904343</v>
      </c>
    </row>
    <row r="5989" spans="1:30" x14ac:dyDescent="0.3">
      <c r="A5989" s="94" t="s">
        <v>2802</v>
      </c>
      <c r="E5989" s="620"/>
      <c r="F5989" s="75">
        <f>+F5986/B5986-1</f>
        <v>4.0999999999999996</v>
      </c>
      <c r="G5989" s="75">
        <f t="shared" ref="G5989:AD5989" si="1647">+G5986/C5986-1</f>
        <v>4</v>
      </c>
      <c r="H5989" s="75">
        <f t="shared" si="1647"/>
        <v>2.7037037037037037</v>
      </c>
      <c r="I5989" s="75">
        <f t="shared" si="1647"/>
        <v>1.5641025641025643</v>
      </c>
      <c r="J5989" s="75">
        <f t="shared" si="1647"/>
        <v>0.96078431372549011</v>
      </c>
      <c r="K5989" s="75">
        <f t="shared" si="1647"/>
        <v>1.9333333333333331</v>
      </c>
      <c r="L5989" s="75">
        <f t="shared" si="1647"/>
        <v>2</v>
      </c>
      <c r="M5989" s="75">
        <f t="shared" si="1647"/>
        <v>2.8</v>
      </c>
      <c r="N5989" s="75">
        <f t="shared" si="1647"/>
        <v>3.6500000000000004</v>
      </c>
      <c r="O5989" s="75">
        <f t="shared" si="1647"/>
        <v>1.5</v>
      </c>
      <c r="P5989" s="75">
        <f t="shared" si="1647"/>
        <v>1.1499999999999999</v>
      </c>
      <c r="Q5989" s="75">
        <f t="shared" si="1647"/>
        <v>0.94736842105263164</v>
      </c>
      <c r="R5989" s="75">
        <f t="shared" si="1647"/>
        <v>0.76344086021505375</v>
      </c>
      <c r="S5989" s="75">
        <f t="shared" si="1647"/>
        <v>0.65454545454545454</v>
      </c>
      <c r="T5989" s="75">
        <f t="shared" si="1647"/>
        <v>0.56589147286821695</v>
      </c>
      <c r="U5989" s="75">
        <f t="shared" si="1647"/>
        <v>0.5</v>
      </c>
      <c r="V5989" s="75">
        <f t="shared" si="1647"/>
        <v>0.5</v>
      </c>
      <c r="W5989" s="75">
        <f t="shared" si="1647"/>
        <v>0.53846153846153855</v>
      </c>
      <c r="X5989" s="75">
        <f t="shared" si="1647"/>
        <v>0.39540865851290996</v>
      </c>
      <c r="Y5989" s="75">
        <f t="shared" si="1647"/>
        <v>0.27813107224871914</v>
      </c>
      <c r="Z5989" s="75">
        <f t="shared" si="1647"/>
        <v>0.16104734576757518</v>
      </c>
      <c r="AA5989" s="75">
        <f t="shared" si="1647"/>
        <v>2.675070028011195E-2</v>
      </c>
      <c r="AB5989" s="75">
        <f t="shared" si="1647"/>
        <v>2.6572988765608097E-2</v>
      </c>
      <c r="AC5989" s="75">
        <f t="shared" si="1647"/>
        <v>2.6397622831870526E-2</v>
      </c>
      <c r="AD5989" s="75">
        <f t="shared" si="1647"/>
        <v>7.2186180619915552E-2</v>
      </c>
    </row>
    <row r="5990" spans="1:30" x14ac:dyDescent="0.3">
      <c r="A5990" s="94" t="s">
        <v>2803</v>
      </c>
      <c r="F5990" s="75">
        <f>+F5988-B5988</f>
        <v>-4.6703856913158823</v>
      </c>
      <c r="G5990" s="75">
        <f t="shared" ref="G5990:AD5990" si="1648">+G5988-C5988</f>
        <v>-3.1392173452013026</v>
      </c>
      <c r="H5990" s="75">
        <f t="shared" si="1648"/>
        <v>-1.5939086824056306</v>
      </c>
      <c r="I5990" s="75">
        <f t="shared" si="1648"/>
        <v>-0.95113547625028572</v>
      </c>
      <c r="J5990" s="75">
        <f t="shared" si="1648"/>
        <v>-0.53401203696732691</v>
      </c>
      <c r="K5990" s="75">
        <f t="shared" si="1648"/>
        <v>-0.52507038001927353</v>
      </c>
      <c r="L5990" s="75">
        <f t="shared" si="1648"/>
        <v>-0.38898953506076911</v>
      </c>
      <c r="M5990" s="75">
        <f t="shared" si="1648"/>
        <v>-0.4493616708972461</v>
      </c>
      <c r="N5990" s="75">
        <f t="shared" si="1648"/>
        <v>-0.50551710440996001</v>
      </c>
      <c r="O5990" s="75">
        <f t="shared" si="1648"/>
        <v>-0.12963547401571185</v>
      </c>
      <c r="P5990" s="75">
        <f t="shared" si="1648"/>
        <v>-8.0354731283112157E-2</v>
      </c>
      <c r="Q5990" s="75">
        <f t="shared" si="1648"/>
        <v>-6.1352385408058874E-2</v>
      </c>
      <c r="R5990" s="75">
        <f t="shared" si="1648"/>
        <v>-2.6246603442704297E-2</v>
      </c>
      <c r="S5990" s="75">
        <f t="shared" si="1648"/>
        <v>-6.5637620067432734E-3</v>
      </c>
      <c r="T5990" s="75">
        <f t="shared" si="1648"/>
        <v>1.0073311459052881E-2</v>
      </c>
      <c r="U5990" s="75">
        <f t="shared" si="1648"/>
        <v>1.5270270270270281E-2</v>
      </c>
      <c r="V5990" s="75">
        <f t="shared" si="1648"/>
        <v>1.0365853658536595E-2</v>
      </c>
      <c r="W5990" s="75">
        <f t="shared" si="1648"/>
        <v>-9.1208791208791107E-4</v>
      </c>
      <c r="X5990" s="75">
        <f t="shared" si="1648"/>
        <v>1.4325390662261961E-2</v>
      </c>
      <c r="Y5990" s="75">
        <f t="shared" si="1648"/>
        <v>2.5059382511528172E-2</v>
      </c>
      <c r="Z5990" s="75">
        <f t="shared" si="1648"/>
        <v>3.8036523831410707E-2</v>
      </c>
      <c r="AA5990" s="75">
        <f t="shared" si="1648"/>
        <v>5.9315840754525812E-2</v>
      </c>
      <c r="AB5990" s="75">
        <f t="shared" si="1648"/>
        <v>6.1085004790293718E-2</v>
      </c>
      <c r="AC5990" s="75">
        <f t="shared" si="1648"/>
        <v>6.6021698569552922E-2</v>
      </c>
      <c r="AD5990" s="75">
        <f t="shared" si="1648"/>
        <v>5.1876803192754672E-2</v>
      </c>
    </row>
    <row r="5993" spans="1:30" x14ac:dyDescent="0.3">
      <c r="A5993" s="141" t="s">
        <v>265</v>
      </c>
      <c r="B5993" s="90"/>
      <c r="C5993" s="85"/>
      <c r="D5993" s="85"/>
      <c r="E5993" s="85"/>
      <c r="F5993" s="85"/>
      <c r="G5993" s="85"/>
      <c r="H5993" s="85"/>
      <c r="I5993" s="85"/>
      <c r="J5993" s="85"/>
      <c r="K5993" s="85"/>
      <c r="L5993" s="85"/>
      <c r="M5993" s="85"/>
      <c r="N5993" s="85"/>
    </row>
    <row r="5994" spans="1:30" x14ac:dyDescent="0.3">
      <c r="A5994" s="141" t="s">
        <v>324</v>
      </c>
      <c r="Q5994" s="399"/>
      <c r="R5994" s="399"/>
    </row>
    <row r="5995" spans="1:30" x14ac:dyDescent="0.3">
      <c r="A5995" s="761"/>
      <c r="B5995" s="147">
        <v>2014</v>
      </c>
      <c r="C5995" s="147">
        <f t="shared" ref="C5995:H5995" si="1649">+B5995+1</f>
        <v>2015</v>
      </c>
      <c r="D5995" s="147">
        <f t="shared" si="1649"/>
        <v>2016</v>
      </c>
      <c r="E5995" s="147">
        <f t="shared" si="1649"/>
        <v>2017</v>
      </c>
      <c r="F5995" s="147">
        <f t="shared" si="1649"/>
        <v>2018</v>
      </c>
      <c r="G5995" s="147">
        <f t="shared" si="1649"/>
        <v>2019</v>
      </c>
      <c r="H5995" s="147">
        <f t="shared" si="1649"/>
        <v>2020</v>
      </c>
      <c r="Q5995" s="399"/>
      <c r="R5995" s="399"/>
    </row>
    <row r="5996" spans="1:30" x14ac:dyDescent="0.3">
      <c r="A5996" t="s">
        <v>324</v>
      </c>
      <c r="B5996" s="620">
        <f>+E5986</f>
        <v>390</v>
      </c>
      <c r="C5996" s="620">
        <f>+I5986</f>
        <v>1000</v>
      </c>
      <c r="D5996" s="620">
        <f>+M5986</f>
        <v>3800</v>
      </c>
      <c r="E5996" s="620">
        <f>+Q5986</f>
        <v>7400</v>
      </c>
      <c r="F5996" s="620">
        <f>+U5986</f>
        <v>11100</v>
      </c>
      <c r="G5996" s="620">
        <f>+Y5986</f>
        <v>14187.254901960783</v>
      </c>
      <c r="H5996" s="620">
        <f>+AC5986</f>
        <v>14561.764705882351</v>
      </c>
      <c r="Q5996" s="399"/>
      <c r="R5996" s="399"/>
    </row>
    <row r="5997" spans="1:30" x14ac:dyDescent="0.3">
      <c r="A5997" t="s">
        <v>1090</v>
      </c>
      <c r="B5997" s="620">
        <f>+E5987</f>
        <v>661.24429066965331</v>
      </c>
      <c r="C5997" s="620">
        <f>+I5987</f>
        <v>744.36270495395365</v>
      </c>
      <c r="D5997" s="620">
        <f>+M5987</f>
        <v>1121.0039294154885</v>
      </c>
      <c r="E5997" s="620">
        <f>+Q5987</f>
        <v>1729</v>
      </c>
      <c r="F5997" s="620">
        <f>+U5987</f>
        <v>2763</v>
      </c>
      <c r="G5997" s="620">
        <f>+Y5987</f>
        <v>3887</v>
      </c>
      <c r="H5997" s="620">
        <f>+AC5987</f>
        <v>4951</v>
      </c>
      <c r="Q5997" s="399"/>
      <c r="R5997" s="399"/>
    </row>
    <row r="5998" spans="1:30" x14ac:dyDescent="0.3">
      <c r="A5998" t="s">
        <v>2804</v>
      </c>
      <c r="B5998" s="74">
        <f>+E5988</f>
        <v>1.6954981812042393</v>
      </c>
      <c r="C5998" s="74">
        <f>+I5988</f>
        <v>0.74436270495395362</v>
      </c>
      <c r="D5998" s="74">
        <f>+M5988</f>
        <v>0.29500103405670752</v>
      </c>
      <c r="E5998" s="74">
        <f>+Q5988</f>
        <v>0.23364864864864865</v>
      </c>
      <c r="F5998" s="74">
        <f>+U5988</f>
        <v>0.24891891891891893</v>
      </c>
      <c r="G5998" s="74">
        <f>+Y5988</f>
        <v>0.2739783014304471</v>
      </c>
      <c r="H5998" s="74">
        <f>+AC5988</f>
        <v>0.34</v>
      </c>
      <c r="Q5998" s="399"/>
      <c r="R5998" s="399"/>
    </row>
    <row r="5999" spans="1:30" x14ac:dyDescent="0.3">
      <c r="A5999" s="141"/>
      <c r="Q5999" s="399"/>
      <c r="R5999" s="399"/>
    </row>
    <row r="6000" spans="1:30" x14ac:dyDescent="0.3">
      <c r="A6000" s="141"/>
      <c r="H6000" s="620"/>
      <c r="Q6000" s="399"/>
      <c r="R6000" s="399"/>
    </row>
    <row r="6001" spans="1:18" x14ac:dyDescent="0.3">
      <c r="A6001" s="141"/>
      <c r="C6001" s="620"/>
      <c r="D6001" s="620"/>
      <c r="E6001" s="620"/>
      <c r="F6001" s="620"/>
      <c r="G6001" s="620"/>
      <c r="H6001" s="74"/>
      <c r="Q6001" s="399"/>
      <c r="R6001" s="399"/>
    </row>
    <row r="6002" spans="1:18" x14ac:dyDescent="0.3">
      <c r="A6002" s="141"/>
      <c r="Q6002" s="399"/>
      <c r="R6002" s="399"/>
    </row>
    <row r="6003" spans="1:18" x14ac:dyDescent="0.3">
      <c r="A6003" s="141"/>
      <c r="Q6003" s="399"/>
      <c r="R6003" s="399"/>
    </row>
    <row r="6004" spans="1:18" x14ac:dyDescent="0.3">
      <c r="A6004" s="141"/>
      <c r="Q6004" s="399"/>
      <c r="R6004" s="399"/>
    </row>
    <row r="6005" spans="1:18" x14ac:dyDescent="0.3">
      <c r="A6005" s="141"/>
      <c r="Q6005" s="399"/>
      <c r="R6005" s="399"/>
    </row>
    <row r="6006" spans="1:18" x14ac:dyDescent="0.3">
      <c r="A6006" s="141"/>
      <c r="Q6006" s="399"/>
      <c r="R6006" s="399"/>
    </row>
    <row r="6007" spans="1:18" x14ac:dyDescent="0.3">
      <c r="A6007" s="141"/>
      <c r="Q6007" s="399"/>
      <c r="R6007" s="399"/>
    </row>
    <row r="6008" spans="1:18" x14ac:dyDescent="0.3">
      <c r="A6008" s="141" t="s">
        <v>265</v>
      </c>
    </row>
    <row r="6009" spans="1:18" x14ac:dyDescent="0.3">
      <c r="A6009" s="141" t="s">
        <v>324</v>
      </c>
    </row>
    <row r="6010" spans="1:18" x14ac:dyDescent="0.3">
      <c r="A6010" s="147"/>
      <c r="B6010" s="147">
        <v>2014</v>
      </c>
      <c r="C6010" s="147">
        <f t="shared" ref="C6010:H6010" si="1650">+B6010+1</f>
        <v>2015</v>
      </c>
      <c r="D6010" s="147">
        <f t="shared" si="1650"/>
        <v>2016</v>
      </c>
      <c r="E6010" s="147">
        <f t="shared" si="1650"/>
        <v>2017</v>
      </c>
      <c r="F6010" s="147">
        <f t="shared" si="1650"/>
        <v>2018</v>
      </c>
      <c r="G6010" s="147">
        <f t="shared" si="1650"/>
        <v>2019</v>
      </c>
      <c r="H6010" s="147">
        <f t="shared" si="1650"/>
        <v>2020</v>
      </c>
    </row>
    <row r="6011" spans="1:18" x14ac:dyDescent="0.3">
      <c r="A6011" s="368">
        <v>2014</v>
      </c>
      <c r="B6011" s="620">
        <f>+E5986</f>
        <v>390</v>
      </c>
      <c r="C6011" s="620">
        <f>+B6011</f>
        <v>390</v>
      </c>
      <c r="D6011" s="620">
        <f>+C6011</f>
        <v>390</v>
      </c>
      <c r="E6011" s="620">
        <f t="shared" ref="E6011:H6016" si="1651">+D6011</f>
        <v>390</v>
      </c>
      <c r="F6011" s="620">
        <f t="shared" si="1651"/>
        <v>390</v>
      </c>
      <c r="G6011" s="620">
        <f t="shared" si="1651"/>
        <v>390</v>
      </c>
      <c r="H6011" s="620">
        <f t="shared" si="1651"/>
        <v>390</v>
      </c>
    </row>
    <row r="6012" spans="1:18" x14ac:dyDescent="0.3">
      <c r="A6012" s="368">
        <f t="shared" ref="A6012:A6017" si="1652">+A6011+1</f>
        <v>2015</v>
      </c>
      <c r="C6012" s="620">
        <f>+I5986-E5986</f>
        <v>610</v>
      </c>
      <c r="D6012" s="620">
        <f>+C6012</f>
        <v>610</v>
      </c>
      <c r="E6012" s="620">
        <f t="shared" si="1651"/>
        <v>610</v>
      </c>
      <c r="F6012" s="620">
        <f t="shared" si="1651"/>
        <v>610</v>
      </c>
      <c r="G6012" s="620">
        <f t="shared" si="1651"/>
        <v>610</v>
      </c>
      <c r="H6012" s="620">
        <f t="shared" si="1651"/>
        <v>610</v>
      </c>
    </row>
    <row r="6013" spans="1:18" x14ac:dyDescent="0.3">
      <c r="A6013" s="368">
        <f t="shared" si="1652"/>
        <v>2016</v>
      </c>
      <c r="D6013" s="620">
        <f>+M5986-I5986</f>
        <v>2800</v>
      </c>
      <c r="E6013" s="620">
        <f t="shared" si="1651"/>
        <v>2800</v>
      </c>
      <c r="F6013" s="620">
        <f t="shared" si="1651"/>
        <v>2800</v>
      </c>
      <c r="G6013" s="620">
        <f t="shared" si="1651"/>
        <v>2800</v>
      </c>
      <c r="H6013" s="620">
        <f t="shared" si="1651"/>
        <v>2800</v>
      </c>
    </row>
    <row r="6014" spans="1:18" x14ac:dyDescent="0.3">
      <c r="A6014" s="368">
        <f t="shared" si="1652"/>
        <v>2017</v>
      </c>
      <c r="E6014" s="620">
        <f>+Q5986-M5986</f>
        <v>3600</v>
      </c>
      <c r="F6014" s="620">
        <f t="shared" si="1651"/>
        <v>3600</v>
      </c>
      <c r="G6014" s="620">
        <f t="shared" si="1651"/>
        <v>3600</v>
      </c>
      <c r="H6014" s="620">
        <f t="shared" si="1651"/>
        <v>3600</v>
      </c>
    </row>
    <row r="6015" spans="1:18" x14ac:dyDescent="0.3">
      <c r="A6015" s="368">
        <f t="shared" si="1652"/>
        <v>2018</v>
      </c>
      <c r="F6015" s="620">
        <f>+U5986-Q5986</f>
        <v>3700</v>
      </c>
      <c r="G6015" s="620">
        <f t="shared" si="1651"/>
        <v>3700</v>
      </c>
      <c r="H6015" s="620">
        <f t="shared" si="1651"/>
        <v>3700</v>
      </c>
    </row>
    <row r="6016" spans="1:18" x14ac:dyDescent="0.3">
      <c r="A6016" s="368">
        <f t="shared" si="1652"/>
        <v>2019</v>
      </c>
      <c r="G6016" s="620">
        <f>+Y5986-U5986</f>
        <v>3087.2549019607832</v>
      </c>
      <c r="H6016" s="620">
        <f t="shared" si="1651"/>
        <v>3087.2549019607832</v>
      </c>
    </row>
    <row r="6017" spans="1:13" x14ac:dyDescent="0.3">
      <c r="A6017" s="368">
        <f t="shared" si="1652"/>
        <v>2020</v>
      </c>
      <c r="H6017" s="620">
        <f>+AC5986-Y5986</f>
        <v>374.50980392156816</v>
      </c>
    </row>
    <row r="6018" spans="1:13" x14ac:dyDescent="0.3">
      <c r="A6018" s="90" t="s">
        <v>266</v>
      </c>
      <c r="B6018" s="697">
        <f t="shared" ref="B6018:H6018" si="1653">+SUM(B6011:B6017)</f>
        <v>390</v>
      </c>
      <c r="C6018" s="697">
        <f t="shared" si="1653"/>
        <v>1000</v>
      </c>
      <c r="D6018" s="697">
        <f t="shared" si="1653"/>
        <v>3800</v>
      </c>
      <c r="E6018" s="697">
        <f t="shared" si="1653"/>
        <v>7400</v>
      </c>
      <c r="F6018" s="697">
        <f t="shared" si="1653"/>
        <v>11100</v>
      </c>
      <c r="G6018" s="697">
        <f t="shared" si="1653"/>
        <v>14187.254901960783</v>
      </c>
      <c r="H6018" s="697">
        <f t="shared" si="1653"/>
        <v>14561.764705882351</v>
      </c>
    </row>
    <row r="6019" spans="1:13" x14ac:dyDescent="0.3">
      <c r="A6019" s="141"/>
    </row>
    <row r="6020" spans="1:13" x14ac:dyDescent="0.3">
      <c r="A6020" s="90" t="s">
        <v>267</v>
      </c>
    </row>
    <row r="6021" spans="1:13" x14ac:dyDescent="0.3">
      <c r="A6021" s="147"/>
      <c r="B6021" s="147">
        <v>2014</v>
      </c>
      <c r="C6021" s="147">
        <f t="shared" ref="C6021:H6021" si="1654">+B6021+1</f>
        <v>2015</v>
      </c>
      <c r="D6021" s="147">
        <f t="shared" si="1654"/>
        <v>2016</v>
      </c>
      <c r="E6021" s="147">
        <f t="shared" si="1654"/>
        <v>2017</v>
      </c>
      <c r="F6021" s="147">
        <f t="shared" si="1654"/>
        <v>2018</v>
      </c>
      <c r="G6021" s="147">
        <f t="shared" si="1654"/>
        <v>2019</v>
      </c>
      <c r="H6021" s="147">
        <f t="shared" si="1654"/>
        <v>2020</v>
      </c>
    </row>
    <row r="6022" spans="1:13" x14ac:dyDescent="0.3">
      <c r="A6022" s="612">
        <f>+A6011</f>
        <v>2014</v>
      </c>
      <c r="B6022" s="491">
        <f>+B6029-SUM(B6023:B6028)</f>
        <v>661.24429066965331</v>
      </c>
      <c r="C6022" s="491">
        <f t="shared" ref="C6022:H6022" si="1655">+C6029-SUM(C6023:C6028)</f>
        <v>707.76270495395363</v>
      </c>
      <c r="D6022" s="491">
        <f t="shared" si="1655"/>
        <v>843.20392941548857</v>
      </c>
      <c r="E6022" s="491">
        <f t="shared" si="1655"/>
        <v>840.64</v>
      </c>
      <c r="F6022" s="491">
        <f t="shared" si="1655"/>
        <v>904.99199999999996</v>
      </c>
      <c r="G6022" s="491">
        <f t="shared" si="1655"/>
        <v>805.15190588235328</v>
      </c>
      <c r="H6022" s="491">
        <f t="shared" si="1655"/>
        <v>664.00224941176566</v>
      </c>
      <c r="J6022" s="491"/>
      <c r="K6022" s="491"/>
      <c r="L6022" s="491"/>
      <c r="M6022" s="491"/>
    </row>
    <row r="6023" spans="1:13" x14ac:dyDescent="0.3">
      <c r="A6023" s="612">
        <f t="shared" ref="A6023:A6028" si="1656">+A6022+1</f>
        <v>2015</v>
      </c>
      <c r="C6023" s="491">
        <f t="shared" ref="C6023:H6023" si="1657">+B$6032*C6012</f>
        <v>36.6</v>
      </c>
      <c r="D6023" s="491">
        <f t="shared" si="1657"/>
        <v>109.8</v>
      </c>
      <c r="E6023" s="491">
        <f t="shared" si="1657"/>
        <v>168.36</v>
      </c>
      <c r="F6023" s="491">
        <f t="shared" si="1657"/>
        <v>215.208</v>
      </c>
      <c r="G6023" s="491">
        <f t="shared" si="1657"/>
        <v>249.1728</v>
      </c>
      <c r="H6023" s="491">
        <f t="shared" si="1657"/>
        <v>273.79728</v>
      </c>
    </row>
    <row r="6024" spans="1:13" x14ac:dyDescent="0.3">
      <c r="A6024" s="612">
        <f t="shared" si="1656"/>
        <v>2016</v>
      </c>
      <c r="D6024" s="491">
        <f>+B$6032*D6013</f>
        <v>168</v>
      </c>
      <c r="E6024" s="491">
        <f>+C$6032*E6013</f>
        <v>504</v>
      </c>
      <c r="F6024" s="491">
        <f>+D$6032*F6013</f>
        <v>772.80000000000007</v>
      </c>
      <c r="G6024" s="491">
        <f>+E$6032*G6013</f>
        <v>987.84</v>
      </c>
      <c r="H6024" s="491">
        <f>+F$6032*H6013</f>
        <v>1143.7439999999999</v>
      </c>
    </row>
    <row r="6025" spans="1:13" x14ac:dyDescent="0.3">
      <c r="A6025" s="612">
        <f t="shared" si="1656"/>
        <v>2017</v>
      </c>
      <c r="E6025" s="491">
        <f>+B$6032*E6014</f>
        <v>216</v>
      </c>
      <c r="F6025" s="491">
        <f>+C$6032*F6014</f>
        <v>648</v>
      </c>
      <c r="G6025" s="491">
        <f>+D$6032*G6014</f>
        <v>993.60000000000014</v>
      </c>
      <c r="H6025" s="491">
        <f>+E$6032*H6014</f>
        <v>1270.08</v>
      </c>
    </row>
    <row r="6026" spans="1:13" x14ac:dyDescent="0.3">
      <c r="A6026" s="612">
        <f t="shared" si="1656"/>
        <v>2018</v>
      </c>
      <c r="F6026" s="491">
        <f>+B$6032*F6015</f>
        <v>222</v>
      </c>
      <c r="G6026" s="491">
        <f>+C$6032*G6015</f>
        <v>666</v>
      </c>
      <c r="H6026" s="491">
        <f>+D$6032*H6015</f>
        <v>1021.2</v>
      </c>
    </row>
    <row r="6027" spans="1:13" x14ac:dyDescent="0.3">
      <c r="A6027" s="612">
        <f t="shared" si="1656"/>
        <v>2019</v>
      </c>
      <c r="G6027" s="491">
        <f>+B$6032*G6016</f>
        <v>185.23529411764699</v>
      </c>
      <c r="H6027" s="491">
        <f>+C$6032*H6016</f>
        <v>555.70588235294099</v>
      </c>
    </row>
    <row r="6028" spans="1:13" x14ac:dyDescent="0.3">
      <c r="A6028" s="612">
        <f t="shared" si="1656"/>
        <v>2020</v>
      </c>
      <c r="H6028" s="491">
        <f>+B$6032*H6017</f>
        <v>22.470588235294088</v>
      </c>
    </row>
    <row r="6029" spans="1:13" x14ac:dyDescent="0.3">
      <c r="A6029" s="493" t="s">
        <v>266</v>
      </c>
      <c r="B6029" s="697">
        <f>+E5987</f>
        <v>661.24429066965331</v>
      </c>
      <c r="C6029" s="697">
        <f>+I5987</f>
        <v>744.36270495395365</v>
      </c>
      <c r="D6029" s="697">
        <f>+M5987</f>
        <v>1121.0039294154885</v>
      </c>
      <c r="E6029" s="697">
        <f>+Q5987</f>
        <v>1729</v>
      </c>
      <c r="F6029" s="697">
        <f>+U5987</f>
        <v>2763</v>
      </c>
      <c r="G6029" s="697">
        <f>+Y5987</f>
        <v>3887</v>
      </c>
      <c r="H6029" s="697">
        <f>+AC5987</f>
        <v>4951</v>
      </c>
    </row>
    <row r="6030" spans="1:13" x14ac:dyDescent="0.3">
      <c r="A6030" s="493"/>
      <c r="B6030" s="834"/>
      <c r="C6030" s="834"/>
      <c r="D6030" s="834"/>
      <c r="E6030" s="834"/>
      <c r="F6030" s="834"/>
      <c r="G6030" s="834"/>
      <c r="H6030" s="834"/>
    </row>
    <row r="6031" spans="1:13" x14ac:dyDescent="0.3">
      <c r="A6031" s="372"/>
      <c r="B6031" s="835" t="s">
        <v>2269</v>
      </c>
      <c r="C6031" s="835" t="s">
        <v>2270</v>
      </c>
      <c r="D6031" s="835" t="s">
        <v>2271</v>
      </c>
      <c r="E6031" s="835" t="s">
        <v>2272</v>
      </c>
      <c r="F6031" s="835" t="s">
        <v>2273</v>
      </c>
      <c r="G6031" s="835" t="s">
        <v>2274</v>
      </c>
      <c r="H6031" s="835" t="s">
        <v>2275</v>
      </c>
    </row>
    <row r="6032" spans="1:13" x14ac:dyDescent="0.3">
      <c r="A6032" s="368" t="s">
        <v>2281</v>
      </c>
      <c r="B6032" s="836">
        <f>+B6033</f>
        <v>0.06</v>
      </c>
      <c r="C6032" s="836">
        <f>+B6032+C6033</f>
        <v>0.18</v>
      </c>
      <c r="D6032" s="836">
        <f>+C6032+D6033</f>
        <v>0.27600000000000002</v>
      </c>
      <c r="E6032" s="836">
        <f>+D6032+E6033</f>
        <v>0.3528</v>
      </c>
      <c r="F6032" s="836">
        <f>+E6032+F6033</f>
        <v>0.40848000000000001</v>
      </c>
      <c r="G6032" s="836">
        <f>+F6032+G6033</f>
        <v>0.44884800000000002</v>
      </c>
      <c r="H6032" s="835"/>
    </row>
    <row r="6033" spans="1:8" x14ac:dyDescent="0.3">
      <c r="A6033" s="162" t="s">
        <v>2282</v>
      </c>
      <c r="B6033" s="837">
        <v>0.06</v>
      </c>
      <c r="C6033" s="837">
        <v>0.12</v>
      </c>
      <c r="D6033" s="837">
        <f>+C6033*0.8</f>
        <v>9.6000000000000002E-2</v>
      </c>
      <c r="E6033" s="837">
        <f>+D6033*0.8</f>
        <v>7.6800000000000007E-2</v>
      </c>
      <c r="F6033" s="837">
        <f>+E6033*0.725</f>
        <v>5.568E-2</v>
      </c>
      <c r="G6033" s="837">
        <f>+F6033*0.725</f>
        <v>4.0368000000000001E-2</v>
      </c>
      <c r="H6033" s="835"/>
    </row>
    <row r="6034" spans="1:8" x14ac:dyDescent="0.3">
      <c r="A6034" s="372"/>
      <c r="B6034" s="835"/>
      <c r="C6034" s="835"/>
      <c r="D6034" s="835"/>
      <c r="E6034" s="835"/>
      <c r="F6034" s="835"/>
      <c r="G6034" s="835"/>
      <c r="H6034" s="835"/>
    </row>
    <row r="6035" spans="1:8" x14ac:dyDescent="0.3">
      <c r="A6035" s="493" t="s">
        <v>270</v>
      </c>
    </row>
    <row r="6036" spans="1:8" x14ac:dyDescent="0.3">
      <c r="A6036" s="147"/>
      <c r="B6036" s="147">
        <v>2014</v>
      </c>
      <c r="C6036" s="147">
        <f t="shared" ref="C6036:H6036" si="1658">+B6036+1</f>
        <v>2015</v>
      </c>
      <c r="D6036" s="147">
        <f t="shared" si="1658"/>
        <v>2016</v>
      </c>
      <c r="E6036" s="147">
        <f t="shared" si="1658"/>
        <v>2017</v>
      </c>
      <c r="F6036" s="147">
        <f t="shared" si="1658"/>
        <v>2018</v>
      </c>
      <c r="G6036" s="147">
        <f t="shared" si="1658"/>
        <v>2019</v>
      </c>
      <c r="H6036" s="147">
        <f t="shared" si="1658"/>
        <v>2020</v>
      </c>
    </row>
    <row r="6037" spans="1:8" x14ac:dyDescent="0.3">
      <c r="A6037" s="612">
        <f>+A6022</f>
        <v>2014</v>
      </c>
      <c r="B6037" s="74">
        <f t="shared" ref="B6037:H6037" si="1659">+B6022/B6011</f>
        <v>1.6954981812042393</v>
      </c>
      <c r="C6037" s="74">
        <f t="shared" si="1659"/>
        <v>1.8147761665485991</v>
      </c>
      <c r="D6037" s="74">
        <f t="shared" si="1659"/>
        <v>2.1620613574756118</v>
      </c>
      <c r="E6037" s="74">
        <f t="shared" si="1659"/>
        <v>2.1554871794871793</v>
      </c>
      <c r="F6037" s="74">
        <f t="shared" si="1659"/>
        <v>2.3204923076923074</v>
      </c>
      <c r="G6037" s="74">
        <f t="shared" si="1659"/>
        <v>2.0644920663650086</v>
      </c>
      <c r="H6037" s="74">
        <f t="shared" si="1659"/>
        <v>1.7025698702865786</v>
      </c>
    </row>
    <row r="6038" spans="1:8" x14ac:dyDescent="0.3">
      <c r="A6038" s="612">
        <f t="shared" ref="A6038:A6043" si="1660">+A6023</f>
        <v>2015</v>
      </c>
      <c r="B6038" s="74"/>
      <c r="C6038" s="74">
        <f t="shared" ref="C6038:H6038" si="1661">+C6023/C6012</f>
        <v>6.0000000000000005E-2</v>
      </c>
      <c r="D6038" s="74">
        <f t="shared" si="1661"/>
        <v>0.18</v>
      </c>
      <c r="E6038" s="74">
        <f t="shared" si="1661"/>
        <v>0.27600000000000002</v>
      </c>
      <c r="F6038" s="74">
        <f t="shared" si="1661"/>
        <v>0.3528</v>
      </c>
      <c r="G6038" s="74">
        <f t="shared" si="1661"/>
        <v>0.40848000000000001</v>
      </c>
      <c r="H6038" s="74">
        <f t="shared" si="1661"/>
        <v>0.44884800000000002</v>
      </c>
    </row>
    <row r="6039" spans="1:8" x14ac:dyDescent="0.3">
      <c r="A6039" s="612">
        <f t="shared" si="1660"/>
        <v>2016</v>
      </c>
      <c r="B6039" s="74"/>
      <c r="C6039" s="74"/>
      <c r="D6039" s="74">
        <f>+D6024/D6013</f>
        <v>0.06</v>
      </c>
      <c r="E6039" s="74">
        <f>+E6024/E6013</f>
        <v>0.18</v>
      </c>
      <c r="F6039" s="74">
        <f>+F6024/F6013</f>
        <v>0.27600000000000002</v>
      </c>
      <c r="G6039" s="74">
        <f>+G6024/G6013</f>
        <v>0.3528</v>
      </c>
      <c r="H6039" s="74">
        <f>+H6024/H6013</f>
        <v>0.40847999999999995</v>
      </c>
    </row>
    <row r="6040" spans="1:8" x14ac:dyDescent="0.3">
      <c r="A6040" s="612">
        <f t="shared" si="1660"/>
        <v>2017</v>
      </c>
      <c r="B6040" s="74"/>
      <c r="C6040" s="74"/>
      <c r="D6040" s="74"/>
      <c r="E6040" s="74">
        <f>+E6025/E6014</f>
        <v>0.06</v>
      </c>
      <c r="F6040" s="74">
        <f>+F6025/F6014</f>
        <v>0.18</v>
      </c>
      <c r="G6040" s="74">
        <f>+G6025/G6014</f>
        <v>0.27600000000000002</v>
      </c>
      <c r="H6040" s="74">
        <f>+H6025/H6014</f>
        <v>0.3528</v>
      </c>
    </row>
    <row r="6041" spans="1:8" x14ac:dyDescent="0.3">
      <c r="A6041" s="612">
        <f t="shared" si="1660"/>
        <v>2018</v>
      </c>
      <c r="B6041" s="74"/>
      <c r="C6041" s="74"/>
      <c r="D6041" s="74"/>
      <c r="E6041" s="74"/>
      <c r="F6041" s="74">
        <f>+F6026/F6015</f>
        <v>0.06</v>
      </c>
      <c r="G6041" s="74">
        <f>+G6026/G6015</f>
        <v>0.18</v>
      </c>
      <c r="H6041" s="74">
        <f>+H6026/H6015</f>
        <v>0.27600000000000002</v>
      </c>
    </row>
    <row r="6042" spans="1:8" x14ac:dyDescent="0.3">
      <c r="A6042" s="612">
        <f t="shared" si="1660"/>
        <v>2019</v>
      </c>
      <c r="B6042" s="74"/>
      <c r="C6042" s="74"/>
      <c r="D6042" s="74"/>
      <c r="E6042" s="74"/>
      <c r="F6042" s="74"/>
      <c r="G6042" s="74">
        <f>+G6027/G6016</f>
        <v>0.06</v>
      </c>
      <c r="H6042" s="74">
        <f>+H6027/H6016</f>
        <v>0.18</v>
      </c>
    </row>
    <row r="6043" spans="1:8" x14ac:dyDescent="0.3">
      <c r="A6043" s="612">
        <f t="shared" si="1660"/>
        <v>2020</v>
      </c>
      <c r="B6043" s="74"/>
      <c r="C6043" s="74"/>
      <c r="D6043" s="74"/>
      <c r="E6043" s="74"/>
      <c r="F6043" s="74"/>
      <c r="G6043" s="74"/>
      <c r="H6043" s="74">
        <f>+H6028/H6017</f>
        <v>5.9999999999999991E-2</v>
      </c>
    </row>
    <row r="6044" spans="1:8" x14ac:dyDescent="0.3">
      <c r="A6044" s="493" t="s">
        <v>266</v>
      </c>
      <c r="B6044" s="370">
        <f t="shared" ref="B6044:G6044" si="1662">+B6029/B6018</f>
        <v>1.6954981812042393</v>
      </c>
      <c r="C6044" s="370">
        <f t="shared" si="1662"/>
        <v>0.74436270495395362</v>
      </c>
      <c r="D6044" s="370">
        <f t="shared" si="1662"/>
        <v>0.29500103405670752</v>
      </c>
      <c r="E6044" s="370">
        <f t="shared" si="1662"/>
        <v>0.23364864864864865</v>
      </c>
      <c r="F6044" s="370">
        <f t="shared" si="1662"/>
        <v>0.24891891891891893</v>
      </c>
      <c r="G6044" s="370">
        <f t="shared" si="1662"/>
        <v>0.2739783014304471</v>
      </c>
      <c r="H6044" s="370">
        <f>+H6029/H6018</f>
        <v>0.34</v>
      </c>
    </row>
    <row r="6045" spans="1:8" x14ac:dyDescent="0.3">
      <c r="A6045" s="618"/>
      <c r="B6045" s="366"/>
      <c r="C6045" s="366"/>
      <c r="D6045" s="366"/>
      <c r="E6045" s="366"/>
      <c r="F6045" s="366"/>
      <c r="G6045" s="366"/>
      <c r="H6045" s="366"/>
    </row>
  </sheetData>
  <mergeCells count="10">
    <mergeCell ref="B616:K616"/>
    <mergeCell ref="B644:H644"/>
    <mergeCell ref="D5974:F5974"/>
    <mergeCell ref="G5974:N5974"/>
    <mergeCell ref="A5850:A5854"/>
    <mergeCell ref="C5521:F5521"/>
    <mergeCell ref="H5521:K5521"/>
    <mergeCell ref="C5842:E5842"/>
    <mergeCell ref="F5842:H5842"/>
    <mergeCell ref="A5844:A5849"/>
  </mergeCells>
  <phoneticPr fontId="60" type="noConversion"/>
  <hyperlinks>
    <hyperlink ref="A4221" r:id="rId1" xr:uid="{29505C21-142E-4A87-99AE-C6004E56AE2E}"/>
  </hyperlinks>
  <pageMargins left="0.7" right="0.7" top="0.75" bottom="0.75" header="0.3" footer="0.3"/>
  <pageSetup orientation="portrait" r:id="rId2"/>
  <ignoredErrors>
    <ignoredError sqref="F3195" formulaRange="1"/>
  </ignoredErrors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07649-15CD-43E2-832C-5E67A61FF1C1}">
  <dimension ref="A2:T565"/>
  <sheetViews>
    <sheetView topLeftCell="A60" zoomScaleNormal="100" workbookViewId="0">
      <selection activeCell="B60" sqref="B60"/>
    </sheetView>
  </sheetViews>
  <sheetFormatPr defaultColWidth="9.33203125" defaultRowHeight="12" outlineLevelRow="1" x14ac:dyDescent="0.3"/>
  <cols>
    <col min="1" max="1" width="43.109375" style="108" bestFit="1" customWidth="1"/>
    <col min="2" max="2" width="12.44140625" style="108" customWidth="1"/>
    <col min="3" max="3" width="12.6640625" style="108" bestFit="1" customWidth="1"/>
    <col min="4" max="4" width="13.77734375" style="108" customWidth="1"/>
    <col min="5" max="5" width="14.77734375" style="108" customWidth="1"/>
    <col min="6" max="6" width="14.77734375" style="108" bestFit="1" customWidth="1"/>
    <col min="7" max="7" width="14.77734375" style="108" customWidth="1"/>
    <col min="8" max="8" width="8.6640625" style="108" bestFit="1" customWidth="1"/>
    <col min="9" max="9" width="9.33203125" style="108"/>
    <col min="10" max="10" width="8.6640625" style="108" bestFit="1" customWidth="1"/>
    <col min="11" max="11" width="15.44140625" style="108" bestFit="1" customWidth="1"/>
    <col min="12" max="12" width="13.77734375" style="108" bestFit="1" customWidth="1"/>
    <col min="13" max="13" width="9.33203125" style="108"/>
    <col min="14" max="14" width="9.77734375" style="108" bestFit="1" customWidth="1"/>
    <col min="15" max="16384" width="9.33203125" style="108"/>
  </cols>
  <sheetData>
    <row r="2" spans="1:20" x14ac:dyDescent="0.3">
      <c r="A2" s="1534" t="s">
        <v>173</v>
      </c>
      <c r="B2" s="1055"/>
      <c r="C2" s="1055"/>
      <c r="D2" s="1055"/>
      <c r="E2" s="1055"/>
      <c r="F2" s="1055"/>
      <c r="G2" s="1055"/>
      <c r="H2" s="1055"/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</row>
    <row r="3" spans="1:20" x14ac:dyDescent="0.3">
      <c r="A3" s="108" t="s">
        <v>694</v>
      </c>
      <c r="B3" s="925">
        <f>C74</f>
        <v>10000</v>
      </c>
      <c r="Q3" s="936"/>
      <c r="R3" s="936"/>
      <c r="S3" s="936"/>
      <c r="T3" s="936"/>
    </row>
    <row r="4" spans="1:20" x14ac:dyDescent="0.3">
      <c r="A4" s="108" t="s">
        <v>869</v>
      </c>
      <c r="B4" s="1546">
        <f>C82</f>
        <v>5400</v>
      </c>
      <c r="P4" s="1306"/>
      <c r="Q4" s="1682"/>
      <c r="R4" s="1682"/>
      <c r="S4" s="1682"/>
      <c r="T4" s="1682"/>
    </row>
    <row r="5" spans="1:20" x14ac:dyDescent="0.3">
      <c r="A5" s="108" t="s">
        <v>668</v>
      </c>
      <c r="B5" s="925">
        <f>SUM(B3:B4)</f>
        <v>15400</v>
      </c>
      <c r="P5" s="1306"/>
      <c r="Q5" s="1682"/>
      <c r="R5" s="1682"/>
      <c r="S5" s="1682"/>
      <c r="T5" s="1682"/>
    </row>
    <row r="6" spans="1:20" x14ac:dyDescent="0.3">
      <c r="P6" s="1306"/>
      <c r="Q6" s="1682"/>
      <c r="R6" s="1682"/>
      <c r="S6" s="1682"/>
      <c r="T6" s="1682"/>
    </row>
    <row r="7" spans="1:20" x14ac:dyDescent="0.3">
      <c r="A7" s="108" t="s">
        <v>695</v>
      </c>
      <c r="B7" s="925">
        <f>C76</f>
        <v>4500</v>
      </c>
      <c r="P7" s="1306"/>
      <c r="Q7" s="1682"/>
      <c r="R7" s="1682"/>
      <c r="S7" s="1682"/>
      <c r="T7" s="1682"/>
    </row>
    <row r="8" spans="1:20" x14ac:dyDescent="0.3">
      <c r="A8" s="108" t="s">
        <v>2805</v>
      </c>
      <c r="B8" s="1546">
        <f>C84</f>
        <v>108</v>
      </c>
      <c r="P8" s="1306"/>
      <c r="Q8" s="1682"/>
      <c r="R8" s="1682"/>
      <c r="S8" s="1682"/>
      <c r="T8" s="1682"/>
    </row>
    <row r="9" spans="1:20" x14ac:dyDescent="0.3">
      <c r="A9" s="108" t="s">
        <v>720</v>
      </c>
      <c r="B9" s="925">
        <f>SUM(B7:B8)</f>
        <v>4608</v>
      </c>
      <c r="P9" s="1306"/>
      <c r="Q9" s="1682"/>
      <c r="R9" s="1682"/>
      <c r="S9" s="1682"/>
      <c r="T9" s="1682"/>
    </row>
    <row r="10" spans="1:20" x14ac:dyDescent="0.3">
      <c r="A10" s="680" t="s">
        <v>1399</v>
      </c>
      <c r="B10" s="1089">
        <f>B7/B3</f>
        <v>0.45</v>
      </c>
      <c r="P10" s="1306"/>
      <c r="Q10" s="1682"/>
      <c r="R10" s="1682"/>
      <c r="S10" s="1682"/>
      <c r="T10" s="1682"/>
    </row>
    <row r="11" spans="1:20" x14ac:dyDescent="0.3">
      <c r="A11" s="680" t="s">
        <v>1400</v>
      </c>
      <c r="B11" s="1089">
        <f>B9/B5</f>
        <v>0.29922077922077922</v>
      </c>
      <c r="P11" s="1306"/>
      <c r="Q11" s="1683"/>
      <c r="R11" s="1683"/>
      <c r="S11" s="1683"/>
      <c r="T11" s="1683"/>
    </row>
    <row r="12" spans="1:20" x14ac:dyDescent="0.3">
      <c r="P12" s="1306"/>
      <c r="Q12" s="1683"/>
      <c r="R12" s="1683"/>
      <c r="S12" s="1683"/>
      <c r="T12" s="1683"/>
    </row>
    <row r="13" spans="1:20" x14ac:dyDescent="0.3">
      <c r="A13" s="108" t="s">
        <v>651</v>
      </c>
      <c r="B13" s="929">
        <f>C125</f>
        <v>7475.8546700880497</v>
      </c>
    </row>
    <row r="14" spans="1:20" x14ac:dyDescent="0.3">
      <c r="A14" s="680" t="s">
        <v>2806</v>
      </c>
      <c r="B14" s="1552">
        <f>F125</f>
        <v>2.1364813701382213E-2</v>
      </c>
    </row>
    <row r="15" spans="1:20" x14ac:dyDescent="0.3">
      <c r="B15" s="929"/>
    </row>
    <row r="16" spans="1:20" x14ac:dyDescent="0.3">
      <c r="A16" s="108" t="s">
        <v>301</v>
      </c>
      <c r="B16" s="929">
        <f>C142</f>
        <v>3572.0115413735289</v>
      </c>
      <c r="D16" s="929"/>
    </row>
    <row r="17" spans="1:19" x14ac:dyDescent="0.3">
      <c r="A17" s="680" t="s">
        <v>1326</v>
      </c>
      <c r="B17" s="1552">
        <f>B16/B13</f>
        <v>0.47780644474880596</v>
      </c>
    </row>
    <row r="18" spans="1:19" x14ac:dyDescent="0.3">
      <c r="A18" s="680" t="s">
        <v>2807</v>
      </c>
      <c r="B18" s="1552">
        <f>F142</f>
        <v>4.1010466649448851E-2</v>
      </c>
      <c r="D18" s="1636"/>
    </row>
    <row r="20" spans="1:19" x14ac:dyDescent="0.3">
      <c r="A20" s="108" t="s">
        <v>198</v>
      </c>
      <c r="B20" s="120">
        <f>C164</f>
        <v>1045.4991563026151</v>
      </c>
    </row>
    <row r="21" spans="1:19" x14ac:dyDescent="0.3">
      <c r="A21" s="680" t="s">
        <v>1328</v>
      </c>
      <c r="B21" s="1089">
        <f>B20/B13</f>
        <v>0.13985011780469794</v>
      </c>
    </row>
    <row r="23" spans="1:19" x14ac:dyDescent="0.3">
      <c r="A23" s="108" t="s">
        <v>642</v>
      </c>
      <c r="B23" s="120">
        <f>C168</f>
        <v>2526.5123850709138</v>
      </c>
      <c r="D23" s="929"/>
    </row>
    <row r="24" spans="1:19" x14ac:dyDescent="0.3">
      <c r="A24" s="680" t="s">
        <v>1331</v>
      </c>
      <c r="B24" s="1089">
        <f>B23/B13</f>
        <v>0.33795632694410804</v>
      </c>
    </row>
    <row r="25" spans="1:19" x14ac:dyDescent="0.3">
      <c r="A25" s="680" t="s">
        <v>2808</v>
      </c>
      <c r="B25" s="1552">
        <f>F168</f>
        <v>5.7981057624949761E-2</v>
      </c>
      <c r="D25" s="1636"/>
    </row>
    <row r="27" spans="1:19" x14ac:dyDescent="0.3">
      <c r="A27" s="108" t="s">
        <v>2809</v>
      </c>
      <c r="B27" s="1284">
        <f>$C$536</f>
        <v>25.551528208825303</v>
      </c>
      <c r="D27" s="1636"/>
    </row>
    <row r="28" spans="1:19" x14ac:dyDescent="0.3">
      <c r="A28" s="680" t="s">
        <v>2810</v>
      </c>
      <c r="B28" s="1680">
        <f>B27/B29-1</f>
        <v>8.5912801055048948E-2</v>
      </c>
      <c r="D28" s="1636"/>
    </row>
    <row r="29" spans="1:19" x14ac:dyDescent="0.3">
      <c r="A29" s="680" t="s">
        <v>262</v>
      </c>
      <c r="B29" s="1681">
        <v>23.53</v>
      </c>
      <c r="D29" s="1636"/>
    </row>
    <row r="31" spans="1:19" x14ac:dyDescent="0.3">
      <c r="A31" s="1684" t="s">
        <v>2811</v>
      </c>
      <c r="B31" s="1055"/>
      <c r="C31" s="1055"/>
      <c r="D31" s="1055"/>
      <c r="E31" s="1055"/>
      <c r="F31" s="1055"/>
      <c r="G31" s="1055"/>
      <c r="H31" s="1055"/>
      <c r="I31" s="1055"/>
      <c r="J31" s="1055"/>
      <c r="K31" s="1055"/>
      <c r="L31" s="1055"/>
      <c r="M31" s="1055"/>
      <c r="N31" s="1055"/>
      <c r="O31" s="1055"/>
      <c r="P31" s="1055"/>
      <c r="Q31" s="1055"/>
      <c r="R31" s="1055"/>
      <c r="S31" s="1055"/>
    </row>
    <row r="32" spans="1:19" x14ac:dyDescent="0.3">
      <c r="A32" s="108" t="s">
        <v>2812</v>
      </c>
      <c r="B32" s="1069">
        <v>8</v>
      </c>
    </row>
    <row r="33" spans="1:2" x14ac:dyDescent="0.3">
      <c r="A33" s="108" t="s">
        <v>2813</v>
      </c>
      <c r="B33" s="108">
        <f>2023+B32</f>
        <v>2031</v>
      </c>
    </row>
    <row r="35" spans="1:2" x14ac:dyDescent="0.3">
      <c r="A35" s="538" t="s">
        <v>2814</v>
      </c>
    </row>
    <row r="36" spans="1:2" x14ac:dyDescent="0.3">
      <c r="A36" s="108" t="s">
        <v>2815</v>
      </c>
      <c r="B36" s="1555">
        <v>0</v>
      </c>
    </row>
    <row r="37" spans="1:2" x14ac:dyDescent="0.3">
      <c r="A37" s="108" t="s">
        <v>2816</v>
      </c>
      <c r="B37" s="1555">
        <v>0.9</v>
      </c>
    </row>
    <row r="38" spans="1:2" x14ac:dyDescent="0.3">
      <c r="A38" s="108" t="s">
        <v>2817</v>
      </c>
      <c r="B38" s="1555">
        <v>0.45</v>
      </c>
    </row>
    <row r="39" spans="1:2" x14ac:dyDescent="0.3">
      <c r="A39" s="108" t="s">
        <v>2818</v>
      </c>
      <c r="B39" s="1555">
        <v>0.02</v>
      </c>
    </row>
    <row r="40" spans="1:2" x14ac:dyDescent="0.3">
      <c r="A40" s="108" t="s">
        <v>2819</v>
      </c>
      <c r="B40" s="1555">
        <v>0.01</v>
      </c>
    </row>
    <row r="41" spans="1:2" x14ac:dyDescent="0.3">
      <c r="B41" s="932"/>
    </row>
    <row r="42" spans="1:2" x14ac:dyDescent="0.3">
      <c r="A42" s="538" t="s">
        <v>2820</v>
      </c>
      <c r="B42" s="932"/>
    </row>
    <row r="43" spans="1:2" x14ac:dyDescent="0.3">
      <c r="A43" s="108" t="s">
        <v>2821</v>
      </c>
      <c r="B43" s="1555">
        <v>3.5000000000000003E-2</v>
      </c>
    </row>
    <row r="44" spans="1:2" x14ac:dyDescent="0.3">
      <c r="A44" s="108" t="s">
        <v>2822</v>
      </c>
      <c r="B44" s="1555">
        <v>0.05</v>
      </c>
    </row>
    <row r="45" spans="1:2" x14ac:dyDescent="0.3">
      <c r="A45" s="108" t="s">
        <v>2823</v>
      </c>
      <c r="B45" s="1555">
        <v>0.04</v>
      </c>
    </row>
    <row r="46" spans="1:2" x14ac:dyDescent="0.3">
      <c r="A46" s="108" t="s">
        <v>2824</v>
      </c>
      <c r="B46" s="1555">
        <v>-0.1</v>
      </c>
    </row>
    <row r="47" spans="1:2" x14ac:dyDescent="0.3">
      <c r="A47" s="108" t="s">
        <v>2825</v>
      </c>
      <c r="B47" s="1555">
        <v>0</v>
      </c>
    </row>
    <row r="48" spans="1:2" x14ac:dyDescent="0.3">
      <c r="B48" s="932"/>
    </row>
    <row r="49" spans="1:6" x14ac:dyDescent="0.3">
      <c r="A49" s="538" t="s">
        <v>2826</v>
      </c>
      <c r="B49" s="932"/>
    </row>
    <row r="50" spans="1:6" x14ac:dyDescent="0.3">
      <c r="A50" s="108" t="s">
        <v>2827</v>
      </c>
      <c r="B50" s="1674">
        <v>15</v>
      </c>
      <c r="D50" s="1638"/>
    </row>
    <row r="51" spans="1:6" x14ac:dyDescent="0.3">
      <c r="A51" s="108" t="s">
        <v>2828</v>
      </c>
      <c r="B51" s="1674">
        <f>B50</f>
        <v>15</v>
      </c>
      <c r="D51" s="1638"/>
    </row>
    <row r="52" spans="1:6" x14ac:dyDescent="0.3">
      <c r="A52" s="108" t="s">
        <v>2829</v>
      </c>
      <c r="B52" s="1675">
        <f>B130/B84/12*1000</f>
        <v>15.000000000000002</v>
      </c>
      <c r="D52" s="1638"/>
    </row>
    <row r="53" spans="1:6" x14ac:dyDescent="0.3">
      <c r="A53" s="108" t="s">
        <v>2830</v>
      </c>
      <c r="B53" s="1675">
        <f>B132/B90/12*1000</f>
        <v>15.266558441558441</v>
      </c>
      <c r="D53" s="1638"/>
    </row>
    <row r="54" spans="1:6" x14ac:dyDescent="0.3">
      <c r="A54" s="108" t="s">
        <v>2831</v>
      </c>
      <c r="B54" s="1238">
        <v>0</v>
      </c>
      <c r="E54" s="928"/>
      <c r="F54" s="925"/>
    </row>
    <row r="55" spans="1:6" x14ac:dyDescent="0.3">
      <c r="B55" s="950"/>
      <c r="F55" s="925"/>
    </row>
    <row r="56" spans="1:6" x14ac:dyDescent="0.3">
      <c r="A56" s="538" t="s">
        <v>2832</v>
      </c>
      <c r="B56" s="950"/>
      <c r="F56" s="925"/>
    </row>
    <row r="57" spans="1:6" x14ac:dyDescent="0.3">
      <c r="A57" s="108" t="s">
        <v>2833</v>
      </c>
      <c r="B57" s="1238">
        <v>1000</v>
      </c>
    </row>
    <row r="58" spans="1:6" x14ac:dyDescent="0.3">
      <c r="A58" s="108" t="s">
        <v>196</v>
      </c>
      <c r="B58" s="1238">
        <v>800</v>
      </c>
      <c r="C58" s="1635"/>
      <c r="D58" s="1635"/>
    </row>
    <row r="59" spans="1:6" x14ac:dyDescent="0.3">
      <c r="A59" s="108" t="s">
        <v>2834</v>
      </c>
      <c r="B59" s="1238">
        <v>600</v>
      </c>
    </row>
    <row r="60" spans="1:6" x14ac:dyDescent="0.3">
      <c r="A60" s="108" t="s">
        <v>2835</v>
      </c>
      <c r="B60" s="1238">
        <f>120*1.5+50</f>
        <v>230</v>
      </c>
    </row>
    <row r="61" spans="1:6" x14ac:dyDescent="0.3">
      <c r="A61" s="108" t="s">
        <v>2836</v>
      </c>
      <c r="B61" s="1465">
        <f>B59*0.5+B60*0.5</f>
        <v>415</v>
      </c>
      <c r="D61" s="1636"/>
    </row>
    <row r="62" spans="1:6" x14ac:dyDescent="0.3">
      <c r="A62" s="108" t="s">
        <v>2837</v>
      </c>
      <c r="B62" s="1465">
        <f>B63*C121</f>
        <v>257.90000000000003</v>
      </c>
    </row>
    <row r="63" spans="1:6" x14ac:dyDescent="0.3">
      <c r="A63" s="680" t="s">
        <v>225</v>
      </c>
      <c r="B63" s="1564">
        <v>0.1</v>
      </c>
    </row>
    <row r="64" spans="1:6" x14ac:dyDescent="0.3">
      <c r="A64" s="108" t="s">
        <v>2838</v>
      </c>
      <c r="B64" s="1238">
        <v>600</v>
      </c>
      <c r="C64" s="926"/>
    </row>
    <row r="65" spans="1:19" x14ac:dyDescent="0.3">
      <c r="A65" s="680" t="s">
        <v>2839</v>
      </c>
      <c r="B65" s="1561">
        <f>B64/B90*1000</f>
        <v>38.961038961038959</v>
      </c>
    </row>
    <row r="66" spans="1:19" x14ac:dyDescent="0.3">
      <c r="A66" s="108" t="s">
        <v>2840</v>
      </c>
      <c r="B66" s="1238">
        <v>25</v>
      </c>
      <c r="D66" s="1637"/>
      <c r="E66" s="929"/>
    </row>
    <row r="67" spans="1:19" x14ac:dyDescent="0.3">
      <c r="A67" s="680" t="s">
        <v>2841</v>
      </c>
      <c r="B67" s="1565">
        <f>(B64-B66*B74/1000)/B82*1000</f>
        <v>49.132899315299142</v>
      </c>
      <c r="D67" s="1637"/>
    </row>
    <row r="68" spans="1:19" x14ac:dyDescent="0.3">
      <c r="A68" s="108" t="s">
        <v>190</v>
      </c>
      <c r="B68" s="1241">
        <v>1.35E-2</v>
      </c>
    </row>
    <row r="71" spans="1:19" x14ac:dyDescent="0.3">
      <c r="A71" s="1534" t="s">
        <v>2842</v>
      </c>
      <c r="B71" s="1055"/>
      <c r="C71" s="1055"/>
      <c r="D71" s="1055"/>
      <c r="E71" s="1055"/>
      <c r="F71" s="1055"/>
      <c r="G71" s="1055"/>
      <c r="H71" s="1055"/>
      <c r="I71" s="1055"/>
      <c r="J71" s="1055"/>
      <c r="K71" s="1055"/>
      <c r="L71" s="1055"/>
      <c r="M71" s="1055"/>
      <c r="N71" s="1055"/>
      <c r="O71" s="1055"/>
      <c r="P71" s="1055"/>
      <c r="Q71" s="1055"/>
      <c r="R71" s="1055"/>
      <c r="S71" s="1055"/>
    </row>
    <row r="73" spans="1:19" x14ac:dyDescent="0.3">
      <c r="B73" s="1492">
        <v>2023</v>
      </c>
      <c r="C73" s="1492" t="s">
        <v>2813</v>
      </c>
      <c r="D73" s="1652" t="s">
        <v>17</v>
      </c>
      <c r="E73" s="1537" t="s">
        <v>2843</v>
      </c>
      <c r="F73" s="1652" t="s">
        <v>2844</v>
      </c>
    </row>
    <row r="74" spans="1:19" x14ac:dyDescent="0.3">
      <c r="A74" s="1305" t="s">
        <v>780</v>
      </c>
      <c r="B74" s="1514">
        <f>Drivers!ES90</f>
        <v>6491</v>
      </c>
      <c r="C74" s="1543">
        <f>C90-C82</f>
        <v>10000</v>
      </c>
      <c r="D74" s="1653">
        <f>(C74/B74)^(1/$B$32)-1</f>
        <v>5.5506832338632961E-2</v>
      </c>
      <c r="E74" s="1543">
        <f>E90-E82</f>
        <v>10000</v>
      </c>
      <c r="F74" s="1653">
        <f>E74/C74-1</f>
        <v>0</v>
      </c>
    </row>
    <row r="75" spans="1:19" x14ac:dyDescent="0.3">
      <c r="A75" s="1305" t="s">
        <v>1292</v>
      </c>
      <c r="B75" s="1497">
        <f>B76/B74</f>
        <v>0.30919735017716837</v>
      </c>
      <c r="C75" s="1497">
        <f>B38</f>
        <v>0.45</v>
      </c>
      <c r="D75" s="1654"/>
      <c r="E75" s="1497">
        <f>C75</f>
        <v>0.45</v>
      </c>
      <c r="F75" s="1654"/>
    </row>
    <row r="76" spans="1:19" x14ac:dyDescent="0.3">
      <c r="A76" s="1313" t="s">
        <v>1293</v>
      </c>
      <c r="B76" s="1512">
        <f>Drivers!ES171</f>
        <v>2007</v>
      </c>
      <c r="C76" s="1506">
        <f>C74*C75</f>
        <v>4500</v>
      </c>
      <c r="D76" s="1653">
        <f>(C76/B76)^(1/$B$32)-1</f>
        <v>0.10619869721997688</v>
      </c>
      <c r="E76" s="1506">
        <f>E74*E75</f>
        <v>4500</v>
      </c>
      <c r="F76" s="1653">
        <f>E76/C76-1</f>
        <v>0</v>
      </c>
    </row>
    <row r="77" spans="1:19" x14ac:dyDescent="0.3">
      <c r="A77" s="1320" t="s">
        <v>1294</v>
      </c>
      <c r="B77" s="1105">
        <f>Drivers!ES115</f>
        <v>1878</v>
      </c>
      <c r="C77" s="1563">
        <f>C74*C79*$B$37</f>
        <v>4050</v>
      </c>
      <c r="D77" s="1653">
        <f>(C77/B77)^(1/$B$32)-1</f>
        <v>0.10082917086504373</v>
      </c>
      <c r="E77" s="1563">
        <f>E74*E79*$B$37</f>
        <v>4050</v>
      </c>
      <c r="F77" s="1654"/>
    </row>
    <row r="78" spans="1:19" x14ac:dyDescent="0.3">
      <c r="A78" s="1320" t="s">
        <v>1295</v>
      </c>
      <c r="B78" s="124">
        <f>B76-B77</f>
        <v>129</v>
      </c>
      <c r="C78" s="124">
        <f>C76-C77</f>
        <v>450</v>
      </c>
      <c r="D78" s="1653">
        <f>(C78/B78)^(1/$B$32)-1</f>
        <v>0.16903590616478659</v>
      </c>
      <c r="E78" s="124">
        <f>E76-E77</f>
        <v>450</v>
      </c>
      <c r="F78" s="1654"/>
    </row>
    <row r="79" spans="1:19" x14ac:dyDescent="0.3">
      <c r="A79" s="1320" t="s">
        <v>1296</v>
      </c>
      <c r="B79" s="1552">
        <f>B77/B74/0.9</f>
        <v>0.32147075437785655</v>
      </c>
      <c r="C79" s="1552">
        <f>C75</f>
        <v>0.45</v>
      </c>
      <c r="D79" s="1654"/>
      <c r="E79" s="1552">
        <f>$B$38</f>
        <v>0.45</v>
      </c>
      <c r="F79" s="1654"/>
    </row>
    <row r="80" spans="1:19" x14ac:dyDescent="0.3">
      <c r="A80" s="1320" t="s">
        <v>1297</v>
      </c>
      <c r="B80" s="1552">
        <f>B78/B74/0.1</f>
        <v>0.1987367123709752</v>
      </c>
      <c r="C80" s="1552">
        <f>C79</f>
        <v>0.45</v>
      </c>
      <c r="D80" s="1654"/>
      <c r="E80" s="1552">
        <f>$B$38</f>
        <v>0.45</v>
      </c>
      <c r="F80" s="1654"/>
    </row>
    <row r="81" spans="1:6" x14ac:dyDescent="0.3">
      <c r="A81" s="1306"/>
      <c r="B81" s="1306"/>
      <c r="C81" s="1306"/>
      <c r="D81" s="1654"/>
      <c r="E81" s="1306"/>
      <c r="F81" s="1654"/>
    </row>
    <row r="82" spans="1:6" x14ac:dyDescent="0.3">
      <c r="A82" s="1305" t="s">
        <v>782</v>
      </c>
      <c r="B82" s="1514">
        <f>Drivers!ES94</f>
        <v>8909</v>
      </c>
      <c r="C82" s="1538">
        <v>5400</v>
      </c>
      <c r="D82" s="1653">
        <f>(C82/B82)^(1/$B$32)-1</f>
        <v>-6.0664793473894751E-2</v>
      </c>
      <c r="E82" s="1543">
        <f>C82</f>
        <v>5400</v>
      </c>
      <c r="F82" s="1653">
        <f>E82/C82-1</f>
        <v>0</v>
      </c>
    </row>
    <row r="83" spans="1:6" x14ac:dyDescent="0.3">
      <c r="A83" s="1305" t="s">
        <v>1292</v>
      </c>
      <c r="B83" s="1497">
        <f>B84/B82</f>
        <v>0.10506229655404647</v>
      </c>
      <c r="C83" s="1497">
        <f>B39</f>
        <v>0.02</v>
      </c>
      <c r="D83" s="1654"/>
      <c r="E83" s="1497">
        <f>C83</f>
        <v>0.02</v>
      </c>
      <c r="F83" s="1654"/>
    </row>
    <row r="84" spans="1:6" x14ac:dyDescent="0.3">
      <c r="A84" s="1313" t="s">
        <v>1298</v>
      </c>
      <c r="B84" s="1512">
        <f>Drivers!ES260+Drivers!ES305</f>
        <v>936</v>
      </c>
      <c r="C84" s="1507">
        <f>C82*C83</f>
        <v>108</v>
      </c>
      <c r="D84" s="1653">
        <f>(C84/B84)^(1/$B$32)-1</f>
        <v>-0.23657128989324394</v>
      </c>
      <c r="E84" s="1507">
        <f>E82*E83</f>
        <v>108</v>
      </c>
      <c r="F84" s="1653">
        <f>E84/C84-1</f>
        <v>0</v>
      </c>
    </row>
    <row r="85" spans="1:6" x14ac:dyDescent="0.3">
      <c r="A85" s="1320" t="s">
        <v>1294</v>
      </c>
      <c r="B85" s="1105">
        <f>Drivers!ES260</f>
        <v>822</v>
      </c>
      <c r="C85" s="1563">
        <f>C82*C87*$B$37</f>
        <v>97.2</v>
      </c>
      <c r="D85" s="1653">
        <f>(C85/B85)^(1/$B$32)-1</f>
        <v>-0.23422831149304146</v>
      </c>
      <c r="E85" s="1563">
        <f>E82*E87*$B$37</f>
        <v>97.2</v>
      </c>
      <c r="F85" s="1654"/>
    </row>
    <row r="86" spans="1:6" x14ac:dyDescent="0.3">
      <c r="A86" s="1320" t="s">
        <v>1295</v>
      </c>
      <c r="B86" s="124">
        <f>B84-B85</f>
        <v>114</v>
      </c>
      <c r="C86" s="124">
        <f>C84-C85</f>
        <v>10.799999999999997</v>
      </c>
      <c r="D86" s="1653">
        <f>(C86/B86)^(1/$B$32)-1</f>
        <v>-0.25515679011587755</v>
      </c>
      <c r="E86" s="124">
        <f>E84-E85</f>
        <v>10.799999999999997</v>
      </c>
      <c r="F86" s="1654"/>
    </row>
    <row r="87" spans="1:6" x14ac:dyDescent="0.3">
      <c r="A87" s="1320" t="s">
        <v>1296</v>
      </c>
      <c r="B87" s="1552">
        <f>B85/B82/$B$37</f>
        <v>0.10251805290530175</v>
      </c>
      <c r="C87" s="1552">
        <f>C83</f>
        <v>0.02</v>
      </c>
      <c r="D87" s="1654"/>
      <c r="E87" s="1552">
        <f>$B$39</f>
        <v>0.02</v>
      </c>
      <c r="F87" s="1654"/>
    </row>
    <row r="88" spans="1:6" x14ac:dyDescent="0.3">
      <c r="A88" s="1320" t="s">
        <v>1297</v>
      </c>
      <c r="B88" s="1552">
        <f>B86/B82/(1-$B$37)</f>
        <v>0.12796048939274896</v>
      </c>
      <c r="C88" s="1552">
        <f>C87</f>
        <v>0.02</v>
      </c>
      <c r="D88" s="1654"/>
      <c r="E88" s="1552">
        <f>$B$39</f>
        <v>0.02</v>
      </c>
      <c r="F88" s="1654"/>
    </row>
    <row r="89" spans="1:6" x14ac:dyDescent="0.3">
      <c r="A89" s="1306"/>
      <c r="B89" s="1306"/>
      <c r="C89" s="1306"/>
      <c r="D89" s="1654"/>
      <c r="E89" s="1306"/>
      <c r="F89" s="1654"/>
    </row>
    <row r="90" spans="1:6" x14ac:dyDescent="0.3">
      <c r="A90" s="1305" t="s">
        <v>2845</v>
      </c>
      <c r="B90" s="1494">
        <f>B74+B82</f>
        <v>15400</v>
      </c>
      <c r="C90" s="1494">
        <f>B90*(1+D90)^$B$32</f>
        <v>15400</v>
      </c>
      <c r="D90" s="1655">
        <f>$B$36</f>
        <v>0</v>
      </c>
      <c r="E90" s="1543">
        <f>C90*(1+$B$36)</f>
        <v>15400</v>
      </c>
      <c r="F90" s="1653">
        <f>E90/C90-1</f>
        <v>0</v>
      </c>
    </row>
    <row r="91" spans="1:6" x14ac:dyDescent="0.3">
      <c r="A91" s="1305" t="s">
        <v>1292</v>
      </c>
      <c r="B91" s="1497">
        <f>B92/B90</f>
        <v>0.19110389610389611</v>
      </c>
      <c r="C91" s="1497">
        <f>C92/C90</f>
        <v>0.29922077922077922</v>
      </c>
      <c r="D91" s="1654"/>
      <c r="E91" s="1497">
        <f>E92/E90</f>
        <v>0.29922077922077922</v>
      </c>
      <c r="F91" s="1654"/>
    </row>
    <row r="92" spans="1:6" x14ac:dyDescent="0.3">
      <c r="A92" s="1313" t="s">
        <v>2846</v>
      </c>
      <c r="B92" s="1505">
        <f t="shared" ref="B92:C94" si="0">B76+B84</f>
        <v>2943</v>
      </c>
      <c r="C92" s="1505">
        <f t="shared" si="0"/>
        <v>4608</v>
      </c>
      <c r="D92" s="1653">
        <f>(C92/B92)^(1/$B$32)-1</f>
        <v>5.7645865566191778E-2</v>
      </c>
      <c r="E92" s="1505">
        <f>E76+E84</f>
        <v>4608</v>
      </c>
      <c r="F92" s="1653">
        <f>E92/C92-1</f>
        <v>0</v>
      </c>
    </row>
    <row r="93" spans="1:6" x14ac:dyDescent="0.3">
      <c r="A93" s="1320" t="s">
        <v>1294</v>
      </c>
      <c r="B93" s="124">
        <f t="shared" si="0"/>
        <v>2700</v>
      </c>
      <c r="C93" s="124">
        <f t="shared" si="0"/>
        <v>4147.2</v>
      </c>
      <c r="D93" s="1653">
        <f>(C93/B93)^(1/$B$32)-1</f>
        <v>5.5112825002850752E-2</v>
      </c>
      <c r="E93" s="124">
        <f>E77+E85</f>
        <v>4147.2</v>
      </c>
      <c r="F93" s="1654"/>
    </row>
    <row r="94" spans="1:6" x14ac:dyDescent="0.3">
      <c r="A94" s="1320" t="s">
        <v>1295</v>
      </c>
      <c r="B94" s="124">
        <f t="shared" si="0"/>
        <v>243</v>
      </c>
      <c r="C94" s="124">
        <f t="shared" si="0"/>
        <v>460.8</v>
      </c>
      <c r="D94" s="1653">
        <f>(C94/B94)^(1/$B$32)-1</f>
        <v>8.327388767777677E-2</v>
      </c>
      <c r="E94" s="124">
        <f>E78+E86</f>
        <v>460.8</v>
      </c>
      <c r="F94" s="1654"/>
    </row>
    <row r="95" spans="1:6" x14ac:dyDescent="0.3">
      <c r="A95" s="1320" t="s">
        <v>1296</v>
      </c>
      <c r="B95" s="1552">
        <f>B93/B90/0.9</f>
        <v>0.19480519480519481</v>
      </c>
      <c r="C95" s="1552">
        <f>C93/C90/$B$37</f>
        <v>0.29922077922077917</v>
      </c>
      <c r="D95" s="1654"/>
      <c r="E95" s="1552">
        <f>E93/E90/$B$37</f>
        <v>0.29922077922077917</v>
      </c>
      <c r="F95" s="1654"/>
    </row>
    <row r="96" spans="1:6" x14ac:dyDescent="0.3">
      <c r="A96" s="1320" t="s">
        <v>1297</v>
      </c>
      <c r="B96" s="1552">
        <f>B94/B90/0.1</f>
        <v>0.15779220779220776</v>
      </c>
      <c r="C96" s="1552">
        <f>C94/C90/(1-$B$37)</f>
        <v>0.29922077922077928</v>
      </c>
      <c r="D96" s="1654"/>
      <c r="E96" s="1552">
        <f>E94/E90/(1-$B$37)</f>
        <v>0.29922077922077928</v>
      </c>
      <c r="F96" s="1654"/>
    </row>
    <row r="97" spans="1:17" x14ac:dyDescent="0.3">
      <c r="A97" s="1306"/>
      <c r="B97" s="1306"/>
      <c r="C97" s="1306"/>
      <c r="D97" s="1654"/>
      <c r="E97" s="1306"/>
      <c r="F97" s="1654"/>
      <c r="O97" s="1636"/>
    </row>
    <row r="98" spans="1:17" x14ac:dyDescent="0.3">
      <c r="A98" s="1306" t="s">
        <v>1299</v>
      </c>
      <c r="B98" s="1515">
        <f>Drivers!ES186</f>
        <v>63.39</v>
      </c>
      <c r="C98" s="1493">
        <f>B98*(1+D98)^$B$32</f>
        <v>83.472524853110116</v>
      </c>
      <c r="D98" s="1655">
        <f>$B$43</f>
        <v>3.5000000000000003E-2</v>
      </c>
      <c r="E98" s="1493">
        <f>C98*(1+D98)</f>
        <v>86.394063222968967</v>
      </c>
      <c r="F98" s="1653">
        <f>E98/C98-1</f>
        <v>3.499999999999992E-2</v>
      </c>
      <c r="O98" s="925"/>
      <c r="P98" s="925"/>
    </row>
    <row r="99" spans="1:17" x14ac:dyDescent="0.3">
      <c r="A99" s="1306" t="s">
        <v>1300</v>
      </c>
      <c r="B99" s="1515">
        <f>Drivers!ES323</f>
        <v>52.261183591123064</v>
      </c>
      <c r="C99" s="1493">
        <f>B99*(1+D99)^$B$32</f>
        <v>77.213570195564401</v>
      </c>
      <c r="D99" s="1655">
        <f>$B$44</f>
        <v>0.05</v>
      </c>
      <c r="E99" s="1493">
        <f>C99*(1+D99)</f>
        <v>81.074248705342626</v>
      </c>
      <c r="F99" s="1653">
        <f>E99/C99-1</f>
        <v>5.0000000000000044E-2</v>
      </c>
      <c r="O99" s="925"/>
      <c r="P99" s="925"/>
    </row>
    <row r="100" spans="1:17" x14ac:dyDescent="0.3">
      <c r="A100" s="1306"/>
      <c r="B100" s="1306"/>
      <c r="C100" s="1306"/>
      <c r="D100" s="1654"/>
      <c r="E100" s="1306"/>
      <c r="F100" s="1654"/>
      <c r="O100" s="925"/>
      <c r="P100" s="925"/>
      <c r="Q100" s="926"/>
    </row>
    <row r="101" spans="1:17" x14ac:dyDescent="0.3">
      <c r="A101" s="1305" t="s">
        <v>1301</v>
      </c>
      <c r="B101" s="1514">
        <f>Drivers!ES199</f>
        <v>1312.2509849999999</v>
      </c>
      <c r="C101" s="1494">
        <f>C77*C98*12/1000</f>
        <v>4056.7647078611517</v>
      </c>
      <c r="D101" s="1653">
        <f>(C101/B101)^(1/$B$32)-1</f>
        <v>0.15151702677502876</v>
      </c>
      <c r="E101" s="1494">
        <f>E77*E98*12/1000</f>
        <v>4198.7514726362915</v>
      </c>
      <c r="F101" s="1653">
        <f>E101/C101-1</f>
        <v>3.499999999999992E-2</v>
      </c>
    </row>
    <row r="102" spans="1:17" x14ac:dyDescent="0.3">
      <c r="A102" s="1305" t="s">
        <v>1302</v>
      </c>
      <c r="B102" s="1517">
        <f>Drivers!ES337</f>
        <v>582.84285</v>
      </c>
      <c r="C102" s="1314">
        <f>C99*C85*12/1000</f>
        <v>90.061908276106323</v>
      </c>
      <c r="D102" s="1653">
        <f>(C102/B102)^(1/$B$32)-1</f>
        <v>-0.2081850286932756</v>
      </c>
      <c r="E102" s="1314">
        <f>E99*E85*12/1000</f>
        <v>94.565003689911634</v>
      </c>
      <c r="F102" s="1653">
        <f>E102/C102-1</f>
        <v>5.0000000000000044E-2</v>
      </c>
    </row>
    <row r="103" spans="1:17" x14ac:dyDescent="0.3">
      <c r="A103" s="1313" t="s">
        <v>1303</v>
      </c>
      <c r="B103" s="1507">
        <f>SUM(B101:B102)</f>
        <v>1895.0938349999999</v>
      </c>
      <c r="C103" s="1507">
        <f>SUM(C101:C102)</f>
        <v>4146.8266161372576</v>
      </c>
      <c r="D103" s="1653">
        <f>(C103/B103)^(1/$B$32)-1</f>
        <v>0.10283526467860837</v>
      </c>
      <c r="E103" s="1507">
        <f>SUM(E101:E102)</f>
        <v>4293.316476326203</v>
      </c>
      <c r="F103" s="1653">
        <f>E103/C103-1</f>
        <v>3.5325774079602024E-2</v>
      </c>
    </row>
    <row r="104" spans="1:17" s="680" customFormat="1" x14ac:dyDescent="0.3">
      <c r="A104" s="1320" t="s">
        <v>2847</v>
      </c>
      <c r="B104" s="1500">
        <f>B103/B93*1000/12</f>
        <v>58.49055046296295</v>
      </c>
      <c r="C104" s="1500">
        <f>C103/C93*1000/12</f>
        <v>83.32583060332388</v>
      </c>
      <c r="D104" s="1656"/>
      <c r="E104" s="1500">
        <f>E103/E93*1000/12</f>
        <v>86.269380070212094</v>
      </c>
      <c r="F104" s="1656"/>
    </row>
    <row r="105" spans="1:17" x14ac:dyDescent="0.3">
      <c r="A105" s="1306"/>
      <c r="B105" s="1306"/>
      <c r="C105" s="1306"/>
      <c r="D105" s="1654"/>
      <c r="E105" s="1306"/>
      <c r="F105" s="1654"/>
    </row>
    <row r="106" spans="1:17" x14ac:dyDescent="0.3">
      <c r="A106" s="1306" t="s">
        <v>1304</v>
      </c>
      <c r="B106" s="1518">
        <f>Drivers!ES126+Drivers!ES271</f>
        <v>222</v>
      </c>
      <c r="C106" s="1494">
        <f>C107*C90</f>
        <v>154</v>
      </c>
      <c r="D106" s="1653">
        <f>(C106/B106)^(1/$B$32)-1</f>
        <v>-4.4686382795146251E-2</v>
      </c>
      <c r="E106" s="1494">
        <f>E107*E90</f>
        <v>154</v>
      </c>
      <c r="F106" s="1653">
        <f>E106/C106-1</f>
        <v>0</v>
      </c>
    </row>
    <row r="107" spans="1:17" x14ac:dyDescent="0.3">
      <c r="A107" s="1320" t="s">
        <v>2848</v>
      </c>
      <c r="B107" s="1498">
        <f>B106/B90</f>
        <v>1.4415584415584416E-2</v>
      </c>
      <c r="C107" s="1498">
        <f>B40</f>
        <v>0.01</v>
      </c>
      <c r="D107" s="1654"/>
      <c r="E107" s="1498">
        <f>C107</f>
        <v>0.01</v>
      </c>
      <c r="F107" s="1654"/>
    </row>
    <row r="108" spans="1:17" x14ac:dyDescent="0.3">
      <c r="A108" s="1306"/>
      <c r="B108" s="1306"/>
      <c r="C108" s="1306"/>
      <c r="D108" s="1654"/>
      <c r="E108" s="1306"/>
      <c r="F108" s="1654"/>
    </row>
    <row r="109" spans="1:17" x14ac:dyDescent="0.3">
      <c r="A109" s="1306" t="s">
        <v>646</v>
      </c>
      <c r="B109" s="1515">
        <f>Drivers!ES462/Drivers!ES452*1000/12</f>
        <v>130.78071707317073</v>
      </c>
      <c r="C109" s="1493">
        <f>B109*(1+D109)^$B$32</f>
        <v>178.9824417761501</v>
      </c>
      <c r="D109" s="1655">
        <f>$B$45</f>
        <v>0.04</v>
      </c>
      <c r="E109" s="1493">
        <f>C109*(1+D109)</f>
        <v>186.1417394471961</v>
      </c>
      <c r="F109" s="1653">
        <f>E109/C109-1</f>
        <v>4.0000000000000036E-2</v>
      </c>
    </row>
    <row r="110" spans="1:17" x14ac:dyDescent="0.3">
      <c r="A110" s="1306"/>
      <c r="B110" s="1306"/>
      <c r="C110" s="1306"/>
      <c r="D110" s="1654"/>
      <c r="E110" s="1306"/>
      <c r="F110" s="1654"/>
    </row>
    <row r="111" spans="1:17" x14ac:dyDescent="0.3">
      <c r="A111" s="1306" t="s">
        <v>1305</v>
      </c>
      <c r="B111" s="1514">
        <f>Drivers!ES462</f>
        <v>402.15070500000002</v>
      </c>
      <c r="C111" s="1494">
        <f>C106*C109*12/1000</f>
        <v>330.75955240232537</v>
      </c>
      <c r="D111" s="1653">
        <f>(C111/B111)^(1/$B$32)-1</f>
        <v>-2.4133420115607929E-2</v>
      </c>
      <c r="E111" s="1494">
        <f>E106*E109*12/1000</f>
        <v>343.98993449841834</v>
      </c>
      <c r="F111" s="1654"/>
    </row>
    <row r="112" spans="1:17" x14ac:dyDescent="0.3">
      <c r="A112" s="1306"/>
      <c r="B112" s="1306"/>
      <c r="C112" s="1306"/>
      <c r="D112" s="1654"/>
      <c r="E112" s="1306"/>
      <c r="F112" s="1654"/>
    </row>
    <row r="113" spans="1:16" x14ac:dyDescent="0.3">
      <c r="A113" s="1306" t="s">
        <v>1306</v>
      </c>
      <c r="B113" s="1514">
        <f>Drivers!ES463</f>
        <v>799.75545999999997</v>
      </c>
      <c r="C113" s="1494">
        <f>B113*(1+D113)^$B$32</f>
        <v>344.2685015484667</v>
      </c>
      <c r="D113" s="1655">
        <f>$B$46</f>
        <v>-0.1</v>
      </c>
      <c r="E113" s="925">
        <f>C113</f>
        <v>344.2685015484667</v>
      </c>
      <c r="F113" s="1654"/>
    </row>
    <row r="114" spans="1:16" x14ac:dyDescent="0.3">
      <c r="A114" s="1306"/>
      <c r="B114" s="1306"/>
      <c r="C114" s="1306"/>
      <c r="D114" s="1654"/>
      <c r="E114" s="1306"/>
      <c r="F114" s="1654"/>
    </row>
    <row r="115" spans="1:16" x14ac:dyDescent="0.3">
      <c r="A115" s="1315" t="s">
        <v>1307</v>
      </c>
      <c r="B115" s="1509">
        <f>B103+B111+B113</f>
        <v>3096.9999999999995</v>
      </c>
      <c r="C115" s="1509">
        <f>C103+C111+C113</f>
        <v>4821.8546700880497</v>
      </c>
      <c r="D115" s="1653">
        <f>(C115/B115)^(1/$B$32)-1</f>
        <v>5.6900525691644832E-2</v>
      </c>
      <c r="E115" s="1509">
        <f>E103+E111+E113</f>
        <v>4981.5749123730884</v>
      </c>
      <c r="F115" s="1653">
        <f>E115/C115-1</f>
        <v>3.3124233974916262E-2</v>
      </c>
    </row>
    <row r="116" spans="1:16" x14ac:dyDescent="0.3">
      <c r="A116" s="1320" t="s">
        <v>2849</v>
      </c>
      <c r="B116" s="1500">
        <f>B115/B93*1000/12</f>
        <v>95.586419753086417</v>
      </c>
      <c r="C116" s="1500">
        <f>C115/C93*1000/12</f>
        <v>96.889762371560948</v>
      </c>
      <c r="D116" s="1657">
        <f>(C116/B116)^(1/$B$32)-1</f>
        <v>1.6943218264733328E-3</v>
      </c>
      <c r="E116" s="1500">
        <f>E115/E93*1000/12</f>
        <v>100.09916153013053</v>
      </c>
      <c r="F116" s="1654"/>
    </row>
    <row r="117" spans="1:16" x14ac:dyDescent="0.3">
      <c r="A117" s="1320" t="s">
        <v>2850</v>
      </c>
      <c r="B117" s="1501">
        <f>B115/B90*1000/12</f>
        <v>16.758658008658006</v>
      </c>
      <c r="C117" s="1501">
        <f>C115/C90*1000/12</f>
        <v>26.092287175801133</v>
      </c>
      <c r="D117" s="1657">
        <f>(C117/B117)^(1/$B$32)-1</f>
        <v>5.6900525691644832E-2</v>
      </c>
      <c r="E117" s="1501">
        <f>E115/E90*1000/12</f>
        <v>26.956574201153078</v>
      </c>
      <c r="F117" s="1654"/>
    </row>
    <row r="118" spans="1:16" x14ac:dyDescent="0.3">
      <c r="A118" s="1306"/>
      <c r="B118" s="1306"/>
      <c r="C118" s="1306"/>
      <c r="D118" s="1654"/>
      <c r="E118" s="1306"/>
      <c r="F118" s="1654"/>
    </row>
    <row r="119" spans="1:16" x14ac:dyDescent="0.3">
      <c r="A119" s="1305" t="s">
        <v>2851</v>
      </c>
      <c r="B119" s="1514">
        <f>Drivers!ES205</f>
        <v>1124</v>
      </c>
      <c r="C119" s="1494">
        <f>C121*C74/C90</f>
        <v>1674.6753246753246</v>
      </c>
      <c r="D119" s="1653">
        <f>(C119/B119)^(1/$B$32)-1</f>
        <v>5.1103636841827393E-2</v>
      </c>
      <c r="E119" s="1494">
        <f>E121*E74/E90</f>
        <v>1674.6753246753246</v>
      </c>
      <c r="F119" s="1654"/>
    </row>
    <row r="120" spans="1:16" x14ac:dyDescent="0.3">
      <c r="A120" s="1305" t="s">
        <v>2852</v>
      </c>
      <c r="B120" s="1517">
        <f>Drivers!ES343</f>
        <v>1455</v>
      </c>
      <c r="C120" s="1314">
        <f>C121-C119</f>
        <v>904.32467532467535</v>
      </c>
      <c r="D120" s="1653">
        <f>(C120/B120)^(1/$B$32)-1</f>
        <v>-5.7714141392606888E-2</v>
      </c>
      <c r="E120" s="1314">
        <f>E121-E119</f>
        <v>904.32467532467535</v>
      </c>
      <c r="F120" s="1654"/>
    </row>
    <row r="121" spans="1:16" x14ac:dyDescent="0.3">
      <c r="A121" s="1313" t="s">
        <v>2853</v>
      </c>
      <c r="B121" s="1509">
        <f>B119+B120</f>
        <v>2579</v>
      </c>
      <c r="C121" s="1507">
        <f>B121*(1+D121)^$B$32</f>
        <v>2579</v>
      </c>
      <c r="D121" s="1653">
        <f>B47</f>
        <v>0</v>
      </c>
      <c r="E121" s="1507">
        <f>C121*(1+D121)</f>
        <v>2579</v>
      </c>
      <c r="F121" s="1653">
        <f>E121/C121-1</f>
        <v>0</v>
      </c>
    </row>
    <row r="122" spans="1:16" x14ac:dyDescent="0.3">
      <c r="A122" s="1306"/>
      <c r="B122" s="1306"/>
      <c r="C122" s="1306"/>
      <c r="D122" s="1654"/>
      <c r="E122" s="1306"/>
      <c r="F122" s="1654"/>
    </row>
    <row r="123" spans="1:16" x14ac:dyDescent="0.3">
      <c r="A123" s="1306" t="s">
        <v>465</v>
      </c>
      <c r="B123" s="1644">
        <f>Drivers!ES11</f>
        <v>75</v>
      </c>
      <c r="C123" s="1306">
        <f>B123</f>
        <v>75</v>
      </c>
      <c r="D123" s="1653">
        <f>(C123/B123)^(1/$B$32)-1</f>
        <v>0</v>
      </c>
      <c r="E123" s="1306">
        <f>C123</f>
        <v>75</v>
      </c>
      <c r="F123" s="1654"/>
    </row>
    <row r="124" spans="1:16" x14ac:dyDescent="0.3">
      <c r="A124" s="1306"/>
      <c r="B124" s="1306"/>
      <c r="C124" s="1306"/>
      <c r="D124" s="1654"/>
      <c r="E124" s="1306"/>
      <c r="F124" s="1654"/>
      <c r="P124" s="1636"/>
    </row>
    <row r="125" spans="1:16" x14ac:dyDescent="0.3">
      <c r="A125" s="1315" t="s">
        <v>651</v>
      </c>
      <c r="B125" s="1509">
        <f>B115+B121+B123</f>
        <v>5751</v>
      </c>
      <c r="C125" s="1509">
        <f>C115+C121+C123</f>
        <v>7475.8546700880497</v>
      </c>
      <c r="D125" s="1653">
        <f>(C125/B125)^(1/$B$32)-1</f>
        <v>3.3331539798985288E-2</v>
      </c>
      <c r="E125" s="1509">
        <f>E115+E121+E123</f>
        <v>7635.5749123730884</v>
      </c>
      <c r="F125" s="1653">
        <f>E125/C125-1</f>
        <v>2.1364813701382213E-2</v>
      </c>
      <c r="P125" s="929"/>
    </row>
    <row r="126" spans="1:16" x14ac:dyDescent="0.3">
      <c r="A126" s="1320" t="s">
        <v>2849</v>
      </c>
      <c r="B126" s="1500">
        <f>B125/B92*1000/12</f>
        <v>162.8440366972477</v>
      </c>
      <c r="C126" s="1500">
        <f>C125/C92*1000/12</f>
        <v>135.19702456033076</v>
      </c>
      <c r="D126" s="1657">
        <f>(C126/B126)^(1/$B$32)-1</f>
        <v>-2.2989099242769817E-2</v>
      </c>
      <c r="E126" s="1500">
        <f>E125/E92*1000/12</f>
        <v>138.08548380304342</v>
      </c>
      <c r="F126" s="1654"/>
    </row>
    <row r="127" spans="1:16" x14ac:dyDescent="0.3">
      <c r="A127" s="1320" t="s">
        <v>2850</v>
      </c>
      <c r="B127" s="1501">
        <f>B125/B90*1000/12</f>
        <v>31.120129870129873</v>
      </c>
      <c r="C127" s="1501">
        <f>C125/C90*1000/12</f>
        <v>40.453759037272995</v>
      </c>
      <c r="D127" s="1657">
        <f>(C127/B127)^(1/$B$32)-1</f>
        <v>3.3331539798985288E-2</v>
      </c>
      <c r="E127" s="1501">
        <f>E125/E90*1000/12</f>
        <v>41.318046062624937</v>
      </c>
      <c r="F127" s="1654"/>
    </row>
    <row r="128" spans="1:16" x14ac:dyDescent="0.3">
      <c r="A128" s="1306"/>
      <c r="B128" s="1306"/>
      <c r="C128" s="1306"/>
      <c r="D128" s="1654"/>
      <c r="E128" s="1306"/>
      <c r="F128" s="1654"/>
    </row>
    <row r="129" spans="1:17" x14ac:dyDescent="0.3">
      <c r="A129" s="1305" t="s">
        <v>2854</v>
      </c>
      <c r="B129" s="1464">
        <f>B76*$B$51*12/1000</f>
        <v>361.26</v>
      </c>
      <c r="C129" s="1494">
        <f>C76*$B$51*12/1000</f>
        <v>810</v>
      </c>
      <c r="D129" s="1653"/>
      <c r="E129" s="1494">
        <f>E76*$B$51*12/1000</f>
        <v>810</v>
      </c>
      <c r="F129" s="1654"/>
    </row>
    <row r="130" spans="1:17" x14ac:dyDescent="0.3">
      <c r="A130" s="1305" t="s">
        <v>2855</v>
      </c>
      <c r="B130" s="1526">
        <f>B131-B129</f>
        <v>168.48000000000002</v>
      </c>
      <c r="C130" s="1314">
        <f>C84*$B$52*12/1000</f>
        <v>19.440000000000005</v>
      </c>
      <c r="D130" s="1653"/>
      <c r="E130" s="1314">
        <f>E84*$B$52*12/1000</f>
        <v>19.440000000000005</v>
      </c>
      <c r="F130" s="1654"/>
    </row>
    <row r="131" spans="1:17" x14ac:dyDescent="0.3">
      <c r="A131" s="1305" t="s">
        <v>2856</v>
      </c>
      <c r="B131" s="1464">
        <f>$B$50*B92*12/1000</f>
        <v>529.74</v>
      </c>
      <c r="C131" s="1494">
        <f>C129+C130</f>
        <v>829.44</v>
      </c>
      <c r="D131" s="1653"/>
      <c r="E131" s="1494">
        <f>E129+E130</f>
        <v>829.44</v>
      </c>
      <c r="F131" s="1654"/>
    </row>
    <row r="132" spans="1:17" x14ac:dyDescent="0.3">
      <c r="A132" s="1305" t="s">
        <v>2857</v>
      </c>
      <c r="B132" s="1526">
        <f>B133-B131</f>
        <v>2821.26</v>
      </c>
      <c r="C132" s="1314">
        <f>C90*$B$53*12/1000</f>
        <v>2821.26</v>
      </c>
      <c r="D132" s="1653"/>
      <c r="E132" s="1314">
        <f>E90*$B$53*12/1000</f>
        <v>2821.26</v>
      </c>
      <c r="F132" s="1654"/>
    </row>
    <row r="133" spans="1:17" x14ac:dyDescent="0.3">
      <c r="A133" s="1305" t="s">
        <v>2858</v>
      </c>
      <c r="B133" s="1554">
        <f>Drivers!ES58+Drivers!ES59</f>
        <v>3351</v>
      </c>
      <c r="C133" s="1553">
        <f>C132+C131</f>
        <v>3650.7000000000003</v>
      </c>
      <c r="D133" s="1653">
        <f>(C133/B133)^(1/$B$32)-1</f>
        <v>1.0765045752853197E-2</v>
      </c>
      <c r="E133" s="1553">
        <f>E132+E131</f>
        <v>3650.7000000000003</v>
      </c>
      <c r="F133" s="1653">
        <f>E133/C133-1</f>
        <v>0</v>
      </c>
    </row>
    <row r="134" spans="1:17" x14ac:dyDescent="0.3">
      <c r="A134" s="1305" t="s">
        <v>2859</v>
      </c>
      <c r="B134" s="1519">
        <f>B54</f>
        <v>0</v>
      </c>
      <c r="C134" s="1314">
        <f>B134</f>
        <v>0</v>
      </c>
      <c r="D134" s="1653"/>
      <c r="E134" s="1546">
        <f>C134</f>
        <v>0</v>
      </c>
      <c r="F134" s="1654"/>
    </row>
    <row r="135" spans="1:17" x14ac:dyDescent="0.3">
      <c r="A135" s="1305" t="s">
        <v>2858</v>
      </c>
      <c r="B135" s="1495">
        <f>B133-B134</f>
        <v>3351</v>
      </c>
      <c r="C135" s="1495">
        <f>C133-C134</f>
        <v>3650.7000000000003</v>
      </c>
      <c r="D135" s="1653">
        <f>(C135/B135)^(1/$B$32)-1</f>
        <v>1.0765045752853197E-2</v>
      </c>
      <c r="E135" s="929">
        <f>E133-E134</f>
        <v>3650.7000000000003</v>
      </c>
      <c r="F135" s="1653">
        <f>E135/C135-1</f>
        <v>0</v>
      </c>
    </row>
    <row r="136" spans="1:17" x14ac:dyDescent="0.3">
      <c r="A136" s="1305" t="s">
        <v>2860</v>
      </c>
      <c r="B136" s="1518">
        <f>Drivers!ES57</f>
        <v>273</v>
      </c>
      <c r="C136" s="1494">
        <f>C140*C106*12/1000</f>
        <v>253.14312871452051</v>
      </c>
      <c r="D136" s="1653">
        <f>(C136/B136)^(1/$B$32)-1</f>
        <v>-9.3951794379050213E-3</v>
      </c>
      <c r="E136" s="925">
        <f>E140*E106*12/1000</f>
        <v>266.37351081061354</v>
      </c>
      <c r="F136" s="1653"/>
    </row>
    <row r="137" spans="1:17" x14ac:dyDescent="0.3">
      <c r="A137" s="1313" t="s">
        <v>2861</v>
      </c>
      <c r="B137" s="1677">
        <f>B135+B136</f>
        <v>3624</v>
      </c>
      <c r="C137" s="1677">
        <f>C135+C136</f>
        <v>3903.8431287145208</v>
      </c>
      <c r="D137" s="1678"/>
      <c r="E137" s="1685">
        <f>E135+E136</f>
        <v>3917.0735108106137</v>
      </c>
      <c r="F137" s="1653"/>
    </row>
    <row r="138" spans="1:17" x14ac:dyDescent="0.3">
      <c r="A138" s="1320" t="s">
        <v>2862</v>
      </c>
      <c r="B138" s="1501">
        <f>B135/B92*1000/12</f>
        <v>94.886170574243977</v>
      </c>
      <c r="C138" s="1501">
        <f>C135/C92*1000/12</f>
        <v>66.021050347222229</v>
      </c>
      <c r="D138" s="1653">
        <f>(C138/B138)^(1/$B$32)-1</f>
        <v>-4.4325630477685118E-2</v>
      </c>
      <c r="E138" s="1641">
        <f>E135/E92*1000/12</f>
        <v>66.021050347222229</v>
      </c>
      <c r="F138" s="1654"/>
    </row>
    <row r="139" spans="1:17" x14ac:dyDescent="0.3">
      <c r="A139" s="1320" t="s">
        <v>317</v>
      </c>
      <c r="B139" s="1501">
        <f>B135/B90*1000/12</f>
        <v>18.133116883116884</v>
      </c>
      <c r="C139" s="1501">
        <f>C135/C90*1000/12</f>
        <v>19.754870129870131</v>
      </c>
      <c r="D139" s="1653">
        <f>(C139/B139)^(1/$B$32)-1</f>
        <v>1.0765045752853197E-2</v>
      </c>
      <c r="E139" s="1641">
        <f>E135/E90*1000/12</f>
        <v>19.754870129870131</v>
      </c>
      <c r="F139" s="1654"/>
    </row>
    <row r="140" spans="1:17" x14ac:dyDescent="0.3">
      <c r="A140" s="1320" t="s">
        <v>2863</v>
      </c>
      <c r="B140" s="1676">
        <f>Drivers!ES485</f>
        <v>88.780487804878064</v>
      </c>
      <c r="C140" s="1501">
        <f>B140+(C109-B109)</f>
        <v>136.98221250785741</v>
      </c>
      <c r="D140" s="1653">
        <f>(C140/B140)^(1/$B$32)-1</f>
        <v>5.5706829827727899E-2</v>
      </c>
      <c r="E140" s="1641">
        <f>C140+(E109-C109)</f>
        <v>144.14151017890342</v>
      </c>
      <c r="F140" s="1654"/>
    </row>
    <row r="141" spans="1:17" x14ac:dyDescent="0.3">
      <c r="A141" s="1305"/>
      <c r="B141" s="1495"/>
      <c r="C141" s="1553"/>
      <c r="D141" s="1653"/>
      <c r="E141" s="1553"/>
      <c r="F141" s="1654"/>
    </row>
    <row r="142" spans="1:17" x14ac:dyDescent="0.3">
      <c r="A142" s="1315" t="s">
        <v>44</v>
      </c>
      <c r="B142" s="1505">
        <f>B125-B137</f>
        <v>2127</v>
      </c>
      <c r="C142" s="1505">
        <f>C125-C137</f>
        <v>3572.0115413735289</v>
      </c>
      <c r="D142" s="1653">
        <f>(C142/B142)^(1/$B$32)-1</f>
        <v>6.6947795541483002E-2</v>
      </c>
      <c r="E142" s="1505">
        <f>E125-E137</f>
        <v>3718.5014015624747</v>
      </c>
      <c r="F142" s="1653">
        <f>E142/C142-1</f>
        <v>4.1010466649448851E-2</v>
      </c>
      <c r="P142" s="929"/>
      <c r="Q142" s="1636"/>
    </row>
    <row r="143" spans="1:17" x14ac:dyDescent="0.3">
      <c r="A143" s="1320" t="s">
        <v>1326</v>
      </c>
      <c r="B143" s="1498">
        <f>B142/B125</f>
        <v>0.36984872196139801</v>
      </c>
      <c r="C143" s="1498">
        <f>C142/C125</f>
        <v>0.47780644474880596</v>
      </c>
      <c r="D143" s="1654"/>
      <c r="E143" s="1498">
        <f>E142/E125</f>
        <v>0.48699691172393827</v>
      </c>
      <c r="F143" s="1654"/>
      <c r="P143" s="926"/>
      <c r="Q143" s="1636"/>
    </row>
    <row r="144" spans="1:17" x14ac:dyDescent="0.3">
      <c r="A144" s="1320" t="s">
        <v>2864</v>
      </c>
      <c r="B144" s="1501">
        <f>B142/B92*1000/12</f>
        <v>60.227658851512068</v>
      </c>
      <c r="C144" s="1501">
        <f>C142/C92*1000/12</f>
        <v>64.59800964578865</v>
      </c>
      <c r="D144" s="1653">
        <f>(C144/B144)^(1/$B$32)-1</f>
        <v>8.7949381528680259E-3</v>
      </c>
      <c r="E144" s="1502">
        <f>E142/E92*1000/12</f>
        <v>67.247204165988038</v>
      </c>
      <c r="F144" s="1654"/>
      <c r="P144" s="1636"/>
    </row>
    <row r="145" spans="1:16" x14ac:dyDescent="0.3">
      <c r="A145" s="1320" t="s">
        <v>2865</v>
      </c>
      <c r="B145" s="1501">
        <f>B142/B90*1000/12</f>
        <v>11.50974025974026</v>
      </c>
      <c r="C145" s="1501">
        <f>C142/C90*1000/12</f>
        <v>19.32906678232429</v>
      </c>
      <c r="D145" s="1653">
        <f>(C145/B145)^(1/$B$32)-1</f>
        <v>6.6947795541483002E-2</v>
      </c>
      <c r="E145" s="1502">
        <f>E142/E90*1000/12</f>
        <v>20.121760830965773</v>
      </c>
      <c r="F145" s="1654"/>
      <c r="P145" s="1636"/>
    </row>
    <row r="146" spans="1:16" x14ac:dyDescent="0.3">
      <c r="A146" s="1306"/>
      <c r="B146" s="1560"/>
      <c r="C146" s="1560"/>
      <c r="D146" s="1654"/>
      <c r="E146" s="1560"/>
      <c r="F146" s="1654"/>
    </row>
    <row r="147" spans="1:16" x14ac:dyDescent="0.3">
      <c r="A147" s="1305" t="s">
        <v>2866</v>
      </c>
      <c r="B147" s="1494">
        <v>1371</v>
      </c>
      <c r="C147" s="1494">
        <f>C148*$B$57/1000</f>
        <v>0</v>
      </c>
      <c r="D147" s="1653">
        <f>(C147/B147)^(1/$B$32)-1</f>
        <v>-1</v>
      </c>
      <c r="E147" s="1494">
        <f>E148*$B$57/1000</f>
        <v>0</v>
      </c>
      <c r="F147" s="1654"/>
    </row>
    <row r="148" spans="1:16" x14ac:dyDescent="0.3">
      <c r="A148" s="1320" t="s">
        <v>326</v>
      </c>
      <c r="B148" s="1645">
        <f>Drivers!ES91</f>
        <v>1320</v>
      </c>
      <c r="C148" s="1502">
        <f>C90-C90/(1+D90)</f>
        <v>0</v>
      </c>
      <c r="D148" s="1654"/>
      <c r="E148" s="1502">
        <f>E90-E90/(1+D90)</f>
        <v>0</v>
      </c>
      <c r="F148" s="1654"/>
    </row>
    <row r="149" spans="1:16" x14ac:dyDescent="0.3">
      <c r="A149" s="1306"/>
      <c r="B149" s="1494"/>
      <c r="C149" s="1494"/>
      <c r="D149" s="1654"/>
      <c r="E149" s="1494"/>
      <c r="F149" s="1654"/>
    </row>
    <row r="150" spans="1:16" x14ac:dyDescent="0.3">
      <c r="A150" s="108" t="s">
        <v>196</v>
      </c>
      <c r="B150" s="1549">
        <f>Drivers!ES559</f>
        <v>402.36871309169203</v>
      </c>
      <c r="C150" s="925">
        <f>C151*$B$58/1000+C152*$B$61/1000</f>
        <v>272.28149999999994</v>
      </c>
      <c r="D150" s="1653">
        <f>(C150/B150)^(1/$B$32)-1</f>
        <v>-4.764417753056438E-2</v>
      </c>
      <c r="E150" s="925">
        <f>E151*$B$58/1000+E152*$B$61/1000</f>
        <v>272.28149999999994</v>
      </c>
      <c r="F150" s="1654"/>
      <c r="M150" s="1636"/>
    </row>
    <row r="151" spans="1:16" x14ac:dyDescent="0.3">
      <c r="A151" s="680" t="s">
        <v>2867</v>
      </c>
      <c r="B151" s="1565"/>
      <c r="C151" s="1565">
        <f>C148*$B$38*$B$37</f>
        <v>0</v>
      </c>
      <c r="D151" s="1654"/>
      <c r="E151" s="1565">
        <f>E148*$B$38</f>
        <v>0</v>
      </c>
      <c r="F151" s="1654"/>
    </row>
    <row r="152" spans="1:16" x14ac:dyDescent="0.3">
      <c r="A152" s="680" t="s">
        <v>2868</v>
      </c>
      <c r="B152" s="1565"/>
      <c r="C152" s="1565">
        <f>C77*$B$68*12</f>
        <v>656.09999999999991</v>
      </c>
      <c r="D152" s="1654"/>
      <c r="E152" s="1565">
        <f>E77*$B$68*12</f>
        <v>656.09999999999991</v>
      </c>
      <c r="F152" s="1654"/>
    </row>
    <row r="153" spans="1:16" x14ac:dyDescent="0.3">
      <c r="A153" s="1306"/>
      <c r="B153" s="1494"/>
      <c r="C153" s="1494"/>
      <c r="D153" s="1654"/>
      <c r="E153" s="1494"/>
      <c r="F153" s="1654"/>
    </row>
    <row r="154" spans="1:16" x14ac:dyDescent="0.3">
      <c r="A154" s="1306" t="s">
        <v>2837</v>
      </c>
      <c r="B154" s="1494">
        <f>B164-B147-B150-B158</f>
        <v>718.63128690830808</v>
      </c>
      <c r="C154" s="1494">
        <f>C156*C121</f>
        <v>257.90000000000003</v>
      </c>
      <c r="D154" s="1653">
        <f>(C154/B154)^(1/$B$32)-1</f>
        <v>-0.12023201742915635</v>
      </c>
      <c r="E154" s="1494">
        <f>E156*E121</f>
        <v>257.90000000000003</v>
      </c>
      <c r="F154" s="1654"/>
    </row>
    <row r="155" spans="1:16" x14ac:dyDescent="0.3">
      <c r="A155" s="1320" t="s">
        <v>2869</v>
      </c>
      <c r="B155" s="1502">
        <f>B154/B90*1000</f>
        <v>46.664369279760265</v>
      </c>
      <c r="C155" s="1502">
        <f>C154/C90*1000</f>
        <v>16.746753246753251</v>
      </c>
      <c r="D155" s="1653">
        <f>(C155/B155)^(1/$B$32)-1</f>
        <v>-0.12023201742915635</v>
      </c>
      <c r="E155" s="1502">
        <f>E154/E90*1000</f>
        <v>16.746753246753251</v>
      </c>
      <c r="F155" s="1654"/>
    </row>
    <row r="156" spans="1:16" x14ac:dyDescent="0.3">
      <c r="A156" s="1306" t="s">
        <v>2870</v>
      </c>
      <c r="B156" s="1566">
        <f>B154/B121</f>
        <v>0.278647261306052</v>
      </c>
      <c r="C156" s="1566">
        <f>B63</f>
        <v>0.1</v>
      </c>
      <c r="D156" s="1654"/>
      <c r="E156" s="1566">
        <f>C156</f>
        <v>0.1</v>
      </c>
      <c r="F156" s="1654"/>
    </row>
    <row r="157" spans="1:16" x14ac:dyDescent="0.3">
      <c r="A157" s="1306"/>
      <c r="B157" s="1494"/>
      <c r="C157" s="1494"/>
      <c r="D157" s="1654"/>
      <c r="E157" s="1494"/>
      <c r="F157" s="1654"/>
    </row>
    <row r="158" spans="1:16" x14ac:dyDescent="0.3">
      <c r="A158" s="1306" t="s">
        <v>1613</v>
      </c>
      <c r="B158" s="1494">
        <f>B64</f>
        <v>600</v>
      </c>
      <c r="C158" s="925">
        <f>(C160*C74+C82*C161)/1000</f>
        <v>515.31765630261532</v>
      </c>
      <c r="D158" s="1653">
        <f>(C158/B158)^(1/$B$32)-1</f>
        <v>-1.8838560839327001E-2</v>
      </c>
      <c r="E158" s="925">
        <f>(E160*E74+E82*E161)/1000</f>
        <v>515.31765630261532</v>
      </c>
      <c r="F158" s="1654"/>
    </row>
    <row r="159" spans="1:16" x14ac:dyDescent="0.3">
      <c r="A159" s="1320" t="s">
        <v>2871</v>
      </c>
      <c r="B159" s="1502">
        <f>B158/B90*1000</f>
        <v>38.961038961038959</v>
      </c>
      <c r="C159" s="1502">
        <f>C158/C90*1000</f>
        <v>33.462185474195799</v>
      </c>
      <c r="D159" s="1653">
        <f>(C159/B159)^(1/$B$32)-1</f>
        <v>-1.8838560839327001E-2</v>
      </c>
      <c r="E159" s="1502">
        <f>E158/E90*1000</f>
        <v>33.462185474195799</v>
      </c>
      <c r="F159" s="1654"/>
    </row>
    <row r="160" spans="1:16" x14ac:dyDescent="0.3">
      <c r="A160" s="1320" t="s">
        <v>2872</v>
      </c>
      <c r="B160" s="1502">
        <f>$B$66</f>
        <v>25</v>
      </c>
      <c r="C160" s="1565">
        <f>B160</f>
        <v>25</v>
      </c>
      <c r="D160" s="1653"/>
      <c r="E160" s="1565">
        <f>C160</f>
        <v>25</v>
      </c>
      <c r="F160" s="1654"/>
    </row>
    <row r="161" spans="1:19" x14ac:dyDescent="0.3">
      <c r="A161" s="1320" t="s">
        <v>2873</v>
      </c>
      <c r="B161" s="1502">
        <f>$B$67</f>
        <v>49.132899315299142</v>
      </c>
      <c r="C161" s="1565">
        <f>B161</f>
        <v>49.132899315299142</v>
      </c>
      <c r="D161" s="1653"/>
      <c r="E161" s="1565">
        <f>C161</f>
        <v>49.132899315299142</v>
      </c>
      <c r="F161" s="1654"/>
    </row>
    <row r="162" spans="1:19" x14ac:dyDescent="0.3">
      <c r="A162" s="1320" t="s">
        <v>2874</v>
      </c>
      <c r="B162" s="1639">
        <f>B158/B125</f>
        <v>0.10432968179447052</v>
      </c>
      <c r="C162" s="1639">
        <f>C158/C125</f>
        <v>6.893093553095328E-2</v>
      </c>
      <c r="D162" s="1654"/>
      <c r="E162" s="1639">
        <f>E158/E125</f>
        <v>6.7489044664805445E-2</v>
      </c>
      <c r="F162" s="1654"/>
    </row>
    <row r="163" spans="1:19" x14ac:dyDescent="0.3">
      <c r="A163" s="1306"/>
      <c r="B163" s="1306"/>
      <c r="C163" s="1306"/>
      <c r="D163" s="1654"/>
      <c r="E163" s="1306"/>
      <c r="F163" s="1654"/>
    </row>
    <row r="164" spans="1:19" x14ac:dyDescent="0.3">
      <c r="A164" s="1315" t="s">
        <v>198</v>
      </c>
      <c r="B164" s="1512">
        <f>Drivers!ES584</f>
        <v>3092</v>
      </c>
      <c r="C164" s="1505">
        <f>C147+C150+C154+C158</f>
        <v>1045.4991563026151</v>
      </c>
      <c r="D164" s="1653">
        <f>(C164/B164)^(1/$B$32)-1</f>
        <v>-0.12675617117669302</v>
      </c>
      <c r="E164" s="121">
        <f>E147+E150+E154+E158</f>
        <v>1045.4991563026151</v>
      </c>
      <c r="F164" s="1654"/>
      <c r="M164" s="1636"/>
    </row>
    <row r="165" spans="1:19" x14ac:dyDescent="0.3">
      <c r="A165" s="1320" t="s">
        <v>1328</v>
      </c>
      <c r="B165" s="1498">
        <f>B164/B125</f>
        <v>0.53764562684750483</v>
      </c>
      <c r="C165" s="1498">
        <f>C164/C125</f>
        <v>0.13985011780469794</v>
      </c>
      <c r="D165" s="1654"/>
      <c r="E165" s="1498">
        <f>E164/E125</f>
        <v>0.13692474611288707</v>
      </c>
      <c r="F165" s="1654"/>
    </row>
    <row r="166" spans="1:19" x14ac:dyDescent="0.3">
      <c r="A166" s="1320" t="s">
        <v>1329</v>
      </c>
      <c r="B166" s="1502">
        <f>B164/B90*1000</f>
        <v>200.77922077922079</v>
      </c>
      <c r="C166" s="1502">
        <f>C164/C90*1000</f>
        <v>67.889555604065919</v>
      </c>
      <c r="D166" s="1654"/>
      <c r="E166" s="1502">
        <f>E164/E90*1000</f>
        <v>67.889555604065919</v>
      </c>
      <c r="F166" s="1654"/>
    </row>
    <row r="167" spans="1:19" x14ac:dyDescent="0.3">
      <c r="A167" s="1306"/>
      <c r="B167" s="1306"/>
      <c r="C167" s="1306"/>
      <c r="D167" s="1654"/>
      <c r="E167" s="1306"/>
      <c r="F167" s="1654"/>
    </row>
    <row r="168" spans="1:19" x14ac:dyDescent="0.3">
      <c r="A168" s="1315" t="s">
        <v>642</v>
      </c>
      <c r="B168" s="1505">
        <f>B142-B164</f>
        <v>-965</v>
      </c>
      <c r="C168" s="1505">
        <f>C142-C164</f>
        <v>2526.5123850709138</v>
      </c>
      <c r="D168" s="1653"/>
      <c r="E168" s="1505">
        <f>E142-E164</f>
        <v>2673.0022452598596</v>
      </c>
      <c r="F168" s="1653">
        <f>E168/C168-1</f>
        <v>5.7981057624949761E-2</v>
      </c>
    </row>
    <row r="169" spans="1:19" x14ac:dyDescent="0.3">
      <c r="A169" s="1320" t="s">
        <v>1331</v>
      </c>
      <c r="B169" s="1498">
        <f>B168/B125</f>
        <v>-0.16779690488610677</v>
      </c>
      <c r="C169" s="1498">
        <f>C168/C125</f>
        <v>0.33795632694410804</v>
      </c>
      <c r="D169" s="1654"/>
      <c r="E169" s="1498">
        <f>E168/E125</f>
        <v>0.3500721656110512</v>
      </c>
      <c r="F169" s="1654"/>
    </row>
    <row r="170" spans="1:19" x14ac:dyDescent="0.3">
      <c r="A170" s="1320" t="s">
        <v>2875</v>
      </c>
      <c r="B170" s="1501">
        <f>B168/B92/12*1000</f>
        <v>-27.324725336957751</v>
      </c>
      <c r="C170" s="1501">
        <f>C168/C92/12*1000</f>
        <v>45.690689834181754</v>
      </c>
      <c r="D170" s="1653"/>
      <c r="E170" s="1501">
        <f>E168/E92/12*1000</f>
        <v>48.339884354381141</v>
      </c>
      <c r="F170" s="1654"/>
    </row>
    <row r="171" spans="1:19" x14ac:dyDescent="0.3">
      <c r="A171" s="1320" t="s">
        <v>2876</v>
      </c>
      <c r="B171" s="1501">
        <f>B168/B90*1000/12</f>
        <v>-5.2218614718614713</v>
      </c>
      <c r="C171" s="1501">
        <f>C168/C90*1000/12</f>
        <v>13.671603815318798</v>
      </c>
      <c r="D171" s="1653"/>
      <c r="E171" s="1501">
        <f>E168/E90*1000/12</f>
        <v>14.464297863960278</v>
      </c>
      <c r="F171" s="1654"/>
    </row>
    <row r="175" spans="1:19" x14ac:dyDescent="0.3">
      <c r="A175" s="1534" t="s">
        <v>2877</v>
      </c>
      <c r="B175" s="1055"/>
      <c r="C175" s="1055"/>
      <c r="D175" s="1055"/>
      <c r="E175" s="1055"/>
      <c r="F175" s="1055"/>
      <c r="G175" s="1055"/>
      <c r="H175" s="1055"/>
      <c r="I175" s="1055"/>
      <c r="J175" s="1055"/>
      <c r="K175" s="1055"/>
      <c r="L175" s="1055"/>
      <c r="M175" s="1055"/>
      <c r="N175" s="1055"/>
      <c r="O175" s="1055"/>
      <c r="P175" s="1055"/>
      <c r="Q175" s="1055"/>
      <c r="R175" s="1055"/>
      <c r="S175" s="1055"/>
    </row>
    <row r="176" spans="1:19" outlineLevel="1" x14ac:dyDescent="0.3"/>
    <row r="177" spans="1:7" outlineLevel="1" x14ac:dyDescent="0.3">
      <c r="B177" s="1537" t="s">
        <v>2878</v>
      </c>
      <c r="C177" s="1537" t="s">
        <v>2879</v>
      </c>
      <c r="D177" s="1537" t="s">
        <v>2813</v>
      </c>
      <c r="E177" s="1652" t="s">
        <v>17</v>
      </c>
      <c r="F177" s="1492" t="s">
        <v>2843</v>
      </c>
      <c r="G177" s="1652" t="s">
        <v>2844</v>
      </c>
    </row>
    <row r="178" spans="1:7" outlineLevel="1" x14ac:dyDescent="0.3">
      <c r="A178" s="1305" t="s">
        <v>780</v>
      </c>
      <c r="B178" s="1538">
        <v>621</v>
      </c>
      <c r="C178" s="1543">
        <f>B74</f>
        <v>6491</v>
      </c>
      <c r="D178" s="1495">
        <f>C74</f>
        <v>10000</v>
      </c>
      <c r="E178" s="1654"/>
      <c r="F178" s="1543">
        <f>F194-F186</f>
        <v>10000</v>
      </c>
      <c r="G178" s="1654"/>
    </row>
    <row r="179" spans="1:7" outlineLevel="1" x14ac:dyDescent="0.3">
      <c r="A179" s="1305" t="s">
        <v>1292</v>
      </c>
      <c r="B179" s="1497">
        <f>B180/B178</f>
        <v>0.46054750402576489</v>
      </c>
      <c r="C179" s="1568">
        <f>B179</f>
        <v>0.46054750402576489</v>
      </c>
      <c r="D179" s="1633">
        <f>C179</f>
        <v>0.46054750402576489</v>
      </c>
      <c r="E179" s="1654"/>
      <c r="F179" s="1497">
        <f>D179</f>
        <v>0.46054750402576489</v>
      </c>
      <c r="G179" s="1654"/>
    </row>
    <row r="180" spans="1:7" outlineLevel="1" x14ac:dyDescent="0.3">
      <c r="A180" s="1313" t="s">
        <v>1293</v>
      </c>
      <c r="B180" s="1539">
        <v>286</v>
      </c>
      <c r="C180" s="1567">
        <f>C178*C179</f>
        <v>2989.4138486312399</v>
      </c>
      <c r="D180" s="1494">
        <f>D178*D179</f>
        <v>4605.4750402576492</v>
      </c>
      <c r="E180" s="1654"/>
      <c r="F180" s="1506">
        <f>F178*F179</f>
        <v>4605.4750402576492</v>
      </c>
      <c r="G180" s="1654"/>
    </row>
    <row r="181" spans="1:7" outlineLevel="1" x14ac:dyDescent="0.3">
      <c r="A181" s="1320" t="s">
        <v>1294</v>
      </c>
      <c r="B181" s="1540">
        <f>B180-B182</f>
        <v>273.58</v>
      </c>
      <c r="C181" s="1540">
        <f>C178*$B$37*C183</f>
        <v>2859.5938486312398</v>
      </c>
      <c r="D181" s="1540">
        <f>D178*$B$37*D183</f>
        <v>4405.4750402576483</v>
      </c>
      <c r="E181" s="1654"/>
      <c r="F181" s="1563">
        <f>F178*F183*$B$37</f>
        <v>4405.4750402576483</v>
      </c>
      <c r="G181" s="1654"/>
    </row>
    <row r="182" spans="1:7" outlineLevel="1" x14ac:dyDescent="0.3">
      <c r="A182" s="1320" t="s">
        <v>1295</v>
      </c>
      <c r="B182" s="1499">
        <f>B184*B178*(1-B37)</f>
        <v>12.419999999999998</v>
      </c>
      <c r="C182" s="1499">
        <f>C180-C181</f>
        <v>129.82000000000016</v>
      </c>
      <c r="D182" s="1499">
        <f>D180-D181</f>
        <v>200.00000000000091</v>
      </c>
      <c r="E182" s="1654"/>
      <c r="F182" s="124">
        <f>F180-F181</f>
        <v>200.00000000000091</v>
      </c>
      <c r="G182" s="1654"/>
    </row>
    <row r="183" spans="1:7" outlineLevel="1" x14ac:dyDescent="0.3">
      <c r="A183" s="1320" t="s">
        <v>1296</v>
      </c>
      <c r="B183" s="1498">
        <f>B181/B178/$B$37</f>
        <v>0.48949722669529427</v>
      </c>
      <c r="C183" s="1498">
        <f>B183</f>
        <v>0.48949722669529427</v>
      </c>
      <c r="D183" s="1498">
        <f>C183</f>
        <v>0.48949722669529427</v>
      </c>
      <c r="E183" s="1654"/>
      <c r="F183" s="1552">
        <f>D183</f>
        <v>0.48949722669529427</v>
      </c>
      <c r="G183" s="1654"/>
    </row>
    <row r="184" spans="1:7" outlineLevel="1" x14ac:dyDescent="0.3">
      <c r="A184" s="1320" t="s">
        <v>1297</v>
      </c>
      <c r="B184" s="1646">
        <v>0.2</v>
      </c>
      <c r="C184" s="1552">
        <f>B184</f>
        <v>0.2</v>
      </c>
      <c r="D184" s="1552">
        <f>C184</f>
        <v>0.2</v>
      </c>
      <c r="E184" s="1654"/>
      <c r="F184" s="1498">
        <f>F182/F178/(1-$B$37)</f>
        <v>0.20000000000000095</v>
      </c>
      <c r="G184" s="1654"/>
    </row>
    <row r="185" spans="1:7" outlineLevel="1" x14ac:dyDescent="0.3">
      <c r="A185" s="1306"/>
      <c r="B185" s="1306"/>
      <c r="C185" s="1306"/>
      <c r="D185" s="1306"/>
      <c r="E185" s="1654"/>
      <c r="F185" s="1306"/>
      <c r="G185" s="1654"/>
    </row>
    <row r="186" spans="1:7" outlineLevel="1" x14ac:dyDescent="0.3">
      <c r="A186" s="1305" t="s">
        <v>782</v>
      </c>
      <c r="B186" s="1538">
        <v>175</v>
      </c>
      <c r="C186" s="1543">
        <f>B82</f>
        <v>8909</v>
      </c>
      <c r="D186" s="1495">
        <f>C82</f>
        <v>5400</v>
      </c>
      <c r="E186" s="1658">
        <f>B186/B194</f>
        <v>0.21984924623115579</v>
      </c>
      <c r="F186" s="1543">
        <f>D186</f>
        <v>5400</v>
      </c>
      <c r="G186" s="1654"/>
    </row>
    <row r="187" spans="1:7" outlineLevel="1" x14ac:dyDescent="0.3">
      <c r="A187" s="1305" t="s">
        <v>1292</v>
      </c>
      <c r="B187" s="1497">
        <f>B188/B186</f>
        <v>1.1428571428571429E-2</v>
      </c>
      <c r="C187" s="1497">
        <f>B187</f>
        <v>1.1428571428571429E-2</v>
      </c>
      <c r="D187" s="1633">
        <f>C187</f>
        <v>1.1428571428571429E-2</v>
      </c>
      <c r="E187" s="1654"/>
      <c r="F187" s="1497">
        <f>D187</f>
        <v>1.1428571428571429E-2</v>
      </c>
      <c r="G187" s="1654"/>
    </row>
    <row r="188" spans="1:7" outlineLevel="1" x14ac:dyDescent="0.3">
      <c r="A188" s="1313" t="s">
        <v>1298</v>
      </c>
      <c r="B188" s="1539">
        <v>2</v>
      </c>
      <c r="C188" s="1567">
        <f>C186*C187</f>
        <v>101.81714285714285</v>
      </c>
      <c r="D188" s="1507">
        <f>D186*D187</f>
        <v>61.714285714285715</v>
      </c>
      <c r="E188" s="1655">
        <f>B188/B196</f>
        <v>6.9444444444444441E-3</v>
      </c>
      <c r="F188" s="1507">
        <f>F186*F187</f>
        <v>61.714285714285715</v>
      </c>
      <c r="G188" s="1654"/>
    </row>
    <row r="189" spans="1:7" outlineLevel="1" x14ac:dyDescent="0.3">
      <c r="A189" s="1320" t="s">
        <v>1294</v>
      </c>
      <c r="B189" s="1540">
        <f>B188*B181/B180</f>
        <v>1.913146853146853</v>
      </c>
      <c r="C189" s="1540">
        <f>C186*C191*B37</f>
        <v>97.395573226773209</v>
      </c>
      <c r="D189" s="1495">
        <f>B189/B188*D188</f>
        <v>59.034245754245752</v>
      </c>
      <c r="E189" s="1654"/>
      <c r="F189" s="1563">
        <f>F186*F191*$B$37</f>
        <v>59.034245754245745</v>
      </c>
      <c r="G189" s="1654"/>
    </row>
    <row r="190" spans="1:7" outlineLevel="1" x14ac:dyDescent="0.3">
      <c r="A190" s="1320" t="s">
        <v>1295</v>
      </c>
      <c r="B190" s="1499">
        <f>B188-B189</f>
        <v>8.6853146853147045E-2</v>
      </c>
      <c r="C190" s="1499">
        <f>C188-C189</f>
        <v>4.4215696303696461</v>
      </c>
      <c r="D190" s="1499">
        <f>D188-D189</f>
        <v>2.6800399600399629</v>
      </c>
      <c r="E190" s="1654"/>
      <c r="F190" s="124">
        <f>F188-F189</f>
        <v>2.68003996003997</v>
      </c>
      <c r="G190" s="1654"/>
    </row>
    <row r="191" spans="1:7" outlineLevel="1" x14ac:dyDescent="0.3">
      <c r="A191" s="1320" t="s">
        <v>1296</v>
      </c>
      <c r="B191" s="1498">
        <f>B189/B186/$B$37</f>
        <v>1.2146964146964145E-2</v>
      </c>
      <c r="C191" s="1498">
        <f>B191</f>
        <v>1.2146964146964145E-2</v>
      </c>
      <c r="D191" s="1498">
        <f>D189/D186/$B$37</f>
        <v>1.2146964146964145E-2</v>
      </c>
      <c r="E191" s="1654"/>
      <c r="F191" s="1552">
        <f>D191</f>
        <v>1.2146964146964145E-2</v>
      </c>
      <c r="G191" s="1654"/>
    </row>
    <row r="192" spans="1:7" outlineLevel="1" x14ac:dyDescent="0.3">
      <c r="A192" s="1320" t="s">
        <v>1297</v>
      </c>
      <c r="B192" s="1498">
        <f>B190/B186/(1-$B$37)</f>
        <v>4.9630369630369753E-3</v>
      </c>
      <c r="C192" s="1498">
        <f>B192</f>
        <v>4.9630369630369753E-3</v>
      </c>
      <c r="D192" s="1498">
        <f>D190/D186/(1-$B$37)</f>
        <v>4.9630369630369693E-3</v>
      </c>
      <c r="E192" s="1654"/>
      <c r="F192" s="1498">
        <f>F190/F186/(1-$B$37)</f>
        <v>4.9630369630369832E-3</v>
      </c>
      <c r="G192" s="1654"/>
    </row>
    <row r="193" spans="1:16" outlineLevel="1" x14ac:dyDescent="0.3">
      <c r="A193" s="1306"/>
      <c r="B193" s="1562"/>
      <c r="C193" s="1562"/>
      <c r="D193" s="1562"/>
      <c r="E193" s="1654"/>
      <c r="F193" s="1306"/>
      <c r="G193" s="1654"/>
    </row>
    <row r="194" spans="1:16" outlineLevel="1" x14ac:dyDescent="0.3">
      <c r="A194" s="1305" t="s">
        <v>2845</v>
      </c>
      <c r="B194" s="1494">
        <f>B178+B186</f>
        <v>796</v>
      </c>
      <c r="C194" s="1494">
        <f>C178+C186</f>
        <v>15400</v>
      </c>
      <c r="D194" s="1494">
        <f>D178+D186</f>
        <v>15400</v>
      </c>
      <c r="E194" s="1654"/>
      <c r="F194" s="1543">
        <f>D194*(1+$B$36)</f>
        <v>15400</v>
      </c>
      <c r="G194" s="1654"/>
    </row>
    <row r="195" spans="1:16" outlineLevel="1" x14ac:dyDescent="0.3">
      <c r="A195" s="1305" t="s">
        <v>1292</v>
      </c>
      <c r="B195" s="1497">
        <f>B196/B194</f>
        <v>0.36180904522613067</v>
      </c>
      <c r="C195" s="1497">
        <f>C196/C194</f>
        <v>0.20072928516158328</v>
      </c>
      <c r="D195" s="1497">
        <f>D196/D194</f>
        <v>0.3030642419462295</v>
      </c>
      <c r="E195" s="1654"/>
      <c r="F195" s="1497">
        <f>F196/F194</f>
        <v>0.3030642419462295</v>
      </c>
      <c r="G195" s="1654"/>
    </row>
    <row r="196" spans="1:16" outlineLevel="1" x14ac:dyDescent="0.3">
      <c r="A196" s="1313" t="s">
        <v>2846</v>
      </c>
      <c r="B196" s="1505">
        <f t="shared" ref="B196:D198" si="1">B180+B188</f>
        <v>288</v>
      </c>
      <c r="C196" s="1505">
        <f t="shared" si="1"/>
        <v>3091.2309914883826</v>
      </c>
      <c r="D196" s="1505">
        <f t="shared" si="1"/>
        <v>4667.1893259719345</v>
      </c>
      <c r="E196" s="1654"/>
      <c r="F196" s="1505">
        <f>F180+F188</f>
        <v>4667.1893259719345</v>
      </c>
      <c r="G196" s="1654"/>
    </row>
    <row r="197" spans="1:16" outlineLevel="1" x14ac:dyDescent="0.3">
      <c r="A197" s="1320" t="s">
        <v>1294</v>
      </c>
      <c r="B197" s="1499">
        <f t="shared" si="1"/>
        <v>275.49314685314681</v>
      </c>
      <c r="C197" s="1499">
        <f t="shared" si="1"/>
        <v>2956.989421858013</v>
      </c>
      <c r="D197" s="1499">
        <f t="shared" si="1"/>
        <v>4464.5092860118939</v>
      </c>
      <c r="E197" s="1654"/>
      <c r="F197" s="124">
        <f>F181+F189</f>
        <v>4464.5092860118939</v>
      </c>
      <c r="G197" s="1654"/>
    </row>
    <row r="198" spans="1:16" outlineLevel="1" x14ac:dyDescent="0.3">
      <c r="A198" s="1320" t="s">
        <v>1295</v>
      </c>
      <c r="B198" s="1499">
        <f t="shared" si="1"/>
        <v>12.506853146853146</v>
      </c>
      <c r="C198" s="1499">
        <f t="shared" si="1"/>
        <v>134.24156963036981</v>
      </c>
      <c r="D198" s="1499">
        <f t="shared" si="1"/>
        <v>202.68003996004086</v>
      </c>
      <c r="E198" s="1654"/>
      <c r="F198" s="124">
        <f>F182+F190</f>
        <v>202.68003996004089</v>
      </c>
      <c r="G198" s="1654"/>
    </row>
    <row r="199" spans="1:16" outlineLevel="1" x14ac:dyDescent="0.3">
      <c r="A199" s="1320" t="s">
        <v>1296</v>
      </c>
      <c r="B199" s="1498">
        <f>B197/B194/$B$37</f>
        <v>0.38455213128579957</v>
      </c>
      <c r="C199" s="1498">
        <f>C197/C194/0.9</f>
        <v>0.21334700013405575</v>
      </c>
      <c r="D199" s="1498">
        <f>D197/D194/$B$37</f>
        <v>0.32211466710042519</v>
      </c>
      <c r="E199" s="1654"/>
      <c r="F199" s="1552">
        <f>F197/F194/$B$37</f>
        <v>0.32211466710042519</v>
      </c>
      <c r="G199" s="1654"/>
    </row>
    <row r="200" spans="1:16" outlineLevel="1" x14ac:dyDescent="0.3">
      <c r="A200" s="1320" t="s">
        <v>1297</v>
      </c>
      <c r="B200" s="1498">
        <f>B198/B194/(1-$B$37)</f>
        <v>0.15712127068910992</v>
      </c>
      <c r="C200" s="1498">
        <f>C198/C194/0.1</f>
        <v>8.7169850409331034E-2</v>
      </c>
      <c r="D200" s="1498">
        <f>D198/D194/(1-$B$37)</f>
        <v>0.13161041555846811</v>
      </c>
      <c r="E200" s="1654"/>
      <c r="F200" s="1552">
        <f>F198/F194/(1-$B$37)</f>
        <v>0.13161041555846814</v>
      </c>
      <c r="G200" s="1654"/>
    </row>
    <row r="201" spans="1:16" outlineLevel="1" x14ac:dyDescent="0.3">
      <c r="A201" s="1306"/>
      <c r="B201" s="1306"/>
      <c r="C201" s="1306"/>
      <c r="D201" s="1306"/>
      <c r="E201" s="1654"/>
      <c r="F201" s="1306"/>
      <c r="G201" s="1654"/>
    </row>
    <row r="202" spans="1:16" outlineLevel="1" x14ac:dyDescent="0.3">
      <c r="A202" s="1306" t="s">
        <v>1299</v>
      </c>
      <c r="B202" s="1541">
        <f>B98</f>
        <v>63.39</v>
      </c>
      <c r="C202" s="1541">
        <f>B202</f>
        <v>63.39</v>
      </c>
      <c r="D202" s="1493">
        <f>C202*(1+E202)^$B$32</f>
        <v>83.472524853110116</v>
      </c>
      <c r="E202" s="1655">
        <f>D98</f>
        <v>3.5000000000000003E-2</v>
      </c>
      <c r="F202" s="1493">
        <f>D202*(1+E202)</f>
        <v>86.394063222968967</v>
      </c>
      <c r="G202" s="1654"/>
    </row>
    <row r="203" spans="1:16" outlineLevel="1" x14ac:dyDescent="0.3">
      <c r="A203" s="1306" t="s">
        <v>1300</v>
      </c>
      <c r="B203" s="1541">
        <f>B99</f>
        <v>52.261183591123064</v>
      </c>
      <c r="C203" s="1541">
        <f>B203</f>
        <v>52.261183591123064</v>
      </c>
      <c r="D203" s="1493">
        <f>C203*(1+E203)^$B$32</f>
        <v>77.213570195564401</v>
      </c>
      <c r="E203" s="1655">
        <f>D99</f>
        <v>0.05</v>
      </c>
      <c r="F203" s="1493">
        <f>D203*(1+E203)</f>
        <v>81.074248705342626</v>
      </c>
      <c r="G203" s="1654"/>
    </row>
    <row r="204" spans="1:16" outlineLevel="1" x14ac:dyDescent="0.3">
      <c r="A204" s="1306"/>
      <c r="B204" s="1306"/>
      <c r="C204" s="1306"/>
      <c r="D204" s="1306"/>
      <c r="E204" s="1654"/>
      <c r="F204" s="1306"/>
      <c r="G204" s="1654"/>
    </row>
    <row r="205" spans="1:16" outlineLevel="1" x14ac:dyDescent="0.3">
      <c r="A205" s="1305" t="s">
        <v>1301</v>
      </c>
      <c r="B205" s="1494">
        <f>B181*B202*12/1000</f>
        <v>208.1068344</v>
      </c>
      <c r="C205" s="1494">
        <f>C181*C202*12/1000</f>
        <v>2175.2358487768115</v>
      </c>
      <c r="D205" s="1494">
        <f>D181*D202*12/1000</f>
        <v>4412.8334974519539</v>
      </c>
      <c r="E205" s="1654"/>
      <c r="F205" s="1494">
        <f>F181*F202*12/1000</f>
        <v>4567.2826698627723</v>
      </c>
      <c r="G205" s="1654"/>
    </row>
    <row r="206" spans="1:16" outlineLevel="1" x14ac:dyDescent="0.3">
      <c r="A206" s="1305" t="s">
        <v>1302</v>
      </c>
      <c r="B206" s="1314">
        <f>B203*B189*12/1000</f>
        <v>1.1997998271490444</v>
      </c>
      <c r="C206" s="1314">
        <f>C203*C189*12/1000</f>
        <v>61.08009520040477</v>
      </c>
      <c r="D206" s="1314">
        <f>D203*D189*12/1000</f>
        <v>54.698938541851852</v>
      </c>
      <c r="E206" s="1654"/>
      <c r="F206" s="1314">
        <f>F203*F189*12/1000</f>
        <v>57.433885468944432</v>
      </c>
      <c r="G206" s="1654"/>
    </row>
    <row r="207" spans="1:16" outlineLevel="1" x14ac:dyDescent="0.3">
      <c r="A207" s="1313" t="s">
        <v>1303</v>
      </c>
      <c r="B207" s="1507">
        <f>SUM(B205:B206)</f>
        <v>209.30663422714903</v>
      </c>
      <c r="C207" s="1507">
        <f>SUM(C205:C206)</f>
        <v>2236.3159439772162</v>
      </c>
      <c r="D207" s="1507">
        <f>SUM(D205:D206)</f>
        <v>4467.5324359938058</v>
      </c>
      <c r="E207" s="1654"/>
      <c r="F207" s="1507">
        <f>SUM(F205:F206)</f>
        <v>4624.7165553317163</v>
      </c>
      <c r="G207" s="1654"/>
    </row>
    <row r="208" spans="1:16" s="680" customFormat="1" outlineLevel="1" x14ac:dyDescent="0.3">
      <c r="A208" s="1320" t="s">
        <v>2847</v>
      </c>
      <c r="B208" s="1640">
        <f>B207/B197/12*1000</f>
        <v>63.31271655271614</v>
      </c>
      <c r="C208" s="1640">
        <f>C207/C197/12*1000</f>
        <v>63.023445610097234</v>
      </c>
      <c r="D208" s="1640">
        <f>D207/D197/12*1000</f>
        <v>83.38976264034558</v>
      </c>
      <c r="E208" s="1656"/>
      <c r="F208" s="1640">
        <f>F207/F197/12*1000</f>
        <v>86.323719268576369</v>
      </c>
      <c r="G208" s="1656"/>
      <c r="P208" s="1647"/>
    </row>
    <row r="209" spans="1:16" outlineLevel="1" x14ac:dyDescent="0.3">
      <c r="A209" s="1306"/>
      <c r="B209" s="928"/>
      <c r="C209" s="928"/>
      <c r="E209" s="1654"/>
      <c r="F209" s="1306"/>
      <c r="G209" s="1654"/>
      <c r="P209" s="1069"/>
    </row>
    <row r="210" spans="1:16" outlineLevel="1" x14ac:dyDescent="0.3">
      <c r="A210" s="1306" t="s">
        <v>1304</v>
      </c>
      <c r="B210" s="1533">
        <v>61.713000000000001</v>
      </c>
      <c r="C210" s="167">
        <f>C211*C180</f>
        <v>645.05488405797098</v>
      </c>
      <c r="D210" s="167">
        <f>D211*D180</f>
        <v>993.768115942029</v>
      </c>
      <c r="E210" s="1654"/>
      <c r="F210" s="167">
        <f>F211*F180</f>
        <v>993.768115942029</v>
      </c>
      <c r="G210" s="1654"/>
    </row>
    <row r="211" spans="1:16" outlineLevel="1" x14ac:dyDescent="0.3">
      <c r="A211" s="1320" t="s">
        <v>2880</v>
      </c>
      <c r="B211" s="1498">
        <f>B210/B180</f>
        <v>0.21577972027972028</v>
      </c>
      <c r="C211" s="1498">
        <f>B211</f>
        <v>0.21577972027972028</v>
      </c>
      <c r="D211" s="693">
        <f>C211</f>
        <v>0.21577972027972028</v>
      </c>
      <c r="E211" s="1654"/>
      <c r="F211" s="1498">
        <f>D211</f>
        <v>0.21577972027972028</v>
      </c>
      <c r="G211" s="1654"/>
    </row>
    <row r="212" spans="1:16" outlineLevel="1" x14ac:dyDescent="0.3">
      <c r="A212" s="1306"/>
      <c r="B212" s="1306"/>
      <c r="C212" s="1306"/>
      <c r="E212" s="1654"/>
      <c r="F212" s="1306"/>
      <c r="G212" s="1654"/>
    </row>
    <row r="213" spans="1:16" outlineLevel="1" x14ac:dyDescent="0.3">
      <c r="A213" s="1306" t="s">
        <v>646</v>
      </c>
      <c r="B213" s="1541">
        <f>B109</f>
        <v>130.78071707317073</v>
      </c>
      <c r="C213" s="1541">
        <f>B213</f>
        <v>130.78071707317073</v>
      </c>
      <c r="D213" s="1092">
        <f>C213*(1+E213)^$B$32</f>
        <v>178.9824417761501</v>
      </c>
      <c r="E213" s="1655">
        <f>D109</f>
        <v>0.04</v>
      </c>
      <c r="F213" s="1493">
        <f>D213*(1+E213)</f>
        <v>186.1417394471961</v>
      </c>
      <c r="G213" s="1654"/>
    </row>
    <row r="214" spans="1:16" outlineLevel="1" x14ac:dyDescent="0.3">
      <c r="A214" s="1306"/>
      <c r="B214" s="1306"/>
      <c r="C214" s="1306"/>
      <c r="E214" s="1654"/>
      <c r="F214" s="1306"/>
      <c r="G214" s="1654"/>
    </row>
    <row r="215" spans="1:16" outlineLevel="1" x14ac:dyDescent="0.3">
      <c r="A215" s="1306" t="s">
        <v>1305</v>
      </c>
      <c r="B215" s="1494">
        <f>B210*B213*12/1000</f>
        <v>96.850444712839035</v>
      </c>
      <c r="C215" s="1494">
        <f>C210*C213*12/1000</f>
        <v>1012.3288834638294</v>
      </c>
      <c r="D215" s="925">
        <f>D210*D213*12/1000</f>
        <v>2134.4045274070631</v>
      </c>
      <c r="E215" s="1654"/>
      <c r="F215" s="1494">
        <f>F210*F213*12/1000</f>
        <v>2219.7807085033455</v>
      </c>
      <c r="G215" s="1654"/>
    </row>
    <row r="216" spans="1:16" outlineLevel="1" x14ac:dyDescent="0.3">
      <c r="A216" s="1306"/>
      <c r="B216" s="1306"/>
      <c r="C216" s="1306"/>
      <c r="E216" s="1654"/>
      <c r="F216" s="1306"/>
      <c r="G216" s="1654"/>
    </row>
    <row r="217" spans="1:16" outlineLevel="1" x14ac:dyDescent="0.3">
      <c r="A217" s="1306" t="s">
        <v>1306</v>
      </c>
      <c r="B217" s="1543">
        <f>B219-B215-B207</f>
        <v>24.842921060011946</v>
      </c>
      <c r="C217" s="1543">
        <f>B217/B196*C196</f>
        <v>266.65002604100124</v>
      </c>
      <c r="D217" s="925">
        <f>C217*(1+E217)^$B$32</f>
        <v>114.78409275629718</v>
      </c>
      <c r="E217" s="1655">
        <f>D113</f>
        <v>-0.1</v>
      </c>
      <c r="F217" s="925">
        <f>D217</f>
        <v>114.78409275629718</v>
      </c>
      <c r="G217" s="1654"/>
    </row>
    <row r="218" spans="1:16" outlineLevel="1" x14ac:dyDescent="0.3">
      <c r="A218" s="1306"/>
      <c r="B218" s="1306"/>
      <c r="C218" s="1306"/>
      <c r="E218" s="1654"/>
      <c r="F218" s="1306"/>
      <c r="G218" s="1654"/>
    </row>
    <row r="219" spans="1:16" outlineLevel="1" x14ac:dyDescent="0.3">
      <c r="A219" s="1315" t="s">
        <v>1307</v>
      </c>
      <c r="B219" s="1509">
        <f>B229-B225</f>
        <v>331</v>
      </c>
      <c r="C219" s="1509">
        <f>C207+C215+C217</f>
        <v>3515.2948534820466</v>
      </c>
      <c r="D219" s="933">
        <f>D207+D215+D217</f>
        <v>6716.7210561571665</v>
      </c>
      <c r="E219" s="1654"/>
      <c r="F219" s="1509">
        <f>F207+F215+F217</f>
        <v>6959.2813565913593</v>
      </c>
      <c r="G219" s="1654"/>
    </row>
    <row r="220" spans="1:16" outlineLevel="1" x14ac:dyDescent="0.3">
      <c r="A220" s="1320" t="s">
        <v>2849</v>
      </c>
      <c r="B220" s="1640">
        <f>B219/B197*1000/12</f>
        <v>100.12348273780032</v>
      </c>
      <c r="C220" s="1640">
        <f>C219/C197*1000/12</f>
        <v>99.067394568527746</v>
      </c>
      <c r="D220" s="1640">
        <f>D219/D197*1000/12</f>
        <v>125.37251438438888</v>
      </c>
      <c r="E220" s="1657"/>
      <c r="F220" s="1500">
        <f>F219/F197*1000/12</f>
        <v>129.90007991837672</v>
      </c>
      <c r="G220" s="1654"/>
      <c r="P220" s="1636"/>
    </row>
    <row r="221" spans="1:16" outlineLevel="1" x14ac:dyDescent="0.3">
      <c r="A221" s="1320" t="s">
        <v>2850</v>
      </c>
      <c r="B221" s="1501">
        <f>B219/B194*1000/12</f>
        <v>34.652428810720266</v>
      </c>
      <c r="C221" s="1501">
        <f>C219/C194*1000/12</f>
        <v>19.022158298063022</v>
      </c>
      <c r="D221" s="1641">
        <f>D219/D194*1000/12</f>
        <v>36.345893161023632</v>
      </c>
      <c r="E221" s="1657"/>
      <c r="F221" s="1501">
        <f>F219/F194*1000/12</f>
        <v>37.658448899303892</v>
      </c>
      <c r="G221" s="1654"/>
      <c r="P221" s="1069"/>
    </row>
    <row r="222" spans="1:16" outlineLevel="1" x14ac:dyDescent="0.3">
      <c r="A222" s="1306"/>
      <c r="B222" s="1306"/>
      <c r="C222" s="1306"/>
      <c r="E222" s="1654"/>
      <c r="F222" s="1306"/>
      <c r="G222" s="1654"/>
    </row>
    <row r="223" spans="1:16" outlineLevel="1" x14ac:dyDescent="0.3">
      <c r="A223" s="1305" t="s">
        <v>2851</v>
      </c>
      <c r="B223" s="1543">
        <f>B225*B178/B194</f>
        <v>107.6608040201005</v>
      </c>
      <c r="C223" s="1543">
        <f>C225*C178/C194</f>
        <v>1125.324120603015</v>
      </c>
      <c r="D223" s="925">
        <f>B223/B225*D225</f>
        <v>2082.8849018964165</v>
      </c>
      <c r="E223" s="1654"/>
      <c r="F223" s="1494">
        <f>D223/D225*F225</f>
        <v>2082.8849018964165</v>
      </c>
      <c r="G223" s="1654"/>
    </row>
    <row r="224" spans="1:16" outlineLevel="1" x14ac:dyDescent="0.3">
      <c r="A224" s="1305" t="s">
        <v>2852</v>
      </c>
      <c r="B224" s="1557">
        <f>B225-B223</f>
        <v>30.3391959798995</v>
      </c>
      <c r="C224" s="1557">
        <f>C225-C223</f>
        <v>1544.5251256281406</v>
      </c>
      <c r="D224" s="1642">
        <f>D225-D223</f>
        <v>586.96434433473905</v>
      </c>
      <c r="E224" s="1654"/>
      <c r="F224" s="1314">
        <f>F225-F223</f>
        <v>586.96434433473905</v>
      </c>
      <c r="G224" s="1654"/>
    </row>
    <row r="225" spans="1:17" outlineLevel="1" x14ac:dyDescent="0.3">
      <c r="A225" s="1313" t="s">
        <v>2853</v>
      </c>
      <c r="B225" s="1542">
        <v>138</v>
      </c>
      <c r="C225" s="1509">
        <f>B225/B194*C194</f>
        <v>2669.8492462311556</v>
      </c>
      <c r="D225" s="1303">
        <f>C225*(1+E225)^B32</f>
        <v>2669.8492462311556</v>
      </c>
      <c r="E225" s="1655">
        <f>D121</f>
        <v>0</v>
      </c>
      <c r="F225" s="1507">
        <f>D225*(1+$B$47)</f>
        <v>2669.8492462311556</v>
      </c>
      <c r="G225" s="1654"/>
      <c r="P225" s="926"/>
      <c r="Q225" s="926"/>
    </row>
    <row r="226" spans="1:17" outlineLevel="1" x14ac:dyDescent="0.3">
      <c r="A226" s="1306"/>
      <c r="B226" s="1306"/>
      <c r="C226" s="1306"/>
      <c r="E226" s="1659"/>
      <c r="F226" s="1306"/>
      <c r="G226" s="1654"/>
      <c r="P226" s="928"/>
    </row>
    <row r="227" spans="1:17" outlineLevel="1" x14ac:dyDescent="0.3">
      <c r="A227" s="1306" t="s">
        <v>465</v>
      </c>
      <c r="B227" s="1493">
        <v>0</v>
      </c>
      <c r="C227" s="1494">
        <f>B123</f>
        <v>75</v>
      </c>
      <c r="D227" s="925">
        <f>C227</f>
        <v>75</v>
      </c>
      <c r="E227" s="1654"/>
      <c r="F227" s="1306">
        <f>D227</f>
        <v>75</v>
      </c>
      <c r="G227" s="1654"/>
    </row>
    <row r="228" spans="1:17" outlineLevel="1" x14ac:dyDescent="0.3">
      <c r="A228" s="1306"/>
      <c r="B228" s="1306"/>
      <c r="C228" s="1306"/>
      <c r="E228" s="1654"/>
      <c r="F228" s="1306"/>
      <c r="G228" s="1654"/>
    </row>
    <row r="229" spans="1:17" outlineLevel="1" x14ac:dyDescent="0.3">
      <c r="A229" s="1315" t="s">
        <v>651</v>
      </c>
      <c r="B229" s="1542">
        <v>469</v>
      </c>
      <c r="C229" s="1551">
        <f>C219+C225+C227</f>
        <v>6260.1440997132022</v>
      </c>
      <c r="D229" s="933">
        <f>D219+D225+D227</f>
        <v>9461.5703023883216</v>
      </c>
      <c r="E229" s="1654"/>
      <c r="F229" s="1509">
        <f>F219+F225+F227</f>
        <v>9704.1306028225154</v>
      </c>
      <c r="G229" s="1653">
        <f>F229/D229-1</f>
        <v>2.563636824354254E-2</v>
      </c>
      <c r="P229" s="926"/>
    </row>
    <row r="230" spans="1:17" outlineLevel="1" x14ac:dyDescent="0.3">
      <c r="A230" s="1320" t="s">
        <v>2849</v>
      </c>
      <c r="B230" s="1640">
        <f>B229/B196*1000/12</f>
        <v>135.70601851851853</v>
      </c>
      <c r="C230" s="1640">
        <f>C229/C196*1000/12</f>
        <v>168.76081936695371</v>
      </c>
      <c r="D230" s="1640">
        <f>D229/D196*1000/12</f>
        <v>168.93769178765791</v>
      </c>
      <c r="E230" s="1657"/>
      <c r="F230" s="1500">
        <f>F229/F196*1000/12</f>
        <v>173.26864066454038</v>
      </c>
      <c r="G230" s="1654"/>
    </row>
    <row r="231" spans="1:17" outlineLevel="1" x14ac:dyDescent="0.3">
      <c r="A231" s="1320" t="s">
        <v>2850</v>
      </c>
      <c r="B231" s="1501">
        <f>B229/B194*1000/12</f>
        <v>49.099664991624792</v>
      </c>
      <c r="C231" s="1501">
        <f>C229/C194*1000/12</f>
        <v>33.875238634811701</v>
      </c>
      <c r="D231" s="1641">
        <f>D229/D194*1000/12</f>
        <v>51.1989734977723</v>
      </c>
      <c r="E231" s="1657"/>
      <c r="F231" s="1501">
        <f>F229/F194*1000/12</f>
        <v>52.511529236052581</v>
      </c>
      <c r="G231" s="1654"/>
    </row>
    <row r="232" spans="1:17" outlineLevel="1" x14ac:dyDescent="0.3">
      <c r="A232" s="1306"/>
      <c r="B232" s="1306"/>
      <c r="C232" s="1306"/>
      <c r="E232" s="1654"/>
      <c r="F232" s="1306"/>
      <c r="G232" s="1654"/>
    </row>
    <row r="233" spans="1:17" outlineLevel="1" x14ac:dyDescent="0.3">
      <c r="A233" s="1306" t="s">
        <v>1322</v>
      </c>
      <c r="B233" s="1493">
        <f>B140</f>
        <v>88.780487804878064</v>
      </c>
      <c r="C233" s="1493">
        <f>B233</f>
        <v>88.780487804878064</v>
      </c>
      <c r="D233" s="1092">
        <f>C140</f>
        <v>136.98221250785741</v>
      </c>
      <c r="E233" s="1654"/>
      <c r="F233" s="1493">
        <f>D233+(F213-D213)</f>
        <v>144.14151017890342</v>
      </c>
      <c r="G233" s="1654"/>
    </row>
    <row r="234" spans="1:17" outlineLevel="1" x14ac:dyDescent="0.3">
      <c r="A234" s="1306"/>
      <c r="B234" s="1306"/>
      <c r="C234" s="1306"/>
      <c r="E234" s="1654"/>
      <c r="F234" s="1560"/>
      <c r="G234" s="1654"/>
    </row>
    <row r="235" spans="1:17" outlineLevel="1" x14ac:dyDescent="0.3">
      <c r="A235" s="1305" t="s">
        <v>1323</v>
      </c>
      <c r="B235" s="1494">
        <f>B233*B210*12/1000</f>
        <v>65.746922926829285</v>
      </c>
      <c r="C235" s="1494">
        <f>C233*C210*12/1000</f>
        <v>687.21944721102875</v>
      </c>
      <c r="D235" s="925">
        <f>D233*D210*12/1000</f>
        <v>1633.5426628980492</v>
      </c>
      <c r="E235" s="1654"/>
      <c r="F235" s="1494">
        <f>F233*F210*12/1000</f>
        <v>1718.9188439943316</v>
      </c>
      <c r="G235" s="1654"/>
    </row>
    <row r="236" spans="1:17" outlineLevel="1" x14ac:dyDescent="0.3">
      <c r="A236" s="1305" t="s">
        <v>1324</v>
      </c>
      <c r="B236" s="1519">
        <f>B237-B235</f>
        <v>113.10233307317074</v>
      </c>
      <c r="C236" s="1519">
        <f>(C240*C196*12+C241*C194*12)/1000</f>
        <v>1741.6476203357847</v>
      </c>
      <c r="D236" s="1519">
        <f>(D240*D196*12+D241*D194*12)/1000</f>
        <v>2025.3201205428243</v>
      </c>
      <c r="E236" s="1655"/>
      <c r="F236" s="1519">
        <f>(F240*F196*12+F241*F194*12)/1000</f>
        <v>2025.3201205428243</v>
      </c>
      <c r="G236" s="1655"/>
    </row>
    <row r="237" spans="1:17" outlineLevel="1" x14ac:dyDescent="0.3">
      <c r="A237" s="1313" t="s">
        <v>2881</v>
      </c>
      <c r="B237" s="1509">
        <f>B229-B243</f>
        <v>178.84925600000003</v>
      </c>
      <c r="C237" s="1509">
        <f>SUM(C235:C236)</f>
        <v>2428.8670675468134</v>
      </c>
      <c r="D237" s="933">
        <f>SUM(D235:D236)</f>
        <v>3658.8627834408735</v>
      </c>
      <c r="E237" s="1654"/>
      <c r="F237" s="1509">
        <f>SUM(F235:F236)</f>
        <v>3744.2389645371559</v>
      </c>
      <c r="G237" s="1653">
        <f>F237/D237-1</f>
        <v>2.3334075681294753E-2</v>
      </c>
    </row>
    <row r="238" spans="1:17" outlineLevel="1" x14ac:dyDescent="0.3">
      <c r="A238" s="1320" t="s">
        <v>2862</v>
      </c>
      <c r="B238" s="1501">
        <f>B236/B196*1000/12</f>
        <v>32.726369523486902</v>
      </c>
      <c r="C238" s="1501">
        <f>C236/C196*1000/12</f>
        <v>46.951296132278763</v>
      </c>
      <c r="D238" s="1641">
        <f>D236/D196*1000/12</f>
        <v>36.162380594396517</v>
      </c>
      <c r="E238" s="1653"/>
      <c r="F238" s="1501">
        <f>F236/F196*1000/12</f>
        <v>36.162380594396517</v>
      </c>
      <c r="G238" s="1654"/>
    </row>
    <row r="239" spans="1:17" outlineLevel="1" x14ac:dyDescent="0.3">
      <c r="A239" s="1320" t="s">
        <v>317</v>
      </c>
      <c r="B239" s="1501">
        <f>B236/B194*1000/12</f>
        <v>11.840696511010336</v>
      </c>
      <c r="C239" s="1501">
        <f>B239</f>
        <v>11.840696511010336</v>
      </c>
      <c r="D239" s="1641">
        <f>D236/D194*1000/12</f>
        <v>10.959524461811819</v>
      </c>
      <c r="E239" s="1653"/>
      <c r="F239" s="1501">
        <f>F236/F194*1000/12</f>
        <v>10.959524461811819</v>
      </c>
      <c r="G239" s="1654"/>
    </row>
    <row r="240" spans="1:17" s="680" customFormat="1" outlineLevel="1" x14ac:dyDescent="0.3">
      <c r="A240" s="1320" t="s">
        <v>2882</v>
      </c>
      <c r="B240" s="1579">
        <f>B50</f>
        <v>15</v>
      </c>
      <c r="C240" s="1500">
        <f>B240</f>
        <v>15</v>
      </c>
      <c r="D240" s="1500">
        <f>C240</f>
        <v>15</v>
      </c>
      <c r="E240" s="1656"/>
      <c r="F240" s="1640">
        <f>D240</f>
        <v>15</v>
      </c>
      <c r="G240" s="1656"/>
    </row>
    <row r="241" spans="1:7" s="680" customFormat="1" outlineLevel="1" x14ac:dyDescent="0.3">
      <c r="A241" s="1320" t="s">
        <v>2883</v>
      </c>
      <c r="B241" s="1501">
        <f>(B236-B240*12*B196/1000)/B194*1000/12</f>
        <v>6.4135608326183764</v>
      </c>
      <c r="C241" s="1500">
        <f>B241</f>
        <v>6.4135608326183764</v>
      </c>
      <c r="D241" s="1500">
        <f>C241</f>
        <v>6.4135608326183764</v>
      </c>
      <c r="E241" s="1656"/>
      <c r="F241" s="1640">
        <f>D241</f>
        <v>6.4135608326183764</v>
      </c>
      <c r="G241" s="1656"/>
    </row>
    <row r="242" spans="1:7" outlineLevel="1" x14ac:dyDescent="0.3">
      <c r="A242" s="1306"/>
      <c r="B242" s="1306"/>
      <c r="C242" s="1306"/>
      <c r="E242" s="1654"/>
      <c r="G242" s="1654"/>
    </row>
    <row r="243" spans="1:7" outlineLevel="1" x14ac:dyDescent="0.3">
      <c r="A243" s="1315" t="s">
        <v>2884</v>
      </c>
      <c r="B243" s="1539">
        <v>290.15074399999997</v>
      </c>
      <c r="C243" s="1567">
        <f>C229-C237</f>
        <v>3831.2770321663888</v>
      </c>
      <c r="D243" s="933">
        <f>D229-D237</f>
        <v>5802.7075189474481</v>
      </c>
      <c r="E243" s="1654"/>
      <c r="F243" s="1509">
        <f>F229-F237</f>
        <v>5959.8916382853595</v>
      </c>
      <c r="G243" s="1653">
        <f>F243/D243-1</f>
        <v>2.7088065153148211E-2</v>
      </c>
    </row>
    <row r="244" spans="1:7" outlineLevel="1" x14ac:dyDescent="0.3">
      <c r="A244" s="1320" t="s">
        <v>1326</v>
      </c>
      <c r="B244" s="1498">
        <f>B243/B229</f>
        <v>0.61865830277185496</v>
      </c>
      <c r="C244" s="1498">
        <f>C243/C229</f>
        <v>0.61201099705387174</v>
      </c>
      <c r="D244" s="1552">
        <f>D243/D229</f>
        <v>0.61329222671237871</v>
      </c>
      <c r="E244" s="1654"/>
      <c r="F244" s="1498">
        <f>F243/F229</f>
        <v>0.61416028722365734</v>
      </c>
      <c r="G244" s="1654"/>
    </row>
    <row r="245" spans="1:7" outlineLevel="1" x14ac:dyDescent="0.3">
      <c r="A245" s="1320" t="s">
        <v>2864</v>
      </c>
      <c r="B245" s="1501">
        <f>B243/B196*1000/12</f>
        <v>83.955655092592579</v>
      </c>
      <c r="C245" s="1501">
        <f>C243/C196*1000/12</f>
        <v>103.28347732439768</v>
      </c>
      <c r="D245" s="1641">
        <f>D243/D196*1000/12</f>
        <v>103.60817317210224</v>
      </c>
      <c r="E245" s="1653"/>
      <c r="F245" s="1501">
        <f>F243/F196*1000/12</f>
        <v>106.41471811738681</v>
      </c>
      <c r="G245" s="1654"/>
    </row>
    <row r="246" spans="1:7" outlineLevel="1" x14ac:dyDescent="0.3">
      <c r="A246" s="1320" t="s">
        <v>2865</v>
      </c>
      <c r="B246" s="1501">
        <f>B243/B194*1000/12</f>
        <v>30.375915410385257</v>
      </c>
      <c r="C246" s="1501">
        <f>C243/C194*1000/12</f>
        <v>20.732018572328943</v>
      </c>
      <c r="D246" s="1641">
        <f>D243/D194*1000/12</f>
        <v>31.399932461836837</v>
      </c>
      <c r="E246" s="1653"/>
      <c r="F246" s="1501">
        <f>F243/F194*1000/12</f>
        <v>32.250495878167527</v>
      </c>
      <c r="G246" s="1654"/>
    </row>
    <row r="247" spans="1:7" outlineLevel="1" x14ac:dyDescent="0.3">
      <c r="A247" s="1306"/>
      <c r="B247" s="1306"/>
      <c r="C247" s="1306"/>
      <c r="E247" s="1654"/>
      <c r="F247" s="1560"/>
      <c r="G247" s="1654"/>
    </row>
    <row r="248" spans="1:7" outlineLevel="1" x14ac:dyDescent="0.3">
      <c r="A248" s="1306" t="s">
        <v>2885</v>
      </c>
      <c r="B248" s="1494">
        <f>B229*0.1</f>
        <v>46.900000000000006</v>
      </c>
      <c r="C248" s="1494">
        <f>C249*C194/1000*12</f>
        <v>907.36180904522632</v>
      </c>
      <c r="D248" s="1494">
        <f>D249*D194/1000*12</f>
        <v>907.36180904522632</v>
      </c>
      <c r="E248" s="1655"/>
      <c r="F248" s="1494">
        <f>F249*F194/1000*12</f>
        <v>907.36180904522632</v>
      </c>
      <c r="G248" s="1653">
        <f>F248/D248-1</f>
        <v>0</v>
      </c>
    </row>
    <row r="249" spans="1:7" s="680" customFormat="1" outlineLevel="1" x14ac:dyDescent="0.3">
      <c r="A249" s="1320" t="s">
        <v>2886</v>
      </c>
      <c r="B249" s="1501">
        <f>B248/B194*1000/12</f>
        <v>4.9099664991624801</v>
      </c>
      <c r="C249" s="1501">
        <f>B249</f>
        <v>4.9099664991624801</v>
      </c>
      <c r="D249" s="1641">
        <f>C249</f>
        <v>4.9099664991624801</v>
      </c>
      <c r="E249" s="1656"/>
      <c r="F249" s="1500">
        <f>D249</f>
        <v>4.9099664991624801</v>
      </c>
      <c r="G249" s="1656"/>
    </row>
    <row r="250" spans="1:7" outlineLevel="1" x14ac:dyDescent="0.3">
      <c r="A250" s="1306"/>
      <c r="B250" s="1306"/>
      <c r="C250" s="1306"/>
      <c r="E250" s="1654"/>
      <c r="F250" s="1560"/>
      <c r="G250" s="1654"/>
    </row>
    <row r="251" spans="1:7" outlineLevel="1" x14ac:dyDescent="0.3">
      <c r="A251" s="1315" t="s">
        <v>2887</v>
      </c>
      <c r="B251" s="1507">
        <f>B243-B248</f>
        <v>243.25074399999997</v>
      </c>
      <c r="C251" s="1507">
        <f>C243-C248</f>
        <v>2923.9152231211624</v>
      </c>
      <c r="D251" s="1507">
        <f>D243-D248</f>
        <v>4895.3457099022216</v>
      </c>
      <c r="E251" s="1658"/>
      <c r="F251" s="1507">
        <f>F243-F248</f>
        <v>5052.529829240133</v>
      </c>
      <c r="G251" s="1653">
        <f>F251/D251-1</f>
        <v>3.2108890495713416E-2</v>
      </c>
    </row>
    <row r="252" spans="1:7" outlineLevel="1" x14ac:dyDescent="0.3">
      <c r="A252" s="1320" t="s">
        <v>1326</v>
      </c>
      <c r="B252" s="1552">
        <f>B251/B229</f>
        <v>0.51865830277185498</v>
      </c>
      <c r="C252" s="1552">
        <f>C251/C229</f>
        <v>0.46706835762057242</v>
      </c>
      <c r="D252" s="1498">
        <f>D251/D229</f>
        <v>0.51739252084471876</v>
      </c>
      <c r="E252" s="1654"/>
      <c r="F252" s="1498">
        <f>F251/F229</f>
        <v>0.52065764941071269</v>
      </c>
      <c r="G252" s="1654"/>
    </row>
    <row r="253" spans="1:7" outlineLevel="1" x14ac:dyDescent="0.3">
      <c r="A253" s="1320" t="s">
        <v>2864</v>
      </c>
      <c r="B253" s="1501">
        <f>B251/B196*1000/12</f>
        <v>70.385053240740731</v>
      </c>
      <c r="C253" s="1501">
        <f>C251/C196*1000/12</f>
        <v>78.822838732425168</v>
      </c>
      <c r="D253" s="1501">
        <f>D251/D196*1000/12</f>
        <v>87.407098219704451</v>
      </c>
      <c r="E253" s="1654"/>
      <c r="F253" s="1501">
        <f>F251/F196*1000/12</f>
        <v>90.213643164989037</v>
      </c>
      <c r="G253" s="1654"/>
    </row>
    <row r="254" spans="1:7" outlineLevel="1" x14ac:dyDescent="0.3">
      <c r="A254" s="1320" t="s">
        <v>2865</v>
      </c>
      <c r="B254" s="1501">
        <f>B251/B194*1000/12</f>
        <v>25.465948911222778</v>
      </c>
      <c r="C254" s="1501">
        <f>C251/C194*1000/12</f>
        <v>15.822052073166462</v>
      </c>
      <c r="D254" s="1501">
        <f>D251/D194*1000/12</f>
        <v>26.489965962674361</v>
      </c>
      <c r="E254" s="1654"/>
      <c r="F254" s="1501">
        <f>F251/F194*1000/12</f>
        <v>27.340529379005048</v>
      </c>
      <c r="G254" s="1654"/>
    </row>
    <row r="255" spans="1:7" outlineLevel="1" x14ac:dyDescent="0.3">
      <c r="A255" s="1306"/>
      <c r="B255" s="1306"/>
      <c r="C255" s="1306"/>
      <c r="D255" s="1306"/>
      <c r="E255" s="1654"/>
      <c r="F255" s="1560"/>
      <c r="G255" s="1654"/>
    </row>
    <row r="256" spans="1:7" outlineLevel="1" x14ac:dyDescent="0.3">
      <c r="A256" s="1305" t="s">
        <v>2866</v>
      </c>
      <c r="B256" s="1494">
        <v>0</v>
      </c>
      <c r="C256" s="1494">
        <f>B147</f>
        <v>1371</v>
      </c>
      <c r="D256" s="1494">
        <f>D257*$B$57/1000</f>
        <v>0</v>
      </c>
      <c r="E256" s="1654"/>
      <c r="F256" s="1494">
        <f>F257*$B$57/1000</f>
        <v>0</v>
      </c>
      <c r="G256" s="1654"/>
    </row>
    <row r="257" spans="1:7" s="680" customFormat="1" outlineLevel="1" x14ac:dyDescent="0.3">
      <c r="A257" s="1320" t="s">
        <v>326</v>
      </c>
      <c r="B257" s="1502">
        <v>0</v>
      </c>
      <c r="C257" s="1502">
        <f>B148</f>
        <v>1320</v>
      </c>
      <c r="D257" s="1503">
        <f>C148</f>
        <v>0</v>
      </c>
      <c r="E257" s="1656"/>
      <c r="F257" s="1502">
        <f>F178-D178</f>
        <v>0</v>
      </c>
      <c r="G257" s="1656"/>
    </row>
    <row r="258" spans="1:7" outlineLevel="1" x14ac:dyDescent="0.3">
      <c r="A258" s="1306"/>
      <c r="B258" s="1494"/>
      <c r="C258" s="1494"/>
      <c r="D258" s="1306"/>
      <c r="E258" s="1654"/>
      <c r="F258" s="1494"/>
      <c r="G258" s="1654"/>
    </row>
    <row r="259" spans="1:7" outlineLevel="1" x14ac:dyDescent="0.3">
      <c r="A259" s="1306" t="s">
        <v>196</v>
      </c>
      <c r="B259" s="1494">
        <f>B261*522/1000</f>
        <v>25.652124000000001</v>
      </c>
      <c r="C259" s="925">
        <f>(C260+C261)*522/1000</f>
        <v>302.1096942156521</v>
      </c>
      <c r="D259" s="925">
        <f>D260*$B$58/1000+D261*$B$61/1000</f>
        <v>296.18008695652168</v>
      </c>
      <c r="E259" s="1654"/>
      <c r="F259" s="925">
        <f>F260*$B$58/1000+F261*$B$61/1000</f>
        <v>296.18008695652168</v>
      </c>
      <c r="G259" s="1654"/>
    </row>
    <row r="260" spans="1:7" outlineLevel="1" x14ac:dyDescent="0.3">
      <c r="A260" s="680" t="s">
        <v>2867</v>
      </c>
      <c r="B260" s="1565"/>
      <c r="C260" s="1565">
        <f>C257*0.175/2</f>
        <v>115.49999999999999</v>
      </c>
      <c r="D260" s="1565">
        <f>D257*$B$38*$B$37</f>
        <v>0</v>
      </c>
      <c r="E260" s="1654"/>
      <c r="F260" s="1565">
        <f>F257*$B$38</f>
        <v>0</v>
      </c>
      <c r="G260" s="1654"/>
    </row>
    <row r="261" spans="1:7" outlineLevel="1" x14ac:dyDescent="0.3">
      <c r="A261" s="680" t="s">
        <v>2868</v>
      </c>
      <c r="B261" s="1544">
        <v>49.142000000000003</v>
      </c>
      <c r="C261" s="1565">
        <f>C181*$B$68*12</f>
        <v>463.25420347826082</v>
      </c>
      <c r="D261" s="1565">
        <f>D181*$B$68*12</f>
        <v>713.68695652173892</v>
      </c>
      <c r="E261" s="1654"/>
      <c r="F261" s="1565">
        <f>F181*$B$68*12</f>
        <v>713.68695652173892</v>
      </c>
      <c r="G261" s="1654"/>
    </row>
    <row r="262" spans="1:7" outlineLevel="1" x14ac:dyDescent="0.3">
      <c r="A262" s="1306"/>
      <c r="B262" s="1494"/>
      <c r="C262" s="1494"/>
      <c r="E262" s="1654"/>
      <c r="F262" s="1494"/>
      <c r="G262" s="1654"/>
    </row>
    <row r="263" spans="1:7" outlineLevel="1" x14ac:dyDescent="0.3">
      <c r="A263" s="1306" t="s">
        <v>2837</v>
      </c>
      <c r="B263" s="1538">
        <v>12.887</v>
      </c>
      <c r="C263" s="1465">
        <f>C265*C225</f>
        <v>249.32135678391958</v>
      </c>
      <c r="D263" s="1494">
        <f>D265*D225</f>
        <v>266.98492462311555</v>
      </c>
      <c r="E263" s="1658"/>
      <c r="F263" s="1494">
        <f>F265*F225</f>
        <v>266.98492462311555</v>
      </c>
      <c r="G263" s="1654"/>
    </row>
    <row r="264" spans="1:7" s="680" customFormat="1" outlineLevel="1" x14ac:dyDescent="0.3">
      <c r="A264" s="1320" t="s">
        <v>2869</v>
      </c>
      <c r="B264" s="1502">
        <f>B263/B194*1000</f>
        <v>16.189698492462313</v>
      </c>
      <c r="C264" s="1502">
        <f>C263/C194*1000</f>
        <v>16.189698492462309</v>
      </c>
      <c r="D264" s="1502">
        <f>D263/D194*1000</f>
        <v>17.336683417085425</v>
      </c>
      <c r="E264" s="1660"/>
      <c r="F264" s="1502">
        <f>F263/F194*1000</f>
        <v>17.336683417085425</v>
      </c>
      <c r="G264" s="1656"/>
    </row>
    <row r="265" spans="1:7" s="680" customFormat="1" outlineLevel="1" x14ac:dyDescent="0.3">
      <c r="A265" s="1320" t="s">
        <v>2870</v>
      </c>
      <c r="B265" s="1498">
        <f>B263/B225</f>
        <v>9.3384057971014497E-2</v>
      </c>
      <c r="C265" s="1498">
        <f>B265</f>
        <v>9.3384057971014497E-2</v>
      </c>
      <c r="D265" s="1648">
        <f>B63</f>
        <v>0.1</v>
      </c>
      <c r="E265" s="1656"/>
      <c r="F265" s="1504">
        <f>D265</f>
        <v>0.1</v>
      </c>
      <c r="G265" s="1656"/>
    </row>
    <row r="266" spans="1:7" outlineLevel="1" x14ac:dyDescent="0.3">
      <c r="A266" s="1306"/>
      <c r="B266" s="1494"/>
      <c r="C266" s="1494"/>
      <c r="D266" s="1306"/>
      <c r="E266" s="1654"/>
      <c r="F266" s="1494"/>
      <c r="G266" s="1654"/>
    </row>
    <row r="267" spans="1:7" outlineLevel="1" x14ac:dyDescent="0.3">
      <c r="A267" s="1306" t="s">
        <v>1613</v>
      </c>
      <c r="B267" s="925">
        <f>(B269*B178+B186*B270)/1000</f>
        <v>24.12325738017735</v>
      </c>
      <c r="C267" s="925">
        <f>(C269*C178+C186*C270)/1000</f>
        <v>600</v>
      </c>
      <c r="D267" s="925">
        <f>(D269*D178+D186*D270)/1000</f>
        <v>515.31765630261532</v>
      </c>
      <c r="E267" s="1654"/>
      <c r="F267" s="925">
        <f>(F269*F178+F186*F270)/1000</f>
        <v>515.31765630261532</v>
      </c>
      <c r="G267" s="1654"/>
    </row>
    <row r="268" spans="1:7" s="680" customFormat="1" outlineLevel="1" x14ac:dyDescent="0.3">
      <c r="A268" s="1320" t="s">
        <v>2871</v>
      </c>
      <c r="B268" s="1565">
        <f>B267/B194*1000</f>
        <v>30.305599723840892</v>
      </c>
      <c r="C268" s="1565">
        <f>C267/C194*1000</f>
        <v>38.961038961038959</v>
      </c>
      <c r="D268" s="1565">
        <f>D267/D194*1000</f>
        <v>33.462185474195799</v>
      </c>
      <c r="E268" s="1661"/>
      <c r="F268" s="1565">
        <f>F267/F194*1000</f>
        <v>33.462185474195799</v>
      </c>
      <c r="G268" s="1656"/>
    </row>
    <row r="269" spans="1:7" s="680" customFormat="1" outlineLevel="1" x14ac:dyDescent="0.3">
      <c r="A269" s="1320" t="s">
        <v>2872</v>
      </c>
      <c r="B269" s="1502">
        <f>$B$66</f>
        <v>25</v>
      </c>
      <c r="C269" s="1565">
        <f>B269</f>
        <v>25</v>
      </c>
      <c r="D269" s="1565">
        <f>C269</f>
        <v>25</v>
      </c>
      <c r="E269" s="1656"/>
      <c r="F269" s="1565">
        <f>C269</f>
        <v>25</v>
      </c>
      <c r="G269" s="1656"/>
    </row>
    <row r="270" spans="1:7" s="680" customFormat="1" outlineLevel="1" x14ac:dyDescent="0.3">
      <c r="A270" s="1320" t="s">
        <v>2873</v>
      </c>
      <c r="B270" s="1502">
        <f>$B$67</f>
        <v>49.132899315299142</v>
      </c>
      <c r="C270" s="1565">
        <f>B270</f>
        <v>49.132899315299142</v>
      </c>
      <c r="D270" s="1565">
        <f>C270</f>
        <v>49.132899315299142</v>
      </c>
      <c r="E270" s="1656"/>
      <c r="F270" s="1565">
        <f>C270</f>
        <v>49.132899315299142</v>
      </c>
      <c r="G270" s="1656"/>
    </row>
    <row r="271" spans="1:7" outlineLevel="1" x14ac:dyDescent="0.3">
      <c r="A271" s="1306"/>
      <c r="B271" s="1306"/>
      <c r="C271" s="1306"/>
      <c r="D271" s="1306"/>
      <c r="E271" s="1654"/>
      <c r="F271" s="1306"/>
      <c r="G271" s="1654"/>
    </row>
    <row r="272" spans="1:7" outlineLevel="1" x14ac:dyDescent="0.3">
      <c r="A272" s="1315" t="s">
        <v>198</v>
      </c>
      <c r="B272" s="1505">
        <f>B256+B259+B263+B267</f>
        <v>62.662381380177351</v>
      </c>
      <c r="C272" s="1505">
        <f>C256+C259+C263+C267</f>
        <v>2522.4310509995717</v>
      </c>
      <c r="D272" s="1505">
        <f>D256+D259+D263+D267</f>
        <v>1078.4826678822524</v>
      </c>
      <c r="E272" s="1654"/>
      <c r="F272" s="1505">
        <f>F256+F259+F263+F267</f>
        <v>1078.4826678822524</v>
      </c>
      <c r="G272" s="1654"/>
    </row>
    <row r="273" spans="1:19" s="680" customFormat="1" outlineLevel="1" x14ac:dyDescent="0.3">
      <c r="A273" s="1320" t="s">
        <v>1328</v>
      </c>
      <c r="B273" s="1498">
        <f>B272/B229</f>
        <v>0.13360848908353379</v>
      </c>
      <c r="C273" s="1498">
        <f>C272/C229</f>
        <v>0.40293498213805212</v>
      </c>
      <c r="D273" s="1498">
        <f>D272/D229</f>
        <v>0.1139855894332908</v>
      </c>
      <c r="E273" s="1656"/>
      <c r="F273" s="1498">
        <f>F272/F229</f>
        <v>0.11113645436393529</v>
      </c>
      <c r="G273" s="1656"/>
    </row>
    <row r="274" spans="1:19" s="680" customFormat="1" outlineLevel="1" x14ac:dyDescent="0.3">
      <c r="A274" s="1320" t="s">
        <v>1329</v>
      </c>
      <c r="B274" s="1502">
        <f>B272/B194*1000</f>
        <v>78.721584648464002</v>
      </c>
      <c r="C274" s="1502">
        <f>C272/C194*1000</f>
        <v>163.79422409088127</v>
      </c>
      <c r="D274" s="1502">
        <f>D272/D194*1000</f>
        <v>70.031342070276125</v>
      </c>
      <c r="E274" s="1656"/>
      <c r="F274" s="1502">
        <f>F272/F194*1000</f>
        <v>70.031342070276125</v>
      </c>
      <c r="G274" s="1656"/>
    </row>
    <row r="275" spans="1:19" outlineLevel="1" x14ac:dyDescent="0.3">
      <c r="A275" s="1306"/>
      <c r="B275" s="1306"/>
      <c r="C275" s="1306"/>
      <c r="D275" s="1306"/>
      <c r="E275" s="1654"/>
      <c r="F275" s="1306"/>
      <c r="G275" s="1654"/>
    </row>
    <row r="276" spans="1:19" outlineLevel="1" x14ac:dyDescent="0.3">
      <c r="A276" s="1315" t="s">
        <v>642</v>
      </c>
      <c r="B276" s="1505">
        <f>B251-B272</f>
        <v>180.58836261982262</v>
      </c>
      <c r="C276" s="1505">
        <f>C251-C272</f>
        <v>401.48417212159075</v>
      </c>
      <c r="D276" s="1505">
        <f>D251-D272</f>
        <v>3816.8630420199693</v>
      </c>
      <c r="E276" s="1654"/>
      <c r="F276" s="1505">
        <f>F251-F272</f>
        <v>3974.0471613578807</v>
      </c>
      <c r="G276" s="1653">
        <f>F276/D276-1</f>
        <v>4.1181493181040585E-2</v>
      </c>
    </row>
    <row r="277" spans="1:19" s="680" customFormat="1" outlineLevel="1" x14ac:dyDescent="0.3">
      <c r="A277" s="1320" t="s">
        <v>1331</v>
      </c>
      <c r="B277" s="1498">
        <f>B276/B229</f>
        <v>0.38504981368832114</v>
      </c>
      <c r="C277" s="1498">
        <f>C276/C229</f>
        <v>6.4133375482520294E-2</v>
      </c>
      <c r="D277" s="1498">
        <f>D276/D229</f>
        <v>0.40340693141142797</v>
      </c>
      <c r="E277" s="1656"/>
      <c r="F277" s="1498">
        <f>F276/F229</f>
        <v>0.40952119504677736</v>
      </c>
      <c r="G277" s="1656"/>
    </row>
    <row r="278" spans="1:19" s="680" customFormat="1" outlineLevel="1" x14ac:dyDescent="0.3">
      <c r="A278" s="1320" t="s">
        <v>2875</v>
      </c>
      <c r="B278" s="1501">
        <f>B276/B196/12*1000</f>
        <v>52.253577146939421</v>
      </c>
      <c r="C278" s="1501">
        <f>C276/C196/12*1000</f>
        <v>10.823200995198624</v>
      </c>
      <c r="D278" s="1501">
        <f>D276/D196/12*1000</f>
        <v>68.150635843788663</v>
      </c>
      <c r="E278" s="1660"/>
      <c r="F278" s="1501">
        <f>F276/F196/12*1000</f>
        <v>70.957180789073234</v>
      </c>
      <c r="G278" s="1656"/>
    </row>
    <row r="279" spans="1:19" s="680" customFormat="1" outlineLevel="1" x14ac:dyDescent="0.3">
      <c r="A279" s="1320" t="s">
        <v>2876</v>
      </c>
      <c r="B279" s="1501">
        <f>B276/B194*1000/12</f>
        <v>18.90581685718411</v>
      </c>
      <c r="C279" s="1501">
        <f>C276/C194*1000/12</f>
        <v>2.1725333989263569</v>
      </c>
      <c r="D279" s="1501">
        <f>D276/D194*1000/12</f>
        <v>20.65402079015135</v>
      </c>
      <c r="E279" s="1660"/>
      <c r="F279" s="1501">
        <f>F276/F194*1000/12</f>
        <v>21.504584206482036</v>
      </c>
      <c r="G279" s="1656"/>
    </row>
    <row r="280" spans="1:19" outlineLevel="1" x14ac:dyDescent="0.3">
      <c r="G280" s="1654"/>
    </row>
    <row r="281" spans="1:19" outlineLevel="1" x14ac:dyDescent="0.3">
      <c r="A281" s="1091"/>
      <c r="B281" s="1091"/>
      <c r="C281" s="1091"/>
      <c r="D281" s="1091"/>
      <c r="E281" s="1091"/>
      <c r="F281" s="1091"/>
      <c r="G281" s="1091"/>
      <c r="H281" s="1091"/>
      <c r="I281" s="1091"/>
      <c r="J281" s="1091"/>
      <c r="K281" s="1091"/>
      <c r="L281" s="1091"/>
      <c r="M281" s="1091"/>
      <c r="N281" s="1091"/>
      <c r="O281" s="1091"/>
      <c r="P281" s="1091"/>
      <c r="Q281" s="1091"/>
      <c r="R281" s="1091"/>
      <c r="S281" s="1091"/>
    </row>
    <row r="283" spans="1:19" x14ac:dyDescent="0.3">
      <c r="A283" s="1534" t="s">
        <v>2888</v>
      </c>
      <c r="B283" s="1055"/>
      <c r="C283" s="1055"/>
      <c r="D283" s="1055"/>
      <c r="E283" s="1055"/>
      <c r="F283" s="1055"/>
      <c r="G283" s="1055"/>
      <c r="H283" s="1055"/>
      <c r="I283" s="1055"/>
      <c r="J283" s="1055"/>
      <c r="K283" s="1055"/>
      <c r="L283" s="1055"/>
      <c r="M283" s="1055"/>
      <c r="N283" s="1055"/>
      <c r="O283" s="1055"/>
      <c r="P283" s="1055"/>
      <c r="Q283" s="1055"/>
      <c r="R283" s="1055"/>
      <c r="S283" s="1055"/>
    </row>
    <row r="284" spans="1:19" hidden="1" outlineLevel="1" x14ac:dyDescent="0.3"/>
    <row r="285" spans="1:19" hidden="1" outlineLevel="1" x14ac:dyDescent="0.3">
      <c r="B285" s="1492">
        <v>2020</v>
      </c>
      <c r="C285" s="1492">
        <v>2023</v>
      </c>
      <c r="D285" s="1537" t="s">
        <v>2842</v>
      </c>
      <c r="E285" s="1652" t="s">
        <v>2889</v>
      </c>
      <c r="F285" s="1652" t="str">
        <f>_xlfn.CONCAT(C285,"-",B33," CAGR")</f>
        <v>2023-2031 CAGR</v>
      </c>
      <c r="G285" s="1492" t="s">
        <v>2843</v>
      </c>
      <c r="H285" s="1652" t="s">
        <v>2844</v>
      </c>
    </row>
    <row r="286" spans="1:19" hidden="1" outlineLevel="1" x14ac:dyDescent="0.3">
      <c r="A286" s="1305" t="s">
        <v>780</v>
      </c>
      <c r="B286" s="1514">
        <f>Drivers!ED82</f>
        <v>3223</v>
      </c>
      <c r="C286" s="1514">
        <f>Drivers!ES82</f>
        <v>3223</v>
      </c>
      <c r="D286" s="929">
        <f>D178</f>
        <v>10000</v>
      </c>
      <c r="E286" s="1653">
        <f>(C286/B286)^(1/($C$285-$B$285))-1</f>
        <v>0</v>
      </c>
      <c r="F286" s="1653">
        <f>(D286/C286)^(1/($B$33-$C$285))-1</f>
        <v>0.15203974352939742</v>
      </c>
      <c r="G286" s="1543">
        <f>G302-G294</f>
        <v>10000</v>
      </c>
      <c r="H286" s="1654"/>
    </row>
    <row r="287" spans="1:19" hidden="1" outlineLevel="1" x14ac:dyDescent="0.3">
      <c r="A287" s="1305" t="s">
        <v>1292</v>
      </c>
      <c r="B287" s="1497">
        <f>B288/B286</f>
        <v>0.41199999999999998</v>
      </c>
      <c r="C287" s="1497">
        <f>C288/C286</f>
        <v>0.44500000000000006</v>
      </c>
      <c r="D287" s="1558">
        <f>C287</f>
        <v>0.44500000000000006</v>
      </c>
      <c r="E287" s="1653"/>
      <c r="F287" s="1653"/>
      <c r="G287" s="1497">
        <f>D287</f>
        <v>0.44500000000000006</v>
      </c>
      <c r="H287" s="1654"/>
    </row>
    <row r="288" spans="1:19" hidden="1" outlineLevel="1" x14ac:dyDescent="0.3">
      <c r="A288" s="1313" t="s">
        <v>1293</v>
      </c>
      <c r="B288" s="1512">
        <f>Drivers!ED149</f>
        <v>1327.876</v>
      </c>
      <c r="C288" s="1512">
        <f>Drivers!ES149</f>
        <v>1434.2350000000001</v>
      </c>
      <c r="D288" s="925">
        <f>D286*D287</f>
        <v>4450.0000000000009</v>
      </c>
      <c r="E288" s="1653">
        <f>(C288/B288)^(1/($C$285-$B$285))-1</f>
        <v>2.6016310988927094E-2</v>
      </c>
      <c r="F288" s="1653">
        <f>(D288/C288)^(1/($B$33-$C$285))-1</f>
        <v>0.15203974352939742</v>
      </c>
      <c r="G288" s="1506">
        <f>G286*G287</f>
        <v>4450.0000000000009</v>
      </c>
      <c r="H288" s="1654"/>
    </row>
    <row r="289" spans="1:8" hidden="1" outlineLevel="1" x14ac:dyDescent="0.3">
      <c r="A289" s="1320" t="s">
        <v>1294</v>
      </c>
      <c r="B289" s="1540">
        <f>B288-B290</f>
        <v>1231.5463838017527</v>
      </c>
      <c r="C289" s="169">
        <f>C286*C291*$B$37</f>
        <v>1330.189662115971</v>
      </c>
      <c r="D289" s="169">
        <f>D286*D291*$B$37</f>
        <v>4127.1785979397173</v>
      </c>
      <c r="E289" s="1653">
        <f>(C289/B289)^(1/($C$285-$B$285))-1</f>
        <v>2.6016310988927316E-2</v>
      </c>
      <c r="F289" s="1653">
        <f>(D289/C289)^(1/($B$33-$C$285))-1</f>
        <v>0.15203974352939742</v>
      </c>
      <c r="G289" s="1563">
        <f>G286*G291*$B$37</f>
        <v>4127.1785979397173</v>
      </c>
      <c r="H289" s="1654"/>
    </row>
    <row r="290" spans="1:8" hidden="1" outlineLevel="1" x14ac:dyDescent="0.3">
      <c r="A290" s="1320" t="s">
        <v>1295</v>
      </c>
      <c r="B290" s="1499">
        <f>B292*B286*0.1</f>
        <v>96.329616198247209</v>
      </c>
      <c r="C290" s="124">
        <f>C288-C289</f>
        <v>104.0453378840291</v>
      </c>
      <c r="D290" s="1499">
        <f>D288-D289</f>
        <v>322.82140206028362</v>
      </c>
      <c r="E290" s="1653">
        <f>(C290/B290)^(1/($C$285-$B$285))-1</f>
        <v>2.6016310988926872E-2</v>
      </c>
      <c r="F290" s="1653">
        <f>(D290/C290)^(1/($B$33-$C$285))-1</f>
        <v>0.15203974352939786</v>
      </c>
      <c r="G290" s="124">
        <f>G288-G289</f>
        <v>322.82140206028362</v>
      </c>
      <c r="H290" s="1654"/>
    </row>
    <row r="291" spans="1:8" hidden="1" outlineLevel="1" x14ac:dyDescent="0.3">
      <c r="A291" s="1320" t="s">
        <v>1296</v>
      </c>
      <c r="B291" s="1498">
        <f>B289/B286/$B$37</f>
        <v>0.42456868473187598</v>
      </c>
      <c r="C291" s="1552">
        <f>B291/B287*C287</f>
        <v>0.45857539977107975</v>
      </c>
      <c r="D291" s="1498">
        <f>C291</f>
        <v>0.45857539977107975</v>
      </c>
      <c r="E291" s="1653"/>
      <c r="F291" s="1653"/>
      <c r="G291" s="1552">
        <f>D291</f>
        <v>0.45857539977107975</v>
      </c>
      <c r="H291" s="1654"/>
    </row>
    <row r="292" spans="1:8" hidden="1" outlineLevel="1" x14ac:dyDescent="0.3">
      <c r="A292" s="1320" t="s">
        <v>1297</v>
      </c>
      <c r="B292" s="1547">
        <f>Drivers!ED143/0.1</f>
        <v>0.29888183741311575</v>
      </c>
      <c r="C292" s="1552">
        <f>C290/C286/(1-$B$37)</f>
        <v>0.3228214020602827</v>
      </c>
      <c r="D292" s="1498">
        <f>D290/D286/(1-$B$37)</f>
        <v>0.3228214020602837</v>
      </c>
      <c r="E292" s="1653"/>
      <c r="F292" s="1653"/>
      <c r="G292" s="1498">
        <f>G290/G286/(1-$B$37)</f>
        <v>0.3228214020602837</v>
      </c>
      <c r="H292" s="1654"/>
    </row>
    <row r="293" spans="1:8" hidden="1" outlineLevel="1" x14ac:dyDescent="0.3">
      <c r="A293" s="1306"/>
      <c r="B293" s="1306"/>
      <c r="C293" s="1306"/>
      <c r="E293" s="1653"/>
      <c r="F293" s="1653"/>
      <c r="G293" s="1306"/>
      <c r="H293" s="1654"/>
    </row>
    <row r="294" spans="1:8" hidden="1" outlineLevel="1" x14ac:dyDescent="0.3">
      <c r="A294" s="1305" t="s">
        <v>782</v>
      </c>
      <c r="B294" s="1494">
        <v>0</v>
      </c>
      <c r="C294" s="1494">
        <v>0</v>
      </c>
      <c r="D294" s="929">
        <f>D186</f>
        <v>5400</v>
      </c>
      <c r="E294" s="1653"/>
      <c r="F294" s="1653"/>
      <c r="G294" s="1543">
        <f>D294</f>
        <v>5400</v>
      </c>
      <c r="H294" s="1654"/>
    </row>
    <row r="295" spans="1:8" hidden="1" outlineLevel="1" x14ac:dyDescent="0.3">
      <c r="A295" s="1305" t="s">
        <v>1292</v>
      </c>
      <c r="B295" s="1497">
        <v>0</v>
      </c>
      <c r="C295" s="1497">
        <v>0</v>
      </c>
      <c r="D295" s="1558">
        <f>C83</f>
        <v>0.02</v>
      </c>
      <c r="E295" s="1653"/>
      <c r="F295" s="1653"/>
      <c r="G295" s="1497">
        <f>D295</f>
        <v>0.02</v>
      </c>
      <c r="H295" s="1654"/>
    </row>
    <row r="296" spans="1:8" hidden="1" outlineLevel="1" x14ac:dyDescent="0.3">
      <c r="A296" s="1313" t="s">
        <v>1298</v>
      </c>
      <c r="B296" s="1539">
        <v>0</v>
      </c>
      <c r="C296" s="1539">
        <v>0</v>
      </c>
      <c r="D296" s="925">
        <f>D294*D295</f>
        <v>108</v>
      </c>
      <c r="E296" s="1653"/>
      <c r="F296" s="1653"/>
      <c r="G296" s="1507">
        <f>G294*G295</f>
        <v>108</v>
      </c>
      <c r="H296" s="1654"/>
    </row>
    <row r="297" spans="1:8" hidden="1" outlineLevel="1" x14ac:dyDescent="0.3">
      <c r="A297" s="1320" t="s">
        <v>1294</v>
      </c>
      <c r="B297" s="1545">
        <v>0</v>
      </c>
      <c r="C297" s="1545">
        <v>0</v>
      </c>
      <c r="D297" s="1540">
        <f>D294*D299*$B$37</f>
        <v>97.2</v>
      </c>
      <c r="E297" s="1653"/>
      <c r="F297" s="1653"/>
      <c r="G297" s="1563">
        <f>G294*G299*$B$37</f>
        <v>97.2</v>
      </c>
      <c r="H297" s="1654"/>
    </row>
    <row r="298" spans="1:8" hidden="1" outlineLevel="1" x14ac:dyDescent="0.3">
      <c r="A298" s="1320" t="s">
        <v>1295</v>
      </c>
      <c r="B298" s="1545">
        <v>0</v>
      </c>
      <c r="C298" s="1545">
        <v>0</v>
      </c>
      <c r="D298" s="1499">
        <f>D296-D297</f>
        <v>10.799999999999997</v>
      </c>
      <c r="E298" s="1653"/>
      <c r="F298" s="1653"/>
      <c r="G298" s="124">
        <f>G296-G297</f>
        <v>10.799999999999997</v>
      </c>
      <c r="H298" s="1654"/>
    </row>
    <row r="299" spans="1:8" hidden="1" outlineLevel="1" x14ac:dyDescent="0.3">
      <c r="A299" s="1320" t="s">
        <v>1296</v>
      </c>
      <c r="B299" s="1498">
        <v>0</v>
      </c>
      <c r="C299" s="1498">
        <v>0</v>
      </c>
      <c r="D299" s="1498">
        <f>D295</f>
        <v>0.02</v>
      </c>
      <c r="E299" s="1653"/>
      <c r="F299" s="1653"/>
      <c r="G299" s="1552">
        <f>$B$39</f>
        <v>0.02</v>
      </c>
      <c r="H299" s="1654"/>
    </row>
    <row r="300" spans="1:8" hidden="1" outlineLevel="1" x14ac:dyDescent="0.3">
      <c r="A300" s="1320" t="s">
        <v>1297</v>
      </c>
      <c r="B300" s="1498">
        <v>0</v>
      </c>
      <c r="C300" s="1498">
        <v>0</v>
      </c>
      <c r="D300" s="1498">
        <f>D298/D294/(1-$B$37)</f>
        <v>0.02</v>
      </c>
      <c r="E300" s="1653"/>
      <c r="F300" s="1653"/>
      <c r="G300" s="1552">
        <f>$B$39</f>
        <v>0.02</v>
      </c>
      <c r="H300" s="1654"/>
    </row>
    <row r="301" spans="1:8" hidden="1" outlineLevel="1" x14ac:dyDescent="0.3">
      <c r="A301" s="1306"/>
      <c r="B301" s="1306"/>
      <c r="C301" s="1306"/>
      <c r="E301" s="1653"/>
      <c r="F301" s="1653"/>
      <c r="G301" s="1306"/>
      <c r="H301" s="1654"/>
    </row>
    <row r="302" spans="1:8" hidden="1" outlineLevel="1" x14ac:dyDescent="0.3">
      <c r="A302" s="1305" t="s">
        <v>2845</v>
      </c>
      <c r="B302" s="1494">
        <f>B286+B294</f>
        <v>3223</v>
      </c>
      <c r="C302" s="1494">
        <f>C286+C294</f>
        <v>3223</v>
      </c>
      <c r="D302" s="1494">
        <f>D286+D294</f>
        <v>15400</v>
      </c>
      <c r="E302" s="1653"/>
      <c r="F302" s="1653"/>
      <c r="G302" s="1543">
        <f>D302*(1+$B$36)</f>
        <v>15400</v>
      </c>
      <c r="H302" s="1659"/>
    </row>
    <row r="303" spans="1:8" hidden="1" outlineLevel="1" x14ac:dyDescent="0.3">
      <c r="A303" s="1305" t="s">
        <v>1292</v>
      </c>
      <c r="B303" s="1497">
        <f>B304/B302</f>
        <v>0.41199999999999998</v>
      </c>
      <c r="C303" s="1497">
        <f>C304/C302</f>
        <v>0.44500000000000006</v>
      </c>
      <c r="D303" s="1497">
        <f>D304/D302</f>
        <v>0.29597402597402606</v>
      </c>
      <c r="E303" s="1653"/>
      <c r="F303" s="1653"/>
      <c r="G303" s="1497">
        <f>G304/G302</f>
        <v>0.29597402597402606</v>
      </c>
      <c r="H303" s="1654"/>
    </row>
    <row r="304" spans="1:8" hidden="1" outlineLevel="1" x14ac:dyDescent="0.3">
      <c r="A304" s="1313" t="s">
        <v>2846</v>
      </c>
      <c r="B304" s="1505">
        <f t="shared" ref="B304:D306" si="2">B288+B296</f>
        <v>1327.876</v>
      </c>
      <c r="C304" s="1505">
        <f t="shared" si="2"/>
        <v>1434.2350000000001</v>
      </c>
      <c r="D304" s="1505">
        <f t="shared" si="2"/>
        <v>4558.0000000000009</v>
      </c>
      <c r="E304" s="1653"/>
      <c r="F304" s="1653"/>
      <c r="G304" s="1505">
        <f>G288+G296</f>
        <v>4558.0000000000009</v>
      </c>
      <c r="H304" s="1654"/>
    </row>
    <row r="305" spans="1:8" hidden="1" outlineLevel="1" x14ac:dyDescent="0.3">
      <c r="A305" s="1320" t="s">
        <v>1294</v>
      </c>
      <c r="B305" s="1499">
        <f t="shared" si="2"/>
        <v>1231.5463838017527</v>
      </c>
      <c r="C305" s="124">
        <f t="shared" si="2"/>
        <v>1330.189662115971</v>
      </c>
      <c r="D305" s="1499">
        <f t="shared" si="2"/>
        <v>4224.3785979397171</v>
      </c>
      <c r="E305" s="1653"/>
      <c r="F305" s="1653"/>
      <c r="G305" s="124">
        <f>G289+G297</f>
        <v>4224.3785979397171</v>
      </c>
      <c r="H305" s="1654"/>
    </row>
    <row r="306" spans="1:8" hidden="1" outlineLevel="1" x14ac:dyDescent="0.3">
      <c r="A306" s="1320" t="s">
        <v>1295</v>
      </c>
      <c r="B306" s="1499">
        <f t="shared" si="2"/>
        <v>96.329616198247209</v>
      </c>
      <c r="C306" s="124">
        <f t="shared" si="2"/>
        <v>104.0453378840291</v>
      </c>
      <c r="D306" s="1499">
        <f t="shared" si="2"/>
        <v>333.62140206028363</v>
      </c>
      <c r="E306" s="1653"/>
      <c r="F306" s="1653"/>
      <c r="G306" s="124">
        <f>G290+G298</f>
        <v>333.62140206028363</v>
      </c>
      <c r="H306" s="1654"/>
    </row>
    <row r="307" spans="1:8" hidden="1" outlineLevel="1" x14ac:dyDescent="0.3">
      <c r="A307" s="1320" t="s">
        <v>1296</v>
      </c>
      <c r="B307" s="1498">
        <f>B305/B302/$B$37</f>
        <v>0.42456868473187598</v>
      </c>
      <c r="C307" s="1498">
        <f>C305/C302/$B$37</f>
        <v>0.45857539977107975</v>
      </c>
      <c r="D307" s="1498">
        <f>D305/D302/$B$37</f>
        <v>0.30478922063057123</v>
      </c>
      <c r="E307" s="1653"/>
      <c r="F307" s="1653"/>
      <c r="G307" s="1552">
        <f>G305/G302/$B$37</f>
        <v>0.30478922063057123</v>
      </c>
      <c r="H307" s="1654"/>
    </row>
    <row r="308" spans="1:8" hidden="1" outlineLevel="1" x14ac:dyDescent="0.3">
      <c r="A308" s="1320" t="s">
        <v>1297</v>
      </c>
      <c r="B308" s="1498">
        <f>B306/B302/(1-$B$37)</f>
        <v>0.29888183741311586</v>
      </c>
      <c r="C308" s="1498">
        <f>C306/C302/(1-$B$37)</f>
        <v>0.3228214020602827</v>
      </c>
      <c r="D308" s="1498">
        <f>D306/D302/(1-$B$37)</f>
        <v>0.21663727406511929</v>
      </c>
      <c r="E308" s="1653"/>
      <c r="F308" s="1653"/>
      <c r="G308" s="1552">
        <f>G306/G302/(1-$B$37)</f>
        <v>0.21663727406511929</v>
      </c>
      <c r="H308" s="1654"/>
    </row>
    <row r="309" spans="1:8" hidden="1" outlineLevel="1" x14ac:dyDescent="0.3">
      <c r="A309" s="1306"/>
      <c r="B309" s="1306"/>
      <c r="C309" s="1306"/>
      <c r="E309" s="1653"/>
      <c r="F309" s="1653"/>
      <c r="G309" s="1306"/>
      <c r="H309" s="1654"/>
    </row>
    <row r="310" spans="1:8" hidden="1" outlineLevel="1" x14ac:dyDescent="0.3">
      <c r="A310" s="1306" t="s">
        <v>1299</v>
      </c>
      <c r="B310" s="1515">
        <f>Drivers!ED186</f>
        <v>57.762336094916648</v>
      </c>
      <c r="C310" s="1515">
        <f>Drivers!ES186</f>
        <v>63.39</v>
      </c>
      <c r="D310" s="928">
        <f>D202</f>
        <v>83.472524853110116</v>
      </c>
      <c r="E310" s="1653">
        <f>(C310/B310)^(1/($C$285-$B$285))-1</f>
        <v>3.1474907721690037E-2</v>
      </c>
      <c r="F310" s="1653">
        <f>(D310/C310)^(1/($B$33-$C$285))-1</f>
        <v>3.499999999999992E-2</v>
      </c>
      <c r="G310" s="1493">
        <f>D310*(1+F310)</f>
        <v>86.394063222968967</v>
      </c>
      <c r="H310" s="1654"/>
    </row>
    <row r="311" spans="1:8" hidden="1" outlineLevel="1" x14ac:dyDescent="0.3">
      <c r="A311" s="1306" t="s">
        <v>1300</v>
      </c>
      <c r="B311" s="1515">
        <f>Drivers!ED323</f>
        <v>41.953646922183502</v>
      </c>
      <c r="C311" s="1515">
        <f>Drivers!ES323</f>
        <v>52.261183591123064</v>
      </c>
      <c r="D311" s="928">
        <f>D203</f>
        <v>77.213570195564401</v>
      </c>
      <c r="E311" s="1653">
        <f>(C311/B311)^(1/($C$285-$B$285))-1</f>
        <v>7.5977461133211799E-2</v>
      </c>
      <c r="F311" s="1653">
        <f>(D311/C311)^(1/($B$33-$C$285))-1</f>
        <v>5.0000000000000044E-2</v>
      </c>
      <c r="G311" s="1493">
        <f>D311*(1+F311)</f>
        <v>81.074248705342626</v>
      </c>
      <c r="H311" s="1654"/>
    </row>
    <row r="312" spans="1:8" hidden="1" outlineLevel="1" x14ac:dyDescent="0.3">
      <c r="A312" s="1306"/>
      <c r="B312" s="1306"/>
      <c r="C312" s="1306"/>
      <c r="E312" s="1653"/>
      <c r="F312" s="1653"/>
      <c r="G312" s="1306"/>
      <c r="H312" s="1654"/>
    </row>
    <row r="313" spans="1:8" hidden="1" outlineLevel="1" x14ac:dyDescent="0.3">
      <c r="A313" s="1305" t="s">
        <v>1301</v>
      </c>
      <c r="B313" s="1494">
        <f>B289*B310*12/1000</f>
        <v>853.6439536516325</v>
      </c>
      <c r="C313" s="1494">
        <f>C289*C310*12/1000</f>
        <v>1011.8486721783769</v>
      </c>
      <c r="D313" s="1494">
        <f>D289*D310*12/1000</f>
        <v>4134.0722170769668</v>
      </c>
      <c r="E313" s="1653"/>
      <c r="F313" s="1653"/>
      <c r="G313" s="1494">
        <f>G289*G310*12/1000</f>
        <v>4278.7647446746605</v>
      </c>
      <c r="H313" s="1654"/>
    </row>
    <row r="314" spans="1:8" hidden="1" outlineLevel="1" x14ac:dyDescent="0.3">
      <c r="A314" s="1305" t="s">
        <v>1302</v>
      </c>
      <c r="B314" s="1314">
        <f>B311*B297*12/1000</f>
        <v>0</v>
      </c>
      <c r="C314" s="1314">
        <f>C311*C297*12/1000</f>
        <v>0</v>
      </c>
      <c r="D314" s="1314">
        <f>D311*D297*12/1000</f>
        <v>90.061908276106323</v>
      </c>
      <c r="E314" s="1653"/>
      <c r="F314" s="1653"/>
      <c r="G314" s="1314">
        <f>G311*G297*12/1000</f>
        <v>94.565003689911634</v>
      </c>
      <c r="H314" s="1654"/>
    </row>
    <row r="315" spans="1:8" hidden="1" outlineLevel="1" x14ac:dyDescent="0.3">
      <c r="A315" s="1313" t="s">
        <v>1303</v>
      </c>
      <c r="B315" s="1507">
        <f>SUM(B313:B314)</f>
        <v>853.6439536516325</v>
      </c>
      <c r="C315" s="1507">
        <f>SUM(C313:C314)</f>
        <v>1011.8486721783769</v>
      </c>
      <c r="D315" s="1507">
        <f>SUM(D313:D314)</f>
        <v>4224.1341253530727</v>
      </c>
      <c r="E315" s="1653"/>
      <c r="F315" s="1653"/>
      <c r="G315" s="1507">
        <f>SUM(G313:G314)</f>
        <v>4373.329748364572</v>
      </c>
      <c r="H315" s="1654"/>
    </row>
    <row r="316" spans="1:8" hidden="1" outlineLevel="1" x14ac:dyDescent="0.3">
      <c r="A316" s="1306"/>
      <c r="B316" s="1306"/>
      <c r="C316" s="1306"/>
      <c r="E316" s="1653"/>
      <c r="F316" s="1653"/>
      <c r="G316" s="1306"/>
      <c r="H316" s="1654"/>
    </row>
    <row r="317" spans="1:8" hidden="1" outlineLevel="1" x14ac:dyDescent="0.3">
      <c r="A317" s="1306" t="s">
        <v>1304</v>
      </c>
      <c r="B317" s="1518">
        <f>Drivers!ED126</f>
        <v>400</v>
      </c>
      <c r="C317" s="179">
        <f>B317*Drivers!ES126/Drivers!ED126*0.9</f>
        <v>182.70000000000002</v>
      </c>
      <c r="D317" s="925">
        <f>D318*D304</f>
        <v>580.62074904042936</v>
      </c>
      <c r="E317" s="1653">
        <f>(C317/B317)^(1/($C$285-$B$285))-1</f>
        <v>-0.22987802011160963</v>
      </c>
      <c r="F317" s="1653">
        <f>(D317/C317)^(1/($B$33-$C$285))-1</f>
        <v>0.15549813949450653</v>
      </c>
      <c r="G317" s="1494">
        <f>G318*G304</f>
        <v>580.62074904042936</v>
      </c>
      <c r="H317" s="1654"/>
    </row>
    <row r="318" spans="1:8" hidden="1" outlineLevel="1" x14ac:dyDescent="0.3">
      <c r="A318" s="1320" t="s">
        <v>2890</v>
      </c>
      <c r="B318" s="1498">
        <f>B317/B304</f>
        <v>0.30123294644981913</v>
      </c>
      <c r="C318" s="1498">
        <f>C317/C304</f>
        <v>0.12738498223791778</v>
      </c>
      <c r="D318" s="693">
        <f>C318</f>
        <v>0.12738498223791778</v>
      </c>
      <c r="E318" s="1653"/>
      <c r="F318" s="1653"/>
      <c r="G318" s="1498">
        <f>D318</f>
        <v>0.12738498223791778</v>
      </c>
      <c r="H318" s="1654"/>
    </row>
    <row r="319" spans="1:8" hidden="1" outlineLevel="1" x14ac:dyDescent="0.3">
      <c r="A319" s="1306"/>
      <c r="B319" s="1306"/>
      <c r="C319" s="1306"/>
      <c r="E319" s="1653"/>
      <c r="F319" s="1653"/>
      <c r="G319" s="1306"/>
      <c r="H319" s="1654"/>
    </row>
    <row r="320" spans="1:8" hidden="1" outlineLevel="1" x14ac:dyDescent="0.3">
      <c r="A320" s="1306" t="s">
        <v>646</v>
      </c>
      <c r="B320" s="1515">
        <f>Drivers!ED462/Drivers!ED452*1000/12</f>
        <v>106.40565841240453</v>
      </c>
      <c r="C320" s="1515">
        <f>Drivers!ES462/Drivers!ES452*1000/12</f>
        <v>130.78071707317073</v>
      </c>
      <c r="D320" s="928">
        <f>D213</f>
        <v>178.9824417761501</v>
      </c>
      <c r="E320" s="1653">
        <f>(C320/B320)^(1/($C$285-$B$285))-1</f>
        <v>7.1173114260600912E-2</v>
      </c>
      <c r="F320" s="1653">
        <f>(D320/C320)^(1/($B$33-$C$285))-1</f>
        <v>4.0000000000000036E-2</v>
      </c>
      <c r="G320" s="1493">
        <f>D320*(1+F320)</f>
        <v>186.1417394471961</v>
      </c>
      <c r="H320" s="1654"/>
    </row>
    <row r="321" spans="1:17" hidden="1" outlineLevel="1" x14ac:dyDescent="0.3">
      <c r="A321" s="1306"/>
      <c r="B321" s="1306"/>
      <c r="C321" s="1306"/>
      <c r="E321" s="1653"/>
      <c r="F321" s="1653"/>
      <c r="G321" s="1306"/>
      <c r="H321" s="1654"/>
    </row>
    <row r="322" spans="1:17" hidden="1" outlineLevel="1" x14ac:dyDescent="0.3">
      <c r="A322" s="1306" t="s">
        <v>1305</v>
      </c>
      <c r="B322" s="1514">
        <f>Drivers!ED200</f>
        <v>581.46004499999992</v>
      </c>
      <c r="C322" s="1494">
        <f>C317*C320*12/1000</f>
        <v>286.72364411121958</v>
      </c>
      <c r="D322" s="1494">
        <f>D317*D320*12/1000</f>
        <v>1247.0510329098397</v>
      </c>
      <c r="E322" s="1653"/>
      <c r="F322" s="1653"/>
      <c r="G322" s="1494">
        <f>G317*G320*12/1000</f>
        <v>1296.9330742262332</v>
      </c>
      <c r="H322" s="1654"/>
    </row>
    <row r="323" spans="1:17" hidden="1" outlineLevel="1" x14ac:dyDescent="0.3">
      <c r="A323" s="1306"/>
      <c r="B323" s="1306"/>
      <c r="C323" s="1306"/>
      <c r="E323" s="1653"/>
      <c r="F323" s="1653"/>
      <c r="G323" s="1306"/>
      <c r="H323" s="1654"/>
    </row>
    <row r="324" spans="1:17" hidden="1" outlineLevel="1" x14ac:dyDescent="0.3">
      <c r="A324" s="1306" t="s">
        <v>1306</v>
      </c>
      <c r="B324" s="1543">
        <f>B326-B322-B315</f>
        <v>244.89600134836769</v>
      </c>
      <c r="C324" s="1514">
        <f>B324*(Drivers!ES201/Drivers!ED201)*0.9</f>
        <v>175.59418583747103</v>
      </c>
      <c r="D324" s="925">
        <f>C324/C304*D304*(1+$B$46)^$B$32</f>
        <v>240.21726146077245</v>
      </c>
      <c r="E324" s="1653"/>
      <c r="F324" s="1653"/>
      <c r="G324" s="925">
        <f>D324</f>
        <v>240.21726146077245</v>
      </c>
      <c r="H324" s="1654"/>
    </row>
    <row r="325" spans="1:17" hidden="1" outlineLevel="1" x14ac:dyDescent="0.3">
      <c r="A325" s="1306"/>
      <c r="B325" s="1306"/>
      <c r="C325" s="1306"/>
      <c r="E325" s="1653"/>
      <c r="F325" s="1653"/>
      <c r="G325" s="1306"/>
      <c r="H325" s="1654"/>
    </row>
    <row r="326" spans="1:17" hidden="1" outlineLevel="1" x14ac:dyDescent="0.3">
      <c r="A326" s="1315" t="s">
        <v>1307</v>
      </c>
      <c r="B326" s="1548">
        <f>Drivers!ED202</f>
        <v>1680</v>
      </c>
      <c r="C326" s="1509">
        <f>C315+C322+C324</f>
        <v>1474.1665021270676</v>
      </c>
      <c r="D326" s="1509">
        <f>D315+D322+D324</f>
        <v>5711.4024197236849</v>
      </c>
      <c r="E326" s="1653"/>
      <c r="F326" s="1653"/>
      <c r="G326" s="1509">
        <f>G315+G322+G324</f>
        <v>5910.4800840515773</v>
      </c>
      <c r="H326" s="1654"/>
    </row>
    <row r="327" spans="1:17" hidden="1" outlineLevel="1" x14ac:dyDescent="0.3">
      <c r="A327" s="1320" t="s">
        <v>2849</v>
      </c>
      <c r="B327" s="1500">
        <f>B326/B305*1000/12</f>
        <v>113.67821938449735</v>
      </c>
      <c r="C327" s="1500">
        <f>C326/C305*1000/12</f>
        <v>92.353152343081945</v>
      </c>
      <c r="D327" s="1500">
        <f>D326/D305*1000/12</f>
        <v>112.66750614534583</v>
      </c>
      <c r="E327" s="1657">
        <f>(C327/B327)^(1/($C$285-$B$285))-1</f>
        <v>-6.690723810235466E-2</v>
      </c>
      <c r="F327" s="1653"/>
      <c r="G327" s="1500">
        <f>G326/G305*1000/12</f>
        <v>116.59466489213729</v>
      </c>
      <c r="H327" s="1654"/>
    </row>
    <row r="328" spans="1:17" hidden="1" outlineLevel="1" x14ac:dyDescent="0.3">
      <c r="A328" s="1320" t="s">
        <v>2850</v>
      </c>
      <c r="B328" s="1501">
        <f>B326/B302*1000/12</f>
        <v>43.437790878063915</v>
      </c>
      <c r="C328" s="1501">
        <f>C326/C302*1000/12</f>
        <v>38.115795380263407</v>
      </c>
      <c r="D328" s="1501">
        <f>D326/D302*1000/12</f>
        <v>30.90585724958704</v>
      </c>
      <c r="E328" s="1657">
        <f>(C328/B328)^(1/($C$285-$B$285))-1</f>
        <v>-4.2631606627308583E-2</v>
      </c>
      <c r="F328" s="1653"/>
      <c r="G328" s="1501">
        <f>G326/G302*1000/12</f>
        <v>31.983117337941437</v>
      </c>
      <c r="H328" s="1654"/>
    </row>
    <row r="329" spans="1:17" hidden="1" outlineLevel="1" x14ac:dyDescent="0.3">
      <c r="A329" s="1306"/>
      <c r="B329" s="1306"/>
      <c r="C329" s="1306"/>
      <c r="E329" s="1653"/>
      <c r="F329" s="1653"/>
      <c r="G329" s="1306"/>
      <c r="H329" s="1654"/>
    </row>
    <row r="330" spans="1:17" hidden="1" outlineLevel="1" x14ac:dyDescent="0.3">
      <c r="A330" s="1305" t="s">
        <v>2851</v>
      </c>
      <c r="B330" s="1514">
        <f>Drivers!ED205</f>
        <v>1133</v>
      </c>
      <c r="C330" s="1550">
        <f>B330*(1+E330)^($C$285-$B$285)</f>
        <v>1091.7819356387295</v>
      </c>
      <c r="D330" s="1303">
        <f>C330/C286*D286*(1+$B$47)^$B$32</f>
        <v>3387.471100337355</v>
      </c>
      <c r="E330" s="1662">
        <f>(Drivers!ES204/Drivers!ED204)^(1/3)-1</f>
        <v>-1.2276625506195904E-2</v>
      </c>
      <c r="F330" s="1653"/>
      <c r="G330" s="1494">
        <f>G332*G286/G286</f>
        <v>3387.471100337355</v>
      </c>
      <c r="H330" s="1654"/>
    </row>
    <row r="331" spans="1:17" hidden="1" outlineLevel="1" x14ac:dyDescent="0.3">
      <c r="A331" s="1305" t="s">
        <v>2852</v>
      </c>
      <c r="B331" s="1557">
        <v>0</v>
      </c>
      <c r="C331" s="1557">
        <v>0</v>
      </c>
      <c r="D331" s="1557">
        <v>0</v>
      </c>
      <c r="E331" s="1653"/>
      <c r="F331" s="1653"/>
      <c r="G331" s="1314">
        <f>G332-G330</f>
        <v>0</v>
      </c>
      <c r="H331" s="1654"/>
    </row>
    <row r="332" spans="1:17" hidden="1" outlineLevel="1" x14ac:dyDescent="0.3">
      <c r="A332" s="1313" t="s">
        <v>2853</v>
      </c>
      <c r="B332" s="1509">
        <f>B336-B334-B326</f>
        <v>1133</v>
      </c>
      <c r="C332" s="1509">
        <f>SUM(C330:C331)</f>
        <v>1091.7819356387295</v>
      </c>
      <c r="D332" s="1509">
        <f>SUM(D330:D331)</f>
        <v>3387.471100337355</v>
      </c>
      <c r="E332" s="1657">
        <f>(C332/B332)^(1/($C$285-$B$285))-1</f>
        <v>-1.2276625506195904E-2</v>
      </c>
      <c r="F332" s="1653"/>
      <c r="G332" s="1507">
        <f>D332*(1+$B$47)</f>
        <v>3387.471100337355</v>
      </c>
      <c r="H332" s="1654"/>
      <c r="Q332" s="926"/>
    </row>
    <row r="333" spans="1:17" hidden="1" outlineLevel="1" x14ac:dyDescent="0.3">
      <c r="A333" s="1306"/>
      <c r="B333" s="1306"/>
      <c r="C333" s="1306"/>
      <c r="E333" s="1653"/>
      <c r="F333" s="1653"/>
      <c r="G333" s="1306"/>
      <c r="H333" s="1654"/>
    </row>
    <row r="334" spans="1:17" hidden="1" outlineLevel="1" x14ac:dyDescent="0.3">
      <c r="A334" s="1306" t="s">
        <v>465</v>
      </c>
      <c r="B334" s="1514">
        <v>0</v>
      </c>
      <c r="C334" s="1494">
        <v>0</v>
      </c>
      <c r="D334" s="1238">
        <v>75</v>
      </c>
      <c r="E334" s="1653"/>
      <c r="F334" s="1653"/>
      <c r="G334" s="1306">
        <f>D334</f>
        <v>75</v>
      </c>
      <c r="H334" s="1654"/>
    </row>
    <row r="335" spans="1:17" hidden="1" outlineLevel="1" x14ac:dyDescent="0.3">
      <c r="A335" s="1306"/>
      <c r="B335" s="1306"/>
      <c r="C335" s="1306"/>
      <c r="E335" s="1653"/>
      <c r="F335" s="1653"/>
      <c r="G335" s="1306"/>
      <c r="H335" s="1654"/>
    </row>
    <row r="336" spans="1:17" hidden="1" outlineLevel="1" x14ac:dyDescent="0.3">
      <c r="A336" s="1315" t="s">
        <v>651</v>
      </c>
      <c r="B336" s="1548">
        <f>Drivers!ED206</f>
        <v>2813</v>
      </c>
      <c r="C336" s="1551">
        <f>C326+C332+C334</f>
        <v>2565.9484377657973</v>
      </c>
      <c r="D336" s="1551">
        <f>D326+D332+D334</f>
        <v>9173.873520061039</v>
      </c>
      <c r="E336" s="1653"/>
      <c r="F336" s="1653"/>
      <c r="G336" s="1509">
        <f>G326+G332+G334</f>
        <v>9372.9511843889322</v>
      </c>
      <c r="H336" s="1653">
        <f>G336/D336-1</f>
        <v>2.1700502398747767E-2</v>
      </c>
    </row>
    <row r="337" spans="1:14" hidden="1" outlineLevel="1" x14ac:dyDescent="0.3">
      <c r="A337" s="1320" t="s">
        <v>2849</v>
      </c>
      <c r="B337" s="1500">
        <f>B336/B304*1000/12</f>
        <v>176.53505799236277</v>
      </c>
      <c r="C337" s="1500">
        <f>C336/C304*1000/12</f>
        <v>149.08926116046749</v>
      </c>
      <c r="D337" s="1500">
        <f>D336/D304*1000/12</f>
        <v>167.72476086114224</v>
      </c>
      <c r="E337" s="1657">
        <f>(C337/B337)^(1/($C$285-$B$285))-1</f>
        <v>-5.4767890924367957E-2</v>
      </c>
      <c r="F337" s="1653"/>
      <c r="G337" s="1500">
        <f>G336/G304*1000/12</f>
        <v>171.3644724365389</v>
      </c>
      <c r="H337" s="1654"/>
    </row>
    <row r="338" spans="1:14" hidden="1" outlineLevel="1" x14ac:dyDescent="0.3">
      <c r="A338" s="1320" t="s">
        <v>2850</v>
      </c>
      <c r="B338" s="1501">
        <f>B336/B302*1000/12</f>
        <v>72.732443892853453</v>
      </c>
      <c r="C338" s="1501">
        <f>C336/C302*1000/12</f>
        <v>66.344721216408033</v>
      </c>
      <c r="D338" s="1501">
        <f>D336/D302*1000/12</f>
        <v>49.642172727603025</v>
      </c>
      <c r="E338" s="1657">
        <f>(C338/B338)^(1/($C$285-$B$285))-1</f>
        <v>-3.0176438417936824E-2</v>
      </c>
      <c r="F338" s="1653"/>
      <c r="G338" s="1501">
        <f>G336/G302*1000/12</f>
        <v>50.719432815957418</v>
      </c>
      <c r="H338" s="1654"/>
    </row>
    <row r="339" spans="1:14" hidden="1" outlineLevel="1" x14ac:dyDescent="0.3">
      <c r="A339" s="1306"/>
      <c r="B339" s="1306"/>
      <c r="C339" s="1306"/>
      <c r="E339" s="1653"/>
      <c r="F339" s="1653"/>
      <c r="G339" s="1306"/>
      <c r="H339" s="1654"/>
    </row>
    <row r="340" spans="1:14" hidden="1" outlineLevel="1" x14ac:dyDescent="0.3">
      <c r="A340" s="1306" t="s">
        <v>1322</v>
      </c>
      <c r="B340" s="1515">
        <f>Drivers!ED485</f>
        <v>89.022602792563461</v>
      </c>
      <c r="C340" s="1515">
        <f>Drivers!ES485</f>
        <v>88.780487804878064</v>
      </c>
      <c r="D340" s="928">
        <f>D233</f>
        <v>136.98221250785741</v>
      </c>
      <c r="E340" s="1653"/>
      <c r="F340" s="1653"/>
      <c r="G340" s="1493">
        <f>D340+(G320-D320)</f>
        <v>144.14151017890342</v>
      </c>
      <c r="H340" s="1654"/>
    </row>
    <row r="341" spans="1:14" hidden="1" outlineLevel="1" x14ac:dyDescent="0.3">
      <c r="A341" s="1306"/>
      <c r="B341" s="1306"/>
      <c r="C341" s="1306"/>
      <c r="E341" s="1653"/>
      <c r="F341" s="1653"/>
      <c r="G341" s="1560"/>
      <c r="H341" s="1654"/>
    </row>
    <row r="342" spans="1:14" hidden="1" outlineLevel="1" x14ac:dyDescent="0.3">
      <c r="A342" s="1305" t="s">
        <v>1323</v>
      </c>
      <c r="B342" s="1494">
        <f>B340*B317*12/1000</f>
        <v>427.30849340430461</v>
      </c>
      <c r="C342" s="925">
        <f>C340*C317*12/1000</f>
        <v>194.64234146341465</v>
      </c>
      <c r="D342" s="1494">
        <f>D340*D317*12/1000</f>
        <v>954.41657797832931</v>
      </c>
      <c r="E342" s="1653"/>
      <c r="F342" s="1653"/>
      <c r="G342" s="1494">
        <f>G340*G317*12/1000</f>
        <v>1004.2986192947229</v>
      </c>
      <c r="H342" s="1654"/>
    </row>
    <row r="343" spans="1:14" hidden="1" outlineLevel="1" x14ac:dyDescent="0.3">
      <c r="A343" s="1305" t="s">
        <v>1324</v>
      </c>
      <c r="B343" s="1519">
        <f>B344-B342</f>
        <v>1273.6915065956955</v>
      </c>
      <c r="C343" s="1643">
        <f>(C347*C304*12+C348*C286*12)/1000</f>
        <v>1292.8361265956958</v>
      </c>
      <c r="D343" s="1643">
        <f>(D347*D304*12+D348*D286*12)/1000</f>
        <v>4030.7218076192848</v>
      </c>
      <c r="E343" s="1662">
        <f>((Drivers!ES58+Drivers!ES59)/(Drivers!ED58+Drivers!ED59))^(1/3)-1</f>
        <v>-2.487095328587352E-2</v>
      </c>
      <c r="F343" s="1653"/>
      <c r="G343" s="1643">
        <f>(G347*G304*12+G348*G286*12)/1000</f>
        <v>4030.7218076192848</v>
      </c>
      <c r="H343" s="1654"/>
    </row>
    <row r="344" spans="1:14" hidden="1" outlineLevel="1" x14ac:dyDescent="0.3">
      <c r="A344" s="1313" t="s">
        <v>2891</v>
      </c>
      <c r="B344" s="1509">
        <f>B336-B350</f>
        <v>1701</v>
      </c>
      <c r="C344" s="933">
        <f>SUM(C342:C343)</f>
        <v>1487.4784680591104</v>
      </c>
      <c r="D344" s="933">
        <f>SUM(D342:D343)</f>
        <v>4985.1383855976146</v>
      </c>
      <c r="E344" s="1653"/>
      <c r="F344" s="1653"/>
      <c r="G344" s="1509">
        <f>SUM(G342:G343)</f>
        <v>5035.0204269140077</v>
      </c>
      <c r="H344" s="1653">
        <f>G344/D344-1</f>
        <v>1.0006149771188966E-2</v>
      </c>
    </row>
    <row r="345" spans="1:14" hidden="1" outlineLevel="1" x14ac:dyDescent="0.3">
      <c r="A345" s="1320" t="s">
        <v>2862</v>
      </c>
      <c r="B345" s="1501">
        <f>B343/B304*1000/12</f>
        <v>79.932884458318867</v>
      </c>
      <c r="C345" s="1641">
        <f>C343/C304*1000/12</f>
        <v>75.117636846803094</v>
      </c>
      <c r="D345" s="1641">
        <f>D343/D304*1000/12</f>
        <v>73.693173314671711</v>
      </c>
      <c r="E345" s="1653">
        <f>(C345/B345)^(1/$B$32)-1</f>
        <v>-7.7364139841679114E-3</v>
      </c>
      <c r="F345" s="1653"/>
      <c r="G345" s="1501">
        <f>G343/G304*1000/12</f>
        <v>73.693173314671711</v>
      </c>
      <c r="H345" s="1654"/>
    </row>
    <row r="346" spans="1:14" hidden="1" outlineLevel="1" x14ac:dyDescent="0.3">
      <c r="A346" s="1320" t="s">
        <v>317</v>
      </c>
      <c r="B346" s="1501">
        <f>B343/B286*1000/12</f>
        <v>32.932348396827372</v>
      </c>
      <c r="C346" s="1501">
        <f>C343/C286*1000/12</f>
        <v>33.427348396827384</v>
      </c>
      <c r="D346" s="1501">
        <f>D343/D286*1000/12</f>
        <v>33.589348396827369</v>
      </c>
      <c r="E346" s="1653">
        <f>(C346/B346)^(1/$B$32)-1</f>
        <v>1.8666112731762219E-3</v>
      </c>
      <c r="F346" s="1653">
        <f>(D346/C346)^(1/($B$33-$C$285))-1</f>
        <v>6.0451083027568409E-4</v>
      </c>
      <c r="G346" s="1501">
        <f>G343/G286*1000/12</f>
        <v>33.589348396827369</v>
      </c>
      <c r="H346" s="1654"/>
    </row>
    <row r="347" spans="1:14" hidden="1" outlineLevel="1" x14ac:dyDescent="0.3">
      <c r="A347" s="1320" t="s">
        <v>2882</v>
      </c>
      <c r="B347" s="1649">
        <f>B50</f>
        <v>15</v>
      </c>
      <c r="C347" s="1560">
        <f>B347</f>
        <v>15</v>
      </c>
      <c r="D347" s="1560">
        <f>C347</f>
        <v>15</v>
      </c>
      <c r="E347" s="1653"/>
      <c r="F347" s="1653"/>
      <c r="G347" s="928">
        <f>D347</f>
        <v>15</v>
      </c>
      <c r="H347" s="1654"/>
    </row>
    <row r="348" spans="1:14" hidden="1" outlineLevel="1" x14ac:dyDescent="0.3">
      <c r="A348" s="1320" t="s">
        <v>2883</v>
      </c>
      <c r="B348" s="1501">
        <f>(B343-B347*12*B304/1000)/B286*1000/12</f>
        <v>26.752348396827376</v>
      </c>
      <c r="C348" s="1560">
        <f>B348</f>
        <v>26.752348396827376</v>
      </c>
      <c r="D348" s="1560">
        <f>C348</f>
        <v>26.752348396827376</v>
      </c>
      <c r="E348" s="1653"/>
      <c r="F348" s="1653"/>
      <c r="G348" s="928">
        <f>D348</f>
        <v>26.752348396827376</v>
      </c>
      <c r="H348" s="1654"/>
    </row>
    <row r="349" spans="1:14" hidden="1" outlineLevel="1" x14ac:dyDescent="0.3">
      <c r="A349" s="1306"/>
      <c r="B349" s="1306"/>
      <c r="C349" s="1306"/>
      <c r="E349" s="1653"/>
      <c r="F349" s="1653"/>
      <c r="H349" s="1654"/>
    </row>
    <row r="350" spans="1:14" hidden="1" outlineLevel="1" x14ac:dyDescent="0.3">
      <c r="A350" s="1315" t="s">
        <v>44</v>
      </c>
      <c r="B350" s="1512">
        <f>Drivers!ED27</f>
        <v>1112</v>
      </c>
      <c r="C350" s="121">
        <f>C336-C344</f>
        <v>1078.4699697066869</v>
      </c>
      <c r="D350" s="1505">
        <f>D336-D344</f>
        <v>4188.7351344634244</v>
      </c>
      <c r="E350" s="1653"/>
      <c r="F350" s="1653"/>
      <c r="G350" s="1509">
        <f>G336-G344</f>
        <v>4337.9307574749246</v>
      </c>
      <c r="H350" s="1653">
        <f>G350/D350-1</f>
        <v>3.5618299611252846E-2</v>
      </c>
      <c r="M350" s="932"/>
      <c r="N350" s="932"/>
    </row>
    <row r="351" spans="1:14" hidden="1" outlineLevel="1" x14ac:dyDescent="0.3">
      <c r="A351" s="1320" t="s">
        <v>1326</v>
      </c>
      <c r="B351" s="1498">
        <f>B350/B336</f>
        <v>0.3953075008887309</v>
      </c>
      <c r="C351" s="1552">
        <f>C350/C336</f>
        <v>0.42030071759576115</v>
      </c>
      <c r="D351" s="1498">
        <f>D350/D336</f>
        <v>0.45659394859801317</v>
      </c>
      <c r="E351" s="1653"/>
      <c r="F351" s="1653"/>
      <c r="G351" s="1498">
        <f>G350/G336</f>
        <v>0.46281375760282861</v>
      </c>
      <c r="H351" s="1654"/>
    </row>
    <row r="352" spans="1:14" hidden="1" outlineLevel="1" x14ac:dyDescent="0.3">
      <c r="A352" s="1320" t="s">
        <v>2864</v>
      </c>
      <c r="B352" s="1501">
        <f>B350/B304*1000/12</f>
        <v>69.785632594208096</v>
      </c>
      <c r="C352" s="1641">
        <f>C350/C304*1000/12</f>
        <v>62.66232345156633</v>
      </c>
      <c r="D352" s="1501">
        <f>D350/D304*1000/12</f>
        <v>76.582110839246454</v>
      </c>
      <c r="E352" s="1657">
        <f>(C352/B352)^(1/($C$285-$B$285))-1</f>
        <v>-3.5252878485719452E-2</v>
      </c>
      <c r="F352" s="1653"/>
      <c r="G352" s="1501">
        <f>G350/G304*1000/12</f>
        <v>79.309835407980913</v>
      </c>
      <c r="H352" s="1654"/>
    </row>
    <row r="353" spans="1:8" hidden="1" outlineLevel="1" x14ac:dyDescent="0.3">
      <c r="A353" s="1320" t="s">
        <v>2865</v>
      </c>
      <c r="B353" s="1501">
        <f>B350/B302*1000/12</f>
        <v>28.751680628813734</v>
      </c>
      <c r="C353" s="1641">
        <f>C350/C302*1000/12</f>
        <v>27.884733935947022</v>
      </c>
      <c r="D353" s="1501">
        <f>D350/D302*1000/12</f>
        <v>22.666315662680869</v>
      </c>
      <c r="E353" s="1657">
        <f>(C353/B353)^(1/($C$285-$B$285))-1</f>
        <v>-1.0153717346731539E-2</v>
      </c>
      <c r="F353" s="1653"/>
      <c r="G353" s="1501">
        <f>G350/G302*1000/12</f>
        <v>23.473651285037466</v>
      </c>
      <c r="H353" s="1654"/>
    </row>
    <row r="354" spans="1:8" hidden="1" outlineLevel="1" x14ac:dyDescent="0.3">
      <c r="A354" s="1306"/>
      <c r="B354" s="1306"/>
      <c r="C354" s="1306"/>
      <c r="E354" s="1653"/>
      <c r="F354" s="1653"/>
      <c r="G354" s="1560"/>
      <c r="H354" s="1654"/>
    </row>
    <row r="355" spans="1:8" hidden="1" outlineLevel="1" x14ac:dyDescent="0.3">
      <c r="A355" s="1305" t="s">
        <v>2866</v>
      </c>
      <c r="B355" s="925">
        <v>0</v>
      </c>
      <c r="C355" s="925">
        <v>0</v>
      </c>
      <c r="D355" s="1494">
        <f>D356*$B$57/1000</f>
        <v>0</v>
      </c>
      <c r="E355" s="1653"/>
      <c r="F355" s="1653"/>
      <c r="G355" s="1494">
        <f>G356*$B$57/1000</f>
        <v>0</v>
      </c>
      <c r="H355" s="1654"/>
    </row>
    <row r="356" spans="1:8" hidden="1" outlineLevel="1" x14ac:dyDescent="0.3">
      <c r="A356" s="1320" t="s">
        <v>326</v>
      </c>
      <c r="B356" s="1565">
        <v>0</v>
      </c>
      <c r="C356" s="1565">
        <v>0</v>
      </c>
      <c r="D356" s="929">
        <f>C148</f>
        <v>0</v>
      </c>
      <c r="E356" s="1653"/>
      <c r="F356" s="1653"/>
      <c r="G356" s="1502">
        <f>G286-D286</f>
        <v>0</v>
      </c>
      <c r="H356" s="1654"/>
    </row>
    <row r="357" spans="1:8" hidden="1" outlineLevel="1" x14ac:dyDescent="0.3">
      <c r="A357" s="1306"/>
      <c r="B357" s="925"/>
      <c r="C357" s="925"/>
      <c r="E357" s="1653"/>
      <c r="F357" s="1653"/>
      <c r="G357" s="1494"/>
      <c r="H357" s="1654"/>
    </row>
    <row r="358" spans="1:8" hidden="1" outlineLevel="1" x14ac:dyDescent="0.3">
      <c r="A358" s="1306" t="s">
        <v>196</v>
      </c>
      <c r="B358" s="925">
        <f>B359*$B$58/1000+B360*$B$61/1000</f>
        <v>201.491665836447</v>
      </c>
      <c r="C358" s="925">
        <f>C359*$B$58/1000+C360*$B$61/1000</f>
        <v>168.61779623366346</v>
      </c>
      <c r="D358" s="925">
        <f>D359*$B$58/1000+D360*$B$61/1000</f>
        <v>277.4702171394872</v>
      </c>
      <c r="E358" s="1653"/>
      <c r="F358" s="1653"/>
      <c r="G358" s="925">
        <f>G359*$B$58/1000+G360*$B$61/1000</f>
        <v>277.4702171394872</v>
      </c>
      <c r="H358" s="1654"/>
    </row>
    <row r="359" spans="1:8" hidden="1" outlineLevel="1" x14ac:dyDescent="0.3">
      <c r="A359" s="1320" t="s">
        <v>2867</v>
      </c>
      <c r="B359" s="1651">
        <f>B289*Drivers!ED119*12</f>
        <v>251.86458229555876</v>
      </c>
      <c r="C359" s="1651">
        <f>C289*Drivers!ES119*12</f>
        <v>210.77224529207933</v>
      </c>
      <c r="D359" s="1565">
        <f>D356*$B$38*$B$37</f>
        <v>0</v>
      </c>
      <c r="E359" s="1653"/>
      <c r="F359" s="1653"/>
      <c r="G359" s="1565">
        <f>G356*$B$38</f>
        <v>0</v>
      </c>
      <c r="H359" s="1654"/>
    </row>
    <row r="360" spans="1:8" hidden="1" outlineLevel="1" x14ac:dyDescent="0.3">
      <c r="A360" s="1320" t="s">
        <v>2868</v>
      </c>
      <c r="B360" s="1651"/>
      <c r="C360" s="1561"/>
      <c r="D360" s="1565">
        <f>D289*$B$68*12</f>
        <v>668.60293286623426</v>
      </c>
      <c r="E360" s="1653"/>
      <c r="F360" s="1653"/>
      <c r="G360" s="1565">
        <f>G289*$B$68*12</f>
        <v>668.60293286623426</v>
      </c>
      <c r="H360" s="1654"/>
    </row>
    <row r="361" spans="1:8" hidden="1" outlineLevel="1" x14ac:dyDescent="0.3">
      <c r="A361" s="1306"/>
      <c r="B361" s="925"/>
      <c r="C361" s="925"/>
      <c r="E361" s="1653"/>
      <c r="F361" s="1653"/>
      <c r="G361" s="1494"/>
      <c r="H361" s="1654"/>
    </row>
    <row r="362" spans="1:8" hidden="1" outlineLevel="1" x14ac:dyDescent="0.3">
      <c r="A362" s="1306" t="s">
        <v>2837</v>
      </c>
      <c r="B362" s="1465">
        <f>B364*B332</f>
        <v>113.30000000000001</v>
      </c>
      <c r="C362" s="1465">
        <f>C364*C332</f>
        <v>109.17819356387295</v>
      </c>
      <c r="D362" s="1465">
        <f>D364*D332</f>
        <v>338.74711003373551</v>
      </c>
      <c r="E362" s="1653"/>
      <c r="F362" s="1653"/>
      <c r="G362" s="1494">
        <f>G364*G332</f>
        <v>338.74711003373551</v>
      </c>
      <c r="H362" s="1654"/>
    </row>
    <row r="363" spans="1:8" hidden="1" outlineLevel="1" x14ac:dyDescent="0.3">
      <c r="A363" s="1320" t="s">
        <v>2869</v>
      </c>
      <c r="B363" s="1465">
        <f>B362/B302*1000</f>
        <v>35.153583617747444</v>
      </c>
      <c r="C363" s="1465">
        <f>C362/C302*1000</f>
        <v>33.874711003373555</v>
      </c>
      <c r="D363" s="1465">
        <f>D362/D302*1000</f>
        <v>21.996565586606199</v>
      </c>
      <c r="E363" s="1653"/>
      <c r="F363" s="1653"/>
      <c r="G363" s="1502">
        <f>G362/G302*1000</f>
        <v>21.996565586606199</v>
      </c>
      <c r="H363" s="1654"/>
    </row>
    <row r="364" spans="1:8" hidden="1" outlineLevel="1" x14ac:dyDescent="0.3">
      <c r="A364" s="1306" t="s">
        <v>2870</v>
      </c>
      <c r="B364" s="932">
        <f>B63</f>
        <v>0.1</v>
      </c>
      <c r="C364" s="693">
        <f>B63</f>
        <v>0.1</v>
      </c>
      <c r="D364" s="926">
        <f>B63</f>
        <v>0.1</v>
      </c>
      <c r="E364" s="1653"/>
      <c r="F364" s="1653"/>
      <c r="G364" s="1566">
        <f>D364</f>
        <v>0.1</v>
      </c>
      <c r="H364" s="1654"/>
    </row>
    <row r="365" spans="1:8" hidden="1" outlineLevel="1" x14ac:dyDescent="0.3">
      <c r="A365" s="1306"/>
      <c r="B365" s="925"/>
      <c r="C365" s="925"/>
      <c r="E365" s="1653"/>
      <c r="F365" s="1653"/>
      <c r="G365" s="1494"/>
      <c r="H365" s="1654"/>
    </row>
    <row r="366" spans="1:8" hidden="1" outlineLevel="1" x14ac:dyDescent="0.3">
      <c r="A366" s="1306" t="s">
        <v>1613</v>
      </c>
      <c r="B366" s="925">
        <f>(B368*B286+B294*B369)/1000</f>
        <v>80.575000000000003</v>
      </c>
      <c r="C366" s="925">
        <f>(C368*C286+C294*C369)/1000</f>
        <v>80.575000000000003</v>
      </c>
      <c r="D366" s="925">
        <f>(D368*D286+D294*D369)/1000</f>
        <v>515.31765630261532</v>
      </c>
      <c r="E366" s="1653"/>
      <c r="F366" s="1653"/>
      <c r="G366" s="925">
        <f>(G368*G286+G294*G369)/1000</f>
        <v>515.31765630261532</v>
      </c>
      <c r="H366" s="1654"/>
    </row>
    <row r="367" spans="1:8" hidden="1" outlineLevel="1" x14ac:dyDescent="0.3">
      <c r="A367" s="1320" t="s">
        <v>2871</v>
      </c>
      <c r="B367" s="925">
        <f>B366/B302*1000</f>
        <v>25</v>
      </c>
      <c r="C367" s="925">
        <f>C366/C302*1000</f>
        <v>25</v>
      </c>
      <c r="D367" s="1494">
        <f>D366/D302*1000</f>
        <v>33.462185474195799</v>
      </c>
      <c r="E367" s="1653"/>
      <c r="F367" s="1653"/>
      <c r="G367" s="1494">
        <f>G366/G302*1000</f>
        <v>33.462185474195799</v>
      </c>
      <c r="H367" s="1654"/>
    </row>
    <row r="368" spans="1:8" hidden="1" outlineLevel="1" x14ac:dyDescent="0.3">
      <c r="A368" s="1320" t="s">
        <v>2872</v>
      </c>
      <c r="B368" s="1565">
        <f>$B$66</f>
        <v>25</v>
      </c>
      <c r="C368" s="1565">
        <f>B368</f>
        <v>25</v>
      </c>
      <c r="D368" s="1565">
        <f>C368</f>
        <v>25</v>
      </c>
      <c r="E368" s="1654"/>
      <c r="F368" s="1654"/>
      <c r="G368" s="1565">
        <f>C368</f>
        <v>25</v>
      </c>
      <c r="H368" s="1654"/>
    </row>
    <row r="369" spans="1:19" hidden="1" outlineLevel="1" x14ac:dyDescent="0.3">
      <c r="A369" s="1320" t="s">
        <v>2873</v>
      </c>
      <c r="B369" s="1565">
        <f>$B$67</f>
        <v>49.132899315299142</v>
      </c>
      <c r="C369" s="1565">
        <f>B369</f>
        <v>49.132899315299142</v>
      </c>
      <c r="D369" s="1565">
        <f>C369</f>
        <v>49.132899315299142</v>
      </c>
      <c r="E369" s="1654"/>
      <c r="F369" s="1654"/>
      <c r="G369" s="1565">
        <f>C369</f>
        <v>49.132899315299142</v>
      </c>
      <c r="H369" s="1654"/>
    </row>
    <row r="370" spans="1:19" hidden="1" outlineLevel="1" x14ac:dyDescent="0.3">
      <c r="A370" s="1306"/>
      <c r="E370" s="1653"/>
      <c r="F370" s="1653"/>
      <c r="G370" s="1306"/>
      <c r="H370" s="1654"/>
    </row>
    <row r="371" spans="1:19" hidden="1" outlineLevel="1" x14ac:dyDescent="0.3">
      <c r="A371" s="1315" t="s">
        <v>198</v>
      </c>
      <c r="B371" s="1216">
        <f>B355+B358+B362+B366</f>
        <v>395.366665836447</v>
      </c>
      <c r="C371" s="121">
        <f>C355+C358+C362+C366</f>
        <v>358.37098979753642</v>
      </c>
      <c r="D371" s="1505">
        <f>D355+D358+D362+D366</f>
        <v>1131.5349834758381</v>
      </c>
      <c r="E371" s="1653"/>
      <c r="F371" s="1653"/>
      <c r="G371" s="1505">
        <f>G355+G358+G362+G366</f>
        <v>1131.5349834758381</v>
      </c>
      <c r="H371" s="1654"/>
    </row>
    <row r="372" spans="1:19" hidden="1" outlineLevel="1" x14ac:dyDescent="0.3">
      <c r="A372" s="1320" t="s">
        <v>1328</v>
      </c>
      <c r="B372" s="932">
        <f>B371/B336</f>
        <v>0.14054982788355741</v>
      </c>
      <c r="C372" s="932">
        <f>C371/C336</f>
        <v>0.13966414309929565</v>
      </c>
      <c r="D372" s="1496">
        <f>D371/D336</f>
        <v>0.12334320731602035</v>
      </c>
      <c r="E372" s="1653"/>
      <c r="F372" s="1653"/>
      <c r="G372" s="1498">
        <f>G371/G336</f>
        <v>0.1207234478464435</v>
      </c>
      <c r="H372" s="1654"/>
    </row>
    <row r="373" spans="1:19" hidden="1" outlineLevel="1" x14ac:dyDescent="0.3">
      <c r="A373" s="1320" t="s">
        <v>1329</v>
      </c>
      <c r="B373" s="925">
        <f>B371/B302*1000</f>
        <v>122.67038964829257</v>
      </c>
      <c r="C373" s="925">
        <f>C371/C302*1000</f>
        <v>111.19174365421546</v>
      </c>
      <c r="D373" s="1494">
        <f>D371/D302*1000</f>
        <v>73.476297628301168</v>
      </c>
      <c r="E373" s="1653"/>
      <c r="F373" s="1653"/>
      <c r="G373" s="1502">
        <f>G371/G302*1000</f>
        <v>73.476297628301168</v>
      </c>
      <c r="H373" s="1654"/>
    </row>
    <row r="374" spans="1:19" hidden="1" outlineLevel="1" x14ac:dyDescent="0.3">
      <c r="A374" s="1306"/>
      <c r="B374" s="1306"/>
      <c r="C374" s="1306"/>
      <c r="E374" s="1653"/>
      <c r="F374" s="1653"/>
      <c r="G374" s="1306"/>
      <c r="H374" s="1654"/>
    </row>
    <row r="375" spans="1:19" hidden="1" outlineLevel="1" x14ac:dyDescent="0.3">
      <c r="A375" s="1315" t="s">
        <v>642</v>
      </c>
      <c r="B375" s="1505">
        <f>B350-B371</f>
        <v>716.63333416355295</v>
      </c>
      <c r="C375" s="1505">
        <f>C350-C371</f>
        <v>720.09897990915056</v>
      </c>
      <c r="D375" s="1505">
        <f>D350-D371</f>
        <v>3057.2001509875863</v>
      </c>
      <c r="E375" s="1653"/>
      <c r="F375" s="1653"/>
      <c r="G375" s="1505">
        <f>G350-G371</f>
        <v>3206.3957739990865</v>
      </c>
      <c r="H375" s="1653">
        <f>G375/D375-1</f>
        <v>4.8801392006769584E-2</v>
      </c>
    </row>
    <row r="376" spans="1:19" hidden="1" outlineLevel="1" x14ac:dyDescent="0.3">
      <c r="A376" s="1320" t="s">
        <v>1331</v>
      </c>
      <c r="B376" s="1496">
        <f>B375/B336</f>
        <v>0.25475767300517344</v>
      </c>
      <c r="C376" s="1496">
        <f>C375/C336</f>
        <v>0.28063657449646556</v>
      </c>
      <c r="D376" s="1496">
        <f>D375/D336</f>
        <v>0.33325074128199283</v>
      </c>
      <c r="E376" s="1653"/>
      <c r="F376" s="1653"/>
      <c r="G376" s="1498">
        <f>G375/G336</f>
        <v>0.3420903097563851</v>
      </c>
      <c r="H376" s="1654"/>
    </row>
    <row r="377" spans="1:19" hidden="1" outlineLevel="1" x14ac:dyDescent="0.3">
      <c r="A377" s="1320" t="s">
        <v>2875</v>
      </c>
      <c r="B377" s="1501">
        <f>B375/B304/12*1000</f>
        <v>44.973660577967678</v>
      </c>
      <c r="C377" s="1501">
        <f>C375/C304/12*1000</f>
        <v>41.839899546282538</v>
      </c>
      <c r="D377" s="1501">
        <f>D375/D304/12*1000</f>
        <v>55.894400888320646</v>
      </c>
      <c r="E377" s="1653"/>
      <c r="F377" s="1653"/>
      <c r="G377" s="1501">
        <f>G375/G304/12*1000</f>
        <v>58.622125457055105</v>
      </c>
      <c r="H377" s="1654"/>
    </row>
    <row r="378" spans="1:19" hidden="1" outlineLevel="1" x14ac:dyDescent="0.3">
      <c r="A378" s="1320" t="s">
        <v>2876</v>
      </c>
      <c r="B378" s="1501">
        <f>B375/B302*1000/12</f>
        <v>18.529148158122684</v>
      </c>
      <c r="C378" s="1501">
        <f>C375/C302*1000/12</f>
        <v>18.618755298095731</v>
      </c>
      <c r="D378" s="1501">
        <f>D375/D302*1000/12</f>
        <v>16.543290860322436</v>
      </c>
      <c r="E378" s="1653"/>
      <c r="F378" s="1653"/>
      <c r="G378" s="1501">
        <f>G375/G302*1000/12</f>
        <v>17.35062648267904</v>
      </c>
      <c r="H378" s="1654"/>
    </row>
    <row r="379" spans="1:19" hidden="1" outlineLevel="1" x14ac:dyDescent="0.3">
      <c r="E379" s="1653"/>
      <c r="F379" s="1653"/>
      <c r="H379" s="1654"/>
    </row>
    <row r="380" spans="1:19" hidden="1" outlineLevel="1" x14ac:dyDescent="0.3">
      <c r="A380" s="1091"/>
      <c r="B380" s="1091"/>
      <c r="C380" s="1091"/>
      <c r="D380" s="1091"/>
      <c r="E380" s="1091"/>
      <c r="F380" s="1091"/>
      <c r="G380" s="1091"/>
      <c r="H380" s="1091"/>
      <c r="I380" s="1091"/>
      <c r="J380" s="1091"/>
      <c r="K380" s="1091"/>
      <c r="L380" s="1091"/>
      <c r="M380" s="1091"/>
      <c r="N380" s="1091"/>
      <c r="O380" s="1091"/>
      <c r="P380" s="1091"/>
      <c r="Q380" s="1091"/>
      <c r="R380" s="1091"/>
      <c r="S380" s="1091"/>
    </row>
    <row r="381" spans="1:19" hidden="1" outlineLevel="1" x14ac:dyDescent="0.3"/>
    <row r="382" spans="1:19" collapsed="1" x14ac:dyDescent="0.3"/>
    <row r="387" spans="1:20" x14ac:dyDescent="0.3">
      <c r="A387" s="1534" t="s">
        <v>2892</v>
      </c>
      <c r="B387" s="1055"/>
      <c r="C387" s="1055"/>
      <c r="D387" s="1055"/>
      <c r="E387" s="1055"/>
      <c r="F387" s="1055"/>
      <c r="G387" s="1055"/>
      <c r="H387" s="1055"/>
      <c r="I387" s="1055"/>
      <c r="J387" s="1055"/>
      <c r="K387" s="1055"/>
      <c r="L387" s="1055"/>
      <c r="M387" s="1055"/>
      <c r="N387" s="1055"/>
      <c r="O387" s="1055"/>
      <c r="P387" s="1055"/>
      <c r="Q387" s="1055"/>
      <c r="R387" s="1055"/>
      <c r="S387" s="1055"/>
    </row>
    <row r="388" spans="1:20" outlineLevel="1" x14ac:dyDescent="0.3"/>
    <row r="389" spans="1:20" outlineLevel="1" x14ac:dyDescent="0.3">
      <c r="B389" s="1556">
        <v>2023</v>
      </c>
      <c r="C389" s="1556">
        <f t="shared" ref="C389:J389" si="3">B389+1</f>
        <v>2024</v>
      </c>
      <c r="D389" s="1556">
        <f t="shared" si="3"/>
        <v>2025</v>
      </c>
      <c r="E389" s="1556">
        <f t="shared" si="3"/>
        <v>2026</v>
      </c>
      <c r="F389" s="1556">
        <f t="shared" si="3"/>
        <v>2027</v>
      </c>
      <c r="G389" s="1556">
        <f t="shared" si="3"/>
        <v>2028</v>
      </c>
      <c r="H389" s="1556">
        <f t="shared" si="3"/>
        <v>2029</v>
      </c>
      <c r="I389" s="1556">
        <f t="shared" si="3"/>
        <v>2030</v>
      </c>
      <c r="J389" s="1556">
        <f t="shared" si="3"/>
        <v>2031</v>
      </c>
    </row>
    <row r="390" spans="1:20" outlineLevel="1" x14ac:dyDescent="0.3">
      <c r="A390" s="1305" t="s">
        <v>780</v>
      </c>
      <c r="B390" s="1543">
        <f t="shared" ref="B390:B396" si="4">B74</f>
        <v>6491</v>
      </c>
      <c r="C390" s="1543">
        <f>B390+1300</f>
        <v>7791</v>
      </c>
      <c r="D390" s="1543">
        <f>C390+1300</f>
        <v>9091</v>
      </c>
      <c r="E390" s="1543">
        <f>E406-E398</f>
        <v>10000</v>
      </c>
      <c r="F390" s="1543">
        <f>F406-F398</f>
        <v>10000</v>
      </c>
      <c r="G390" s="1543">
        <f>G406-G398</f>
        <v>10000</v>
      </c>
      <c r="H390" s="1543">
        <f>H406-H398</f>
        <v>10000</v>
      </c>
      <c r="I390" s="1543">
        <f>I406-I398</f>
        <v>10000</v>
      </c>
      <c r="J390" s="1543">
        <f t="shared" ref="J390:J396" si="5">C74</f>
        <v>10000</v>
      </c>
      <c r="L390" s="929"/>
      <c r="M390" s="929"/>
      <c r="N390" s="929"/>
      <c r="O390" s="929"/>
      <c r="P390" s="929"/>
      <c r="Q390" s="929"/>
      <c r="R390" s="929"/>
      <c r="S390" s="929"/>
      <c r="T390" s="929"/>
    </row>
    <row r="391" spans="1:20" outlineLevel="1" x14ac:dyDescent="0.3">
      <c r="A391" s="1305" t="s">
        <v>1292</v>
      </c>
      <c r="B391" s="1568">
        <f t="shared" si="4"/>
        <v>0.30919735017716837</v>
      </c>
      <c r="C391" s="1568">
        <f>B391</f>
        <v>0.30919735017716837</v>
      </c>
      <c r="D391" s="1568">
        <f>C391+1%</f>
        <v>0.31919735017716838</v>
      </c>
      <c r="E391" s="1568">
        <f>D391+2%</f>
        <v>0.3391973501771684</v>
      </c>
      <c r="F391" s="1568">
        <f>E391+2.5%</f>
        <v>0.36419735017716842</v>
      </c>
      <c r="G391" s="1568">
        <f>F391+2.5%</f>
        <v>0.38919735017716844</v>
      </c>
      <c r="H391" s="1568">
        <f>G391+2.5%</f>
        <v>0.41419735017716847</v>
      </c>
      <c r="I391" s="1568">
        <f>I392/I390</f>
        <v>0.44780469168113002</v>
      </c>
      <c r="J391" s="1568">
        <f t="shared" si="5"/>
        <v>0.45</v>
      </c>
    </row>
    <row r="392" spans="1:20" outlineLevel="1" x14ac:dyDescent="0.3">
      <c r="A392" s="1313" t="s">
        <v>1293</v>
      </c>
      <c r="B392" s="1574">
        <f t="shared" si="4"/>
        <v>2007</v>
      </c>
      <c r="C392" s="1574">
        <f t="shared" ref="C392:H392" si="6">C390*C391</f>
        <v>2408.9565552303188</v>
      </c>
      <c r="D392" s="1574">
        <f t="shared" si="6"/>
        <v>2901.823110460638</v>
      </c>
      <c r="E392" s="1574">
        <f t="shared" si="6"/>
        <v>3391.9735017716839</v>
      </c>
      <c r="F392" s="1574">
        <f t="shared" si="6"/>
        <v>3641.9735017716844</v>
      </c>
      <c r="G392" s="1574">
        <f t="shared" si="6"/>
        <v>3891.9735017716844</v>
      </c>
      <c r="H392" s="1574">
        <f t="shared" si="6"/>
        <v>4141.9735017716848</v>
      </c>
      <c r="I392" s="1574">
        <f>I393/B37</f>
        <v>4478.0469168113004</v>
      </c>
      <c r="J392" s="1574">
        <f t="shared" si="5"/>
        <v>4500</v>
      </c>
    </row>
    <row r="393" spans="1:20" outlineLevel="1" x14ac:dyDescent="0.3">
      <c r="A393" s="1320" t="s">
        <v>1294</v>
      </c>
      <c r="B393" s="1575">
        <f t="shared" si="4"/>
        <v>1878</v>
      </c>
      <c r="C393" s="1575">
        <f t="shared" ref="C393:H393" si="7">C390*C395*$B$37</f>
        <v>2254.1207826220925</v>
      </c>
      <c r="D393" s="1575">
        <f t="shared" si="7"/>
        <v>2712.0605652441845</v>
      </c>
      <c r="E393" s="1575">
        <f t="shared" si="7"/>
        <v>3163.2367894007093</v>
      </c>
      <c r="F393" s="1575">
        <f t="shared" si="7"/>
        <v>3388.2367894007098</v>
      </c>
      <c r="G393" s="1575">
        <f t="shared" si="7"/>
        <v>3613.2367894007098</v>
      </c>
      <c r="H393" s="1575">
        <f t="shared" si="7"/>
        <v>3838.2367894007098</v>
      </c>
      <c r="I393" s="1575">
        <f>I417/I414*1000/12</f>
        <v>4030.2422251301705</v>
      </c>
      <c r="J393" s="1575">
        <f t="shared" si="5"/>
        <v>4050</v>
      </c>
    </row>
    <row r="394" spans="1:20" outlineLevel="1" x14ac:dyDescent="0.3">
      <c r="A394" s="1320" t="s">
        <v>1295</v>
      </c>
      <c r="B394" s="169">
        <f t="shared" si="4"/>
        <v>129</v>
      </c>
      <c r="C394" s="169">
        <f t="shared" ref="C394:I394" si="8">C392-C393</f>
        <v>154.83577260822631</v>
      </c>
      <c r="D394" s="169">
        <f t="shared" si="8"/>
        <v>189.76254521645342</v>
      </c>
      <c r="E394" s="169">
        <f t="shared" si="8"/>
        <v>228.7367123709746</v>
      </c>
      <c r="F394" s="169">
        <f t="shared" si="8"/>
        <v>253.7367123709746</v>
      </c>
      <c r="G394" s="169">
        <f t="shared" si="8"/>
        <v>278.7367123709746</v>
      </c>
      <c r="H394" s="169">
        <f t="shared" si="8"/>
        <v>303.73671237097506</v>
      </c>
      <c r="I394" s="169">
        <f t="shared" si="8"/>
        <v>447.80469168112995</v>
      </c>
      <c r="J394" s="169">
        <f t="shared" si="5"/>
        <v>450</v>
      </c>
    </row>
    <row r="395" spans="1:20" outlineLevel="1" x14ac:dyDescent="0.3">
      <c r="A395" s="1320" t="s">
        <v>1296</v>
      </c>
      <c r="B395" s="1107">
        <f t="shared" si="4"/>
        <v>0.32147075437785655</v>
      </c>
      <c r="C395" s="1586">
        <f>B395</f>
        <v>0.32147075437785655</v>
      </c>
      <c r="D395" s="1586">
        <f>C395+1%</f>
        <v>0.33147075437785656</v>
      </c>
      <c r="E395" s="1586">
        <f>D395+2%</f>
        <v>0.35147075437785658</v>
      </c>
      <c r="F395" s="1586">
        <f>E395+2.5%</f>
        <v>0.3764707543778566</v>
      </c>
      <c r="G395" s="1586">
        <f>F395+2.5%</f>
        <v>0.40147075437785662</v>
      </c>
      <c r="H395" s="1586">
        <f>G395+2.5%</f>
        <v>0.42647075437785664</v>
      </c>
      <c r="I395" s="1586">
        <f>I393/I390/B37</f>
        <v>0.44780469168113007</v>
      </c>
      <c r="J395" s="1107">
        <f t="shared" si="5"/>
        <v>0.45</v>
      </c>
    </row>
    <row r="396" spans="1:20" outlineLevel="1" x14ac:dyDescent="0.3">
      <c r="A396" s="1320" t="s">
        <v>1297</v>
      </c>
      <c r="B396" s="1107">
        <f t="shared" si="4"/>
        <v>0.1987367123709752</v>
      </c>
      <c r="C396" s="1107">
        <f t="shared" ref="C396:I396" si="9">C394/C390/(1-$B$37)</f>
        <v>0.19873671237097462</v>
      </c>
      <c r="D396" s="1107">
        <f t="shared" si="9"/>
        <v>0.2087367123709751</v>
      </c>
      <c r="E396" s="1107">
        <f t="shared" si="9"/>
        <v>0.22873671237097468</v>
      </c>
      <c r="F396" s="1107">
        <f t="shared" si="9"/>
        <v>0.25373671237097467</v>
      </c>
      <c r="G396" s="1107">
        <f t="shared" si="9"/>
        <v>0.27873671237097464</v>
      </c>
      <c r="H396" s="1107">
        <f t="shared" si="9"/>
        <v>0.3037367123709751</v>
      </c>
      <c r="I396" s="1107">
        <f t="shared" si="9"/>
        <v>0.44780469168113002</v>
      </c>
      <c r="J396" s="1107">
        <f t="shared" si="5"/>
        <v>0.45</v>
      </c>
    </row>
    <row r="397" spans="1:20" outlineLevel="1" x14ac:dyDescent="0.3">
      <c r="A397" s="1306"/>
      <c r="B397" s="1576"/>
      <c r="C397" s="1576"/>
      <c r="D397" s="1576"/>
      <c r="E397" s="1576"/>
      <c r="F397" s="1576"/>
      <c r="G397" s="1576"/>
      <c r="H397" s="1576"/>
      <c r="I397" s="1576"/>
      <c r="J397" s="1576"/>
    </row>
    <row r="398" spans="1:20" outlineLevel="1" x14ac:dyDescent="0.3">
      <c r="A398" s="1305" t="s">
        <v>782</v>
      </c>
      <c r="B398" s="1543">
        <f t="shared" ref="B398:B404" si="10">B82</f>
        <v>8909</v>
      </c>
      <c r="C398" s="1543">
        <f>C406-C390</f>
        <v>7609</v>
      </c>
      <c r="D398" s="1543">
        <f>D406-D390</f>
        <v>6309</v>
      </c>
      <c r="E398" s="1543">
        <f>F398</f>
        <v>5400</v>
      </c>
      <c r="F398" s="1543">
        <f>J398</f>
        <v>5400</v>
      </c>
      <c r="G398" s="1543">
        <f>F398</f>
        <v>5400</v>
      </c>
      <c r="H398" s="1543">
        <f>G398</f>
        <v>5400</v>
      </c>
      <c r="I398" s="1543">
        <f>H398</f>
        <v>5400</v>
      </c>
      <c r="J398" s="1543">
        <f t="shared" ref="J398:J404" si="11">C82</f>
        <v>5400</v>
      </c>
    </row>
    <row r="399" spans="1:20" outlineLevel="1" x14ac:dyDescent="0.3">
      <c r="A399" s="1305" t="s">
        <v>1292</v>
      </c>
      <c r="B399" s="1568">
        <f t="shared" si="10"/>
        <v>0.10506229655404647</v>
      </c>
      <c r="C399" s="1568">
        <f t="shared" ref="C399:I399" si="12">MAX($J$399,B399-1%)</f>
        <v>9.506229655404648E-2</v>
      </c>
      <c r="D399" s="1568">
        <f t="shared" si="12"/>
        <v>8.5062296554046485E-2</v>
      </c>
      <c r="E399" s="1568">
        <f t="shared" si="12"/>
        <v>7.506229655404649E-2</v>
      </c>
      <c r="F399" s="1568">
        <f t="shared" si="12"/>
        <v>6.5062296554046495E-2</v>
      </c>
      <c r="G399" s="1568">
        <f t="shared" si="12"/>
        <v>5.5062296554046493E-2</v>
      </c>
      <c r="H399" s="1568">
        <f t="shared" si="12"/>
        <v>4.5062296554046491E-2</v>
      </c>
      <c r="I399" s="1568">
        <f t="shared" si="12"/>
        <v>3.5062296554046489E-2</v>
      </c>
      <c r="J399" s="1568">
        <f t="shared" si="11"/>
        <v>0.02</v>
      </c>
    </row>
    <row r="400" spans="1:20" outlineLevel="1" x14ac:dyDescent="0.3">
      <c r="A400" s="1313" t="s">
        <v>1298</v>
      </c>
      <c r="B400" s="1577">
        <f t="shared" si="10"/>
        <v>936</v>
      </c>
      <c r="C400" s="1577">
        <f t="shared" ref="C400:I400" si="13">C398*C399</f>
        <v>723.32901447973961</v>
      </c>
      <c r="D400" s="1577">
        <f t="shared" si="13"/>
        <v>536.65802895947922</v>
      </c>
      <c r="E400" s="1577">
        <f t="shared" si="13"/>
        <v>405.33640139185104</v>
      </c>
      <c r="F400" s="1577">
        <f t="shared" si="13"/>
        <v>351.3364013918511</v>
      </c>
      <c r="G400" s="1577">
        <f t="shared" si="13"/>
        <v>297.33640139185104</v>
      </c>
      <c r="H400" s="1577">
        <f t="shared" si="13"/>
        <v>243.33640139185104</v>
      </c>
      <c r="I400" s="1577">
        <f t="shared" si="13"/>
        <v>189.33640139185104</v>
      </c>
      <c r="J400" s="1577">
        <f t="shared" si="11"/>
        <v>108</v>
      </c>
    </row>
    <row r="401" spans="1:20" outlineLevel="1" x14ac:dyDescent="0.3">
      <c r="A401" s="1320" t="s">
        <v>1294</v>
      </c>
      <c r="B401" s="1575">
        <f t="shared" si="10"/>
        <v>822</v>
      </c>
      <c r="C401" s="1575">
        <f t="shared" ref="C401:I401" si="14">C398*C403*$B$37</f>
        <v>633.57287810079697</v>
      </c>
      <c r="D401" s="1575">
        <f t="shared" si="14"/>
        <v>468.54575620159397</v>
      </c>
      <c r="E401" s="1575">
        <f t="shared" si="14"/>
        <v>352.43773711976661</v>
      </c>
      <c r="F401" s="1575">
        <f t="shared" si="14"/>
        <v>303.83773711976659</v>
      </c>
      <c r="G401" s="1575">
        <f t="shared" si="14"/>
        <v>255.23773711976659</v>
      </c>
      <c r="H401" s="1575">
        <f t="shared" si="14"/>
        <v>206.63773711976657</v>
      </c>
      <c r="I401" s="1575">
        <f t="shared" si="14"/>
        <v>158.03773711976658</v>
      </c>
      <c r="J401" s="1575">
        <f t="shared" si="11"/>
        <v>97.2</v>
      </c>
    </row>
    <row r="402" spans="1:20" outlineLevel="1" x14ac:dyDescent="0.3">
      <c r="A402" s="1320" t="s">
        <v>1295</v>
      </c>
      <c r="B402" s="169">
        <f t="shared" si="10"/>
        <v>114</v>
      </c>
      <c r="C402" s="169">
        <f t="shared" ref="C402:I402" si="15">C400-C401</f>
        <v>89.756136378942642</v>
      </c>
      <c r="D402" s="169">
        <f t="shared" si="15"/>
        <v>68.11227275788525</v>
      </c>
      <c r="E402" s="169">
        <f t="shared" si="15"/>
        <v>52.898664272084432</v>
      </c>
      <c r="F402" s="169">
        <f t="shared" si="15"/>
        <v>47.498664272084511</v>
      </c>
      <c r="G402" s="169">
        <f t="shared" si="15"/>
        <v>42.098664272084449</v>
      </c>
      <c r="H402" s="169">
        <f t="shared" si="15"/>
        <v>36.698664272084471</v>
      </c>
      <c r="I402" s="169">
        <f t="shared" si="15"/>
        <v>31.298664272084466</v>
      </c>
      <c r="J402" s="169">
        <f t="shared" si="11"/>
        <v>10.799999999999997</v>
      </c>
    </row>
    <row r="403" spans="1:20" outlineLevel="1" x14ac:dyDescent="0.3">
      <c r="A403" s="1320" t="s">
        <v>1296</v>
      </c>
      <c r="B403" s="1107">
        <f t="shared" si="10"/>
        <v>0.10251805290530175</v>
      </c>
      <c r="C403" s="1107">
        <f t="shared" ref="C403:I403" si="16">MAX($J$399,B403-1%)</f>
        <v>9.2518052905301754E-2</v>
      </c>
      <c r="D403" s="1107">
        <f t="shared" si="16"/>
        <v>8.2518052905301759E-2</v>
      </c>
      <c r="E403" s="1107">
        <f t="shared" si="16"/>
        <v>7.2518052905301764E-2</v>
      </c>
      <c r="F403" s="1107">
        <f t="shared" si="16"/>
        <v>6.2518052905301769E-2</v>
      </c>
      <c r="G403" s="1107">
        <f t="shared" si="16"/>
        <v>5.2518052905301767E-2</v>
      </c>
      <c r="H403" s="1107">
        <f t="shared" si="16"/>
        <v>4.2518052905301765E-2</v>
      </c>
      <c r="I403" s="1107">
        <f t="shared" si="16"/>
        <v>3.2518052905301763E-2</v>
      </c>
      <c r="J403" s="1107">
        <f t="shared" si="11"/>
        <v>0.02</v>
      </c>
    </row>
    <row r="404" spans="1:20" outlineLevel="1" x14ac:dyDescent="0.3">
      <c r="A404" s="1320" t="s">
        <v>1297</v>
      </c>
      <c r="B404" s="1107">
        <f t="shared" si="10"/>
        <v>0.12796048939274896</v>
      </c>
      <c r="C404" s="1107">
        <f t="shared" ref="C404:I404" si="17">C402/C398/(1-$B$37)</f>
        <v>0.11796048939274893</v>
      </c>
      <c r="D404" s="1107">
        <f t="shared" si="17"/>
        <v>0.10796048939274887</v>
      </c>
      <c r="E404" s="1107">
        <f t="shared" si="17"/>
        <v>9.7960489392748956E-2</v>
      </c>
      <c r="F404" s="1107">
        <f t="shared" si="17"/>
        <v>8.79604893927491E-2</v>
      </c>
      <c r="G404" s="1107">
        <f t="shared" si="17"/>
        <v>7.7960489392748994E-2</v>
      </c>
      <c r="H404" s="1107">
        <f t="shared" si="17"/>
        <v>6.7960489392749041E-2</v>
      </c>
      <c r="I404" s="1107">
        <f t="shared" si="17"/>
        <v>5.7960489392749018E-2</v>
      </c>
      <c r="J404" s="1107">
        <f t="shared" si="11"/>
        <v>0.02</v>
      </c>
    </row>
    <row r="405" spans="1:20" outlineLevel="1" x14ac:dyDescent="0.3">
      <c r="A405" s="1306"/>
      <c r="B405" s="1576"/>
      <c r="C405" s="1583"/>
      <c r="D405" s="1576"/>
      <c r="E405" s="1576"/>
      <c r="F405" s="1576"/>
      <c r="G405" s="1576"/>
      <c r="H405" s="1576"/>
      <c r="I405" s="1576"/>
      <c r="J405" s="1576"/>
    </row>
    <row r="406" spans="1:20" outlineLevel="1" x14ac:dyDescent="0.3">
      <c r="A406" s="1305" t="s">
        <v>2845</v>
      </c>
      <c r="B406" s="1543">
        <f t="shared" ref="B406:B412" si="18">B90</f>
        <v>15400</v>
      </c>
      <c r="C406" s="1543">
        <f t="shared" ref="C406:I406" si="19">B406*(1+$B$36)</f>
        <v>15400</v>
      </c>
      <c r="D406" s="1543">
        <f t="shared" si="19"/>
        <v>15400</v>
      </c>
      <c r="E406" s="1543">
        <f t="shared" si="19"/>
        <v>15400</v>
      </c>
      <c r="F406" s="1543">
        <f t="shared" si="19"/>
        <v>15400</v>
      </c>
      <c r="G406" s="1543">
        <f t="shared" si="19"/>
        <v>15400</v>
      </c>
      <c r="H406" s="1543">
        <f t="shared" si="19"/>
        <v>15400</v>
      </c>
      <c r="I406" s="1543">
        <f t="shared" si="19"/>
        <v>15400</v>
      </c>
      <c r="J406" s="1543">
        <f t="shared" ref="J406:J412" si="20">C90</f>
        <v>15400</v>
      </c>
      <c r="L406" s="929"/>
      <c r="M406" s="929"/>
      <c r="N406" s="929"/>
      <c r="O406" s="929"/>
      <c r="P406" s="929"/>
      <c r="Q406" s="929"/>
      <c r="R406" s="929"/>
      <c r="S406" s="929"/>
      <c r="T406" s="929"/>
    </row>
    <row r="407" spans="1:20" outlineLevel="1" x14ac:dyDescent="0.3">
      <c r="A407" s="1305" t="s">
        <v>1292</v>
      </c>
      <c r="B407" s="1568">
        <f t="shared" si="18"/>
        <v>0.19110389610389611</v>
      </c>
      <c r="C407" s="1568">
        <f t="shared" ref="C407:I407" si="21">C408/C406</f>
        <v>0.20339516686428952</v>
      </c>
      <c r="D407" s="1568">
        <f t="shared" si="21"/>
        <v>0.22327799606624135</v>
      </c>
      <c r="E407" s="1568">
        <f t="shared" si="21"/>
        <v>0.24657856514048926</v>
      </c>
      <c r="F407" s="1568">
        <f t="shared" si="21"/>
        <v>0.25930583786776207</v>
      </c>
      <c r="G407" s="1568">
        <f t="shared" si="21"/>
        <v>0.27203311059503477</v>
      </c>
      <c r="H407" s="1568">
        <f t="shared" si="21"/>
        <v>0.28476038332230752</v>
      </c>
      <c r="I407" s="1568">
        <f t="shared" si="21"/>
        <v>0.30307683884436049</v>
      </c>
      <c r="J407" s="1568">
        <f t="shared" si="20"/>
        <v>0.29922077922077922</v>
      </c>
    </row>
    <row r="408" spans="1:20" outlineLevel="1" x14ac:dyDescent="0.3">
      <c r="A408" s="1313" t="s">
        <v>2846</v>
      </c>
      <c r="B408" s="1567">
        <f t="shared" si="18"/>
        <v>2943</v>
      </c>
      <c r="C408" s="1567">
        <f t="shared" ref="C408:I410" si="22">C392+C400</f>
        <v>3132.2855697100586</v>
      </c>
      <c r="D408" s="1567">
        <f t="shared" si="22"/>
        <v>3438.481139420117</v>
      </c>
      <c r="E408" s="1567">
        <f t="shared" si="22"/>
        <v>3797.3099031635347</v>
      </c>
      <c r="F408" s="1567">
        <f t="shared" si="22"/>
        <v>3993.3099031635356</v>
      </c>
      <c r="G408" s="1567">
        <f t="shared" si="22"/>
        <v>4189.3099031635356</v>
      </c>
      <c r="H408" s="1567">
        <f t="shared" si="22"/>
        <v>4385.3099031635356</v>
      </c>
      <c r="I408" s="1567">
        <f t="shared" si="22"/>
        <v>4667.3833182031512</v>
      </c>
      <c r="J408" s="1567">
        <f t="shared" si="20"/>
        <v>4608</v>
      </c>
    </row>
    <row r="409" spans="1:20" outlineLevel="1" x14ac:dyDescent="0.3">
      <c r="A409" s="1320" t="s">
        <v>1294</v>
      </c>
      <c r="B409" s="169">
        <f t="shared" si="18"/>
        <v>2700</v>
      </c>
      <c r="C409" s="1540">
        <f t="shared" si="22"/>
        <v>2887.6936607228895</v>
      </c>
      <c r="D409" s="1540">
        <f t="shared" si="22"/>
        <v>3180.6063214457786</v>
      </c>
      <c r="E409" s="1540">
        <f t="shared" si="22"/>
        <v>3515.6745265204759</v>
      </c>
      <c r="F409" s="1540">
        <f t="shared" si="22"/>
        <v>3692.0745265204764</v>
      </c>
      <c r="G409" s="1540">
        <f t="shared" si="22"/>
        <v>3868.4745265204765</v>
      </c>
      <c r="H409" s="1540">
        <f t="shared" si="22"/>
        <v>4044.8745265204761</v>
      </c>
      <c r="I409" s="1540">
        <f t="shared" si="22"/>
        <v>4188.2799622499369</v>
      </c>
      <c r="J409" s="169">
        <f t="shared" si="20"/>
        <v>4147.2</v>
      </c>
    </row>
    <row r="410" spans="1:20" outlineLevel="1" x14ac:dyDescent="0.3">
      <c r="A410" s="1320" t="s">
        <v>1295</v>
      </c>
      <c r="B410" s="169">
        <f t="shared" si="18"/>
        <v>243</v>
      </c>
      <c r="C410" s="1540">
        <f t="shared" si="22"/>
        <v>244.59190898716895</v>
      </c>
      <c r="D410" s="1540">
        <f t="shared" si="22"/>
        <v>257.87481797433867</v>
      </c>
      <c r="E410" s="1540">
        <f t="shared" si="22"/>
        <v>281.63537664305903</v>
      </c>
      <c r="F410" s="1540">
        <f t="shared" si="22"/>
        <v>301.23537664305911</v>
      </c>
      <c r="G410" s="1540">
        <f t="shared" si="22"/>
        <v>320.83537664305902</v>
      </c>
      <c r="H410" s="1540">
        <f t="shared" si="22"/>
        <v>340.4353766430595</v>
      </c>
      <c r="I410" s="1540">
        <f t="shared" si="22"/>
        <v>479.10335595321442</v>
      </c>
      <c r="J410" s="169">
        <f t="shared" si="20"/>
        <v>460.8</v>
      </c>
    </row>
    <row r="411" spans="1:20" outlineLevel="1" x14ac:dyDescent="0.3">
      <c r="A411" s="1320" t="s">
        <v>1296</v>
      </c>
      <c r="B411" s="1107">
        <f t="shared" si="18"/>
        <v>0.19480519480519481</v>
      </c>
      <c r="C411" s="1107">
        <f t="shared" ref="C411:I411" si="23">C409/C406/$B$37</f>
        <v>0.20834730596846243</v>
      </c>
      <c r="D411" s="1107">
        <f t="shared" si="23"/>
        <v>0.2294809755732885</v>
      </c>
      <c r="E411" s="1107">
        <f t="shared" si="23"/>
        <v>0.25365617074462304</v>
      </c>
      <c r="F411" s="1107">
        <f t="shared" si="23"/>
        <v>0.26638344347189585</v>
      </c>
      <c r="G411" s="1107">
        <f t="shared" si="23"/>
        <v>0.27911071619916855</v>
      </c>
      <c r="H411" s="1107">
        <f t="shared" si="23"/>
        <v>0.29183798892644125</v>
      </c>
      <c r="I411" s="1107">
        <f t="shared" si="23"/>
        <v>0.30218470146103443</v>
      </c>
      <c r="J411" s="1107">
        <f t="shared" si="20"/>
        <v>0.29922077922077917</v>
      </c>
    </row>
    <row r="412" spans="1:20" outlineLevel="1" x14ac:dyDescent="0.3">
      <c r="A412" s="1320" t="s">
        <v>1297</v>
      </c>
      <c r="B412" s="1107">
        <f t="shared" si="18"/>
        <v>0.15779220779220776</v>
      </c>
      <c r="C412" s="1107">
        <f t="shared" ref="C412:I412" si="24">C410/C406/(1-$B$37)</f>
        <v>0.15882591492673315</v>
      </c>
      <c r="D412" s="1107">
        <f t="shared" si="24"/>
        <v>0.16745118050281738</v>
      </c>
      <c r="E412" s="1107">
        <f t="shared" si="24"/>
        <v>0.18288011470328513</v>
      </c>
      <c r="F412" s="1107">
        <f t="shared" si="24"/>
        <v>0.19560738743055792</v>
      </c>
      <c r="G412" s="1107">
        <f t="shared" si="24"/>
        <v>0.20833466015783059</v>
      </c>
      <c r="H412" s="1107">
        <f t="shared" si="24"/>
        <v>0.22106193288510362</v>
      </c>
      <c r="I412" s="1107">
        <f t="shared" si="24"/>
        <v>0.31110607529429518</v>
      </c>
      <c r="J412" s="1107">
        <f t="shared" si="20"/>
        <v>0.29922077922077928</v>
      </c>
    </row>
    <row r="413" spans="1:20" outlineLevel="1" x14ac:dyDescent="0.3">
      <c r="A413" s="1306"/>
      <c r="B413" s="1576"/>
      <c r="C413" s="1576"/>
      <c r="D413" s="1576"/>
      <c r="E413" s="1576"/>
      <c r="F413" s="1576"/>
      <c r="G413" s="1576"/>
      <c r="H413" s="1576"/>
      <c r="I413" s="1576"/>
      <c r="J413" s="1576"/>
    </row>
    <row r="414" spans="1:20" outlineLevel="1" x14ac:dyDescent="0.3">
      <c r="A414" s="1306" t="s">
        <v>1299</v>
      </c>
      <c r="B414" s="1541">
        <f>B98</f>
        <v>63.39</v>
      </c>
      <c r="C414" s="1541">
        <f t="shared" ref="C414:I414" si="25">B414*(1+$B$43)</f>
        <v>65.608649999999997</v>
      </c>
      <c r="D414" s="1541">
        <f t="shared" si="25"/>
        <v>67.904952749999993</v>
      </c>
      <c r="E414" s="1541">
        <f t="shared" si="25"/>
        <v>70.281626096249994</v>
      </c>
      <c r="F414" s="1541">
        <f t="shared" si="25"/>
        <v>72.741483009618733</v>
      </c>
      <c r="G414" s="1541">
        <f t="shared" si="25"/>
        <v>75.287434914955384</v>
      </c>
      <c r="H414" s="1541">
        <f t="shared" si="25"/>
        <v>77.92249513697881</v>
      </c>
      <c r="I414" s="1541">
        <f t="shared" si="25"/>
        <v>80.649782466773061</v>
      </c>
      <c r="J414" s="1541">
        <f>C98</f>
        <v>83.472524853110116</v>
      </c>
    </row>
    <row r="415" spans="1:20" outlineLevel="1" x14ac:dyDescent="0.3">
      <c r="A415" s="1306" t="s">
        <v>1300</v>
      </c>
      <c r="B415" s="1541">
        <f>B99</f>
        <v>52.261183591123064</v>
      </c>
      <c r="C415" s="1541">
        <f t="shared" ref="C415:I415" si="26">B415*(1+$B$44)</f>
        <v>54.874242770679217</v>
      </c>
      <c r="D415" s="1541">
        <f t="shared" si="26"/>
        <v>57.617954909213182</v>
      </c>
      <c r="E415" s="1541">
        <f t="shared" si="26"/>
        <v>60.498852654673847</v>
      </c>
      <c r="F415" s="1541">
        <f t="shared" si="26"/>
        <v>63.523795287407545</v>
      </c>
      <c r="G415" s="1541">
        <f t="shared" si="26"/>
        <v>66.699985051777929</v>
      </c>
      <c r="H415" s="1541">
        <f t="shared" si="26"/>
        <v>70.03498430436683</v>
      </c>
      <c r="I415" s="1541">
        <f t="shared" si="26"/>
        <v>73.536733519585169</v>
      </c>
      <c r="J415" s="1541">
        <f>C99</f>
        <v>77.213570195564401</v>
      </c>
    </row>
    <row r="416" spans="1:20" outlineLevel="1" x14ac:dyDescent="0.3">
      <c r="A416" s="1306"/>
      <c r="B416" s="1576"/>
      <c r="C416" s="1576"/>
      <c r="D416" s="1576"/>
      <c r="E416" s="1576"/>
      <c r="F416" s="1576"/>
      <c r="G416" s="1576"/>
      <c r="H416" s="1576"/>
      <c r="I416" s="1576"/>
      <c r="J416" s="1576"/>
    </row>
    <row r="417" spans="1:11" outlineLevel="1" x14ac:dyDescent="0.3">
      <c r="A417" s="1305" t="s">
        <v>1301</v>
      </c>
      <c r="B417" s="1543">
        <f>B101</f>
        <v>1312.2509849999999</v>
      </c>
      <c r="C417" s="1543">
        <f t="shared" ref="C417:H417" si="27">C414*C393*12/1000</f>
        <v>1774.6778578173473</v>
      </c>
      <c r="D417" s="1543">
        <f t="shared" si="27"/>
        <v>2209.9481344565352</v>
      </c>
      <c r="E417" s="1543">
        <f t="shared" si="27"/>
        <v>2667.8091034387553</v>
      </c>
      <c r="F417" s="1543">
        <f t="shared" si="27"/>
        <v>2957.5844261850821</v>
      </c>
      <c r="G417" s="1543">
        <f t="shared" si="27"/>
        <v>3264.3759553719397</v>
      </c>
      <c r="H417" s="1543">
        <f t="shared" si="27"/>
        <v>3589.0198506797997</v>
      </c>
      <c r="I417" s="1543">
        <f>I419-I418</f>
        <v>3900.4579049418198</v>
      </c>
      <c r="J417" s="1543">
        <f>C101</f>
        <v>4056.7647078611517</v>
      </c>
      <c r="K417" s="932">
        <f>J417/I417-1</f>
        <v>4.007396227024862E-2</v>
      </c>
    </row>
    <row r="418" spans="1:11" outlineLevel="1" x14ac:dyDescent="0.3">
      <c r="A418" s="1305" t="s">
        <v>1302</v>
      </c>
      <c r="B418" s="1557">
        <f>B102</f>
        <v>582.84285</v>
      </c>
      <c r="C418" s="1557">
        <f t="shared" ref="C418:I418" si="28">C401*C415*12/1000</f>
        <v>417.20198310985302</v>
      </c>
      <c r="D418" s="1557">
        <f t="shared" si="28"/>
        <v>323.95977904471965</v>
      </c>
      <c r="E418" s="1557">
        <f t="shared" si="28"/>
        <v>255.86494473546523</v>
      </c>
      <c r="F418" s="1557">
        <f t="shared" si="28"/>
        <v>231.61111456062244</v>
      </c>
      <c r="G418" s="1557">
        <f t="shared" si="28"/>
        <v>204.2922390064567</v>
      </c>
      <c r="H418" s="1557">
        <f t="shared" si="28"/>
        <v>173.66244811047275</v>
      </c>
      <c r="I418" s="1557">
        <f t="shared" si="28"/>
        <v>139.45894752737433</v>
      </c>
      <c r="J418" s="1557">
        <f>C102</f>
        <v>90.061908276106323</v>
      </c>
      <c r="K418" s="932">
        <f>J418/I418-1</f>
        <v>-0.35420487625271868</v>
      </c>
    </row>
    <row r="419" spans="1:11" outlineLevel="1" x14ac:dyDescent="0.3">
      <c r="A419" s="1313" t="s">
        <v>1303</v>
      </c>
      <c r="B419" s="1577">
        <f>B103</f>
        <v>1895.0938349999999</v>
      </c>
      <c r="C419" s="1577">
        <f t="shared" ref="C419:H419" si="29">SUM(C417:C418)</f>
        <v>2191.8798409272003</v>
      </c>
      <c r="D419" s="1577">
        <f t="shared" si="29"/>
        <v>2533.9079135012548</v>
      </c>
      <c r="E419" s="1577">
        <f t="shared" si="29"/>
        <v>2923.6740481742204</v>
      </c>
      <c r="F419" s="1577">
        <f t="shared" si="29"/>
        <v>3189.1955407457044</v>
      </c>
      <c r="G419" s="1577">
        <f t="shared" si="29"/>
        <v>3468.6681943783965</v>
      </c>
      <c r="H419" s="1577">
        <f t="shared" si="29"/>
        <v>3762.6822987902724</v>
      </c>
      <c r="I419" s="1577">
        <f>I430-I428-I426</f>
        <v>4039.9168524691941</v>
      </c>
      <c r="J419" s="1577">
        <f>C103</f>
        <v>4146.8266161372576</v>
      </c>
      <c r="K419" s="932">
        <f>J419/I419-1</f>
        <v>2.646335743338879E-2</v>
      </c>
    </row>
    <row r="420" spans="1:11" outlineLevel="1" x14ac:dyDescent="0.3">
      <c r="A420" s="1306"/>
      <c r="B420" s="1576"/>
      <c r="C420" s="1576"/>
      <c r="D420" s="1576"/>
      <c r="E420" s="1576"/>
      <c r="F420" s="1576"/>
      <c r="G420" s="1576"/>
      <c r="H420" s="1576"/>
      <c r="I420" s="1576"/>
      <c r="J420" s="1576"/>
    </row>
    <row r="421" spans="1:11" outlineLevel="1" x14ac:dyDescent="0.3">
      <c r="A421" s="1306" t="s">
        <v>1304</v>
      </c>
      <c r="B421" s="1543">
        <f>B106</f>
        <v>222</v>
      </c>
      <c r="C421" s="1543">
        <f t="shared" ref="C421:I421" si="30">C422*C406</f>
        <v>183.15</v>
      </c>
      <c r="D421" s="1543">
        <f t="shared" si="30"/>
        <v>154</v>
      </c>
      <c r="E421" s="1543">
        <f t="shared" si="30"/>
        <v>154</v>
      </c>
      <c r="F421" s="1543">
        <f t="shared" si="30"/>
        <v>154</v>
      </c>
      <c r="G421" s="1543">
        <f t="shared" si="30"/>
        <v>154</v>
      </c>
      <c r="H421" s="1543">
        <f t="shared" si="30"/>
        <v>154</v>
      </c>
      <c r="I421" s="1543">
        <f t="shared" si="30"/>
        <v>154</v>
      </c>
      <c r="J421" s="1543">
        <f>C106</f>
        <v>154</v>
      </c>
    </row>
    <row r="422" spans="1:11" outlineLevel="1" x14ac:dyDescent="0.3">
      <c r="A422" s="1320" t="s">
        <v>696</v>
      </c>
      <c r="B422" s="1578">
        <f>B107</f>
        <v>1.4415584415584416E-2</v>
      </c>
      <c r="C422" s="1578">
        <f t="shared" ref="C422:I422" si="31">MAX($J$422,B422*0.825)</f>
        <v>1.1892857142857143E-2</v>
      </c>
      <c r="D422" s="1578">
        <f t="shared" si="31"/>
        <v>0.01</v>
      </c>
      <c r="E422" s="1578">
        <f t="shared" si="31"/>
        <v>0.01</v>
      </c>
      <c r="F422" s="1578">
        <f t="shared" si="31"/>
        <v>0.01</v>
      </c>
      <c r="G422" s="1578">
        <f t="shared" si="31"/>
        <v>0.01</v>
      </c>
      <c r="H422" s="1578">
        <f t="shared" si="31"/>
        <v>0.01</v>
      </c>
      <c r="I422" s="1578">
        <f t="shared" si="31"/>
        <v>0.01</v>
      </c>
      <c r="J422" s="1578">
        <f>C107</f>
        <v>0.01</v>
      </c>
    </row>
    <row r="423" spans="1:11" outlineLevel="1" x14ac:dyDescent="0.3">
      <c r="A423" s="1306"/>
      <c r="B423" s="1576"/>
      <c r="C423" s="1576"/>
      <c r="D423" s="1576"/>
      <c r="E423" s="1576"/>
      <c r="F423" s="1576"/>
      <c r="G423" s="1576"/>
      <c r="H423" s="1576"/>
      <c r="I423" s="1576"/>
      <c r="J423" s="1576"/>
    </row>
    <row r="424" spans="1:11" outlineLevel="1" x14ac:dyDescent="0.3">
      <c r="A424" s="1306" t="s">
        <v>646</v>
      </c>
      <c r="B424" s="1541">
        <f>B109</f>
        <v>130.78071707317073</v>
      </c>
      <c r="C424" s="1541">
        <f t="shared" ref="C424:I424" si="32">B424*(1+$B$45)</f>
        <v>136.01194575609756</v>
      </c>
      <c r="D424" s="1541">
        <f t="shared" si="32"/>
        <v>141.45242358634147</v>
      </c>
      <c r="E424" s="1541">
        <f t="shared" si="32"/>
        <v>147.11052052979514</v>
      </c>
      <c r="F424" s="1541">
        <f t="shared" si="32"/>
        <v>152.99494135098695</v>
      </c>
      <c r="G424" s="1541">
        <f t="shared" si="32"/>
        <v>159.11473900502642</v>
      </c>
      <c r="H424" s="1541">
        <f t="shared" si="32"/>
        <v>165.47932856522749</v>
      </c>
      <c r="I424" s="1541">
        <f t="shared" si="32"/>
        <v>172.09850170783659</v>
      </c>
      <c r="J424" s="1541">
        <f>C109</f>
        <v>178.9824417761501</v>
      </c>
      <c r="K424" s="932">
        <f>J424/I424-1</f>
        <v>4.0000000000000258E-2</v>
      </c>
    </row>
    <row r="425" spans="1:11" outlineLevel="1" x14ac:dyDescent="0.3">
      <c r="A425" s="1306"/>
      <c r="B425" s="1576"/>
      <c r="C425" s="1576"/>
      <c r="D425" s="1576"/>
      <c r="E425" s="1576"/>
      <c r="F425" s="1576"/>
      <c r="G425" s="1576"/>
      <c r="H425" s="1576"/>
      <c r="I425" s="1576"/>
      <c r="J425" s="1576"/>
    </row>
    <row r="426" spans="1:11" outlineLevel="1" x14ac:dyDescent="0.3">
      <c r="A426" s="1306" t="s">
        <v>1305</v>
      </c>
      <c r="B426" s="1543">
        <f>B111</f>
        <v>402.15070500000002</v>
      </c>
      <c r="C426" s="1543">
        <f t="shared" ref="C426:I426" si="33">C424*C421*12/1000</f>
        <v>298.92705438275124</v>
      </c>
      <c r="D426" s="1543">
        <f t="shared" si="33"/>
        <v>261.40407878755906</v>
      </c>
      <c r="E426" s="1543">
        <f t="shared" si="33"/>
        <v>271.86024193906144</v>
      </c>
      <c r="F426" s="1543">
        <f t="shared" si="33"/>
        <v>282.73465161662392</v>
      </c>
      <c r="G426" s="1543">
        <f t="shared" si="33"/>
        <v>294.04403768128884</v>
      </c>
      <c r="H426" s="1543">
        <f t="shared" si="33"/>
        <v>305.80579918854039</v>
      </c>
      <c r="I426" s="1543">
        <f t="shared" si="33"/>
        <v>318.03803115608207</v>
      </c>
      <c r="J426" s="1543">
        <f>C111</f>
        <v>330.75955240232537</v>
      </c>
      <c r="K426" s="932">
        <f>J426/I426-1</f>
        <v>4.0000000000000036E-2</v>
      </c>
    </row>
    <row r="427" spans="1:11" outlineLevel="1" x14ac:dyDescent="0.3">
      <c r="A427" s="1306"/>
      <c r="B427" s="1576"/>
      <c r="C427" s="1576"/>
      <c r="D427" s="1576"/>
      <c r="E427" s="1576"/>
      <c r="F427" s="1576"/>
      <c r="G427" s="1576"/>
      <c r="H427" s="1576"/>
      <c r="I427" s="1576"/>
      <c r="J427" s="1576"/>
    </row>
    <row r="428" spans="1:11" outlineLevel="1" x14ac:dyDescent="0.3">
      <c r="A428" s="1306" t="s">
        <v>1306</v>
      </c>
      <c r="B428" s="1543">
        <f>B113</f>
        <v>799.75545999999997</v>
      </c>
      <c r="C428" s="1543">
        <f t="shared" ref="C428:I428" si="34">B428*(1+$B$46)</f>
        <v>719.77991399999996</v>
      </c>
      <c r="D428" s="1543">
        <f t="shared" si="34"/>
        <v>647.80192260000001</v>
      </c>
      <c r="E428" s="1543">
        <f t="shared" si="34"/>
        <v>583.02173033999998</v>
      </c>
      <c r="F428" s="1543">
        <f t="shared" si="34"/>
        <v>524.71955730599996</v>
      </c>
      <c r="G428" s="1543">
        <f t="shared" si="34"/>
        <v>472.24760157539998</v>
      </c>
      <c r="H428" s="1543">
        <f t="shared" si="34"/>
        <v>425.02284141785998</v>
      </c>
      <c r="I428" s="1543">
        <f t="shared" si="34"/>
        <v>382.52055727607399</v>
      </c>
      <c r="J428" s="1543">
        <f>C113</f>
        <v>344.2685015484667</v>
      </c>
      <c r="K428" s="932">
        <f>J428/I428-1</f>
        <v>-9.9999999999999756E-2</v>
      </c>
    </row>
    <row r="429" spans="1:11" outlineLevel="1" x14ac:dyDescent="0.3">
      <c r="A429" s="1306"/>
      <c r="B429" s="1576"/>
      <c r="C429" s="1576"/>
      <c r="D429" s="1576"/>
      <c r="E429" s="1576"/>
      <c r="F429" s="1576"/>
      <c r="G429" s="1576"/>
      <c r="H429" s="1576"/>
      <c r="I429" s="1576"/>
      <c r="J429" s="1576"/>
    </row>
    <row r="430" spans="1:11" outlineLevel="1" x14ac:dyDescent="0.3">
      <c r="A430" s="1315" t="s">
        <v>1307</v>
      </c>
      <c r="B430" s="1551">
        <f>B115</f>
        <v>3096.9999999999995</v>
      </c>
      <c r="C430" s="1551">
        <f t="shared" ref="C430:H430" si="35">C419+C426+C428</f>
        <v>3210.5868093099516</v>
      </c>
      <c r="D430" s="1551">
        <f t="shared" si="35"/>
        <v>3443.1139148888142</v>
      </c>
      <c r="E430" s="1551">
        <f t="shared" si="35"/>
        <v>3778.5560204532817</v>
      </c>
      <c r="F430" s="1551">
        <f t="shared" si="35"/>
        <v>3996.6497496683282</v>
      </c>
      <c r="G430" s="1551">
        <f t="shared" si="35"/>
        <v>4234.9598336350855</v>
      </c>
      <c r="H430" s="1551">
        <f t="shared" si="35"/>
        <v>4493.5109393966723</v>
      </c>
      <c r="I430" s="1551">
        <f>I440-I436</f>
        <v>4740.4754409013503</v>
      </c>
      <c r="J430" s="1551">
        <f>C115</f>
        <v>4821.8546700880497</v>
      </c>
      <c r="K430" s="932">
        <f>J430/I430-1</f>
        <v>1.7166891844760945E-2</v>
      </c>
    </row>
    <row r="431" spans="1:11" outlineLevel="1" x14ac:dyDescent="0.3">
      <c r="A431" s="1320" t="s">
        <v>2849</v>
      </c>
      <c r="B431" s="1579">
        <f>B116</f>
        <v>95.586419753086417</v>
      </c>
      <c r="C431" s="1579">
        <f t="shared" ref="C431:I431" si="36">C430/C409*1000/12</f>
        <v>92.651413969185569</v>
      </c>
      <c r="D431" s="1579">
        <f t="shared" si="36"/>
        <v>90.21115176669916</v>
      </c>
      <c r="E431" s="1579">
        <f t="shared" si="36"/>
        <v>89.564510592722215</v>
      </c>
      <c r="F431" s="1579">
        <f t="shared" si="36"/>
        <v>90.207861031335781</v>
      </c>
      <c r="G431" s="1579">
        <f t="shared" si="36"/>
        <v>91.228032406619093</v>
      </c>
      <c r="H431" s="1579">
        <f t="shared" si="36"/>
        <v>92.576232586340282</v>
      </c>
      <c r="I431" s="1579">
        <f t="shared" si="36"/>
        <v>94.320251663142855</v>
      </c>
      <c r="J431" s="1579">
        <f>C116</f>
        <v>96.889762371560948</v>
      </c>
    </row>
    <row r="432" spans="1:11" outlineLevel="1" x14ac:dyDescent="0.3">
      <c r="A432" s="1320" t="s">
        <v>2850</v>
      </c>
      <c r="B432" s="1580">
        <f>B117</f>
        <v>16.758658008658006</v>
      </c>
      <c r="C432" s="1580">
        <f t="shared" ref="C432:I432" si="37">C430/C406*1000/12</f>
        <v>17.373305245183722</v>
      </c>
      <c r="D432" s="1580">
        <f t="shared" si="37"/>
        <v>18.631568803510898</v>
      </c>
      <c r="E432" s="1580">
        <f t="shared" si="37"/>
        <v>20.446731712409534</v>
      </c>
      <c r="F432" s="1580">
        <f t="shared" si="37"/>
        <v>21.626892584785324</v>
      </c>
      <c r="G432" s="1580">
        <f t="shared" si="37"/>
        <v>22.916449316207174</v>
      </c>
      <c r="H432" s="1580">
        <f t="shared" si="37"/>
        <v>24.31553538634563</v>
      </c>
      <c r="I432" s="1580">
        <f t="shared" si="37"/>
        <v>25.651923381500811</v>
      </c>
      <c r="J432" s="1580">
        <f>C117</f>
        <v>26.092287175801133</v>
      </c>
    </row>
    <row r="433" spans="1:11" outlineLevel="1" x14ac:dyDescent="0.3">
      <c r="A433" s="1306"/>
      <c r="B433" s="1576"/>
      <c r="C433" s="1576"/>
      <c r="D433" s="1576"/>
      <c r="E433" s="1576"/>
      <c r="F433" s="1576"/>
      <c r="G433" s="1576"/>
      <c r="H433" s="1576"/>
      <c r="I433" s="1576"/>
      <c r="J433" s="1576"/>
    </row>
    <row r="434" spans="1:11" outlineLevel="1" x14ac:dyDescent="0.3">
      <c r="A434" s="1305" t="s">
        <v>2851</v>
      </c>
      <c r="B434" s="1543">
        <f>B119</f>
        <v>1124</v>
      </c>
      <c r="C434" s="1543">
        <f t="shared" ref="C434:I434" si="38">C436*C390/C406</f>
        <v>1304.7395454545454</v>
      </c>
      <c r="D434" s="1543">
        <f t="shared" si="38"/>
        <v>1522.4473376623378</v>
      </c>
      <c r="E434" s="1543">
        <f t="shared" si="38"/>
        <v>1674.6753246753246</v>
      </c>
      <c r="F434" s="1543">
        <f t="shared" si="38"/>
        <v>1674.6753246753246</v>
      </c>
      <c r="G434" s="1543">
        <f t="shared" si="38"/>
        <v>1674.6753246753246</v>
      </c>
      <c r="H434" s="1543">
        <f t="shared" si="38"/>
        <v>1674.6753246753246</v>
      </c>
      <c r="I434" s="1543">
        <f t="shared" si="38"/>
        <v>1674.6753246753246</v>
      </c>
      <c r="J434" s="1543">
        <f>C119</f>
        <v>1674.6753246753246</v>
      </c>
    </row>
    <row r="435" spans="1:11" outlineLevel="1" x14ac:dyDescent="0.3">
      <c r="A435" s="1305" t="s">
        <v>2852</v>
      </c>
      <c r="B435" s="1557">
        <f>B120</f>
        <v>1455</v>
      </c>
      <c r="C435" s="1557">
        <f t="shared" ref="C435:I435" si="39">C436-C434</f>
        <v>1274.2604545454546</v>
      </c>
      <c r="D435" s="1557">
        <f t="shared" si="39"/>
        <v>1056.5526623376622</v>
      </c>
      <c r="E435" s="1557">
        <f t="shared" si="39"/>
        <v>904.32467532467535</v>
      </c>
      <c r="F435" s="1557">
        <f t="shared" si="39"/>
        <v>904.32467532467535</v>
      </c>
      <c r="G435" s="1557">
        <f t="shared" si="39"/>
        <v>904.32467532467535</v>
      </c>
      <c r="H435" s="1557">
        <f t="shared" si="39"/>
        <v>904.32467532467535</v>
      </c>
      <c r="I435" s="1557">
        <f t="shared" si="39"/>
        <v>904.32467532467535</v>
      </c>
      <c r="J435" s="1557">
        <f>C120</f>
        <v>904.32467532467535</v>
      </c>
    </row>
    <row r="436" spans="1:11" outlineLevel="1" x14ac:dyDescent="0.3">
      <c r="A436" s="1313" t="s">
        <v>2853</v>
      </c>
      <c r="B436" s="1577">
        <f>B121</f>
        <v>2579</v>
      </c>
      <c r="C436" s="1577">
        <f t="shared" ref="C436:I436" si="40">B436*(1+$B$47)</f>
        <v>2579</v>
      </c>
      <c r="D436" s="1577">
        <f t="shared" si="40"/>
        <v>2579</v>
      </c>
      <c r="E436" s="1577">
        <f t="shared" si="40"/>
        <v>2579</v>
      </c>
      <c r="F436" s="1577">
        <f t="shared" si="40"/>
        <v>2579</v>
      </c>
      <c r="G436" s="1577">
        <f t="shared" si="40"/>
        <v>2579</v>
      </c>
      <c r="H436" s="1577">
        <f t="shared" si="40"/>
        <v>2579</v>
      </c>
      <c r="I436" s="1577">
        <f t="shared" si="40"/>
        <v>2579</v>
      </c>
      <c r="J436" s="1577">
        <f>C121</f>
        <v>2579</v>
      </c>
    </row>
    <row r="437" spans="1:11" outlineLevel="1" x14ac:dyDescent="0.3">
      <c r="A437" s="1306"/>
      <c r="B437" s="1576"/>
      <c r="C437" s="1576"/>
      <c r="D437" s="1576"/>
      <c r="E437" s="1576"/>
      <c r="F437" s="1576"/>
      <c r="G437" s="1576"/>
      <c r="H437" s="1576"/>
      <c r="I437" s="1576"/>
      <c r="J437" s="1576"/>
    </row>
    <row r="438" spans="1:11" outlineLevel="1" x14ac:dyDescent="0.3">
      <c r="A438" s="1306" t="s">
        <v>465</v>
      </c>
      <c r="B438" s="1543">
        <f>B123</f>
        <v>75</v>
      </c>
      <c r="C438" s="1583">
        <f t="shared" ref="C438:I438" si="41">B438</f>
        <v>75</v>
      </c>
      <c r="D438" s="1583">
        <f t="shared" si="41"/>
        <v>75</v>
      </c>
      <c r="E438" s="1583">
        <f t="shared" si="41"/>
        <v>75</v>
      </c>
      <c r="F438" s="1583">
        <f t="shared" si="41"/>
        <v>75</v>
      </c>
      <c r="G438" s="1583">
        <f t="shared" si="41"/>
        <v>75</v>
      </c>
      <c r="H438" s="1583">
        <f t="shared" si="41"/>
        <v>75</v>
      </c>
      <c r="I438" s="1583">
        <f t="shared" si="41"/>
        <v>75</v>
      </c>
      <c r="J438" s="1543">
        <f>C123</f>
        <v>75</v>
      </c>
    </row>
    <row r="439" spans="1:11" outlineLevel="1" x14ac:dyDescent="0.3">
      <c r="A439" s="1306"/>
      <c r="B439" s="1576"/>
      <c r="C439" s="1576"/>
      <c r="D439" s="1576"/>
      <c r="E439" s="1576"/>
      <c r="F439" s="1576"/>
      <c r="G439" s="1576"/>
      <c r="H439" s="1576"/>
      <c r="I439" s="1576"/>
      <c r="J439" s="1576"/>
    </row>
    <row r="440" spans="1:11" outlineLevel="1" x14ac:dyDescent="0.3">
      <c r="A440" s="1315" t="s">
        <v>651</v>
      </c>
      <c r="B440" s="1551">
        <f>B125</f>
        <v>5751</v>
      </c>
      <c r="C440" s="1551">
        <f t="shared" ref="C440:H440" si="42">C430+C436+C438</f>
        <v>5864.5868093099516</v>
      </c>
      <c r="D440" s="1551">
        <f t="shared" si="42"/>
        <v>6097.1139148888142</v>
      </c>
      <c r="E440" s="1551">
        <f t="shared" si="42"/>
        <v>6432.5560204532812</v>
      </c>
      <c r="F440" s="1551">
        <f t="shared" si="42"/>
        <v>6650.6497496683278</v>
      </c>
      <c r="G440" s="1551">
        <f t="shared" si="42"/>
        <v>6888.9598336350855</v>
      </c>
      <c r="H440" s="1551">
        <f t="shared" si="42"/>
        <v>7147.5109393966723</v>
      </c>
      <c r="I440" s="1551">
        <f>J440/(1+B14)</f>
        <v>7319.4754409013503</v>
      </c>
      <c r="J440" s="1551">
        <f>C125</f>
        <v>7475.8546700880497</v>
      </c>
      <c r="K440" s="932">
        <f>J440/I440-1</f>
        <v>2.1364813701382213E-2</v>
      </c>
    </row>
    <row r="441" spans="1:11" outlineLevel="1" x14ac:dyDescent="0.3">
      <c r="A441" s="1320" t="s">
        <v>2849</v>
      </c>
      <c r="B441" s="1579">
        <f>B126</f>
        <v>162.8440366972477</v>
      </c>
      <c r="C441" s="1579">
        <f t="shared" ref="C441:I441" si="43">C440/C408*1000/12</f>
        <v>156.02522712759364</v>
      </c>
      <c r="D441" s="1579">
        <f t="shared" si="43"/>
        <v>147.76664627173784</v>
      </c>
      <c r="E441" s="1579">
        <f t="shared" si="43"/>
        <v>141.16475839677815</v>
      </c>
      <c r="F441" s="1579">
        <f t="shared" si="43"/>
        <v>138.78732828456464</v>
      </c>
      <c r="G441" s="1579">
        <f t="shared" si="43"/>
        <v>137.03449957300691</v>
      </c>
      <c r="H441" s="1579">
        <f t="shared" si="43"/>
        <v>135.8229919364897</v>
      </c>
      <c r="I441" s="1579">
        <f t="shared" si="43"/>
        <v>130.68484955218977</v>
      </c>
      <c r="J441" s="1579">
        <f>C126</f>
        <v>135.19702456033076</v>
      </c>
    </row>
    <row r="442" spans="1:11" outlineLevel="1" x14ac:dyDescent="0.3">
      <c r="A442" s="1320" t="s">
        <v>2850</v>
      </c>
      <c r="B442" s="1580">
        <f>B127</f>
        <v>31.120129870129873</v>
      </c>
      <c r="C442" s="1580">
        <f t="shared" ref="C442:I442" si="44">C440/C406*1000/12</f>
        <v>31.734777106655585</v>
      </c>
      <c r="D442" s="1580">
        <f t="shared" si="44"/>
        <v>32.993040664982765</v>
      </c>
      <c r="E442" s="1580">
        <f t="shared" si="44"/>
        <v>34.808203573881393</v>
      </c>
      <c r="F442" s="1580">
        <f t="shared" si="44"/>
        <v>35.988364446257187</v>
      </c>
      <c r="G442" s="1580">
        <f t="shared" si="44"/>
        <v>37.277921177679033</v>
      </c>
      <c r="H442" s="1580">
        <f t="shared" si="44"/>
        <v>38.677007247817492</v>
      </c>
      <c r="I442" s="1580">
        <f t="shared" si="44"/>
        <v>39.60755108712852</v>
      </c>
      <c r="J442" s="1580">
        <f>C127</f>
        <v>40.453759037272995</v>
      </c>
    </row>
    <row r="443" spans="1:11" outlineLevel="1" x14ac:dyDescent="0.3">
      <c r="A443" s="1306"/>
      <c r="B443" s="1576"/>
      <c r="C443" s="1576"/>
      <c r="D443" s="1576"/>
      <c r="E443" s="1576"/>
      <c r="F443" s="1576"/>
      <c r="G443" s="1576"/>
      <c r="H443" s="1576"/>
      <c r="I443" s="1576"/>
      <c r="J443" s="1576"/>
    </row>
    <row r="444" spans="1:11" outlineLevel="1" x14ac:dyDescent="0.3">
      <c r="A444" s="1306" t="s">
        <v>1322</v>
      </c>
      <c r="B444" s="1541">
        <f>B140</f>
        <v>88.780487804878064</v>
      </c>
      <c r="C444" s="1541">
        <f t="shared" ref="C444:I444" si="45">B444+C424-B424</f>
        <v>94.011716487804875</v>
      </c>
      <c r="D444" s="1541">
        <f t="shared" si="45"/>
        <v>99.452194318048782</v>
      </c>
      <c r="E444" s="1541">
        <f t="shared" si="45"/>
        <v>105.11029126150245</v>
      </c>
      <c r="F444" s="1541">
        <f t="shared" si="45"/>
        <v>110.99471208269429</v>
      </c>
      <c r="G444" s="1541">
        <f t="shared" si="45"/>
        <v>117.11450973673374</v>
      </c>
      <c r="H444" s="1541">
        <f t="shared" si="45"/>
        <v>123.47909929693481</v>
      </c>
      <c r="I444" s="1541">
        <f t="shared" si="45"/>
        <v>130.0982724395439</v>
      </c>
      <c r="J444" s="1541">
        <f>C140</f>
        <v>136.98221250785741</v>
      </c>
    </row>
    <row r="445" spans="1:11" outlineLevel="1" x14ac:dyDescent="0.3">
      <c r="A445" s="1306"/>
      <c r="B445" s="1581"/>
      <c r="C445" s="1581"/>
      <c r="D445" s="1581"/>
      <c r="E445" s="1581"/>
      <c r="F445" s="1581"/>
      <c r="G445" s="1581"/>
      <c r="H445" s="1581"/>
      <c r="I445" s="1581"/>
      <c r="J445" s="1581"/>
    </row>
    <row r="446" spans="1:11" outlineLevel="1" x14ac:dyDescent="0.3">
      <c r="A446" s="1305" t="s">
        <v>2893</v>
      </c>
      <c r="B446" s="1543">
        <f>B136</f>
        <v>273</v>
      </c>
      <c r="C446" s="1543">
        <f t="shared" ref="C446:I446" si="46">C444*C421*12/1000</f>
        <v>206.61895049689755</v>
      </c>
      <c r="D446" s="1543">
        <f t="shared" si="46"/>
        <v>183.78765509975415</v>
      </c>
      <c r="E446" s="1543">
        <f t="shared" si="46"/>
        <v>194.24381825125653</v>
      </c>
      <c r="F446" s="1543">
        <f t="shared" si="46"/>
        <v>205.11822792881907</v>
      </c>
      <c r="G446" s="1543">
        <f t="shared" si="46"/>
        <v>216.42761399348393</v>
      </c>
      <c r="H446" s="1543">
        <f t="shared" si="46"/>
        <v>228.18937550073551</v>
      </c>
      <c r="I446" s="1543">
        <f t="shared" si="46"/>
        <v>240.42160746827716</v>
      </c>
      <c r="J446" s="1543">
        <f>C136</f>
        <v>253.14312871452051</v>
      </c>
    </row>
    <row r="447" spans="1:11" outlineLevel="1" x14ac:dyDescent="0.3">
      <c r="A447" s="1305"/>
      <c r="B447" s="1543"/>
      <c r="C447" s="1543"/>
      <c r="D447" s="1543"/>
      <c r="E447" s="1543"/>
      <c r="F447" s="1543"/>
      <c r="G447" s="1543"/>
      <c r="H447" s="1543"/>
      <c r="I447" s="1543"/>
      <c r="J447" s="1543"/>
    </row>
    <row r="448" spans="1:11" outlineLevel="1" x14ac:dyDescent="0.3">
      <c r="A448" s="1305" t="s">
        <v>2894</v>
      </c>
      <c r="B448" s="1582">
        <f>B133</f>
        <v>3351</v>
      </c>
      <c r="C448" s="1582">
        <f t="shared" ref="C448:J448" si="47">C453*C408*12/1000+C454*C406*12/1000</f>
        <v>3385.0714025478105</v>
      </c>
      <c r="D448" s="1582">
        <f t="shared" si="47"/>
        <v>3440.1866050956214</v>
      </c>
      <c r="E448" s="1582">
        <f t="shared" si="47"/>
        <v>3504.7757825694366</v>
      </c>
      <c r="F448" s="1582">
        <f t="shared" si="47"/>
        <v>3540.0557825694368</v>
      </c>
      <c r="G448" s="1582">
        <f t="shared" si="47"/>
        <v>3575.3357825694366</v>
      </c>
      <c r="H448" s="1582">
        <f t="shared" si="47"/>
        <v>3610.6157825694363</v>
      </c>
      <c r="I448" s="1582">
        <f>I450+I449</f>
        <v>3647.7612040032745</v>
      </c>
      <c r="J448" s="1582">
        <f t="shared" si="47"/>
        <v>3650.7000000000003</v>
      </c>
    </row>
    <row r="449" spans="1:11" outlineLevel="1" x14ac:dyDescent="0.3">
      <c r="A449" s="1305" t="s">
        <v>2895</v>
      </c>
      <c r="B449" s="1557">
        <f>B134</f>
        <v>0</v>
      </c>
      <c r="C449" s="1557">
        <f>B449</f>
        <v>0</v>
      </c>
      <c r="D449" s="1557">
        <f t="shared" ref="D449:J449" si="48">C449</f>
        <v>0</v>
      </c>
      <c r="E449" s="1557">
        <f t="shared" si="48"/>
        <v>0</v>
      </c>
      <c r="F449" s="1557">
        <f t="shared" si="48"/>
        <v>0</v>
      </c>
      <c r="G449" s="1557">
        <f t="shared" si="48"/>
        <v>0</v>
      </c>
      <c r="H449" s="1557">
        <f t="shared" si="48"/>
        <v>0</v>
      </c>
      <c r="I449" s="1557">
        <f t="shared" si="48"/>
        <v>0</v>
      </c>
      <c r="J449" s="1557">
        <f t="shared" si="48"/>
        <v>0</v>
      </c>
    </row>
    <row r="450" spans="1:11" outlineLevel="1" x14ac:dyDescent="0.3">
      <c r="A450" s="1305" t="s">
        <v>2896</v>
      </c>
      <c r="B450" s="1583">
        <f>B135</f>
        <v>3351</v>
      </c>
      <c r="C450" s="1583">
        <f t="shared" ref="C450:H450" si="49">C448-C449</f>
        <v>3385.0714025478105</v>
      </c>
      <c r="D450" s="1583">
        <f t="shared" si="49"/>
        <v>3440.1866050956214</v>
      </c>
      <c r="E450" s="1583">
        <f t="shared" si="49"/>
        <v>3504.7757825694366</v>
      </c>
      <c r="F450" s="1583">
        <f t="shared" si="49"/>
        <v>3540.0557825694368</v>
      </c>
      <c r="G450" s="1583">
        <f t="shared" si="49"/>
        <v>3575.3357825694366</v>
      </c>
      <c r="H450" s="1583">
        <f t="shared" si="49"/>
        <v>3610.6157825694363</v>
      </c>
      <c r="I450" s="1583">
        <f>I456-I446</f>
        <v>3647.7612040032745</v>
      </c>
      <c r="J450" s="1583">
        <f>C135</f>
        <v>3650.7000000000003</v>
      </c>
    </row>
    <row r="451" spans="1:11" s="680" customFormat="1" outlineLevel="1" x14ac:dyDescent="0.3">
      <c r="A451" s="1320" t="s">
        <v>2862</v>
      </c>
      <c r="B451" s="1650">
        <f t="shared" ref="B451:J451" si="50">B448/B408*1000/12</f>
        <v>94.886170574243977</v>
      </c>
      <c r="C451" s="1650">
        <f t="shared" si="50"/>
        <v>90.058609685375075</v>
      </c>
      <c r="D451" s="1650">
        <f t="shared" si="50"/>
        <v>83.37466615845662</v>
      </c>
      <c r="E451" s="1650">
        <f t="shared" si="50"/>
        <v>76.913566707877678</v>
      </c>
      <c r="F451" s="1650">
        <f t="shared" si="50"/>
        <v>73.874719393490537</v>
      </c>
      <c r="G451" s="1650">
        <f t="shared" si="50"/>
        <v>71.120221572164354</v>
      </c>
      <c r="H451" s="1650">
        <f t="shared" si="50"/>
        <v>68.611946519537128</v>
      </c>
      <c r="I451" s="1650">
        <f t="shared" si="50"/>
        <v>65.128591248989679</v>
      </c>
      <c r="J451" s="1650">
        <f t="shared" si="50"/>
        <v>66.021050347222229</v>
      </c>
    </row>
    <row r="452" spans="1:11" s="680" customFormat="1" outlineLevel="1" x14ac:dyDescent="0.3">
      <c r="A452" s="1320" t="s">
        <v>317</v>
      </c>
      <c r="B452" s="1650">
        <f t="shared" ref="B452:J452" si="51">B448/B406*1000/12</f>
        <v>18.133116883116884</v>
      </c>
      <c r="C452" s="1650">
        <f t="shared" si="51"/>
        <v>18.317485944522783</v>
      </c>
      <c r="D452" s="1650">
        <f t="shared" si="51"/>
        <v>18.615728382552064</v>
      </c>
      <c r="E452" s="1650">
        <f t="shared" si="51"/>
        <v>18.965236918665784</v>
      </c>
      <c r="F452" s="1650">
        <f t="shared" si="51"/>
        <v>19.156146009574876</v>
      </c>
      <c r="G452" s="1650">
        <f t="shared" si="51"/>
        <v>19.347055100483963</v>
      </c>
      <c r="H452" s="1650">
        <f t="shared" si="51"/>
        <v>19.537964191393055</v>
      </c>
      <c r="I452" s="1650">
        <f t="shared" si="51"/>
        <v>19.738967554130273</v>
      </c>
      <c r="J452" s="1650">
        <f t="shared" si="51"/>
        <v>19.754870129870131</v>
      </c>
    </row>
    <row r="453" spans="1:11" s="680" customFormat="1" outlineLevel="1" x14ac:dyDescent="0.3">
      <c r="A453" s="1320" t="s">
        <v>2882</v>
      </c>
      <c r="B453" s="1650">
        <f>B50</f>
        <v>15</v>
      </c>
      <c r="C453" s="1650">
        <f t="shared" ref="C453:J454" si="52">B453</f>
        <v>15</v>
      </c>
      <c r="D453" s="1650">
        <f t="shared" si="52"/>
        <v>15</v>
      </c>
      <c r="E453" s="1650">
        <f t="shared" si="52"/>
        <v>15</v>
      </c>
      <c r="F453" s="1650">
        <f t="shared" si="52"/>
        <v>15</v>
      </c>
      <c r="G453" s="1650">
        <f t="shared" si="52"/>
        <v>15</v>
      </c>
      <c r="H453" s="1650">
        <f t="shared" si="52"/>
        <v>15</v>
      </c>
      <c r="I453" s="1650">
        <f t="shared" si="52"/>
        <v>15</v>
      </c>
      <c r="J453" s="1650">
        <f t="shared" si="52"/>
        <v>15</v>
      </c>
    </row>
    <row r="454" spans="1:11" s="680" customFormat="1" outlineLevel="1" x14ac:dyDescent="0.3">
      <c r="A454" s="1320" t="s">
        <v>2883</v>
      </c>
      <c r="B454" s="1650">
        <f>B53</f>
        <v>15.266558441558441</v>
      </c>
      <c r="C454" s="1650">
        <f t="shared" si="52"/>
        <v>15.266558441558441</v>
      </c>
      <c r="D454" s="1650">
        <f t="shared" si="52"/>
        <v>15.266558441558441</v>
      </c>
      <c r="E454" s="1650">
        <f t="shared" si="52"/>
        <v>15.266558441558441</v>
      </c>
      <c r="F454" s="1650">
        <f t="shared" si="52"/>
        <v>15.266558441558441</v>
      </c>
      <c r="G454" s="1650">
        <f t="shared" si="52"/>
        <v>15.266558441558441</v>
      </c>
      <c r="H454" s="1650">
        <f t="shared" si="52"/>
        <v>15.266558441558441</v>
      </c>
      <c r="I454" s="1650">
        <f t="shared" si="52"/>
        <v>15.266558441558441</v>
      </c>
      <c r="J454" s="1650">
        <f t="shared" si="52"/>
        <v>15.266558441558441</v>
      </c>
    </row>
    <row r="455" spans="1:11" outlineLevel="1" x14ac:dyDescent="0.3">
      <c r="A455" s="1305"/>
      <c r="B455" s="1582"/>
      <c r="C455" s="1582"/>
      <c r="D455" s="1582"/>
      <c r="E455" s="1582"/>
      <c r="F455" s="1582"/>
      <c r="G455" s="1582"/>
      <c r="H455" s="1582"/>
      <c r="I455" s="1582"/>
      <c r="J455" s="1582"/>
    </row>
    <row r="456" spans="1:11" outlineLevel="1" x14ac:dyDescent="0.3">
      <c r="A456" s="1313" t="s">
        <v>2891</v>
      </c>
      <c r="B456" s="1551">
        <f>B137</f>
        <v>3624</v>
      </c>
      <c r="C456" s="1551">
        <f t="shared" ref="C456:H456" si="53">C446+C450</f>
        <v>3591.690353044708</v>
      </c>
      <c r="D456" s="1551">
        <f t="shared" si="53"/>
        <v>3623.9742601953758</v>
      </c>
      <c r="E456" s="1551">
        <f t="shared" si="53"/>
        <v>3699.0196008206931</v>
      </c>
      <c r="F456" s="1551">
        <f t="shared" si="53"/>
        <v>3745.1740104982559</v>
      </c>
      <c r="G456" s="1551">
        <f t="shared" si="53"/>
        <v>3791.7633965629207</v>
      </c>
      <c r="H456" s="1551">
        <f t="shared" si="53"/>
        <v>3838.8051580701717</v>
      </c>
      <c r="I456" s="1551">
        <f>I440-I460</f>
        <v>3888.1828114715518</v>
      </c>
      <c r="J456" s="1551">
        <f>C137</f>
        <v>3903.8431287145208</v>
      </c>
    </row>
    <row r="457" spans="1:11" outlineLevel="1" x14ac:dyDescent="0.3">
      <c r="A457" s="1320" t="s">
        <v>2897</v>
      </c>
      <c r="B457" s="1580">
        <f>B138</f>
        <v>94.886170574243977</v>
      </c>
      <c r="C457" s="1580">
        <f t="shared" ref="C457:I457" si="54">C456/C408*1000/12</f>
        <v>95.555632703086474</v>
      </c>
      <c r="D457" s="1580">
        <f t="shared" si="54"/>
        <v>87.82885313927062</v>
      </c>
      <c r="E457" s="1580">
        <f t="shared" si="54"/>
        <v>81.176317251568094</v>
      </c>
      <c r="F457" s="1580">
        <f t="shared" si="54"/>
        <v>78.15517497425914</v>
      </c>
      <c r="G457" s="1580">
        <f t="shared" si="54"/>
        <v>75.425378009943628</v>
      </c>
      <c r="H457" s="1580">
        <f t="shared" si="54"/>
        <v>72.948192238000502</v>
      </c>
      <c r="I457" s="1580">
        <f t="shared" si="54"/>
        <v>69.421175035187673</v>
      </c>
      <c r="J457" s="1580">
        <f>C138</f>
        <v>66.021050347222229</v>
      </c>
    </row>
    <row r="458" spans="1:11" outlineLevel="1" x14ac:dyDescent="0.3">
      <c r="A458" s="1320" t="s">
        <v>2898</v>
      </c>
      <c r="B458" s="1580">
        <f>B139</f>
        <v>18.133116883116884</v>
      </c>
      <c r="C458" s="1580">
        <f t="shared" ref="C458:I458" si="55">C456/C406*1000/12</f>
        <v>19.435553858467035</v>
      </c>
      <c r="D458" s="1580">
        <f t="shared" si="55"/>
        <v>19.610250325732554</v>
      </c>
      <c r="E458" s="1580">
        <f t="shared" si="55"/>
        <v>20.016339831280806</v>
      </c>
      <c r="F458" s="1580">
        <f t="shared" si="55"/>
        <v>20.266093130401817</v>
      </c>
      <c r="G458" s="1580">
        <f t="shared" si="55"/>
        <v>20.518200197851304</v>
      </c>
      <c r="H458" s="1580">
        <f t="shared" si="55"/>
        <v>20.772755184362403</v>
      </c>
      <c r="I458" s="1580">
        <f t="shared" si="55"/>
        <v>21.039950278525712</v>
      </c>
      <c r="J458" s="1580">
        <f>C139</f>
        <v>19.754870129870131</v>
      </c>
    </row>
    <row r="459" spans="1:11" outlineLevel="1" x14ac:dyDescent="0.3">
      <c r="A459" s="1306"/>
      <c r="B459" s="1576"/>
      <c r="C459" s="1576"/>
      <c r="D459" s="1576"/>
      <c r="E459" s="1576"/>
      <c r="F459" s="1576"/>
      <c r="G459" s="1576"/>
      <c r="H459" s="1576"/>
      <c r="I459" s="1576"/>
      <c r="J459" s="1576"/>
    </row>
    <row r="460" spans="1:11" outlineLevel="1" x14ac:dyDescent="0.3">
      <c r="A460" s="1315" t="s">
        <v>44</v>
      </c>
      <c r="B460" s="1551">
        <f>B142</f>
        <v>2127</v>
      </c>
      <c r="C460" s="1551">
        <f t="shared" ref="C460:H460" si="56">C440-C456</f>
        <v>2272.8964562652436</v>
      </c>
      <c r="D460" s="1551">
        <f t="shared" si="56"/>
        <v>2473.1396546934384</v>
      </c>
      <c r="E460" s="1551">
        <f t="shared" si="56"/>
        <v>2733.5364196325881</v>
      </c>
      <c r="F460" s="1551">
        <f t="shared" si="56"/>
        <v>2905.4757391700718</v>
      </c>
      <c r="G460" s="1551">
        <f t="shared" si="56"/>
        <v>3097.1964370721648</v>
      </c>
      <c r="H460" s="1551">
        <f t="shared" si="56"/>
        <v>3308.7057813265005</v>
      </c>
      <c r="I460" s="1551">
        <f>J460/(1+B18)</f>
        <v>3431.2926294297986</v>
      </c>
      <c r="J460" s="1551">
        <f>C142</f>
        <v>3572.0115413735289</v>
      </c>
      <c r="K460" s="932">
        <f>J460/I460-1</f>
        <v>4.1010466649448851E-2</v>
      </c>
    </row>
    <row r="461" spans="1:11" outlineLevel="1" x14ac:dyDescent="0.3">
      <c r="A461" s="1320" t="s">
        <v>1326</v>
      </c>
      <c r="B461" s="1578">
        <f>B143</f>
        <v>0.36984872196139801</v>
      </c>
      <c r="C461" s="1578">
        <f t="shared" ref="C461:I461" si="57">C460/C440</f>
        <v>0.38756293157039667</v>
      </c>
      <c r="D461" s="1578">
        <f t="shared" si="57"/>
        <v>0.40562464294035389</v>
      </c>
      <c r="E461" s="1578">
        <f t="shared" si="57"/>
        <v>0.42495337948723605</v>
      </c>
      <c r="F461" s="1578">
        <f t="shared" si="57"/>
        <v>0.43687095976073159</v>
      </c>
      <c r="G461" s="1578">
        <f t="shared" si="57"/>
        <v>0.44958840113281262</v>
      </c>
      <c r="H461" s="1578">
        <f t="shared" si="57"/>
        <v>0.46291720423806604</v>
      </c>
      <c r="I461" s="1578">
        <f t="shared" si="57"/>
        <v>0.46878941764811155</v>
      </c>
      <c r="J461" s="1578">
        <f>C143</f>
        <v>0.47780644474880596</v>
      </c>
    </row>
    <row r="462" spans="1:11" outlineLevel="1" x14ac:dyDescent="0.3">
      <c r="A462" s="1320" t="s">
        <v>2864</v>
      </c>
      <c r="B462" s="1580">
        <f>B144</f>
        <v>60.227658851512068</v>
      </c>
      <c r="C462" s="1580">
        <f t="shared" ref="C462:I462" si="58">C460/C408*1000/12</f>
        <v>60.469594424507171</v>
      </c>
      <c r="D462" s="1580">
        <f t="shared" si="58"/>
        <v>59.937793132467242</v>
      </c>
      <c r="E462" s="1580">
        <f t="shared" si="58"/>
        <v>59.988441145210061</v>
      </c>
      <c r="F462" s="1580">
        <f t="shared" si="58"/>
        <v>60.63215331030549</v>
      </c>
      <c r="G462" s="1580">
        <f t="shared" si="58"/>
        <v>61.609121563063269</v>
      </c>
      <c r="H462" s="1580">
        <f t="shared" si="58"/>
        <v>62.874799698489198</v>
      </c>
      <c r="I462" s="1580">
        <f t="shared" si="58"/>
        <v>61.26367451700213</v>
      </c>
      <c r="J462" s="1580">
        <f>C144</f>
        <v>64.59800964578865</v>
      </c>
    </row>
    <row r="463" spans="1:11" outlineLevel="1" x14ac:dyDescent="0.3">
      <c r="A463" s="1320" t="s">
        <v>2865</v>
      </c>
      <c r="B463" s="1580">
        <f>B145</f>
        <v>11.50974025974026</v>
      </c>
      <c r="C463" s="1580">
        <f t="shared" ref="C463:I463" si="59">C460/C406*1000/12</f>
        <v>12.299223248188548</v>
      </c>
      <c r="D463" s="1580">
        <f t="shared" si="59"/>
        <v>13.382790339250207</v>
      </c>
      <c r="E463" s="1580">
        <f t="shared" si="59"/>
        <v>14.791863742600585</v>
      </c>
      <c r="F463" s="1580">
        <f t="shared" si="59"/>
        <v>15.722271315855368</v>
      </c>
      <c r="G463" s="1580">
        <f t="shared" si="59"/>
        <v>16.75972097982773</v>
      </c>
      <c r="H463" s="1580">
        <f t="shared" si="59"/>
        <v>17.90425206345509</v>
      </c>
      <c r="I463" s="1580">
        <f t="shared" si="59"/>
        <v>18.567600808602808</v>
      </c>
      <c r="J463" s="1580">
        <f>C145</f>
        <v>19.32906678232429</v>
      </c>
    </row>
    <row r="464" spans="1:11" outlineLevel="1" x14ac:dyDescent="0.3">
      <c r="A464" s="1306"/>
      <c r="B464" s="1581"/>
      <c r="C464" s="1581"/>
      <c r="D464" s="1581"/>
      <c r="E464" s="1581"/>
      <c r="F464" s="1581"/>
      <c r="G464" s="1581"/>
      <c r="H464" s="1581"/>
      <c r="I464" s="1581"/>
      <c r="J464" s="1581"/>
    </row>
    <row r="465" spans="1:10" outlineLevel="1" x14ac:dyDescent="0.3">
      <c r="A465" s="1305" t="s">
        <v>2866</v>
      </c>
      <c r="B465" s="1543">
        <f>B147</f>
        <v>1371</v>
      </c>
      <c r="C465" s="1543">
        <f t="shared" ref="C465:I465" si="60">C466*$B$57/1000</f>
        <v>1300</v>
      </c>
      <c r="D465" s="1543">
        <f t="shared" si="60"/>
        <v>1300</v>
      </c>
      <c r="E465" s="1543">
        <f t="shared" si="60"/>
        <v>909</v>
      </c>
      <c r="F465" s="1543">
        <f t="shared" si="60"/>
        <v>0</v>
      </c>
      <c r="G465" s="1543">
        <f t="shared" si="60"/>
        <v>0</v>
      </c>
      <c r="H465" s="1543">
        <f t="shared" si="60"/>
        <v>0</v>
      </c>
      <c r="I465" s="1543">
        <f t="shared" si="60"/>
        <v>0</v>
      </c>
      <c r="J465" s="1543">
        <f>C147</f>
        <v>0</v>
      </c>
    </row>
    <row r="466" spans="1:10" outlineLevel="1" x14ac:dyDescent="0.3">
      <c r="A466" s="1320" t="s">
        <v>326</v>
      </c>
      <c r="B466" s="1584">
        <f>B148</f>
        <v>1320</v>
      </c>
      <c r="C466" s="1584">
        <f>C390-B390+C406-B406</f>
        <v>1300</v>
      </c>
      <c r="D466" s="1584">
        <f>D390-C390+D406-C406</f>
        <v>1300</v>
      </c>
      <c r="E466" s="1584">
        <f>E390-D390+E406-D406</f>
        <v>909</v>
      </c>
      <c r="F466" s="1584">
        <f>F390-E390</f>
        <v>0</v>
      </c>
      <c r="G466" s="1584">
        <f>G390-F390</f>
        <v>0</v>
      </c>
      <c r="H466" s="1584">
        <f>H390-G390</f>
        <v>0</v>
      </c>
      <c r="I466" s="1584">
        <f>I390-H390</f>
        <v>0</v>
      </c>
      <c r="J466" s="1584">
        <f>C148</f>
        <v>0</v>
      </c>
    </row>
    <row r="467" spans="1:10" outlineLevel="1" x14ac:dyDescent="0.3">
      <c r="A467" s="1306"/>
      <c r="B467" s="1543"/>
      <c r="C467" s="1543"/>
      <c r="D467" s="1543"/>
      <c r="E467" s="1543"/>
      <c r="F467" s="1543"/>
      <c r="G467" s="1543"/>
      <c r="H467" s="1543"/>
      <c r="I467" s="1543"/>
      <c r="J467" s="1543"/>
    </row>
    <row r="468" spans="1:10" outlineLevel="1" x14ac:dyDescent="0.3">
      <c r="A468" s="108" t="s">
        <v>196</v>
      </c>
      <c r="B468" s="1465">
        <f>B150</f>
        <v>402.36871309169203</v>
      </c>
      <c r="C468" s="925">
        <f t="shared" ref="C468:I468" si="61">C469*$B$58/1000+C470*$B$59/1000</f>
        <v>640.30054007086733</v>
      </c>
      <c r="D468" s="925">
        <f t="shared" si="61"/>
        <v>684.81228694173478</v>
      </c>
      <c r="E468" s="925">
        <f t="shared" si="61"/>
        <v>601.98261592974904</v>
      </c>
      <c r="F468" s="925">
        <f t="shared" si="61"/>
        <v>329.33661592974897</v>
      </c>
      <c r="G468" s="925">
        <f t="shared" si="61"/>
        <v>351.20661592974898</v>
      </c>
      <c r="H468" s="925">
        <f t="shared" si="61"/>
        <v>373.07661592974898</v>
      </c>
      <c r="I468" s="925">
        <f t="shared" si="61"/>
        <v>391.73954428265256</v>
      </c>
      <c r="J468" s="1465">
        <f>C150</f>
        <v>272.28149999999994</v>
      </c>
    </row>
    <row r="469" spans="1:10" outlineLevel="1" x14ac:dyDescent="0.3">
      <c r="A469" s="680" t="s">
        <v>2867</v>
      </c>
      <c r="B469" s="1561">
        <f>B151</f>
        <v>0</v>
      </c>
      <c r="C469" s="1565">
        <f t="shared" ref="C469:I469" si="62">C466*$B$38*$B$37</f>
        <v>526.5</v>
      </c>
      <c r="D469" s="1565">
        <f t="shared" si="62"/>
        <v>526.5</v>
      </c>
      <c r="E469" s="1565">
        <f t="shared" si="62"/>
        <v>368.14500000000004</v>
      </c>
      <c r="F469" s="1565">
        <f t="shared" si="62"/>
        <v>0</v>
      </c>
      <c r="G469" s="1565">
        <f t="shared" si="62"/>
        <v>0</v>
      </c>
      <c r="H469" s="1565">
        <f t="shared" si="62"/>
        <v>0</v>
      </c>
      <c r="I469" s="1565">
        <f t="shared" si="62"/>
        <v>0</v>
      </c>
      <c r="J469" s="1561">
        <f>C151</f>
        <v>0</v>
      </c>
    </row>
    <row r="470" spans="1:10" outlineLevel="1" x14ac:dyDescent="0.3">
      <c r="A470" s="680" t="s">
        <v>2868</v>
      </c>
      <c r="B470" s="1561">
        <f>B152</f>
        <v>0</v>
      </c>
      <c r="C470" s="1565">
        <f t="shared" ref="C470:I470" si="63">C393*$B$68*12</f>
        <v>365.16756678477901</v>
      </c>
      <c r="D470" s="1565">
        <f t="shared" si="63"/>
        <v>439.35381156955793</v>
      </c>
      <c r="E470" s="1565">
        <f t="shared" si="63"/>
        <v>512.44435988291491</v>
      </c>
      <c r="F470" s="1565">
        <f t="shared" si="63"/>
        <v>548.89435988291496</v>
      </c>
      <c r="G470" s="1565">
        <f t="shared" si="63"/>
        <v>585.344359882915</v>
      </c>
      <c r="H470" s="1565">
        <f t="shared" si="63"/>
        <v>621.79435988291493</v>
      </c>
      <c r="I470" s="1565">
        <f t="shared" si="63"/>
        <v>652.89924047108764</v>
      </c>
      <c r="J470" s="1561">
        <f>C152</f>
        <v>656.09999999999991</v>
      </c>
    </row>
    <row r="471" spans="1:10" outlineLevel="1" x14ac:dyDescent="0.3">
      <c r="A471" s="1306"/>
      <c r="B471" s="1543"/>
      <c r="C471" s="1543"/>
      <c r="D471" s="1543"/>
      <c r="E471" s="1543"/>
      <c r="F471" s="1543"/>
      <c r="G471" s="1543"/>
      <c r="H471" s="1543"/>
      <c r="I471" s="1543"/>
      <c r="J471" s="1543"/>
    </row>
    <row r="472" spans="1:10" outlineLevel="1" x14ac:dyDescent="0.3">
      <c r="A472" s="1306" t="s">
        <v>2837</v>
      </c>
      <c r="B472" s="1543">
        <f>B154</f>
        <v>718.63128690830808</v>
      </c>
      <c r="C472" s="1543">
        <f t="shared" ref="C472:I472" si="64">C474*C436</f>
        <v>646.76815821747732</v>
      </c>
      <c r="D472" s="1543">
        <f t="shared" si="64"/>
        <v>582.09134239572961</v>
      </c>
      <c r="E472" s="1543">
        <f t="shared" si="64"/>
        <v>523.88220815615659</v>
      </c>
      <c r="F472" s="1543">
        <f t="shared" si="64"/>
        <v>471.49398734054097</v>
      </c>
      <c r="G472" s="1543">
        <f t="shared" si="64"/>
        <v>424.34458860648687</v>
      </c>
      <c r="H472" s="1543">
        <f t="shared" si="64"/>
        <v>381.91012974583822</v>
      </c>
      <c r="I472" s="1543">
        <f t="shared" si="64"/>
        <v>343.71911677125439</v>
      </c>
      <c r="J472" s="1543">
        <f>C154</f>
        <v>257.90000000000003</v>
      </c>
    </row>
    <row r="473" spans="1:10" outlineLevel="1" x14ac:dyDescent="0.3">
      <c r="A473" s="1320" t="s">
        <v>2869</v>
      </c>
      <c r="B473" s="1584">
        <f>B155</f>
        <v>46.664369279760265</v>
      </c>
      <c r="C473" s="1584">
        <f t="shared" ref="C473:I473" si="65">C472/C406*1000</f>
        <v>41.997932351784243</v>
      </c>
      <c r="D473" s="1584">
        <f t="shared" si="65"/>
        <v>37.798139116605817</v>
      </c>
      <c r="E473" s="1584">
        <f t="shared" si="65"/>
        <v>34.018325204945235</v>
      </c>
      <c r="F473" s="1584">
        <f t="shared" si="65"/>
        <v>30.616492684450712</v>
      </c>
      <c r="G473" s="1584">
        <f t="shared" si="65"/>
        <v>27.554843416005642</v>
      </c>
      <c r="H473" s="1584">
        <f t="shared" si="65"/>
        <v>24.799359074405078</v>
      </c>
      <c r="I473" s="1584">
        <f t="shared" si="65"/>
        <v>22.319423166964572</v>
      </c>
      <c r="J473" s="1584">
        <f>C155</f>
        <v>16.746753246753251</v>
      </c>
    </row>
    <row r="474" spans="1:10" outlineLevel="1" x14ac:dyDescent="0.3">
      <c r="A474" s="1306" t="s">
        <v>2870</v>
      </c>
      <c r="B474" s="1585">
        <f>B156</f>
        <v>0.278647261306052</v>
      </c>
      <c r="C474" s="1585">
        <f t="shared" ref="C474:I474" si="66">MAX($J$474,B474*0.9)</f>
        <v>0.2507825351754468</v>
      </c>
      <c r="D474" s="1585">
        <f t="shared" si="66"/>
        <v>0.22570428165790213</v>
      </c>
      <c r="E474" s="1585">
        <f t="shared" si="66"/>
        <v>0.20313385349211191</v>
      </c>
      <c r="F474" s="1585">
        <f t="shared" si="66"/>
        <v>0.18282046814290073</v>
      </c>
      <c r="G474" s="1585">
        <f t="shared" si="66"/>
        <v>0.16453842132861066</v>
      </c>
      <c r="H474" s="1585">
        <f t="shared" si="66"/>
        <v>0.1480845791957496</v>
      </c>
      <c r="I474" s="1585">
        <f t="shared" si="66"/>
        <v>0.13327612127617464</v>
      </c>
      <c r="J474" s="1585">
        <f>C156</f>
        <v>0.1</v>
      </c>
    </row>
    <row r="475" spans="1:10" outlineLevel="1" x14ac:dyDescent="0.3">
      <c r="A475" s="1306"/>
      <c r="B475" s="1543"/>
      <c r="C475" s="1543"/>
      <c r="D475" s="1543"/>
      <c r="E475" s="1543"/>
      <c r="F475" s="1543"/>
      <c r="G475" s="1543"/>
      <c r="H475" s="1543"/>
      <c r="I475" s="1543"/>
      <c r="J475" s="1543"/>
    </row>
    <row r="476" spans="1:10" outlineLevel="1" x14ac:dyDescent="0.3">
      <c r="A476" s="1306" t="s">
        <v>1613</v>
      </c>
      <c r="B476" s="1465">
        <f>B158</f>
        <v>600</v>
      </c>
      <c r="C476" s="1465">
        <f t="shared" ref="C476:I476" si="67">C477*C406/1000</f>
        <v>600</v>
      </c>
      <c r="D476" s="1465">
        <f t="shared" si="67"/>
        <v>600</v>
      </c>
      <c r="E476" s="1465">
        <f t="shared" si="67"/>
        <v>600</v>
      </c>
      <c r="F476" s="1465">
        <f t="shared" si="67"/>
        <v>600</v>
      </c>
      <c r="G476" s="1465">
        <f t="shared" si="67"/>
        <v>600</v>
      </c>
      <c r="H476" s="1465">
        <f t="shared" si="67"/>
        <v>600</v>
      </c>
      <c r="I476" s="1465">
        <f t="shared" si="67"/>
        <v>600</v>
      </c>
      <c r="J476" s="1465">
        <f>C158</f>
        <v>515.31765630261532</v>
      </c>
    </row>
    <row r="477" spans="1:10" outlineLevel="1" x14ac:dyDescent="0.3">
      <c r="A477" s="1320" t="s">
        <v>2871</v>
      </c>
      <c r="B477" s="1561">
        <f>B159</f>
        <v>38.961038961038959</v>
      </c>
      <c r="C477" s="1561">
        <f t="shared" ref="C477:I477" si="68">B477</f>
        <v>38.961038961038959</v>
      </c>
      <c r="D477" s="1561">
        <f t="shared" si="68"/>
        <v>38.961038961038959</v>
      </c>
      <c r="E477" s="1561">
        <f t="shared" si="68"/>
        <v>38.961038961038959</v>
      </c>
      <c r="F477" s="1561">
        <f t="shared" si="68"/>
        <v>38.961038961038959</v>
      </c>
      <c r="G477" s="1561">
        <f t="shared" si="68"/>
        <v>38.961038961038959</v>
      </c>
      <c r="H477" s="1561">
        <f t="shared" si="68"/>
        <v>38.961038961038959</v>
      </c>
      <c r="I477" s="1561">
        <f t="shared" si="68"/>
        <v>38.961038961038959</v>
      </c>
      <c r="J477" s="1561">
        <f>C159</f>
        <v>33.462185474195799</v>
      </c>
    </row>
    <row r="478" spans="1:10" outlineLevel="1" x14ac:dyDescent="0.3">
      <c r="A478" s="1306"/>
      <c r="B478" s="1576"/>
      <c r="C478" s="1576"/>
      <c r="D478" s="1576"/>
      <c r="E478" s="1576"/>
      <c r="F478" s="1576"/>
      <c r="G478" s="1576"/>
      <c r="H478" s="1576"/>
      <c r="I478" s="1576"/>
      <c r="J478" s="1576"/>
    </row>
    <row r="479" spans="1:10" outlineLevel="1" x14ac:dyDescent="0.3">
      <c r="A479" s="1315" t="s">
        <v>198</v>
      </c>
      <c r="B479" s="1567">
        <f>B164</f>
        <v>3092</v>
      </c>
      <c r="C479" s="1567">
        <f t="shared" ref="C479:I479" si="69">C465+C468+C472+C476</f>
        <v>3187.0686982883444</v>
      </c>
      <c r="D479" s="1567">
        <f t="shared" si="69"/>
        <v>3166.9036293374643</v>
      </c>
      <c r="E479" s="1567">
        <f t="shared" si="69"/>
        <v>2634.8648240859056</v>
      </c>
      <c r="F479" s="1567">
        <f t="shared" si="69"/>
        <v>1400.8306032702899</v>
      </c>
      <c r="G479" s="1567">
        <f t="shared" si="69"/>
        <v>1375.5512045362359</v>
      </c>
      <c r="H479" s="1567">
        <f t="shared" si="69"/>
        <v>1354.9867456755871</v>
      </c>
      <c r="I479" s="1567">
        <f t="shared" si="69"/>
        <v>1335.458661053907</v>
      </c>
      <c r="J479" s="1567">
        <f>C164</f>
        <v>1045.4991563026151</v>
      </c>
    </row>
    <row r="480" spans="1:10" outlineLevel="1" x14ac:dyDescent="0.3">
      <c r="A480" s="1320" t="s">
        <v>1328</v>
      </c>
      <c r="B480" s="1578">
        <f>B165</f>
        <v>0.53764562684750483</v>
      </c>
      <c r="C480" s="1578">
        <f t="shared" ref="C480:I480" si="70">C479/C440</f>
        <v>0.54344300833417902</v>
      </c>
      <c r="D480" s="1578">
        <f t="shared" si="70"/>
        <v>0.51941027731236267</v>
      </c>
      <c r="E480" s="1578">
        <f t="shared" si="70"/>
        <v>0.40961397237862457</v>
      </c>
      <c r="F480" s="1578">
        <f t="shared" si="70"/>
        <v>0.2106306385086886</v>
      </c>
      <c r="G480" s="1578">
        <f t="shared" si="70"/>
        <v>0.19967473141883615</v>
      </c>
      <c r="H480" s="1578">
        <f t="shared" si="70"/>
        <v>0.18957463054823429</v>
      </c>
      <c r="I480" s="1578">
        <f t="shared" si="70"/>
        <v>0.18245278255752342</v>
      </c>
      <c r="J480" s="1578">
        <f>C165</f>
        <v>0.13985011780469794</v>
      </c>
    </row>
    <row r="481" spans="1:10" outlineLevel="1" x14ac:dyDescent="0.3">
      <c r="A481" s="1320" t="s">
        <v>1329</v>
      </c>
      <c r="B481" s="1584">
        <f>B166</f>
        <v>200.77922077922079</v>
      </c>
      <c r="C481" s="1584">
        <f t="shared" ref="C481:I481" si="71">C479/C406*1000</f>
        <v>206.95251287586652</v>
      </c>
      <c r="D481" s="1584">
        <f t="shared" si="71"/>
        <v>205.64309281412105</v>
      </c>
      <c r="E481" s="1584">
        <f t="shared" si="71"/>
        <v>171.09511844713674</v>
      </c>
      <c r="F481" s="1584">
        <f t="shared" si="71"/>
        <v>90.96302618638245</v>
      </c>
      <c r="G481" s="1584">
        <f t="shared" si="71"/>
        <v>89.321506788067268</v>
      </c>
      <c r="H481" s="1584">
        <f t="shared" si="71"/>
        <v>87.986152316596559</v>
      </c>
      <c r="I481" s="1584">
        <f t="shared" si="71"/>
        <v>86.718094873630335</v>
      </c>
      <c r="J481" s="1584">
        <f>C166</f>
        <v>67.889555604065919</v>
      </c>
    </row>
    <row r="482" spans="1:10" outlineLevel="1" x14ac:dyDescent="0.3">
      <c r="A482" s="1306"/>
      <c r="B482" s="1576"/>
      <c r="C482" s="1576"/>
      <c r="D482" s="1576"/>
      <c r="E482" s="1576"/>
      <c r="F482" s="1576"/>
      <c r="G482" s="1576"/>
      <c r="H482" s="1576"/>
      <c r="I482" s="1576"/>
      <c r="J482" s="1576"/>
    </row>
    <row r="483" spans="1:10" outlineLevel="1" x14ac:dyDescent="0.3">
      <c r="A483" s="1315" t="s">
        <v>642</v>
      </c>
      <c r="B483" s="1567">
        <f>B168</f>
        <v>-965</v>
      </c>
      <c r="C483" s="1567">
        <f t="shared" ref="C483:I483" si="72">C460-C479</f>
        <v>-914.17224202310081</v>
      </c>
      <c r="D483" s="1567">
        <f t="shared" si="72"/>
        <v>-693.76397464402589</v>
      </c>
      <c r="E483" s="1567">
        <f t="shared" si="72"/>
        <v>98.671595546682511</v>
      </c>
      <c r="F483" s="1567">
        <f t="shared" si="72"/>
        <v>1504.645135899782</v>
      </c>
      <c r="G483" s="1567">
        <f t="shared" si="72"/>
        <v>1721.6452325359289</v>
      </c>
      <c r="H483" s="1567">
        <f t="shared" si="72"/>
        <v>1953.7190356509134</v>
      </c>
      <c r="I483" s="1567">
        <f t="shared" si="72"/>
        <v>2095.8339683758913</v>
      </c>
      <c r="J483" s="1567">
        <f>C168</f>
        <v>2526.5123850709138</v>
      </c>
    </row>
    <row r="484" spans="1:10" outlineLevel="1" x14ac:dyDescent="0.3">
      <c r="A484" s="1320" t="s">
        <v>1331</v>
      </c>
      <c r="B484" s="1578">
        <f>B169</f>
        <v>-0.16779690488610677</v>
      </c>
      <c r="C484" s="1578">
        <f t="shared" ref="C484:I484" si="73">C483/C440</f>
        <v>-0.15588007676378238</v>
      </c>
      <c r="D484" s="1578">
        <f t="shared" si="73"/>
        <v>-0.11378563437200882</v>
      </c>
      <c r="E484" s="1578">
        <f t="shared" si="73"/>
        <v>1.5339407108611461E-2</v>
      </c>
      <c r="F484" s="1578">
        <f t="shared" si="73"/>
        <v>0.22624032125204302</v>
      </c>
      <c r="G484" s="1578">
        <f t="shared" si="73"/>
        <v>0.24991366971397647</v>
      </c>
      <c r="H484" s="1578">
        <f t="shared" si="73"/>
        <v>0.27334257368983172</v>
      </c>
      <c r="I484" s="1578">
        <f t="shared" si="73"/>
        <v>0.2863366350905881</v>
      </c>
      <c r="J484" s="1578">
        <f>C169</f>
        <v>0.33795632694410804</v>
      </c>
    </row>
    <row r="485" spans="1:10" outlineLevel="1" x14ac:dyDescent="0.3">
      <c r="A485" s="1320" t="s">
        <v>2875</v>
      </c>
      <c r="B485" s="1580">
        <f>B170</f>
        <v>-27.324725336957751</v>
      </c>
      <c r="C485" s="1580">
        <f t="shared" ref="C485:I485" si="74">C483/C408/12*1000</f>
        <v>-24.321224381735878</v>
      </c>
      <c r="D485" s="1580">
        <f t="shared" si="74"/>
        <v>-16.813721585053923</v>
      </c>
      <c r="E485" s="1580">
        <f t="shared" si="74"/>
        <v>2.1653836984369583</v>
      </c>
      <c r="F485" s="1580">
        <f t="shared" si="74"/>
        <v>31.399289736812655</v>
      </c>
      <c r="G485" s="1580">
        <f t="shared" si="74"/>
        <v>34.246794665708492</v>
      </c>
      <c r="H485" s="1580">
        <f t="shared" si="74"/>
        <v>37.126206182173362</v>
      </c>
      <c r="I485" s="1580">
        <f t="shared" si="74"/>
        <v>37.419860078093777</v>
      </c>
      <c r="J485" s="1580">
        <f>C170</f>
        <v>45.690689834181754</v>
      </c>
    </row>
    <row r="486" spans="1:10" outlineLevel="1" x14ac:dyDescent="0.3">
      <c r="A486" s="1320" t="s">
        <v>2876</v>
      </c>
      <c r="B486" s="1580">
        <f>B171</f>
        <v>-5.2218614718614713</v>
      </c>
      <c r="C486" s="1580">
        <f t="shared" ref="C486:I486" si="75">C483/C406*1000/12</f>
        <v>-4.9468194914669956</v>
      </c>
      <c r="D486" s="1580">
        <f t="shared" si="75"/>
        <v>-3.7541340619265466</v>
      </c>
      <c r="E486" s="1580">
        <f t="shared" si="75"/>
        <v>0.53393720533919109</v>
      </c>
      <c r="F486" s="1580">
        <f t="shared" si="75"/>
        <v>8.1420191336568291</v>
      </c>
      <c r="G486" s="1580">
        <f t="shared" si="75"/>
        <v>9.3162620808221259</v>
      </c>
      <c r="H486" s="1580">
        <f t="shared" si="75"/>
        <v>10.572072703738709</v>
      </c>
      <c r="I486" s="1580">
        <f t="shared" si="75"/>
        <v>11.341092902466945</v>
      </c>
      <c r="J486" s="1580">
        <f>C171</f>
        <v>13.671603815318798</v>
      </c>
    </row>
    <row r="487" spans="1:10" outlineLevel="1" x14ac:dyDescent="0.3"/>
    <row r="488" spans="1:10" outlineLevel="1" x14ac:dyDescent="0.3"/>
    <row r="489" spans="1:10" outlineLevel="1" x14ac:dyDescent="0.3">
      <c r="A489" s="108" t="s">
        <v>2552</v>
      </c>
      <c r="B489" s="179">
        <f>Drivers!ES587</f>
        <v>1415</v>
      </c>
      <c r="C489" s="120">
        <f t="shared" ref="C489:J489" si="76">B489+C490-C492</f>
        <v>1450.7068698288344</v>
      </c>
      <c r="D489" s="120">
        <f t="shared" si="76"/>
        <v>1491.7629274951023</v>
      </c>
      <c r="E489" s="120">
        <f t="shared" si="76"/>
        <v>1485.9862014908269</v>
      </c>
      <c r="F489" s="120">
        <f t="shared" si="76"/>
        <v>1371.2597779172165</v>
      </c>
      <c r="G489" s="120">
        <f t="shared" si="76"/>
        <v>1285.4349664734032</v>
      </c>
      <c r="H489" s="120">
        <f t="shared" si="76"/>
        <v>1222.0046263503477</v>
      </c>
      <c r="I489" s="120">
        <f t="shared" si="76"/>
        <v>1175.8933542284637</v>
      </c>
      <c r="J489" s="120">
        <f t="shared" si="76"/>
        <v>1116.2092327614221</v>
      </c>
    </row>
    <row r="490" spans="1:10" outlineLevel="1" x14ac:dyDescent="0.3">
      <c r="A490" s="169" t="s">
        <v>228</v>
      </c>
      <c r="C490" s="169">
        <f t="shared" ref="C490:J490" si="77">C479/C491</f>
        <v>318.70686982883444</v>
      </c>
      <c r="D490" s="169">
        <f t="shared" si="77"/>
        <v>316.69036293374643</v>
      </c>
      <c r="E490" s="169">
        <f t="shared" si="77"/>
        <v>263.48648240859058</v>
      </c>
      <c r="F490" s="169">
        <f t="shared" si="77"/>
        <v>140.08306032702899</v>
      </c>
      <c r="G490" s="169">
        <f t="shared" si="77"/>
        <v>137.5551204536236</v>
      </c>
      <c r="H490" s="169">
        <f t="shared" si="77"/>
        <v>135.49867456755871</v>
      </c>
      <c r="I490" s="169">
        <f t="shared" si="77"/>
        <v>133.5458661053907</v>
      </c>
      <c r="J490" s="169">
        <f t="shared" si="77"/>
        <v>104.54991563026151</v>
      </c>
    </row>
    <row r="491" spans="1:10" outlineLevel="1" x14ac:dyDescent="0.3">
      <c r="A491" s="169" t="s">
        <v>514</v>
      </c>
      <c r="C491" s="1627">
        <v>10</v>
      </c>
      <c r="D491" s="1627">
        <f t="shared" ref="D491:J491" si="78">C491</f>
        <v>10</v>
      </c>
      <c r="E491" s="1627">
        <f t="shared" si="78"/>
        <v>10</v>
      </c>
      <c r="F491" s="1627">
        <f t="shared" si="78"/>
        <v>10</v>
      </c>
      <c r="G491" s="1627">
        <f t="shared" si="78"/>
        <v>10</v>
      </c>
      <c r="H491" s="1627">
        <f t="shared" si="78"/>
        <v>10</v>
      </c>
      <c r="I491" s="1627">
        <f t="shared" si="78"/>
        <v>10</v>
      </c>
      <c r="J491" s="1627">
        <f t="shared" si="78"/>
        <v>10</v>
      </c>
    </row>
    <row r="492" spans="1:10" outlineLevel="1" x14ac:dyDescent="0.3">
      <c r="A492" s="169" t="s">
        <v>229</v>
      </c>
      <c r="C492" s="169">
        <f t="shared" ref="C492:J492" si="79">+B489*C493</f>
        <v>283</v>
      </c>
      <c r="D492" s="169">
        <f t="shared" si="79"/>
        <v>275.63430526747857</v>
      </c>
      <c r="E492" s="169">
        <f t="shared" si="79"/>
        <v>269.26320841286594</v>
      </c>
      <c r="F492" s="169">
        <f t="shared" si="79"/>
        <v>254.80948390063952</v>
      </c>
      <c r="G492" s="169">
        <f t="shared" si="79"/>
        <v>223.37993189743693</v>
      </c>
      <c r="H492" s="169">
        <f t="shared" si="79"/>
        <v>198.92901469061417</v>
      </c>
      <c r="I492" s="169">
        <f t="shared" si="79"/>
        <v>179.65713822727471</v>
      </c>
      <c r="J492" s="169">
        <f t="shared" si="79"/>
        <v>164.23403709730306</v>
      </c>
    </row>
    <row r="493" spans="1:10" outlineLevel="1" x14ac:dyDescent="0.3">
      <c r="A493" s="169" t="s">
        <v>515</v>
      </c>
      <c r="C493" s="1628">
        <v>0.2</v>
      </c>
      <c r="D493" s="950">
        <f t="shared" ref="D493:J493" si="80">C493*0.95</f>
        <v>0.19</v>
      </c>
      <c r="E493" s="950">
        <f t="shared" si="80"/>
        <v>0.18049999999999999</v>
      </c>
      <c r="F493" s="950">
        <f t="shared" si="80"/>
        <v>0.17147499999999999</v>
      </c>
      <c r="G493" s="950">
        <f t="shared" si="80"/>
        <v>0.16290124999999997</v>
      </c>
      <c r="H493" s="950">
        <f t="shared" si="80"/>
        <v>0.15475618749999998</v>
      </c>
      <c r="I493" s="950">
        <f t="shared" si="80"/>
        <v>0.14701837812499996</v>
      </c>
      <c r="J493" s="950">
        <f t="shared" si="80"/>
        <v>0.13966745921874996</v>
      </c>
    </row>
    <row r="497" spans="1:19" x14ac:dyDescent="0.3">
      <c r="A497" s="1534" t="s">
        <v>2899</v>
      </c>
      <c r="B497" s="1055"/>
      <c r="C497" s="1055"/>
      <c r="D497" s="1055"/>
      <c r="E497" s="1055"/>
      <c r="F497" s="1055"/>
      <c r="G497" s="1055"/>
      <c r="H497" s="1055"/>
      <c r="I497" s="1055"/>
      <c r="J497" s="1055"/>
      <c r="K497" s="1055"/>
      <c r="L497" s="1055"/>
      <c r="M497" s="1055"/>
      <c r="N497" s="1055"/>
      <c r="O497" s="1055"/>
      <c r="P497" s="1055"/>
      <c r="Q497" s="1055"/>
      <c r="R497" s="1055"/>
      <c r="S497" s="1055"/>
    </row>
    <row r="498" spans="1:19" outlineLevel="1" x14ac:dyDescent="0.3"/>
    <row r="499" spans="1:19" outlineLevel="1" x14ac:dyDescent="0.3">
      <c r="A499" s="1587"/>
      <c r="B499" s="1588">
        <v>2023</v>
      </c>
      <c r="C499" s="1588">
        <f t="shared" ref="C499:I499" si="81">B499+1</f>
        <v>2024</v>
      </c>
      <c r="D499" s="1588">
        <f t="shared" si="81"/>
        <v>2025</v>
      </c>
      <c r="E499" s="1588">
        <f t="shared" si="81"/>
        <v>2026</v>
      </c>
      <c r="F499" s="1588">
        <f t="shared" si="81"/>
        <v>2027</v>
      </c>
      <c r="G499" s="1588">
        <f t="shared" si="81"/>
        <v>2028</v>
      </c>
      <c r="H499" s="1588">
        <f t="shared" si="81"/>
        <v>2029</v>
      </c>
      <c r="I499" s="1588">
        <f t="shared" si="81"/>
        <v>2030</v>
      </c>
      <c r="J499" s="1588" t="s">
        <v>245</v>
      </c>
    </row>
    <row r="500" spans="1:19" outlineLevel="1" x14ac:dyDescent="0.3">
      <c r="A500" s="575" t="s">
        <v>284</v>
      </c>
      <c r="B500" s="1625">
        <f t="shared" ref="B500:J500" si="82">B440</f>
        <v>5751</v>
      </c>
      <c r="C500" s="1625">
        <f t="shared" si="82"/>
        <v>5864.5868093099516</v>
      </c>
      <c r="D500" s="1625">
        <f t="shared" si="82"/>
        <v>6097.1139148888142</v>
      </c>
      <c r="E500" s="1625">
        <f t="shared" si="82"/>
        <v>6432.5560204532812</v>
      </c>
      <c r="F500" s="1625">
        <f t="shared" si="82"/>
        <v>6650.6497496683278</v>
      </c>
      <c r="G500" s="1625">
        <f t="shared" si="82"/>
        <v>6888.9598336350855</v>
      </c>
      <c r="H500" s="1625">
        <f t="shared" si="82"/>
        <v>7147.5109393966723</v>
      </c>
      <c r="I500" s="1625">
        <f t="shared" si="82"/>
        <v>7319.4754409013503</v>
      </c>
      <c r="J500" s="1625">
        <f t="shared" si="82"/>
        <v>7475.8546700880497</v>
      </c>
      <c r="K500" s="932">
        <f>J500/I500-1</f>
        <v>2.1364813701382213E-2</v>
      </c>
      <c r="L500" s="932"/>
    </row>
    <row r="501" spans="1:19" outlineLevel="1" x14ac:dyDescent="0.3">
      <c r="A501" s="575" t="s">
        <v>2900</v>
      </c>
      <c r="B501" s="1626">
        <f t="shared" ref="B501:J501" si="83">+B500-B502</f>
        <v>3624</v>
      </c>
      <c r="C501" s="1626">
        <f t="shared" si="83"/>
        <v>3591.690353044708</v>
      </c>
      <c r="D501" s="1626">
        <f t="shared" si="83"/>
        <v>3623.9742601953758</v>
      </c>
      <c r="E501" s="1626">
        <f t="shared" si="83"/>
        <v>3699.0196008206931</v>
      </c>
      <c r="F501" s="1626">
        <f t="shared" si="83"/>
        <v>3745.1740104982559</v>
      </c>
      <c r="G501" s="1626">
        <f t="shared" si="83"/>
        <v>3791.7633965629207</v>
      </c>
      <c r="H501" s="1626">
        <f t="shared" si="83"/>
        <v>3838.8051580701717</v>
      </c>
      <c r="I501" s="1626">
        <f t="shared" si="83"/>
        <v>3888.1828114715518</v>
      </c>
      <c r="J501" s="1626">
        <f t="shared" si="83"/>
        <v>3903.8431287145208</v>
      </c>
      <c r="K501" s="693"/>
      <c r="L501" s="693"/>
    </row>
    <row r="502" spans="1:19" outlineLevel="1" x14ac:dyDescent="0.3">
      <c r="A502" s="575" t="s">
        <v>44</v>
      </c>
      <c r="B502" s="1625">
        <f t="shared" ref="B502:J502" si="84">B460</f>
        <v>2127</v>
      </c>
      <c r="C502" s="1625">
        <f t="shared" si="84"/>
        <v>2272.8964562652436</v>
      </c>
      <c r="D502" s="1625">
        <f t="shared" si="84"/>
        <v>2473.1396546934384</v>
      </c>
      <c r="E502" s="1625">
        <f t="shared" si="84"/>
        <v>2733.5364196325881</v>
      </c>
      <c r="F502" s="1625">
        <f t="shared" si="84"/>
        <v>2905.4757391700718</v>
      </c>
      <c r="G502" s="1625">
        <f t="shared" si="84"/>
        <v>3097.1964370721648</v>
      </c>
      <c r="H502" s="1625">
        <f t="shared" si="84"/>
        <v>3308.7057813265005</v>
      </c>
      <c r="I502" s="1625">
        <f t="shared" si="84"/>
        <v>3431.2926294297986</v>
      </c>
      <c r="J502" s="1625">
        <f t="shared" si="84"/>
        <v>3572.0115413735289</v>
      </c>
      <c r="K502" s="932">
        <f>J502/I502-1</f>
        <v>4.1010466649448851E-2</v>
      </c>
      <c r="L502" s="932"/>
    </row>
    <row r="503" spans="1:19" outlineLevel="1" x14ac:dyDescent="0.3">
      <c r="A503" s="575" t="s">
        <v>2552</v>
      </c>
      <c r="B503" s="1625">
        <f t="shared" ref="B503:I503" si="85">B489</f>
        <v>1415</v>
      </c>
      <c r="C503" s="1625">
        <f t="shared" si="85"/>
        <v>1450.7068698288344</v>
      </c>
      <c r="D503" s="1625">
        <f t="shared" si="85"/>
        <v>1491.7629274951023</v>
      </c>
      <c r="E503" s="1625">
        <f t="shared" si="85"/>
        <v>1485.9862014908269</v>
      </c>
      <c r="F503" s="1625">
        <f t="shared" si="85"/>
        <v>1371.2597779172165</v>
      </c>
      <c r="G503" s="1625">
        <f t="shared" si="85"/>
        <v>1285.4349664734032</v>
      </c>
      <c r="H503" s="1625">
        <f t="shared" si="85"/>
        <v>1222.0046263503477</v>
      </c>
      <c r="I503" s="1625">
        <f t="shared" si="85"/>
        <v>1175.8933542284637</v>
      </c>
      <c r="J503" s="1590">
        <f>J507</f>
        <v>1045.4991563026151</v>
      </c>
    </row>
    <row r="504" spans="1:19" outlineLevel="1" x14ac:dyDescent="0.3">
      <c r="A504" s="575" t="s">
        <v>2901</v>
      </c>
      <c r="B504" s="1821">
        <f t="shared" ref="B504:J504" si="86">B502-B503</f>
        <v>712</v>
      </c>
      <c r="C504" s="1821">
        <f t="shared" si="86"/>
        <v>822.18958643640917</v>
      </c>
      <c r="D504" s="1821">
        <f t="shared" si="86"/>
        <v>981.37672719833608</v>
      </c>
      <c r="E504" s="1821">
        <f t="shared" si="86"/>
        <v>1247.5502181417612</v>
      </c>
      <c r="F504" s="1821">
        <f t="shared" si="86"/>
        <v>1534.2159612528553</v>
      </c>
      <c r="G504" s="1821">
        <f t="shared" si="86"/>
        <v>1811.7614705987617</v>
      </c>
      <c r="H504" s="1821">
        <f t="shared" si="86"/>
        <v>2086.7011549761528</v>
      </c>
      <c r="I504" s="1821">
        <f t="shared" si="86"/>
        <v>2255.3992752013346</v>
      </c>
      <c r="J504" s="1821">
        <f t="shared" si="86"/>
        <v>2526.5123850709138</v>
      </c>
    </row>
    <row r="505" spans="1:19" outlineLevel="1" x14ac:dyDescent="0.3">
      <c r="A505" s="575" t="s">
        <v>2556</v>
      </c>
      <c r="B505" s="1626">
        <f t="shared" ref="B505:J505" si="87">IF(B504&gt;0,B504*$H$539,0)</f>
        <v>178</v>
      </c>
      <c r="C505" s="1626">
        <f t="shared" si="87"/>
        <v>205.54739660910229</v>
      </c>
      <c r="D505" s="1626">
        <f t="shared" si="87"/>
        <v>245.34418179958402</v>
      </c>
      <c r="E505" s="1626">
        <f t="shared" si="87"/>
        <v>311.8875545354403</v>
      </c>
      <c r="F505" s="1626">
        <f t="shared" si="87"/>
        <v>383.55399031321383</v>
      </c>
      <c r="G505" s="1626">
        <f t="shared" si="87"/>
        <v>452.94036764969042</v>
      </c>
      <c r="H505" s="1626">
        <f t="shared" si="87"/>
        <v>521.6752887440382</v>
      </c>
      <c r="I505" s="1626">
        <f t="shared" si="87"/>
        <v>563.84981880033365</v>
      </c>
      <c r="J505" s="1626">
        <f t="shared" si="87"/>
        <v>631.62809626772844</v>
      </c>
    </row>
    <row r="506" spans="1:19" outlineLevel="1" x14ac:dyDescent="0.3">
      <c r="A506" s="575" t="s">
        <v>2902</v>
      </c>
      <c r="B506" s="1625">
        <f t="shared" ref="B506:J506" si="88">B504-B505</f>
        <v>534</v>
      </c>
      <c r="C506" s="1625">
        <f t="shared" si="88"/>
        <v>616.64218982730688</v>
      </c>
      <c r="D506" s="1625">
        <f t="shared" si="88"/>
        <v>736.03254539875206</v>
      </c>
      <c r="E506" s="1625">
        <f t="shared" si="88"/>
        <v>935.66266360632085</v>
      </c>
      <c r="F506" s="1625">
        <f t="shared" si="88"/>
        <v>1150.6619709396414</v>
      </c>
      <c r="G506" s="1625">
        <f t="shared" si="88"/>
        <v>1358.8211029490712</v>
      </c>
      <c r="H506" s="1625">
        <f t="shared" si="88"/>
        <v>1565.0258662321146</v>
      </c>
      <c r="I506" s="1625">
        <f t="shared" si="88"/>
        <v>1691.549456401001</v>
      </c>
      <c r="J506" s="1625">
        <f t="shared" si="88"/>
        <v>1894.8842888031854</v>
      </c>
    </row>
    <row r="507" spans="1:19" outlineLevel="1" x14ac:dyDescent="0.3">
      <c r="A507" s="575" t="s">
        <v>198</v>
      </c>
      <c r="B507" s="1625">
        <f t="shared" ref="B507:J507" si="89">B479</f>
        <v>3092</v>
      </c>
      <c r="C507" s="1625">
        <f t="shared" si="89"/>
        <v>3187.0686982883444</v>
      </c>
      <c r="D507" s="1625">
        <f t="shared" si="89"/>
        <v>3166.9036293374643</v>
      </c>
      <c r="E507" s="1625">
        <f t="shared" si="89"/>
        <v>2634.8648240859056</v>
      </c>
      <c r="F507" s="1625">
        <f t="shared" si="89"/>
        <v>1400.8306032702899</v>
      </c>
      <c r="G507" s="1625">
        <f t="shared" si="89"/>
        <v>1375.5512045362359</v>
      </c>
      <c r="H507" s="1625">
        <f t="shared" si="89"/>
        <v>1354.9867456755871</v>
      </c>
      <c r="I507" s="1625">
        <f t="shared" si="89"/>
        <v>1335.458661053907</v>
      </c>
      <c r="J507" s="1625">
        <f t="shared" si="89"/>
        <v>1045.4991563026151</v>
      </c>
    </row>
    <row r="508" spans="1:19" outlineLevel="1" x14ac:dyDescent="0.3">
      <c r="A508" s="575" t="s">
        <v>2552</v>
      </c>
      <c r="B508" s="1625">
        <f t="shared" ref="B508:J508" si="90">B503</f>
        <v>1415</v>
      </c>
      <c r="C508" s="1625">
        <f t="shared" si="90"/>
        <v>1450.7068698288344</v>
      </c>
      <c r="D508" s="1625">
        <f t="shared" si="90"/>
        <v>1491.7629274951023</v>
      </c>
      <c r="E508" s="1625">
        <f t="shared" si="90"/>
        <v>1485.9862014908269</v>
      </c>
      <c r="F508" s="1625">
        <f t="shared" si="90"/>
        <v>1371.2597779172165</v>
      </c>
      <c r="G508" s="1625">
        <f t="shared" si="90"/>
        <v>1285.4349664734032</v>
      </c>
      <c r="H508" s="1625">
        <f t="shared" si="90"/>
        <v>1222.0046263503477</v>
      </c>
      <c r="I508" s="1625">
        <f t="shared" si="90"/>
        <v>1175.8933542284637</v>
      </c>
      <c r="J508" s="1625">
        <f t="shared" si="90"/>
        <v>1045.4991563026151</v>
      </c>
    </row>
    <row r="509" spans="1:19" ht="12.5" outlineLevel="1" thickBot="1" x14ac:dyDescent="0.35">
      <c r="A509" s="575" t="s">
        <v>725</v>
      </c>
      <c r="B509" s="1591">
        <f t="shared" ref="B509:J509" si="91">B506-B507+B508</f>
        <v>-1143</v>
      </c>
      <c r="C509" s="1591">
        <f t="shared" si="91"/>
        <v>-1119.719638632203</v>
      </c>
      <c r="D509" s="1591">
        <f t="shared" si="91"/>
        <v>-939.10815644360991</v>
      </c>
      <c r="E509" s="1591">
        <f t="shared" si="91"/>
        <v>-213.21595898875785</v>
      </c>
      <c r="F509" s="1591">
        <f t="shared" si="91"/>
        <v>1121.091145586568</v>
      </c>
      <c r="G509" s="1591">
        <f t="shared" si="91"/>
        <v>1268.7048648862385</v>
      </c>
      <c r="H509" s="1591">
        <f t="shared" si="91"/>
        <v>1432.0437469068752</v>
      </c>
      <c r="I509" s="1591">
        <f t="shared" si="91"/>
        <v>1531.9841495755577</v>
      </c>
      <c r="J509" s="1591">
        <f t="shared" si="91"/>
        <v>1894.8842888031854</v>
      </c>
      <c r="L509" s="932"/>
    </row>
    <row r="510" spans="1:19" ht="12.5" outlineLevel="1" thickTop="1" x14ac:dyDescent="0.3">
      <c r="A510" s="1592" t="s">
        <v>2903</v>
      </c>
      <c r="B510" s="1593">
        <f t="shared" ref="B510:J510" si="92">$C$531/B502</f>
        <v>8.2061106414172915</v>
      </c>
      <c r="C510" s="1593">
        <f t="shared" si="92"/>
        <v>7.6793631694842492</v>
      </c>
      <c r="D510" s="1593">
        <f t="shared" si="92"/>
        <v>7.0575866191665444</v>
      </c>
      <c r="E510" s="1593">
        <f t="shared" si="92"/>
        <v>6.3852806968054248</v>
      </c>
      <c r="F510" s="1593">
        <f t="shared" si="92"/>
        <v>6.0074145858400119</v>
      </c>
      <c r="G510" s="1593">
        <f t="shared" si="92"/>
        <v>5.6355474019576661</v>
      </c>
      <c r="H510" s="1593">
        <f t="shared" si="92"/>
        <v>5.2752944770135768</v>
      </c>
      <c r="I510" s="1593">
        <f t="shared" si="92"/>
        <v>5.0868285568506284</v>
      </c>
      <c r="J510" s="1593">
        <f t="shared" si="92"/>
        <v>4.8864336332975347</v>
      </c>
    </row>
    <row r="511" spans="1:19" outlineLevel="1" x14ac:dyDescent="0.3">
      <c r="A511" s="1592"/>
      <c r="B511" s="1594"/>
      <c r="C511" s="1594"/>
      <c r="D511" s="1594"/>
      <c r="E511" s="1594"/>
      <c r="F511" s="1594"/>
      <c r="G511" s="1594"/>
      <c r="H511" s="1594"/>
      <c r="I511" s="1594"/>
      <c r="J511" s="1594"/>
    </row>
    <row r="512" spans="1:19" outlineLevel="1" x14ac:dyDescent="0.3">
      <c r="A512" s="1595" t="s">
        <v>2904</v>
      </c>
      <c r="B512" s="1185"/>
      <c r="C512" s="1185"/>
      <c r="D512" s="1185"/>
      <c r="E512" s="1185"/>
      <c r="F512" s="1185"/>
      <c r="G512" s="1185"/>
      <c r="H512" s="1185"/>
      <c r="I512" s="1185"/>
      <c r="J512" s="1185"/>
    </row>
    <row r="513" spans="1:11" outlineLevel="1" x14ac:dyDescent="0.3">
      <c r="A513" s="575" t="s">
        <v>2905</v>
      </c>
      <c r="B513" s="1596">
        <f>'Model Main'!ES375</f>
        <v>0</v>
      </c>
      <c r="C513" s="1596">
        <f t="shared" ref="C513:J513" si="93">C500/B500-1</f>
        <v>1.9750792785593996E-2</v>
      </c>
      <c r="D513" s="1596">
        <f t="shared" si="93"/>
        <v>3.964935862313923E-2</v>
      </c>
      <c r="E513" s="1596">
        <f t="shared" si="93"/>
        <v>5.501653901288206E-2</v>
      </c>
      <c r="F513" s="1596">
        <f t="shared" si="93"/>
        <v>3.390467623159199E-2</v>
      </c>
      <c r="G513" s="1596">
        <f t="shared" si="93"/>
        <v>3.5832601766262462E-2</v>
      </c>
      <c r="H513" s="1596">
        <f t="shared" si="93"/>
        <v>3.7531225613948394E-2</v>
      </c>
      <c r="I513" s="1596">
        <f t="shared" si="93"/>
        <v>2.4059354782770548E-2</v>
      </c>
      <c r="J513" s="1596">
        <f t="shared" si="93"/>
        <v>2.1364813701382213E-2</v>
      </c>
    </row>
    <row r="514" spans="1:11" outlineLevel="1" x14ac:dyDescent="0.3">
      <c r="A514" s="575" t="s">
        <v>673</v>
      </c>
      <c r="B514" s="1596">
        <f t="shared" ref="B514:J514" si="94">B502/B500</f>
        <v>0.36984872196139801</v>
      </c>
      <c r="C514" s="1596">
        <f t="shared" si="94"/>
        <v>0.38756293157039667</v>
      </c>
      <c r="D514" s="1596">
        <f t="shared" si="94"/>
        <v>0.40562464294035389</v>
      </c>
      <c r="E514" s="1596">
        <f t="shared" si="94"/>
        <v>0.42495337948723605</v>
      </c>
      <c r="F514" s="1596">
        <f t="shared" si="94"/>
        <v>0.43687095976073159</v>
      </c>
      <c r="G514" s="1596">
        <f t="shared" si="94"/>
        <v>0.44958840113281262</v>
      </c>
      <c r="H514" s="1596">
        <f t="shared" si="94"/>
        <v>0.46291720423806604</v>
      </c>
      <c r="I514" s="1596">
        <f t="shared" si="94"/>
        <v>0.46878941764811155</v>
      </c>
      <c r="J514" s="1596">
        <f t="shared" si="94"/>
        <v>0.47780644474880596</v>
      </c>
    </row>
    <row r="515" spans="1:11" outlineLevel="1" x14ac:dyDescent="0.3">
      <c r="A515" s="575" t="s">
        <v>2906</v>
      </c>
      <c r="B515" s="1596">
        <f t="shared" ref="B515:J515" si="95">+(B502-B507)/B500</f>
        <v>-0.16779690488610677</v>
      </c>
      <c r="C515" s="1596">
        <f t="shared" si="95"/>
        <v>-0.15588007676378238</v>
      </c>
      <c r="D515" s="1596">
        <f t="shared" si="95"/>
        <v>-0.11378563437200882</v>
      </c>
      <c r="E515" s="1596">
        <f t="shared" si="95"/>
        <v>1.5339407108611461E-2</v>
      </c>
      <c r="F515" s="1596">
        <f t="shared" si="95"/>
        <v>0.22624032125204302</v>
      </c>
      <c r="G515" s="1596">
        <f t="shared" si="95"/>
        <v>0.24991366971397647</v>
      </c>
      <c r="H515" s="1596">
        <f t="shared" si="95"/>
        <v>0.27334257368983172</v>
      </c>
      <c r="I515" s="1596">
        <f t="shared" si="95"/>
        <v>0.2863366350905881</v>
      </c>
      <c r="J515" s="1596">
        <f t="shared" si="95"/>
        <v>0.33795632694410804</v>
      </c>
    </row>
    <row r="516" spans="1:11" outlineLevel="1" x14ac:dyDescent="0.3">
      <c r="A516" s="575" t="s">
        <v>2907</v>
      </c>
      <c r="B516" s="1596">
        <f t="shared" ref="B516:J516" si="96">B507/B500</f>
        <v>0.53764562684750483</v>
      </c>
      <c r="C516" s="1596">
        <f t="shared" si="96"/>
        <v>0.54344300833417902</v>
      </c>
      <c r="D516" s="1596">
        <f t="shared" si="96"/>
        <v>0.51941027731236267</v>
      </c>
      <c r="E516" s="1596">
        <f t="shared" si="96"/>
        <v>0.40961397237862457</v>
      </c>
      <c r="F516" s="1596">
        <f t="shared" si="96"/>
        <v>0.2106306385086886</v>
      </c>
      <c r="G516" s="1596">
        <f t="shared" si="96"/>
        <v>0.19967473141883615</v>
      </c>
      <c r="H516" s="1596">
        <f t="shared" si="96"/>
        <v>0.18957463054823429</v>
      </c>
      <c r="I516" s="1596">
        <f t="shared" si="96"/>
        <v>0.18245278255752342</v>
      </c>
      <c r="J516" s="1596">
        <f t="shared" si="96"/>
        <v>0.13985011780469794</v>
      </c>
    </row>
    <row r="517" spans="1:11" outlineLevel="1" x14ac:dyDescent="0.3">
      <c r="A517" s="575" t="s">
        <v>2908</v>
      </c>
      <c r="B517" s="1596">
        <f t="shared" ref="B517:J517" si="97">B503/B507</f>
        <v>0.4576326002587322</v>
      </c>
      <c r="C517" s="1596">
        <f t="shared" si="97"/>
        <v>0.45518531514804023</v>
      </c>
      <c r="D517" s="1596">
        <f t="shared" si="97"/>
        <v>0.4710477810804708</v>
      </c>
      <c r="E517" s="1596">
        <f t="shared" si="97"/>
        <v>0.56397056422291014</v>
      </c>
      <c r="F517" s="1596">
        <f t="shared" si="97"/>
        <v>0.97889050590125659</v>
      </c>
      <c r="G517" s="1596">
        <f t="shared" si="97"/>
        <v>0.93448718029132527</v>
      </c>
      <c r="H517" s="1596">
        <f t="shared" si="97"/>
        <v>0.90185725450846721</v>
      </c>
      <c r="I517" s="1596">
        <f t="shared" si="97"/>
        <v>0.88051647611501604</v>
      </c>
      <c r="J517" s="1596">
        <f t="shared" si="97"/>
        <v>1</v>
      </c>
    </row>
    <row r="518" spans="1:11" outlineLevel="1" x14ac:dyDescent="0.3">
      <c r="A518" s="575"/>
      <c r="B518" s="1185"/>
      <c r="C518" s="1185"/>
      <c r="D518" s="1185"/>
      <c r="E518" s="1185"/>
      <c r="F518" s="1185"/>
      <c r="G518" s="1185"/>
      <c r="H518" s="1185"/>
      <c r="I518" s="1185"/>
      <c r="J518" s="1185"/>
    </row>
    <row r="519" spans="1:11" outlineLevel="1" x14ac:dyDescent="0.3">
      <c r="A519" s="575" t="s">
        <v>2909</v>
      </c>
      <c r="B519" s="1597">
        <v>0</v>
      </c>
      <c r="C519" s="1597">
        <v>0</v>
      </c>
      <c r="D519" s="1598">
        <f t="shared" ref="D519:J519" si="98">+C519+1</f>
        <v>1</v>
      </c>
      <c r="E519" s="1598">
        <f t="shared" si="98"/>
        <v>2</v>
      </c>
      <c r="F519" s="1598">
        <f t="shared" si="98"/>
        <v>3</v>
      </c>
      <c r="G519" s="1598">
        <f t="shared" si="98"/>
        <v>4</v>
      </c>
      <c r="H519" s="1598">
        <f t="shared" si="98"/>
        <v>5</v>
      </c>
      <c r="I519" s="1598">
        <f t="shared" si="98"/>
        <v>6</v>
      </c>
      <c r="J519" s="1598">
        <f t="shared" si="98"/>
        <v>7</v>
      </c>
    </row>
    <row r="520" spans="1:11" outlineLevel="1" x14ac:dyDescent="0.3">
      <c r="A520" s="575" t="s">
        <v>725</v>
      </c>
      <c r="B520" s="575">
        <f t="shared" ref="B520:J520" si="99">+B509</f>
        <v>-1143</v>
      </c>
      <c r="C520" s="575">
        <f t="shared" si="99"/>
        <v>-1119.719638632203</v>
      </c>
      <c r="D520" s="575">
        <f t="shared" si="99"/>
        <v>-939.10815644360991</v>
      </c>
      <c r="E520" s="575">
        <f t="shared" si="99"/>
        <v>-213.21595898875785</v>
      </c>
      <c r="F520" s="575">
        <f t="shared" si="99"/>
        <v>1121.091145586568</v>
      </c>
      <c r="G520" s="575">
        <f t="shared" si="99"/>
        <v>1268.7048648862385</v>
      </c>
      <c r="H520" s="575">
        <f t="shared" si="99"/>
        <v>1432.0437469068752</v>
      </c>
      <c r="I520" s="575">
        <f t="shared" si="99"/>
        <v>1531.9841495755577</v>
      </c>
      <c r="J520" s="575">
        <f t="shared" si="99"/>
        <v>1894.8842888031854</v>
      </c>
    </row>
    <row r="521" spans="1:11" outlineLevel="1" x14ac:dyDescent="0.3">
      <c r="A521" s="575" t="s">
        <v>165</v>
      </c>
      <c r="B521" s="1599">
        <f t="shared" ref="B521:J521" si="100">+(1+$H$536)^B519</f>
        <v>1</v>
      </c>
      <c r="C521" s="1599">
        <f t="shared" si="100"/>
        <v>1</v>
      </c>
      <c r="D521" s="1599">
        <f t="shared" si="100"/>
        <v>1.0687967999999999</v>
      </c>
      <c r="E521" s="1599">
        <f t="shared" si="100"/>
        <v>1.1423265996902396</v>
      </c>
      <c r="F521" s="1599">
        <f t="shared" si="100"/>
        <v>1.220915014303809</v>
      </c>
      <c r="G521" s="1599">
        <f t="shared" si="100"/>
        <v>1.3049100603598649</v>
      </c>
      <c r="H521" s="1599">
        <f t="shared" si="100"/>
        <v>1.3946836968004304</v>
      </c>
      <c r="I521" s="1599">
        <f t="shared" si="100"/>
        <v>1.4906334721524699</v>
      </c>
      <c r="J521" s="1599">
        <f t="shared" si="100"/>
        <v>1.5931842850094486</v>
      </c>
    </row>
    <row r="522" spans="1:11" outlineLevel="1" x14ac:dyDescent="0.3">
      <c r="A522" s="575" t="s">
        <v>2910</v>
      </c>
      <c r="B522" s="1822">
        <f t="shared" ref="B522:J522" si="101">B520/B521</f>
        <v>-1143</v>
      </c>
      <c r="C522" s="1822">
        <f t="shared" si="101"/>
        <v>-1119.719638632203</v>
      </c>
      <c r="D522" s="1822">
        <f t="shared" si="101"/>
        <v>-878.65921421509688</v>
      </c>
      <c r="E522" s="1822">
        <f t="shared" si="101"/>
        <v>-186.65061204613008</v>
      </c>
      <c r="F522" s="1822">
        <f t="shared" si="101"/>
        <v>918.23847888858779</v>
      </c>
      <c r="G522" s="1822">
        <f t="shared" si="101"/>
        <v>972.25464300302679</v>
      </c>
      <c r="H522" s="1822">
        <f t="shared" si="101"/>
        <v>1026.7874717343818</v>
      </c>
      <c r="I522" s="1822">
        <f t="shared" si="101"/>
        <v>1027.7403387187983</v>
      </c>
      <c r="J522" s="1822">
        <f t="shared" si="101"/>
        <v>1189.3691813511375</v>
      </c>
    </row>
    <row r="523" spans="1:11" outlineLevel="1" x14ac:dyDescent="0.3">
      <c r="A523" s="575"/>
      <c r="B523" s="1600"/>
      <c r="C523" s="575"/>
      <c r="D523" s="575"/>
      <c r="E523" s="566"/>
      <c r="F523" s="566"/>
      <c r="G523" s="566"/>
      <c r="H523" s="1185"/>
      <c r="I523" s="566"/>
      <c r="J523" s="566"/>
      <c r="K523" s="566"/>
    </row>
    <row r="524" spans="1:11" outlineLevel="1" x14ac:dyDescent="0.3">
      <c r="A524" s="1601" t="s">
        <v>2911</v>
      </c>
      <c r="B524" s="1185"/>
      <c r="C524" s="575">
        <f>IF(J509&gt;0,J509,0)</f>
        <v>1894.8842888031854</v>
      </c>
      <c r="D524" s="575"/>
      <c r="E524" s="1595" t="s">
        <v>2912</v>
      </c>
      <c r="F524" s="575"/>
      <c r="G524" s="575"/>
      <c r="H524" s="575"/>
      <c r="I524" s="575"/>
      <c r="J524" s="575"/>
      <c r="K524" s="575"/>
    </row>
    <row r="525" spans="1:11" outlineLevel="1" x14ac:dyDescent="0.3">
      <c r="A525" s="1602" t="s">
        <v>2913</v>
      </c>
      <c r="B525" s="1185"/>
      <c r="C525" s="1603">
        <f>C524/C526</f>
        <v>7.5783001372728503E-2</v>
      </c>
      <c r="D525" s="575"/>
      <c r="E525" s="575" t="s">
        <v>2914</v>
      </c>
      <c r="F525" s="1185"/>
      <c r="G525" s="575"/>
      <c r="H525" s="1604">
        <f>Valuation!H130</f>
        <v>4.53E-2</v>
      </c>
      <c r="I525" s="1605"/>
      <c r="J525" s="1606"/>
      <c r="K525" s="1605"/>
    </row>
    <row r="526" spans="1:11" outlineLevel="1" x14ac:dyDescent="0.3">
      <c r="A526" s="1607" t="s">
        <v>254</v>
      </c>
      <c r="B526" s="1185"/>
      <c r="C526" s="1608">
        <f>J502*C539</f>
        <v>25004.080789614702</v>
      </c>
      <c r="D526" s="575"/>
      <c r="E526" s="575" t="s">
        <v>2915</v>
      </c>
      <c r="F526" s="1185"/>
      <c r="G526" s="575"/>
      <c r="H526" s="1609">
        <f>Valuation!H131</f>
        <v>4.0599999999999997E-2</v>
      </c>
      <c r="I526" s="566"/>
      <c r="J526" s="566"/>
      <c r="K526" s="566"/>
    </row>
    <row r="527" spans="1:11" outlineLevel="1" x14ac:dyDescent="0.3">
      <c r="A527" s="1602" t="s">
        <v>255</v>
      </c>
      <c r="B527" s="1185"/>
      <c r="C527" s="1610">
        <f>J521</f>
        <v>1.5931842850094486</v>
      </c>
      <c r="D527" s="575"/>
      <c r="E527" s="575" t="s">
        <v>2916</v>
      </c>
      <c r="F527" s="1185"/>
      <c r="G527" s="575"/>
      <c r="H527" s="1611">
        <f>Valuation!H132</f>
        <v>1.07</v>
      </c>
      <c r="I527" s="566"/>
      <c r="J527" s="566"/>
      <c r="K527" s="566"/>
    </row>
    <row r="528" spans="1:11" outlineLevel="1" x14ac:dyDescent="0.3">
      <c r="A528" s="1607" t="s">
        <v>256</v>
      </c>
      <c r="B528" s="1185"/>
      <c r="C528" s="1608">
        <f>C526/C527</f>
        <v>15694.405866843214</v>
      </c>
      <c r="D528" s="575"/>
      <c r="E528" s="575" t="s">
        <v>2917</v>
      </c>
      <c r="F528" s="1185"/>
      <c r="G528" s="575"/>
      <c r="H528" s="1606">
        <f>H525+H526*H527</f>
        <v>8.8742000000000001E-2</v>
      </c>
      <c r="I528" s="566"/>
      <c r="J528" s="566"/>
      <c r="K528" s="566"/>
    </row>
    <row r="529" spans="1:11" outlineLevel="1" x14ac:dyDescent="0.3">
      <c r="A529" s="1602" t="s">
        <v>257</v>
      </c>
      <c r="B529" s="1185"/>
      <c r="C529" s="575">
        <f>SUM(C522:I522)</f>
        <v>1759.9914674513648</v>
      </c>
      <c r="D529" s="575"/>
      <c r="E529" s="575" t="s">
        <v>2918</v>
      </c>
      <c r="F529" s="1185"/>
      <c r="G529" s="575"/>
      <c r="H529" s="1612">
        <f>Valuation!H134</f>
        <v>0.4</v>
      </c>
      <c r="I529" s="1613"/>
      <c r="J529" s="566"/>
      <c r="K529" s="566"/>
    </row>
    <row r="530" spans="1:11" outlineLevel="1" x14ac:dyDescent="0.3">
      <c r="A530" s="1602" t="s">
        <v>2919</v>
      </c>
      <c r="B530" s="1185"/>
      <c r="C530" s="575">
        <v>0</v>
      </c>
      <c r="D530" s="1599"/>
      <c r="E530" s="575" t="s">
        <v>2920</v>
      </c>
      <c r="F530" s="1185"/>
      <c r="G530" s="1614"/>
      <c r="H530" s="1615">
        <f>H528*H529</f>
        <v>3.5496800000000002E-2</v>
      </c>
      <c r="I530" s="1616"/>
      <c r="J530" s="1606"/>
      <c r="K530" s="1606"/>
    </row>
    <row r="531" spans="1:11" outlineLevel="1" x14ac:dyDescent="0.3">
      <c r="A531" s="1607" t="s">
        <v>2921</v>
      </c>
      <c r="B531" s="1185"/>
      <c r="C531" s="1823">
        <f>C528+C529+C530</f>
        <v>17454.397334294579</v>
      </c>
      <c r="D531" s="575"/>
      <c r="E531" s="575"/>
      <c r="F531" s="1185"/>
      <c r="G531" s="575"/>
      <c r="H531" s="575"/>
      <c r="I531" s="566"/>
      <c r="J531" s="566"/>
      <c r="K531" s="566"/>
    </row>
    <row r="532" spans="1:11" outlineLevel="1" x14ac:dyDescent="0.3">
      <c r="A532" s="1602" t="s">
        <v>2922</v>
      </c>
      <c r="B532" s="1185"/>
      <c r="C532" s="575">
        <f>Valuation!C137</f>
        <v>11561</v>
      </c>
      <c r="D532" s="1185"/>
      <c r="E532" s="575" t="s">
        <v>2923</v>
      </c>
      <c r="F532" s="1185"/>
      <c r="G532" s="575"/>
      <c r="H532" s="1612">
        <f>Valuation!H137</f>
        <v>7.3999999999999996E-2</v>
      </c>
      <c r="I532" s="566"/>
      <c r="J532" s="566"/>
      <c r="K532" s="566"/>
    </row>
    <row r="533" spans="1:11" outlineLevel="1" x14ac:dyDescent="0.3">
      <c r="A533" s="1602" t="s">
        <v>2924</v>
      </c>
      <c r="B533" s="1185"/>
      <c r="C533" s="575">
        <f>Valuation!C138</f>
        <v>750</v>
      </c>
      <c r="D533" s="575"/>
      <c r="E533" s="575" t="s">
        <v>2925</v>
      </c>
      <c r="F533" s="1185"/>
      <c r="G533" s="1185"/>
      <c r="H533" s="1617">
        <f>H532*(1-H539)</f>
        <v>5.5499999999999994E-2</v>
      </c>
      <c r="I533" s="566"/>
      <c r="J533" s="566"/>
      <c r="K533" s="566"/>
    </row>
    <row r="534" spans="1:11" outlineLevel="1" x14ac:dyDescent="0.3">
      <c r="A534" s="1607" t="s">
        <v>2926</v>
      </c>
      <c r="B534" s="1185"/>
      <c r="C534" s="1823">
        <f>C531-C532+C533</f>
        <v>6643.3973342945792</v>
      </c>
      <c r="D534" s="1605"/>
      <c r="E534" s="575" t="s">
        <v>2927</v>
      </c>
      <c r="F534" s="1185"/>
      <c r="G534" s="1594"/>
      <c r="H534" s="1606">
        <f>1-H529</f>
        <v>0.6</v>
      </c>
      <c r="I534" s="566"/>
      <c r="J534" s="566"/>
      <c r="K534" s="566"/>
    </row>
    <row r="535" spans="1:11" outlineLevel="1" x14ac:dyDescent="0.3">
      <c r="A535" s="1602" t="s">
        <v>259</v>
      </c>
      <c r="B535" s="1185"/>
      <c r="C535" s="575">
        <f>Valuation!C140</f>
        <v>260</v>
      </c>
      <c r="D535" s="1605"/>
      <c r="E535" s="575" t="s">
        <v>2928</v>
      </c>
      <c r="F535" s="1185"/>
      <c r="G535" s="575"/>
      <c r="H535" s="1615">
        <f>H533*H534</f>
        <v>3.3299999999999996E-2</v>
      </c>
      <c r="I535" s="566"/>
      <c r="J535" s="566"/>
      <c r="K535" s="566"/>
    </row>
    <row r="536" spans="1:11" ht="12.5" outlineLevel="1" thickBot="1" x14ac:dyDescent="0.35">
      <c r="A536" s="1602" t="s">
        <v>873</v>
      </c>
      <c r="B536" s="1185"/>
      <c r="C536" s="1618">
        <f>C534/C535</f>
        <v>25.551528208825303</v>
      </c>
      <c r="D536" s="1605"/>
      <c r="E536" s="575" t="s">
        <v>2929</v>
      </c>
      <c r="F536" s="1185"/>
      <c r="G536" s="575"/>
      <c r="H536" s="1619">
        <f>+H535+H530</f>
        <v>6.8796799999999991E-2</v>
      </c>
      <c r="I536" s="1185"/>
      <c r="J536" s="566"/>
      <c r="K536" s="566"/>
    </row>
    <row r="537" spans="1:11" ht="12.5" outlineLevel="1" thickTop="1" x14ac:dyDescent="0.3">
      <c r="A537" s="1592" t="s">
        <v>2930</v>
      </c>
      <c r="B537" s="1185"/>
      <c r="C537" s="1620">
        <f>C536/Valuation!B6-1</f>
        <v>-0.28587120713176906</v>
      </c>
      <c r="D537" s="575"/>
      <c r="E537" s="575"/>
      <c r="F537" s="1185"/>
      <c r="G537" s="575"/>
      <c r="H537" s="575"/>
      <c r="I537" s="566"/>
      <c r="J537" s="566"/>
      <c r="K537" s="566"/>
    </row>
    <row r="538" spans="1:11" outlineLevel="1" x14ac:dyDescent="0.3">
      <c r="A538" s="1592" t="s">
        <v>2931</v>
      </c>
      <c r="B538" s="1185"/>
      <c r="C538" s="1593">
        <f>+(SUM(C532:C532)-C533)/J502</f>
        <v>3.0265859655769467</v>
      </c>
      <c r="D538" s="575"/>
      <c r="E538" s="1595" t="s">
        <v>2932</v>
      </c>
      <c r="F538" s="1185"/>
      <c r="G538" s="566"/>
      <c r="H538" s="575"/>
      <c r="I538" s="566"/>
      <c r="J538" s="1606"/>
      <c r="K538" s="1606"/>
    </row>
    <row r="539" spans="1:11" outlineLevel="1" x14ac:dyDescent="0.3">
      <c r="A539" s="1592" t="s">
        <v>2933</v>
      </c>
      <c r="B539" s="1185"/>
      <c r="C539" s="1621">
        <v>7</v>
      </c>
      <c r="D539" s="1605"/>
      <c r="E539" s="575" t="s">
        <v>124</v>
      </c>
      <c r="F539" s="1185"/>
      <c r="G539" s="566"/>
      <c r="H539" s="1604">
        <f>Valuation!H144</f>
        <v>0.25</v>
      </c>
      <c r="I539" s="566"/>
      <c r="J539" s="1606"/>
      <c r="K539" s="1606"/>
    </row>
    <row r="540" spans="1:11" outlineLevel="1" x14ac:dyDescent="0.3">
      <c r="A540" s="1592"/>
      <c r="B540" s="1185"/>
      <c r="C540" s="1621"/>
      <c r="D540" s="1605"/>
      <c r="E540" s="575" t="s">
        <v>2934</v>
      </c>
      <c r="F540" s="1185"/>
      <c r="G540" s="566"/>
      <c r="H540" s="1673">
        <f>H536-C525</f>
        <v>-6.9862013727285122E-3</v>
      </c>
      <c r="I540" s="566"/>
      <c r="J540" s="1622"/>
      <c r="K540" s="1622"/>
    </row>
    <row r="541" spans="1:11" outlineLevel="1" x14ac:dyDescent="0.3">
      <c r="A541" s="1623"/>
      <c r="B541" s="1623"/>
      <c r="C541" s="1589"/>
      <c r="D541" s="1623"/>
      <c r="E541" s="1623"/>
      <c r="F541" s="1623"/>
      <c r="G541" s="1623"/>
      <c r="H541" s="1624"/>
      <c r="I541" s="1624"/>
      <c r="J541" s="1624"/>
      <c r="K541" s="1624"/>
    </row>
    <row r="548" spans="1:3" x14ac:dyDescent="0.3">
      <c r="A548" s="108" t="s">
        <v>2935</v>
      </c>
      <c r="B548" s="935" t="s">
        <v>2936</v>
      </c>
      <c r="C548" s="935" t="s">
        <v>2937</v>
      </c>
    </row>
    <row r="549" spans="1:3" x14ac:dyDescent="0.3">
      <c r="A549" s="1088" t="s">
        <v>2938</v>
      </c>
      <c r="B549" s="1092">
        <v>61.254844066577903</v>
      </c>
      <c r="C549" s="1092">
        <v>73.010781244495476</v>
      </c>
    </row>
    <row r="550" spans="1:3" x14ac:dyDescent="0.3">
      <c r="A550" s="1088" t="s">
        <v>2939</v>
      </c>
      <c r="B550" s="1686">
        <f>C527</f>
        <v>1.5931842850094486</v>
      </c>
      <c r="C550" s="1686">
        <f>B550</f>
        <v>1.5931842850094486</v>
      </c>
    </row>
    <row r="551" spans="1:3" x14ac:dyDescent="0.3">
      <c r="A551" s="539" t="s">
        <v>258</v>
      </c>
      <c r="B551" s="1570">
        <f>B549/B550</f>
        <v>38.448059425978222</v>
      </c>
      <c r="C551" s="1570">
        <f>C549/C550</f>
        <v>45.82695293411237</v>
      </c>
    </row>
    <row r="555" spans="1:3" x14ac:dyDescent="0.3">
      <c r="A555" s="108" t="s">
        <v>2940</v>
      </c>
      <c r="B555" s="935" t="s">
        <v>2936</v>
      </c>
      <c r="C555" s="935" t="s">
        <v>2937</v>
      </c>
    </row>
    <row r="556" spans="1:3" x14ac:dyDescent="0.3">
      <c r="A556" s="1088" t="s">
        <v>2938</v>
      </c>
      <c r="B556" s="1092">
        <v>102.44263438082557</v>
      </c>
      <c r="C556" s="1092">
        <v>119.23683034927923</v>
      </c>
    </row>
    <row r="557" spans="1:3" x14ac:dyDescent="0.3">
      <c r="A557" s="1088" t="s">
        <v>2939</v>
      </c>
      <c r="B557" s="1686">
        <f>B550</f>
        <v>1.5931842850094486</v>
      </c>
      <c r="C557" s="1686">
        <f>C550</f>
        <v>1.5931842850094486</v>
      </c>
    </row>
    <row r="558" spans="1:3" x14ac:dyDescent="0.3">
      <c r="A558" s="539" t="s">
        <v>258</v>
      </c>
      <c r="B558" s="1570">
        <f>B556/B557</f>
        <v>64.300555400104273</v>
      </c>
      <c r="C558" s="1570">
        <f>C556/C557</f>
        <v>74.84183184029591</v>
      </c>
    </row>
    <row r="562" spans="1:3" x14ac:dyDescent="0.3">
      <c r="A562" s="108" t="s">
        <v>2941</v>
      </c>
      <c r="B562" s="935" t="s">
        <v>2936</v>
      </c>
      <c r="C562" s="935" t="s">
        <v>2937</v>
      </c>
    </row>
    <row r="563" spans="1:3" x14ac:dyDescent="0.3">
      <c r="A563" s="1088" t="s">
        <v>2938</v>
      </c>
      <c r="B563" s="1092">
        <v>116.17189781890814</v>
      </c>
      <c r="C563" s="1092">
        <v>134.64551338420719</v>
      </c>
    </row>
    <row r="564" spans="1:3" x14ac:dyDescent="0.3">
      <c r="A564" s="1088" t="s">
        <v>2939</v>
      </c>
      <c r="B564" s="1686">
        <f>B557</f>
        <v>1.5931842850094486</v>
      </c>
      <c r="C564" s="1686">
        <f>C557</f>
        <v>1.5931842850094486</v>
      </c>
    </row>
    <row r="565" spans="1:3" x14ac:dyDescent="0.3">
      <c r="A565" s="539" t="s">
        <v>258</v>
      </c>
      <c r="B565" s="1570">
        <f>B563/B564</f>
        <v>72.918054058146296</v>
      </c>
      <c r="C565" s="1570">
        <f>C563/C564</f>
        <v>84.513458142357123</v>
      </c>
    </row>
  </sheetData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2C55B-9CF7-4CC0-8871-900086059E02}">
  <dimension ref="A3:F341"/>
  <sheetViews>
    <sheetView topLeftCell="A143" workbookViewId="0">
      <selection activeCell="D26" sqref="D26"/>
    </sheetView>
  </sheetViews>
  <sheetFormatPr defaultColWidth="9.33203125" defaultRowHeight="12" x14ac:dyDescent="0.3"/>
  <cols>
    <col min="1" max="1" width="31.44140625" style="108" bestFit="1" customWidth="1"/>
    <col min="2" max="2" width="17" style="108" customWidth="1"/>
    <col min="3" max="3" width="15" style="108" customWidth="1"/>
    <col min="4" max="4" width="13.44140625" style="108" customWidth="1"/>
    <col min="5" max="5" width="15.109375" style="108" customWidth="1"/>
    <col min="6" max="6" width="11.33203125" style="108" customWidth="1"/>
    <col min="7" max="16384" width="9.33203125" style="108"/>
  </cols>
  <sheetData>
    <row r="3" spans="1:3" x14ac:dyDescent="0.3">
      <c r="A3" s="538" t="s">
        <v>2942</v>
      </c>
    </row>
    <row r="4" spans="1:3" x14ac:dyDescent="0.3">
      <c r="B4" s="1556" t="s">
        <v>1707</v>
      </c>
      <c r="C4" s="1556" t="s">
        <v>2842</v>
      </c>
    </row>
    <row r="5" spans="1:3" x14ac:dyDescent="0.3">
      <c r="A5" s="108" t="s">
        <v>694</v>
      </c>
      <c r="B5" s="925">
        <f>'Mini-model'!B74</f>
        <v>6491</v>
      </c>
      <c r="C5" s="925">
        <f>'Mini-model'!C74</f>
        <v>10000</v>
      </c>
    </row>
    <row r="6" spans="1:3" x14ac:dyDescent="0.3">
      <c r="A6" s="108" t="s">
        <v>2943</v>
      </c>
      <c r="B6" s="925">
        <f>'Mini-model'!B76</f>
        <v>2007</v>
      </c>
      <c r="C6" s="925">
        <f>'Mini-model'!C76</f>
        <v>4500</v>
      </c>
    </row>
    <row r="7" spans="1:3" x14ac:dyDescent="0.3">
      <c r="A7" s="108" t="s">
        <v>44</v>
      </c>
      <c r="B7" s="925">
        <f>'Mini-model'!B142</f>
        <v>2127</v>
      </c>
      <c r="C7" s="925">
        <v>4000</v>
      </c>
    </row>
    <row r="8" spans="1:3" x14ac:dyDescent="0.3">
      <c r="A8" s="108" t="s">
        <v>642</v>
      </c>
      <c r="B8" s="925">
        <f>'Mini-model'!B168</f>
        <v>-965</v>
      </c>
      <c r="C8" s="925">
        <v>3000</v>
      </c>
    </row>
    <row r="9" spans="1:3" x14ac:dyDescent="0.3">
      <c r="A9" s="108" t="s">
        <v>2944</v>
      </c>
      <c r="B9" s="925">
        <f>B8/'Mini-model'!B90*1000</f>
        <v>-62.662337662337656</v>
      </c>
      <c r="C9" s="925">
        <f>C8/'Mini-model'!C90*1000</f>
        <v>194.80519480519482</v>
      </c>
    </row>
    <row r="10" spans="1:3" x14ac:dyDescent="0.3">
      <c r="A10" s="108" t="s">
        <v>2945</v>
      </c>
      <c r="B10" s="925">
        <f>B7/'Mini-model'!B90*1000</f>
        <v>138.11688311688312</v>
      </c>
      <c r="C10" s="925">
        <f>C7/'Mini-model'!B90*1000</f>
        <v>259.74025974025972</v>
      </c>
    </row>
    <row r="30" spans="1:3" x14ac:dyDescent="0.3">
      <c r="A30" s="538" t="s">
        <v>2946</v>
      </c>
    </row>
    <row r="31" spans="1:3" x14ac:dyDescent="0.3">
      <c r="B31" s="1556" t="s">
        <v>1498</v>
      </c>
      <c r="C31" s="1556" t="s">
        <v>2947</v>
      </c>
    </row>
    <row r="32" spans="1:3" x14ac:dyDescent="0.3">
      <c r="A32" s="108" t="s">
        <v>694</v>
      </c>
      <c r="B32" s="925">
        <f>'Mini-model'!B178</f>
        <v>621</v>
      </c>
      <c r="C32" s="925">
        <f>'Mini-model'!C286</f>
        <v>3223</v>
      </c>
    </row>
    <row r="33" spans="1:3" x14ac:dyDescent="0.3">
      <c r="A33" s="108" t="s">
        <v>2943</v>
      </c>
      <c r="B33" s="925">
        <f>'Mini-model'!B180</f>
        <v>286</v>
      </c>
      <c r="C33" s="925">
        <f>'Mini-model'!C288</f>
        <v>1434.2350000000001</v>
      </c>
    </row>
    <row r="34" spans="1:3" x14ac:dyDescent="0.3">
      <c r="A34" s="108" t="s">
        <v>44</v>
      </c>
      <c r="B34" s="925">
        <f>'Mini-model'!B243</f>
        <v>290.15074399999997</v>
      </c>
      <c r="C34" s="925">
        <f>'Mini-model'!C350</f>
        <v>1078.4699697066869</v>
      </c>
    </row>
    <row r="35" spans="1:3" x14ac:dyDescent="0.3">
      <c r="A35" s="108" t="s">
        <v>642</v>
      </c>
      <c r="B35" s="925">
        <f>'Mini-model'!B276</f>
        <v>180.58836261982262</v>
      </c>
      <c r="C35" s="925">
        <f>'Mini-model'!C375</f>
        <v>720.09897990915056</v>
      </c>
    </row>
    <row r="36" spans="1:3" x14ac:dyDescent="0.3">
      <c r="A36" s="108" t="s">
        <v>2944</v>
      </c>
      <c r="B36" s="925">
        <f>B35/'Mini-model'!B194*1000</f>
        <v>226.86980228620931</v>
      </c>
      <c r="C36" s="925">
        <f>C35/'Mini-model'!C302*1000</f>
        <v>223.42506357714879</v>
      </c>
    </row>
    <row r="37" spans="1:3" x14ac:dyDescent="0.3">
      <c r="A37" s="108" t="s">
        <v>2945</v>
      </c>
      <c r="B37" s="925">
        <f>B34/'Mini-model'!B194*1000</f>
        <v>364.51098492462307</v>
      </c>
      <c r="C37" s="925">
        <f>C34/'Mini-model'!C302*1000</f>
        <v>334.61680723136425</v>
      </c>
    </row>
    <row r="48" spans="1:3" x14ac:dyDescent="0.3">
      <c r="A48" s="538" t="s">
        <v>2948</v>
      </c>
    </row>
    <row r="49" spans="1:3" x14ac:dyDescent="0.3">
      <c r="B49" s="1556" t="s">
        <v>1498</v>
      </c>
      <c r="C49" s="1556" t="s">
        <v>2947</v>
      </c>
    </row>
    <row r="50" spans="1:3" x14ac:dyDescent="0.3">
      <c r="A50" s="108" t="s">
        <v>694</v>
      </c>
      <c r="B50" s="925">
        <f>'Mini-model'!D178</f>
        <v>10000</v>
      </c>
      <c r="C50" s="925">
        <f>'Mini-model'!D286</f>
        <v>10000</v>
      </c>
    </row>
    <row r="51" spans="1:3" x14ac:dyDescent="0.3">
      <c r="A51" s="108" t="s">
        <v>2943</v>
      </c>
      <c r="B51" s="925">
        <f>'Mini-model'!D180</f>
        <v>4605.4750402576492</v>
      </c>
      <c r="C51" s="925">
        <f>'Mini-model'!D288</f>
        <v>4450.0000000000009</v>
      </c>
    </row>
    <row r="52" spans="1:3" x14ac:dyDescent="0.3">
      <c r="A52" s="108" t="s">
        <v>44</v>
      </c>
      <c r="B52" s="925">
        <f>'Mini-model'!D251</f>
        <v>4895.3457099022216</v>
      </c>
      <c r="C52" s="925">
        <f>'Mini-model'!D350</f>
        <v>4188.7351344634244</v>
      </c>
    </row>
    <row r="53" spans="1:3" x14ac:dyDescent="0.3">
      <c r="A53" s="108" t="s">
        <v>642</v>
      </c>
      <c r="B53" s="925">
        <f>'Mini-model'!D276</f>
        <v>3816.8630420199693</v>
      </c>
      <c r="C53" s="925">
        <f>'Mini-model'!D375</f>
        <v>3057.2001509875863</v>
      </c>
    </row>
    <row r="54" spans="1:3" x14ac:dyDescent="0.3">
      <c r="A54" s="108" t="s">
        <v>2944</v>
      </c>
      <c r="B54" s="925">
        <f>B53/'Mini-model'!D194*1000</f>
        <v>247.8482494818162</v>
      </c>
      <c r="C54" s="925">
        <f>C53/'Mini-model'!D302*1000</f>
        <v>198.51949032386923</v>
      </c>
    </row>
    <row r="55" spans="1:3" x14ac:dyDescent="0.3">
      <c r="A55" s="108" t="s">
        <v>2945</v>
      </c>
      <c r="B55" s="925">
        <f>B52/'Mini-model'!D194*1000</f>
        <v>317.87959155209234</v>
      </c>
      <c r="C55" s="925">
        <f>C52/'Mini-model'!D302*1000</f>
        <v>271.99578795217042</v>
      </c>
    </row>
    <row r="74" spans="1:3" x14ac:dyDescent="0.3">
      <c r="A74" s="538" t="s">
        <v>2949</v>
      </c>
    </row>
    <row r="75" spans="1:3" x14ac:dyDescent="0.3">
      <c r="B75" s="1556" t="s">
        <v>2950</v>
      </c>
      <c r="C75" s="1556" t="s">
        <v>1289</v>
      </c>
    </row>
    <row r="76" spans="1:3" x14ac:dyDescent="0.3">
      <c r="A76" s="108" t="s">
        <v>694</v>
      </c>
      <c r="B76" s="925">
        <f>'Mini-model'!C74</f>
        <v>10000</v>
      </c>
      <c r="C76" s="925">
        <v>11275.993266672434</v>
      </c>
    </row>
    <row r="77" spans="1:3" x14ac:dyDescent="0.3">
      <c r="A77" s="108" t="s">
        <v>2943</v>
      </c>
      <c r="B77" s="925">
        <f>'Mini-model'!C76</f>
        <v>4500</v>
      </c>
      <c r="C77" s="925">
        <v>5074.1969700025957</v>
      </c>
    </row>
    <row r="78" spans="1:3" x14ac:dyDescent="0.3">
      <c r="A78" s="108" t="s">
        <v>44</v>
      </c>
      <c r="B78" s="925">
        <f>'Mini-model'!C142</f>
        <v>3572.0115413735289</v>
      </c>
      <c r="C78" s="925">
        <v>4006.2575890812604</v>
      </c>
    </row>
    <row r="79" spans="1:3" x14ac:dyDescent="0.3">
      <c r="A79" s="108" t="s">
        <v>642</v>
      </c>
      <c r="B79" s="925">
        <f>'Mini-model'!C168</f>
        <v>2526.5123850709138</v>
      </c>
      <c r="C79" s="925">
        <v>2675.5115552946754</v>
      </c>
    </row>
    <row r="80" spans="1:3" x14ac:dyDescent="0.3">
      <c r="A80" s="108" t="s">
        <v>2944</v>
      </c>
      <c r="B80" s="925">
        <f>B79/'Mini-model'!C90*1000</f>
        <v>164.05924578382559</v>
      </c>
      <c r="C80" s="925">
        <v>160.44091122546689</v>
      </c>
    </row>
    <row r="81" spans="1:3" x14ac:dyDescent="0.3">
      <c r="A81" s="108" t="s">
        <v>2945</v>
      </c>
      <c r="B81" s="925">
        <f>B78/'Mini-model'!C90*1000</f>
        <v>231.94880138789148</v>
      </c>
      <c r="C81" s="925">
        <v>240.24101743240141</v>
      </c>
    </row>
    <row r="103" spans="1:6" ht="29" x14ac:dyDescent="0.35">
      <c r="A103" s="1090"/>
      <c r="B103" s="1559" t="s">
        <v>2951</v>
      </c>
      <c r="C103" s="1559" t="s">
        <v>2950</v>
      </c>
      <c r="D103" s="1559" t="s">
        <v>1289</v>
      </c>
      <c r="E103" s="1559" t="s">
        <v>1139</v>
      </c>
      <c r="F103" s="1559" t="s">
        <v>1498</v>
      </c>
    </row>
    <row r="104" spans="1:6" x14ac:dyDescent="0.3">
      <c r="A104" s="108" t="s">
        <v>880</v>
      </c>
      <c r="B104" s="925">
        <v>15400</v>
      </c>
      <c r="C104" s="925">
        <f>'Mini-model'!C90</f>
        <v>15400</v>
      </c>
      <c r="D104" s="925">
        <v>16675.993266672434</v>
      </c>
      <c r="E104" s="925">
        <f>'Mini-model'!D302</f>
        <v>15400</v>
      </c>
      <c r="F104" s="925">
        <f t="shared" ref="F104" si="0">E104</f>
        <v>15400</v>
      </c>
    </row>
    <row r="105" spans="1:6" x14ac:dyDescent="0.3">
      <c r="A105" s="108" t="s">
        <v>1398</v>
      </c>
      <c r="B105" s="925"/>
      <c r="C105" s="925">
        <f>'Mini-model'!C92</f>
        <v>4608</v>
      </c>
      <c r="D105" s="925">
        <v>5182.1969700025957</v>
      </c>
      <c r="E105" s="925">
        <f>'Mini-model'!D288</f>
        <v>4450.0000000000009</v>
      </c>
      <c r="F105" s="925">
        <f>'Mini-model'!D196</f>
        <v>4667.1893259719345</v>
      </c>
    </row>
    <row r="106" spans="1:6" x14ac:dyDescent="0.3">
      <c r="A106" s="108" t="s">
        <v>1586</v>
      </c>
      <c r="B106" s="925"/>
      <c r="C106" s="925">
        <f>'Mini-model'!C103</f>
        <v>4146.8266161372576</v>
      </c>
      <c r="D106" s="925">
        <v>4661.7573865963286</v>
      </c>
      <c r="E106" s="925">
        <f>'Mini-model'!D326</f>
        <v>5711.4024197236849</v>
      </c>
      <c r="F106" s="925">
        <f>'Mini-model'!D219</f>
        <v>6716.7210561571665</v>
      </c>
    </row>
    <row r="107" spans="1:6" x14ac:dyDescent="0.3">
      <c r="A107" s="108" t="s">
        <v>2952</v>
      </c>
      <c r="B107" s="925"/>
      <c r="C107" s="925">
        <f>'Mini-model'!C121</f>
        <v>2579</v>
      </c>
      <c r="D107" s="925">
        <v>2579</v>
      </c>
      <c r="E107" s="925">
        <f>'Mini-model'!D332</f>
        <v>3387.471100337355</v>
      </c>
      <c r="F107" s="925">
        <f>'Mini-model'!D225</f>
        <v>2669.8492462311556</v>
      </c>
    </row>
    <row r="108" spans="1:6" x14ac:dyDescent="0.3">
      <c r="A108" s="108" t="s">
        <v>651</v>
      </c>
      <c r="B108" s="925"/>
      <c r="C108" s="925">
        <f>'Mini-model'!C125</f>
        <v>7475.8546700880497</v>
      </c>
      <c r="D108" s="925">
        <v>8018.1910874141959</v>
      </c>
      <c r="E108" s="925">
        <f>'Mini-model'!D336</f>
        <v>9173.873520061039</v>
      </c>
      <c r="F108" s="925">
        <f>'Mini-model'!D229</f>
        <v>9461.5703023883216</v>
      </c>
    </row>
    <row r="109" spans="1:6" x14ac:dyDescent="0.3">
      <c r="A109" s="108" t="s">
        <v>1596</v>
      </c>
      <c r="B109" s="925"/>
      <c r="C109" s="925">
        <f>'Mini-model'!C137</f>
        <v>3903.8431287145208</v>
      </c>
      <c r="D109" s="925">
        <v>4011.9334983329354</v>
      </c>
      <c r="E109" s="925">
        <f>'Mini-model'!D344</f>
        <v>4985.1383855976146</v>
      </c>
      <c r="F109" s="925">
        <f>'Mini-model'!D237+'Mini-model'!D248</f>
        <v>4566.2245924860999</v>
      </c>
    </row>
    <row r="110" spans="1:6" x14ac:dyDescent="0.3">
      <c r="A110" s="108" t="s">
        <v>44</v>
      </c>
      <c r="B110" s="925">
        <v>4000</v>
      </c>
      <c r="C110" s="925">
        <f>C108-C109</f>
        <v>3572.0115413735289</v>
      </c>
      <c r="D110" s="925">
        <v>4006.2575890812604</v>
      </c>
      <c r="E110" s="925">
        <f>'Mini-model'!D350</f>
        <v>4188.7351344634244</v>
      </c>
      <c r="F110" s="925">
        <f>F108-F109</f>
        <v>4895.3457099022216</v>
      </c>
    </row>
    <row r="111" spans="1:6" x14ac:dyDescent="0.3">
      <c r="A111" s="108" t="s">
        <v>198</v>
      </c>
      <c r="B111" s="925">
        <v>1000</v>
      </c>
      <c r="C111" s="925">
        <f>'Mini-model'!C164</f>
        <v>1045.4991563026151</v>
      </c>
      <c r="D111" s="925">
        <v>1330.7460337865848</v>
      </c>
      <c r="E111" s="925">
        <f>'Mini-model'!D371</f>
        <v>1131.5349834758381</v>
      </c>
      <c r="F111" s="925">
        <f>'Mini-model'!D272</f>
        <v>1078.4826678822524</v>
      </c>
    </row>
    <row r="112" spans="1:6" x14ac:dyDescent="0.3">
      <c r="A112" s="108" t="s">
        <v>642</v>
      </c>
      <c r="B112" s="925">
        <f>B110-B111</f>
        <v>3000</v>
      </c>
      <c r="C112" s="925">
        <f>C110-C111</f>
        <v>2526.5123850709138</v>
      </c>
      <c r="D112" s="925">
        <v>2675.5115552946754</v>
      </c>
      <c r="E112" s="925">
        <f>E110-E111</f>
        <v>3057.2001509875863</v>
      </c>
      <c r="F112" s="925">
        <f>F110-F111</f>
        <v>3816.8630420199693</v>
      </c>
    </row>
    <row r="114" spans="1:6" x14ac:dyDescent="0.3">
      <c r="A114" s="108" t="s">
        <v>2953</v>
      </c>
      <c r="B114" s="932">
        <f>F114</f>
        <v>3.5000000000000003E-2</v>
      </c>
      <c r="C114" s="932">
        <f>'Mini-model'!D98</f>
        <v>3.5000000000000003E-2</v>
      </c>
      <c r="D114" s="932">
        <v>3.5000000000000003E-2</v>
      </c>
      <c r="E114" s="932">
        <f>D114</f>
        <v>3.5000000000000003E-2</v>
      </c>
      <c r="F114" s="932">
        <f>E114</f>
        <v>3.5000000000000003E-2</v>
      </c>
    </row>
    <row r="115" spans="1:6" x14ac:dyDescent="0.3">
      <c r="A115" s="108" t="s">
        <v>2825</v>
      </c>
      <c r="B115" s="932"/>
      <c r="C115" s="932">
        <f>'Mini-model'!D121</f>
        <v>0</v>
      </c>
      <c r="D115" s="932">
        <v>0</v>
      </c>
      <c r="E115" s="932">
        <f>D115</f>
        <v>0</v>
      </c>
      <c r="F115" s="932">
        <f>E115</f>
        <v>0</v>
      </c>
    </row>
    <row r="116" spans="1:6" x14ac:dyDescent="0.3">
      <c r="A116" s="108" t="s">
        <v>2954</v>
      </c>
      <c r="B116" s="932"/>
      <c r="C116" s="932">
        <f>'Mini-model'!B14</f>
        <v>2.1364813701382213E-2</v>
      </c>
      <c r="D116" s="932">
        <v>3.1495986559253231E-2</v>
      </c>
      <c r="E116" s="932">
        <f>'Mini-model'!H336</f>
        <v>2.1700502398747767E-2</v>
      </c>
      <c r="F116" s="932">
        <f>'Mini-model'!G229</f>
        <v>2.563636824354254E-2</v>
      </c>
    </row>
    <row r="117" spans="1:6" x14ac:dyDescent="0.3">
      <c r="A117" s="108" t="s">
        <v>673</v>
      </c>
      <c r="B117" s="932"/>
      <c r="C117" s="932">
        <f>'Mini-model'!B17</f>
        <v>0.47780644474880596</v>
      </c>
      <c r="D117" s="932">
        <v>0.49964606048984139</v>
      </c>
      <c r="E117" s="932">
        <f>'Mini-model'!D351</f>
        <v>0.45659394859801317</v>
      </c>
      <c r="F117" s="932">
        <f>'Mini-model'!D252</f>
        <v>0.51739252084471876</v>
      </c>
    </row>
    <row r="118" spans="1:6" x14ac:dyDescent="0.3">
      <c r="A118" s="108" t="s">
        <v>1273</v>
      </c>
      <c r="B118" s="932"/>
      <c r="C118" s="932">
        <f>'Mini-model'!B18</f>
        <v>4.1010466649448851E-2</v>
      </c>
      <c r="D118" s="932">
        <v>4.7743317905020621E-2</v>
      </c>
      <c r="E118" s="932">
        <f>'Mini-model'!H350</f>
        <v>3.5618299611252846E-2</v>
      </c>
      <c r="F118" s="932">
        <f>'Mini-model'!G251</f>
        <v>3.2108890495713416E-2</v>
      </c>
    </row>
    <row r="119" spans="1:6" x14ac:dyDescent="0.3">
      <c r="A119" s="108" t="s">
        <v>2955</v>
      </c>
      <c r="B119" s="932"/>
      <c r="C119" s="932">
        <f>'Mini-model'!B21</f>
        <v>0.13985011780469794</v>
      </c>
      <c r="D119" s="932">
        <v>0.16596586677453953</v>
      </c>
      <c r="E119" s="932">
        <f>'Mini-model'!D372</f>
        <v>0.12334320731602035</v>
      </c>
      <c r="F119" s="932">
        <f>'Mini-model'!F273</f>
        <v>0.11113645436393529</v>
      </c>
    </row>
    <row r="120" spans="1:6" x14ac:dyDescent="0.3">
      <c r="A120" s="108" t="s">
        <v>2956</v>
      </c>
      <c r="B120" s="932"/>
      <c r="C120" s="932">
        <f>'Mini-model'!B25</f>
        <v>5.7981057624949761E-2</v>
      </c>
      <c r="D120" s="932">
        <v>6.5173730193387014E-2</v>
      </c>
      <c r="E120" s="932">
        <f>'Mini-model'!H375</f>
        <v>4.8801392006769584E-2</v>
      </c>
      <c r="F120" s="932">
        <f>'Mini-model'!G276</f>
        <v>4.1181493181040585E-2</v>
      </c>
    </row>
    <row r="121" spans="1:6" x14ac:dyDescent="0.3">
      <c r="A121" s="1091"/>
      <c r="B121" s="1091"/>
      <c r="C121" s="1091"/>
      <c r="D121" s="1091"/>
      <c r="E121" s="1091"/>
      <c r="F121" s="1091"/>
    </row>
    <row r="130" spans="1:3" x14ac:dyDescent="0.3">
      <c r="B130" s="108" t="s">
        <v>629</v>
      </c>
      <c r="C130" s="108" t="s">
        <v>628</v>
      </c>
    </row>
    <row r="131" spans="1:3" x14ac:dyDescent="0.3">
      <c r="A131" s="108" t="s">
        <v>2957</v>
      </c>
      <c r="B131" s="928">
        <f>'Mini-model'!C139</f>
        <v>19.754870129870131</v>
      </c>
      <c r="C131" s="928">
        <f>B131</f>
        <v>19.754870129870131</v>
      </c>
    </row>
    <row r="136" spans="1:3" x14ac:dyDescent="0.3">
      <c r="A136" s="108" t="s">
        <v>2958</v>
      </c>
      <c r="B136" s="1092">
        <f>'Mini-model'!B50</f>
        <v>15</v>
      </c>
    </row>
    <row r="137" spans="1:3" x14ac:dyDescent="0.3">
      <c r="A137" s="108" t="s">
        <v>2959</v>
      </c>
      <c r="B137" s="1092">
        <f>'Mini-model'!B53</f>
        <v>15.266558441558441</v>
      </c>
    </row>
    <row r="138" spans="1:3" x14ac:dyDescent="0.3">
      <c r="A138" s="108" t="s">
        <v>2960</v>
      </c>
      <c r="B138" s="1092">
        <f>B137</f>
        <v>15.266558441558441</v>
      </c>
    </row>
    <row r="151" spans="1:5" x14ac:dyDescent="0.3">
      <c r="C151" s="675"/>
    </row>
    <row r="153" spans="1:5" ht="43.5" x14ac:dyDescent="0.35">
      <c r="A153" s="537" t="s">
        <v>2961</v>
      </c>
      <c r="B153" s="1559" t="s">
        <v>2950</v>
      </c>
      <c r="C153" s="1559" t="s">
        <v>1289</v>
      </c>
      <c r="D153" s="1559" t="s">
        <v>2962</v>
      </c>
      <c r="E153" s="1559" t="s">
        <v>2963</v>
      </c>
    </row>
    <row r="154" spans="1:5" x14ac:dyDescent="0.3">
      <c r="A154" s="108" t="s">
        <v>867</v>
      </c>
      <c r="B154" s="120">
        <f>'Mini-model'!C534</f>
        <v>6643.3973342945792</v>
      </c>
      <c r="C154" s="120">
        <v>9098.7523567280296</v>
      </c>
      <c r="D154" s="925">
        <v>14381.294697733796</v>
      </c>
      <c r="E154" s="925">
        <v>16424.804427514446</v>
      </c>
    </row>
    <row r="155" spans="1:5" x14ac:dyDescent="0.3">
      <c r="A155" s="108" t="s">
        <v>866</v>
      </c>
      <c r="B155" s="120">
        <f>'Mini-model'!C532-'Mini-model'!C533</f>
        <v>10811</v>
      </c>
      <c r="C155" s="120">
        <v>9061</v>
      </c>
      <c r="D155" s="925">
        <v>9061</v>
      </c>
      <c r="E155" s="925">
        <v>9061</v>
      </c>
    </row>
    <row r="156" spans="1:5" x14ac:dyDescent="0.3">
      <c r="A156" s="108" t="s">
        <v>2964</v>
      </c>
      <c r="B156" s="120">
        <f>'Mini-model'!C531</f>
        <v>17454.397334294579</v>
      </c>
      <c r="C156" s="120">
        <v>18159.75235672803</v>
      </c>
      <c r="D156" s="925">
        <v>23442.294697733796</v>
      </c>
      <c r="E156" s="925">
        <v>25485.804427514446</v>
      </c>
    </row>
    <row r="160" spans="1:5" x14ac:dyDescent="0.3">
      <c r="A160" s="108" t="s">
        <v>2964</v>
      </c>
      <c r="B160" s="120">
        <f>B156</f>
        <v>17454.397334294579</v>
      </c>
      <c r="D160" s="120">
        <f>C156</f>
        <v>18159.75235672803</v>
      </c>
    </row>
    <row r="161" spans="1:6" x14ac:dyDescent="0.3">
      <c r="A161" s="108" t="s">
        <v>866</v>
      </c>
      <c r="B161" s="120">
        <f>B160-C161</f>
        <v>6643.3973342945792</v>
      </c>
      <c r="C161" s="120">
        <f>B155</f>
        <v>10811</v>
      </c>
      <c r="D161" s="120">
        <f>D160-E161</f>
        <v>9098.7523567280296</v>
      </c>
      <c r="E161" s="120">
        <f>C155</f>
        <v>9061</v>
      </c>
    </row>
    <row r="162" spans="1:6" x14ac:dyDescent="0.3">
      <c r="A162" s="108" t="s">
        <v>867</v>
      </c>
      <c r="B162" s="120">
        <f>B161</f>
        <v>6643.3973342945792</v>
      </c>
      <c r="D162" s="120">
        <f>D161</f>
        <v>9098.7523567280296</v>
      </c>
    </row>
    <row r="165" spans="1:6" x14ac:dyDescent="0.3">
      <c r="B165" s="925">
        <f>B162/'Mini-model'!C535</f>
        <v>25.551528208825303</v>
      </c>
      <c r="C165" s="925"/>
      <c r="D165" s="925">
        <f>D162/'Mini-model'!C535</f>
        <v>34.995201372030884</v>
      </c>
    </row>
    <row r="168" spans="1:6" x14ac:dyDescent="0.3">
      <c r="A168" s="108" t="s">
        <v>2964</v>
      </c>
      <c r="B168" s="120">
        <f>D156</f>
        <v>23442.294697733796</v>
      </c>
      <c r="D168" s="120">
        <f>E156</f>
        <v>25485.804427514446</v>
      </c>
    </row>
    <row r="169" spans="1:6" x14ac:dyDescent="0.3">
      <c r="A169" s="108" t="s">
        <v>866</v>
      </c>
      <c r="B169" s="120">
        <f>B168-C169</f>
        <v>14381.294697733796</v>
      </c>
      <c r="C169" s="120">
        <f>D155</f>
        <v>9061</v>
      </c>
      <c r="D169" s="120">
        <f>D168-E169</f>
        <v>16424.804427514446</v>
      </c>
      <c r="E169" s="120">
        <f>E155</f>
        <v>9061</v>
      </c>
    </row>
    <row r="170" spans="1:6" x14ac:dyDescent="0.3">
      <c r="A170" s="108" t="s">
        <v>867</v>
      </c>
      <c r="B170" s="120">
        <f>B169</f>
        <v>14381.294697733796</v>
      </c>
      <c r="D170" s="120">
        <f>D169</f>
        <v>16424.804427514446</v>
      </c>
    </row>
    <row r="175" spans="1:6" ht="43.5" x14ac:dyDescent="0.35">
      <c r="A175" s="537" t="s">
        <v>2961</v>
      </c>
      <c r="B175" s="1559" t="s">
        <v>2950</v>
      </c>
      <c r="C175" s="1559" t="s">
        <v>1289</v>
      </c>
      <c r="D175" s="1559" t="s">
        <v>1139</v>
      </c>
      <c r="E175" s="1559" t="s">
        <v>1498</v>
      </c>
      <c r="F175" s="1559" t="s">
        <v>2951</v>
      </c>
    </row>
    <row r="176" spans="1:6" x14ac:dyDescent="0.3">
      <c r="A176" s="1088" t="s">
        <v>2965</v>
      </c>
      <c r="B176" s="925">
        <f>'Mini-model'!C142</f>
        <v>3572.0115413735289</v>
      </c>
      <c r="C176" s="925">
        <f>B176+250</f>
        <v>3822.0115413735289</v>
      </c>
      <c r="D176" s="925">
        <f>'Mini-model'!D350</f>
        <v>4188.7351344634244</v>
      </c>
      <c r="E176" s="925">
        <f>'Mini-model'!D243</f>
        <v>5802.7075189474481</v>
      </c>
      <c r="F176" s="925">
        <v>4000</v>
      </c>
    </row>
    <row r="177" spans="1:6" x14ac:dyDescent="0.3">
      <c r="A177" s="1088" t="s">
        <v>2966</v>
      </c>
      <c r="B177" s="1569">
        <f>Valuation!C21</f>
        <v>8.9354953354064879</v>
      </c>
      <c r="C177" s="1569">
        <f>B177</f>
        <v>8.9354953354064879</v>
      </c>
      <c r="D177" s="1569">
        <f>C177</f>
        <v>8.9354953354064879</v>
      </c>
      <c r="E177" s="1569">
        <f>D177</f>
        <v>8.9354953354064879</v>
      </c>
      <c r="F177" s="1569">
        <f>E177</f>
        <v>8.9354953354064879</v>
      </c>
    </row>
    <row r="178" spans="1:6" x14ac:dyDescent="0.3">
      <c r="A178" s="1088" t="s">
        <v>2921</v>
      </c>
      <c r="B178" s="925">
        <f>B176*B177</f>
        <v>31917.692465961307</v>
      </c>
      <c r="C178" s="925">
        <f>C176*C177</f>
        <v>34151.566299812926</v>
      </c>
      <c r="D178" s="925">
        <f>D176*D177</f>
        <v>37428.423255251197</v>
      </c>
      <c r="E178" s="925">
        <f>E176*E177</f>
        <v>51850.065968283074</v>
      </c>
      <c r="F178" s="925">
        <f>F176*F177</f>
        <v>35741.981341625949</v>
      </c>
    </row>
    <row r="179" spans="1:6" x14ac:dyDescent="0.3">
      <c r="A179" s="1088" t="s">
        <v>786</v>
      </c>
      <c r="B179" s="120">
        <f>Valuation!B9-Valuation!B10</f>
        <v>10811</v>
      </c>
      <c r="C179" s="120">
        <f>B179</f>
        <v>10811</v>
      </c>
      <c r="D179" s="120">
        <f>C179</f>
        <v>10811</v>
      </c>
      <c r="E179" s="120">
        <f>D179</f>
        <v>10811</v>
      </c>
      <c r="F179" s="120">
        <f>E179</f>
        <v>10811</v>
      </c>
    </row>
    <row r="180" spans="1:6" x14ac:dyDescent="0.3">
      <c r="A180" s="1088" t="s">
        <v>1268</v>
      </c>
      <c r="B180" s="1471">
        <f>B192</f>
        <v>3417.955249149084</v>
      </c>
      <c r="C180" s="1471">
        <f>C192</f>
        <v>3417.955249149084</v>
      </c>
      <c r="D180" s="1471">
        <f>D192</f>
        <v>3417.955249149084</v>
      </c>
      <c r="E180" s="1471">
        <f>E192</f>
        <v>3417.955249149084</v>
      </c>
      <c r="F180" s="1471">
        <f>F192</f>
        <v>3417.955249149084</v>
      </c>
    </row>
    <row r="181" spans="1:6" x14ac:dyDescent="0.3">
      <c r="A181" s="539" t="s">
        <v>787</v>
      </c>
      <c r="B181" s="933">
        <f>B178-B179-B180</f>
        <v>17688.737216812224</v>
      </c>
      <c r="C181" s="933">
        <f>C178-C179-C180</f>
        <v>19922.611050663843</v>
      </c>
      <c r="D181" s="933">
        <f>D178-D179-D180</f>
        <v>23199.468006102114</v>
      </c>
      <c r="E181" s="933">
        <f>E178-E179-E180</f>
        <v>37621.110719133991</v>
      </c>
      <c r="F181" s="933">
        <f>F178-F179-F180</f>
        <v>21513.026092476866</v>
      </c>
    </row>
    <row r="182" spans="1:6" x14ac:dyDescent="0.3">
      <c r="A182" s="1088" t="s">
        <v>104</v>
      </c>
      <c r="B182" s="1471">
        <f>Valuation!B7</f>
        <v>260</v>
      </c>
      <c r="C182" s="1471">
        <f>B182</f>
        <v>260</v>
      </c>
      <c r="D182" s="1471">
        <f>C182</f>
        <v>260</v>
      </c>
      <c r="E182" s="1471">
        <f>D182</f>
        <v>260</v>
      </c>
      <c r="F182" s="1471">
        <f>E182</f>
        <v>260</v>
      </c>
    </row>
    <row r="183" spans="1:6" x14ac:dyDescent="0.3">
      <c r="A183" s="539" t="s">
        <v>2967</v>
      </c>
      <c r="B183" s="1570">
        <f>B181/B182</f>
        <v>68.03360468004702</v>
      </c>
      <c r="C183" s="1570">
        <f>C181/C182</f>
        <v>76.625427117937861</v>
      </c>
      <c r="D183" s="1570">
        <f>D181/D182</f>
        <v>89.228723100392742</v>
      </c>
      <c r="E183" s="1570">
        <f>E181/E182</f>
        <v>144.6965796889769</v>
      </c>
      <c r="F183" s="1570">
        <f>F181/F182</f>
        <v>82.742408047987951</v>
      </c>
    </row>
    <row r="184" spans="1:6" x14ac:dyDescent="0.3">
      <c r="A184" s="1088" t="s">
        <v>2968</v>
      </c>
      <c r="B184" s="1571">
        <f>(1+Valuation!$H$141)^'Mini-model'!$B$32</f>
        <v>1.7027902656283862</v>
      </c>
      <c r="C184" s="1571">
        <f>(1+Valuation!$H$141)^'Mini-model'!$B$32</f>
        <v>1.7027902656283862</v>
      </c>
      <c r="D184" s="1571">
        <f>(1+Valuation!$H$141)^'Mini-model'!$B$32</f>
        <v>1.7027902656283862</v>
      </c>
      <c r="E184" s="1571">
        <f>(1+Valuation!$H$141)^'Mini-model'!$B$32</f>
        <v>1.7027902656283862</v>
      </c>
      <c r="F184" s="1571">
        <f>(1+Valuation!$H$141)^'Mini-model'!$B$32</f>
        <v>1.7027902656283862</v>
      </c>
    </row>
    <row r="185" spans="1:6" x14ac:dyDescent="0.3">
      <c r="A185" s="539" t="s">
        <v>2969</v>
      </c>
      <c r="B185" s="1572">
        <f>B183/B184</f>
        <v>39.954189340482493</v>
      </c>
      <c r="C185" s="1572">
        <f>C183/C184</f>
        <v>44.999920815063227</v>
      </c>
      <c r="D185" s="1572">
        <f>D183/D184</f>
        <v>52.401475919563339</v>
      </c>
      <c r="E185" s="1572">
        <f>E183/E184</f>
        <v>84.976160957544025</v>
      </c>
      <c r="F185" s="1572">
        <f>F183/F184</f>
        <v>48.592248686278019</v>
      </c>
    </row>
    <row r="186" spans="1:6" x14ac:dyDescent="0.3">
      <c r="A186" s="108" t="s">
        <v>2970</v>
      </c>
      <c r="B186" s="925">
        <f>B181-B181/B184</f>
        <v>7300.647988286777</v>
      </c>
      <c r="C186" s="925">
        <f>C181-C181/C184</f>
        <v>8222.6316387474035</v>
      </c>
      <c r="D186" s="925">
        <f>D181-D181/D184</f>
        <v>9575.0842670156453</v>
      </c>
      <c r="E186" s="925">
        <f>E181-E181/E184</f>
        <v>15527.308870172546</v>
      </c>
      <c r="F186" s="925">
        <f>F181-F181/F184</f>
        <v>8879.0414340445823</v>
      </c>
    </row>
    <row r="189" spans="1:6" x14ac:dyDescent="0.3">
      <c r="A189" s="1088" t="s">
        <v>2971</v>
      </c>
      <c r="B189" s="120">
        <f>Valuation!$C$259</f>
        <v>3417.955249149084</v>
      </c>
      <c r="C189" s="120">
        <f>B189</f>
        <v>3417.955249149084</v>
      </c>
      <c r="D189" s="120">
        <f>B189</f>
        <v>3417.955249149084</v>
      </c>
      <c r="E189" s="120">
        <f>C189</f>
        <v>3417.955249149084</v>
      </c>
      <c r="F189" s="120">
        <f>D189</f>
        <v>3417.955249149084</v>
      </c>
    </row>
    <row r="190" spans="1:6" x14ac:dyDescent="0.3">
      <c r="A190" s="1088" t="s">
        <v>2972</v>
      </c>
      <c r="B190" s="925">
        <f>('Mini-model'!C74-10000)*'Mini-model'!$B$57/1000</f>
        <v>0</v>
      </c>
      <c r="C190" s="925">
        <f>B190</f>
        <v>0</v>
      </c>
      <c r="D190" s="925">
        <f>C190</f>
        <v>0</v>
      </c>
      <c r="E190" s="925">
        <f>D190</f>
        <v>0</v>
      </c>
      <c r="F190" s="925">
        <v>0</v>
      </c>
    </row>
    <row r="191" spans="1:6" x14ac:dyDescent="0.3">
      <c r="A191" s="1088" t="s">
        <v>2973</v>
      </c>
      <c r="B191" s="1546">
        <f>('Mini-model'!$C$74-10000)*'Mini-model'!$C$75*'Mini-model'!$B$58/1000</f>
        <v>0</v>
      </c>
      <c r="C191" s="1546">
        <f>('Mini-model'!$C$74-10000)*'Mini-model'!$C$75*'Mini-model'!$B$58/1000</f>
        <v>0</v>
      </c>
      <c r="D191" s="1546">
        <f>('Mini-model'!$C$74-10000)*'Mini-model'!$D$287*'Mini-model'!$B$58/1000</f>
        <v>0</v>
      </c>
      <c r="E191" s="1546">
        <f>('Mini-model'!$C$74-10000)*'Mini-model'!$D$179*'Mini-model'!$B$58/1000</f>
        <v>0</v>
      </c>
      <c r="F191" s="1546">
        <v>0</v>
      </c>
    </row>
    <row r="192" spans="1:6" x14ac:dyDescent="0.3">
      <c r="A192" s="539" t="s">
        <v>2974</v>
      </c>
      <c r="B192" s="121">
        <f>SUM(B189:B191)</f>
        <v>3417.955249149084</v>
      </c>
      <c r="C192" s="121">
        <f>SUM(C189:C191)</f>
        <v>3417.955249149084</v>
      </c>
      <c r="D192" s="121">
        <f>SUM(D189:D191)</f>
        <v>3417.955249149084</v>
      </c>
      <c r="E192" s="121">
        <f>SUM(E189:E191)</f>
        <v>3417.955249149084</v>
      </c>
      <c r="F192" s="121">
        <f>SUM(F189:F191)</f>
        <v>3417.955249149084</v>
      </c>
    </row>
    <row r="197" spans="1:6" ht="43.5" x14ac:dyDescent="0.35">
      <c r="A197" s="1090"/>
      <c r="B197" s="1559" t="s">
        <v>2950</v>
      </c>
      <c r="C197" s="1559" t="s">
        <v>1289</v>
      </c>
      <c r="D197" s="1559" t="s">
        <v>1139</v>
      </c>
      <c r="E197" s="1559" t="s">
        <v>1498</v>
      </c>
      <c r="F197" s="1559" t="s">
        <v>2951</v>
      </c>
    </row>
    <row r="198" spans="1:6" x14ac:dyDescent="0.3">
      <c r="A198" s="108" t="s">
        <v>867</v>
      </c>
      <c r="B198" s="929">
        <f>B181-B199</f>
        <v>10388.089228525447</v>
      </c>
      <c r="C198" s="929">
        <f>C181-C199</f>
        <v>11699.97941191644</v>
      </c>
      <c r="D198" s="929">
        <f>D181-D199</f>
        <v>13624.383739086468</v>
      </c>
      <c r="E198" s="929">
        <f>E181-E199</f>
        <v>22093.801848961444</v>
      </c>
      <c r="F198" s="929">
        <f>F181-F199</f>
        <v>12633.984658432284</v>
      </c>
    </row>
    <row r="199" spans="1:6" x14ac:dyDescent="0.3">
      <c r="A199" s="108" t="s">
        <v>2975</v>
      </c>
      <c r="B199" s="929">
        <f>B186</f>
        <v>7300.647988286777</v>
      </c>
      <c r="C199" s="929">
        <f>C186</f>
        <v>8222.6316387474035</v>
      </c>
      <c r="D199" s="929">
        <f>D186</f>
        <v>9575.0842670156453</v>
      </c>
      <c r="E199" s="929">
        <f>E186</f>
        <v>15527.308870172546</v>
      </c>
      <c r="F199" s="929">
        <f>F186</f>
        <v>8879.0414340445823</v>
      </c>
    </row>
    <row r="200" spans="1:6" x14ac:dyDescent="0.3">
      <c r="A200" s="108" t="s">
        <v>1111</v>
      </c>
      <c r="B200" s="120">
        <f>B180</f>
        <v>3417.955249149084</v>
      </c>
      <c r="C200" s="120">
        <f>C180</f>
        <v>3417.955249149084</v>
      </c>
      <c r="D200" s="120">
        <f>D180</f>
        <v>3417.955249149084</v>
      </c>
      <c r="E200" s="120">
        <f>E180</f>
        <v>3417.955249149084</v>
      </c>
      <c r="F200" s="120">
        <f>F180</f>
        <v>3417.955249149084</v>
      </c>
    </row>
    <row r="201" spans="1:6" x14ac:dyDescent="0.3">
      <c r="A201" s="108" t="s">
        <v>866</v>
      </c>
      <c r="B201" s="120">
        <f>B179</f>
        <v>10811</v>
      </c>
      <c r="C201" s="120">
        <f>C179</f>
        <v>10811</v>
      </c>
      <c r="D201" s="120">
        <f>D179</f>
        <v>10811</v>
      </c>
      <c r="E201" s="120">
        <f>E179</f>
        <v>10811</v>
      </c>
      <c r="F201" s="120">
        <f>F179</f>
        <v>10811</v>
      </c>
    </row>
    <row r="202" spans="1:6" x14ac:dyDescent="0.3">
      <c r="A202" s="108" t="s">
        <v>2964</v>
      </c>
      <c r="B202" s="929">
        <f>SUM(B198:B201)</f>
        <v>31917.692465961307</v>
      </c>
      <c r="C202" s="929">
        <f>SUM(C198:C201)</f>
        <v>34151.566299812926</v>
      </c>
      <c r="D202" s="929">
        <f>SUM(D198:D201)</f>
        <v>37428.423255251197</v>
      </c>
      <c r="E202" s="929">
        <f>SUM(E198:E201)</f>
        <v>51850.065968283074</v>
      </c>
      <c r="F202" s="929">
        <f>SUM(F198:F201)</f>
        <v>35741.981341625949</v>
      </c>
    </row>
    <row r="203" spans="1:6" x14ac:dyDescent="0.3">
      <c r="A203" s="1091"/>
      <c r="B203" s="1091"/>
      <c r="C203" s="1091"/>
      <c r="D203" s="1091"/>
      <c r="E203" s="1091"/>
      <c r="F203" s="1091"/>
    </row>
    <row r="206" spans="1:6" ht="43.5" x14ac:dyDescent="0.35">
      <c r="A206" s="537"/>
      <c r="B206" s="1559" t="s">
        <v>2950</v>
      </c>
      <c r="C206" s="1559" t="s">
        <v>1289</v>
      </c>
      <c r="D206" s="1559" t="s">
        <v>1139</v>
      </c>
      <c r="E206" s="1559" t="s">
        <v>1498</v>
      </c>
      <c r="F206" s="1559" t="s">
        <v>2951</v>
      </c>
    </row>
    <row r="207" spans="1:6" x14ac:dyDescent="0.3">
      <c r="A207" s="1088" t="s">
        <v>2965</v>
      </c>
      <c r="B207" s="925">
        <f>'Mini-model'!J460</f>
        <v>3572.0115413735289</v>
      </c>
      <c r="C207" s="925">
        <f>B207+250</f>
        <v>3822.0115413735289</v>
      </c>
      <c r="D207" s="925">
        <f>'Mini-model'!D350</f>
        <v>4188.7351344634244</v>
      </c>
      <c r="E207" s="925">
        <f>'Mini-model'!D243</f>
        <v>5802.7075189474481</v>
      </c>
      <c r="F207" s="925">
        <v>4000</v>
      </c>
    </row>
    <row r="208" spans="1:6" x14ac:dyDescent="0.3">
      <c r="A208" s="1088" t="s">
        <v>2976</v>
      </c>
      <c r="B208" s="1630">
        <v>3.5</v>
      </c>
      <c r="C208" s="1631">
        <f>B208</f>
        <v>3.5</v>
      </c>
      <c r="D208" s="1631">
        <f>C208</f>
        <v>3.5</v>
      </c>
      <c r="E208" s="1631">
        <f>D208</f>
        <v>3.5</v>
      </c>
      <c r="F208" s="1631">
        <f>E208</f>
        <v>3.5</v>
      </c>
    </row>
    <row r="209" spans="1:6" x14ac:dyDescent="0.3">
      <c r="A209" s="1088" t="s">
        <v>151</v>
      </c>
      <c r="B209" s="925">
        <f>B207*B208</f>
        <v>12502.040394807351</v>
      </c>
      <c r="C209" s="925">
        <f>C207*C208</f>
        <v>13377.040394807351</v>
      </c>
      <c r="D209" s="925">
        <f>D207*D208</f>
        <v>14660.572970621986</v>
      </c>
      <c r="E209" s="925">
        <f>E207*E208</f>
        <v>20309.476316316068</v>
      </c>
      <c r="F209" s="925">
        <f>F207*F208</f>
        <v>14000</v>
      </c>
    </row>
    <row r="210" spans="1:6" x14ac:dyDescent="0.3">
      <c r="A210" s="1088" t="s">
        <v>155</v>
      </c>
      <c r="B210" s="1558">
        <f>'Mini-model'!$H$532</f>
        <v>7.3999999999999996E-2</v>
      </c>
      <c r="C210" s="1558">
        <f>'Mini-model'!$H$532</f>
        <v>7.3999999999999996E-2</v>
      </c>
      <c r="D210" s="1558">
        <f>'Mini-model'!$H$532</f>
        <v>7.3999999999999996E-2</v>
      </c>
      <c r="E210" s="1558">
        <f>'Mini-model'!$H$532</f>
        <v>7.3999999999999996E-2</v>
      </c>
      <c r="F210" s="1558">
        <f>'Mini-model'!$H$532</f>
        <v>7.3999999999999996E-2</v>
      </c>
    </row>
    <row r="211" spans="1:6" x14ac:dyDescent="0.3">
      <c r="A211" s="1088" t="s">
        <v>2977</v>
      </c>
      <c r="B211" s="925">
        <f>B209*B210</f>
        <v>925.15098921574395</v>
      </c>
      <c r="C211" s="925">
        <f>C209*C210</f>
        <v>989.90098921574395</v>
      </c>
      <c r="D211" s="925">
        <f>D209*D210</f>
        <v>1084.882399826027</v>
      </c>
      <c r="E211" s="925">
        <f>E209*E210</f>
        <v>1502.9012474073888</v>
      </c>
      <c r="F211" s="925">
        <f>F209*F210</f>
        <v>1036</v>
      </c>
    </row>
    <row r="213" spans="1:6" x14ac:dyDescent="0.3">
      <c r="A213" s="1088" t="s">
        <v>2978</v>
      </c>
      <c r="B213" s="929">
        <f>B178</f>
        <v>31917.692465961307</v>
      </c>
      <c r="C213" s="929">
        <f>C178</f>
        <v>34151.566299812926</v>
      </c>
      <c r="D213" s="929">
        <f>D178</f>
        <v>37428.423255251197</v>
      </c>
      <c r="E213" s="929">
        <f>E178</f>
        <v>51850.065968283074</v>
      </c>
      <c r="F213" s="929">
        <f>F178</f>
        <v>35741.981341625949</v>
      </c>
    </row>
    <row r="214" spans="1:6" x14ac:dyDescent="0.3">
      <c r="A214" s="1088" t="s">
        <v>786</v>
      </c>
      <c r="B214" s="1632">
        <f>B209</f>
        <v>12502.040394807351</v>
      </c>
      <c r="C214" s="1632">
        <f>C209</f>
        <v>13377.040394807351</v>
      </c>
      <c r="D214" s="1632">
        <f>D209</f>
        <v>14660.572970621986</v>
      </c>
      <c r="E214" s="1632">
        <f>E209</f>
        <v>20309.476316316068</v>
      </c>
      <c r="F214" s="1632">
        <f>F209</f>
        <v>14000</v>
      </c>
    </row>
    <row r="215" spans="1:6" x14ac:dyDescent="0.3">
      <c r="A215" s="1088" t="s">
        <v>787</v>
      </c>
      <c r="B215" s="929">
        <f>B213-B214</f>
        <v>19415.652071153956</v>
      </c>
      <c r="C215" s="929">
        <f>C213-C214</f>
        <v>20774.525905005576</v>
      </c>
      <c r="D215" s="929">
        <f>D213-D214</f>
        <v>22767.85028462921</v>
      </c>
      <c r="E215" s="929">
        <f>E213-E214</f>
        <v>31540.589651967006</v>
      </c>
      <c r="F215" s="929">
        <f>F213-F214</f>
        <v>21741.981341625949</v>
      </c>
    </row>
    <row r="218" spans="1:6" x14ac:dyDescent="0.3">
      <c r="A218" s="1088" t="s">
        <v>238</v>
      </c>
      <c r="B218" s="925">
        <f>B207</f>
        <v>3572.0115413735289</v>
      </c>
      <c r="C218" s="925">
        <f>C207</f>
        <v>3822.0115413735289</v>
      </c>
      <c r="D218" s="925">
        <f>D207</f>
        <v>4188.7351344634244</v>
      </c>
      <c r="E218" s="925">
        <f>E207</f>
        <v>5802.7075189474481</v>
      </c>
      <c r="F218" s="925">
        <f>F207</f>
        <v>4000</v>
      </c>
    </row>
    <row r="219" spans="1:6" x14ac:dyDescent="0.3">
      <c r="A219" s="1088" t="s">
        <v>101</v>
      </c>
      <c r="B219" s="925">
        <f>'Mini-model'!C164</f>
        <v>1045.4991563026151</v>
      </c>
      <c r="C219" s="925">
        <f>B219</f>
        <v>1045.4991563026151</v>
      </c>
      <c r="D219" s="925">
        <f>'Mini-model'!D371</f>
        <v>1131.5349834758381</v>
      </c>
      <c r="E219" s="925">
        <f>'Mini-model'!D272</f>
        <v>1078.4826678822524</v>
      </c>
      <c r="F219" s="925">
        <v>1000</v>
      </c>
    </row>
    <row r="220" spans="1:6" x14ac:dyDescent="0.3">
      <c r="A220" s="1088" t="s">
        <v>1246</v>
      </c>
      <c r="B220" s="925">
        <f>B211</f>
        <v>925.15098921574395</v>
      </c>
      <c r="C220" s="925">
        <f>C211</f>
        <v>989.90098921574395</v>
      </c>
      <c r="D220" s="925">
        <f>D211</f>
        <v>1084.882399826027</v>
      </c>
      <c r="E220" s="925">
        <f>E211</f>
        <v>1502.9012474073888</v>
      </c>
      <c r="F220" s="925">
        <f>F211</f>
        <v>1036</v>
      </c>
    </row>
    <row r="221" spans="1:6" x14ac:dyDescent="0.3">
      <c r="A221" s="1088" t="s">
        <v>1248</v>
      </c>
      <c r="B221" s="925">
        <f>(B218-B219-B220)*0.25</f>
        <v>400.34034896379245</v>
      </c>
      <c r="C221" s="925">
        <f>(C218-C219-C220)*0.25</f>
        <v>446.65284896379245</v>
      </c>
      <c r="D221" s="925">
        <f>(D218-D219-D220)*0.25</f>
        <v>493.07943779038982</v>
      </c>
      <c r="E221" s="925">
        <f>(E218-E219-E220)*0.25</f>
        <v>805.3309009144516</v>
      </c>
      <c r="F221" s="925">
        <f>(F218-F219-F220)*0.25</f>
        <v>491</v>
      </c>
    </row>
    <row r="222" spans="1:6" x14ac:dyDescent="0.3">
      <c r="A222" s="1316" t="s">
        <v>1247</v>
      </c>
      <c r="B222" s="925">
        <v>165</v>
      </c>
      <c r="C222" s="925">
        <f>B222</f>
        <v>165</v>
      </c>
      <c r="D222" s="925">
        <f>C222</f>
        <v>165</v>
      </c>
      <c r="E222" s="925">
        <f>D222</f>
        <v>165</v>
      </c>
      <c r="F222" s="925">
        <f>E222</f>
        <v>165</v>
      </c>
    </row>
    <row r="223" spans="1:6" x14ac:dyDescent="0.3">
      <c r="A223" s="1316" t="s">
        <v>1249</v>
      </c>
      <c r="B223" s="1546">
        <v>0</v>
      </c>
      <c r="C223" s="1546">
        <v>0</v>
      </c>
      <c r="D223" s="1546">
        <v>0</v>
      </c>
      <c r="E223" s="1546">
        <v>0</v>
      </c>
      <c r="F223" s="1546">
        <v>0</v>
      </c>
    </row>
    <row r="224" spans="1:6" x14ac:dyDescent="0.3">
      <c r="A224" s="1317" t="s">
        <v>248</v>
      </c>
      <c r="B224" s="1303">
        <f>B218-B219-B220-B221-B222+B223</f>
        <v>1036.0210468913774</v>
      </c>
      <c r="C224" s="1303">
        <f>C218-C219-C220-C221-C222+C223</f>
        <v>1174.9585468913774</v>
      </c>
      <c r="D224" s="1303">
        <f>D218-D219-D220-D221-D222+D223</f>
        <v>1314.2383133711694</v>
      </c>
      <c r="E224" s="1303">
        <f>E218-E219-E220-E221-E222+E223</f>
        <v>2250.992702743355</v>
      </c>
      <c r="F224" s="1303">
        <f>F218-F219-F220-F221-F222+F223</f>
        <v>1308</v>
      </c>
    </row>
    <row r="227" spans="1:3" x14ac:dyDescent="0.3">
      <c r="A227" s="538" t="s">
        <v>2979</v>
      </c>
      <c r="B227" s="538" t="s">
        <v>2980</v>
      </c>
      <c r="C227" s="538" t="s">
        <v>2981</v>
      </c>
    </row>
    <row r="228" spans="1:3" x14ac:dyDescent="0.3">
      <c r="A228" s="108" t="s">
        <v>1969</v>
      </c>
      <c r="B228" s="932">
        <f>([13]Cable!$EZ$31/[13]Cable!$ES$31)^(1/3)-1</f>
        <v>3.1933334997555018E-2</v>
      </c>
      <c r="C228" s="1573">
        <f>[13]Valuation!$C$77</f>
        <v>7.2139741592869004</v>
      </c>
    </row>
    <row r="229" spans="1:3" x14ac:dyDescent="0.3">
      <c r="A229" s="108" t="s">
        <v>2649</v>
      </c>
      <c r="B229" s="932">
        <f>('[14]Model Main'!$EZ$23/'[14]Model Main'!$ES$23)^(1/3)-1</f>
        <v>4.1770822646087113E-2</v>
      </c>
      <c r="C229" s="1573">
        <f>[14]Valuation!$C$47</f>
        <v>6.7368894095691774</v>
      </c>
    </row>
    <row r="230" spans="1:3" x14ac:dyDescent="0.3">
      <c r="A230" s="108" t="s">
        <v>2005</v>
      </c>
      <c r="B230" s="932"/>
      <c r="C230" s="1573"/>
    </row>
    <row r="231" spans="1:3" x14ac:dyDescent="0.3">
      <c r="A231" s="108" t="s">
        <v>2982</v>
      </c>
      <c r="B231" s="932">
        <f>('[15]Consolidated - Full PF'!$FD$28/'[15]Consolidated - Full PF'!$ES$28)^(1/3)-1</f>
        <v>1.9558624652304735E-2</v>
      </c>
      <c r="C231" s="1573">
        <f>[15]Valuation!$D$409</f>
        <v>5.9121049258175953</v>
      </c>
    </row>
    <row r="232" spans="1:3" x14ac:dyDescent="0.3">
      <c r="A232" s="108" t="s">
        <v>808</v>
      </c>
      <c r="B232" s="932">
        <f>('[6]Consolidated - New'!$FD$30/'[6]Consolidated - New'!$ES$30)^(1/3)-1</f>
        <v>1.2910057608189529E-2</v>
      </c>
      <c r="C232" s="1573">
        <f>[6]Valuation!$C$48</f>
        <v>6.6366977973836621</v>
      </c>
    </row>
    <row r="233" spans="1:3" x14ac:dyDescent="0.3">
      <c r="A233" s="108" t="s">
        <v>2983</v>
      </c>
      <c r="B233" s="932">
        <f>('[16]Pro Forma Model Main'!$FD$26/'[16]Pro Forma Model Main'!$ES$26)^(1/3)-1</f>
        <v>7.7136164472967117E-2</v>
      </c>
      <c r="C233" s="1573">
        <v>8.6999999999999993</v>
      </c>
    </row>
    <row r="239" spans="1:3" x14ac:dyDescent="0.3">
      <c r="A239" s="108" t="s">
        <v>2905</v>
      </c>
      <c r="B239" s="693">
        <f>'Mini-model'!B14</f>
        <v>2.1364813701382213E-2</v>
      </c>
    </row>
    <row r="240" spans="1:3" x14ac:dyDescent="0.3">
      <c r="A240" s="108" t="s">
        <v>1273</v>
      </c>
      <c r="B240" s="693">
        <f>'Mini-model'!B18</f>
        <v>4.1010466649448851E-2</v>
      </c>
    </row>
    <row r="241" spans="1:6" x14ac:dyDescent="0.3">
      <c r="A241" s="108" t="s">
        <v>2956</v>
      </c>
      <c r="B241" s="693">
        <f>'Mini-model'!B25</f>
        <v>5.7981057624949761E-2</v>
      </c>
    </row>
    <row r="244" spans="1:6" x14ac:dyDescent="0.3">
      <c r="A244" s="108" t="s">
        <v>2984</v>
      </c>
      <c r="B244" s="1573">
        <f>39.199*B240+5.3926</f>
        <v>7.0001692821917452</v>
      </c>
    </row>
    <row r="248" spans="1:6" x14ac:dyDescent="0.3">
      <c r="A248" s="108" t="s">
        <v>2985</v>
      </c>
    </row>
    <row r="254" spans="1:6" x14ac:dyDescent="0.3">
      <c r="B254" s="538" t="s">
        <v>2934</v>
      </c>
      <c r="C254" s="538" t="s">
        <v>1336</v>
      </c>
      <c r="E254" s="108" t="s">
        <v>2986</v>
      </c>
    </row>
    <row r="255" spans="1:6" x14ac:dyDescent="0.3">
      <c r="B255" s="1629">
        <f>'Mini-model'!C536</f>
        <v>25.551528208825303</v>
      </c>
      <c r="D255" s="675">
        <f>'Mini-model'!C539</f>
        <v>7</v>
      </c>
      <c r="E255" s="693">
        <f>'Mini-model'!H540</f>
        <v>-6.9862013727285122E-3</v>
      </c>
    </row>
    <row r="256" spans="1:6" x14ac:dyDescent="0.3">
      <c r="B256" s="926">
        <v>-0.01</v>
      </c>
      <c r="C256" s="925">
        <v>59.687589357497217</v>
      </c>
      <c r="D256" s="926" t="e">
        <f t="shared" ref="D256:D263" si="1">F256</f>
        <v>#REF!</v>
      </c>
      <c r="E256" s="1573">
        <v>4</v>
      </c>
      <c r="F256" s="932" t="e">
        <f t="dataTable" ref="F256:F263" dt2D="1" dtr="1" del1="1" del2="1" r1="H539" r2="C539"/>
        <v>#REF!</v>
      </c>
    </row>
    <row r="257" spans="2:6" x14ac:dyDescent="0.3">
      <c r="B257" s="950">
        <f t="shared" ref="B257:B265" si="2">B256+1%</f>
        <v>0</v>
      </c>
      <c r="C257" s="925">
        <v>59.687589357497217</v>
      </c>
      <c r="D257" s="926" t="e">
        <f t="shared" si="1"/>
        <v>#REF!</v>
      </c>
      <c r="E257" s="1573">
        <v>5</v>
      </c>
      <c r="F257" s="932" t="e">
        <v>#REF!</v>
      </c>
    </row>
    <row r="258" spans="2:6" x14ac:dyDescent="0.3">
      <c r="B258" s="950">
        <f t="shared" si="2"/>
        <v>0.01</v>
      </c>
      <c r="C258" s="925" t="e">
        <f t="dataTable" ref="C258:C265" dt2D="1" dtr="1" del1="1" del2="1" r1="H539" r2="H540"/>
        <v>#REF!</v>
      </c>
      <c r="D258" s="926" t="e">
        <f t="shared" si="1"/>
        <v>#REF!</v>
      </c>
      <c r="E258" s="1573">
        <v>6</v>
      </c>
      <c r="F258" s="932" t="e">
        <v>#REF!</v>
      </c>
    </row>
    <row r="259" spans="2:6" x14ac:dyDescent="0.3">
      <c r="B259" s="950">
        <f t="shared" si="2"/>
        <v>0.02</v>
      </c>
      <c r="C259" s="925" t="e">
        <v>#REF!</v>
      </c>
      <c r="D259" s="926" t="e">
        <f t="shared" si="1"/>
        <v>#REF!</v>
      </c>
      <c r="E259" s="1573">
        <v>7</v>
      </c>
      <c r="F259" s="932" t="e">
        <v>#REF!</v>
      </c>
    </row>
    <row r="260" spans="2:6" x14ac:dyDescent="0.3">
      <c r="B260" s="950">
        <f t="shared" si="2"/>
        <v>0.03</v>
      </c>
      <c r="C260" s="925" t="e">
        <v>#REF!</v>
      </c>
      <c r="D260" s="926" t="e">
        <f t="shared" si="1"/>
        <v>#REF!</v>
      </c>
      <c r="E260" s="1573">
        <v>8</v>
      </c>
      <c r="F260" s="932" t="e">
        <v>#REF!</v>
      </c>
    </row>
    <row r="261" spans="2:6" x14ac:dyDescent="0.3">
      <c r="B261" s="950">
        <f t="shared" si="2"/>
        <v>0.04</v>
      </c>
      <c r="C261" s="925" t="e">
        <v>#REF!</v>
      </c>
      <c r="D261" s="926" t="e">
        <f t="shared" si="1"/>
        <v>#REF!</v>
      </c>
      <c r="E261" s="1573">
        <v>10</v>
      </c>
      <c r="F261" s="932" t="e">
        <v>#REF!</v>
      </c>
    </row>
    <row r="262" spans="2:6" x14ac:dyDescent="0.3">
      <c r="B262" s="950">
        <f t="shared" si="2"/>
        <v>0.05</v>
      </c>
      <c r="C262" s="925" t="e">
        <v>#REF!</v>
      </c>
      <c r="D262" s="926" t="e">
        <f t="shared" si="1"/>
        <v>#REF!</v>
      </c>
      <c r="E262" s="1573">
        <v>12</v>
      </c>
      <c r="F262" s="932" t="e">
        <v>#REF!</v>
      </c>
    </row>
    <row r="263" spans="2:6" x14ac:dyDescent="0.3">
      <c r="B263" s="950">
        <f t="shared" si="2"/>
        <v>6.0000000000000005E-2</v>
      </c>
      <c r="C263" s="925" t="e">
        <v>#REF!</v>
      </c>
      <c r="D263" s="926" t="e">
        <f t="shared" si="1"/>
        <v>#REF!</v>
      </c>
      <c r="E263" s="1573">
        <v>14</v>
      </c>
      <c r="F263" s="932" t="e">
        <v>#REF!</v>
      </c>
    </row>
    <row r="264" spans="2:6" x14ac:dyDescent="0.3">
      <c r="B264" s="950">
        <f t="shared" si="2"/>
        <v>7.0000000000000007E-2</v>
      </c>
      <c r="C264" s="925" t="e">
        <v>#REF!</v>
      </c>
      <c r="D264" s="950"/>
      <c r="E264" s="1573"/>
    </row>
    <row r="265" spans="2:6" x14ac:dyDescent="0.3">
      <c r="B265" s="950">
        <f t="shared" si="2"/>
        <v>0.08</v>
      </c>
      <c r="C265" s="925" t="e">
        <v>#REF!</v>
      </c>
      <c r="D265" s="950"/>
      <c r="E265" s="1573"/>
    </row>
    <row r="268" spans="2:6" x14ac:dyDescent="0.3">
      <c r="B268" s="693">
        <f>'Mini-model'!B18</f>
        <v>4.1010466649448851E-2</v>
      </c>
      <c r="E268" s="1573">
        <f>1211.8*B268*B268+73.331*B268+5.0109</f>
        <v>10.056314508460108</v>
      </c>
    </row>
    <row r="277" spans="1:6" ht="43.5" x14ac:dyDescent="0.35">
      <c r="A277" s="537" t="s">
        <v>2961</v>
      </c>
      <c r="B277" s="1559" t="s">
        <v>2950</v>
      </c>
      <c r="C277" s="1559" t="s">
        <v>1289</v>
      </c>
      <c r="D277" s="1559" t="s">
        <v>1139</v>
      </c>
      <c r="E277" s="1559" t="s">
        <v>1498</v>
      </c>
      <c r="F277" s="1559" t="s">
        <v>2951</v>
      </c>
    </row>
    <row r="278" spans="1:6" x14ac:dyDescent="0.3">
      <c r="A278" s="1088" t="s">
        <v>2965</v>
      </c>
      <c r="B278" s="925">
        <f>B176</f>
        <v>3572.0115413735289</v>
      </c>
      <c r="C278" s="925">
        <f>C176</f>
        <v>3822.0115413735289</v>
      </c>
      <c r="D278" s="925">
        <f>D176</f>
        <v>4188.7351344634244</v>
      </c>
      <c r="E278" s="925">
        <f>E176</f>
        <v>5802.7075189474481</v>
      </c>
      <c r="F278" s="925">
        <f>F176</f>
        <v>4000</v>
      </c>
    </row>
    <row r="279" spans="1:6" x14ac:dyDescent="0.3">
      <c r="A279" s="1088" t="s">
        <v>2966</v>
      </c>
      <c r="B279" s="1569">
        <f>E268</f>
        <v>10.056314508460108</v>
      </c>
      <c r="C279" s="1569">
        <f>B279</f>
        <v>10.056314508460108</v>
      </c>
      <c r="D279" s="1569">
        <f>C279</f>
        <v>10.056314508460108</v>
      </c>
      <c r="E279" s="1569">
        <f>D279</f>
        <v>10.056314508460108</v>
      </c>
      <c r="F279" s="1569">
        <f>E279</f>
        <v>10.056314508460108</v>
      </c>
    </row>
    <row r="280" spans="1:6" x14ac:dyDescent="0.3">
      <c r="A280" s="1088" t="s">
        <v>2921</v>
      </c>
      <c r="B280" s="925">
        <f>B278*B279</f>
        <v>35921.271487901569</v>
      </c>
      <c r="C280" s="925">
        <f>C278*C279</f>
        <v>38435.350115016598</v>
      </c>
      <c r="D280" s="925">
        <f>D278*D279</f>
        <v>42123.237904801135</v>
      </c>
      <c r="E280" s="925">
        <f>E278*E279</f>
        <v>58353.85181114178</v>
      </c>
      <c r="F280" s="925">
        <f>F278*F279</f>
        <v>40225.25803384043</v>
      </c>
    </row>
    <row r="281" spans="1:6" x14ac:dyDescent="0.3">
      <c r="A281" s="1088" t="s">
        <v>786</v>
      </c>
      <c r="B281" s="120">
        <f t="shared" ref="B281:F282" si="3">B179</f>
        <v>10811</v>
      </c>
      <c r="C281" s="120">
        <f t="shared" si="3"/>
        <v>10811</v>
      </c>
      <c r="D281" s="120">
        <f t="shared" si="3"/>
        <v>10811</v>
      </c>
      <c r="E281" s="120">
        <f t="shared" si="3"/>
        <v>10811</v>
      </c>
      <c r="F281" s="120">
        <f t="shared" si="3"/>
        <v>10811</v>
      </c>
    </row>
    <row r="282" spans="1:6" x14ac:dyDescent="0.3">
      <c r="A282" s="1088" t="s">
        <v>1268</v>
      </c>
      <c r="B282" s="1195">
        <f t="shared" si="3"/>
        <v>3417.955249149084</v>
      </c>
      <c r="C282" s="1195">
        <f t="shared" si="3"/>
        <v>3417.955249149084</v>
      </c>
      <c r="D282" s="1195">
        <f t="shared" si="3"/>
        <v>3417.955249149084</v>
      </c>
      <c r="E282" s="1195">
        <f t="shared" si="3"/>
        <v>3417.955249149084</v>
      </c>
      <c r="F282" s="1195">
        <f t="shared" si="3"/>
        <v>3417.955249149084</v>
      </c>
    </row>
    <row r="283" spans="1:6" x14ac:dyDescent="0.3">
      <c r="A283" s="539" t="s">
        <v>787</v>
      </c>
      <c r="B283" s="933">
        <f>B280-B281-B282</f>
        <v>21692.316238752486</v>
      </c>
      <c r="C283" s="933">
        <f>C280-C281-C282</f>
        <v>24206.394865867514</v>
      </c>
      <c r="D283" s="933">
        <f>D280-D281-D282</f>
        <v>27894.282655652052</v>
      </c>
      <c r="E283" s="933">
        <f>E280-E281-E282</f>
        <v>44124.896561992697</v>
      </c>
      <c r="F283" s="933">
        <f>F280-F281-F282</f>
        <v>25996.302784691346</v>
      </c>
    </row>
    <row r="284" spans="1:6" x14ac:dyDescent="0.3">
      <c r="A284" s="1088" t="s">
        <v>104</v>
      </c>
      <c r="B284" s="1471">
        <f>B182</f>
        <v>260</v>
      </c>
      <c r="C284" s="1471">
        <f>C182</f>
        <v>260</v>
      </c>
      <c r="D284" s="1471">
        <f>D182</f>
        <v>260</v>
      </c>
      <c r="E284" s="1471">
        <f>E182</f>
        <v>260</v>
      </c>
      <c r="F284" s="1471">
        <f>F182</f>
        <v>260</v>
      </c>
    </row>
    <row r="285" spans="1:6" x14ac:dyDescent="0.3">
      <c r="A285" s="539" t="s">
        <v>2967</v>
      </c>
      <c r="B285" s="1570">
        <f>B283/B284</f>
        <v>83.431985533663408</v>
      </c>
      <c r="C285" s="1570">
        <f>C283/C284</f>
        <v>93.101518714875056</v>
      </c>
      <c r="D285" s="1570">
        <f>D283/D284</f>
        <v>107.28570252173866</v>
      </c>
      <c r="E285" s="1570">
        <f>E283/E284</f>
        <v>169.71114062304883</v>
      </c>
      <c r="F285" s="1570">
        <f>F283/F284</f>
        <v>99.985779941120569</v>
      </c>
    </row>
    <row r="286" spans="1:6" x14ac:dyDescent="0.3">
      <c r="A286" s="1088" t="s">
        <v>2968</v>
      </c>
      <c r="B286" s="1571">
        <f>(1+Valuation!$H$141)^'Mini-model'!$B$32</f>
        <v>1.7027902656283862</v>
      </c>
      <c r="C286" s="1571">
        <f>(1+Valuation!$H$141)^'Mini-model'!$B$32</f>
        <v>1.7027902656283862</v>
      </c>
      <c r="D286" s="1571">
        <f>(1+Valuation!$H$141)^'Mini-model'!$B$32</f>
        <v>1.7027902656283862</v>
      </c>
      <c r="E286" s="1571">
        <f>(1+Valuation!$H$141)^'Mini-model'!$B$32</f>
        <v>1.7027902656283862</v>
      </c>
      <c r="F286" s="1571">
        <f>(1+Valuation!$H$141)^'Mini-model'!$B$32</f>
        <v>1.7027902656283862</v>
      </c>
    </row>
    <row r="287" spans="1:6" x14ac:dyDescent="0.3">
      <c r="A287" s="539" t="s">
        <v>2969</v>
      </c>
      <c r="B287" s="1572">
        <f>B285/B286</f>
        <v>48.997217812303049</v>
      </c>
      <c r="C287" s="1572">
        <f>C285/C286</f>
        <v>54.675857969224118</v>
      </c>
      <c r="D287" s="1572">
        <f>D285/D286</f>
        <v>63.005823258066762</v>
      </c>
      <c r="E287" s="1572">
        <f>E285/E286</f>
        <v>99.666496836837268</v>
      </c>
      <c r="F287" s="1572">
        <f>F285/F286</f>
        <v>58.718787603723172</v>
      </c>
    </row>
    <row r="288" spans="1:6" x14ac:dyDescent="0.3">
      <c r="A288" s="108" t="s">
        <v>2970</v>
      </c>
      <c r="B288" s="925">
        <f>B283-B283/B286</f>
        <v>8953.0396075536937</v>
      </c>
      <c r="C288" s="925">
        <f>C283-C283/C286</f>
        <v>9990.6717938692436</v>
      </c>
      <c r="D288" s="925">
        <f>D283-D283/D286</f>
        <v>11512.768608554694</v>
      </c>
      <c r="E288" s="925">
        <f>E283-E283/E286</f>
        <v>18211.607384415009</v>
      </c>
      <c r="F288" s="925">
        <f>F283-F283/F286</f>
        <v>10729.418007723323</v>
      </c>
    </row>
    <row r="291" spans="1:6" ht="58" x14ac:dyDescent="0.35">
      <c r="A291" s="1090"/>
      <c r="B291" s="1559" t="s">
        <v>2987</v>
      </c>
      <c r="C291" s="1559" t="s">
        <v>2988</v>
      </c>
      <c r="D291" s="1559" t="s">
        <v>1139</v>
      </c>
      <c r="E291" s="1559" t="s">
        <v>1498</v>
      </c>
      <c r="F291" s="1559" t="s">
        <v>2951</v>
      </c>
    </row>
    <row r="292" spans="1:6" x14ac:dyDescent="0.3">
      <c r="A292" s="108" t="s">
        <v>867</v>
      </c>
      <c r="B292" s="929">
        <f>B283-B293</f>
        <v>12739.276631198793</v>
      </c>
      <c r="C292" s="929">
        <f>C283-C293</f>
        <v>14215.723071998271</v>
      </c>
      <c r="D292" s="929">
        <f>D283-D293</f>
        <v>16381.514047097358</v>
      </c>
      <c r="E292" s="929">
        <f>E283-E293</f>
        <v>25913.289177577688</v>
      </c>
      <c r="F292" s="929">
        <f>F283-F293</f>
        <v>15266.884776968023</v>
      </c>
    </row>
    <row r="293" spans="1:6" x14ac:dyDescent="0.3">
      <c r="A293" s="108" t="s">
        <v>2975</v>
      </c>
      <c r="B293" s="929">
        <f>B288</f>
        <v>8953.0396075536937</v>
      </c>
      <c r="C293" s="929">
        <f>C288</f>
        <v>9990.6717938692436</v>
      </c>
      <c r="D293" s="929">
        <f>D288</f>
        <v>11512.768608554694</v>
      </c>
      <c r="E293" s="929">
        <f>E288</f>
        <v>18211.607384415009</v>
      </c>
      <c r="F293" s="929">
        <f>F288</f>
        <v>10729.418007723323</v>
      </c>
    </row>
    <row r="294" spans="1:6" x14ac:dyDescent="0.3">
      <c r="A294" s="108" t="s">
        <v>1111</v>
      </c>
      <c r="B294" s="120">
        <f>B282</f>
        <v>3417.955249149084</v>
      </c>
      <c r="C294" s="120">
        <f>C282</f>
        <v>3417.955249149084</v>
      </c>
      <c r="D294" s="120">
        <f>D282</f>
        <v>3417.955249149084</v>
      </c>
      <c r="E294" s="120">
        <f>E282</f>
        <v>3417.955249149084</v>
      </c>
      <c r="F294" s="120">
        <f>F282</f>
        <v>3417.955249149084</v>
      </c>
    </row>
    <row r="295" spans="1:6" x14ac:dyDescent="0.3">
      <c r="A295" s="108" t="s">
        <v>866</v>
      </c>
      <c r="B295" s="120">
        <f>B281</f>
        <v>10811</v>
      </c>
      <c r="C295" s="120">
        <f>C281</f>
        <v>10811</v>
      </c>
      <c r="D295" s="120">
        <f>D281</f>
        <v>10811</v>
      </c>
      <c r="E295" s="120">
        <f>E281</f>
        <v>10811</v>
      </c>
      <c r="F295" s="120">
        <f>F281</f>
        <v>10811</v>
      </c>
    </row>
    <row r="296" spans="1:6" x14ac:dyDescent="0.3">
      <c r="A296" s="108" t="s">
        <v>2964</v>
      </c>
      <c r="B296" s="929">
        <f>SUM(B292:B295)</f>
        <v>35921.271487901569</v>
      </c>
      <c r="C296" s="929">
        <f>SUM(C292:C295)</f>
        <v>38435.350115016598</v>
      </c>
      <c r="D296" s="929">
        <f>SUM(D292:D295)</f>
        <v>42123.237904801135</v>
      </c>
      <c r="E296" s="929">
        <f>SUM(E292:E295)</f>
        <v>58353.85181114178</v>
      </c>
      <c r="F296" s="929">
        <f>SUM(F292:F295)</f>
        <v>40225.25803384043</v>
      </c>
    </row>
    <row r="297" spans="1:6" x14ac:dyDescent="0.3">
      <c r="A297" s="1091"/>
      <c r="B297" s="1091"/>
      <c r="C297" s="1091"/>
      <c r="D297" s="1091"/>
      <c r="E297" s="1091"/>
      <c r="F297" s="1091"/>
    </row>
    <row r="308" spans="1:4" x14ac:dyDescent="0.3">
      <c r="A308" s="538" t="s">
        <v>2989</v>
      </c>
    </row>
    <row r="309" spans="1:4" x14ac:dyDescent="0.3">
      <c r="A309" s="538"/>
    </row>
    <row r="310" spans="1:4" x14ac:dyDescent="0.3">
      <c r="A310" s="538" t="s">
        <v>1291</v>
      </c>
    </row>
    <row r="311" spans="1:4" ht="13" x14ac:dyDescent="0.3">
      <c r="A311" s="1671" t="s">
        <v>2990</v>
      </c>
      <c r="B311" s="1665" t="s">
        <v>284</v>
      </c>
      <c r="C311" s="1665" t="s">
        <v>2445</v>
      </c>
      <c r="D311" s="1665" t="s">
        <v>2991</v>
      </c>
    </row>
    <row r="312" spans="1:4" ht="13" x14ac:dyDescent="0.3">
      <c r="A312" s="1664" t="s">
        <v>695</v>
      </c>
      <c r="B312" s="925">
        <f>('Mini-model'!C77-'Mini-model'!B77)*'Mini-model'!C98*12/1000</f>
        <v>2175.6278877714622</v>
      </c>
      <c r="C312" s="1666">
        <v>0.75</v>
      </c>
      <c r="D312" s="1243">
        <f>B312*C312</f>
        <v>1631.7209158285966</v>
      </c>
    </row>
    <row r="313" spans="1:4" ht="13" x14ac:dyDescent="0.3">
      <c r="A313" s="1664" t="s">
        <v>2805</v>
      </c>
      <c r="B313" s="925">
        <f>('Mini-model'!C85-'Mini-model'!B85)*'Mini-model'!C99*12/1000</f>
        <v>-671.57274813294089</v>
      </c>
      <c r="C313" s="1666">
        <f>C312</f>
        <v>0.75</v>
      </c>
      <c r="D313" s="1243">
        <f>B313*C313</f>
        <v>-503.67956109970567</v>
      </c>
    </row>
    <row r="314" spans="1:4" ht="13" x14ac:dyDescent="0.3">
      <c r="A314" s="1664" t="s">
        <v>1118</v>
      </c>
      <c r="B314" s="925">
        <f>('Mini-model'!C98-'Mini-model'!B98)*'Mini-model'!B77*12/1000</f>
        <v>452.57978008968962</v>
      </c>
      <c r="C314" s="1666">
        <v>1</v>
      </c>
      <c r="D314" s="1243">
        <f>B314*C314</f>
        <v>452.57978008968962</v>
      </c>
    </row>
    <row r="315" spans="1:4" ht="13" x14ac:dyDescent="0.3">
      <c r="A315" s="1664" t="s">
        <v>1124</v>
      </c>
      <c r="B315" s="1546">
        <f>('Mini-model'!C99-'Mini-model'!B99)*'Mini-model'!B78*12/1000</f>
        <v>38.626294463675194</v>
      </c>
      <c r="C315" s="1667">
        <v>1</v>
      </c>
      <c r="D315" s="1669">
        <f>B315*C315</f>
        <v>38.626294463675194</v>
      </c>
    </row>
    <row r="316" spans="1:4" ht="13" x14ac:dyDescent="0.3">
      <c r="A316" s="1663" t="s">
        <v>2992</v>
      </c>
      <c r="B316" s="1303">
        <f>SUM(B312:B315)</f>
        <v>1995.261214191886</v>
      </c>
      <c r="C316" s="1668">
        <f>D316/B316</f>
        <v>0.81154658736654572</v>
      </c>
      <c r="D316" s="1670">
        <f>SUM(D312:D315)</f>
        <v>1619.2474292822556</v>
      </c>
    </row>
    <row r="317" spans="1:4" x14ac:dyDescent="0.3">
      <c r="A317" s="1091"/>
      <c r="B317" s="1091"/>
      <c r="C317" s="1091"/>
      <c r="D317" s="1091"/>
    </row>
    <row r="320" spans="1:4" x14ac:dyDescent="0.3">
      <c r="A320" s="538" t="s">
        <v>1498</v>
      </c>
    </row>
    <row r="321" spans="1:4" ht="13" x14ac:dyDescent="0.3">
      <c r="A321" s="1671" t="s">
        <v>2990</v>
      </c>
      <c r="B321" s="1665" t="s">
        <v>284</v>
      </c>
      <c r="C321" s="1665" t="s">
        <v>2445</v>
      </c>
      <c r="D321" s="1665" t="s">
        <v>2991</v>
      </c>
    </row>
    <row r="322" spans="1:4" ht="13" x14ac:dyDescent="0.3">
      <c r="A322" s="1664" t="s">
        <v>695</v>
      </c>
      <c r="B322" s="925">
        <f>('Mini-model'!D181-'Mini-model'!C181)*'Mini-model'!D202*12/1000</f>
        <v>1548.4632742558904</v>
      </c>
      <c r="C322" s="1666">
        <v>0.75</v>
      </c>
      <c r="D322" s="1243">
        <f t="shared" ref="D322:D327" si="4">B322*C322</f>
        <v>1161.3474556919177</v>
      </c>
    </row>
    <row r="323" spans="1:4" ht="13" x14ac:dyDescent="0.3">
      <c r="A323" s="1664" t="s">
        <v>2805</v>
      </c>
      <c r="B323" s="925">
        <f>('Mini-model'!D189-'Mini-model'!C189)*'Mini-model'!D203*12/1000</f>
        <v>-35.544180619140384</v>
      </c>
      <c r="C323" s="1666">
        <f>C322</f>
        <v>0.75</v>
      </c>
      <c r="D323" s="1243">
        <f t="shared" si="4"/>
        <v>-26.65813546435529</v>
      </c>
    </row>
    <row r="324" spans="1:4" ht="13" x14ac:dyDescent="0.3">
      <c r="A324" s="1664" t="s">
        <v>1118</v>
      </c>
      <c r="B324" s="925">
        <f>('Mini-model'!D202-'Mini-model'!C202)*'Mini-model'!C181*12/1000</f>
        <v>689.13437441925214</v>
      </c>
      <c r="C324" s="1666">
        <v>1</v>
      </c>
      <c r="D324" s="1243">
        <f t="shared" si="4"/>
        <v>689.13437441925214</v>
      </c>
    </row>
    <row r="325" spans="1:4" ht="13" x14ac:dyDescent="0.3">
      <c r="A325" s="1664" t="s">
        <v>1124</v>
      </c>
      <c r="B325" s="1634">
        <f>('Mini-model'!D203-'Mini-model'!C203)*'Mini-model'!C182*12/1000</f>
        <v>38.871825947862938</v>
      </c>
      <c r="C325" s="1666">
        <v>1</v>
      </c>
      <c r="D325" s="1672">
        <f t="shared" si="4"/>
        <v>38.871825947862938</v>
      </c>
    </row>
    <row r="326" spans="1:4" ht="13" x14ac:dyDescent="0.3">
      <c r="A326" s="1664" t="s">
        <v>2993</v>
      </c>
      <c r="B326" s="1634">
        <f>('Mini-model'!D210-'Mini-model'!C210)*'Mini-model'!D213*12/1000</f>
        <v>748.96254866713855</v>
      </c>
      <c r="C326" s="1666">
        <v>0.25</v>
      </c>
      <c r="D326" s="1672">
        <f t="shared" si="4"/>
        <v>187.24063716678464</v>
      </c>
    </row>
    <row r="327" spans="1:4" ht="13" x14ac:dyDescent="0.3">
      <c r="A327" s="1664" t="s">
        <v>646</v>
      </c>
      <c r="B327" s="1546">
        <f>('Mini-model'!D213-'Mini-model'!C213)*'Mini-model'!C210*12/1000</f>
        <v>373.11309527609507</v>
      </c>
      <c r="C327" s="1667">
        <f>('Mini-model'!C213-'Mini-model'!C233)/'Mini-model'!C213</f>
        <v>0.32115001514171149</v>
      </c>
      <c r="D327" s="1669">
        <f t="shared" si="4"/>
        <v>119.82527619748878</v>
      </c>
    </row>
    <row r="328" spans="1:4" ht="13" x14ac:dyDescent="0.3">
      <c r="A328" s="1663" t="s">
        <v>2992</v>
      </c>
      <c r="B328" s="1303">
        <f>SUM(B322:B327)</f>
        <v>3363.0009379470985</v>
      </c>
      <c r="C328" s="1668">
        <f>D328/B328</f>
        <v>0.64518609242002012</v>
      </c>
      <c r="D328" s="1303">
        <f>SUM(D322:D327)</f>
        <v>2169.7614339589509</v>
      </c>
    </row>
    <row r="329" spans="1:4" x14ac:dyDescent="0.3">
      <c r="A329" s="1091"/>
      <c r="B329" s="1091"/>
      <c r="C329" s="1091"/>
      <c r="D329" s="1091"/>
    </row>
    <row r="332" spans="1:4" x14ac:dyDescent="0.3">
      <c r="A332" s="538" t="s">
        <v>1139</v>
      </c>
    </row>
    <row r="333" spans="1:4" ht="13" x14ac:dyDescent="0.3">
      <c r="A333" s="1671" t="s">
        <v>2990</v>
      </c>
      <c r="B333" s="1665" t="s">
        <v>284</v>
      </c>
      <c r="C333" s="1665" t="s">
        <v>2445</v>
      </c>
      <c r="D333" s="1665" t="s">
        <v>2991</v>
      </c>
    </row>
    <row r="334" spans="1:4" ht="13" x14ac:dyDescent="0.3">
      <c r="A334" s="1664" t="s">
        <v>695</v>
      </c>
      <c r="B334" s="925">
        <f>('Mini-model'!D289-'Mini-model'!C289)*'Mini-model'!D310*12/1000</f>
        <v>2801.6607415130597</v>
      </c>
      <c r="C334" s="1666">
        <v>0.75</v>
      </c>
      <c r="D334" s="1243">
        <f t="shared" ref="D334:D339" si="5">B334*C334</f>
        <v>2101.2455561347947</v>
      </c>
    </row>
    <row r="335" spans="1:4" ht="13" x14ac:dyDescent="0.3">
      <c r="A335" s="1664" t="s">
        <v>2805</v>
      </c>
      <c r="B335" s="925">
        <f>('Mini-model'!D297-'Mini-model'!C297)*'Mini-model'!D311*12/1000</f>
        <v>90.061908276106323</v>
      </c>
      <c r="C335" s="1666">
        <f>C334</f>
        <v>0.75</v>
      </c>
      <c r="D335" s="1243">
        <f t="shared" si="5"/>
        <v>67.546431207079735</v>
      </c>
    </row>
    <row r="336" spans="1:4" ht="13" x14ac:dyDescent="0.3">
      <c r="A336" s="1664" t="s">
        <v>1118</v>
      </c>
      <c r="B336" s="925">
        <f>('Mini-model'!D310-'Mini-model'!C310)*'Mini-model'!C289*12/1000</f>
        <v>320.56280338552961</v>
      </c>
      <c r="C336" s="1666">
        <v>1</v>
      </c>
      <c r="D336" s="1243">
        <f t="shared" si="5"/>
        <v>320.56280338552961</v>
      </c>
    </row>
    <row r="337" spans="1:4" ht="13" x14ac:dyDescent="0.3">
      <c r="A337" s="1664" t="s">
        <v>1124</v>
      </c>
      <c r="B337" s="925">
        <f>('Mini-model'!D311-'Mini-model'!C311)*'Mini-model'!C297*12/1000</f>
        <v>0</v>
      </c>
      <c r="C337" s="1666">
        <v>1</v>
      </c>
      <c r="D337" s="1672">
        <f t="shared" si="5"/>
        <v>0</v>
      </c>
    </row>
    <row r="338" spans="1:4" ht="13" x14ac:dyDescent="0.3">
      <c r="A338" s="1664" t="s">
        <v>2993</v>
      </c>
      <c r="B338" s="1634">
        <f>('Mini-model'!D317-'Mini-model'!C317)*'Mini-model'!D320*12/1000</f>
        <v>854.64992755980813</v>
      </c>
      <c r="C338" s="1666">
        <v>0.25</v>
      </c>
      <c r="D338" s="1672">
        <f t="shared" si="5"/>
        <v>213.66248188995203</v>
      </c>
    </row>
    <row r="339" spans="1:4" ht="13" x14ac:dyDescent="0.3">
      <c r="A339" s="1664" t="s">
        <v>646</v>
      </c>
      <c r="B339" s="1546">
        <f>('Mini-model'!D320-'Mini-model'!C320)*'Mini-model'!C317*12/1000</f>
        <v>105.67746123881196</v>
      </c>
      <c r="C339" s="1667">
        <f>C327</f>
        <v>0.32115001514171149</v>
      </c>
      <c r="D339" s="1669">
        <f t="shared" si="5"/>
        <v>33.938318276982088</v>
      </c>
    </row>
    <row r="340" spans="1:4" ht="13" x14ac:dyDescent="0.3">
      <c r="A340" s="1663" t="s">
        <v>2992</v>
      </c>
      <c r="B340" s="1303">
        <f>SUM(B334:B339)</f>
        <v>4172.6128419733159</v>
      </c>
      <c r="C340" s="1668">
        <f>D340/B340</f>
        <v>0.65593327120183398</v>
      </c>
      <c r="D340" s="1303">
        <f>SUM(D334:D339)</f>
        <v>2736.9555908943385</v>
      </c>
    </row>
    <row r="341" spans="1:4" x14ac:dyDescent="0.3">
      <c r="A341" s="1091"/>
      <c r="B341" s="1091"/>
      <c r="C341" s="1091"/>
      <c r="D341" s="109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18B42-ABDF-46B7-B124-EEBD5CFFC416}">
  <dimension ref="A3:L194"/>
  <sheetViews>
    <sheetView topLeftCell="A3" workbookViewId="0">
      <pane xSplit="1" ySplit="1" topLeftCell="B76" activePane="bottomRight" state="frozen"/>
      <selection pane="topRight" activeCell="D26" sqref="D26"/>
      <selection pane="bottomLeft" activeCell="D26" sqref="D26"/>
      <selection pane="bottomRight" activeCell="D26" sqref="D26"/>
    </sheetView>
  </sheetViews>
  <sheetFormatPr defaultColWidth="9.33203125" defaultRowHeight="12" x14ac:dyDescent="0.3"/>
  <cols>
    <col min="1" max="1" width="45" style="1306" customWidth="1"/>
    <col min="2" max="2" width="10.6640625" style="1306" bestFit="1" customWidth="1"/>
    <col min="3" max="4" width="10.44140625" style="1306" bestFit="1" customWidth="1"/>
    <col min="5" max="7" width="10.6640625" style="1306" bestFit="1" customWidth="1"/>
    <col min="8" max="10" width="10.44140625" style="1306" bestFit="1" customWidth="1"/>
    <col min="11" max="11" width="13" style="1306" bestFit="1" customWidth="1"/>
    <col min="12" max="16384" width="9.33203125" style="1306"/>
  </cols>
  <sheetData>
    <row r="3" spans="1:11" x14ac:dyDescent="0.3">
      <c r="B3" s="1492">
        <v>2023</v>
      </c>
      <c r="C3" s="1492">
        <v>2024</v>
      </c>
      <c r="D3" s="1492">
        <v>2025</v>
      </c>
      <c r="E3" s="1492">
        <v>2026</v>
      </c>
      <c r="F3" s="1492">
        <v>2027</v>
      </c>
      <c r="G3" s="1492">
        <v>2028</v>
      </c>
      <c r="H3" s="1492">
        <v>2029</v>
      </c>
      <c r="I3" s="1492">
        <v>2030</v>
      </c>
      <c r="J3" s="1492">
        <v>2031</v>
      </c>
      <c r="K3" s="1492" t="s">
        <v>2994</v>
      </c>
    </row>
    <row r="4" spans="1:11" x14ac:dyDescent="0.3">
      <c r="A4" s="1305" t="s">
        <v>780</v>
      </c>
      <c r="B4" s="1514">
        <f>Drivers!ES90</f>
        <v>6491</v>
      </c>
      <c r="C4" s="1514">
        <f>Drivers!EX90</f>
        <v>7823</v>
      </c>
      <c r="D4" s="1514">
        <f>Drivers!FC90</f>
        <v>9123</v>
      </c>
      <c r="E4" s="1514">
        <f>Drivers!FD90</f>
        <v>10023</v>
      </c>
      <c r="F4" s="1494">
        <f>E4</f>
        <v>10023</v>
      </c>
      <c r="G4" s="1494">
        <f>F4</f>
        <v>10023</v>
      </c>
      <c r="H4" s="1494">
        <f t="shared" ref="H4:J4" si="0">G4</f>
        <v>10023</v>
      </c>
      <c r="I4" s="1494">
        <f t="shared" si="0"/>
        <v>10023</v>
      </c>
      <c r="J4" s="1494">
        <f t="shared" si="0"/>
        <v>10023</v>
      </c>
      <c r="K4" s="1496">
        <f>(J4/E4)^(1/5)-1</f>
        <v>0</v>
      </c>
    </row>
    <row r="5" spans="1:11" x14ac:dyDescent="0.3">
      <c r="A5" s="1305" t="s">
        <v>1292</v>
      </c>
      <c r="B5" s="1497">
        <f>B6/B4</f>
        <v>0.30919735017716837</v>
      </c>
      <c r="C5" s="1497">
        <f t="shared" ref="C5:E5" si="1">C6/C4</f>
        <v>0.30576505177042057</v>
      </c>
      <c r="D5" s="1497">
        <f t="shared" si="1"/>
        <v>0.31406633999504996</v>
      </c>
      <c r="E5" s="1497">
        <f t="shared" si="1"/>
        <v>0.33638378346370262</v>
      </c>
      <c r="F5" s="1497">
        <f>E5+3%</f>
        <v>0.36638378346370259</v>
      </c>
      <c r="G5" s="1497">
        <f>F5+3%</f>
        <v>0.39638378346370262</v>
      </c>
      <c r="H5" s="1497">
        <f>G5+2.25%</f>
        <v>0.41888378346370264</v>
      </c>
      <c r="I5" s="1497">
        <f t="shared" ref="I5" si="2">H5+2%</f>
        <v>0.43888378346370266</v>
      </c>
      <c r="J5" s="1497">
        <v>0.45</v>
      </c>
      <c r="K5" s="1496"/>
    </row>
    <row r="6" spans="1:11" x14ac:dyDescent="0.3">
      <c r="A6" s="1313" t="s">
        <v>1293</v>
      </c>
      <c r="B6" s="1512">
        <f>Drivers!ES171</f>
        <v>2007</v>
      </c>
      <c r="C6" s="1512">
        <f>Drivers!EX171</f>
        <v>2392</v>
      </c>
      <c r="D6" s="1512">
        <f>Drivers!FC171</f>
        <v>2865.2272197748407</v>
      </c>
      <c r="E6" s="1512">
        <f>Drivers!FD171</f>
        <v>3371.5746616566912</v>
      </c>
      <c r="F6" s="1506">
        <f t="shared" ref="F6:I6" si="3">F4*F5</f>
        <v>3672.2646616566913</v>
      </c>
      <c r="G6" s="1506">
        <f t="shared" si="3"/>
        <v>3972.9546616566913</v>
      </c>
      <c r="H6" s="1506">
        <f t="shared" si="3"/>
        <v>4198.4721616566912</v>
      </c>
      <c r="I6" s="1506">
        <f t="shared" si="3"/>
        <v>4398.9321616566922</v>
      </c>
      <c r="J6" s="1506">
        <f>J4*J5</f>
        <v>4510.3500000000004</v>
      </c>
      <c r="K6" s="1496">
        <f>(J6/E6)^(1/5)-1</f>
        <v>5.9925870712077334E-2</v>
      </c>
    </row>
    <row r="7" spans="1:11" x14ac:dyDescent="0.3">
      <c r="A7" s="1320" t="s">
        <v>1294</v>
      </c>
      <c r="B7" s="1513">
        <f>Drivers!ES115</f>
        <v>1878</v>
      </c>
      <c r="C7" s="1513">
        <f>Drivers!EX115</f>
        <v>2249</v>
      </c>
      <c r="D7" s="1513">
        <f>Drivers!FC115</f>
        <v>2702.2388610217558</v>
      </c>
      <c r="E7" s="1513">
        <f>Drivers!FD115</f>
        <v>3183.9855180066493</v>
      </c>
      <c r="F7" s="1503">
        <f>F4*F9*0.9</f>
        <v>3427.5444180066493</v>
      </c>
      <c r="G7" s="1503">
        <f t="shared" ref="G7:J7" si="4">G4*G9*0.9</f>
        <v>3671.1033180066493</v>
      </c>
      <c r="H7" s="1503">
        <f t="shared" si="4"/>
        <v>3853.7724930066497</v>
      </c>
      <c r="I7" s="1503">
        <f t="shared" si="4"/>
        <v>4016.1450930066494</v>
      </c>
      <c r="J7" s="1503">
        <f t="shared" si="4"/>
        <v>4059.3150000000005</v>
      </c>
      <c r="K7" s="1496">
        <f t="shared" ref="K7:K8" si="5">(J7/E7)^(1/5)-1</f>
        <v>4.9775260994394444E-2</v>
      </c>
    </row>
    <row r="8" spans="1:11" x14ac:dyDescent="0.3">
      <c r="A8" s="1320" t="s">
        <v>1295</v>
      </c>
      <c r="B8" s="1499">
        <f>B6-B7</f>
        <v>129</v>
      </c>
      <c r="C8" s="1499">
        <f>C6-C7</f>
        <v>143</v>
      </c>
      <c r="D8" s="1499">
        <f t="shared" ref="D8:E8" si="6">D6-D7</f>
        <v>162.98835875308487</v>
      </c>
      <c r="E8" s="1499">
        <f t="shared" si="6"/>
        <v>187.58914365004193</v>
      </c>
      <c r="F8" s="1499">
        <f t="shared" ref="F8" si="7">F6-F7</f>
        <v>244.72024365004199</v>
      </c>
      <c r="G8" s="1499">
        <f t="shared" ref="G8" si="8">G6-G7</f>
        <v>301.85134365004205</v>
      </c>
      <c r="H8" s="1499">
        <f t="shared" ref="H8" si="9">H6-H7</f>
        <v>344.69966865004153</v>
      </c>
      <c r="I8" s="1499">
        <f t="shared" ref="I8" si="10">I6-I7</f>
        <v>382.78706865004278</v>
      </c>
      <c r="J8" s="1499">
        <f t="shared" ref="J8" si="11">J6-J7</f>
        <v>451.03499999999985</v>
      </c>
      <c r="K8" s="1496">
        <f t="shared" si="5"/>
        <v>0.19179211744442481</v>
      </c>
    </row>
    <row r="9" spans="1:11" x14ac:dyDescent="0.3">
      <c r="A9" s="1320" t="s">
        <v>1296</v>
      </c>
      <c r="B9" s="1498">
        <f>B7/B4/0.9</f>
        <v>0.32147075437785655</v>
      </c>
      <c r="C9" s="1498">
        <f t="shared" ref="C9:E9" si="12">C7/C4/0.9</f>
        <v>0.31942846591958185</v>
      </c>
      <c r="D9" s="1498">
        <f t="shared" si="12"/>
        <v>0.32911187365532241</v>
      </c>
      <c r="E9" s="1498">
        <f t="shared" si="12"/>
        <v>0.35296435066088544</v>
      </c>
      <c r="F9" s="1498">
        <f>E9+(F5-E5)*0.9</f>
        <v>0.37996435066088541</v>
      </c>
      <c r="G9" s="1498">
        <f t="shared" ref="G9:I9" si="13">F9+(G5-F5)*0.9</f>
        <v>0.40696435066088543</v>
      </c>
      <c r="H9" s="1498">
        <f t="shared" si="13"/>
        <v>0.42721435066088542</v>
      </c>
      <c r="I9" s="1498">
        <f t="shared" si="13"/>
        <v>0.44521435066088544</v>
      </c>
      <c r="J9" s="1498">
        <f>J5</f>
        <v>0.45</v>
      </c>
      <c r="K9" s="1496"/>
    </row>
    <row r="10" spans="1:11" x14ac:dyDescent="0.3">
      <c r="A10" s="1320" t="s">
        <v>1297</v>
      </c>
      <c r="B10" s="1498">
        <f>B8/B4/0.1</f>
        <v>0.1987367123709752</v>
      </c>
      <c r="C10" s="1498">
        <f t="shared" ref="C10:I10" si="14">C8/C4/0.1</f>
        <v>0.18279432442796881</v>
      </c>
      <c r="D10" s="1498">
        <f t="shared" si="14"/>
        <v>0.17865653705259768</v>
      </c>
      <c r="E10" s="1498">
        <f t="shared" si="14"/>
        <v>0.18715867868905711</v>
      </c>
      <c r="F10" s="1498">
        <f t="shared" si="14"/>
        <v>0.24415867868905713</v>
      </c>
      <c r="G10" s="1498">
        <f t="shared" si="14"/>
        <v>0.30115867868905721</v>
      </c>
      <c r="H10" s="1498">
        <f t="shared" si="14"/>
        <v>0.34390867868905667</v>
      </c>
      <c r="I10" s="1498">
        <f t="shared" si="14"/>
        <v>0.38190867868905798</v>
      </c>
      <c r="J10" s="1498">
        <f>J9</f>
        <v>0.45</v>
      </c>
      <c r="K10" s="1496"/>
    </row>
    <row r="11" spans="1:11" x14ac:dyDescent="0.3">
      <c r="K11" s="1496"/>
    </row>
    <row r="12" spans="1:11" x14ac:dyDescent="0.3">
      <c r="A12" s="1305" t="s">
        <v>782</v>
      </c>
      <c r="B12" s="1514">
        <f>Drivers!ES94</f>
        <v>8909</v>
      </c>
      <c r="C12" s="1494">
        <f>C20-C4</f>
        <v>7577</v>
      </c>
      <c r="D12" s="1494">
        <f t="shared" ref="D12:J12" si="15">D20-D4</f>
        <v>6277</v>
      </c>
      <c r="E12" s="1494">
        <f t="shared" si="15"/>
        <v>5377</v>
      </c>
      <c r="F12" s="1494">
        <f t="shared" si="15"/>
        <v>5377</v>
      </c>
      <c r="G12" s="1494">
        <f t="shared" si="15"/>
        <v>5377</v>
      </c>
      <c r="H12" s="1494">
        <f t="shared" si="15"/>
        <v>5377</v>
      </c>
      <c r="I12" s="1494">
        <f t="shared" si="15"/>
        <v>5377</v>
      </c>
      <c r="J12" s="1494">
        <f t="shared" si="15"/>
        <v>5377</v>
      </c>
      <c r="K12" s="1496">
        <f>(J12/E12)^(1/5)-1</f>
        <v>0</v>
      </c>
    </row>
    <row r="13" spans="1:11" x14ac:dyDescent="0.3">
      <c r="A13" s="1305" t="s">
        <v>1292</v>
      </c>
      <c r="B13" s="1497">
        <f>B14/B12</f>
        <v>0.10506229655404647</v>
      </c>
      <c r="C13" s="1497">
        <f t="shared" ref="C13" si="16">C14/C12</f>
        <v>9.2648805595882275E-2</v>
      </c>
      <c r="D13" s="1497">
        <f t="shared" ref="D13" si="17">D14/D12</f>
        <v>8.0958480093554622E-2</v>
      </c>
      <c r="E13" s="1497">
        <f t="shared" ref="E13" si="18">E14/E12</f>
        <v>6.5490652257472248E-2</v>
      </c>
      <c r="F13" s="1497">
        <f>E13*0.9</f>
        <v>5.8941587031725022E-2</v>
      </c>
      <c r="G13" s="1497">
        <f t="shared" ref="G13:J13" si="19">F13*0.9</f>
        <v>5.3047428328552519E-2</v>
      </c>
      <c r="H13" s="1497">
        <f t="shared" si="19"/>
        <v>4.7742685495697268E-2</v>
      </c>
      <c r="I13" s="1497">
        <f t="shared" si="19"/>
        <v>4.296841694612754E-2</v>
      </c>
      <c r="J13" s="1497">
        <f t="shared" si="19"/>
        <v>3.8671575251514788E-2</v>
      </c>
      <c r="K13" s="1496"/>
    </row>
    <row r="14" spans="1:11" x14ac:dyDescent="0.3">
      <c r="A14" s="1313" t="s">
        <v>1298</v>
      </c>
      <c r="B14" s="1512">
        <f>Drivers!ES260+Drivers!ES305</f>
        <v>936</v>
      </c>
      <c r="C14" s="1512">
        <f>Drivers!EX260+Drivers!EX305</f>
        <v>702</v>
      </c>
      <c r="D14" s="1512">
        <f>Drivers!FC260+Drivers!FC305</f>
        <v>508.17637954724233</v>
      </c>
      <c r="E14" s="1512">
        <f>Drivers!FD260+Drivers!FD305</f>
        <v>352.14323718842826</v>
      </c>
      <c r="F14" s="1507">
        <f>F12*F13</f>
        <v>316.92891346958544</v>
      </c>
      <c r="G14" s="1507">
        <f t="shared" ref="G14:J14" si="20">G12*G13</f>
        <v>285.23602212262688</v>
      </c>
      <c r="H14" s="1507">
        <f t="shared" si="20"/>
        <v>256.71241991036419</v>
      </c>
      <c r="I14" s="1507">
        <f t="shared" si="20"/>
        <v>231.04117791932779</v>
      </c>
      <c r="J14" s="1507">
        <f t="shared" si="20"/>
        <v>207.93706012739503</v>
      </c>
      <c r="K14" s="1496">
        <f>(J14/E14)^(1/5)-1</f>
        <v>-9.9999999999999978E-2</v>
      </c>
    </row>
    <row r="15" spans="1:11" x14ac:dyDescent="0.3">
      <c r="A15" s="1320" t="s">
        <v>1294</v>
      </c>
      <c r="B15" s="1513">
        <f>Drivers!ES260</f>
        <v>822</v>
      </c>
      <c r="C15" s="1513">
        <f>Drivers!EX260</f>
        <v>612</v>
      </c>
      <c r="D15" s="1513">
        <f>Drivers!FC260</f>
        <v>438.84466480671011</v>
      </c>
      <c r="E15" s="1513">
        <f>Drivers!FD260</f>
        <v>300.21500765474059</v>
      </c>
      <c r="F15" s="1503">
        <f>F12*F17*0.9</f>
        <v>271.6914054424779</v>
      </c>
      <c r="G15" s="1503">
        <f t="shared" ref="G15:J15" si="21">G12*G17*0.9</f>
        <v>246.0201634514415</v>
      </c>
      <c r="H15" s="1503">
        <f t="shared" si="21"/>
        <v>222.91604565950871</v>
      </c>
      <c r="I15" s="1503">
        <f t="shared" si="21"/>
        <v>202.12233964676923</v>
      </c>
      <c r="J15" s="1503">
        <f t="shared" si="21"/>
        <v>187.14335411465552</v>
      </c>
      <c r="K15" s="1496">
        <f t="shared" ref="K15:K16" si="22">(J15/E15)^(1/5)-1</f>
        <v>-9.0194826534135131E-2</v>
      </c>
    </row>
    <row r="16" spans="1:11" x14ac:dyDescent="0.3">
      <c r="A16" s="1320" t="s">
        <v>1295</v>
      </c>
      <c r="B16" s="1499">
        <f>B14-B15</f>
        <v>114</v>
      </c>
      <c r="C16" s="1499">
        <f t="shared" ref="C16:E16" si="23">C14-C15</f>
        <v>90</v>
      </c>
      <c r="D16" s="1499">
        <f t="shared" si="23"/>
        <v>69.33171474053222</v>
      </c>
      <c r="E16" s="1499">
        <f t="shared" si="23"/>
        <v>51.92822953368767</v>
      </c>
      <c r="F16" s="1499">
        <f t="shared" ref="F16" si="24">F14-F15</f>
        <v>45.237508027107538</v>
      </c>
      <c r="G16" s="1499">
        <f t="shared" ref="G16" si="25">G14-G15</f>
        <v>39.215858671185373</v>
      </c>
      <c r="H16" s="1499">
        <f t="shared" ref="H16" si="26">H14-H15</f>
        <v>33.796374250855479</v>
      </c>
      <c r="I16" s="1499">
        <f t="shared" ref="I16" si="27">I14-I15</f>
        <v>28.91883827255856</v>
      </c>
      <c r="J16" s="1499">
        <f t="shared" ref="J16" si="28">J14-J15</f>
        <v>20.793706012739506</v>
      </c>
      <c r="K16" s="1496">
        <f t="shared" si="22"/>
        <v>-0.16726718928732309</v>
      </c>
    </row>
    <row r="17" spans="1:11" x14ac:dyDescent="0.3">
      <c r="A17" s="1320" t="s">
        <v>1296</v>
      </c>
      <c r="B17" s="1498">
        <f>B15/B12/0.9</f>
        <v>0.10251805290530175</v>
      </c>
      <c r="C17" s="1498">
        <f t="shared" ref="C17:E17" si="29">C15/C12/0.9</f>
        <v>8.9745281773789098E-2</v>
      </c>
      <c r="D17" s="1498">
        <f t="shared" si="29"/>
        <v>7.7681246314890359E-2</v>
      </c>
      <c r="E17" s="1498">
        <f t="shared" si="29"/>
        <v>6.2036866417610109E-2</v>
      </c>
      <c r="F17" s="1498">
        <f>E17+(F13-E13)*0.9</f>
        <v>5.6142707714437606E-2</v>
      </c>
      <c r="G17" s="1498">
        <f t="shared" ref="G17:I17" si="30">F17+(G13-F13)*0.9</f>
        <v>5.0837964881582355E-2</v>
      </c>
      <c r="H17" s="1498">
        <f t="shared" si="30"/>
        <v>4.6063696332012627E-2</v>
      </c>
      <c r="I17" s="1498">
        <f t="shared" si="30"/>
        <v>4.1766854637399875E-2</v>
      </c>
      <c r="J17" s="1498">
        <f>J13</f>
        <v>3.8671575251514788E-2</v>
      </c>
      <c r="K17" s="1496"/>
    </row>
    <row r="18" spans="1:11" x14ac:dyDescent="0.3">
      <c r="A18" s="1320" t="s">
        <v>1297</v>
      </c>
      <c r="B18" s="1498">
        <f>B16/B12/0.1</f>
        <v>0.1279604893927489</v>
      </c>
      <c r="C18" s="1498">
        <f t="shared" ref="C18:I18" si="31">C16/C12/0.1</f>
        <v>0.11878051999472086</v>
      </c>
      <c r="D18" s="1498">
        <f t="shared" si="31"/>
        <v>0.11045358410153293</v>
      </c>
      <c r="E18" s="1498">
        <f t="shared" si="31"/>
        <v>9.6574724816231472E-2</v>
      </c>
      <c r="F18" s="1498">
        <f t="shared" si="31"/>
        <v>8.4131500887311764E-2</v>
      </c>
      <c r="G18" s="1498">
        <f t="shared" si="31"/>
        <v>7.2932599351283933E-2</v>
      </c>
      <c r="H18" s="1498">
        <f t="shared" si="31"/>
        <v>6.2853587968858982E-2</v>
      </c>
      <c r="I18" s="1498">
        <f t="shared" si="31"/>
        <v>5.3782477724676502E-2</v>
      </c>
      <c r="J18" s="1498">
        <f>J17</f>
        <v>3.8671575251514788E-2</v>
      </c>
      <c r="K18" s="1496"/>
    </row>
    <row r="19" spans="1:11" x14ac:dyDescent="0.3">
      <c r="K19" s="1496"/>
    </row>
    <row r="20" spans="1:11" x14ac:dyDescent="0.3">
      <c r="A20" s="1305" t="s">
        <v>2845</v>
      </c>
      <c r="B20" s="1494">
        <f>B4+B12</f>
        <v>15400</v>
      </c>
      <c r="C20" s="1494">
        <f>B20</f>
        <v>15400</v>
      </c>
      <c r="D20" s="1494">
        <f t="shared" ref="D20:J20" si="32">C20</f>
        <v>15400</v>
      </c>
      <c r="E20" s="1494">
        <f t="shared" si="32"/>
        <v>15400</v>
      </c>
      <c r="F20" s="1494">
        <f t="shared" si="32"/>
        <v>15400</v>
      </c>
      <c r="G20" s="1494">
        <f t="shared" si="32"/>
        <v>15400</v>
      </c>
      <c r="H20" s="1494">
        <f t="shared" si="32"/>
        <v>15400</v>
      </c>
      <c r="I20" s="1494">
        <f t="shared" si="32"/>
        <v>15400</v>
      </c>
      <c r="J20" s="1494">
        <f t="shared" si="32"/>
        <v>15400</v>
      </c>
      <c r="K20" s="1496">
        <f>(J20/E20)^(1/5)-1</f>
        <v>0</v>
      </c>
    </row>
    <row r="21" spans="1:11" x14ac:dyDescent="0.3">
      <c r="A21" s="1305" t="s">
        <v>1292</v>
      </c>
      <c r="B21" s="1497">
        <f>B22/B20</f>
        <v>0.19110389610389611</v>
      </c>
      <c r="C21" s="1497">
        <f t="shared" ref="C21:J21" si="33">C22/C20</f>
        <v>0.2009090909090909</v>
      </c>
      <c r="D21" s="1497">
        <f t="shared" si="33"/>
        <v>0.21905218177416125</v>
      </c>
      <c r="E21" s="1497">
        <f t="shared" si="33"/>
        <v>0.2417998635613714</v>
      </c>
      <c r="F21" s="1497">
        <f t="shared" si="33"/>
        <v>0.25903854383936864</v>
      </c>
      <c r="G21" s="1497">
        <f t="shared" si="33"/>
        <v>0.27650588855709862</v>
      </c>
      <c r="H21" s="1497">
        <f t="shared" si="33"/>
        <v>0.28929770010175687</v>
      </c>
      <c r="I21" s="1497">
        <f t="shared" si="33"/>
        <v>0.30064761945298835</v>
      </c>
      <c r="J21" s="1497">
        <f t="shared" si="33"/>
        <v>0.30638227663164902</v>
      </c>
      <c r="K21" s="1496"/>
    </row>
    <row r="22" spans="1:11" x14ac:dyDescent="0.3">
      <c r="A22" s="1313" t="s">
        <v>2846</v>
      </c>
      <c r="B22" s="1505">
        <f>B6+B14</f>
        <v>2943</v>
      </c>
      <c r="C22" s="1505">
        <f t="shared" ref="C22:J22" si="34">C6+C14</f>
        <v>3094</v>
      </c>
      <c r="D22" s="1505">
        <f t="shared" si="34"/>
        <v>3373.4035993220832</v>
      </c>
      <c r="E22" s="1505">
        <f t="shared" si="34"/>
        <v>3723.7178988451196</v>
      </c>
      <c r="F22" s="1505">
        <f t="shared" si="34"/>
        <v>3989.1935751262768</v>
      </c>
      <c r="G22" s="1505">
        <f t="shared" si="34"/>
        <v>4258.1906837793185</v>
      </c>
      <c r="H22" s="1505">
        <f t="shared" si="34"/>
        <v>4455.1845815670558</v>
      </c>
      <c r="I22" s="1505">
        <f t="shared" si="34"/>
        <v>4629.9733395760204</v>
      </c>
      <c r="J22" s="1505">
        <f t="shared" si="34"/>
        <v>4718.2870601273953</v>
      </c>
      <c r="K22" s="1496">
        <f>(J22/E22)^(1/5)-1</f>
        <v>4.8483299957271964E-2</v>
      </c>
    </row>
    <row r="23" spans="1:11" x14ac:dyDescent="0.3">
      <c r="A23" s="1320" t="s">
        <v>1294</v>
      </c>
      <c r="B23" s="1499">
        <f>B7+B15</f>
        <v>2700</v>
      </c>
      <c r="C23" s="1499">
        <f t="shared" ref="C23:J23" si="35">C7+C15</f>
        <v>2861</v>
      </c>
      <c r="D23" s="1499">
        <f t="shared" si="35"/>
        <v>3141.083525828466</v>
      </c>
      <c r="E23" s="1499">
        <f t="shared" si="35"/>
        <v>3484.2005256613897</v>
      </c>
      <c r="F23" s="1499">
        <f t="shared" si="35"/>
        <v>3699.2358234491271</v>
      </c>
      <c r="G23" s="1499">
        <f t="shared" si="35"/>
        <v>3917.1234814580907</v>
      </c>
      <c r="H23" s="1499">
        <f t="shared" si="35"/>
        <v>4076.6885386661584</v>
      </c>
      <c r="I23" s="1499">
        <f t="shared" si="35"/>
        <v>4218.2674326534188</v>
      </c>
      <c r="J23" s="1499">
        <f t="shared" si="35"/>
        <v>4246.4583541146558</v>
      </c>
      <c r="K23" s="1496">
        <f t="shared" ref="K23:K24" si="36">(J23/E23)^(1/5)-1</f>
        <v>4.0362633794840841E-2</v>
      </c>
    </row>
    <row r="24" spans="1:11" x14ac:dyDescent="0.3">
      <c r="A24" s="1320" t="s">
        <v>1295</v>
      </c>
      <c r="B24" s="1499">
        <f>B8+B16</f>
        <v>243</v>
      </c>
      <c r="C24" s="1499">
        <f t="shared" ref="C24:J24" si="37">C8+C16</f>
        <v>233</v>
      </c>
      <c r="D24" s="1499">
        <f t="shared" si="37"/>
        <v>232.32007349361709</v>
      </c>
      <c r="E24" s="1499">
        <f t="shared" si="37"/>
        <v>239.5173731837296</v>
      </c>
      <c r="F24" s="1499">
        <f t="shared" si="37"/>
        <v>289.95775167714953</v>
      </c>
      <c r="G24" s="1499">
        <f t="shared" si="37"/>
        <v>341.06720232122746</v>
      </c>
      <c r="H24" s="1499">
        <f t="shared" si="37"/>
        <v>378.49604290089701</v>
      </c>
      <c r="I24" s="1499">
        <f t="shared" si="37"/>
        <v>411.70590692260134</v>
      </c>
      <c r="J24" s="1499">
        <f t="shared" si="37"/>
        <v>471.82870601273936</v>
      </c>
      <c r="K24" s="1496">
        <f t="shared" si="36"/>
        <v>0.14522143465910342</v>
      </c>
    </row>
    <row r="25" spans="1:11" x14ac:dyDescent="0.3">
      <c r="A25" s="1320" t="s">
        <v>1296</v>
      </c>
      <c r="B25" s="1498">
        <f>B23/B20/0.9</f>
        <v>0.19480519480519481</v>
      </c>
      <c r="C25" s="1498">
        <f t="shared" ref="C25:J25" si="38">C23/C20/0.9</f>
        <v>0.20642135642135639</v>
      </c>
      <c r="D25" s="1498">
        <f t="shared" si="38"/>
        <v>0.22662940301792683</v>
      </c>
      <c r="E25" s="1498">
        <f t="shared" si="38"/>
        <v>0.25138531931178859</v>
      </c>
      <c r="F25" s="1498">
        <f t="shared" si="38"/>
        <v>0.26690013156198611</v>
      </c>
      <c r="G25" s="1498">
        <f t="shared" si="38"/>
        <v>0.28262074180794305</v>
      </c>
      <c r="H25" s="1498">
        <f t="shared" si="38"/>
        <v>0.29413337219813551</v>
      </c>
      <c r="I25" s="1498">
        <f t="shared" si="38"/>
        <v>0.30434829961424381</v>
      </c>
      <c r="J25" s="1498">
        <f t="shared" si="38"/>
        <v>0.30638227663164902</v>
      </c>
      <c r="K25" s="1496"/>
    </row>
    <row r="26" spans="1:11" x14ac:dyDescent="0.3">
      <c r="A26" s="1320" t="s">
        <v>1297</v>
      </c>
      <c r="B26" s="1498">
        <f>B24/B20/0.1</f>
        <v>0.15779220779220776</v>
      </c>
      <c r="C26" s="1498">
        <f t="shared" ref="C26:J26" si="39">C24/C20/0.1</f>
        <v>0.15129870129870129</v>
      </c>
      <c r="D26" s="1498">
        <f t="shared" si="39"/>
        <v>0.15085719058027083</v>
      </c>
      <c r="E26" s="1498">
        <f t="shared" si="39"/>
        <v>0.15553076180761663</v>
      </c>
      <c r="F26" s="1498">
        <f t="shared" si="39"/>
        <v>0.18828425433581139</v>
      </c>
      <c r="G26" s="1498">
        <f t="shared" si="39"/>
        <v>0.22147220929949835</v>
      </c>
      <c r="H26" s="1498">
        <f t="shared" si="39"/>
        <v>0.24577665123434872</v>
      </c>
      <c r="I26" s="1498">
        <f t="shared" si="39"/>
        <v>0.26734149800168916</v>
      </c>
      <c r="J26" s="1498">
        <f t="shared" si="39"/>
        <v>0.30638227663164891</v>
      </c>
      <c r="K26" s="1496"/>
    </row>
    <row r="27" spans="1:11" x14ac:dyDescent="0.3">
      <c r="K27" s="1496"/>
    </row>
    <row r="28" spans="1:11" x14ac:dyDescent="0.3">
      <c r="A28" s="1306" t="s">
        <v>1299</v>
      </c>
      <c r="B28" s="1515">
        <f>Drivers!ES186</f>
        <v>63.39</v>
      </c>
      <c r="C28" s="1515">
        <f>Drivers!EX186</f>
        <v>65.484330723001278</v>
      </c>
      <c r="D28" s="1515">
        <f>Drivers!FC186</f>
        <v>67.776246846721165</v>
      </c>
      <c r="E28" s="1515">
        <f>Drivers!FD186</f>
        <v>70.148378793984961</v>
      </c>
      <c r="F28" s="1493">
        <f>E28*(1+F30)</f>
        <v>72.603572051774435</v>
      </c>
      <c r="G28" s="1493">
        <f t="shared" ref="G28:J29" si="40">F28*(1+G30)</f>
        <v>75.144697073586528</v>
      </c>
      <c r="H28" s="1493">
        <f t="shared" si="40"/>
        <v>77.774761471162051</v>
      </c>
      <c r="I28" s="1493">
        <f t="shared" si="40"/>
        <v>80.496878122652717</v>
      </c>
      <c r="J28" s="1493">
        <f t="shared" si="40"/>
        <v>83.31426885694556</v>
      </c>
      <c r="K28" s="1496">
        <f t="shared" ref="K28:K29" si="41">(J28/E28)^(1/5)-1</f>
        <v>3.499999999999992E-2</v>
      </c>
    </row>
    <row r="29" spans="1:11" x14ac:dyDescent="0.3">
      <c r="A29" s="1306" t="s">
        <v>1300</v>
      </c>
      <c r="B29" s="1515">
        <f>Drivers!ES323</f>
        <v>52.261183591123064</v>
      </c>
      <c r="C29" s="1515">
        <f>Drivers!EX323</f>
        <v>58.753231304347821</v>
      </c>
      <c r="D29" s="1515">
        <f>Drivers!FC323</f>
        <v>63.109315958467334</v>
      </c>
      <c r="E29" s="1515">
        <f>Drivers!FD323</f>
        <v>66.618606213771756</v>
      </c>
      <c r="F29" s="1493">
        <f>E29*(1+F31)</f>
        <v>69.952592961237471</v>
      </c>
      <c r="G29" s="1493">
        <f t="shared" si="40"/>
        <v>73.103348103452916</v>
      </c>
      <c r="H29" s="1493">
        <f t="shared" si="40"/>
        <v>76.06675040463675</v>
      </c>
      <c r="I29" s="1493">
        <f t="shared" si="40"/>
        <v>78.841927604268008</v>
      </c>
      <c r="J29" s="1493">
        <f t="shared" si="40"/>
        <v>81.430710309307884</v>
      </c>
      <c r="K29" s="1496">
        <f t="shared" si="41"/>
        <v>4.0970773109476388E-2</v>
      </c>
    </row>
    <row r="30" spans="1:11" x14ac:dyDescent="0.3">
      <c r="A30" s="1306" t="s">
        <v>2995</v>
      </c>
      <c r="B30" s="1516">
        <f>Drivers!ES187</f>
        <v>1.607527773516626E-2</v>
      </c>
      <c r="C30" s="1496">
        <f>C28/B28-1</f>
        <v>3.3038818788472701E-2</v>
      </c>
      <c r="D30" s="1496">
        <f t="shared" ref="D30:E30" si="42">D28/C28-1</f>
        <v>3.499945862491427E-2</v>
      </c>
      <c r="E30" s="1496">
        <f t="shared" si="42"/>
        <v>3.499945862491427E-2</v>
      </c>
      <c r="F30" s="1511">
        <v>3.5000000000000003E-2</v>
      </c>
      <c r="G30" s="1511">
        <f>F30</f>
        <v>3.5000000000000003E-2</v>
      </c>
      <c r="H30" s="1511">
        <f t="shared" ref="H30:J30" si="43">G30</f>
        <v>3.5000000000000003E-2</v>
      </c>
      <c r="I30" s="1511">
        <f t="shared" si="43"/>
        <v>3.5000000000000003E-2</v>
      </c>
      <c r="J30" s="1511">
        <f t="shared" si="43"/>
        <v>3.5000000000000003E-2</v>
      </c>
      <c r="K30" s="1496"/>
    </row>
    <row r="31" spans="1:11" x14ac:dyDescent="0.3">
      <c r="A31" s="1306" t="s">
        <v>2996</v>
      </c>
      <c r="B31" s="1516">
        <f>Drivers!ES324</f>
        <v>8.6811140704824874E-2</v>
      </c>
      <c r="C31" s="1496">
        <f>C29/B29-1</f>
        <v>0.12422312827847004</v>
      </c>
      <c r="D31" s="1496">
        <f t="shared" ref="D31:E31" si="44">D29/C29-1</f>
        <v>7.4142043891246567E-2</v>
      </c>
      <c r="E31" s="1496">
        <f t="shared" si="44"/>
        <v>5.5606532918434981E-2</v>
      </c>
      <c r="F31" s="1511">
        <f>E31*0.9</f>
        <v>5.0045879626591482E-2</v>
      </c>
      <c r="G31" s="1511">
        <f t="shared" ref="G31:J31" si="45">F31*0.9</f>
        <v>4.5041291663932337E-2</v>
      </c>
      <c r="H31" s="1511">
        <f t="shared" si="45"/>
        <v>4.0537162497539102E-2</v>
      </c>
      <c r="I31" s="1511">
        <f t="shared" si="45"/>
        <v>3.6483446247785191E-2</v>
      </c>
      <c r="J31" s="1511">
        <f t="shared" si="45"/>
        <v>3.2835101623006673E-2</v>
      </c>
      <c r="K31" s="1496"/>
    </row>
    <row r="32" spans="1:11" x14ac:dyDescent="0.3">
      <c r="K32" s="1496"/>
    </row>
    <row r="33" spans="1:11" x14ac:dyDescent="0.3">
      <c r="A33" s="1305" t="s">
        <v>1301</v>
      </c>
      <c r="B33" s="1514">
        <f>Drivers!ES199</f>
        <v>1312.2509849999999</v>
      </c>
      <c r="C33" s="1514">
        <f>Drivers!EX199</f>
        <v>1618.0850700000001</v>
      </c>
      <c r="D33" s="1514">
        <f>Drivers!FC199</f>
        <v>2008.1558494992316</v>
      </c>
      <c r="E33" s="1514">
        <f>Drivers!FD199</f>
        <v>2477.4545844388404</v>
      </c>
      <c r="F33" s="1494">
        <f>AVERAGE(E7:F7)*F28*12/1000</f>
        <v>2880.124140490831</v>
      </c>
      <c r="G33" s="1494">
        <f t="shared" ref="G33:J33" si="46">AVERAGE(F7:G7)*G28*12/1000</f>
        <v>3200.5544025289209</v>
      </c>
      <c r="H33" s="1494">
        <f t="shared" si="46"/>
        <v>3511.4725278100586</v>
      </c>
      <c r="I33" s="1494">
        <f t="shared" si="46"/>
        <v>3801.0227805398026</v>
      </c>
      <c r="J33" s="1494">
        <f t="shared" si="46"/>
        <v>4036.8063199937437</v>
      </c>
      <c r="K33" s="1496">
        <f t="shared" ref="K33:K35" si="47">(J33/E33)^(1/5)-1</f>
        <v>0.10257068727964147</v>
      </c>
    </row>
    <row r="34" spans="1:11" x14ac:dyDescent="0.3">
      <c r="A34" s="1305" t="s">
        <v>1302</v>
      </c>
      <c r="B34" s="1517">
        <f>Drivers!ES337</f>
        <v>582.84285</v>
      </c>
      <c r="C34" s="1517">
        <f>Drivers!EX337</f>
        <v>506.74662000000001</v>
      </c>
      <c r="D34" s="1517">
        <f>Drivers!FC337</f>
        <v>398.72041058198948</v>
      </c>
      <c r="E34" s="1517">
        <f>Drivers!FD337</f>
        <v>295.41075172913111</v>
      </c>
      <c r="F34" s="1314">
        <f>AVERAGE(E15:F15)*F29*12/1000</f>
        <v>240.03801916386635</v>
      </c>
      <c r="G34" s="1314">
        <f t="shared" ref="G34:J34" si="48">AVERAGE(F15:G15)*G29*12/1000</f>
        <v>227.07869422822162</v>
      </c>
      <c r="H34" s="1314">
        <f t="shared" si="48"/>
        <v>214.02272144483518</v>
      </c>
      <c r="I34" s="1314">
        <f t="shared" si="48"/>
        <v>201.06507362011524</v>
      </c>
      <c r="J34" s="1314">
        <f t="shared" si="48"/>
        <v>190.18909165223002</v>
      </c>
      <c r="K34" s="1496">
        <f t="shared" si="47"/>
        <v>-8.4302852547485485E-2</v>
      </c>
    </row>
    <row r="35" spans="1:11" x14ac:dyDescent="0.3">
      <c r="A35" s="1313" t="s">
        <v>1303</v>
      </c>
      <c r="B35" s="1507">
        <f>SUM(B33:B34)</f>
        <v>1895.0938349999999</v>
      </c>
      <c r="C35" s="1507">
        <f>SUM(C33:C34)</f>
        <v>2124.83169</v>
      </c>
      <c r="D35" s="1507">
        <f t="shared" ref="D35:E35" si="49">SUM(D33:D34)</f>
        <v>2406.8762600812211</v>
      </c>
      <c r="E35" s="1507">
        <f t="shared" si="49"/>
        <v>2772.8653361679717</v>
      </c>
      <c r="F35" s="1507">
        <f>SUM(F33:F34)</f>
        <v>3120.1621596546975</v>
      </c>
      <c r="G35" s="1507">
        <f t="shared" ref="G35:J35" si="50">SUM(G33:G34)</f>
        <v>3427.6330967571425</v>
      </c>
      <c r="H35" s="1507">
        <f t="shared" si="50"/>
        <v>3725.4952492548937</v>
      </c>
      <c r="I35" s="1507">
        <f t="shared" si="50"/>
        <v>4002.0878541599177</v>
      </c>
      <c r="J35" s="1507">
        <f t="shared" si="50"/>
        <v>4226.9954116459739</v>
      </c>
      <c r="K35" s="1496">
        <f t="shared" si="47"/>
        <v>8.7979217435913748E-2</v>
      </c>
    </row>
    <row r="36" spans="1:11" x14ac:dyDescent="0.3">
      <c r="K36" s="1496"/>
    </row>
    <row r="37" spans="1:11" x14ac:dyDescent="0.3">
      <c r="A37" s="1306" t="s">
        <v>1304</v>
      </c>
      <c r="B37" s="1518">
        <f>Drivers!ES126+Drivers!ES271</f>
        <v>222</v>
      </c>
      <c r="C37" s="1518">
        <f>Drivers!EX126+Drivers!EX271</f>
        <v>167</v>
      </c>
      <c r="D37" s="1518">
        <f>Drivers!FC126+Drivers!FC271</f>
        <v>125.95697547570001</v>
      </c>
      <c r="E37" s="1518">
        <f>Drivers!FD126+Drivers!FD271</f>
        <v>92.271662863314873</v>
      </c>
      <c r="F37" s="1494">
        <f>E37*0.8</f>
        <v>73.817330290651896</v>
      </c>
      <c r="G37" s="1494">
        <f t="shared" ref="G37:J37" si="51">F37*0.8</f>
        <v>59.053864232521519</v>
      </c>
      <c r="H37" s="1494">
        <f t="shared" si="51"/>
        <v>47.24309138601722</v>
      </c>
      <c r="I37" s="1494">
        <f t="shared" si="51"/>
        <v>37.794473108813776</v>
      </c>
      <c r="J37" s="1494">
        <f t="shared" si="51"/>
        <v>30.235578487051022</v>
      </c>
      <c r="K37" s="1496">
        <f>(J37/E37)^(1/5)-1</f>
        <v>-0.19999999999999996</v>
      </c>
    </row>
    <row r="38" spans="1:11" x14ac:dyDescent="0.3">
      <c r="A38" s="1320" t="s">
        <v>696</v>
      </c>
      <c r="B38" s="1498">
        <f>B37/B20</f>
        <v>1.4415584415584416E-2</v>
      </c>
      <c r="C38" s="1498">
        <f t="shared" ref="C38:E38" si="52">C37/C20</f>
        <v>1.0844155844155844E-2</v>
      </c>
      <c r="D38" s="1498">
        <f t="shared" si="52"/>
        <v>8.1790243815389619E-3</v>
      </c>
      <c r="E38" s="1498">
        <f t="shared" si="52"/>
        <v>5.9916664196957709E-3</v>
      </c>
      <c r="F38" s="1498">
        <f t="shared" ref="F38" si="53">F37/F20</f>
        <v>4.7933331357566163E-3</v>
      </c>
      <c r="G38" s="1498">
        <f t="shared" ref="G38" si="54">G37/G20</f>
        <v>3.8346665086052933E-3</v>
      </c>
      <c r="H38" s="1498">
        <f t="shared" ref="H38" si="55">H37/H20</f>
        <v>3.067733206884235E-3</v>
      </c>
      <c r="I38" s="1498">
        <f t="shared" ref="I38" si="56">I37/I20</f>
        <v>2.454186565507388E-3</v>
      </c>
      <c r="J38" s="1498">
        <f t="shared" ref="J38" si="57">J37/J20</f>
        <v>1.9633492524059105E-3</v>
      </c>
      <c r="K38" s="1496"/>
    </row>
    <row r="39" spans="1:11" x14ac:dyDescent="0.3">
      <c r="K39" s="1496"/>
    </row>
    <row r="40" spans="1:11" x14ac:dyDescent="0.3">
      <c r="A40" s="1306" t="s">
        <v>646</v>
      </c>
      <c r="B40" s="1515">
        <f>Drivers!ES462/Drivers!ES452*1000/12</f>
        <v>130.78071707317073</v>
      </c>
      <c r="C40" s="1515">
        <f>Drivers!EX462/Drivers!EX452*1000/12</f>
        <v>136.08155138978668</v>
      </c>
      <c r="D40" s="1515">
        <f>Drivers!FC462/Drivers!FC452*1000/12</f>
        <v>143.25653859958933</v>
      </c>
      <c r="E40" s="1515">
        <f>Drivers!FD462/Drivers!FD452*1000/12</f>
        <v>151.09449516007859</v>
      </c>
      <c r="F40" s="1493">
        <f>E40*(1+F41)</f>
        <v>159.36128773492825</v>
      </c>
      <c r="G40" s="1493">
        <f t="shared" ref="G40:J40" si="58">F40*(1+G41)</f>
        <v>168.08037911393478</v>
      </c>
      <c r="H40" s="1493">
        <f t="shared" si="58"/>
        <v>177.27651580021768</v>
      </c>
      <c r="I40" s="1493">
        <f t="shared" si="58"/>
        <v>186.97579824568211</v>
      </c>
      <c r="J40" s="1493">
        <f t="shared" si="58"/>
        <v>197.20575492925551</v>
      </c>
      <c r="K40" s="1496">
        <f>(J40/E40)^(1/5)-1</f>
        <v>5.4712731698738137E-2</v>
      </c>
    </row>
    <row r="41" spans="1:11" x14ac:dyDescent="0.3">
      <c r="A41" s="1306" t="s">
        <v>2997</v>
      </c>
      <c r="C41" s="1496">
        <f>C40/B40-1</f>
        <v>4.0532231625937554E-2</v>
      </c>
      <c r="D41" s="1496">
        <f t="shared" ref="D41:E41" si="59">D40/C40-1</f>
        <v>5.2725642355817115E-2</v>
      </c>
      <c r="E41" s="1496">
        <f t="shared" si="59"/>
        <v>5.4712731698738137E-2</v>
      </c>
      <c r="F41" s="1523">
        <f>E41</f>
        <v>5.4712731698738137E-2</v>
      </c>
      <c r="G41" s="1523">
        <f t="shared" ref="G41:J41" si="60">F41</f>
        <v>5.4712731698738137E-2</v>
      </c>
      <c r="H41" s="1523">
        <f t="shared" si="60"/>
        <v>5.4712731698738137E-2</v>
      </c>
      <c r="I41" s="1523">
        <f t="shared" si="60"/>
        <v>5.4712731698738137E-2</v>
      </c>
      <c r="J41" s="1523">
        <f t="shared" si="60"/>
        <v>5.4712731698738137E-2</v>
      </c>
      <c r="K41" s="1496"/>
    </row>
    <row r="42" spans="1:11" x14ac:dyDescent="0.3">
      <c r="K42" s="1496"/>
    </row>
    <row r="43" spans="1:11" x14ac:dyDescent="0.3">
      <c r="A43" s="1306" t="s">
        <v>1305</v>
      </c>
      <c r="B43" s="1514">
        <f>Drivers!ES462</f>
        <v>402.15070500000002</v>
      </c>
      <c r="C43" s="1514">
        <f>Drivers!EX462</f>
        <v>315.77724000000001</v>
      </c>
      <c r="D43" s="1514">
        <f>Drivers!FC462</f>
        <v>251.91317442963975</v>
      </c>
      <c r="E43" s="1514">
        <f>Drivers!FD462</f>
        <v>197.83887563582894</v>
      </c>
      <c r="F43" s="1494">
        <f>AVERAGE(E37:F37)*F40*12/1000</f>
        <v>158.80893496568297</v>
      </c>
      <c r="G43" s="1494">
        <f t="shared" ref="G43:J43" si="61">AVERAGE(F37:G37)*G40*12/1000</f>
        <v>133.99824449265819</v>
      </c>
      <c r="H43" s="1494">
        <f t="shared" si="61"/>
        <v>113.06372359334951</v>
      </c>
      <c r="I43" s="1494">
        <f t="shared" si="61"/>
        <v>95.399799013738217</v>
      </c>
      <c r="J43" s="1494">
        <f t="shared" si="61"/>
        <v>80.495506097032305</v>
      </c>
      <c r="K43" s="1496">
        <f>(J43/E43)^(1/5)-1</f>
        <v>-0.16460475298101618</v>
      </c>
    </row>
    <row r="44" spans="1:11" x14ac:dyDescent="0.3">
      <c r="A44" s="1306" t="s">
        <v>2997</v>
      </c>
      <c r="C44" s="1496">
        <f>C43/B43-1</f>
        <v>-0.21477884764618282</v>
      </c>
      <c r="D44" s="1496">
        <f t="shared" ref="D44" si="62">D43/C43-1</f>
        <v>-0.20224404257368345</v>
      </c>
      <c r="E44" s="1496">
        <f t="shared" ref="E44" si="63">E43/D43-1</f>
        <v>-0.2146545091031512</v>
      </c>
      <c r="F44" s="1496">
        <f t="shared" ref="F44" si="64">F43/E43-1</f>
        <v>-0.19728145211454884</v>
      </c>
      <c r="G44" s="1496">
        <f t="shared" ref="G44" si="65">G43/F43-1</f>
        <v>-0.15622981464100949</v>
      </c>
      <c r="H44" s="1496">
        <f t="shared" ref="H44" si="66">H43/G43-1</f>
        <v>-0.1562298146410096</v>
      </c>
      <c r="I44" s="1496">
        <f t="shared" ref="I44" si="67">I43/H43-1</f>
        <v>-0.15622981464100916</v>
      </c>
      <c r="J44" s="1496">
        <f t="shared" ref="J44" si="68">J43/I43-1</f>
        <v>-0.15622981464100982</v>
      </c>
      <c r="K44" s="1496"/>
    </row>
    <row r="45" spans="1:11" x14ac:dyDescent="0.3">
      <c r="K45" s="1496"/>
    </row>
    <row r="46" spans="1:11" x14ac:dyDescent="0.3">
      <c r="A46" s="1306" t="s">
        <v>1306</v>
      </c>
      <c r="B46" s="1514">
        <f>Drivers!ES463</f>
        <v>799.75545999999997</v>
      </c>
      <c r="C46" s="1514">
        <f>Drivers!EX463</f>
        <v>722.3910699999999</v>
      </c>
      <c r="D46" s="1514">
        <f>Drivers!FC463</f>
        <v>595.74574461268048</v>
      </c>
      <c r="E46" s="1514">
        <f>Drivers!FD463</f>
        <v>493.85802786410704</v>
      </c>
      <c r="F46" s="1494">
        <f>E46*(1+F47)</f>
        <v>413.61882524042051</v>
      </c>
      <c r="G46" s="1494">
        <f t="shared" ref="G46:J46" si="69">F46*(1+G47)</f>
        <v>349.77654524868746</v>
      </c>
      <c r="H46" s="1494">
        <f t="shared" si="69"/>
        <v>298.4877638032068</v>
      </c>
      <c r="I46" s="1494">
        <f t="shared" si="69"/>
        <v>256.90801754715085</v>
      </c>
      <c r="J46" s="1494">
        <f t="shared" si="69"/>
        <v>222.90976735954962</v>
      </c>
      <c r="K46" s="1496">
        <f>(J46/E46)^(1/5)-1</f>
        <v>-0.14708569942679939</v>
      </c>
    </row>
    <row r="47" spans="1:11" x14ac:dyDescent="0.3">
      <c r="A47" s="1306" t="s">
        <v>2997</v>
      </c>
      <c r="C47" s="1496">
        <f>C46/B46-1</f>
        <v>-9.6735056988545121E-2</v>
      </c>
      <c r="D47" s="1496">
        <f t="shared" ref="D47" si="70">D46/C46-1</f>
        <v>-0.17531407937714327</v>
      </c>
      <c r="E47" s="1496">
        <f t="shared" ref="E47" si="71">E46/D46-1</f>
        <v>-0.17102550487341706</v>
      </c>
      <c r="F47" s="1508">
        <f>E47*0.95</f>
        <v>-0.1624742296297462</v>
      </c>
      <c r="G47" s="1508">
        <f t="shared" ref="G47:J47" si="72">F47*0.95</f>
        <v>-0.15435051814825887</v>
      </c>
      <c r="H47" s="1508">
        <f t="shared" si="72"/>
        <v>-0.14663299224084592</v>
      </c>
      <c r="I47" s="1508">
        <f t="shared" si="72"/>
        <v>-0.13930134262880361</v>
      </c>
      <c r="J47" s="1508">
        <f t="shared" si="72"/>
        <v>-0.13233627549736343</v>
      </c>
      <c r="K47" s="1496"/>
    </row>
    <row r="48" spans="1:11" x14ac:dyDescent="0.3">
      <c r="K48" s="1496"/>
    </row>
    <row r="49" spans="1:11" x14ac:dyDescent="0.3">
      <c r="A49" s="1315" t="s">
        <v>1307</v>
      </c>
      <c r="B49" s="1509">
        <f>B35+B43+B46</f>
        <v>3096.9999999999995</v>
      </c>
      <c r="C49" s="1509">
        <f t="shared" ref="C49:J49" si="73">C35+C43+C46</f>
        <v>3163</v>
      </c>
      <c r="D49" s="1509">
        <f t="shared" si="73"/>
        <v>3254.5351791235412</v>
      </c>
      <c r="E49" s="1509">
        <f t="shared" si="73"/>
        <v>3464.5622396679078</v>
      </c>
      <c r="F49" s="1509">
        <f t="shared" si="73"/>
        <v>3692.5899198608008</v>
      </c>
      <c r="G49" s="1509">
        <f t="shared" si="73"/>
        <v>3911.4078864984881</v>
      </c>
      <c r="H49" s="1509">
        <f t="shared" si="73"/>
        <v>4137.0467366514504</v>
      </c>
      <c r="I49" s="1509">
        <f t="shared" si="73"/>
        <v>4354.3956707208072</v>
      </c>
      <c r="J49" s="1509">
        <f t="shared" si="73"/>
        <v>4530.4006851025561</v>
      </c>
      <c r="K49" s="1496">
        <f>(J49/E49)^(1/5)-1</f>
        <v>5.510978173160952E-2</v>
      </c>
    </row>
    <row r="50" spans="1:11" x14ac:dyDescent="0.3">
      <c r="K50" s="1496"/>
    </row>
    <row r="51" spans="1:11" x14ac:dyDescent="0.3">
      <c r="A51" s="1305" t="s">
        <v>1308</v>
      </c>
      <c r="B51" s="1494">
        <f>B54*0.2</f>
        <v>224.8</v>
      </c>
      <c r="C51" s="1494">
        <f>AVERAGE(B8:C8)*C55*12/1000</f>
        <v>241.73841860465117</v>
      </c>
      <c r="D51" s="1494">
        <f t="shared" ref="D51:J51" si="74">AVERAGE(C8:D8)*D55*12/1000</f>
        <v>277.3842823365128</v>
      </c>
      <c r="E51" s="1494">
        <f t="shared" si="74"/>
        <v>324.16129518707316</v>
      </c>
      <c r="F51" s="1494">
        <f t="shared" si="74"/>
        <v>407.72933045353591</v>
      </c>
      <c r="G51" s="1494">
        <f t="shared" si="74"/>
        <v>525.8047577942134</v>
      </c>
      <c r="H51" s="1494">
        <f t="shared" si="74"/>
        <v>634.42520330305615</v>
      </c>
      <c r="I51" s="1494">
        <f t="shared" si="74"/>
        <v>728.11987094627557</v>
      </c>
      <c r="J51" s="1494">
        <f t="shared" si="74"/>
        <v>851.23870114285626</v>
      </c>
      <c r="K51" s="1496">
        <f>(J51/E51)^(1/5)-1</f>
        <v>0.21299228964877237</v>
      </c>
    </row>
    <row r="52" spans="1:11" x14ac:dyDescent="0.3">
      <c r="A52" s="1305" t="s">
        <v>1309</v>
      </c>
      <c r="B52" s="1494">
        <f>B54*0.3</f>
        <v>337.2</v>
      </c>
      <c r="C52" s="1494">
        <f t="shared" ref="C52:E52" si="75">C54*0.3</f>
        <v>384</v>
      </c>
      <c r="D52" s="1494">
        <f t="shared" si="75"/>
        <v>401.17262103920075</v>
      </c>
      <c r="E52" s="1494">
        <f t="shared" si="75"/>
        <v>418.71765286011413</v>
      </c>
      <c r="F52" s="1494">
        <f>E52*(1+$K$52)</f>
        <v>420.81124112441466</v>
      </c>
      <c r="G52" s="1494">
        <f t="shared" ref="G52:J52" si="76">F52*(1+$K$52)</f>
        <v>422.91529733003671</v>
      </c>
      <c r="H52" s="1494">
        <f t="shared" si="76"/>
        <v>425.02987381668686</v>
      </c>
      <c r="I52" s="1494">
        <f t="shared" si="76"/>
        <v>427.15502318577023</v>
      </c>
      <c r="J52" s="1494">
        <f t="shared" si="76"/>
        <v>429.29079830169906</v>
      </c>
      <c r="K52" s="1511">
        <v>5.0000000000000001E-3</v>
      </c>
    </row>
    <row r="53" spans="1:11" x14ac:dyDescent="0.3">
      <c r="A53" s="1305" t="s">
        <v>1310</v>
      </c>
      <c r="B53" s="1314">
        <f>B54-B51-B52</f>
        <v>562</v>
      </c>
      <c r="C53" s="1314">
        <f t="shared" ref="C53:E53" si="77">C54-C51-C52</f>
        <v>654.26158139534891</v>
      </c>
      <c r="D53" s="1314">
        <f t="shared" si="77"/>
        <v>658.68516675495562</v>
      </c>
      <c r="E53" s="1314">
        <f t="shared" si="77"/>
        <v>652.84656148652653</v>
      </c>
      <c r="F53" s="1314">
        <f>E53*(1+$K$53)</f>
        <v>652.84656148652653</v>
      </c>
      <c r="G53" s="1314">
        <f t="shared" ref="G53:J53" si="78">F53*(1+$K$53)</f>
        <v>652.84656148652653</v>
      </c>
      <c r="H53" s="1314">
        <f t="shared" si="78"/>
        <v>652.84656148652653</v>
      </c>
      <c r="I53" s="1314">
        <f t="shared" si="78"/>
        <v>652.84656148652653</v>
      </c>
      <c r="J53" s="1314">
        <f t="shared" si="78"/>
        <v>652.84656148652653</v>
      </c>
      <c r="K53" s="1511">
        <v>0</v>
      </c>
    </row>
    <row r="54" spans="1:11" x14ac:dyDescent="0.3">
      <c r="A54" s="1305" t="s">
        <v>1311</v>
      </c>
      <c r="B54" s="1514">
        <f>Drivers!ES205</f>
        <v>1124</v>
      </c>
      <c r="C54" s="1514">
        <f>Drivers!EX205</f>
        <v>1280</v>
      </c>
      <c r="D54" s="1514">
        <f>Drivers!FC205</f>
        <v>1337.2420701306692</v>
      </c>
      <c r="E54" s="1514">
        <f>Drivers!FD205</f>
        <v>1395.7255095337139</v>
      </c>
      <c r="F54" s="1494">
        <f>SUM(F51:F53)</f>
        <v>1481.387133064477</v>
      </c>
      <c r="G54" s="1494">
        <f t="shared" ref="G54:J54" si="79">SUM(G51:G53)</f>
        <v>1601.5666166107767</v>
      </c>
      <c r="H54" s="1494">
        <f t="shared" si="79"/>
        <v>1712.3016386062695</v>
      </c>
      <c r="I54" s="1494">
        <f t="shared" si="79"/>
        <v>1808.1214556185723</v>
      </c>
      <c r="J54" s="1494">
        <f t="shared" si="79"/>
        <v>1933.3760609310818</v>
      </c>
      <c r="K54" s="1496">
        <f>(J54/E54)^(1/5)-1</f>
        <v>6.7341176339117625E-2</v>
      </c>
    </row>
    <row r="55" spans="1:11" x14ac:dyDescent="0.3">
      <c r="A55" s="1491" t="s">
        <v>1312</v>
      </c>
      <c r="B55" s="1501">
        <f>B51/B8*1000/12</f>
        <v>145.21963824289406</v>
      </c>
      <c r="C55" s="1501">
        <f>B55*(1+C56)</f>
        <v>148.12403100775194</v>
      </c>
      <c r="D55" s="1501">
        <f t="shared" ref="D55:J55" si="80">C55*(1+D56)</f>
        <v>151.08651162790699</v>
      </c>
      <c r="E55" s="1501">
        <f t="shared" si="80"/>
        <v>154.10824186046514</v>
      </c>
      <c r="F55" s="1501">
        <f t="shared" si="80"/>
        <v>157.19040669767446</v>
      </c>
      <c r="G55" s="1501">
        <f t="shared" si="80"/>
        <v>160.33421483162795</v>
      </c>
      <c r="H55" s="1501">
        <f t="shared" si="80"/>
        <v>163.54089912826052</v>
      </c>
      <c r="I55" s="1501">
        <f t="shared" si="80"/>
        <v>166.81171711082573</v>
      </c>
      <c r="J55" s="1501">
        <f t="shared" si="80"/>
        <v>170.14795145304225</v>
      </c>
      <c r="K55" s="1496">
        <f>(J55/E55)^(1/5)-1</f>
        <v>2.0000000000000018E-2</v>
      </c>
    </row>
    <row r="56" spans="1:11" x14ac:dyDescent="0.3">
      <c r="A56" s="1491" t="s">
        <v>2998</v>
      </c>
      <c r="B56" s="1501"/>
      <c r="C56" s="1510">
        <v>0.02</v>
      </c>
      <c r="D56" s="1510">
        <v>0.02</v>
      </c>
      <c r="E56" s="1510">
        <v>0.02</v>
      </c>
      <c r="F56" s="1510">
        <v>0.02</v>
      </c>
      <c r="G56" s="1510">
        <v>0.02</v>
      </c>
      <c r="H56" s="1510">
        <v>0.02</v>
      </c>
      <c r="I56" s="1510">
        <v>0.02</v>
      </c>
      <c r="J56" s="1510">
        <v>0.02</v>
      </c>
      <c r="K56" s="1496"/>
    </row>
    <row r="57" spans="1:11" x14ac:dyDescent="0.3">
      <c r="A57" s="1305"/>
      <c r="K57" s="1496"/>
    </row>
    <row r="58" spans="1:11" x14ac:dyDescent="0.3">
      <c r="A58" s="1305" t="s">
        <v>1313</v>
      </c>
      <c r="B58" s="1494">
        <f>B61*0.2</f>
        <v>291</v>
      </c>
      <c r="C58" s="1494">
        <f>AVERAGE(B16:C16)*C62*12/1000</f>
        <v>257.76473684210526</v>
      </c>
      <c r="D58" s="1494">
        <f t="shared" ref="D58:J58" si="81">AVERAGE(C16:D16)*D62*12/1000</f>
        <v>199.31076737984182</v>
      </c>
      <c r="E58" s="1494">
        <f t="shared" si="81"/>
        <v>150.16927709112022</v>
      </c>
      <c r="F58" s="1494">
        <f t="shared" si="81"/>
        <v>119.12751212541949</v>
      </c>
      <c r="G58" s="1494">
        <f t="shared" si="81"/>
        <v>102.50642377409686</v>
      </c>
      <c r="H58" s="1494">
        <f t="shared" si="81"/>
        <v>87.733395948364929</v>
      </c>
      <c r="I58" s="1494">
        <f t="shared" si="81"/>
        <v>74.606626431981368</v>
      </c>
      <c r="J58" s="1494">
        <f t="shared" si="81"/>
        <v>58.547140646314034</v>
      </c>
      <c r="K58" s="1496">
        <f>(J58/E58)^(1/5)-1</f>
        <v>-0.17170522856157933</v>
      </c>
    </row>
    <row r="59" spans="1:11" x14ac:dyDescent="0.3">
      <c r="A59" s="1305" t="s">
        <v>1314</v>
      </c>
      <c r="B59" s="1494">
        <f>B61*0.3</f>
        <v>436.5</v>
      </c>
      <c r="C59" s="1494">
        <f t="shared" ref="C59:E59" si="82">C61*0.3</f>
        <v>429</v>
      </c>
      <c r="D59" s="1494">
        <f t="shared" si="82"/>
        <v>409.51383896121615</v>
      </c>
      <c r="E59" s="1494">
        <f t="shared" si="82"/>
        <v>390.57291106010643</v>
      </c>
      <c r="F59" s="1494">
        <f>E59*(1+$K$59)</f>
        <v>357.37421361999742</v>
      </c>
      <c r="G59" s="1494">
        <f t="shared" ref="G59:J59" si="83">F59*(1+$K$59)</f>
        <v>326.99740546229765</v>
      </c>
      <c r="H59" s="1494">
        <f t="shared" si="83"/>
        <v>299.20262599800236</v>
      </c>
      <c r="I59" s="1494">
        <f t="shared" si="83"/>
        <v>273.77040278817219</v>
      </c>
      <c r="J59" s="1494">
        <f t="shared" si="83"/>
        <v>250.49991855117756</v>
      </c>
      <c r="K59" s="1511">
        <v>-8.5000000000000006E-2</v>
      </c>
    </row>
    <row r="60" spans="1:11" x14ac:dyDescent="0.3">
      <c r="A60" s="1305" t="s">
        <v>1315</v>
      </c>
      <c r="B60" s="1314">
        <f>B61-B58-B59</f>
        <v>727.5</v>
      </c>
      <c r="C60" s="1314">
        <f t="shared" ref="C60:E60" si="84">C61-C58-C59</f>
        <v>743.23526315789468</v>
      </c>
      <c r="D60" s="1314">
        <f t="shared" si="84"/>
        <v>756.22152352966259</v>
      </c>
      <c r="E60" s="1314">
        <f t="shared" si="84"/>
        <v>761.16751538246149</v>
      </c>
      <c r="F60" s="1314">
        <f>E60*(1+$K$60)</f>
        <v>688.85660142112772</v>
      </c>
      <c r="G60" s="1314">
        <f t="shared" ref="G60:J60" si="85">F60*(1+$K$60)</f>
        <v>623.41522428612063</v>
      </c>
      <c r="H60" s="1314">
        <f t="shared" si="85"/>
        <v>564.1907779789392</v>
      </c>
      <c r="I60" s="1314">
        <f t="shared" si="85"/>
        <v>510.59265407094</v>
      </c>
      <c r="J60" s="1314">
        <f t="shared" si="85"/>
        <v>462.08635193420071</v>
      </c>
      <c r="K60" s="1511">
        <v>-9.5000000000000001E-2</v>
      </c>
    </row>
    <row r="61" spans="1:11" x14ac:dyDescent="0.3">
      <c r="A61" s="1305" t="s">
        <v>1316</v>
      </c>
      <c r="B61" s="1514">
        <f>Drivers!ES343</f>
        <v>1455</v>
      </c>
      <c r="C61" s="1514">
        <f>Drivers!EX343</f>
        <v>1430</v>
      </c>
      <c r="D61" s="1514">
        <f>Drivers!FC343</f>
        <v>1365.0461298707205</v>
      </c>
      <c r="E61" s="1514">
        <f>Drivers!FD343</f>
        <v>1301.9097035336881</v>
      </c>
      <c r="F61" s="1494">
        <f>SUM(F58:F60)</f>
        <v>1165.3583271665448</v>
      </c>
      <c r="G61" s="1494">
        <f t="shared" ref="G61" si="86">SUM(G58:G60)</f>
        <v>1052.9190535225152</v>
      </c>
      <c r="H61" s="1494">
        <f t="shared" ref="H61" si="87">SUM(H58:H60)</f>
        <v>951.1267999253065</v>
      </c>
      <c r="I61" s="1494">
        <f t="shared" ref="I61" si="88">SUM(I58:I60)</f>
        <v>858.96968329109359</v>
      </c>
      <c r="J61" s="1494">
        <f t="shared" ref="J61" si="89">SUM(J58:J60)</f>
        <v>771.13341113169236</v>
      </c>
      <c r="K61" s="1496">
        <f>(J61/E61)^(1/5)-1</f>
        <v>-9.9446058673424154E-2</v>
      </c>
    </row>
    <row r="62" spans="1:11" x14ac:dyDescent="0.3">
      <c r="A62" s="1491" t="s">
        <v>1317</v>
      </c>
      <c r="B62" s="1431">
        <f>B58/B16*1000/12</f>
        <v>212.71929824561406</v>
      </c>
      <c r="C62" s="1501">
        <f>B62*(1+C63)</f>
        <v>210.59210526315792</v>
      </c>
      <c r="D62" s="1501">
        <f t="shared" ref="D62" si="90">C62*(1+D63)</f>
        <v>208.48618421052635</v>
      </c>
      <c r="E62" s="1501">
        <f t="shared" ref="E62" si="91">D62*(1+E63)</f>
        <v>206.40132236842109</v>
      </c>
      <c r="F62" s="1501">
        <f t="shared" ref="F62" si="92">E62*(1+F63)</f>
        <v>204.33730914473688</v>
      </c>
      <c r="G62" s="1501">
        <f t="shared" ref="G62" si="93">F62*(1+G63)</f>
        <v>202.29393605328951</v>
      </c>
      <c r="H62" s="1501">
        <f t="shared" ref="H62" si="94">G62*(1+H63)</f>
        <v>200.27099669275663</v>
      </c>
      <c r="I62" s="1501">
        <f t="shared" ref="I62" si="95">H62*(1+I63)</f>
        <v>198.26828672582906</v>
      </c>
      <c r="J62" s="1501">
        <f t="shared" ref="J62" si="96">I62*(1+J63)</f>
        <v>196.28560385857077</v>
      </c>
      <c r="K62" s="1496">
        <f>(J62/E62)^(1/5)-1</f>
        <v>-1.0000000000000009E-2</v>
      </c>
    </row>
    <row r="63" spans="1:11" x14ac:dyDescent="0.3">
      <c r="A63" s="1491" t="s">
        <v>2999</v>
      </c>
      <c r="B63" s="1501"/>
      <c r="C63" s="1510">
        <v>-0.01</v>
      </c>
      <c r="D63" s="1510">
        <v>-0.01</v>
      </c>
      <c r="E63" s="1510">
        <v>-0.01</v>
      </c>
      <c r="F63" s="1510">
        <v>-0.01</v>
      </c>
      <c r="G63" s="1510">
        <v>-0.01</v>
      </c>
      <c r="H63" s="1510">
        <v>-0.01</v>
      </c>
      <c r="I63" s="1510">
        <v>-0.01</v>
      </c>
      <c r="J63" s="1510">
        <v>-0.01</v>
      </c>
      <c r="K63" s="1496"/>
    </row>
    <row r="64" spans="1:11" x14ac:dyDescent="0.3">
      <c r="A64" s="1305"/>
      <c r="K64" s="1496"/>
    </row>
    <row r="65" spans="1:11" x14ac:dyDescent="0.3">
      <c r="A65" s="1305" t="s">
        <v>1318</v>
      </c>
      <c r="B65" s="1495">
        <f>B51+B58</f>
        <v>515.79999999999995</v>
      </c>
      <c r="C65" s="1495">
        <f t="shared" ref="C65:J65" si="97">C51+C58</f>
        <v>499.50315544675641</v>
      </c>
      <c r="D65" s="1495">
        <f t="shared" si="97"/>
        <v>476.69504971635462</v>
      </c>
      <c r="E65" s="1495">
        <f t="shared" si="97"/>
        <v>474.33057227819336</v>
      </c>
      <c r="F65" s="1495">
        <f t="shared" si="97"/>
        <v>526.85684257895537</v>
      </c>
      <c r="G65" s="1495">
        <f t="shared" si="97"/>
        <v>628.3111815683103</v>
      </c>
      <c r="H65" s="1495">
        <f t="shared" si="97"/>
        <v>722.15859925142104</v>
      </c>
      <c r="I65" s="1495">
        <f t="shared" si="97"/>
        <v>802.72649737825691</v>
      </c>
      <c r="J65" s="1495">
        <f t="shared" si="97"/>
        <v>909.78584178917026</v>
      </c>
      <c r="K65" s="1496">
        <f t="shared" ref="K65:K74" si="98">(J65/E65)^(1/5)-1</f>
        <v>0.13912559814626091</v>
      </c>
    </row>
    <row r="66" spans="1:11" x14ac:dyDescent="0.3">
      <c r="A66" s="1305" t="s">
        <v>1319</v>
      </c>
      <c r="B66" s="1495">
        <f t="shared" ref="B66:J67" si="99">B52+B59</f>
        <v>773.7</v>
      </c>
      <c r="C66" s="1495">
        <f t="shared" si="99"/>
        <v>813</v>
      </c>
      <c r="D66" s="1495">
        <f t="shared" si="99"/>
        <v>810.6864600004169</v>
      </c>
      <c r="E66" s="1495">
        <f t="shared" si="99"/>
        <v>809.29056392022062</v>
      </c>
      <c r="F66" s="1495">
        <f t="shared" si="99"/>
        <v>778.18545474441203</v>
      </c>
      <c r="G66" s="1495">
        <f t="shared" si="99"/>
        <v>749.91270279233436</v>
      </c>
      <c r="H66" s="1495">
        <f t="shared" si="99"/>
        <v>724.23249981468916</v>
      </c>
      <c r="I66" s="1495">
        <f t="shared" si="99"/>
        <v>700.92542597394242</v>
      </c>
      <c r="J66" s="1495">
        <f t="shared" si="99"/>
        <v>679.79071685287659</v>
      </c>
      <c r="K66" s="1496">
        <f t="shared" si="98"/>
        <v>-3.4273496070210241E-2</v>
      </c>
    </row>
    <row r="67" spans="1:11" x14ac:dyDescent="0.3">
      <c r="A67" s="1305" t="s">
        <v>1320</v>
      </c>
      <c r="B67" s="1519">
        <f t="shared" si="99"/>
        <v>1289.5</v>
      </c>
      <c r="C67" s="1519">
        <f t="shared" si="99"/>
        <v>1397.4968445532436</v>
      </c>
      <c r="D67" s="1519">
        <f t="shared" si="99"/>
        <v>1414.9066902846182</v>
      </c>
      <c r="E67" s="1519">
        <f t="shared" si="99"/>
        <v>1414.014076868988</v>
      </c>
      <c r="F67" s="1519">
        <f t="shared" si="99"/>
        <v>1341.7031629076541</v>
      </c>
      <c r="G67" s="1519">
        <f t="shared" si="99"/>
        <v>1276.2617857726473</v>
      </c>
      <c r="H67" s="1519">
        <f t="shared" si="99"/>
        <v>1217.0373394654657</v>
      </c>
      <c r="I67" s="1519">
        <f t="shared" si="99"/>
        <v>1163.4392155574665</v>
      </c>
      <c r="J67" s="1519">
        <f t="shared" si="99"/>
        <v>1114.9329134207273</v>
      </c>
      <c r="K67" s="1496">
        <f t="shared" si="98"/>
        <v>-4.6415900891133677E-2</v>
      </c>
    </row>
    <row r="68" spans="1:11" x14ac:dyDescent="0.3">
      <c r="A68" s="1313" t="s">
        <v>1321</v>
      </c>
      <c r="B68" s="1509">
        <f t="shared" ref="B68:J68" si="100">SUM(B65:B67)</f>
        <v>2579</v>
      </c>
      <c r="C68" s="1509">
        <f t="shared" si="100"/>
        <v>2710</v>
      </c>
      <c r="D68" s="1509">
        <f t="shared" si="100"/>
        <v>2702.2882000013897</v>
      </c>
      <c r="E68" s="1509">
        <f t="shared" si="100"/>
        <v>2697.6352130674022</v>
      </c>
      <c r="F68" s="1509">
        <f t="shared" si="100"/>
        <v>2646.7454602310218</v>
      </c>
      <c r="G68" s="1509">
        <f t="shared" si="100"/>
        <v>2654.4856701332919</v>
      </c>
      <c r="H68" s="1509">
        <f t="shared" si="100"/>
        <v>2663.4284385315759</v>
      </c>
      <c r="I68" s="1509">
        <f t="shared" si="100"/>
        <v>2667.0911389096659</v>
      </c>
      <c r="J68" s="1509">
        <f t="shared" si="100"/>
        <v>2704.509472062774</v>
      </c>
      <c r="K68" s="1496">
        <f t="shared" si="98"/>
        <v>5.0913205120273197E-4</v>
      </c>
    </row>
    <row r="69" spans="1:11" x14ac:dyDescent="0.3">
      <c r="K69" s="1496"/>
    </row>
    <row r="70" spans="1:11" x14ac:dyDescent="0.3">
      <c r="A70" s="1306" t="s">
        <v>465</v>
      </c>
      <c r="B70" s="1306">
        <f>Drivers!ES11</f>
        <v>75</v>
      </c>
      <c r="C70" s="1306">
        <f>Drivers!EX11</f>
        <v>64</v>
      </c>
      <c r="D70" s="1306">
        <f>Drivers!FC11</f>
        <v>64</v>
      </c>
      <c r="E70" s="1306">
        <f>Drivers!FD11</f>
        <v>64</v>
      </c>
      <c r="F70" s="1306">
        <f>E70</f>
        <v>64</v>
      </c>
      <c r="G70" s="1306">
        <f t="shared" ref="G70:J70" si="101">F70</f>
        <v>64</v>
      </c>
      <c r="H70" s="1306">
        <f t="shared" si="101"/>
        <v>64</v>
      </c>
      <c r="I70" s="1306">
        <f t="shared" si="101"/>
        <v>64</v>
      </c>
      <c r="J70" s="1306">
        <f t="shared" si="101"/>
        <v>64</v>
      </c>
      <c r="K70" s="1496">
        <f t="shared" si="98"/>
        <v>0</v>
      </c>
    </row>
    <row r="71" spans="1:11" x14ac:dyDescent="0.3">
      <c r="K71" s="1496"/>
    </row>
    <row r="72" spans="1:11" x14ac:dyDescent="0.3">
      <c r="A72" s="1315" t="s">
        <v>651</v>
      </c>
      <c r="B72" s="1509">
        <f>B49+B68+B70</f>
        <v>5751</v>
      </c>
      <c r="C72" s="1509">
        <f t="shared" ref="C72:J72" si="102">C49+C68+C70</f>
        <v>5937</v>
      </c>
      <c r="D72" s="1509">
        <f t="shared" si="102"/>
        <v>6020.8233791249313</v>
      </c>
      <c r="E72" s="1509">
        <f t="shared" si="102"/>
        <v>6226.1974527353104</v>
      </c>
      <c r="F72" s="1509">
        <f t="shared" si="102"/>
        <v>6403.335380091823</v>
      </c>
      <c r="G72" s="1509">
        <f t="shared" si="102"/>
        <v>6629.8935566317796</v>
      </c>
      <c r="H72" s="1509">
        <f t="shared" si="102"/>
        <v>6864.4751751830263</v>
      </c>
      <c r="I72" s="1509">
        <f t="shared" si="102"/>
        <v>7085.4868096304726</v>
      </c>
      <c r="J72" s="1509">
        <f t="shared" si="102"/>
        <v>7298.91015716533</v>
      </c>
      <c r="K72" s="1496">
        <f t="shared" si="98"/>
        <v>3.2302610749077143E-2</v>
      </c>
    </row>
    <row r="73" spans="1:11" x14ac:dyDescent="0.3">
      <c r="K73" s="1496"/>
    </row>
    <row r="74" spans="1:11" x14ac:dyDescent="0.3">
      <c r="A74" s="1306" t="s">
        <v>1322</v>
      </c>
      <c r="B74" s="1493">
        <f>Drivers!ES485</f>
        <v>88.780487804878064</v>
      </c>
      <c r="C74" s="1493">
        <f>Drivers!EX485</f>
        <v>93.945270415858658</v>
      </c>
      <c r="D74" s="1493">
        <f>Drivers!FC485</f>
        <v>101.2405832117128</v>
      </c>
      <c r="E74" s="1493">
        <f>Drivers!FD485</f>
        <v>108.91965671173425</v>
      </c>
      <c r="F74" s="1493">
        <f>E74+(F40-E40)</f>
        <v>117.18644928658391</v>
      </c>
      <c r="G74" s="1493">
        <f t="shared" ref="G74:J74" si="103">F74+(G40-F40)</f>
        <v>125.90554066559044</v>
      </c>
      <c r="H74" s="1493">
        <f t="shared" si="103"/>
        <v>135.10167735187332</v>
      </c>
      <c r="I74" s="1493">
        <f t="shared" si="103"/>
        <v>144.80095979733775</v>
      </c>
      <c r="J74" s="1493">
        <f t="shared" si="103"/>
        <v>155.03091648091115</v>
      </c>
      <c r="K74" s="1496">
        <f t="shared" si="98"/>
        <v>7.3154893127704401E-2</v>
      </c>
    </row>
    <row r="75" spans="1:11" x14ac:dyDescent="0.3">
      <c r="A75" s="1306" t="s">
        <v>2997</v>
      </c>
      <c r="C75" s="1496">
        <f>C74/B74-1</f>
        <v>5.8174749189616515E-2</v>
      </c>
      <c r="D75" s="1496">
        <f t="shared" ref="D75:F75" si="104">D74/C74-1</f>
        <v>7.7654923590731784E-2</v>
      </c>
      <c r="E75" s="1496">
        <f t="shared" si="104"/>
        <v>7.5849755665305496E-2</v>
      </c>
      <c r="F75" s="1496">
        <f t="shared" si="104"/>
        <v>7.5898077761376692E-2</v>
      </c>
      <c r="G75" s="1496">
        <f t="shared" ref="G75" si="105">G74/F74-1</f>
        <v>7.4403580209889686E-2</v>
      </c>
      <c r="H75" s="1496">
        <f t="shared" ref="H75" si="106">H74/G74-1</f>
        <v>7.3039968198922667E-2</v>
      </c>
      <c r="I75" s="1496">
        <f t="shared" ref="I75" si="107">I74/H74-1</f>
        <v>7.1792465020271923E-2</v>
      </c>
      <c r="J75" s="1496">
        <f t="shared" ref="J75" si="108">J74/I74-1</f>
        <v>7.0648403835797513E-2</v>
      </c>
      <c r="K75" s="1496"/>
    </row>
    <row r="76" spans="1:11" x14ac:dyDescent="0.3">
      <c r="K76" s="1496"/>
    </row>
    <row r="77" spans="1:11" x14ac:dyDescent="0.3">
      <c r="A77" s="1305" t="s">
        <v>1323</v>
      </c>
      <c r="B77" s="1464">
        <f>Drivers!ES57</f>
        <v>273</v>
      </c>
      <c r="C77" s="1464">
        <f>Drivers!EX57</f>
        <v>218</v>
      </c>
      <c r="D77" s="1464">
        <f>Drivers!FC57</f>
        <v>178.02912835452085</v>
      </c>
      <c r="E77" s="1464">
        <f>Drivers!FD57</f>
        <v>142.61633023532823</v>
      </c>
      <c r="F77" s="1494">
        <f>AVERAGE(E37:F37)*F74*12/1000</f>
        <v>116.78027623978267</v>
      </c>
      <c r="G77" s="1494">
        <f t="shared" ref="G77:J77" si="109">AVERAGE(F37:G37)*G74*12/1000</f>
        <v>100.37531751193792</v>
      </c>
      <c r="H77" s="1494">
        <f t="shared" si="109"/>
        <v>86.165382008773307</v>
      </c>
      <c r="I77" s="1494">
        <f t="shared" si="109"/>
        <v>73.881125746077245</v>
      </c>
      <c r="J77" s="1494">
        <f t="shared" si="109"/>
        <v>63.280567482903542</v>
      </c>
      <c r="K77" s="1496">
        <f t="shared" ref="K77:K79" si="110">(J77/E77)^(1/5)-1</f>
        <v>-0.14999746367893163</v>
      </c>
    </row>
    <row r="78" spans="1:11" x14ac:dyDescent="0.3">
      <c r="A78" s="1305" t="s">
        <v>1324</v>
      </c>
      <c r="B78" s="1519">
        <f>B79-B77</f>
        <v>3351</v>
      </c>
      <c r="C78" s="1519">
        <f t="shared" ref="C78:E78" si="111">C79-C77</f>
        <v>3468</v>
      </c>
      <c r="D78" s="1519">
        <f t="shared" si="111"/>
        <v>3426.3396538587172</v>
      </c>
      <c r="E78" s="1519">
        <f t="shared" si="111"/>
        <v>3406.568083523724</v>
      </c>
      <c r="F78" s="1519">
        <f>E78+((F72-F70-F43)-(E72-E70-E43))*(1-F84)</f>
        <v>3460.6100505303884</v>
      </c>
      <c r="G78" s="1519">
        <f t="shared" ref="G78:J78" si="112">F78+((G72-G70-G43)-(F72-F70-F43))*(1-G84)</f>
        <v>3523.4522672836338</v>
      </c>
      <c r="H78" s="1519">
        <f t="shared" si="112"/>
        <v>3587.3313021462727</v>
      </c>
      <c r="I78" s="1519">
        <f t="shared" si="112"/>
        <v>3647.0001919030369</v>
      </c>
      <c r="J78" s="1519">
        <f t="shared" si="112"/>
        <v>3704.0821020159278</v>
      </c>
      <c r="K78" s="1496">
        <f t="shared" si="110"/>
        <v>1.688702562774691E-2</v>
      </c>
    </row>
    <row r="79" spans="1:11" x14ac:dyDescent="0.3">
      <c r="A79" s="1313" t="s">
        <v>1325</v>
      </c>
      <c r="B79" s="1509">
        <f>B72-B82</f>
        <v>3624</v>
      </c>
      <c r="C79" s="1509">
        <f t="shared" ref="C79:E79" si="113">C72-C82</f>
        <v>3686</v>
      </c>
      <c r="D79" s="1509">
        <f t="shared" si="113"/>
        <v>3604.3687822132379</v>
      </c>
      <c r="E79" s="1509">
        <f t="shared" si="113"/>
        <v>3549.1844137590524</v>
      </c>
      <c r="F79" s="1495">
        <f>SUM(F77:F78)</f>
        <v>3577.3903267701712</v>
      </c>
      <c r="G79" s="1495">
        <f t="shared" ref="G79:J79" si="114">SUM(G77:G78)</f>
        <v>3623.8275847955715</v>
      </c>
      <c r="H79" s="1495">
        <f t="shared" si="114"/>
        <v>3673.4966841550458</v>
      </c>
      <c r="I79" s="1495">
        <f t="shared" si="114"/>
        <v>3720.881317649114</v>
      </c>
      <c r="J79" s="1495">
        <f t="shared" si="114"/>
        <v>3767.3626694988316</v>
      </c>
      <c r="K79" s="1496">
        <f t="shared" si="110"/>
        <v>1.2002936965445077E-2</v>
      </c>
    </row>
    <row r="80" spans="1:11" x14ac:dyDescent="0.3">
      <c r="A80" s="1306" t="s">
        <v>2997</v>
      </c>
      <c r="C80" s="1496">
        <f>C79/B79-1</f>
        <v>1.7108167770419458E-2</v>
      </c>
      <c r="D80" s="1496">
        <f t="shared" ref="D80" si="115">D79/C79-1</f>
        <v>-2.2146288059349484E-2</v>
      </c>
      <c r="E80" s="1496">
        <f t="shared" ref="E80" si="116">E79/D79-1</f>
        <v>-1.5310411278254388E-2</v>
      </c>
      <c r="F80" s="1496">
        <f t="shared" ref="F80" si="117">F79/E79-1</f>
        <v>7.9471534084769591E-3</v>
      </c>
      <c r="G80" s="1496">
        <f t="shared" ref="G80" si="118">G79/F79-1</f>
        <v>1.298076356887945E-2</v>
      </c>
      <c r="H80" s="1496">
        <f t="shared" ref="H80" si="119">H79/G79-1</f>
        <v>1.3706253456392314E-2</v>
      </c>
      <c r="I80" s="1496">
        <f t="shared" ref="I80" si="120">I79/H79-1</f>
        <v>1.289905438010952E-2</v>
      </c>
      <c r="J80" s="1496">
        <f t="shared" ref="J80" si="121">J79/I79-1</f>
        <v>1.2492027528328897E-2</v>
      </c>
      <c r="K80" s="1496"/>
    </row>
    <row r="81" spans="1:11" x14ac:dyDescent="0.3">
      <c r="K81" s="1496"/>
    </row>
    <row r="82" spans="1:11" x14ac:dyDescent="0.3">
      <c r="A82" s="1315" t="s">
        <v>44</v>
      </c>
      <c r="B82" s="1505">
        <f>Drivers!ES30</f>
        <v>2127</v>
      </c>
      <c r="C82" s="1505">
        <f>Drivers!EX30</f>
        <v>2251</v>
      </c>
      <c r="D82" s="1505">
        <f>Drivers!FC30</f>
        <v>2416.4545969116934</v>
      </c>
      <c r="E82" s="1505">
        <f>Drivers!FD30</f>
        <v>2677.013038976258</v>
      </c>
      <c r="F82" s="1509">
        <f>F72-F79</f>
        <v>2825.9450533216518</v>
      </c>
      <c r="G82" s="1509">
        <f t="shared" ref="G82:J82" si="122">G72-G79</f>
        <v>3006.0659718362081</v>
      </c>
      <c r="H82" s="1509">
        <f t="shared" si="122"/>
        <v>3190.9784910279805</v>
      </c>
      <c r="I82" s="1509">
        <f t="shared" si="122"/>
        <v>3364.6054919813587</v>
      </c>
      <c r="J82" s="1509">
        <f t="shared" si="122"/>
        <v>3531.5474876664985</v>
      </c>
      <c r="K82" s="1496">
        <f t="shared" ref="K82" si="123">(J82/E82)^(1/5)-1</f>
        <v>5.6970613049827534E-2</v>
      </c>
    </row>
    <row r="83" spans="1:11" x14ac:dyDescent="0.3">
      <c r="A83" s="1320" t="s">
        <v>1326</v>
      </c>
      <c r="B83" s="1498">
        <f>B82/B72</f>
        <v>0.36984872196139801</v>
      </c>
      <c r="C83" s="1498">
        <f t="shared" ref="C83:E83" si="124">C82/C72</f>
        <v>0.37914771770254335</v>
      </c>
      <c r="D83" s="1498">
        <f t="shared" si="124"/>
        <v>0.40134952393552886</v>
      </c>
      <c r="E83" s="1498">
        <f t="shared" si="124"/>
        <v>0.42995954742813131</v>
      </c>
      <c r="F83" s="1498">
        <f t="shared" ref="F83" si="125">F82/F72</f>
        <v>0.44132391723657116</v>
      </c>
      <c r="G83" s="1498">
        <f t="shared" ref="G83" si="126">G82/G72</f>
        <v>0.45341089508583238</v>
      </c>
      <c r="H83" s="1498">
        <f t="shared" ref="H83" si="127">H82/H72</f>
        <v>0.46485396328101658</v>
      </c>
      <c r="I83" s="1498">
        <f t="shared" ref="I83" si="128">I82/I72</f>
        <v>0.4748587616320511</v>
      </c>
      <c r="J83" s="1498">
        <f t="shared" ref="J83" si="129">J82/J72</f>
        <v>0.4838458635087573</v>
      </c>
      <c r="K83" s="1496"/>
    </row>
    <row r="84" spans="1:11" x14ac:dyDescent="0.3">
      <c r="A84" s="1320" t="s">
        <v>1095</v>
      </c>
      <c r="B84" s="1320"/>
      <c r="C84" s="1520">
        <f>IF(OR((C82-B82)/(C72-B72)&gt;1,(C82-B82)/(C72-B72)&lt;0),"NM",(C82-B82)/(C72-B72))</f>
        <v>0.66666666666666663</v>
      </c>
      <c r="D84" s="1520" t="str">
        <f t="shared" ref="D84:E84" si="130">IF(OR((D82-C82)/(D72-C72)&gt;1,(D82-C82)/(D72-C72)&lt;0),"NM",(D82-C82)/(D72-C72))</f>
        <v>NM</v>
      </c>
      <c r="E84" s="1520" t="str">
        <f t="shared" si="130"/>
        <v>NM</v>
      </c>
      <c r="F84" s="1521">
        <v>0.75</v>
      </c>
      <c r="G84" s="1521">
        <v>0.75</v>
      </c>
      <c r="H84" s="1521">
        <v>0.75</v>
      </c>
      <c r="I84" s="1521">
        <v>0.75</v>
      </c>
      <c r="J84" s="1521">
        <v>0.75</v>
      </c>
      <c r="K84" s="1496"/>
    </row>
    <row r="85" spans="1:11" x14ac:dyDescent="0.3">
      <c r="A85" s="1320" t="s">
        <v>1327</v>
      </c>
      <c r="B85" s="1502">
        <f>B82/B20*1000</f>
        <v>138.11688311688312</v>
      </c>
      <c r="C85" s="1502">
        <f t="shared" ref="C85:J85" si="131">C82/C20*1000</f>
        <v>146.16883116883116</v>
      </c>
      <c r="D85" s="1502">
        <f t="shared" si="131"/>
        <v>156.91263616309698</v>
      </c>
      <c r="E85" s="1502">
        <f t="shared" si="131"/>
        <v>173.83201551793883</v>
      </c>
      <c r="F85" s="1502">
        <f t="shared" si="131"/>
        <v>183.50292554036702</v>
      </c>
      <c r="G85" s="1502">
        <f t="shared" si="131"/>
        <v>195.19908908027324</v>
      </c>
      <c r="H85" s="1502">
        <f t="shared" si="131"/>
        <v>207.20639552129742</v>
      </c>
      <c r="I85" s="1502">
        <f t="shared" si="131"/>
        <v>218.48087610268564</v>
      </c>
      <c r="J85" s="1502">
        <f t="shared" si="131"/>
        <v>229.3212654328895</v>
      </c>
      <c r="K85" s="1496">
        <f t="shared" ref="K85:K87" si="132">(J85/E85)^(1/5)-1</f>
        <v>5.6970613049827534E-2</v>
      </c>
    </row>
    <row r="86" spans="1:11" x14ac:dyDescent="0.3">
      <c r="K86" s="1496"/>
    </row>
    <row r="87" spans="1:11" x14ac:dyDescent="0.3">
      <c r="A87" s="1315" t="s">
        <v>198</v>
      </c>
      <c r="B87" s="1505">
        <f>Drivers!ES572</f>
        <v>3211</v>
      </c>
      <c r="C87" s="1505">
        <f>Drivers!EX572</f>
        <v>2783</v>
      </c>
      <c r="D87" s="1505">
        <f>Drivers!FC572</f>
        <v>3194.4479521510066</v>
      </c>
      <c r="E87" s="1505">
        <f>Drivers!FD572</f>
        <v>2782.4684202674325</v>
      </c>
      <c r="F87" s="1505">
        <f>Drivers!FE572</f>
        <v>1926.0215850968652</v>
      </c>
      <c r="G87" s="1505">
        <f>F87*0.9</f>
        <v>1733.4194265871788</v>
      </c>
      <c r="H87" s="1505">
        <f t="shared" ref="H87:I87" si="133">G87*0.9</f>
        <v>1560.0774839284609</v>
      </c>
      <c r="I87" s="1505">
        <f t="shared" si="133"/>
        <v>1404.0697355356149</v>
      </c>
      <c r="J87" s="1505">
        <v>1000</v>
      </c>
      <c r="K87" s="1496">
        <f t="shared" si="132"/>
        <v>-0.18508192391811251</v>
      </c>
    </row>
    <row r="88" spans="1:11" x14ac:dyDescent="0.3">
      <c r="A88" s="1320" t="s">
        <v>1328</v>
      </c>
      <c r="B88" s="1496">
        <f>B87/B72</f>
        <v>0.55833768040340814</v>
      </c>
      <c r="C88" s="1496">
        <f t="shared" ref="C88:E88" si="134">C87/C72</f>
        <v>0.46875526360114533</v>
      </c>
      <c r="D88" s="1496">
        <f t="shared" si="134"/>
        <v>0.53056662702091895</v>
      </c>
      <c r="E88" s="1496">
        <f t="shared" si="134"/>
        <v>0.44689691282518362</v>
      </c>
      <c r="F88" s="1496">
        <f t="shared" ref="F88" si="135">F87/F72</f>
        <v>0.30078411808397992</v>
      </c>
      <c r="G88" s="1496">
        <f t="shared" ref="G88" si="136">G87/G72</f>
        <v>0.26145509151549895</v>
      </c>
      <c r="H88" s="1496">
        <f t="shared" ref="H88" si="137">H87/H72</f>
        <v>0.22726828258751258</v>
      </c>
      <c r="I88" s="1496">
        <f t="shared" ref="I88" si="138">I87/I72</f>
        <v>0.19816136466830017</v>
      </c>
      <c r="J88" s="1496">
        <f t="shared" ref="J88" si="139">J87/J72</f>
        <v>0.13700675559327188</v>
      </c>
      <c r="K88" s="1496"/>
    </row>
    <row r="89" spans="1:11" x14ac:dyDescent="0.3">
      <c r="A89" s="1320" t="s">
        <v>1329</v>
      </c>
      <c r="K89" s="1496"/>
    </row>
    <row r="90" spans="1:11" x14ac:dyDescent="0.3">
      <c r="K90" s="1496"/>
    </row>
    <row r="91" spans="1:11" x14ac:dyDescent="0.3">
      <c r="A91" s="1315" t="s">
        <v>642</v>
      </c>
      <c r="B91" s="1505">
        <f>B82-B87</f>
        <v>-1084</v>
      </c>
      <c r="C91" s="1505">
        <f t="shared" ref="C91:E91" si="140">C82-C87</f>
        <v>-532</v>
      </c>
      <c r="D91" s="1505">
        <f t="shared" si="140"/>
        <v>-777.99335523931313</v>
      </c>
      <c r="E91" s="1505">
        <f t="shared" si="140"/>
        <v>-105.45538129117449</v>
      </c>
      <c r="F91" s="1505">
        <f t="shared" ref="F91:J91" si="141">F82-F87</f>
        <v>899.92346822478657</v>
      </c>
      <c r="G91" s="1505">
        <f t="shared" si="141"/>
        <v>1272.6465452490293</v>
      </c>
      <c r="H91" s="1505">
        <f t="shared" si="141"/>
        <v>1630.9010070995196</v>
      </c>
      <c r="I91" s="1505">
        <f t="shared" si="141"/>
        <v>1960.5357564457438</v>
      </c>
      <c r="J91" s="1505">
        <f t="shared" si="141"/>
        <v>2531.5474876664985</v>
      </c>
      <c r="K91" s="1522" t="s">
        <v>1330</v>
      </c>
    </row>
    <row r="92" spans="1:11" x14ac:dyDescent="0.3">
      <c r="A92" s="1320" t="s">
        <v>1331</v>
      </c>
      <c r="B92" s="1496">
        <f>B91/B72</f>
        <v>-0.18848895844201008</v>
      </c>
      <c r="C92" s="1496">
        <f t="shared" ref="C92:E92" si="142">C91/C72</f>
        <v>-8.9607545898601981E-2</v>
      </c>
      <c r="D92" s="1496">
        <f t="shared" si="142"/>
        <v>-0.12921710308539011</v>
      </c>
      <c r="E92" s="1496">
        <f t="shared" si="142"/>
        <v>-1.6937365397052342E-2</v>
      </c>
      <c r="F92" s="1496">
        <f t="shared" ref="F92" si="143">F91/F72</f>
        <v>0.14053979915259129</v>
      </c>
      <c r="G92" s="1496">
        <f t="shared" ref="G92" si="144">G91/G72</f>
        <v>0.19195580357033346</v>
      </c>
      <c r="H92" s="1496">
        <f t="shared" ref="H92" si="145">H91/H72</f>
        <v>0.23758568069350403</v>
      </c>
      <c r="I92" s="1496">
        <f t="shared" ref="I92" si="146">I91/I72</f>
        <v>0.2766973969637509</v>
      </c>
      <c r="J92" s="1496">
        <f t="shared" ref="J92" si="147">J91/J72</f>
        <v>0.34683910791548539</v>
      </c>
      <c r="K92" s="1496"/>
    </row>
    <row r="95" spans="1:11" x14ac:dyDescent="0.3">
      <c r="A95" s="1305" t="s">
        <v>238</v>
      </c>
      <c r="B95" s="1464">
        <f>B82</f>
        <v>2127</v>
      </c>
      <c r="C95" s="1464">
        <f t="shared" ref="C95:D95" si="148">C82</f>
        <v>2251</v>
      </c>
      <c r="D95" s="1464">
        <f t="shared" si="148"/>
        <v>2416.4545969116934</v>
      </c>
      <c r="E95" s="1464">
        <f t="shared" ref="E95:J95" si="149">E82</f>
        <v>2677.013038976258</v>
      </c>
      <c r="F95" s="1494">
        <f t="shared" si="149"/>
        <v>2825.9450533216518</v>
      </c>
      <c r="G95" s="1494">
        <f t="shared" si="149"/>
        <v>3006.0659718362081</v>
      </c>
      <c r="H95" s="1494">
        <f t="shared" si="149"/>
        <v>3190.9784910279805</v>
      </c>
      <c r="I95" s="1494">
        <f t="shared" si="149"/>
        <v>3364.6054919813587</v>
      </c>
      <c r="J95" s="1494">
        <f t="shared" si="149"/>
        <v>3531.5474876664985</v>
      </c>
    </row>
    <row r="96" spans="1:11" x14ac:dyDescent="0.3">
      <c r="A96" s="1305" t="s">
        <v>101</v>
      </c>
      <c r="B96" s="1464">
        <f>B87</f>
        <v>3211</v>
      </c>
      <c r="C96" s="1464">
        <f t="shared" ref="C96:D96" si="150">C87</f>
        <v>2783</v>
      </c>
      <c r="D96" s="1464">
        <f t="shared" si="150"/>
        <v>3194.4479521510066</v>
      </c>
      <c r="E96" s="1464">
        <f t="shared" ref="E96:J96" si="151">E87</f>
        <v>2782.4684202674325</v>
      </c>
      <c r="F96" s="1494">
        <f t="shared" si="151"/>
        <v>1926.0215850968652</v>
      </c>
      <c r="G96" s="1494">
        <f t="shared" si="151"/>
        <v>1733.4194265871788</v>
      </c>
      <c r="H96" s="1494">
        <f t="shared" si="151"/>
        <v>1560.0774839284609</v>
      </c>
      <c r="I96" s="1494">
        <f t="shared" si="151"/>
        <v>1404.0697355356149</v>
      </c>
      <c r="J96" s="1494">
        <f t="shared" si="151"/>
        <v>1000</v>
      </c>
    </row>
    <row r="97" spans="1:10" x14ac:dyDescent="0.3">
      <c r="A97" s="1305" t="s">
        <v>1246</v>
      </c>
      <c r="B97" s="1464">
        <f>'Model Main'!ES213</f>
        <v>711</v>
      </c>
      <c r="C97" s="1464">
        <f>'Model Main'!EX213</f>
        <v>835</v>
      </c>
      <c r="D97" s="1464">
        <f>'Model Main'!FC213</f>
        <v>903.71337880249621</v>
      </c>
      <c r="E97" s="1464">
        <f>'Model Main'!FD213</f>
        <v>1001.5431338161031</v>
      </c>
      <c r="F97" s="1494">
        <f>E97+(F109*F112+F110*F113)/2</f>
        <v>1011.5999365607578</v>
      </c>
      <c r="G97" s="1494">
        <f>F97+(G109*G112+G110*G113)/2</f>
        <v>1023.8299365607578</v>
      </c>
      <c r="H97" s="1494">
        <f>G97+(H109*H112+H110*H113)/2</f>
        <v>1019.0736865607578</v>
      </c>
      <c r="I97" s="1494">
        <f>H97+(I109*I112+I110*I113)/2</f>
        <v>978.67068656075776</v>
      </c>
      <c r="J97" s="1494">
        <f>I97+(J109*J112+J110*J113)/2</f>
        <v>944.32943656075781</v>
      </c>
    </row>
    <row r="98" spans="1:10" x14ac:dyDescent="0.3">
      <c r="A98" s="1305" t="s">
        <v>2186</v>
      </c>
      <c r="B98" s="1464">
        <f>'Model Main'!ES166</f>
        <v>0</v>
      </c>
      <c r="C98" s="1464">
        <f>'Model Main'!EX166</f>
        <v>16</v>
      </c>
      <c r="D98" s="1464">
        <f>'Model Main'!FC166</f>
        <v>20</v>
      </c>
      <c r="E98" s="1464">
        <f>'Model Main'!FD166</f>
        <v>20</v>
      </c>
      <c r="F98" s="1494">
        <f>E98</f>
        <v>20</v>
      </c>
      <c r="G98" s="1494">
        <f t="shared" ref="G98:J98" si="152">F98</f>
        <v>20</v>
      </c>
      <c r="H98" s="1494">
        <f t="shared" si="152"/>
        <v>20</v>
      </c>
      <c r="I98" s="1494">
        <f t="shared" si="152"/>
        <v>20</v>
      </c>
      <c r="J98" s="1494">
        <f t="shared" si="152"/>
        <v>20</v>
      </c>
    </row>
    <row r="99" spans="1:10" x14ac:dyDescent="0.3">
      <c r="A99" s="1316" t="s">
        <v>1247</v>
      </c>
      <c r="B99" s="1524">
        <f>41+116</f>
        <v>157</v>
      </c>
      <c r="C99" s="1464">
        <f>'Model Main'!EX67+125</f>
        <v>165</v>
      </c>
      <c r="D99" s="1464">
        <f>'Model Main'!FC67+125</f>
        <v>165</v>
      </c>
      <c r="E99" s="1464">
        <f>'Model Main'!FD67+125</f>
        <v>165</v>
      </c>
      <c r="F99" s="1494">
        <f>E99</f>
        <v>165</v>
      </c>
      <c r="G99" s="1494">
        <f t="shared" ref="G99:J99" si="153">F99</f>
        <v>165</v>
      </c>
      <c r="H99" s="1494">
        <f t="shared" si="153"/>
        <v>165</v>
      </c>
      <c r="I99" s="1494">
        <f t="shared" si="153"/>
        <v>165</v>
      </c>
      <c r="J99" s="1494">
        <f t="shared" si="153"/>
        <v>165</v>
      </c>
    </row>
    <row r="100" spans="1:10" x14ac:dyDescent="0.3">
      <c r="A100" s="1316" t="s">
        <v>1249</v>
      </c>
      <c r="B100" s="1525">
        <f>B101-B95+SUM(B96:B99)</f>
        <v>85</v>
      </c>
      <c r="C100" s="1525">
        <f>C101-C95+SUM(C96:C99)</f>
        <v>-103</v>
      </c>
      <c r="D100" s="1525">
        <f>D101-D95+SUM(D96:D99)</f>
        <v>28.500000000000909</v>
      </c>
      <c r="E100" s="1525">
        <f>E101-E95+SUM(E96:E99)</f>
        <v>-287.74999999999818</v>
      </c>
      <c r="F100" s="1314">
        <v>0</v>
      </c>
      <c r="G100" s="1314">
        <v>0</v>
      </c>
      <c r="H100" s="1314">
        <v>0</v>
      </c>
      <c r="I100" s="1314">
        <v>0</v>
      </c>
      <c r="J100" s="1314">
        <v>0</v>
      </c>
    </row>
    <row r="101" spans="1:10" x14ac:dyDescent="0.3">
      <c r="A101" s="1317" t="s">
        <v>248</v>
      </c>
      <c r="B101" s="1505">
        <f>'Model Main'!ES132</f>
        <v>-1867</v>
      </c>
      <c r="C101" s="1505">
        <f>'Model Main'!EX132</f>
        <v>-1651</v>
      </c>
      <c r="D101" s="1505">
        <f>'Model Main'!FC132</f>
        <v>-1838.2067340418082</v>
      </c>
      <c r="E101" s="1505">
        <f>'Model Main'!FD132</f>
        <v>-1579.7485151072758</v>
      </c>
      <c r="F101" s="1507">
        <f>F95-F96-F97-F98-F99+F100</f>
        <v>-296.67646833597121</v>
      </c>
      <c r="G101" s="1507">
        <f t="shared" ref="G101:J101" si="154">G95-G96-G97-G98-G99+G100</f>
        <v>63.816608688271458</v>
      </c>
      <c r="H101" s="1507">
        <f t="shared" si="154"/>
        <v>426.8273205387618</v>
      </c>
      <c r="I101" s="1507">
        <f t="shared" si="154"/>
        <v>796.86506988498604</v>
      </c>
      <c r="J101" s="1507">
        <f t="shared" si="154"/>
        <v>1402.2180511057406</v>
      </c>
    </row>
    <row r="102" spans="1:10" x14ac:dyDescent="0.3">
      <c r="A102" s="1316"/>
    </row>
    <row r="103" spans="1:10" x14ac:dyDescent="0.3">
      <c r="A103" s="1316" t="s">
        <v>149</v>
      </c>
      <c r="B103" s="1464">
        <f>'Model Main'!ES196</f>
        <v>11261</v>
      </c>
      <c r="C103" s="1464">
        <f>'Model Main'!EX196</f>
        <v>11561</v>
      </c>
      <c r="D103" s="1464">
        <f>'Model Main'!FC196</f>
        <v>12761</v>
      </c>
      <c r="E103" s="1464">
        <f>'Model Main'!FD196</f>
        <v>14261</v>
      </c>
      <c r="F103" s="1464">
        <f>E103+F109+F110</f>
        <v>14229.9</v>
      </c>
      <c r="G103" s="1464">
        <f t="shared" ref="G103:J103" si="155">F103+G109+G110</f>
        <v>13779.9</v>
      </c>
      <c r="H103" s="1464">
        <f t="shared" si="155"/>
        <v>13229.9</v>
      </c>
      <c r="I103" s="1464">
        <f t="shared" si="155"/>
        <v>12016.9</v>
      </c>
      <c r="J103" s="1464">
        <f t="shared" si="155"/>
        <v>11219.9</v>
      </c>
    </row>
    <row r="104" spans="1:10" x14ac:dyDescent="0.3">
      <c r="A104" s="1316" t="s">
        <v>2151</v>
      </c>
      <c r="B104" s="1526">
        <f>'Model Main'!ES197</f>
        <v>2200</v>
      </c>
      <c r="C104" s="1526">
        <f>'Model Main'!EX197</f>
        <v>750</v>
      </c>
      <c r="D104" s="1526">
        <f>'Model Main'!FC197</f>
        <v>82.793265958191853</v>
      </c>
      <c r="E104" s="1526">
        <f>'Model Main'!FD197</f>
        <v>-25.955249149083954</v>
      </c>
      <c r="F104" s="1526">
        <f>E104+F101+F110+F109</f>
        <v>-353.73171748505501</v>
      </c>
      <c r="G104" s="1526">
        <f>F104+G101+G110+G109</f>
        <v>-739.91510879678344</v>
      </c>
      <c r="H104" s="1526">
        <f t="shared" ref="H104:J104" si="156">G104+H101+H110+H109</f>
        <v>-863.08778825802165</v>
      </c>
      <c r="I104" s="1526">
        <f t="shared" si="156"/>
        <v>-1279.2227183730356</v>
      </c>
      <c r="J104" s="1526">
        <f t="shared" si="156"/>
        <v>-674.00466726729496</v>
      </c>
    </row>
    <row r="105" spans="1:10" x14ac:dyDescent="0.3">
      <c r="A105" s="1306" t="s">
        <v>866</v>
      </c>
      <c r="B105" s="1464">
        <f>B103-B104</f>
        <v>9061</v>
      </c>
      <c r="C105" s="1464">
        <f>C103-C104</f>
        <v>10811</v>
      </c>
      <c r="D105" s="1464">
        <f t="shared" ref="D105:F105" si="157">D103-D104</f>
        <v>12678.206734041809</v>
      </c>
      <c r="E105" s="1464">
        <f t="shared" si="157"/>
        <v>14286.955249149083</v>
      </c>
      <c r="F105" s="1464">
        <f t="shared" si="157"/>
        <v>14583.631717485056</v>
      </c>
      <c r="G105" s="1464">
        <f t="shared" ref="G105" si="158">G103-G104</f>
        <v>14519.815108796784</v>
      </c>
      <c r="H105" s="1464">
        <f t="shared" ref="H105" si="159">H103-H104</f>
        <v>14092.987788258022</v>
      </c>
      <c r="I105" s="1464">
        <f t="shared" ref="I105" si="160">I103-I104</f>
        <v>13296.122718373035</v>
      </c>
      <c r="J105" s="1464">
        <f t="shared" ref="J105" si="161">J103-J104</f>
        <v>11893.904667267294</v>
      </c>
    </row>
    <row r="106" spans="1:10" x14ac:dyDescent="0.3">
      <c r="A106" s="1306" t="s">
        <v>3000</v>
      </c>
      <c r="B106" s="1496">
        <f>'Model Main'!ES212</f>
        <v>6.9089495675833251E-2</v>
      </c>
      <c r="C106" s="1496">
        <f>'Model Main'!EX212</f>
        <v>7.3437259514962286E-2</v>
      </c>
      <c r="D106" s="1496">
        <f>'Model Main'!FC212</f>
        <v>7.3406983900779488E-2</v>
      </c>
      <c r="E106" s="1496">
        <f>'Model Main'!FD212</f>
        <v>7.4127979706617067E-2</v>
      </c>
      <c r="F106" s="1508">
        <f>F97/AVERAGE(E103:F103)</f>
        <v>7.1012143285102108E-2</v>
      </c>
      <c r="G106" s="1508">
        <f t="shared" ref="G106:J106" si="162">G97/AVERAGE(F103:G103)</f>
        <v>7.3105122961303393E-2</v>
      </c>
      <c r="H106" s="1508">
        <f t="shared" si="162"/>
        <v>7.5459550723127003E-2</v>
      </c>
      <c r="I106" s="1508">
        <f t="shared" si="162"/>
        <v>7.752829559078836E-2</v>
      </c>
      <c r="J106" s="1508">
        <f t="shared" si="162"/>
        <v>8.1278785078905694E-2</v>
      </c>
    </row>
    <row r="107" spans="1:10" x14ac:dyDescent="0.3">
      <c r="A107" s="1306" t="s">
        <v>3001</v>
      </c>
      <c r="B107" s="1527">
        <f>B105/B95</f>
        <v>4.2599905970850962</v>
      </c>
      <c r="C107" s="1527">
        <f t="shared" ref="C107:F107" si="163">C105/C95</f>
        <v>4.8027543314082628</v>
      </c>
      <c r="D107" s="1527">
        <f t="shared" si="163"/>
        <v>5.2466149168475846</v>
      </c>
      <c r="E107" s="1527">
        <f t="shared" si="163"/>
        <v>5.336901629217575</v>
      </c>
      <c r="F107" s="1527">
        <f t="shared" si="163"/>
        <v>5.1606211169404261</v>
      </c>
      <c r="G107" s="1527">
        <f t="shared" ref="G107:J107" si="164">G105/G95</f>
        <v>4.8301718075493811</v>
      </c>
      <c r="H107" s="1527">
        <f t="shared" si="164"/>
        <v>4.416509803460924</v>
      </c>
      <c r="I107" s="1527">
        <f t="shared" si="164"/>
        <v>3.9517627698286777</v>
      </c>
      <c r="J107" s="1527">
        <f t="shared" si="164"/>
        <v>3.3679016659992014</v>
      </c>
    </row>
    <row r="109" spans="1:10" x14ac:dyDescent="0.3">
      <c r="A109" s="1306" t="s">
        <v>3002</v>
      </c>
      <c r="C109" s="1464">
        <f>'Model Main'!EX112</f>
        <v>-412</v>
      </c>
      <c r="D109" s="1464">
        <f>'Model Main'!FC112</f>
        <v>0</v>
      </c>
      <c r="E109" s="1464">
        <f>'Model Main'!FD112</f>
        <v>0</v>
      </c>
      <c r="F109" s="1464">
        <f>'Model Main'!FE112</f>
        <v>-2781.1</v>
      </c>
      <c r="G109" s="1464">
        <f>'Model Main'!FF112</f>
        <v>-2050</v>
      </c>
      <c r="H109" s="1464">
        <f>'Model Main'!FG112</f>
        <v>-1800</v>
      </c>
      <c r="I109" s="1464">
        <f>'Model Main'!FH112</f>
        <v>-2213</v>
      </c>
      <c r="J109" s="1464">
        <f>'Model Main'!FI112</f>
        <v>-797</v>
      </c>
    </row>
    <row r="110" spans="1:10" x14ac:dyDescent="0.3">
      <c r="A110" s="1306" t="s">
        <v>3003</v>
      </c>
      <c r="C110" s="1464">
        <f>'Model Main'!EX113</f>
        <v>750</v>
      </c>
      <c r="D110" s="1464">
        <f>'Model Main'!FC113</f>
        <v>1200</v>
      </c>
      <c r="E110" s="1464">
        <f>'Model Main'!FD113</f>
        <v>1500</v>
      </c>
      <c r="F110" s="1533">
        <v>2750</v>
      </c>
      <c r="G110" s="1533">
        <v>1600</v>
      </c>
      <c r="H110" s="1533">
        <v>1250</v>
      </c>
      <c r="I110" s="1533">
        <v>1000</v>
      </c>
      <c r="J110" s="1533">
        <v>0</v>
      </c>
    </row>
    <row r="112" spans="1:10" x14ac:dyDescent="0.3">
      <c r="A112" s="1306" t="s">
        <v>3004</v>
      </c>
      <c r="C112" s="1529">
        <v>0</v>
      </c>
      <c r="D112" s="1529">
        <v>0</v>
      </c>
      <c r="E112" s="1529">
        <v>0</v>
      </c>
      <c r="F112" s="1529">
        <f>(Debt!C11*Debt!E11+Debt!C15*Debt!E15+Debt!C22*Debt!E22)/SUM(Debt!C11,Debt!C15,Debt!C22)</f>
        <v>7.6817228618421066E-2</v>
      </c>
      <c r="G112" s="1529">
        <f>(Debt!C16*Debt!E16+Debt!C24*Debt!E24+Debt!C26*Debt!E26)/SUM(Debt!C16,Debt!C24,Debt!C26)</f>
        <v>5.440975609756097E-2</v>
      </c>
      <c r="H112" s="1529">
        <f>(Debt!C19*Debt!E19+Debt!C20*Debt!E20+Debt!C25*Debt!E25)/SUM(Debt!C19,Debt!C20,Debt!C25)</f>
        <v>6.4312499999999995E-2</v>
      </c>
      <c r="I112" s="1529">
        <f>(Debt!C14*Debt!E14+Debt!C17*Debt!E17+Debt!C21*Debt!E21)/SUM(Debt!C14,Debt!C17,Debt!C21)</f>
        <v>7.4923633077270665E-2</v>
      </c>
      <c r="J112" s="1529">
        <f>(Debt!C13*Debt!E13+Debt!C18*Debt!E18)/SUM(Debt!C13,Debt!C18)</f>
        <v>8.6176286072772904E-2</v>
      </c>
    </row>
    <row r="113" spans="1:10" x14ac:dyDescent="0.3">
      <c r="A113" s="1306" t="s">
        <v>3005</v>
      </c>
      <c r="C113" s="1528">
        <v>8.5000000000000006E-2</v>
      </c>
      <c r="D113" s="1528">
        <v>8.5000000000000006E-2</v>
      </c>
      <c r="E113" s="1528">
        <f>D113</f>
        <v>8.5000000000000006E-2</v>
      </c>
      <c r="F113" s="1528">
        <f t="shared" ref="F113:J113" si="165">E113</f>
        <v>8.5000000000000006E-2</v>
      </c>
      <c r="G113" s="1528">
        <f t="shared" si="165"/>
        <v>8.5000000000000006E-2</v>
      </c>
      <c r="H113" s="1528">
        <f t="shared" si="165"/>
        <v>8.5000000000000006E-2</v>
      </c>
      <c r="I113" s="1528">
        <f t="shared" si="165"/>
        <v>8.5000000000000006E-2</v>
      </c>
      <c r="J113" s="1528">
        <f t="shared" si="165"/>
        <v>8.5000000000000006E-2</v>
      </c>
    </row>
    <row r="116" spans="1:10" x14ac:dyDescent="0.3">
      <c r="A116" s="1315" t="s">
        <v>1336</v>
      </c>
      <c r="B116" s="1531">
        <v>7</v>
      </c>
      <c r="C116" s="1531">
        <f>B116+1</f>
        <v>8</v>
      </c>
      <c r="D116" s="1531">
        <f t="shared" ref="D116:G116" si="166">C116+1</f>
        <v>9</v>
      </c>
      <c r="E116" s="1531">
        <f t="shared" si="166"/>
        <v>10</v>
      </c>
      <c r="F116" s="1531">
        <f t="shared" si="166"/>
        <v>11</v>
      </c>
      <c r="G116" s="1531">
        <f t="shared" si="166"/>
        <v>12</v>
      </c>
    </row>
    <row r="117" spans="1:10" x14ac:dyDescent="0.3">
      <c r="A117" s="1305" t="s">
        <v>3006</v>
      </c>
      <c r="B117" s="1495">
        <f>J82</f>
        <v>3531.5474876664985</v>
      </c>
      <c r="C117" s="1495">
        <f>B117</f>
        <v>3531.5474876664985</v>
      </c>
      <c r="D117" s="1495">
        <f t="shared" ref="D117:G117" si="167">C117</f>
        <v>3531.5474876664985</v>
      </c>
      <c r="E117" s="1495">
        <f t="shared" si="167"/>
        <v>3531.5474876664985</v>
      </c>
      <c r="F117" s="1495">
        <f t="shared" si="167"/>
        <v>3531.5474876664985</v>
      </c>
      <c r="G117" s="1495">
        <f t="shared" si="167"/>
        <v>3531.5474876664985</v>
      </c>
    </row>
    <row r="118" spans="1:10" x14ac:dyDescent="0.3">
      <c r="A118" s="1305" t="s">
        <v>3007</v>
      </c>
      <c r="B118" s="1530">
        <f>B116</f>
        <v>7</v>
      </c>
      <c r="C118" s="1530">
        <f t="shared" ref="C118:G118" si="168">C116</f>
        <v>8</v>
      </c>
      <c r="D118" s="1530">
        <f t="shared" si="168"/>
        <v>9</v>
      </c>
      <c r="E118" s="1530">
        <f t="shared" si="168"/>
        <v>10</v>
      </c>
      <c r="F118" s="1530">
        <f t="shared" si="168"/>
        <v>11</v>
      </c>
      <c r="G118" s="1530">
        <f t="shared" si="168"/>
        <v>12</v>
      </c>
    </row>
    <row r="119" spans="1:10" x14ac:dyDescent="0.3">
      <c r="A119" s="1305" t="s">
        <v>872</v>
      </c>
      <c r="B119" s="1494">
        <f>B117*B118</f>
        <v>24720.832413665488</v>
      </c>
      <c r="C119" s="1494">
        <f t="shared" ref="C119:G119" si="169">C117*C118</f>
        <v>28252.379901331988</v>
      </c>
      <c r="D119" s="1494">
        <f t="shared" si="169"/>
        <v>31783.927388998487</v>
      </c>
      <c r="E119" s="1494">
        <f t="shared" si="169"/>
        <v>35315.474876664986</v>
      </c>
      <c r="F119" s="1494">
        <f t="shared" si="169"/>
        <v>38847.022364331482</v>
      </c>
      <c r="G119" s="1494">
        <f t="shared" si="169"/>
        <v>42378.569851997978</v>
      </c>
    </row>
    <row r="120" spans="1:10" x14ac:dyDescent="0.3">
      <c r="A120" s="1305" t="s">
        <v>1267</v>
      </c>
      <c r="B120" s="1526">
        <f>J105</f>
        <v>11893.904667267294</v>
      </c>
      <c r="C120" s="1526">
        <f>B120</f>
        <v>11893.904667267294</v>
      </c>
      <c r="D120" s="1526">
        <f t="shared" ref="D120:G120" si="170">C120</f>
        <v>11893.904667267294</v>
      </c>
      <c r="E120" s="1526">
        <f t="shared" si="170"/>
        <v>11893.904667267294</v>
      </c>
      <c r="F120" s="1526">
        <f t="shared" si="170"/>
        <v>11893.904667267294</v>
      </c>
      <c r="G120" s="1526">
        <f t="shared" si="170"/>
        <v>11893.904667267294</v>
      </c>
    </row>
    <row r="121" spans="1:10" x14ac:dyDescent="0.3">
      <c r="A121" s="1313" t="s">
        <v>787</v>
      </c>
      <c r="B121" s="1509">
        <f>B119-B120</f>
        <v>12826.927746398194</v>
      </c>
      <c r="C121" s="1509">
        <f t="shared" ref="C121:G121" si="171">C119-C120</f>
        <v>16358.475234064694</v>
      </c>
      <c r="D121" s="1509">
        <f t="shared" si="171"/>
        <v>19890.022721731191</v>
      </c>
      <c r="E121" s="1509">
        <f t="shared" si="171"/>
        <v>23421.570209397694</v>
      </c>
      <c r="F121" s="1509">
        <f t="shared" si="171"/>
        <v>26953.11769706419</v>
      </c>
      <c r="G121" s="1509">
        <f t="shared" si="171"/>
        <v>30484.665184730686</v>
      </c>
    </row>
    <row r="122" spans="1:10" x14ac:dyDescent="0.3">
      <c r="A122" s="1305" t="s">
        <v>104</v>
      </c>
      <c r="B122" s="1526">
        <f>Valuation!B7</f>
        <v>260</v>
      </c>
      <c r="C122" s="1526">
        <f>B122</f>
        <v>260</v>
      </c>
      <c r="D122" s="1526">
        <f t="shared" ref="D122:G122" si="172">C122</f>
        <v>260</v>
      </c>
      <c r="E122" s="1526">
        <f t="shared" si="172"/>
        <v>260</v>
      </c>
      <c r="F122" s="1526">
        <f t="shared" si="172"/>
        <v>260</v>
      </c>
      <c r="G122" s="1526">
        <f t="shared" si="172"/>
        <v>260</v>
      </c>
    </row>
    <row r="123" spans="1:10" x14ac:dyDescent="0.3">
      <c r="A123" s="1313" t="s">
        <v>2967</v>
      </c>
      <c r="B123" s="1532">
        <f>B121/B122</f>
        <v>49.3343374861469</v>
      </c>
      <c r="C123" s="1532">
        <f t="shared" ref="C123:G123" si="173">C121/C122</f>
        <v>62.917212438710358</v>
      </c>
      <c r="D123" s="1532">
        <f t="shared" si="173"/>
        <v>76.500087391273809</v>
      </c>
      <c r="E123" s="1532">
        <f t="shared" si="173"/>
        <v>90.082962343837281</v>
      </c>
      <c r="F123" s="1532">
        <f t="shared" si="173"/>
        <v>103.66583729640072</v>
      </c>
      <c r="G123" s="1532">
        <f t="shared" si="173"/>
        <v>117.24871224896418</v>
      </c>
    </row>
    <row r="124" spans="1:10" x14ac:dyDescent="0.3">
      <c r="A124" s="1320" t="s">
        <v>3008</v>
      </c>
      <c r="B124" s="1500">
        <f>B123/(1+Valuation!$H$141)^(7)</f>
        <v>30.965870019144909</v>
      </c>
      <c r="C124" s="1500">
        <f>C123/(1+Valuation!$H$141)^(7)</f>
        <v>39.491484463353977</v>
      </c>
      <c r="D124" s="1500">
        <f>D123/(1+Valuation!$H$141)^(7)</f>
        <v>48.017098907563046</v>
      </c>
      <c r="E124" s="1500">
        <f>E123/(1+Valuation!$H$141)^(7)</f>
        <v>56.542713351772129</v>
      </c>
      <c r="F124" s="1500">
        <f>F123/(1+Valuation!$H$141)^(7)</f>
        <v>65.06832779598119</v>
      </c>
      <c r="G124" s="1500">
        <f>G123/(1+Valuation!$H$141)^(7)</f>
        <v>73.593942240190259</v>
      </c>
    </row>
    <row r="130" spans="1:12" x14ac:dyDescent="0.3">
      <c r="A130" s="1534" t="s">
        <v>3009</v>
      </c>
      <c r="B130" s="1055"/>
      <c r="C130" s="1055"/>
      <c r="D130" s="1055"/>
      <c r="E130" s="1055"/>
      <c r="F130" s="1055"/>
      <c r="G130" s="1055"/>
      <c r="H130" s="1055"/>
      <c r="I130" s="1055"/>
      <c r="J130" s="1055"/>
      <c r="K130" s="1055"/>
      <c r="L130" s="1055"/>
    </row>
    <row r="132" spans="1:12" x14ac:dyDescent="0.3">
      <c r="A132" s="1315" t="s">
        <v>880</v>
      </c>
    </row>
    <row r="133" spans="1:12" x14ac:dyDescent="0.3">
      <c r="A133" s="1306" t="s">
        <v>628</v>
      </c>
      <c r="B133" s="1494">
        <v>621</v>
      </c>
    </row>
    <row r="134" spans="1:12" x14ac:dyDescent="0.3">
      <c r="A134" s="1306" t="s">
        <v>629</v>
      </c>
      <c r="B134" s="1314">
        <v>175</v>
      </c>
    </row>
    <row r="135" spans="1:12" x14ac:dyDescent="0.3">
      <c r="A135" s="1315" t="s">
        <v>266</v>
      </c>
      <c r="B135" s="1507">
        <f>SUM(B133:B134)</f>
        <v>796</v>
      </c>
    </row>
    <row r="137" spans="1:12" x14ac:dyDescent="0.3">
      <c r="A137" s="1315" t="s">
        <v>1398</v>
      </c>
    </row>
    <row r="138" spans="1:12" x14ac:dyDescent="0.3">
      <c r="A138" s="1306" t="s">
        <v>628</v>
      </c>
      <c r="B138" s="1494">
        <v>286</v>
      </c>
    </row>
    <row r="139" spans="1:12" x14ac:dyDescent="0.3">
      <c r="A139" s="1306" t="s">
        <v>629</v>
      </c>
      <c r="B139" s="1314">
        <v>2</v>
      </c>
    </row>
    <row r="140" spans="1:12" x14ac:dyDescent="0.3">
      <c r="A140" s="1315" t="s">
        <v>266</v>
      </c>
      <c r="B140" s="1507">
        <f>SUM(B138:B139)</f>
        <v>288</v>
      </c>
    </row>
    <row r="141" spans="1:12" x14ac:dyDescent="0.3">
      <c r="A141" s="1306" t="s">
        <v>1399</v>
      </c>
      <c r="B141" s="1496">
        <f>B138/B133</f>
        <v>0.46054750402576489</v>
      </c>
    </row>
    <row r="142" spans="1:12" x14ac:dyDescent="0.3">
      <c r="A142" s="1306" t="s">
        <v>3010</v>
      </c>
      <c r="B142" s="1496">
        <f t="shared" ref="B142:B143" si="174">B139/B134</f>
        <v>1.1428571428571429E-2</v>
      </c>
    </row>
    <row r="143" spans="1:12" x14ac:dyDescent="0.3">
      <c r="A143" s="1306" t="s">
        <v>1400</v>
      </c>
      <c r="B143" s="1496">
        <f t="shared" si="174"/>
        <v>0.36180904522613067</v>
      </c>
    </row>
    <row r="145" spans="1:12" x14ac:dyDescent="0.3">
      <c r="A145" s="1305" t="s">
        <v>238</v>
      </c>
      <c r="B145" s="1494">
        <v>290</v>
      </c>
    </row>
    <row r="146" spans="1:12" x14ac:dyDescent="0.3">
      <c r="A146" s="1305" t="s">
        <v>3011</v>
      </c>
      <c r="B146" s="1314">
        <f>B133</f>
        <v>621</v>
      </c>
    </row>
    <row r="147" spans="1:12" x14ac:dyDescent="0.3">
      <c r="A147" s="1313" t="s">
        <v>3012</v>
      </c>
      <c r="B147" s="1507">
        <f>B145/B146*1000</f>
        <v>466.98872785829309</v>
      </c>
    </row>
    <row r="149" spans="1:12" x14ac:dyDescent="0.3">
      <c r="A149" s="1305" t="s">
        <v>3013</v>
      </c>
      <c r="B149" s="1495">
        <f>J4</f>
        <v>10023</v>
      </c>
    </row>
    <row r="150" spans="1:12" x14ac:dyDescent="0.3">
      <c r="A150" s="1305" t="s">
        <v>3014</v>
      </c>
      <c r="B150" s="1519">
        <f>B147</f>
        <v>466.98872785829309</v>
      </c>
    </row>
    <row r="151" spans="1:12" x14ac:dyDescent="0.3">
      <c r="A151" s="1313" t="s">
        <v>3015</v>
      </c>
      <c r="B151" s="1507">
        <f>B149*B150/1000</f>
        <v>4680.6280193236717</v>
      </c>
    </row>
    <row r="153" spans="1:12" x14ac:dyDescent="0.3">
      <c r="A153" s="1305" t="s">
        <v>3016</v>
      </c>
      <c r="B153" s="1495">
        <f>B151</f>
        <v>4680.6280193236717</v>
      </c>
    </row>
    <row r="154" spans="1:12" x14ac:dyDescent="0.3">
      <c r="A154" s="1305" t="s">
        <v>3017</v>
      </c>
      <c r="B154" s="1519">
        <f>J82</f>
        <v>3531.5474876664985</v>
      </c>
    </row>
    <row r="155" spans="1:12" x14ac:dyDescent="0.3">
      <c r="A155" s="1305" t="s">
        <v>3018</v>
      </c>
      <c r="B155" s="1495">
        <f>B153-B154</f>
        <v>1149.0805316571732</v>
      </c>
    </row>
    <row r="157" spans="1:12" x14ac:dyDescent="0.3">
      <c r="A157" s="1315"/>
      <c r="B157" s="1536">
        <v>0</v>
      </c>
      <c r="C157" s="1536">
        <f>B157+0.1</f>
        <v>0.1</v>
      </c>
      <c r="D157" s="1536">
        <f t="shared" ref="D157:L157" si="175">C157+0.1</f>
        <v>0.2</v>
      </c>
      <c r="E157" s="1536">
        <f t="shared" si="175"/>
        <v>0.30000000000000004</v>
      </c>
      <c r="F157" s="1536">
        <f t="shared" si="175"/>
        <v>0.4</v>
      </c>
      <c r="G157" s="1536">
        <f t="shared" si="175"/>
        <v>0.5</v>
      </c>
      <c r="H157" s="1536">
        <f t="shared" si="175"/>
        <v>0.6</v>
      </c>
      <c r="I157" s="1536">
        <f t="shared" si="175"/>
        <v>0.7</v>
      </c>
      <c r="J157" s="1536">
        <f t="shared" si="175"/>
        <v>0.79999999999999993</v>
      </c>
      <c r="K157" s="1536">
        <f t="shared" si="175"/>
        <v>0.89999999999999991</v>
      </c>
      <c r="L157" s="1536">
        <f t="shared" si="175"/>
        <v>0.99999999999999989</v>
      </c>
    </row>
    <row r="158" spans="1:12" x14ac:dyDescent="0.3">
      <c r="A158" s="1305" t="s">
        <v>3019</v>
      </c>
      <c r="B158" s="1495">
        <f>B155</f>
        <v>1149.0805316571732</v>
      </c>
      <c r="C158" s="1495">
        <f>B158</f>
        <v>1149.0805316571732</v>
      </c>
      <c r="D158" s="1495">
        <f t="shared" ref="D158:L158" si="176">C158</f>
        <v>1149.0805316571732</v>
      </c>
      <c r="E158" s="1495">
        <f t="shared" si="176"/>
        <v>1149.0805316571732</v>
      </c>
      <c r="F158" s="1495">
        <f t="shared" si="176"/>
        <v>1149.0805316571732</v>
      </c>
      <c r="G158" s="1495">
        <f t="shared" si="176"/>
        <v>1149.0805316571732</v>
      </c>
      <c r="H158" s="1495">
        <f t="shared" si="176"/>
        <v>1149.0805316571732</v>
      </c>
      <c r="I158" s="1495">
        <f t="shared" si="176"/>
        <v>1149.0805316571732</v>
      </c>
      <c r="J158" s="1495">
        <f t="shared" si="176"/>
        <v>1149.0805316571732</v>
      </c>
      <c r="K158" s="1495">
        <f t="shared" si="176"/>
        <v>1149.0805316571732</v>
      </c>
      <c r="L158" s="1495">
        <f t="shared" si="176"/>
        <v>1149.0805316571732</v>
      </c>
    </row>
    <row r="159" spans="1:12" x14ac:dyDescent="0.3">
      <c r="A159" s="1305" t="s">
        <v>3020</v>
      </c>
      <c r="B159" s="1535">
        <f>1-B157</f>
        <v>1</v>
      </c>
      <c r="C159" s="1535">
        <f>1-C157</f>
        <v>0.9</v>
      </c>
      <c r="D159" s="1535">
        <f t="shared" ref="D159:L159" si="177">1-D157</f>
        <v>0.8</v>
      </c>
      <c r="E159" s="1535">
        <f t="shared" si="177"/>
        <v>0.7</v>
      </c>
      <c r="F159" s="1535">
        <f t="shared" si="177"/>
        <v>0.6</v>
      </c>
      <c r="G159" s="1535">
        <f t="shared" si="177"/>
        <v>0.5</v>
      </c>
      <c r="H159" s="1535">
        <f t="shared" si="177"/>
        <v>0.4</v>
      </c>
      <c r="I159" s="1535">
        <f t="shared" si="177"/>
        <v>0.30000000000000004</v>
      </c>
      <c r="J159" s="1535">
        <f t="shared" si="177"/>
        <v>0.20000000000000007</v>
      </c>
      <c r="K159" s="1535">
        <f t="shared" si="177"/>
        <v>0.10000000000000009</v>
      </c>
      <c r="L159" s="1535">
        <f t="shared" si="177"/>
        <v>0</v>
      </c>
    </row>
    <row r="160" spans="1:12" x14ac:dyDescent="0.3">
      <c r="A160" s="1305" t="s">
        <v>3021</v>
      </c>
      <c r="B160" s="1495">
        <f>B158*B159</f>
        <v>1149.0805316571732</v>
      </c>
      <c r="C160" s="1495">
        <f>C158*C159</f>
        <v>1034.1724784914559</v>
      </c>
      <c r="D160" s="1495">
        <f t="shared" ref="D160:L160" si="178">D158*D159</f>
        <v>919.26442532573856</v>
      </c>
      <c r="E160" s="1495">
        <f t="shared" si="178"/>
        <v>804.35637216002124</v>
      </c>
      <c r="F160" s="1495">
        <f t="shared" si="178"/>
        <v>689.44831899430392</v>
      </c>
      <c r="G160" s="1495">
        <f t="shared" si="178"/>
        <v>574.5402658285866</v>
      </c>
      <c r="H160" s="1495">
        <f t="shared" si="178"/>
        <v>459.63221266286928</v>
      </c>
      <c r="I160" s="1495">
        <f t="shared" si="178"/>
        <v>344.72415949715202</v>
      </c>
      <c r="J160" s="1495">
        <f t="shared" si="178"/>
        <v>229.81610633143472</v>
      </c>
      <c r="K160" s="1495">
        <f t="shared" si="178"/>
        <v>114.90805316571742</v>
      </c>
      <c r="L160" s="1495">
        <f t="shared" si="178"/>
        <v>0</v>
      </c>
    </row>
    <row r="161" spans="1:12" x14ac:dyDescent="0.3">
      <c r="A161" s="1305" t="s">
        <v>3022</v>
      </c>
      <c r="B161" s="1535">
        <f>40%</f>
        <v>0.4</v>
      </c>
      <c r="C161" s="1535">
        <f>40%</f>
        <v>0.4</v>
      </c>
      <c r="D161" s="1535">
        <f>40%</f>
        <v>0.4</v>
      </c>
      <c r="E161" s="1535">
        <f>40%</f>
        <v>0.4</v>
      </c>
      <c r="F161" s="1535">
        <f>40%</f>
        <v>0.4</v>
      </c>
      <c r="G161" s="1535">
        <f>40%</f>
        <v>0.4</v>
      </c>
      <c r="H161" s="1535">
        <f>40%</f>
        <v>0.4</v>
      </c>
      <c r="I161" s="1535">
        <f>40%</f>
        <v>0.4</v>
      </c>
      <c r="J161" s="1535">
        <f>40%</f>
        <v>0.4</v>
      </c>
      <c r="K161" s="1535">
        <f>40%</f>
        <v>0.4</v>
      </c>
      <c r="L161" s="1535">
        <f>40%</f>
        <v>0.4</v>
      </c>
    </row>
    <row r="162" spans="1:12" x14ac:dyDescent="0.3">
      <c r="A162" s="1313" t="s">
        <v>3023</v>
      </c>
      <c r="B162" s="1507">
        <f>B160/B161</f>
        <v>2872.701329142933</v>
      </c>
      <c r="C162" s="1507">
        <f>C160/C161</f>
        <v>2585.4311962286397</v>
      </c>
      <c r="D162" s="1507">
        <f t="shared" ref="D162:L162" si="179">D160/D161</f>
        <v>2298.1610633143464</v>
      </c>
      <c r="E162" s="1507">
        <f t="shared" si="179"/>
        <v>2010.8909304000531</v>
      </c>
      <c r="F162" s="1507">
        <f t="shared" si="179"/>
        <v>1723.6207974857598</v>
      </c>
      <c r="G162" s="1507">
        <f t="shared" si="179"/>
        <v>1436.3506645714665</v>
      </c>
      <c r="H162" s="1507">
        <f t="shared" si="179"/>
        <v>1149.0805316571732</v>
      </c>
      <c r="I162" s="1507">
        <f t="shared" si="179"/>
        <v>861.81039874288001</v>
      </c>
      <c r="J162" s="1507">
        <f t="shared" si="179"/>
        <v>574.54026582858683</v>
      </c>
      <c r="K162" s="1507">
        <f t="shared" si="179"/>
        <v>287.27013291429353</v>
      </c>
      <c r="L162" s="1507">
        <f t="shared" si="179"/>
        <v>0</v>
      </c>
    </row>
    <row r="163" spans="1:12" x14ac:dyDescent="0.3">
      <c r="A163" s="1320" t="s">
        <v>3024</v>
      </c>
      <c r="B163" s="1504">
        <f>B162/$B$68</f>
        <v>1.1138818647316531</v>
      </c>
      <c r="C163" s="1504">
        <f>C162/$B$68</f>
        <v>1.0024936782584877</v>
      </c>
      <c r="D163" s="1504">
        <f t="shared" ref="D163:L163" si="180">D162/$B$68</f>
        <v>0.89110549178532239</v>
      </c>
      <c r="E163" s="1504">
        <f t="shared" si="180"/>
        <v>0.77971730531215711</v>
      </c>
      <c r="F163" s="1504">
        <f t="shared" si="180"/>
        <v>0.66832911883899182</v>
      </c>
      <c r="G163" s="1504">
        <f t="shared" si="180"/>
        <v>0.55694093236582654</v>
      </c>
      <c r="H163" s="1504">
        <f t="shared" si="180"/>
        <v>0.4455527458926612</v>
      </c>
      <c r="I163" s="1504">
        <f t="shared" si="180"/>
        <v>0.33416455941949591</v>
      </c>
      <c r="J163" s="1504">
        <f t="shared" si="180"/>
        <v>0.22277637294633068</v>
      </c>
      <c r="K163" s="1504">
        <f t="shared" si="180"/>
        <v>0.11138818647316538</v>
      </c>
      <c r="L163" s="1504">
        <f t="shared" si="180"/>
        <v>0</v>
      </c>
    </row>
    <row r="164" spans="1:12" x14ac:dyDescent="0.3">
      <c r="A164" s="1305"/>
      <c r="B164" s="1495"/>
    </row>
    <row r="172" spans="1:12" x14ac:dyDescent="0.3">
      <c r="A172" s="1534" t="s">
        <v>353</v>
      </c>
      <c r="B172" s="1055"/>
      <c r="C172" s="1055"/>
      <c r="D172" s="1055"/>
      <c r="E172" s="1055"/>
      <c r="F172" s="1055"/>
      <c r="G172" s="1055"/>
      <c r="H172" s="1055"/>
      <c r="I172" s="1055"/>
      <c r="J172" s="1055"/>
      <c r="K172" s="1055"/>
      <c r="L172" s="1055"/>
    </row>
    <row r="174" spans="1:12" x14ac:dyDescent="0.3">
      <c r="A174" s="1305" t="s">
        <v>3025</v>
      </c>
      <c r="B174" s="1494">
        <f>Drivers!EK27+Drivers!EL27+Drivers!EM27+Drivers!EO27</f>
        <v>1216</v>
      </c>
    </row>
    <row r="175" spans="1:12" x14ac:dyDescent="0.3">
      <c r="A175" s="1305" t="s">
        <v>3026</v>
      </c>
      <c r="B175" s="1314">
        <v>10</v>
      </c>
    </row>
    <row r="176" spans="1:12" x14ac:dyDescent="0.3">
      <c r="A176" s="1305" t="s">
        <v>3027</v>
      </c>
      <c r="B176" s="1494">
        <f>B174-B175</f>
        <v>1206</v>
      </c>
    </row>
    <row r="177" spans="1:12" x14ac:dyDescent="0.3">
      <c r="A177" s="1305" t="s">
        <v>3028</v>
      </c>
      <c r="B177" s="1314">
        <f>Drivers!ED82</f>
        <v>3223</v>
      </c>
    </row>
    <row r="178" spans="1:12" x14ac:dyDescent="0.3">
      <c r="A178" s="1313" t="s">
        <v>3012</v>
      </c>
      <c r="B178" s="1507">
        <f>B176/B177*1000</f>
        <v>374.18554142103631</v>
      </c>
    </row>
    <row r="180" spans="1:12" x14ac:dyDescent="0.3">
      <c r="A180" s="1305" t="s">
        <v>3013</v>
      </c>
      <c r="B180" s="1495">
        <f>B149</f>
        <v>10023</v>
      </c>
    </row>
    <row r="181" spans="1:12" x14ac:dyDescent="0.3">
      <c r="A181" s="1305" t="s">
        <v>3014</v>
      </c>
      <c r="B181" s="1519">
        <f>B178</f>
        <v>374.18554142103631</v>
      </c>
    </row>
    <row r="182" spans="1:12" x14ac:dyDescent="0.3">
      <c r="A182" s="1313" t="s">
        <v>3015</v>
      </c>
      <c r="B182" s="1507">
        <f>B180*B181/1000</f>
        <v>3750.4616816630469</v>
      </c>
    </row>
    <row r="184" spans="1:12" x14ac:dyDescent="0.3">
      <c r="A184" s="1305" t="s">
        <v>3029</v>
      </c>
      <c r="B184" s="1495">
        <f>B182</f>
        <v>3750.4616816630469</v>
      </c>
    </row>
    <row r="185" spans="1:12" x14ac:dyDescent="0.3">
      <c r="A185" s="1305" t="s">
        <v>3017</v>
      </c>
      <c r="B185" s="1519">
        <f>B154</f>
        <v>3531.5474876664985</v>
      </c>
    </row>
    <row r="186" spans="1:12" x14ac:dyDescent="0.3">
      <c r="A186" s="1305" t="s">
        <v>3018</v>
      </c>
      <c r="B186" s="1495">
        <f>B184-B185</f>
        <v>218.91419399654842</v>
      </c>
    </row>
    <row r="188" spans="1:12" x14ac:dyDescent="0.3">
      <c r="A188" s="1315"/>
      <c r="B188" s="1536">
        <v>0</v>
      </c>
      <c r="C188" s="1536">
        <f>B188+0.1</f>
        <v>0.1</v>
      </c>
      <c r="D188" s="1536">
        <f t="shared" ref="D188:L188" si="181">C188+0.1</f>
        <v>0.2</v>
      </c>
      <c r="E188" s="1536">
        <f t="shared" si="181"/>
        <v>0.30000000000000004</v>
      </c>
      <c r="F188" s="1536">
        <f t="shared" si="181"/>
        <v>0.4</v>
      </c>
      <c r="G188" s="1536">
        <f t="shared" si="181"/>
        <v>0.5</v>
      </c>
      <c r="H188" s="1536">
        <f t="shared" si="181"/>
        <v>0.6</v>
      </c>
      <c r="I188" s="1536">
        <f t="shared" si="181"/>
        <v>0.7</v>
      </c>
      <c r="J188" s="1536">
        <f t="shared" si="181"/>
        <v>0.79999999999999993</v>
      </c>
      <c r="K188" s="1536">
        <f t="shared" si="181"/>
        <v>0.89999999999999991</v>
      </c>
      <c r="L188" s="1536">
        <f t="shared" si="181"/>
        <v>0.99999999999999989</v>
      </c>
    </row>
    <row r="189" spans="1:12" x14ac:dyDescent="0.3">
      <c r="A189" s="1305" t="s">
        <v>3019</v>
      </c>
      <c r="B189" s="1495">
        <f>B186</f>
        <v>218.91419399654842</v>
      </c>
      <c r="C189" s="1495">
        <f>B189</f>
        <v>218.91419399654842</v>
      </c>
      <c r="D189" s="1495">
        <f t="shared" ref="D189:L189" si="182">C189</f>
        <v>218.91419399654842</v>
      </c>
      <c r="E189" s="1495">
        <f t="shared" si="182"/>
        <v>218.91419399654842</v>
      </c>
      <c r="F189" s="1495">
        <f t="shared" si="182"/>
        <v>218.91419399654842</v>
      </c>
      <c r="G189" s="1495">
        <f t="shared" si="182"/>
        <v>218.91419399654842</v>
      </c>
      <c r="H189" s="1495">
        <f t="shared" si="182"/>
        <v>218.91419399654842</v>
      </c>
      <c r="I189" s="1495">
        <f t="shared" si="182"/>
        <v>218.91419399654842</v>
      </c>
      <c r="J189" s="1495">
        <f t="shared" si="182"/>
        <v>218.91419399654842</v>
      </c>
      <c r="K189" s="1495">
        <f t="shared" si="182"/>
        <v>218.91419399654842</v>
      </c>
      <c r="L189" s="1495">
        <f t="shared" si="182"/>
        <v>218.91419399654842</v>
      </c>
    </row>
    <row r="190" spans="1:12" x14ac:dyDescent="0.3">
      <c r="A190" s="1305" t="s">
        <v>3020</v>
      </c>
      <c r="B190" s="1535">
        <f>1-B188</f>
        <v>1</v>
      </c>
      <c r="C190" s="1535">
        <f>1-C188</f>
        <v>0.9</v>
      </c>
      <c r="D190" s="1535">
        <f t="shared" ref="D190:L190" si="183">1-D188</f>
        <v>0.8</v>
      </c>
      <c r="E190" s="1535">
        <f t="shared" si="183"/>
        <v>0.7</v>
      </c>
      <c r="F190" s="1535">
        <f t="shared" si="183"/>
        <v>0.6</v>
      </c>
      <c r="G190" s="1535">
        <f t="shared" si="183"/>
        <v>0.5</v>
      </c>
      <c r="H190" s="1535">
        <f t="shared" si="183"/>
        <v>0.4</v>
      </c>
      <c r="I190" s="1535">
        <f t="shared" si="183"/>
        <v>0.30000000000000004</v>
      </c>
      <c r="J190" s="1535">
        <f t="shared" si="183"/>
        <v>0.20000000000000007</v>
      </c>
      <c r="K190" s="1535">
        <f t="shared" si="183"/>
        <v>0.10000000000000009</v>
      </c>
      <c r="L190" s="1535">
        <f t="shared" si="183"/>
        <v>0</v>
      </c>
    </row>
    <row r="191" spans="1:12" x14ac:dyDescent="0.3">
      <c r="A191" s="1305" t="s">
        <v>3021</v>
      </c>
      <c r="B191" s="1495">
        <f>B189*B190</f>
        <v>218.91419399654842</v>
      </c>
      <c r="C191" s="1495">
        <f>C189*C190</f>
        <v>197.02277459689358</v>
      </c>
      <c r="D191" s="1495">
        <f t="shared" ref="D191" si="184">D189*D190</f>
        <v>175.13135519723875</v>
      </c>
      <c r="E191" s="1495">
        <f t="shared" ref="E191" si="185">E189*E190</f>
        <v>153.23993579758388</v>
      </c>
      <c r="F191" s="1495">
        <f t="shared" ref="F191" si="186">F189*F190</f>
        <v>131.34851639792905</v>
      </c>
      <c r="G191" s="1495">
        <f t="shared" ref="G191" si="187">G189*G190</f>
        <v>109.45709699827421</v>
      </c>
      <c r="H191" s="1495">
        <f t="shared" ref="H191" si="188">H189*H190</f>
        <v>87.565677598619374</v>
      </c>
      <c r="I191" s="1495">
        <f t="shared" ref="I191" si="189">I189*I190</f>
        <v>65.674258198964537</v>
      </c>
      <c r="J191" s="1495">
        <f t="shared" ref="J191" si="190">J189*J190</f>
        <v>43.782838799309701</v>
      </c>
      <c r="K191" s="1495">
        <f t="shared" ref="K191" si="191">K189*K190</f>
        <v>21.891419399654861</v>
      </c>
      <c r="L191" s="1495">
        <f t="shared" ref="L191" si="192">L189*L190</f>
        <v>0</v>
      </c>
    </row>
    <row r="192" spans="1:12" x14ac:dyDescent="0.3">
      <c r="A192" s="1305" t="s">
        <v>3022</v>
      </c>
      <c r="B192" s="1535">
        <f>40%</f>
        <v>0.4</v>
      </c>
      <c r="C192" s="1535">
        <f>40%</f>
        <v>0.4</v>
      </c>
      <c r="D192" s="1535">
        <f>40%</f>
        <v>0.4</v>
      </c>
      <c r="E192" s="1535">
        <f>40%</f>
        <v>0.4</v>
      </c>
      <c r="F192" s="1535">
        <f>40%</f>
        <v>0.4</v>
      </c>
      <c r="G192" s="1535">
        <f>40%</f>
        <v>0.4</v>
      </c>
      <c r="H192" s="1535">
        <f>40%</f>
        <v>0.4</v>
      </c>
      <c r="I192" s="1535">
        <f>40%</f>
        <v>0.4</v>
      </c>
      <c r="J192" s="1535">
        <f>40%</f>
        <v>0.4</v>
      </c>
      <c r="K192" s="1535">
        <f>40%</f>
        <v>0.4</v>
      </c>
      <c r="L192" s="1535">
        <f>40%</f>
        <v>0.4</v>
      </c>
    </row>
    <row r="193" spans="1:12" x14ac:dyDescent="0.3">
      <c r="A193" s="1313" t="s">
        <v>3023</v>
      </c>
      <c r="B193" s="1507">
        <f>B191/B192</f>
        <v>547.28548499137105</v>
      </c>
      <c r="C193" s="1507">
        <f>C191/C192</f>
        <v>492.55693649223394</v>
      </c>
      <c r="D193" s="1507">
        <f t="shared" ref="D193" si="193">D191/D192</f>
        <v>437.82838799309684</v>
      </c>
      <c r="E193" s="1507">
        <f t="shared" ref="E193" si="194">E191/E192</f>
        <v>383.09983949395968</v>
      </c>
      <c r="F193" s="1507">
        <f t="shared" ref="F193" si="195">F191/F192</f>
        <v>328.37129099482257</v>
      </c>
      <c r="G193" s="1507">
        <f t="shared" ref="G193" si="196">G191/G192</f>
        <v>273.64274249568552</v>
      </c>
      <c r="H193" s="1507">
        <f t="shared" ref="H193" si="197">H191/H192</f>
        <v>218.91419399654842</v>
      </c>
      <c r="I193" s="1507">
        <f t="shared" ref="I193" si="198">I191/I192</f>
        <v>164.18564549741134</v>
      </c>
      <c r="J193" s="1507">
        <f t="shared" ref="J193" si="199">J191/J192</f>
        <v>109.45709699827425</v>
      </c>
      <c r="K193" s="1507">
        <f t="shared" ref="K193" si="200">K191/K192</f>
        <v>54.728548499137148</v>
      </c>
      <c r="L193" s="1507">
        <f t="shared" ref="L193" si="201">L191/L192</f>
        <v>0</v>
      </c>
    </row>
    <row r="194" spans="1:12" x14ac:dyDescent="0.3">
      <c r="A194" s="1320" t="s">
        <v>3024</v>
      </c>
      <c r="B194" s="1504">
        <f>B193/$B$68</f>
        <v>0.21220840829444398</v>
      </c>
      <c r="C194" s="1504">
        <f>C193/$B$68</f>
        <v>0.19098756746499959</v>
      </c>
      <c r="D194" s="1504">
        <f t="shared" ref="D194" si="202">D193/$B$68</f>
        <v>0.1697667266355552</v>
      </c>
      <c r="E194" s="1504">
        <f t="shared" ref="E194" si="203">E193/$B$68</f>
        <v>0.14854588580611078</v>
      </c>
      <c r="F194" s="1504">
        <f t="shared" ref="F194" si="204">F193/$B$68</f>
        <v>0.12732504497666638</v>
      </c>
      <c r="G194" s="1504">
        <f t="shared" ref="G194" si="205">G193/$B$68</f>
        <v>0.10610420414722199</v>
      </c>
      <c r="H194" s="1504">
        <f t="shared" ref="H194" si="206">H193/$B$68</f>
        <v>8.4883363317777599E-2</v>
      </c>
      <c r="I194" s="1504">
        <f t="shared" ref="I194" si="207">I193/$B$68</f>
        <v>6.3662522488333206E-2</v>
      </c>
      <c r="J194" s="1504">
        <f t="shared" ref="J194" si="208">J193/$B$68</f>
        <v>4.2441681658888813E-2</v>
      </c>
      <c r="K194" s="1504">
        <f t="shared" ref="K194" si="209">K193/$B$68</f>
        <v>2.1220840829444417E-2</v>
      </c>
      <c r="L194" s="1504">
        <f t="shared" ref="L194" si="210">L193/$B$68</f>
        <v>0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5137053-1496-49e7-a326-e28acae3ad87">
      <Terms xmlns="http://schemas.microsoft.com/office/infopath/2007/PartnerControls"/>
    </lcf76f155ced4ddcb4097134ff3c332f>
    <TaxCatchAll xmlns="ac44878d-96d9-4f15-b496-a7136242695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FC0AD7E85595498F65C815BF2D1E27" ma:contentTypeVersion="12" ma:contentTypeDescription="Create a new document." ma:contentTypeScope="" ma:versionID="623234bc6e918efd80bfcdfa6772346c">
  <xsd:schema xmlns:xsd="http://www.w3.org/2001/XMLSchema" xmlns:xs="http://www.w3.org/2001/XMLSchema" xmlns:p="http://schemas.microsoft.com/office/2006/metadata/properties" xmlns:ns2="c5137053-1496-49e7-a326-e28acae3ad87" xmlns:ns3="ac44878d-96d9-4f15-b496-a71362426953" targetNamespace="http://schemas.microsoft.com/office/2006/metadata/properties" ma:root="true" ma:fieldsID="3cc4bc5c2ffe9dafc0b78f5393381aed" ns2:_="" ns3:_="">
    <xsd:import namespace="c5137053-1496-49e7-a326-e28acae3ad87"/>
    <xsd:import namespace="ac44878d-96d9-4f15-b496-a7136242695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137053-1496-49e7-a326-e28acae3ad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e47c01aa-fa72-499e-a558-c0906cb7ca6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44878d-96d9-4f15-b496-a71362426953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fb3b699d-aa6c-457c-8a6e-4428a86250e7}" ma:internalName="TaxCatchAll" ma:showField="CatchAllData" ma:web="ac44878d-96d9-4f15-b496-a7136242695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FdsFormulaCache xmlns="urn:fdsformulacache" version="2" timestamp="1740146878"><![CDATA[{"FYBR-US^FE_ESTIMATE(EBITDA,MED,QTR,+3,NOW,,,'')":514.34735,"FYBR-US^FE_ESTIMATE(EBITDA,MED,QTR,+2,NOW,,,'')":506.02203,"FYBR-US^FE_ESTIMATE(EBITDA,MED,QTR,+1,NOW,,,'')":497.0,"FYBR-US^FE_ESTIMATE(SALES,MED,QTR,+4,NOW,,,'')":1436.0,"FYBR-US^FE_ESTIMATE(SALES,MED,QTR,+2,NOW,,,'')":1455.4884,"FYBR-US^FE_ESTIMATE(SALES,MED,QTR,+1,NOW,,,'')":1456.668,"FYBR-US^FE_ESTIMATE(SALES,MED,ANNUAL,2021,NOW,,,'')":6411.0,"FYBR-US^FE_ESTIMATE(SALES,MED,ANNUAL,2022,NOW,,,'')":5805.4165,"FYBR-US^FE_ESTIMATE(SALES,MED,ANNUAL,2023,NOW,,,'')":5734.5,"FYBR-US^FE_ESTIMATE(SALES,MED,ANNUAL,2024,NOW,,,'')":5790.0,"FYBR-US^FE_ESTIMATE(SALES,MED,ANNUAL,2025,NOW,,,'')":5962.1787,"FYBR-US^FE_ESTIMATE(EBITDA,MED,ANNUAL,2021,NOW,,,'')":2353.0,"FYBR-US^FE_ESTIMATE(EBITDA,MED,ANNUAL,2022,NOW,,,'')":2037.6754,"FYBR-US^FE_ESTIMATE(EBITDA,MED,ANNUAL,2023,NOW,,,'')":2124.7244,"FYBR-US^FE_ESTIMATE(EBITDA,MED,ANNUAL,2024,NOW,,,'')":2204.0,"FYBR-US^FE_ESTIMATE(EBITDA,MED,ANNUAL,2025,NOW,,,'')":2447.4866,"FYBR-US^FE_ESTIMATE(SALES,MED,QTR,+3,NOW,,,'')":1450.0,"FYBR-US^FE_ESTIMATE(CAPEX,MED,ANNUAL,2021,NOW,,,'')":908.0,"FYBR-US^FE_ESTIMATE(CAPEX,MED,ANNUAL,2022,NOW,,,'')":2447.0,"FYBR-US^FE_ESTIMATE(CAPEX,MED,ANNUAL,2023,NOW,,,'')":2878.0,"FYBR-US^FE_ESTIMATE(CAPEX,MED,ANNUAL,2024,NOW,,,'')":2863.021,"FYBR-US^FE_ESTIMATE(CAPEX,MED,ANNUAL,2025,NOW,,,'')":2917.5,"FYBR-US^FE_ESTIMATE(FCF,MED,ANNUAL,2021,NOW,,,'')":-908.0,"FYBR-US^FE_ESTIMATE(FCF,MED,ANNUAL,2022,NOW,,,'')":-1106.5245,"FYBR-US^FE_ESTIMATE(FCF,MED,ANNUAL,2023,NOW,,,'')":-1486.0,"FYBR-US^FE_ESTIMATE(FCF,MED,ANNUAL,2024,NOW,,,'')":-1247.5,"FYBR-US^FE_ESTIMATE(FCF,MED,ANNUAL,2025,NOW,,,'')":-1193.5,"FYBR-US^FE_ESTIMATE(PRODLINE_SALES_2,MEDIAN,QTR,+1,NOW,,,'')":836.0,"FYBR-US^FE_ESTIMATE(PRODLINE_SALES_2,MEDIAN,ANNUAL,2021,NOW,,,'')":3349.0,"FYBR-US^FE_ESTIMATE(PRODLINE_SALES_2,MEDIAN,ANNUAL,2022,NOW,,,'')":3364.0,"FYBR-US^FE_ESTIMATE(PRODLINE_SALES_2,MEDIAN,ANNUAL,2023,NOW,,,'')":3520.0,"FYBR-US^FE_ESTIMATE(PRODLINE_SALES_2,MEDIAN,ANNUAL,2024,NOW,,,'')":3598.5,"FYBR-US^FE_ESTIMATE(PRODLINE_SALES_2,MEDIAN,ANNUAL,2025,NOW,,,'')":3882.0,"FYBR-US^FE_ESTIMATE(PRODLINE_SALES_3,MEDIAN,QTR,+1,NOW,,,'')":389.0,"FYBR-US^FE_ESTIMATE(PRODLINE_SALES_5,MEDIAN,QTR,+1,NOW,,,'')":81.0,"FYBR-US^FE_ESTIMATE(PRODLINE_SALES_3,MEDIAN,ANNUAL,2021,NOW,,,'')":1738.0,"FYBR-US^FE_ESTIMATE(PRODLINE_SALES_5,MEDIAN,ANNUAL,2021,NOW,,,'')":371.0,"FYBR-US^FE_ESTIMATE(PRODLINE_SALES_3,MEDIAN,ANNUAL,2022,NOW,,,'')":1504.0,"FYBR-US^FE_ESTIMATE(PRODLINE_SALES_5,MEDIAN,ANNUAL,2022,NOW,,,'')":321.7,"FYBR-US^FE_ESTIMATE(PRODLINE_SALES_3,MEDIAN,ANNUAL,2023,NOW,,,'')":1371.0,"FYBR-US^FE_ESTIMATE(PRODLINE_SALES_5,MEDIAN,ANNUAL,2023,NOW,,,'')":332.0,"FYBR-US^FE_ESTIMATE(PRODLINE_SALES_3,MEDIAN,ANNUAL,2024,NOW,,,'')":1388.0,"FYBR-US^FE_ESTIMATE(PRODLINE_SALES_5,MEDIAN,ANNUAL,2024,NOW,,,'')":443.0,"FYBR-US^FE_ESTIMATE(PRODLINE_SALES_3,MEDIAN,ANNUAL,2025,NOW,,,'')":1368.0,"FYBR-US^FE_ESTIMATE(PRODLINE_SALES_5,MEDIAN,ANNUAL,2025,NOW,,,'')":477.0,"FYBR-US^FE_ESTIMATE(PRODLINE_SALES_4,MEDIAN,QTR,+1,NOW,,,'')":138.0,"FYBR-US^FE_ESTIMATE(PRODLINE_SALES_4,MEDIAN,ANNUAL,2021,NOW,,,'')":620.0,"FYBR-US^FE_ESTIMATE(PRODLINE_SALES_4,MEDIAN,ANNUAL,2022,NOW,,,'')":494.0,"FYBR-US^FE_ESTIMATE(PRODLINE_SALES_4,MEDIAN,ANNUAL,2023,NOW,,,'')":386.1,"FYBR-US^FE_ESTIMATE(PRODLINE_SALES_4,MEDIAN,ANNUAL,2024,NOW,,,'')":338.0,"FYBR-US^FE_ESTIMATE(PRODLINE_SALES_4,MEDIAN,ANNUAL,2025,NOW,,,'')":275.0,"FYBR-US^FE_ESTIMATE(PRODLINE_SALES_6,MEDIAN,QTR,+1,NOW,,,'')":10.0,"FYBR-US^FE_ESTIMATE(PRODLINE_SALES_6,MEDIAN,ANNUAL,2021,NOW,,,'')":333.0,"FYBR-US^FE_ESTIMATE(PRODLINE_SALES_6,MEDIAN,ANNUAL,2022,NOW,,,'')":70.0,"FYBR-US^FE_ESTIMATE(PRODLINE_SALES_6,MEDIAN,ANNUAL,2023,NOW,,,'')":81.0,"FYBR-US^FE_ESTIMATE(PRODLINE_SALES_6,MEDIAN,ANNUAL,2024,NOW,,,'')":81.0,"FYBR-US^FE_ESTIMATE(PRODLINE_SALES_6,MEDIAN,ANNUAL,2025,NOW,,,'')":84.0,"FYBR-US^FE_ESTIMATE(PL2_SALES_2,MEDIAN,QTR,+1,NOW,,,'')":778.0,"FYBR-US^FE_ESTIMATE(PL2_SALES_2,MEDIAN,ANNUAL,2021,NOW,,,'')":3258.0,"FYBR-US^FE_ESTIMATE(PL2_SALES_2,MEDIAN,ANNUAL,2022,NOW,,,'')":3119.0454,"FYBR-US^FE_ESTIMATE(PL2_SALES_2,MEDIAN,ANNUAL,2023,NOW,,,'')":3231.0,"FYBR-US^FE_ESTIMATE(PL2_SALES_2,MEDIAN,ANNUAL,2024,NOW,,,'')":3330.5,"FYBR-US^FE_ESTIMATE(PL2_SALES_2,MEDIAN,ANNUAL,2025,NOW,,,'')":3606.5,"FYBR-US^FE_ESTIMATE(PL2_SALES_3,MEDIAN,QTR,+1,NOW,,,'')":666.0,"FYBR-US^FE_ESTIMATE(PL2_SALES_3,MEDIAN,ANNUAL,2021,NOW,,,'')":2820.0,"FYBR-US^FE_ESTIMATE(PL2_SALES_3,MEDIAN,ANNUAL,2022,NOW,,,'')":2620.15,"FYBR-US^FE_ESTIMATE(PL2_SALES_3,MEDIAN,ANNUAL,2023,NOW,,,'')":2460.0,"FYBR-US^FE_ESTIMATE(PL2_SALES_3,MEDIAN,ANNUAL,2024,NOW,,,'')":2370.0,"FYBR-US^FE_ESTIMATE(PL2_SALES_3,MEDIAN,ANNUAL,2025,NOW,,,'')":2285.5,"FYBR-US^FG_PRICE(NOW)":24.22,"FTR-US^FE_ESTIMATE(SALES,MEDIAN,ANNUAL,2021,NOW,,,'')":null,"FTR-US^FE_ESTIMATE(SALES,MEDIAN,ANNUAL,2022,NOW,,,'')":null,"FTR-US^FE_ESTIMATE(SALES,MEDIAN,ANNUAL,2023,NOW,,,'')":null,"FTR-US^FE_ESTIMATE(SALES,MEDIAN,ANNUAL,2024,NOW,,,'')":null,"FTR-US^FE_ESTIMATE(SALES,MEDIAN,ANNUAL,2025,NOW,,,'')":null,"FTR-US^FE_ESTIMATE(EBITDA,MEDIAN,ANNUAL,2021,NOW,,,'')":null,"FTR-US^FE_ESTIMATE(EBITDA,MEDIAN,ANNUAL,2022,NOW,,,'')":null,"FTR-US^FE_ESTIMATE(EBITDA,MEDIAN,ANNUAL,2023,NOW,,,'')":null,"FTR-US^FE_ESTIMATE(EBITDA,MEDIAN,ANNUAL,2024,NOW,,,'')":null,"FTR-US^FE_ESTIMATE(EBITDA,MEDIAN,ANNUAL,2025,NOW,,,'')":null,"FTR-US^FE_ESTIMATE(CAPEX,MEDIAN,ANNUAL,2021,NOW,,,'')":null,"FTR-US^FE_ESTIMATE(CAPEX,MEDIAN,ANNUAL,2022,NOW,,,'')":null,"FTR-US^FE_ESTIMATE(CAPEX,MEDIAN,ANNUAL,2023,NOW,,,'')":null,"FTR-US^FE_ESTIMATE(CAPEX,MEDIAN,ANNUAL,2024,NOW,,,'')":null,"FTR-US^FE_ESTIMATE(CAPEX,MEDIAN,ANNUAL,2025,NOW,,,'')":null,"US10YY-TU1^FG_PRICE(0)":1.9312,"FTR-US^P_BETA_LOCIDX(0,-2AY)":null,"161175AY^FG_YIELD(0,,,,\"YTM\")":2.97613745215043,"LUMN^RTP_MKT_CAP":10177.508,"LUMN^FF_ENTRPR_VAL_DAILY(0,,,,,\"DIL\")":39616.77332,"WIN^RTP_MKT_CAP":null,"WIN^FF_ENTRPR_VAL_DAILY(0,,,,,\"DIL\")":null,"CSNL^RTP_MKT_CAP":null,"CSNL^FF_ENTRPR_VAL_DAILY(0,,,,,\"DIL\")":null,"TDS^RTP_MKT_CAP":1988.7184,"TDS^FF_ENTRPR_VAL_DAILY(0,,,,,\"DIL\")":7661.32,"CMCSA^FF_ENTRPR_VAL_DAILY(0,,,,,\"DIL\")":317471.56,"CMCSA^FE_ESTIMATE(EBITDA,MEDIAN,ANNUAL,2021,NOW,,,'')":34707.05,"CHTR^FF_ENTRPR_VAL_DAILY(0,,,,,\"DIL\")":211730.82265484,"CHTR^FE_ESTIMATE(EBITDA,MEDIAN,ANNUAL,2021,NOW,,,'')":20630.0,"ATUS^FF_ENTRPR_VAL_DAILY(0,,,,,\"DIL\")":31901.0804,"ATUS^FE_ESTIMATE(EBITDA,MEDIAN,ANNUAL,2021,NOW,,,'')":4427.1,"LUMN^FE_ESTIMATE(EBITDA,MEDIAN,ANNUAL,2021,NOW,,,'')":8424.0,"LUMN^FE_ESTIMATE(EBITDA,MEDIAN,ANNUAL,2022,NOW,,,'')":6609.4546,"LUMN^FE_ESTIMATE(EBITDA,MEDIAN,ANNUAL,2023,NOW,,,'')":5808.0,"LUMN^FE_ESTIMATE(EBITDA,MEDIAN,ANNUAL,2024,NOW,,,'')":5700.914,"LUMN^FE_ESTIMATE(EBITDA,MEDIAN,ANNUAL,2025,NOW,,,'')":6117.0,"WIN^FE_ESTIMATE(EBITDA,MEDIAN,ANNUAL,2021,NOW,,,'')":null,"WIN^FE_ESTIMATE(EBITDA,MEDIAN,ANNUAL,2022,NOW,,,'')":null,"WIN^FE_ESTIMATE(EBITDA,MEDIAN,ANNUAL,2023,NOW,,,'')":null,"WIN^FE_ESTIMATE(EBITDA,MEDIAN,ANNUAL,2024,NOW,,,'')":null,"WIN^FE_ESTIMATE(EBITDA,MEDIAN,ANNUAL,2025,NOW,,,'')":null,"CSNL^FE_ESTIMATE(EBITDA,MEDIAN,ANNUAL,2021,NOW,,,'')":null,"CSNL^FE_ESTIMATE(EBITDA,MEDIAN,ANNUAL,2022,NOW,,,'')":null,"CSNL^FE_ESTIMATE(EBITDA,MEDIAN,ANNUAL,2023,NOW,,,'')":null,"CSNL^FE_ESTIMATE(EBITDA,MEDIAN,ANNUAL,2024,NOW,,,'')":null,"CSNL^FE_ESTIMATE(EBITDA,MEDIAN,ANNUAL,2025,NOW,,,'')":null,"TDS^FE_ESTIMATE(EBITDA,MEDIAN,ANNUAL,2021,NOW,,,'')":1264.462,"TDS^FE_ESTIMATE(EBITDA,MEDIAN,ANNUAL,2022,NOW,,,'')":1289.2627,"TDS^FE_ESTIMATE(EBITDA,MEDIAN,ANNUAL,2023,NOW,,,'')":1352.2245,"TDS^FE_ESTIMATE(EBITDA,MEDIAN,ANNUAL,2024,NOW,,,'')":1375.6516,"TDS^FE_ESTIMATE(EBITDA,MEDIAN,ANNUAL,2025,NOW,,,'')":null,"FYBR-US^FE_ESTIMATE(EBITDA,MED,QTR,+4,NOW,,,'')":526.5,"FYBR-US^FE_ESTIMATE(CAPEX,MED,QTR,+1,NOW,,,'')":540.9,"FYBR-US^FE_ESTIMATE(CAPEX,MED,QTR,+2,NOW,,,'')":582.5,"FYBR-US^FE_ESTIMATE(CAPEX,MED,QTR,+3,NOW,,,'')":666.5,"FYBR-US^FE_ESTIMATE(CAPEX,MED,QTR,+4,NOW,,,'')":662.982,"FYBR-US^FE_ESTIMATE(FCF,MED,QTR,+1,NOW,,,'')":-277.0,"FYBR-US^FE_ESTIMATE(FCF,MED,QTR,+2,NOW,,,'')":-251.1365,"FYBR-US^FE_ESTIMATE(FCF,MED,QTR,+3,NOW,,,'')":-317.0,"FYBR-US^FE_ESTIMATE(FCF,MED,QTR,+4,NOW,,,'')":-321.3975,"FYBR-US^FE_ESTIMATE(SALES,MED,ANNUAL,2026,NOW,,,'')":6283.185,"FYBR-US^FE_ESTIMATE(EBITDA,MED,ANNUAL,2026,NOW,,,'')":2733.0,"FYBR-US^FE_ESTIMATE(CAPEX,MED,ANNUAL,2026,NOW,,,'')":1760.3514,"FYBR-US^FE_ESTIMATE(FCF,MED,ANNUAL,2026,NOW,,,'')":157.9665,"FYBR-US^FE_ESTIMATE(PRODLINE_SALES_2,MEDIAN,ANNUAL,2026,NOW,,,'')":4247.5,"FYBR-US^FE_ESTIMATE(PRODLINE_SALES_3,MEDIAN,ANNUAL,2026,NOW,,,'')":1185.0,"FYBR-US^FE_ESTIMATE(PRODLINE_SALES_5,MEDIAN,ANNUAL,2026,NOW,,,'')":515.5,"FYBR-US^FE_ESTIMATE(PRODLINE_SALES_4,MEDIAN,ANNUAL,2026,NOW,,,'')":225.5,"FYBR-US^FE_ESTIMATE(PRODLINE_SALES_6,MEDIAN,ANNUAL,2026,NOW,,,'')":87.5,"FYBR-US^FE_ESTIMATE(PL2_SALES_2,MEDIAN,ANNUAL,2026,NOW,,,'')":3937.0,"FYBR-US^FE_ESTIMATE(PL2_SALES_3,MEDIAN,ANNUAL,2026,NOW,,,'')":2236.5,"PRICE^P_DATE(0)":"02/20/2025","FYBR^P_DATE(0)":"02/20/2025","FYBR^FG_PRICE(0)":35.78,"FYBR^FG_PRICE(45540)":35.0,"FYBR^FG_PRICE(45540,0)":[35.0,35.53,35.77,35.57,36.03,35.585,36.44,35.95,35.65,35.35,35.39,35.65,35.73,35.48,35.52,35.72,35.71,35.53,35.38,35.45,35.42,35.36,35.32,35.35,35.26,35.25,35.25,35.25,35.71,35.96,35.85,35.7,35.71,35.55,35.82,36.15,36.01,35.83,35.89,35.93,35.73,36.14,35.41,34.95,35.07,34.83,34.5,34.39,34.15,34.67,34.75,34.86,34.93,34.75,34.7,34.8,34.87,34.88,34.84,34.78,34.81,34.72,34.47,34.49,34.52,34.64,34.59,34.63,34.64,34.66,34.65,34.76,34.83,34.66,34.75,34.65,34.78,34.77,34.85,34.64,34.7,34.7,34.83,35.06,35.1,35.17,35.31,35.1,35.33,35.53,35.51,35.5,35.64,35.74,35.75,35.79,35.8,35.76,35.76,35.8,35.8,35.76,35.76,35.83,35.79,35.8,35.79,35.81,35.77,35.72,35.74,35.73,35.74,35.7,35.78]}]]></FdsFormulaCache>
</file>

<file path=customXml/itemProps1.xml><?xml version="1.0" encoding="utf-8"?>
<ds:datastoreItem xmlns:ds="http://schemas.openxmlformats.org/officeDocument/2006/customXml" ds:itemID="{E615F7E8-2FFF-4BD9-971A-626433A985B5}">
  <ds:schemaRefs>
    <ds:schemaRef ds:uri="http://schemas.microsoft.com/office/2006/metadata/properties"/>
    <ds:schemaRef ds:uri="http://schemas.microsoft.com/office/infopath/2007/PartnerControls"/>
    <ds:schemaRef ds:uri="c5137053-1496-49e7-a326-e28acae3ad87"/>
    <ds:schemaRef ds:uri="ac44878d-96d9-4f15-b496-a71362426953"/>
  </ds:schemaRefs>
</ds:datastoreItem>
</file>

<file path=customXml/itemProps2.xml><?xml version="1.0" encoding="utf-8"?>
<ds:datastoreItem xmlns:ds="http://schemas.openxmlformats.org/officeDocument/2006/customXml" ds:itemID="{893901B7-83B1-42E2-B1B7-D5E8020BB0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137053-1496-49e7-a326-e28acae3ad87"/>
    <ds:schemaRef ds:uri="ac44878d-96d9-4f15-b496-a713624269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B05A1BA-4743-4429-BC1C-2832CE10DA3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78AC7FCF-40D1-43F9-8E0A-7DCBEC19C545}">
  <ds:schemaRefs>
    <ds:schemaRef ds:uri="urn:fdsformulacach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4</vt:i4>
      </vt:variant>
    </vt:vector>
  </HeadingPairs>
  <TitlesOfParts>
    <vt:vector size="35" baseType="lpstr">
      <vt:lpstr>Cover</vt:lpstr>
      <vt:lpstr>Model Main</vt:lpstr>
      <vt:lpstr>FTTH Model</vt:lpstr>
      <vt:lpstr>Drivers</vt:lpstr>
      <vt:lpstr>Analysis</vt:lpstr>
      <vt:lpstr>Mini-model</vt:lpstr>
      <vt:lpstr>mini-model-charts</vt:lpstr>
      <vt:lpstr>Steady-state</vt:lpstr>
      <vt:lpstr>ABS</vt:lpstr>
      <vt:lpstr>Debt</vt:lpstr>
      <vt:lpstr>Deal_Spread</vt:lpstr>
      <vt:lpstr>Valuation</vt:lpstr>
      <vt:lpstr>Valuation (2)</vt:lpstr>
      <vt:lpstr>Guidance</vt:lpstr>
      <vt:lpstr>Inputs</vt:lpstr>
      <vt:lpstr>Model Main (2)</vt:lpstr>
      <vt:lpstr>Drivers (2)</vt:lpstr>
      <vt:lpstr>Consensus_Comp</vt:lpstr>
      <vt:lpstr>Proxy_DCF</vt:lpstr>
      <vt:lpstr>Output</vt:lpstr>
      <vt:lpstr>HY_data</vt:lpstr>
      <vt:lpstr>Penetration</vt:lpstr>
      <vt:lpstr>Debt-old</vt:lpstr>
      <vt:lpstr>Segment Model</vt:lpstr>
      <vt:lpstr>New_Build_Summary</vt:lpstr>
      <vt:lpstr>New_Build_Base_Case</vt:lpstr>
      <vt:lpstr>New_Build_Optimistic_Case</vt:lpstr>
      <vt:lpstr>New_Build_Conservative_Case</vt:lpstr>
      <vt:lpstr>Exhibits for Analyst Day BF</vt:lpstr>
      <vt:lpstr>NS Exhibits for Analyst Day</vt:lpstr>
      <vt:lpstr>Sheet1</vt:lpstr>
      <vt:lpstr>'Valuation (2)'!AMTTargetPrice</vt:lpstr>
      <vt:lpstr>AMTTargetPrice</vt:lpstr>
      <vt:lpstr>'Valuation (2)'!FTRTargetPrice</vt:lpstr>
      <vt:lpstr>FTRTargetPrice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Spencer Kurn</dc:creator>
  <cp:keywords/>
  <dc:description/>
  <cp:lastModifiedBy>Vikash Harlalka</cp:lastModifiedBy>
  <cp:revision/>
  <dcterms:created xsi:type="dcterms:W3CDTF">2020-10-12T20:19:47Z</dcterms:created>
  <dcterms:modified xsi:type="dcterms:W3CDTF">2025-02-21T14:08:02Z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{9D7007C0-14A1-4E2F-AA4D-755451E194BA}</vt:lpwstr>
  </property>
  <property fmtid="{D5CDD505-2E9C-101B-9397-08002B2CF9AE}" pid="3" name="=fdsSearchOrder">
    <vt:i4>0</vt:i4>
  </property>
  <property fmtid="{D5CDD505-2E9C-101B-9397-08002B2CF9AE}" pid="4" name="ContentTypeId">
    <vt:lpwstr>0x01010097FC0AD7E85595498F65C815BF2D1E27</vt:lpwstr>
  </property>
  <property fmtid="{D5CDD505-2E9C-101B-9397-08002B2CF9AE}" pid="5" name="Order">
    <vt:r8>30400</vt:r8>
  </property>
  <property fmtid="{D5CDD505-2E9C-101B-9397-08002B2CF9AE}" pid="6" name="MediaServiceImageTags">
    <vt:lpwstr/>
  </property>
</Properties>
</file>